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3150" yWindow="1110" windowWidth="15480" windowHeight="11340" tabRatio="835"/>
  </bookViews>
  <sheets>
    <sheet name="Cover" sheetId="4" r:id="rId1"/>
    <sheet name="FeatureConcepts" sheetId="5" r:id="rId2"/>
    <sheet name="AttributeConcepts" sheetId="6" r:id="rId3"/>
    <sheet name="Datatypes" sheetId="7" r:id="rId4"/>
    <sheet name="DatatypeListedValues" sheetId="15" r:id="rId5"/>
    <sheet name="PhysicalQuantities" sheetId="13" r:id="rId6"/>
    <sheet name="UnitsOfMeasure" sheetId="16" r:id="rId7"/>
  </sheets>
  <externalReferences>
    <externalReference r:id="rId8"/>
    <externalReference r:id="rId9"/>
  </externalReferences>
  <definedNames>
    <definedName name="_xlnm._FilterDatabase" localSheetId="3" hidden="1">Datatypes!$Q$1:$R$1605</definedName>
    <definedName name="_xlnm._FilterDatabase" localSheetId="1" hidden="1">FeatureConcepts!$A$1:$J$766</definedName>
    <definedName name="_xlnm.Print_Titles" localSheetId="1">FeatureConcepts!$B:$F</definedName>
    <definedName name="_xlnm.Print_Titles" localSheetId="5">PhysicalQuantities!$B:$F</definedName>
    <definedName name="Feature_Def" localSheetId="2">FeatureConcepts!#REF!</definedName>
    <definedName name="Feature_Def" localSheetId="3">FeatureConcepts!#REF!</definedName>
    <definedName name="Feature_Def" localSheetId="1">FeatureConcepts!#REF!</definedName>
    <definedName name="Feature_Def" localSheetId="5">PhysicalQuantities!#REF!</definedName>
    <definedName name="Feature_Def" localSheetId="6">#REF!</definedName>
    <definedName name="Feature_Def">#REF!</definedName>
    <definedName name="IHO_T_FeatureType" localSheetId="5">#REF!</definedName>
    <definedName name="IHO_T_FeatureType" localSheetId="6">#REF!</definedName>
    <definedName name="IHO_T_FeatureType">#REF!</definedName>
    <definedName name="tblClassISO" localSheetId="5">#REF!</definedName>
    <definedName name="tblClassISO" localSheetId="6">#REF!</definedName>
    <definedName name="tblClassISO">#REF!</definedName>
  </definedNames>
  <calcPr calcId="125725" calcMode="manual"/>
</workbook>
</file>

<file path=xl/calcChain.xml><?xml version="1.0" encoding="utf-8"?>
<calcChain xmlns="http://schemas.openxmlformats.org/spreadsheetml/2006/main">
  <c r="A4" i="6"/>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1135"/>
  <c r="A1136"/>
  <c r="A1137"/>
  <c r="A1138"/>
  <c r="A1139"/>
  <c r="A1140"/>
  <c r="A1141"/>
  <c r="A1142"/>
  <c r="A1143"/>
  <c r="A1144"/>
  <c r="A1145"/>
  <c r="A1146"/>
  <c r="A1147"/>
  <c r="A1148"/>
  <c r="A1149"/>
  <c r="A1150"/>
  <c r="A1151"/>
  <c r="A1152"/>
  <c r="A1153"/>
  <c r="A1154"/>
  <c r="A1155"/>
  <c r="A1156"/>
  <c r="A1157"/>
  <c r="A1158"/>
  <c r="A1159"/>
  <c r="A1160"/>
  <c r="A1161"/>
  <c r="A1162"/>
  <c r="A1163"/>
  <c r="A1164"/>
  <c r="A1165"/>
  <c r="A1166"/>
  <c r="A1167"/>
  <c r="A1168"/>
  <c r="A1169"/>
  <c r="A1170"/>
  <c r="A1171"/>
  <c r="A1172"/>
  <c r="A1173"/>
  <c r="A1174"/>
  <c r="A1175"/>
  <c r="A1176"/>
  <c r="A1177"/>
  <c r="A1178"/>
  <c r="A1179"/>
  <c r="A1180"/>
  <c r="A1181"/>
  <c r="A1182"/>
  <c r="A1183"/>
  <c r="A1184"/>
  <c r="A1185"/>
  <c r="A1186"/>
  <c r="A1187"/>
  <c r="A1188"/>
  <c r="A1189"/>
  <c r="A1190"/>
  <c r="A1191"/>
  <c r="A1192"/>
  <c r="A1193"/>
  <c r="A1194"/>
  <c r="A1195"/>
  <c r="A1196"/>
  <c r="A1197"/>
  <c r="A1198"/>
  <c r="A1199"/>
  <c r="A1200"/>
  <c r="A1201"/>
  <c r="A1202"/>
  <c r="A1203"/>
  <c r="A1204"/>
  <c r="A1205"/>
  <c r="A1206"/>
  <c r="A1207"/>
  <c r="A1208"/>
  <c r="A1209"/>
  <c r="A1210"/>
  <c r="A1211"/>
  <c r="A1212"/>
  <c r="A1213"/>
  <c r="A1214"/>
  <c r="A1215"/>
  <c r="A1216"/>
  <c r="A1217"/>
  <c r="A1218"/>
  <c r="A1219"/>
  <c r="A1220"/>
  <c r="A1221"/>
  <c r="A1222"/>
  <c r="A1223"/>
  <c r="A1224"/>
  <c r="A1225"/>
  <c r="A1226"/>
  <c r="A1227"/>
  <c r="A1228"/>
  <c r="A1229"/>
  <c r="A1230"/>
  <c r="A1231"/>
  <c r="A1232"/>
  <c r="A1233"/>
  <c r="A1234"/>
  <c r="A1235"/>
  <c r="A1236"/>
  <c r="A1237"/>
  <c r="A1238"/>
  <c r="A1239"/>
  <c r="A1240"/>
  <c r="A1241"/>
  <c r="A1242"/>
  <c r="A1243"/>
  <c r="A1244"/>
  <c r="A1245"/>
  <c r="A1246"/>
  <c r="A1247"/>
  <c r="A1248"/>
  <c r="A1249"/>
  <c r="A1250"/>
  <c r="A1251"/>
  <c r="A1252"/>
  <c r="A1253"/>
  <c r="A1254"/>
  <c r="A1255"/>
  <c r="A1256"/>
  <c r="A1257"/>
  <c r="A1258"/>
  <c r="A1259"/>
  <c r="A1260"/>
  <c r="A1261"/>
  <c r="A1262"/>
  <c r="A1263"/>
  <c r="A1264"/>
  <c r="A1265"/>
  <c r="A1266"/>
  <c r="A1267"/>
  <c r="A1268"/>
  <c r="A1269"/>
  <c r="A1270"/>
  <c r="A1271"/>
  <c r="A1272"/>
  <c r="A1273"/>
  <c r="A1274"/>
  <c r="A1275"/>
  <c r="A1276"/>
  <c r="A1277"/>
  <c r="A1278"/>
  <c r="A1279"/>
  <c r="A1280"/>
  <c r="A1281"/>
  <c r="A1282"/>
  <c r="A1283"/>
  <c r="A1284"/>
  <c r="A1285"/>
  <c r="A1286"/>
  <c r="A1287"/>
  <c r="A1288"/>
  <c r="A1289"/>
  <c r="A1290"/>
  <c r="A1291"/>
  <c r="A1292"/>
  <c r="A1293"/>
  <c r="A1294"/>
  <c r="A1295"/>
  <c r="A1296"/>
  <c r="A1297"/>
  <c r="A1298"/>
  <c r="A1299"/>
  <c r="A1300"/>
  <c r="A1301"/>
  <c r="A1302"/>
  <c r="A1303"/>
  <c r="A1304"/>
  <c r="A1305"/>
  <c r="A1306"/>
  <c r="A1307"/>
  <c r="A1308"/>
  <c r="A1309"/>
  <c r="A1310"/>
  <c r="A1311"/>
  <c r="A1312"/>
  <c r="A1313"/>
  <c r="A1314"/>
  <c r="A1315"/>
  <c r="A1316"/>
  <c r="A1317"/>
  <c r="A1318"/>
  <c r="A1319"/>
  <c r="A1320"/>
  <c r="A1321"/>
  <c r="A1322"/>
  <c r="A1323"/>
  <c r="A1324"/>
  <c r="A1325"/>
  <c r="A1326"/>
  <c r="A1327"/>
  <c r="A1328"/>
  <c r="A1329"/>
  <c r="A1330"/>
  <c r="A1331"/>
  <c r="A1332"/>
  <c r="A1333"/>
  <c r="A1334"/>
  <c r="A1335"/>
  <c r="A1336"/>
  <c r="A1337"/>
  <c r="A1338"/>
  <c r="A1339"/>
  <c r="A1340"/>
  <c r="A1341"/>
  <c r="A1342"/>
  <c r="A1343"/>
  <c r="A1344"/>
  <c r="A1345"/>
  <c r="A1346"/>
  <c r="A1347"/>
  <c r="A1348"/>
  <c r="A1349"/>
  <c r="A1350"/>
  <c r="A1351"/>
  <c r="A1352"/>
  <c r="A1353"/>
  <c r="A1354"/>
  <c r="A1355"/>
  <c r="A1356"/>
  <c r="A1357"/>
  <c r="A1358"/>
  <c r="A1359"/>
  <c r="A1360"/>
  <c r="A1361"/>
  <c r="A1362"/>
  <c r="A1363"/>
  <c r="A1364"/>
  <c r="A1365"/>
  <c r="A1366"/>
  <c r="A1367"/>
  <c r="A1368"/>
  <c r="A1369"/>
  <c r="A1370"/>
  <c r="A1371"/>
  <c r="A1372"/>
  <c r="A1373"/>
  <c r="A1374"/>
  <c r="A1375"/>
  <c r="A1376"/>
  <c r="A1377"/>
  <c r="A1378"/>
  <c r="A1379"/>
  <c r="A1380"/>
  <c r="A1381"/>
  <c r="A1382"/>
  <c r="A1383"/>
  <c r="A1384"/>
  <c r="A1385"/>
  <c r="A3"/>
  <c r="A2"/>
  <c r="A11" i="15"/>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010"/>
  <c r="A1011"/>
  <c r="A1012"/>
  <c r="A1013"/>
  <c r="A1014"/>
  <c r="A1015"/>
  <c r="A1016"/>
  <c r="A1017"/>
  <c r="A1018"/>
  <c r="A1019"/>
  <c r="A1020"/>
  <c r="A1021"/>
  <c r="A1022"/>
  <c r="A1023"/>
  <c r="A1024"/>
  <c r="A1025"/>
  <c r="A1026"/>
  <c r="A1027"/>
  <c r="A1028"/>
  <c r="A1029"/>
  <c r="A1030"/>
  <c r="A1031"/>
  <c r="A1032"/>
  <c r="A1033"/>
  <c r="A1034"/>
  <c r="A1035"/>
  <c r="A1036"/>
  <c r="A1037"/>
  <c r="A1038"/>
  <c r="A1039"/>
  <c r="A1040"/>
  <c r="A1041"/>
  <c r="A1042"/>
  <c r="A1043"/>
  <c r="A1044"/>
  <c r="A1045"/>
  <c r="A1046"/>
  <c r="A1047"/>
  <c r="A1048"/>
  <c r="A1049"/>
  <c r="A1050"/>
  <c r="A1051"/>
  <c r="A1052"/>
  <c r="A1053"/>
  <c r="A1054"/>
  <c r="A1055"/>
  <c r="A1056"/>
  <c r="A1057"/>
  <c r="A1058"/>
  <c r="A1059"/>
  <c r="A1060"/>
  <c r="A1061"/>
  <c r="A1062"/>
  <c r="A1063"/>
  <c r="A1064"/>
  <c r="A1065"/>
  <c r="A1066"/>
  <c r="A1067"/>
  <c r="A1068"/>
  <c r="A1069"/>
  <c r="A1070"/>
  <c r="A1071"/>
  <c r="A1072"/>
  <c r="A1073"/>
  <c r="A1074"/>
  <c r="A1075"/>
  <c r="A1076"/>
  <c r="A1077"/>
  <c r="A1078"/>
  <c r="A1079"/>
  <c r="A1080"/>
  <c r="A1081"/>
  <c r="A1082"/>
  <c r="A1083"/>
  <c r="A1084"/>
  <c r="A1085"/>
  <c r="A1086"/>
  <c r="A1087"/>
  <c r="A1088"/>
  <c r="A1089"/>
  <c r="A1090"/>
  <c r="A1091"/>
  <c r="A1092"/>
  <c r="A1093"/>
  <c r="A1094"/>
  <c r="A1095"/>
  <c r="A1096"/>
  <c r="A1097"/>
  <c r="A1098"/>
  <c r="A1099"/>
  <c r="A1100"/>
  <c r="A1101"/>
  <c r="A1102"/>
  <c r="A1103"/>
  <c r="A1104"/>
  <c r="A1105"/>
  <c r="A1106"/>
  <c r="A1107"/>
  <c r="A1108"/>
  <c r="A1109"/>
  <c r="A1110"/>
  <c r="A1111"/>
  <c r="A1112"/>
  <c r="A1113"/>
  <c r="A1114"/>
  <c r="A1115"/>
  <c r="A1116"/>
  <c r="A1117"/>
  <c r="A1118"/>
  <c r="A1119"/>
  <c r="A1120"/>
  <c r="A1121"/>
  <c r="A1122"/>
  <c r="A1123"/>
  <c r="A1124"/>
  <c r="A1125"/>
  <c r="A1126"/>
  <c r="A1127"/>
  <c r="A1128"/>
  <c r="A1129"/>
  <c r="A1130"/>
  <c r="A1131"/>
  <c r="A1132"/>
  <c r="A1133"/>
  <c r="A1134"/>
  <c r="A1135"/>
  <c r="A1136"/>
  <c r="A1137"/>
  <c r="A1138"/>
  <c r="A1139"/>
  <c r="A1140"/>
  <c r="A1141"/>
  <c r="A1142"/>
  <c r="A1143"/>
  <c r="A1144"/>
  <c r="A1145"/>
  <c r="A1146"/>
  <c r="A1147"/>
  <c r="A1148"/>
  <c r="A1149"/>
  <c r="A1150"/>
  <c r="A1151"/>
  <c r="A1152"/>
  <c r="A1153"/>
  <c r="A1154"/>
  <c r="A1155"/>
  <c r="A1156"/>
  <c r="A1157"/>
  <c r="A1158"/>
  <c r="A1159"/>
  <c r="A1160"/>
  <c r="A1161"/>
  <c r="A1162"/>
  <c r="A1163"/>
  <c r="A1164"/>
  <c r="A1165"/>
  <c r="A1166"/>
  <c r="A1167"/>
  <c r="A1168"/>
  <c r="A1169"/>
  <c r="A1170"/>
  <c r="A1171"/>
  <c r="A1172"/>
  <c r="A1173"/>
  <c r="A1174"/>
  <c r="A1175"/>
  <c r="A1176"/>
  <c r="A1177"/>
  <c r="A1178"/>
  <c r="A1179"/>
  <c r="A1180"/>
  <c r="A1181"/>
  <c r="A1182"/>
  <c r="A1183"/>
  <c r="A1184"/>
  <c r="A1185"/>
  <c r="A1186"/>
  <c r="A1187"/>
  <c r="A1188"/>
  <c r="A1189"/>
  <c r="A1190"/>
  <c r="A1191"/>
  <c r="A1192"/>
  <c r="A1193"/>
  <c r="A1194"/>
  <c r="A1195"/>
  <c r="A1196"/>
  <c r="A1197"/>
  <c r="A1198"/>
  <c r="A1199"/>
  <c r="A1200"/>
  <c r="A1201"/>
  <c r="A1202"/>
  <c r="A1203"/>
  <c r="A1204"/>
  <c r="A1205"/>
  <c r="A1206"/>
  <c r="A1207"/>
  <c r="A1208"/>
  <c r="A1209"/>
  <c r="A1210"/>
  <c r="A1211"/>
  <c r="A1212"/>
  <c r="A1213"/>
  <c r="A1214"/>
  <c r="A1215"/>
  <c r="A1216"/>
  <c r="A1217"/>
  <c r="A1218"/>
  <c r="A1219"/>
  <c r="A1220"/>
  <c r="A1221"/>
  <c r="A1222"/>
  <c r="A1223"/>
  <c r="A1224"/>
  <c r="A1225"/>
  <c r="A1226"/>
  <c r="A1227"/>
  <c r="A1228"/>
  <c r="A1229"/>
  <c r="A1230"/>
  <c r="A1231"/>
  <c r="A1232"/>
  <c r="A1233"/>
  <c r="A1234"/>
  <c r="A1235"/>
  <c r="A1236"/>
  <c r="A1237"/>
  <c r="A1238"/>
  <c r="A1239"/>
  <c r="A1240"/>
  <c r="A1241"/>
  <c r="A1242"/>
  <c r="A1243"/>
  <c r="A1244"/>
  <c r="A1245"/>
  <c r="A1246"/>
  <c r="A1247"/>
  <c r="A1248"/>
  <c r="A1249"/>
  <c r="A1250"/>
  <c r="A1251"/>
  <c r="A1252"/>
  <c r="A1253"/>
  <c r="A1254"/>
  <c r="A1255"/>
  <c r="A1256"/>
  <c r="A1257"/>
  <c r="A1258"/>
  <c r="A1259"/>
  <c r="A1260"/>
  <c r="A1261"/>
  <c r="A1262"/>
  <c r="A1263"/>
  <c r="A1264"/>
  <c r="A1265"/>
  <c r="A1266"/>
  <c r="A1267"/>
  <c r="A1268"/>
  <c r="A1269"/>
  <c r="A1270"/>
  <c r="A1271"/>
  <c r="A1272"/>
  <c r="A1273"/>
  <c r="A1274"/>
  <c r="A1275"/>
  <c r="A1276"/>
  <c r="A1277"/>
  <c r="A1278"/>
  <c r="A1279"/>
  <c r="A1280"/>
  <c r="A1281"/>
  <c r="A1282"/>
  <c r="A1283"/>
  <c r="A1284"/>
  <c r="A1285"/>
  <c r="A1286"/>
  <c r="A1287"/>
  <c r="A1288"/>
  <c r="A1289"/>
  <c r="A1290"/>
  <c r="A1291"/>
  <c r="A1292"/>
  <c r="A1293"/>
  <c r="A1294"/>
  <c r="A1295"/>
  <c r="A1296"/>
  <c r="A1297"/>
  <c r="A1298"/>
  <c r="A1299"/>
  <c r="A1300"/>
  <c r="A1301"/>
  <c r="A1302"/>
  <c r="A1303"/>
  <c r="A1304"/>
  <c r="A1305"/>
  <c r="A1306"/>
  <c r="A1307"/>
  <c r="A1308"/>
  <c r="A1309"/>
  <c r="A1310"/>
  <c r="A1311"/>
  <c r="A1312"/>
  <c r="A1313"/>
  <c r="A1314"/>
  <c r="A1315"/>
  <c r="A1316"/>
  <c r="A1317"/>
  <c r="A1318"/>
  <c r="A1319"/>
  <c r="A1320"/>
  <c r="A1321"/>
  <c r="A1322"/>
  <c r="A1323"/>
  <c r="A1324"/>
  <c r="A1325"/>
  <c r="A1326"/>
  <c r="A1327"/>
  <c r="A1328"/>
  <c r="A1329"/>
  <c r="A1330"/>
  <c r="A1331"/>
  <c r="A1332"/>
  <c r="A1333"/>
  <c r="A1334"/>
  <c r="A1335"/>
  <c r="A1336"/>
  <c r="A1337"/>
  <c r="A1338"/>
  <c r="A1339"/>
  <c r="A1340"/>
  <c r="A1341"/>
  <c r="A1342"/>
  <c r="A1343"/>
  <c r="A1344"/>
  <c r="A1345"/>
  <c r="A1346"/>
  <c r="A1347"/>
  <c r="A1348"/>
  <c r="A1349"/>
  <c r="A1350"/>
  <c r="A1351"/>
  <c r="A1352"/>
  <c r="A1353"/>
  <c r="A1354"/>
  <c r="A1355"/>
  <c r="A1356"/>
  <c r="A1357"/>
  <c r="A1358"/>
  <c r="A1359"/>
  <c r="A1360"/>
  <c r="A1361"/>
  <c r="A1362"/>
  <c r="A1363"/>
  <c r="A1364"/>
  <c r="A1365"/>
  <c r="A1366"/>
  <c r="A1367"/>
  <c r="A1368"/>
  <c r="A1369"/>
  <c r="A1370"/>
  <c r="A1371"/>
  <c r="A1372"/>
  <c r="A1373"/>
  <c r="A1374"/>
  <c r="A1375"/>
  <c r="A1376"/>
  <c r="A1377"/>
  <c r="A1378"/>
  <c r="A1379"/>
  <c r="A1380"/>
  <c r="A1381"/>
  <c r="A1382"/>
  <c r="A1383"/>
  <c r="A1384"/>
  <c r="A1385"/>
  <c r="A1386"/>
  <c r="A1387"/>
  <c r="A1388"/>
  <c r="A1389"/>
  <c r="A1390"/>
  <c r="A1391"/>
  <c r="A1392"/>
  <c r="A1393"/>
  <c r="A1394"/>
  <c r="A1395"/>
  <c r="A1396"/>
  <c r="A1397"/>
  <c r="A1398"/>
  <c r="A1399"/>
  <c r="A1400"/>
  <c r="A1401"/>
  <c r="A1402"/>
  <c r="A1403"/>
  <c r="A1404"/>
  <c r="A1405"/>
  <c r="A1406"/>
  <c r="A1407"/>
  <c r="A1408"/>
  <c r="A1409"/>
  <c r="A1410"/>
  <c r="A1411"/>
  <c r="A1412"/>
  <c r="A1413"/>
  <c r="A1414"/>
  <c r="A1415"/>
  <c r="A1416"/>
  <c r="A1417"/>
  <c r="A1418"/>
  <c r="A1419"/>
  <c r="A1420"/>
  <c r="A1421"/>
  <c r="A1422"/>
  <c r="A1423"/>
  <c r="A1424"/>
  <c r="A1425"/>
  <c r="A1426"/>
  <c r="A1427"/>
  <c r="A1428"/>
  <c r="A1429"/>
  <c r="A1430"/>
  <c r="A1431"/>
  <c r="A1432"/>
  <c r="A1433"/>
  <c r="A1434"/>
  <c r="A1435"/>
  <c r="A1436"/>
  <c r="A1437"/>
  <c r="A1438"/>
  <c r="A1439"/>
  <c r="A1440"/>
  <c r="A1441"/>
  <c r="A1442"/>
  <c r="A1443"/>
  <c r="A1444"/>
  <c r="A1445"/>
  <c r="A1446"/>
  <c r="A1447"/>
  <c r="A1448"/>
  <c r="A1449"/>
  <c r="A1450"/>
  <c r="A1451"/>
  <c r="A1452"/>
  <c r="A1453"/>
  <c r="A1454"/>
  <c r="A1455"/>
  <c r="A1456"/>
  <c r="A1457"/>
  <c r="A1458"/>
  <c r="A1459"/>
  <c r="A1460"/>
  <c r="A1461"/>
  <c r="A1462"/>
  <c r="A1463"/>
  <c r="A1464"/>
  <c r="A1465"/>
  <c r="A1466"/>
  <c r="A1467"/>
  <c r="A1468"/>
  <c r="A1469"/>
  <c r="A1470"/>
  <c r="A1471"/>
  <c r="A1472"/>
  <c r="A1473"/>
  <c r="A1474"/>
  <c r="A1475"/>
  <c r="A1476"/>
  <c r="A1477"/>
  <c r="A1478"/>
  <c r="A1479"/>
  <c r="A1480"/>
  <c r="A1481"/>
  <c r="A1482"/>
  <c r="A1483"/>
  <c r="A1484"/>
  <c r="A1485"/>
  <c r="A1486"/>
  <c r="A1487"/>
  <c r="A1488"/>
  <c r="A1489"/>
  <c r="A1490"/>
  <c r="A1491"/>
  <c r="A1492"/>
  <c r="A1493"/>
  <c r="A1494"/>
  <c r="A1495"/>
  <c r="A1496"/>
  <c r="A1497"/>
  <c r="A1498"/>
  <c r="A1499"/>
  <c r="A1500"/>
  <c r="A1501"/>
  <c r="A1502"/>
  <c r="A1503"/>
  <c r="A1504"/>
  <c r="A1505"/>
  <c r="A1506"/>
  <c r="A1507"/>
  <c r="A1508"/>
  <c r="A1509"/>
  <c r="A1510"/>
  <c r="A1511"/>
  <c r="A1512"/>
  <c r="A1513"/>
  <c r="A1514"/>
  <c r="A1515"/>
  <c r="A1516"/>
  <c r="A1517"/>
  <c r="A1518"/>
  <c r="A1519"/>
  <c r="A1520"/>
  <c r="A1521"/>
  <c r="A1522"/>
  <c r="A1523"/>
  <c r="A1524"/>
  <c r="A1525"/>
  <c r="A1526"/>
  <c r="A1527"/>
  <c r="A1528"/>
  <c r="A1529"/>
  <c r="A1530"/>
  <c r="A1531"/>
  <c r="A1532"/>
  <c r="A1533"/>
  <c r="A1534"/>
  <c r="A1535"/>
  <c r="A1536"/>
  <c r="A1537"/>
  <c r="A1538"/>
  <c r="A1539"/>
  <c r="A1540"/>
  <c r="A1541"/>
  <c r="A1542"/>
  <c r="A1543"/>
  <c r="A1544"/>
  <c r="A1545"/>
  <c r="A1546"/>
  <c r="A1547"/>
  <c r="A1548"/>
  <c r="A1549"/>
  <c r="A1550"/>
  <c r="A1551"/>
  <c r="A1552"/>
  <c r="A1553"/>
  <c r="A1554"/>
  <c r="A1555"/>
  <c r="A1556"/>
  <c r="A1557"/>
  <c r="A1558"/>
  <c r="A1559"/>
  <c r="A1560"/>
  <c r="A1561"/>
  <c r="A1562"/>
  <c r="A1563"/>
  <c r="A1564"/>
  <c r="A1565"/>
  <c r="A1566"/>
  <c r="A1567"/>
  <c r="A1568"/>
  <c r="A1569"/>
  <c r="A1570"/>
  <c r="A1571"/>
  <c r="A1572"/>
  <c r="A1573"/>
  <c r="A1574"/>
  <c r="A1575"/>
  <c r="A1576"/>
  <c r="A1577"/>
  <c r="A1578"/>
  <c r="A1579"/>
  <c r="A1580"/>
  <c r="A1581"/>
  <c r="A1582"/>
  <c r="A1583"/>
  <c r="A1584"/>
  <c r="A1585"/>
  <c r="A1586"/>
  <c r="A1587"/>
  <c r="A1588"/>
  <c r="A1589"/>
  <c r="A1590"/>
  <c r="A1591"/>
  <c r="A1592"/>
  <c r="A1593"/>
  <c r="A1594"/>
  <c r="A1595"/>
  <c r="A1596"/>
  <c r="A1597"/>
  <c r="A1598"/>
  <c r="A1599"/>
  <c r="A1600"/>
  <c r="A1601"/>
  <c r="A1602"/>
  <c r="A1603"/>
  <c r="A1604"/>
  <c r="A1605"/>
  <c r="A1606"/>
  <c r="A1607"/>
  <c r="A1608"/>
  <c r="A1609"/>
  <c r="A1610"/>
  <c r="A1611"/>
  <c r="A1612"/>
  <c r="A1613"/>
  <c r="A1614"/>
  <c r="A1615"/>
  <c r="A1616"/>
  <c r="A1617"/>
  <c r="A1618"/>
  <c r="A1619"/>
  <c r="A1620"/>
  <c r="A1621"/>
  <c r="A1622"/>
  <c r="A1623"/>
  <c r="A1624"/>
  <c r="A1625"/>
  <c r="A1626"/>
  <c r="A1627"/>
  <c r="A1628"/>
  <c r="A1629"/>
  <c r="A1630"/>
  <c r="A1631"/>
  <c r="A1632"/>
  <c r="A1633"/>
  <c r="A1634"/>
  <c r="A1635"/>
  <c r="A1636"/>
  <c r="A1637"/>
  <c r="A1638"/>
  <c r="A1639"/>
  <c r="A1640"/>
  <c r="A1641"/>
  <c r="A1642"/>
  <c r="A1643"/>
  <c r="A1644"/>
  <c r="A1645"/>
  <c r="A1646"/>
  <c r="A1647"/>
  <c r="A1648"/>
  <c r="A1649"/>
  <c r="A1650"/>
  <c r="A1651"/>
  <c r="A1652"/>
  <c r="A1653"/>
  <c r="A1654"/>
  <c r="A1655"/>
  <c r="A1656"/>
  <c r="A1657"/>
  <c r="A1658"/>
  <c r="A1659"/>
  <c r="A1660"/>
  <c r="A1661"/>
  <c r="A1662"/>
  <c r="A1663"/>
  <c r="A1664"/>
  <c r="A1665"/>
  <c r="A1666"/>
  <c r="A1667"/>
  <c r="A1668"/>
  <c r="A1669"/>
  <c r="A1670"/>
  <c r="A1671"/>
  <c r="A1672"/>
  <c r="A1673"/>
  <c r="A1674"/>
  <c r="A1675"/>
  <c r="A1676"/>
  <c r="A1677"/>
  <c r="A1678"/>
  <c r="A1679"/>
  <c r="A1680"/>
  <c r="A1681"/>
  <c r="A1682"/>
  <c r="A1683"/>
  <c r="A1684"/>
  <c r="A1685"/>
  <c r="A1686"/>
  <c r="A1687"/>
  <c r="A1688"/>
  <c r="A1689"/>
  <c r="A1690"/>
  <c r="A1691"/>
  <c r="A1692"/>
  <c r="A1693"/>
  <c r="A1694"/>
  <c r="A1695"/>
  <c r="A1696"/>
  <c r="A1697"/>
  <c r="A1698"/>
  <c r="A1699"/>
  <c r="A1700"/>
  <c r="A1701"/>
  <c r="A1702"/>
  <c r="A1703"/>
  <c r="A1704"/>
  <c r="A1705"/>
  <c r="A1706"/>
  <c r="A1707"/>
  <c r="A1708"/>
  <c r="A1709"/>
  <c r="A1710"/>
  <c r="A1711"/>
  <c r="A1712"/>
  <c r="A1713"/>
  <c r="A1714"/>
  <c r="A1715"/>
  <c r="A1716"/>
  <c r="A1717"/>
  <c r="A1718"/>
  <c r="A1719"/>
  <c r="A1720"/>
  <c r="A1721"/>
  <c r="A1722"/>
  <c r="A1723"/>
  <c r="A1724"/>
  <c r="A1725"/>
  <c r="A1726"/>
  <c r="A1727"/>
  <c r="A1728"/>
  <c r="A1729"/>
  <c r="A1730"/>
  <c r="A1731"/>
  <c r="A1732"/>
  <c r="A1733"/>
  <c r="A1734"/>
  <c r="A1735"/>
  <c r="A1736"/>
  <c r="A1737"/>
  <c r="A1738"/>
  <c r="A1739"/>
  <c r="A1740"/>
  <c r="A1741"/>
  <c r="A1742"/>
  <c r="A1743"/>
  <c r="A1744"/>
  <c r="A1745"/>
  <c r="A1746"/>
  <c r="A1747"/>
  <c r="A1748"/>
  <c r="A1749"/>
  <c r="A1750"/>
  <c r="A1751"/>
  <c r="A1752"/>
  <c r="A1753"/>
  <c r="A1754"/>
  <c r="A1755"/>
  <c r="A1756"/>
  <c r="A1757"/>
  <c r="A1758"/>
  <c r="A1759"/>
  <c r="A1760"/>
  <c r="A1761"/>
  <c r="A1762"/>
  <c r="A1763"/>
  <c r="A1764"/>
  <c r="A1765"/>
  <c r="A1766"/>
  <c r="A1767"/>
  <c r="A1768"/>
  <c r="A1769"/>
  <c r="A1770"/>
  <c r="A1771"/>
  <c r="A1772"/>
  <c r="A1773"/>
  <c r="A1774"/>
  <c r="A1775"/>
  <c r="A1776"/>
  <c r="A1777"/>
  <c r="A1778"/>
  <c r="A1779"/>
  <c r="A1780"/>
  <c r="A1781"/>
  <c r="A1782"/>
  <c r="A1783"/>
  <c r="A1784"/>
  <c r="A1785"/>
  <c r="A1786"/>
  <c r="A1787"/>
  <c r="A1788"/>
  <c r="A1789"/>
  <c r="A1790"/>
  <c r="A1791"/>
  <c r="A1792"/>
  <c r="A1793"/>
  <c r="A1794"/>
  <c r="A1795"/>
  <c r="A1796"/>
  <c r="A1797"/>
  <c r="A1798"/>
  <c r="A1799"/>
  <c r="A1800"/>
  <c r="A1801"/>
  <c r="A1802"/>
  <c r="A1803"/>
  <c r="A1804"/>
  <c r="A1805"/>
  <c r="A1806"/>
  <c r="A1807"/>
  <c r="A1808"/>
  <c r="A1809"/>
  <c r="A1810"/>
  <c r="A1811"/>
  <c r="A1812"/>
  <c r="A1813"/>
  <c r="A1814"/>
  <c r="A1815"/>
  <c r="A1816"/>
  <c r="A1817"/>
  <c r="A1818"/>
  <c r="A1819"/>
  <c r="A1820"/>
  <c r="A1821"/>
  <c r="A1822"/>
  <c r="A1823"/>
  <c r="A1824"/>
  <c r="A1825"/>
  <c r="A1826"/>
  <c r="A1827"/>
  <c r="A1828"/>
  <c r="A1829"/>
  <c r="A1830"/>
  <c r="A1831"/>
  <c r="A1832"/>
  <c r="A1833"/>
  <c r="A1834"/>
  <c r="A1835"/>
  <c r="A1836"/>
  <c r="A1837"/>
  <c r="A1838"/>
  <c r="A1839"/>
  <c r="A1840"/>
  <c r="A1841"/>
  <c r="A1842"/>
  <c r="A1843"/>
  <c r="A1844"/>
  <c r="A1845"/>
  <c r="A1846"/>
  <c r="A1847"/>
  <c r="A1848"/>
  <c r="A1849"/>
  <c r="A1850"/>
  <c r="A1851"/>
  <c r="A1852"/>
  <c r="A1853"/>
  <c r="A1854"/>
  <c r="A1855"/>
  <c r="A1856"/>
  <c r="A1857"/>
  <c r="A1858"/>
  <c r="A1859"/>
  <c r="A1860"/>
  <c r="A1861"/>
  <c r="A1862"/>
  <c r="A1863"/>
  <c r="A1864"/>
  <c r="A1865"/>
  <c r="A1866"/>
  <c r="A1867"/>
  <c r="A1868"/>
  <c r="A1869"/>
  <c r="A1870"/>
  <c r="A1871"/>
  <c r="A1872"/>
  <c r="A1873"/>
  <c r="A1874"/>
  <c r="A1875"/>
  <c r="A1876"/>
  <c r="A1877"/>
  <c r="A1878"/>
  <c r="A1879"/>
  <c r="A1880"/>
  <c r="A1881"/>
  <c r="A1882"/>
  <c r="A1883"/>
  <c r="A1884"/>
  <c r="A1885"/>
  <c r="A1886"/>
  <c r="A1887"/>
  <c r="A1888"/>
  <c r="A1889"/>
  <c r="A1890"/>
  <c r="A1891"/>
  <c r="A1892"/>
  <c r="A1893"/>
  <c r="A1894"/>
  <c r="A1895"/>
  <c r="A1896"/>
  <c r="A1897"/>
  <c r="A1898"/>
  <c r="A1899"/>
  <c r="A1900"/>
  <c r="A1901"/>
  <c r="A1902"/>
  <c r="A1903"/>
  <c r="A1904"/>
  <c r="A1905"/>
  <c r="A1906"/>
  <c r="A1907"/>
  <c r="A1908"/>
  <c r="A1909"/>
  <c r="A1910"/>
  <c r="A1911"/>
  <c r="A1912"/>
  <c r="A1913"/>
  <c r="A1914"/>
  <c r="A1915"/>
  <c r="A1916"/>
  <c r="A1917"/>
  <c r="A1918"/>
  <c r="A1919"/>
  <c r="A1920"/>
  <c r="A1921"/>
  <c r="A1922"/>
  <c r="A1923"/>
  <c r="A1924"/>
  <c r="A1925"/>
  <c r="A1926"/>
  <c r="A1927"/>
  <c r="A1928"/>
  <c r="A1929"/>
  <c r="A1930"/>
  <c r="A1931"/>
  <c r="A1932"/>
  <c r="A1933"/>
  <c r="A1934"/>
  <c r="A1935"/>
  <c r="A1936"/>
  <c r="A1937"/>
  <c r="A1938"/>
  <c r="A1939"/>
  <c r="A1940"/>
  <c r="A1941"/>
  <c r="A1942"/>
  <c r="A1943"/>
  <c r="A1944"/>
  <c r="A1945"/>
  <c r="A1946"/>
  <c r="A1947"/>
  <c r="A1948"/>
  <c r="A1949"/>
  <c r="A1950"/>
  <c r="A1951"/>
  <c r="A1952"/>
  <c r="A1953"/>
  <c r="A1954"/>
  <c r="A1955"/>
  <c r="A1956"/>
  <c r="A1957"/>
  <c r="A1958"/>
  <c r="A1959"/>
  <c r="A1960"/>
  <c r="A1961"/>
  <c r="A1962"/>
  <c r="A1963"/>
  <c r="A1964"/>
  <c r="A1965"/>
  <c r="A1966"/>
  <c r="A1967"/>
  <c r="A1968"/>
  <c r="A1969"/>
  <c r="A1970"/>
  <c r="A1971"/>
  <c r="A1972"/>
  <c r="A1973"/>
  <c r="A1974"/>
  <c r="A1975"/>
  <c r="A1976"/>
  <c r="A1977"/>
  <c r="A1978"/>
  <c r="A1979"/>
  <c r="A1980"/>
  <c r="A1981"/>
  <c r="A1982"/>
  <c r="A1983"/>
  <c r="A1984"/>
  <c r="A1985"/>
  <c r="A1986"/>
  <c r="A1987"/>
  <c r="A1988"/>
  <c r="A1989"/>
  <c r="A1990"/>
  <c r="A1991"/>
  <c r="A1992"/>
  <c r="A1993"/>
  <c r="A1994"/>
  <c r="A1995"/>
  <c r="A1996"/>
  <c r="A1997"/>
  <c r="A1998"/>
  <c r="A1999"/>
  <c r="A2000"/>
  <c r="A2001"/>
  <c r="A2002"/>
  <c r="A2003"/>
  <c r="A2004"/>
  <c r="A2005"/>
  <c r="A2006"/>
  <c r="A2007"/>
  <c r="A2008"/>
  <c r="A2009"/>
  <c r="A2010"/>
  <c r="A2011"/>
  <c r="A2012"/>
  <c r="A2013"/>
  <c r="A2014"/>
  <c r="A2015"/>
  <c r="A2016"/>
  <c r="A2017"/>
  <c r="A2018"/>
  <c r="A2019"/>
  <c r="A2020"/>
  <c r="A2021"/>
  <c r="A2022"/>
  <c r="A2023"/>
  <c r="A2024"/>
  <c r="A2025"/>
  <c r="A2026"/>
  <c r="A2027"/>
  <c r="A2028"/>
  <c r="A2029"/>
  <c r="A2030"/>
  <c r="A2031"/>
  <c r="A2032"/>
  <c r="A2033"/>
  <c r="A2034"/>
  <c r="A2035"/>
  <c r="A2036"/>
  <c r="A2037"/>
  <c r="A2038"/>
  <c r="A2039"/>
  <c r="A2040"/>
  <c r="A2041"/>
  <c r="A2042"/>
  <c r="A2043"/>
  <c r="A2044"/>
  <c r="A2045"/>
  <c r="A2046"/>
  <c r="A2047"/>
  <c r="A2048"/>
  <c r="A2049"/>
  <c r="A2050"/>
  <c r="A2051"/>
  <c r="A2052"/>
  <c r="A2053"/>
  <c r="A2054"/>
  <c r="A2055"/>
  <c r="A2056"/>
  <c r="A2057"/>
  <c r="A2058"/>
  <c r="A2059"/>
  <c r="A2060"/>
  <c r="A2061"/>
  <c r="A2062"/>
  <c r="A2063"/>
  <c r="A2064"/>
  <c r="A2065"/>
  <c r="A2066"/>
  <c r="A2067"/>
  <c r="A2068"/>
  <c r="A2069"/>
  <c r="A2070"/>
  <c r="A2071"/>
  <c r="A2072"/>
  <c r="A2073"/>
  <c r="A2074"/>
  <c r="A2075"/>
  <c r="A2076"/>
  <c r="A2077"/>
  <c r="A2078"/>
  <c r="A2079"/>
  <c r="A2080"/>
  <c r="A2081"/>
  <c r="A2082"/>
  <c r="A2083"/>
  <c r="A2084"/>
  <c r="A2085"/>
  <c r="A2086"/>
  <c r="A2087"/>
  <c r="A2088"/>
  <c r="A2089"/>
  <c r="A2090"/>
  <c r="A2091"/>
  <c r="A2092"/>
  <c r="A2093"/>
  <c r="A2094"/>
  <c r="A2095"/>
  <c r="A2096"/>
  <c r="A2097"/>
  <c r="A2098"/>
  <c r="A2099"/>
  <c r="A2100"/>
  <c r="A2101"/>
  <c r="A2102"/>
  <c r="A2103"/>
  <c r="A2104"/>
  <c r="A2105"/>
  <c r="A2106"/>
  <c r="A2107"/>
  <c r="A2108"/>
  <c r="A2109"/>
  <c r="A2110"/>
  <c r="A2111"/>
  <c r="A2112"/>
  <c r="A2113"/>
  <c r="A2114"/>
  <c r="A2115"/>
  <c r="A2116"/>
  <c r="A2117"/>
  <c r="A2118"/>
  <c r="A2119"/>
  <c r="A2120"/>
  <c r="A2121"/>
  <c r="A2122"/>
  <c r="A2123"/>
  <c r="A2124"/>
  <c r="A2125"/>
  <c r="A2126"/>
  <c r="A2127"/>
  <c r="A2128"/>
  <c r="A2129"/>
  <c r="A2130"/>
  <c r="A2131"/>
  <c r="A2132"/>
  <c r="A2133"/>
  <c r="A2134"/>
  <c r="A2135"/>
  <c r="A2136"/>
  <c r="A2137"/>
  <c r="A2138"/>
  <c r="A2139"/>
  <c r="A2140"/>
  <c r="A2141"/>
  <c r="A2142"/>
  <c r="A2143"/>
  <c r="A2144"/>
  <c r="A2145"/>
  <c r="A2146"/>
  <c r="A2147"/>
  <c r="A2148"/>
  <c r="A2149"/>
  <c r="A2150"/>
  <c r="A2151"/>
  <c r="A2152"/>
  <c r="A2153"/>
  <c r="A2154"/>
  <c r="A2155"/>
  <c r="A2156"/>
  <c r="A2157"/>
  <c r="A2158"/>
  <c r="A2159"/>
  <c r="A2160"/>
  <c r="A2161"/>
  <c r="A2162"/>
  <c r="A2163"/>
  <c r="A2164"/>
  <c r="A2165"/>
  <c r="A2166"/>
  <c r="A2167"/>
  <c r="A2168"/>
  <c r="A2169"/>
  <c r="A2170"/>
  <c r="A2171"/>
  <c r="A2172"/>
  <c r="A2173"/>
  <c r="A2174"/>
  <c r="A2175"/>
  <c r="A2176"/>
  <c r="A2177"/>
  <c r="A2178"/>
  <c r="A2179"/>
  <c r="A2180"/>
  <c r="A2181"/>
  <c r="A2182"/>
  <c r="A2183"/>
  <c r="A2184"/>
  <c r="A2185"/>
  <c r="A2186"/>
  <c r="A2187"/>
  <c r="A2188"/>
  <c r="A2189"/>
  <c r="A2190"/>
  <c r="A2191"/>
  <c r="A2192"/>
  <c r="A2193"/>
  <c r="A2194"/>
  <c r="A2195"/>
  <c r="A2196"/>
  <c r="A2197"/>
  <c r="A2198"/>
  <c r="A2199"/>
  <c r="A2200"/>
  <c r="A2201"/>
  <c r="A2202"/>
  <c r="A2203"/>
  <c r="A2204"/>
  <c r="A2205"/>
  <c r="A2206"/>
  <c r="A2207"/>
  <c r="A2208"/>
  <c r="A2209"/>
  <c r="A2210"/>
  <c r="A2211"/>
  <c r="A2212"/>
  <c r="A2213"/>
  <c r="A2214"/>
  <c r="A2215"/>
  <c r="A2216"/>
  <c r="A2217"/>
  <c r="A2218"/>
  <c r="A2219"/>
  <c r="A2220"/>
  <c r="A2221"/>
  <c r="A2222"/>
  <c r="A2223"/>
  <c r="A2224"/>
  <c r="A2225"/>
  <c r="A2226"/>
  <c r="A2227"/>
  <c r="A2228"/>
  <c r="A2229"/>
  <c r="A2230"/>
  <c r="A2231"/>
  <c r="A2232"/>
  <c r="A2233"/>
  <c r="A2234"/>
  <c r="A2235"/>
  <c r="A2236"/>
  <c r="A2237"/>
  <c r="A2238"/>
  <c r="A2239"/>
  <c r="A2240"/>
  <c r="A2241"/>
  <c r="A2242"/>
  <c r="A2243"/>
  <c r="A2244"/>
  <c r="A2245"/>
  <c r="A2246"/>
  <c r="A2247"/>
  <c r="A2248"/>
  <c r="A2249"/>
  <c r="A2250"/>
  <c r="A2251"/>
  <c r="A2252"/>
  <c r="A2253"/>
  <c r="A2254"/>
  <c r="A2255"/>
  <c r="A2256"/>
  <c r="A2257"/>
  <c r="A2258"/>
  <c r="A2259"/>
  <c r="A2260"/>
  <c r="A2261"/>
  <c r="A2262"/>
  <c r="A2263"/>
  <c r="A2264"/>
  <c r="A2265"/>
  <c r="A2266"/>
  <c r="A2267"/>
  <c r="A2268"/>
  <c r="A2269"/>
  <c r="A2270"/>
  <c r="A2271"/>
  <c r="A2272"/>
  <c r="A2273"/>
  <c r="A2274"/>
  <c r="A2275"/>
  <c r="A2276"/>
  <c r="A2277"/>
  <c r="A2278"/>
  <c r="A2279"/>
  <c r="A2280"/>
  <c r="A2281"/>
  <c r="A2282"/>
  <c r="A2283"/>
  <c r="A2284"/>
  <c r="A2285"/>
  <c r="A2286"/>
  <c r="A2287"/>
  <c r="A2288"/>
  <c r="A2289"/>
  <c r="A2290"/>
  <c r="A2291"/>
  <c r="A2292"/>
  <c r="A2293"/>
  <c r="A2294"/>
  <c r="A2295"/>
  <c r="A2296"/>
  <c r="A2297"/>
  <c r="A2298"/>
  <c r="A2299"/>
  <c r="A2300"/>
  <c r="A2301"/>
  <c r="A2302"/>
  <c r="A2303"/>
  <c r="A2304"/>
  <c r="A2305"/>
  <c r="A2306"/>
  <c r="A2307"/>
  <c r="A2308"/>
  <c r="A2309"/>
  <c r="A2310"/>
  <c r="A2311"/>
  <c r="A2312"/>
  <c r="A2313"/>
  <c r="A2314"/>
  <c r="A2315"/>
  <c r="A2316"/>
  <c r="A2317"/>
  <c r="A2318"/>
  <c r="A2319"/>
  <c r="A2320"/>
  <c r="A2321"/>
  <c r="A2322"/>
  <c r="A2323"/>
  <c r="A2324"/>
  <c r="A2325"/>
  <c r="A2326"/>
  <c r="A2327"/>
  <c r="A2328"/>
  <c r="A2329"/>
  <c r="A2330"/>
  <c r="A2331"/>
  <c r="A2332"/>
  <c r="A2333"/>
  <c r="A2334"/>
  <c r="A2335"/>
  <c r="A2336"/>
  <c r="A2337"/>
  <c r="A2338"/>
  <c r="A2339"/>
  <c r="A2340"/>
  <c r="A2341"/>
  <c r="A2342"/>
  <c r="A2343"/>
  <c r="A2344"/>
  <c r="A2345"/>
  <c r="A2346"/>
  <c r="A2347"/>
  <c r="A2348"/>
  <c r="A2349"/>
  <c r="A2350"/>
  <c r="A2351"/>
  <c r="A2352"/>
  <c r="A2353"/>
  <c r="A2354"/>
  <c r="A2355"/>
  <c r="A2356"/>
  <c r="A2357"/>
  <c r="A2358"/>
  <c r="A2359"/>
  <c r="A2360"/>
  <c r="A2361"/>
  <c r="A2362"/>
  <c r="A2363"/>
  <c r="A2364"/>
  <c r="A2365"/>
  <c r="A2366"/>
  <c r="A2367"/>
  <c r="A2368"/>
  <c r="A2369"/>
  <c r="A2370"/>
  <c r="A2371"/>
  <c r="A2372"/>
  <c r="A2373"/>
  <c r="A2374"/>
  <c r="A2375"/>
  <c r="A2376"/>
  <c r="A2377"/>
  <c r="A2378"/>
  <c r="A2379"/>
  <c r="A2380"/>
  <c r="A2381"/>
  <c r="A2382"/>
  <c r="A2383"/>
  <c r="A2384"/>
  <c r="A2385"/>
  <c r="A2386"/>
  <c r="A2387"/>
  <c r="A2388"/>
  <c r="A2389"/>
  <c r="A2390"/>
  <c r="A2391"/>
  <c r="A2392"/>
  <c r="A2393"/>
  <c r="A2394"/>
  <c r="A2395"/>
  <c r="A2396"/>
  <c r="A2397"/>
  <c r="A2398"/>
  <c r="A2399"/>
  <c r="A2400"/>
  <c r="A2401"/>
  <c r="A2402"/>
  <c r="A2403"/>
  <c r="A2404"/>
  <c r="A2405"/>
  <c r="A2406"/>
  <c r="A2407"/>
  <c r="A2408"/>
  <c r="A2409"/>
  <c r="A2410"/>
  <c r="A2411"/>
  <c r="A2412"/>
  <c r="A2413"/>
  <c r="A2414"/>
  <c r="A2415"/>
  <c r="A2416"/>
  <c r="A2417"/>
  <c r="A2418"/>
  <c r="A2419"/>
  <c r="A2420"/>
  <c r="A2421"/>
  <c r="A2422"/>
  <c r="A2423"/>
  <c r="A2424"/>
  <c r="A2425"/>
  <c r="A2426"/>
  <c r="A2427"/>
  <c r="A2428"/>
  <c r="A2429"/>
  <c r="A2430"/>
  <c r="A2431"/>
  <c r="A2432"/>
  <c r="A2433"/>
  <c r="A2434"/>
  <c r="A2435"/>
  <c r="A2436"/>
  <c r="A2437"/>
  <c r="A2438"/>
  <c r="A2439"/>
  <c r="A2440"/>
  <c r="A2441"/>
  <c r="A2442"/>
  <c r="A2443"/>
  <c r="A2444"/>
  <c r="A2445"/>
  <c r="A2446"/>
  <c r="A2447"/>
  <c r="A2448"/>
  <c r="A2449"/>
  <c r="A2450"/>
  <c r="A2451"/>
  <c r="A2452"/>
  <c r="A2453"/>
  <c r="A2454"/>
  <c r="A2455"/>
  <c r="A2456"/>
  <c r="A2457"/>
  <c r="A2458"/>
  <c r="A2459"/>
  <c r="A2460"/>
  <c r="A2461"/>
  <c r="A2462"/>
  <c r="A2463"/>
  <c r="A2464"/>
  <c r="A2465"/>
  <c r="A2466"/>
  <c r="A2467"/>
  <c r="A2468"/>
  <c r="A2469"/>
  <c r="A2470"/>
  <c r="A2471"/>
  <c r="A2472"/>
  <c r="A2473"/>
  <c r="A2474"/>
  <c r="A2475"/>
  <c r="A2476"/>
  <c r="A2477"/>
  <c r="A2478"/>
  <c r="A2479"/>
  <c r="A2480"/>
  <c r="A2481"/>
  <c r="A2482"/>
  <c r="A2483"/>
  <c r="A2484"/>
  <c r="A2485"/>
  <c r="A2486"/>
  <c r="A2487"/>
  <c r="A2488"/>
  <c r="A2489"/>
  <c r="A2490"/>
  <c r="A2491"/>
  <c r="A2492"/>
  <c r="A2493"/>
  <c r="A2494"/>
  <c r="A2495"/>
  <c r="A2496"/>
  <c r="A2497"/>
  <c r="A2498"/>
  <c r="A2499"/>
  <c r="A2500"/>
  <c r="A2501"/>
  <c r="A2502"/>
  <c r="A2503"/>
  <c r="A2504"/>
  <c r="A2505"/>
  <c r="A2506"/>
  <c r="A2507"/>
  <c r="A2508"/>
  <c r="A2509"/>
  <c r="A2510"/>
  <c r="A2511"/>
  <c r="A2512"/>
  <c r="A2513"/>
  <c r="A2514"/>
  <c r="A2515"/>
  <c r="A2516"/>
  <c r="A2517"/>
  <c r="A2518"/>
  <c r="A2519"/>
  <c r="A2520"/>
  <c r="A2521"/>
  <c r="A2522"/>
  <c r="A2523"/>
  <c r="A2524"/>
  <c r="A2525"/>
  <c r="A2526"/>
  <c r="A2527"/>
  <c r="A2528"/>
  <c r="A2529"/>
  <c r="A2530"/>
  <c r="A2531"/>
  <c r="A2532"/>
  <c r="A2533"/>
  <c r="A2534"/>
  <c r="A2535"/>
  <c r="A2536"/>
  <c r="A2537"/>
  <c r="A2538"/>
  <c r="A2539"/>
  <c r="A2540"/>
  <c r="A2541"/>
  <c r="A2542"/>
  <c r="A2543"/>
  <c r="A2544"/>
  <c r="A2545"/>
  <c r="A2546"/>
  <c r="A2547"/>
  <c r="A2548"/>
  <c r="A2549"/>
  <c r="A2550"/>
  <c r="A2551"/>
  <c r="A2552"/>
  <c r="A2553"/>
  <c r="A2554"/>
  <c r="A2555"/>
  <c r="A2556"/>
  <c r="A2557"/>
  <c r="A2558"/>
  <c r="A2559"/>
  <c r="A2560"/>
  <c r="A2561"/>
  <c r="A2562"/>
  <c r="A2563"/>
  <c r="A2564"/>
  <c r="A2565"/>
  <c r="A2566"/>
  <c r="A2567"/>
  <c r="A2568"/>
  <c r="A2569"/>
  <c r="A2570"/>
  <c r="A2571"/>
  <c r="A2572"/>
  <c r="A2573"/>
  <c r="A2574"/>
  <c r="A2575"/>
  <c r="A2576"/>
  <c r="A2577"/>
  <c r="A2578"/>
  <c r="A2579"/>
  <c r="A2580"/>
  <c r="A2581"/>
  <c r="A2582"/>
  <c r="A2583"/>
  <c r="A2584"/>
  <c r="A2585"/>
  <c r="A2586"/>
  <c r="A2587"/>
  <c r="A2588"/>
  <c r="A2589"/>
  <c r="A2590"/>
  <c r="A2591"/>
  <c r="A2592"/>
  <c r="A2593"/>
  <c r="A2594"/>
  <c r="A2595"/>
  <c r="A2596"/>
  <c r="A2597"/>
  <c r="A2598"/>
  <c r="A2599"/>
  <c r="A2600"/>
  <c r="A2601"/>
  <c r="A2602"/>
  <c r="A2603"/>
  <c r="A2604"/>
  <c r="A2605"/>
  <c r="A2606"/>
  <c r="A2607"/>
  <c r="A2608"/>
  <c r="A2609"/>
  <c r="A2610"/>
  <c r="A2611"/>
  <c r="A2612"/>
  <c r="A2613"/>
  <c r="A2614"/>
  <c r="A2615"/>
  <c r="A2616"/>
  <c r="A2617"/>
  <c r="A2618"/>
  <c r="A2619"/>
  <c r="A2620"/>
  <c r="A2621"/>
  <c r="A2622"/>
  <c r="A2623"/>
  <c r="A2624"/>
  <c r="A2625"/>
  <c r="A2626"/>
  <c r="A2627"/>
  <c r="A2628"/>
  <c r="A2629"/>
  <c r="A2630"/>
  <c r="A2631"/>
  <c r="A2632"/>
  <c r="A2633"/>
  <c r="A2634"/>
  <c r="A2635"/>
  <c r="A2636"/>
  <c r="A2637"/>
  <c r="A2638"/>
  <c r="A2639"/>
  <c r="A2640"/>
  <c r="A2641"/>
  <c r="A2642"/>
  <c r="A2643"/>
  <c r="A2644"/>
  <c r="A2645"/>
  <c r="A2646"/>
  <c r="A2647"/>
  <c r="A2648"/>
  <c r="A2649"/>
  <c r="A2650"/>
  <c r="A2651"/>
  <c r="A2652"/>
  <c r="A2653"/>
  <c r="A2654"/>
  <c r="A2655"/>
  <c r="A2656"/>
  <c r="A2657"/>
  <c r="A2658"/>
  <c r="A2659"/>
  <c r="A2660"/>
  <c r="A2661"/>
  <c r="A2662"/>
  <c r="A2663"/>
  <c r="A2664"/>
  <c r="A2665"/>
  <c r="A2666"/>
  <c r="A2667"/>
  <c r="A2668"/>
  <c r="A2669"/>
  <c r="A2670"/>
  <c r="A2671"/>
  <c r="A2672"/>
  <c r="A2673"/>
  <c r="A2674"/>
  <c r="A2675"/>
  <c r="A2676"/>
  <c r="A2677"/>
  <c r="A2678"/>
  <c r="A2679"/>
  <c r="A2680"/>
  <c r="A2681"/>
  <c r="A2682"/>
  <c r="A2683"/>
  <c r="A2684"/>
  <c r="A2685"/>
  <c r="A2686"/>
  <c r="A2687"/>
  <c r="A2688"/>
  <c r="A2689"/>
  <c r="A2690"/>
  <c r="A2691"/>
  <c r="A2692"/>
  <c r="A2693"/>
  <c r="A2694"/>
  <c r="A2695"/>
  <c r="A2696"/>
  <c r="A2697"/>
  <c r="A2698"/>
  <c r="A2699"/>
  <c r="A2700"/>
  <c r="A2701"/>
  <c r="A2702"/>
  <c r="A2703"/>
  <c r="A2704"/>
  <c r="A2705"/>
  <c r="A2706"/>
  <c r="A2707"/>
  <c r="A2708"/>
  <c r="A2709"/>
  <c r="A2710"/>
  <c r="A2711"/>
  <c r="A2712"/>
  <c r="A2713"/>
  <c r="A2714"/>
  <c r="A2715"/>
  <c r="A2716"/>
  <c r="A2717"/>
  <c r="A2718"/>
  <c r="A2719"/>
  <c r="A2720"/>
  <c r="A2721"/>
  <c r="A2722"/>
  <c r="A2723"/>
  <c r="A2724"/>
  <c r="A2725"/>
  <c r="A2726"/>
  <c r="A2727"/>
  <c r="A2728"/>
  <c r="A2729"/>
  <c r="A2730"/>
  <c r="A2731"/>
  <c r="A2732"/>
  <c r="A2733"/>
  <c r="A2734"/>
  <c r="A2735"/>
  <c r="A2736"/>
  <c r="A2737"/>
  <c r="A2738"/>
  <c r="A2739"/>
  <c r="A2740"/>
  <c r="A2741"/>
  <c r="A2742"/>
  <c r="A2743"/>
  <c r="A2744"/>
  <c r="A2745"/>
  <c r="A2746"/>
  <c r="A2747"/>
  <c r="A2748"/>
  <c r="A2749"/>
  <c r="A2750"/>
  <c r="A2751"/>
  <c r="A2752"/>
  <c r="A2753"/>
  <c r="A2754"/>
  <c r="A2755"/>
  <c r="A2756"/>
  <c r="A2757"/>
  <c r="A2758"/>
  <c r="A2759"/>
  <c r="A2760"/>
  <c r="A2761"/>
  <c r="A2762"/>
  <c r="A2763"/>
  <c r="A2764"/>
  <c r="A2765"/>
  <c r="A2766"/>
  <c r="A2767"/>
  <c r="A2768"/>
  <c r="A2769"/>
  <c r="A2770"/>
  <c r="A2771"/>
  <c r="A2772"/>
  <c r="A2773"/>
  <c r="A2774"/>
  <c r="A2775"/>
  <c r="A2776"/>
  <c r="A2777"/>
  <c r="A2778"/>
  <c r="A2779"/>
  <c r="A2780"/>
  <c r="A2781"/>
  <c r="A2782"/>
  <c r="A2783"/>
  <c r="A2784"/>
  <c r="A2785"/>
  <c r="A2786"/>
  <c r="A2787"/>
  <c r="A2788"/>
  <c r="A2789"/>
  <c r="A2790"/>
  <c r="A2791"/>
  <c r="A2792"/>
  <c r="A2793"/>
  <c r="A2794"/>
  <c r="A2795"/>
  <c r="A2796"/>
  <c r="A2797"/>
  <c r="A2798"/>
  <c r="A2799"/>
  <c r="A2800"/>
  <c r="A2801"/>
  <c r="A2802"/>
  <c r="A2803"/>
  <c r="A2804"/>
  <c r="A2805"/>
  <c r="A2806"/>
  <c r="A2807"/>
  <c r="A2808"/>
  <c r="A2809"/>
  <c r="A2810"/>
  <c r="A2811"/>
  <c r="A2812"/>
  <c r="A2813"/>
  <c r="A2814"/>
  <c r="A2815"/>
  <c r="A2816"/>
  <c r="A2817"/>
  <c r="A2818"/>
  <c r="A2819"/>
  <c r="A2820"/>
  <c r="A2821"/>
  <c r="A2822"/>
  <c r="A2823"/>
  <c r="A2824"/>
  <c r="A2825"/>
  <c r="A2826"/>
  <c r="A2827"/>
  <c r="A2828"/>
  <c r="A2829"/>
  <c r="A2830"/>
  <c r="A2831"/>
  <c r="A2832"/>
  <c r="A2833"/>
  <c r="A2834"/>
  <c r="A2835"/>
  <c r="A2836"/>
  <c r="A2837"/>
  <c r="A2838"/>
  <c r="A2839"/>
  <c r="A2840"/>
  <c r="A2841"/>
  <c r="A2842"/>
  <c r="A2843"/>
  <c r="A2844"/>
  <c r="A2845"/>
  <c r="A2846"/>
  <c r="A2847"/>
  <c r="A2848"/>
  <c r="A2849"/>
  <c r="A2850"/>
  <c r="A2851"/>
  <c r="A2852"/>
  <c r="A2853"/>
  <c r="A2854"/>
  <c r="A2855"/>
  <c r="A2856"/>
  <c r="A2857"/>
  <c r="A2858"/>
  <c r="A2859"/>
  <c r="A2860"/>
  <c r="A2861"/>
  <c r="A2862"/>
  <c r="A2863"/>
  <c r="A2864"/>
  <c r="A2865"/>
  <c r="A2866"/>
  <c r="A2867"/>
  <c r="A2868"/>
  <c r="A2869"/>
  <c r="A2870"/>
  <c r="A2871"/>
  <c r="A2872"/>
  <c r="A2873"/>
  <c r="A2874"/>
  <c r="A2875"/>
  <c r="A2876"/>
  <c r="A2877"/>
  <c r="A2878"/>
  <c r="A2879"/>
  <c r="A2880"/>
  <c r="A2881"/>
  <c r="A2882"/>
  <c r="A2883"/>
  <c r="A2884"/>
  <c r="A2885"/>
  <c r="A2886"/>
  <c r="A2887"/>
  <c r="A2888"/>
  <c r="A2889"/>
  <c r="A2890"/>
  <c r="A2891"/>
  <c r="A2892"/>
  <c r="A2893"/>
  <c r="A2894"/>
  <c r="A2895"/>
  <c r="A2896"/>
  <c r="A2897"/>
  <c r="A2898"/>
  <c r="A2899"/>
  <c r="A2900"/>
  <c r="A2901"/>
  <c r="A2902"/>
  <c r="A2903"/>
  <c r="A2904"/>
  <c r="A2905"/>
  <c r="A2906"/>
  <c r="A2907"/>
  <c r="A2908"/>
  <c r="A2909"/>
  <c r="A2910"/>
  <c r="A2911"/>
  <c r="A2912"/>
  <c r="A2913"/>
  <c r="A2914"/>
  <c r="A2915"/>
  <c r="A2916"/>
  <c r="A2917"/>
  <c r="A2918"/>
  <c r="A2919"/>
  <c r="A2920"/>
  <c r="A2921"/>
  <c r="A2922"/>
  <c r="A2923"/>
  <c r="A2924"/>
  <c r="A2925"/>
  <c r="A2926"/>
  <c r="A2927"/>
  <c r="A2928"/>
  <c r="A2929"/>
  <c r="A2930"/>
  <c r="A2931"/>
  <c r="A2932"/>
  <c r="A2933"/>
  <c r="A2934"/>
  <c r="A2935"/>
  <c r="A2936"/>
  <c r="A2937"/>
  <c r="A2938"/>
  <c r="A2939"/>
  <c r="A2940"/>
  <c r="A2941"/>
  <c r="A2942"/>
  <c r="A2943"/>
  <c r="A2944"/>
  <c r="A2945"/>
  <c r="A2946"/>
  <c r="A2947"/>
  <c r="A2948"/>
  <c r="A2949"/>
  <c r="A2950"/>
  <c r="A2951"/>
  <c r="A2952"/>
  <c r="A2953"/>
  <c r="A2954"/>
  <c r="A2955"/>
  <c r="A2956"/>
  <c r="A2957"/>
  <c r="A2958"/>
  <c r="A2959"/>
  <c r="A2960"/>
  <c r="A2961"/>
  <c r="A2962"/>
  <c r="A2963"/>
  <c r="A2964"/>
  <c r="A2965"/>
  <c r="A2966"/>
  <c r="A2967"/>
  <c r="A2968"/>
  <c r="A2969"/>
  <c r="A2970"/>
  <c r="A2971"/>
  <c r="A2972"/>
  <c r="A2973"/>
  <c r="A2974"/>
  <c r="A2975"/>
  <c r="A2976"/>
  <c r="A2977"/>
  <c r="A2978"/>
  <c r="A2979"/>
  <c r="A2980"/>
  <c r="A2981"/>
  <c r="A2982"/>
  <c r="A2983"/>
  <c r="A2984"/>
  <c r="A2985"/>
  <c r="A2986"/>
  <c r="A2987"/>
  <c r="A2988"/>
  <c r="A2989"/>
  <c r="A2990"/>
  <c r="A2991"/>
  <c r="A2992"/>
  <c r="A2993"/>
  <c r="A2994"/>
  <c r="A2995"/>
  <c r="A2996"/>
  <c r="A2997"/>
  <c r="A2998"/>
  <c r="A2999"/>
  <c r="A3000"/>
  <c r="A3001"/>
  <c r="A3002"/>
  <c r="A3003"/>
  <c r="A3004"/>
  <c r="A3005"/>
  <c r="A3006"/>
  <c r="A3007"/>
  <c r="A3008"/>
  <c r="A3009"/>
  <c r="A3010"/>
  <c r="A3011"/>
  <c r="A3012"/>
  <c r="A3013"/>
  <c r="A3014"/>
  <c r="A3015"/>
  <c r="A3016"/>
  <c r="A3017"/>
  <c r="A3018"/>
  <c r="A3019"/>
  <c r="A3020"/>
  <c r="A3021"/>
  <c r="A3022"/>
  <c r="A3023"/>
  <c r="A3024"/>
  <c r="A3025"/>
  <c r="A3026"/>
  <c r="A3027"/>
  <c r="A3028"/>
  <c r="A3029"/>
  <c r="A3030"/>
  <c r="A3031"/>
  <c r="A3032"/>
  <c r="A3033"/>
  <c r="A3034"/>
  <c r="A3035"/>
  <c r="A3036"/>
  <c r="A3037"/>
  <c r="A3038"/>
  <c r="A3039"/>
  <c r="A3040"/>
  <c r="A3041"/>
  <c r="A3042"/>
  <c r="A3043"/>
  <c r="A3044"/>
  <c r="A3045"/>
  <c r="A3046"/>
  <c r="A3047"/>
  <c r="A3048"/>
  <c r="A3049"/>
  <c r="A3050"/>
  <c r="A3051"/>
  <c r="A3052"/>
  <c r="A3053"/>
  <c r="A3054"/>
  <c r="A3055"/>
  <c r="A3056"/>
  <c r="A3057"/>
  <c r="A3058"/>
  <c r="A3059"/>
  <c r="A3060"/>
  <c r="A3061"/>
  <c r="A3062"/>
  <c r="A3063"/>
  <c r="A3064"/>
  <c r="A3065"/>
  <c r="A3066"/>
  <c r="A3067"/>
  <c r="A3068"/>
  <c r="A3069"/>
  <c r="A3070"/>
  <c r="A3071"/>
  <c r="A3072"/>
  <c r="A3073"/>
  <c r="A3074"/>
  <c r="A3075"/>
  <c r="A3076"/>
  <c r="A3077"/>
  <c r="A3078"/>
  <c r="A3079"/>
  <c r="A3080"/>
  <c r="A3081"/>
  <c r="A3082"/>
  <c r="A3083"/>
  <c r="A3084"/>
  <c r="A3085"/>
  <c r="A3086"/>
  <c r="A3087"/>
  <c r="A3088"/>
  <c r="A3089"/>
  <c r="A3090"/>
  <c r="A3091"/>
  <c r="A3092"/>
  <c r="A3093"/>
  <c r="A3094"/>
  <c r="A3095"/>
  <c r="A3096"/>
  <c r="A3097"/>
  <c r="A3098"/>
  <c r="A3099"/>
  <c r="A3100"/>
  <c r="A3101"/>
  <c r="A3102"/>
  <c r="A3103"/>
  <c r="A3104"/>
  <c r="A3105"/>
  <c r="A3106"/>
  <c r="A3107"/>
  <c r="A3108"/>
  <c r="A3109"/>
  <c r="A3110"/>
  <c r="A3111"/>
  <c r="A3112"/>
  <c r="A3113"/>
  <c r="A3114"/>
  <c r="A3115"/>
  <c r="A3116"/>
  <c r="A3117"/>
  <c r="A3118"/>
  <c r="A3119"/>
  <c r="A3120"/>
  <c r="A3121"/>
  <c r="A3122"/>
  <c r="A3123"/>
  <c r="A3124"/>
  <c r="A3125"/>
  <c r="A3126"/>
  <c r="A3127"/>
  <c r="A3128"/>
  <c r="A3129"/>
  <c r="A3130"/>
  <c r="A3131"/>
  <c r="A3132"/>
  <c r="A3133"/>
  <c r="A3134"/>
  <c r="A3135"/>
  <c r="A3136"/>
  <c r="A3137"/>
  <c r="A3138"/>
  <c r="A3139"/>
  <c r="A3140"/>
  <c r="A3141"/>
  <c r="A3142"/>
  <c r="A3143"/>
  <c r="A3144"/>
  <c r="A3145"/>
  <c r="A3146"/>
  <c r="A3147"/>
  <c r="A3148"/>
  <c r="A3149"/>
  <c r="A3150"/>
  <c r="A3151"/>
  <c r="A3152"/>
  <c r="A3153"/>
  <c r="A3154"/>
  <c r="A3155"/>
  <c r="A3156"/>
  <c r="A3157"/>
  <c r="A3158"/>
  <c r="A3159"/>
  <c r="A3160"/>
  <c r="A3161"/>
  <c r="A3162"/>
  <c r="A3163"/>
  <c r="A3164"/>
  <c r="A3165"/>
  <c r="A3166"/>
  <c r="A3167"/>
  <c r="A3168"/>
  <c r="A3169"/>
  <c r="A3170"/>
  <c r="A3171"/>
  <c r="A3172"/>
  <c r="A3173"/>
  <c r="A3174"/>
  <c r="A3175"/>
  <c r="A3176"/>
  <c r="A3177"/>
  <c r="A3178"/>
  <c r="A3179"/>
  <c r="A3180"/>
  <c r="A3181"/>
  <c r="A3182"/>
  <c r="A3183"/>
  <c r="A3184"/>
  <c r="A3185"/>
  <c r="A3186"/>
  <c r="A3187"/>
  <c r="A3188"/>
  <c r="A3189"/>
  <c r="A3190"/>
  <c r="A3191"/>
  <c r="A3192"/>
  <c r="A3193"/>
  <c r="A3194"/>
  <c r="A3195"/>
  <c r="A3196"/>
  <c r="A3197"/>
  <c r="A3198"/>
  <c r="A3199"/>
  <c r="A3200"/>
  <c r="A3201"/>
  <c r="A3202"/>
  <c r="A3203"/>
  <c r="A3204"/>
  <c r="A3205"/>
  <c r="A3206"/>
  <c r="A3207"/>
  <c r="A3208"/>
  <c r="A3209"/>
  <c r="A3210"/>
  <c r="A3211"/>
  <c r="A3212"/>
  <c r="A3213"/>
  <c r="A3214"/>
  <c r="A3215"/>
  <c r="A3216"/>
  <c r="A3217"/>
  <c r="A3218"/>
  <c r="A3219"/>
  <c r="A3220"/>
  <c r="A3221"/>
  <c r="A3222"/>
  <c r="A3223"/>
  <c r="A3224"/>
  <c r="A3225"/>
  <c r="A3226"/>
  <c r="A3227"/>
  <c r="A3228"/>
  <c r="A3229"/>
  <c r="A3230"/>
  <c r="A3231"/>
  <c r="A3232"/>
  <c r="A3233"/>
  <c r="A3234"/>
  <c r="A3235"/>
  <c r="A3236"/>
  <c r="A3237"/>
  <c r="A3238"/>
  <c r="A3239"/>
  <c r="A3240"/>
  <c r="A3241"/>
  <c r="A3242"/>
  <c r="A3243"/>
  <c r="A3244"/>
  <c r="A3245"/>
  <c r="A3246"/>
  <c r="A3247"/>
  <c r="A3248"/>
  <c r="A3249"/>
  <c r="A3250"/>
  <c r="A3251"/>
  <c r="A3252"/>
  <c r="A3253"/>
  <c r="A3254"/>
  <c r="A3255"/>
  <c r="A3256"/>
  <c r="A3257"/>
  <c r="A3258"/>
  <c r="A3259"/>
  <c r="A3260"/>
  <c r="A3261"/>
  <c r="A3262"/>
  <c r="A3263"/>
  <c r="A3264"/>
  <c r="A3265"/>
  <c r="A3266"/>
  <c r="A3267"/>
  <c r="A3268"/>
  <c r="A3269"/>
  <c r="A3270"/>
  <c r="A3271"/>
  <c r="A3272"/>
  <c r="A3273"/>
  <c r="A3274"/>
  <c r="A3275"/>
  <c r="A3276"/>
  <c r="A3277"/>
  <c r="A3278"/>
  <c r="A3279"/>
  <c r="A3280"/>
  <c r="A3281"/>
  <c r="A3282"/>
  <c r="A3283"/>
  <c r="A3284"/>
  <c r="A3285"/>
  <c r="A3286"/>
  <c r="A3287"/>
  <c r="A3288"/>
  <c r="A3289"/>
  <c r="A3290"/>
  <c r="A3291"/>
  <c r="A3292"/>
  <c r="A3293"/>
  <c r="A3294"/>
  <c r="A3295"/>
  <c r="A3296"/>
  <c r="A3297"/>
  <c r="A3298"/>
  <c r="A3299"/>
  <c r="A3300"/>
  <c r="A3301"/>
  <c r="A3302"/>
  <c r="A3303"/>
  <c r="A3304"/>
  <c r="A3305"/>
  <c r="A3306"/>
  <c r="A3307"/>
  <c r="A3308"/>
  <c r="A3309"/>
  <c r="A3310"/>
  <c r="A3311"/>
  <c r="A3312"/>
  <c r="A3313"/>
  <c r="A3314"/>
  <c r="A3315"/>
  <c r="A3316"/>
  <c r="A3317"/>
  <c r="A3318"/>
  <c r="A3319"/>
  <c r="A3320"/>
  <c r="A3321"/>
  <c r="A3322"/>
  <c r="A3323"/>
  <c r="A3324"/>
  <c r="A3325"/>
  <c r="A3326"/>
  <c r="A3327"/>
  <c r="A3328"/>
  <c r="A3329"/>
  <c r="A3330"/>
  <c r="A3331"/>
  <c r="A3332"/>
  <c r="A3333"/>
  <c r="A3334"/>
  <c r="A3335"/>
  <c r="A3336"/>
  <c r="A3337"/>
  <c r="A3338"/>
  <c r="A3339"/>
  <c r="A3340"/>
  <c r="A3341"/>
  <c r="A3342"/>
  <c r="A3343"/>
  <c r="A3344"/>
  <c r="A3345"/>
  <c r="A3346"/>
  <c r="A3347"/>
  <c r="A3348"/>
  <c r="A3349"/>
  <c r="A3350"/>
  <c r="A3351"/>
  <c r="A3352"/>
  <c r="A3353"/>
  <c r="A3354"/>
  <c r="A3355"/>
  <c r="A3356"/>
  <c r="A3357"/>
  <c r="A3358"/>
  <c r="A3359"/>
  <c r="A3360"/>
  <c r="A3361"/>
  <c r="A3362"/>
  <c r="A3363"/>
  <c r="A3364"/>
  <c r="A3365"/>
  <c r="A3366"/>
  <c r="A3367"/>
  <c r="A3368"/>
  <c r="A3369"/>
  <c r="A3370"/>
  <c r="A3371"/>
  <c r="A3372"/>
  <c r="A3373"/>
  <c r="A3374"/>
  <c r="A3375"/>
  <c r="A3376"/>
  <c r="A3377"/>
  <c r="A3378"/>
  <c r="A3379"/>
  <c r="A3380"/>
  <c r="A3381"/>
  <c r="A3382"/>
  <c r="A3383"/>
  <c r="A3384"/>
  <c r="A3385"/>
  <c r="A3386"/>
  <c r="A3387"/>
  <c r="A3388"/>
  <c r="A3389"/>
  <c r="A3390"/>
  <c r="A3391"/>
  <c r="A3392"/>
  <c r="A3393"/>
  <c r="A3394"/>
  <c r="A3395"/>
  <c r="A3396"/>
  <c r="A3397"/>
  <c r="A3398"/>
  <c r="A3399"/>
  <c r="A3400"/>
  <c r="A3401"/>
  <c r="A3402"/>
  <c r="A3403"/>
  <c r="A3404"/>
  <c r="A3405"/>
  <c r="A3406"/>
  <c r="A3407"/>
  <c r="A3408"/>
  <c r="A3409"/>
  <c r="A3410"/>
  <c r="A3411"/>
  <c r="A3412"/>
  <c r="A3413"/>
  <c r="A3414"/>
  <c r="A3415"/>
  <c r="A3416"/>
  <c r="A3417"/>
  <c r="A3418"/>
  <c r="A3419"/>
  <c r="A3420"/>
  <c r="A3421"/>
  <c r="A3422"/>
  <c r="A3423"/>
  <c r="A3424"/>
  <c r="A3425"/>
  <c r="A3426"/>
  <c r="A3427"/>
  <c r="A3428"/>
  <c r="A3429"/>
  <c r="A3430"/>
  <c r="A3431"/>
  <c r="A3432"/>
  <c r="A3433"/>
  <c r="A3434"/>
  <c r="A3435"/>
  <c r="A3436"/>
  <c r="A3437"/>
  <c r="A3438"/>
  <c r="A3439"/>
  <c r="A3440"/>
  <c r="A3441"/>
  <c r="A3442"/>
  <c r="A3443"/>
  <c r="A3444"/>
  <c r="A3445"/>
  <c r="A3446"/>
  <c r="A3447"/>
  <c r="A3448"/>
  <c r="A3449"/>
  <c r="A3450"/>
  <c r="A3451"/>
  <c r="A3452"/>
  <c r="A3453"/>
  <c r="A3454"/>
  <c r="A3455"/>
  <c r="A3456"/>
  <c r="A3457"/>
  <c r="A3458"/>
  <c r="A3459"/>
  <c r="A3460"/>
  <c r="A3461"/>
  <c r="A3462"/>
  <c r="A3463"/>
  <c r="A3464"/>
  <c r="A3465"/>
  <c r="A3466"/>
  <c r="A3467"/>
  <c r="A3468"/>
  <c r="A3469"/>
  <c r="A3470"/>
  <c r="A3471"/>
  <c r="A3472"/>
  <c r="A3473"/>
  <c r="A3474"/>
  <c r="A3475"/>
  <c r="A3476"/>
  <c r="A3477"/>
  <c r="A3478"/>
  <c r="A3479"/>
  <c r="A3480"/>
  <c r="A3481"/>
  <c r="A3482"/>
  <c r="A3483"/>
  <c r="A3484"/>
  <c r="A3485"/>
  <c r="A3486"/>
  <c r="A3487"/>
  <c r="A3488"/>
  <c r="A3489"/>
  <c r="A3490"/>
  <c r="A3491"/>
  <c r="A3492"/>
  <c r="A3493"/>
  <c r="A3494"/>
  <c r="A3495"/>
  <c r="A3496"/>
  <c r="A3497"/>
  <c r="A3498"/>
  <c r="A3499"/>
  <c r="A3500"/>
  <c r="A3501"/>
  <c r="A3502"/>
  <c r="A3503"/>
  <c r="A3504"/>
  <c r="A3505"/>
  <c r="A3506"/>
  <c r="A3507"/>
  <c r="A3508"/>
  <c r="A3509"/>
  <c r="A3510"/>
  <c r="A3511"/>
  <c r="A3512"/>
  <c r="A3513"/>
  <c r="A3514"/>
  <c r="A3515"/>
  <c r="A3516"/>
  <c r="A3517"/>
  <c r="A3518"/>
  <c r="A3519"/>
  <c r="A3520"/>
  <c r="A3521"/>
  <c r="A3522"/>
  <c r="A3523"/>
  <c r="A3524"/>
  <c r="A3525"/>
  <c r="A3526"/>
  <c r="A3527"/>
  <c r="A3528"/>
  <c r="A3529"/>
  <c r="A3530"/>
  <c r="A3531"/>
  <c r="A3532"/>
  <c r="A3533"/>
  <c r="A3534"/>
  <c r="A3535"/>
  <c r="A3536"/>
  <c r="A3537"/>
  <c r="A3538"/>
  <c r="A3539"/>
  <c r="A3540"/>
  <c r="A3541"/>
  <c r="A3542"/>
  <c r="A3543"/>
  <c r="A3544"/>
  <c r="A3545"/>
  <c r="A3546"/>
  <c r="A3547"/>
  <c r="A3548"/>
  <c r="A3549"/>
  <c r="A3550"/>
  <c r="A3551"/>
  <c r="A3552"/>
  <c r="A3553"/>
  <c r="A3554"/>
  <c r="A3555"/>
  <c r="A3556"/>
  <c r="A3557"/>
  <c r="A3558"/>
  <c r="A3559"/>
  <c r="A3560"/>
  <c r="A3561"/>
  <c r="A3562"/>
  <c r="A3563"/>
  <c r="A3564"/>
  <c r="A3565"/>
  <c r="A3566"/>
  <c r="A3567"/>
  <c r="A3568"/>
  <c r="A3569"/>
  <c r="A3570"/>
  <c r="A3571"/>
  <c r="A3572"/>
  <c r="A3573"/>
  <c r="A3574"/>
  <c r="A3575"/>
  <c r="A3576"/>
  <c r="A3577"/>
  <c r="A3578"/>
  <c r="A3579"/>
  <c r="A3580"/>
  <c r="A3581"/>
  <c r="A3582"/>
  <c r="A3583"/>
  <c r="A3584"/>
  <c r="A3585"/>
  <c r="A3586"/>
  <c r="A3587"/>
  <c r="A3588"/>
  <c r="A3589"/>
  <c r="A3590"/>
  <c r="A3591"/>
  <c r="A3592"/>
  <c r="A3593"/>
  <c r="A3594"/>
  <c r="A3595"/>
  <c r="A3596"/>
  <c r="A3597"/>
  <c r="A3598"/>
  <c r="A3599"/>
  <c r="A3600"/>
  <c r="A3601"/>
  <c r="A3602"/>
  <c r="A3603"/>
  <c r="A3604"/>
  <c r="A3605"/>
  <c r="A3606"/>
  <c r="A3607"/>
  <c r="A3608"/>
  <c r="A3609"/>
  <c r="A3610"/>
  <c r="A3611"/>
  <c r="A3612"/>
  <c r="A3613"/>
  <c r="A3614"/>
  <c r="A3615"/>
  <c r="A3616"/>
  <c r="A3617"/>
  <c r="A3618"/>
  <c r="A3619"/>
  <c r="A3620"/>
  <c r="A3621"/>
  <c r="A3622"/>
  <c r="A3623"/>
  <c r="A3624"/>
  <c r="A3625"/>
  <c r="A3626"/>
  <c r="A3627"/>
  <c r="A3628"/>
  <c r="A3629"/>
  <c r="A3630"/>
  <c r="A3631"/>
  <c r="A3632"/>
  <c r="A3633"/>
  <c r="A3634"/>
  <c r="A3635"/>
  <c r="A3636"/>
  <c r="A3637"/>
  <c r="A3638"/>
  <c r="A3639"/>
  <c r="A3640"/>
  <c r="A3641"/>
  <c r="A3642"/>
  <c r="A3643"/>
  <c r="A3644"/>
  <c r="A3645"/>
  <c r="A3646"/>
  <c r="A3647"/>
  <c r="A3648"/>
  <c r="A3649"/>
  <c r="A3650"/>
  <c r="A3651"/>
  <c r="A3652"/>
  <c r="A3653"/>
  <c r="A3654"/>
  <c r="A3655"/>
  <c r="A3656"/>
  <c r="A3657"/>
  <c r="A3658"/>
  <c r="A3659"/>
  <c r="A3660"/>
  <c r="A3661"/>
  <c r="A3662"/>
  <c r="A3663"/>
  <c r="A3664"/>
  <c r="A3665"/>
  <c r="A3666"/>
  <c r="A3667"/>
  <c r="A3668"/>
  <c r="A3669"/>
  <c r="A3670"/>
  <c r="A3671"/>
  <c r="A3672"/>
  <c r="A3673"/>
  <c r="A3674"/>
  <c r="A3675"/>
  <c r="A3676"/>
  <c r="A3677"/>
  <c r="A3678"/>
  <c r="A3679"/>
  <c r="A3680"/>
  <c r="A3681"/>
  <c r="A3682"/>
  <c r="A3683"/>
  <c r="A3684"/>
  <c r="A3685"/>
  <c r="A3686"/>
  <c r="A3687"/>
  <c r="A3688"/>
  <c r="A3689"/>
  <c r="A3690"/>
  <c r="A3691"/>
  <c r="A3692"/>
  <c r="A3693"/>
  <c r="A3694"/>
  <c r="A3695"/>
  <c r="A3696"/>
  <c r="A3697"/>
  <c r="A3698"/>
  <c r="A3699"/>
  <c r="A3700"/>
  <c r="A3701"/>
  <c r="A3702"/>
  <c r="A3703"/>
  <c r="A3704"/>
  <c r="A3705"/>
  <c r="A3706"/>
  <c r="A3707"/>
  <c r="A3708"/>
  <c r="A3709"/>
  <c r="A3710"/>
  <c r="A3711"/>
  <c r="A3712"/>
  <c r="A3713"/>
  <c r="A3714"/>
  <c r="A3715"/>
  <c r="A3716"/>
  <c r="A3717"/>
  <c r="A3718"/>
  <c r="A3719"/>
  <c r="A3720"/>
  <c r="A3721"/>
  <c r="A3722"/>
  <c r="A3723"/>
  <c r="A3724"/>
  <c r="A3725"/>
  <c r="A3726"/>
  <c r="A3727"/>
  <c r="A3728"/>
  <c r="A3729"/>
  <c r="A3730"/>
  <c r="A3731"/>
  <c r="A3732"/>
  <c r="A3733"/>
  <c r="A3734"/>
  <c r="A3735"/>
  <c r="A3736"/>
  <c r="A3737"/>
  <c r="A3738"/>
  <c r="A3739"/>
  <c r="A3740"/>
  <c r="A3741"/>
  <c r="A3742"/>
  <c r="A3743"/>
  <c r="A3744"/>
  <c r="A3745"/>
  <c r="A3746"/>
  <c r="A3747"/>
  <c r="A3748"/>
  <c r="A3749"/>
  <c r="A3750"/>
  <c r="A3751"/>
  <c r="A3752"/>
  <c r="A3753"/>
  <c r="A3754"/>
  <c r="A3755"/>
  <c r="A3756"/>
  <c r="A3757"/>
  <c r="A3758"/>
  <c r="A3759"/>
  <c r="A3760"/>
  <c r="A3761"/>
  <c r="A3762"/>
  <c r="A3763"/>
  <c r="A3764"/>
  <c r="A3765"/>
  <c r="A3766"/>
  <c r="A3767"/>
  <c r="A3768"/>
  <c r="A3769"/>
  <c r="A3770"/>
  <c r="A3771"/>
  <c r="A3772"/>
  <c r="A3773"/>
  <c r="A3774"/>
  <c r="A3775"/>
  <c r="A3776"/>
  <c r="A3777"/>
  <c r="A3778"/>
  <c r="A3779"/>
  <c r="A3780"/>
  <c r="A3781"/>
  <c r="A3782"/>
  <c r="A3783"/>
  <c r="A3784"/>
  <c r="A3785"/>
  <c r="A3786"/>
  <c r="A3787"/>
  <c r="A3788"/>
  <c r="A3789"/>
  <c r="A3790"/>
  <c r="A3791"/>
  <c r="A3792"/>
  <c r="A3793"/>
  <c r="A3794"/>
  <c r="A3795"/>
  <c r="A3796"/>
  <c r="A3797"/>
  <c r="A3798"/>
  <c r="A3799"/>
  <c r="A3800"/>
  <c r="A3801"/>
  <c r="A3802"/>
  <c r="A3803"/>
  <c r="A3804"/>
  <c r="A3805"/>
  <c r="A3806"/>
  <c r="A3807"/>
  <c r="A3808"/>
  <c r="A3809"/>
  <c r="A3810"/>
  <c r="A3811"/>
  <c r="A3812"/>
  <c r="A3813"/>
  <c r="A3814"/>
  <c r="A3815"/>
  <c r="A3816"/>
  <c r="A3817"/>
  <c r="A3818"/>
  <c r="A3819"/>
  <c r="A3820"/>
  <c r="A3821"/>
  <c r="A3822"/>
  <c r="A3823"/>
  <c r="A3824"/>
  <c r="A3825"/>
  <c r="A3826"/>
  <c r="A3827"/>
  <c r="A3828"/>
  <c r="A3829"/>
  <c r="A3830"/>
  <c r="A3831"/>
  <c r="A3832"/>
  <c r="A3833"/>
  <c r="A3834"/>
  <c r="A3835"/>
  <c r="A3836"/>
  <c r="A3837"/>
  <c r="A3838"/>
  <c r="A3839"/>
  <c r="A3840"/>
  <c r="A3841"/>
  <c r="A3842"/>
  <c r="A3843"/>
  <c r="A3844"/>
  <c r="A3845"/>
  <c r="A3846"/>
  <c r="A3847"/>
  <c r="A3848"/>
  <c r="A3849"/>
  <c r="A3850"/>
  <c r="A3851"/>
  <c r="A3852"/>
  <c r="A3853"/>
  <c r="A3854"/>
  <c r="A3855"/>
  <c r="A3856"/>
  <c r="A3857"/>
  <c r="A3858"/>
  <c r="A3859"/>
  <c r="A3860"/>
  <c r="A3861"/>
  <c r="A3862"/>
  <c r="A3863"/>
  <c r="A3864"/>
  <c r="A3865"/>
  <c r="A3866"/>
  <c r="A3867"/>
  <c r="A3868"/>
  <c r="A3869"/>
  <c r="A3870"/>
  <c r="A3871"/>
  <c r="A3872"/>
  <c r="A3873"/>
  <c r="A3874"/>
  <c r="A3875"/>
  <c r="A3876"/>
  <c r="A3877"/>
  <c r="A3878"/>
  <c r="A3879"/>
  <c r="A3880"/>
  <c r="A3881"/>
  <c r="A3882"/>
  <c r="A3883"/>
  <c r="A3884"/>
  <c r="A3885"/>
  <c r="A3886"/>
  <c r="A3887"/>
  <c r="A3888"/>
  <c r="A3889"/>
  <c r="A3890"/>
  <c r="A3891"/>
  <c r="A3892"/>
  <c r="A3893"/>
  <c r="A3894"/>
  <c r="A3895"/>
  <c r="A3896"/>
  <c r="A3897"/>
  <c r="A3898"/>
  <c r="A3899"/>
  <c r="A3900"/>
  <c r="A3901"/>
  <c r="A3902"/>
  <c r="A3903"/>
  <c r="A3904"/>
  <c r="A3905"/>
  <c r="A3906"/>
  <c r="A3907"/>
  <c r="A3908"/>
  <c r="A3909"/>
  <c r="A3910"/>
  <c r="A3911"/>
  <c r="A3912"/>
  <c r="A3913"/>
  <c r="A3914"/>
  <c r="A3915"/>
  <c r="A3916"/>
  <c r="A3917"/>
  <c r="A3918"/>
  <c r="A3919"/>
  <c r="A3920"/>
  <c r="A3921"/>
  <c r="A3922"/>
  <c r="A3923"/>
  <c r="A3924"/>
  <c r="A3925"/>
  <c r="A3926"/>
  <c r="A3927"/>
  <c r="A3928"/>
  <c r="A3929"/>
  <c r="A3930"/>
  <c r="A3931"/>
  <c r="A3932"/>
  <c r="A3933"/>
  <c r="A3934"/>
  <c r="A3935"/>
  <c r="A3936"/>
  <c r="A3937"/>
  <c r="A3938"/>
  <c r="A3939"/>
  <c r="A3940"/>
  <c r="A3941"/>
  <c r="A3942"/>
  <c r="A3943"/>
  <c r="A3944"/>
  <c r="A3945"/>
  <c r="A3946"/>
  <c r="A3947"/>
  <c r="A3948"/>
  <c r="A3949"/>
  <c r="A3950"/>
  <c r="A3951"/>
  <c r="A3952"/>
  <c r="A3953"/>
  <c r="A3954"/>
  <c r="A3955"/>
  <c r="A3956"/>
  <c r="A3957"/>
  <c r="A3958"/>
  <c r="A3959"/>
  <c r="A3960"/>
  <c r="A3961"/>
  <c r="A3962"/>
  <c r="A3963"/>
  <c r="A3964"/>
  <c r="A3965"/>
  <c r="A3966"/>
  <c r="A3967"/>
  <c r="A3968"/>
  <c r="A3969"/>
  <c r="A3970"/>
  <c r="A3971"/>
  <c r="A3972"/>
  <c r="A3973"/>
  <c r="A3974"/>
  <c r="A3975"/>
  <c r="A3976"/>
  <c r="A3977"/>
  <c r="A3978"/>
  <c r="A3979"/>
  <c r="A3980"/>
  <c r="A3981"/>
  <c r="A3982"/>
  <c r="A3983"/>
  <c r="A3984"/>
  <c r="A3985"/>
  <c r="A3986"/>
  <c r="A3987"/>
  <c r="A3988"/>
  <c r="A3989"/>
  <c r="A3990"/>
  <c r="A3991"/>
  <c r="A3992"/>
  <c r="A3993"/>
  <c r="A3994"/>
  <c r="A3995"/>
  <c r="A3996"/>
  <c r="A3997"/>
  <c r="A3998"/>
  <c r="A3999"/>
  <c r="A4000"/>
  <c r="A4001"/>
  <c r="A4002"/>
  <c r="A4003"/>
  <c r="A4004"/>
  <c r="A4005"/>
  <c r="A4006"/>
  <c r="A4007"/>
  <c r="A4008"/>
  <c r="A4009"/>
  <c r="A4010"/>
  <c r="A4011"/>
  <c r="A4012"/>
  <c r="A4013"/>
  <c r="A4014"/>
  <c r="A4015"/>
  <c r="A4016"/>
  <c r="A4017"/>
  <c r="A4018"/>
  <c r="A4019"/>
  <c r="A4020"/>
  <c r="A4021"/>
  <c r="A4022"/>
  <c r="A4023"/>
  <c r="A4024"/>
  <c r="A4025"/>
  <c r="A4026"/>
  <c r="A4027"/>
  <c r="A4028"/>
  <c r="A4029"/>
  <c r="A4030"/>
  <c r="A4031"/>
  <c r="A4032"/>
  <c r="A4033"/>
  <c r="A4034"/>
  <c r="A4035"/>
  <c r="A4036"/>
  <c r="A4037"/>
  <c r="A4038"/>
  <c r="A4039"/>
  <c r="A4040"/>
  <c r="A4041"/>
  <c r="A4042"/>
  <c r="A4043"/>
  <c r="A4044"/>
  <c r="A4045"/>
  <c r="A4046"/>
  <c r="A4047"/>
  <c r="A4048"/>
  <c r="A4049"/>
  <c r="A4050"/>
  <c r="A4051"/>
  <c r="A4052"/>
  <c r="A4053"/>
  <c r="A4054"/>
  <c r="A4055"/>
  <c r="A4056"/>
  <c r="A4057"/>
  <c r="A4058"/>
  <c r="A4059"/>
  <c r="A4060"/>
  <c r="A4061"/>
  <c r="A4062"/>
  <c r="A4063"/>
  <c r="A4064"/>
  <c r="A4065"/>
  <c r="A4066"/>
  <c r="A4067"/>
  <c r="A4068"/>
  <c r="A4069"/>
  <c r="A4070"/>
  <c r="A4071"/>
  <c r="A4072"/>
  <c r="A4073"/>
  <c r="A4074"/>
  <c r="A4075"/>
  <c r="A4076"/>
  <c r="A4077"/>
  <c r="A4078"/>
  <c r="A4079"/>
  <c r="A4080"/>
  <c r="A4081"/>
  <c r="A4082"/>
  <c r="A4083"/>
  <c r="A4084"/>
  <c r="A4085"/>
  <c r="A4086"/>
  <c r="A4087"/>
  <c r="A4088"/>
  <c r="A4089"/>
  <c r="A4090"/>
  <c r="A4091"/>
  <c r="A4092"/>
  <c r="A4093"/>
  <c r="A4094"/>
  <c r="A4095"/>
  <c r="A4096"/>
  <c r="A4097"/>
  <c r="A4098"/>
  <c r="A4099"/>
  <c r="A4100"/>
  <c r="A4101"/>
  <c r="A4102"/>
  <c r="A4103"/>
  <c r="A4104"/>
  <c r="A4105"/>
  <c r="A4106"/>
  <c r="A4107"/>
  <c r="A4108"/>
  <c r="A4109"/>
  <c r="A4110"/>
  <c r="A4111"/>
  <c r="A4112"/>
  <c r="A4113"/>
  <c r="A4114"/>
  <c r="A4115"/>
  <c r="A4116"/>
  <c r="A4117"/>
  <c r="A4118"/>
  <c r="A4119"/>
  <c r="A4120"/>
  <c r="A4121"/>
  <c r="A4122"/>
  <c r="A4123"/>
  <c r="A4124"/>
  <c r="A4125"/>
  <c r="A4126"/>
  <c r="A4127"/>
  <c r="A4128"/>
  <c r="A4129"/>
  <c r="A4130"/>
  <c r="A4131"/>
  <c r="A4132"/>
  <c r="A4133"/>
  <c r="A4134"/>
  <c r="A4135"/>
  <c r="A4136"/>
  <c r="A4137"/>
  <c r="A4138"/>
  <c r="A4139"/>
  <c r="A4140"/>
  <c r="A4141"/>
  <c r="A4142"/>
  <c r="A4143"/>
  <c r="A4144"/>
  <c r="A4145"/>
  <c r="A4146"/>
  <c r="A4147"/>
  <c r="A4148"/>
  <c r="A4149"/>
  <c r="A4150"/>
  <c r="A4151"/>
  <c r="A4152"/>
  <c r="A4153"/>
  <c r="A4154"/>
  <c r="A4155"/>
  <c r="A4156"/>
  <c r="A4157"/>
  <c r="A4158"/>
  <c r="A4159"/>
  <c r="A4160"/>
  <c r="A4161"/>
  <c r="A4162"/>
  <c r="A4163"/>
  <c r="A4164"/>
  <c r="A4165"/>
  <c r="A4166"/>
  <c r="A4167"/>
  <c r="A4168"/>
  <c r="A4169"/>
  <c r="A4170"/>
  <c r="A4171"/>
  <c r="A4172"/>
  <c r="A4173"/>
  <c r="A4174"/>
  <c r="A4175"/>
  <c r="A4176"/>
  <c r="A4177"/>
  <c r="A4178"/>
  <c r="A4179"/>
  <c r="A4180"/>
  <c r="A4181"/>
  <c r="A4182"/>
  <c r="A4183"/>
  <c r="A4184"/>
  <c r="A4185"/>
  <c r="A4186"/>
  <c r="A4187"/>
  <c r="A4188"/>
  <c r="A4189"/>
  <c r="A4190"/>
  <c r="A4191"/>
  <c r="A4192"/>
  <c r="A4193"/>
  <c r="A4194"/>
  <c r="A4195"/>
  <c r="A4196"/>
  <c r="A4197"/>
  <c r="A4198"/>
  <c r="A4199"/>
  <c r="A4200"/>
  <c r="A4201"/>
  <c r="A4202"/>
  <c r="A4203"/>
  <c r="A4204"/>
  <c r="A4205"/>
  <c r="A4206"/>
  <c r="A4207"/>
  <c r="A4208"/>
  <c r="A4209"/>
  <c r="A4210"/>
  <c r="A4211"/>
  <c r="A4212"/>
  <c r="A4213"/>
  <c r="A4214"/>
  <c r="A4215"/>
  <c r="A4216"/>
  <c r="A4217"/>
  <c r="A4218"/>
  <c r="A4219"/>
  <c r="A4220"/>
  <c r="A4221"/>
  <c r="A4222"/>
  <c r="A4223"/>
  <c r="A4224"/>
  <c r="A4225"/>
  <c r="A4226"/>
  <c r="A4227"/>
  <c r="A4228"/>
  <c r="A4229"/>
  <c r="A4230"/>
  <c r="A4231"/>
  <c r="A4232"/>
  <c r="A4233"/>
  <c r="A4234"/>
  <c r="A4235"/>
  <c r="A4236"/>
  <c r="A4237"/>
  <c r="A4238"/>
  <c r="A4239"/>
  <c r="A4240"/>
  <c r="A4241"/>
  <c r="A4242"/>
  <c r="A4243"/>
  <c r="A4244"/>
  <c r="A4245"/>
  <c r="A4246"/>
  <c r="A4247"/>
  <c r="A4248"/>
  <c r="A4249"/>
  <c r="A4250"/>
  <c r="A4251"/>
  <c r="A4252"/>
  <c r="A4253"/>
  <c r="A4254"/>
  <c r="A4255"/>
  <c r="A4256"/>
  <c r="A4257"/>
  <c r="A4258"/>
  <c r="A4259"/>
  <c r="A4260"/>
  <c r="A4261"/>
  <c r="A4262"/>
  <c r="A4263"/>
  <c r="A4264"/>
  <c r="A4265"/>
  <c r="A4266"/>
  <c r="A4267"/>
  <c r="A4268"/>
  <c r="A4269"/>
  <c r="A4270"/>
  <c r="A4271"/>
  <c r="A4272"/>
  <c r="A4273"/>
  <c r="A4274"/>
  <c r="A4275"/>
  <c r="A4276"/>
  <c r="A4277"/>
  <c r="A4278"/>
  <c r="A4279"/>
  <c r="A4280"/>
  <c r="A4281"/>
  <c r="A4282"/>
  <c r="A4283"/>
  <c r="A4284"/>
  <c r="A4285"/>
  <c r="A4286"/>
  <c r="A4287"/>
  <c r="A4288"/>
  <c r="A4289"/>
  <c r="A4290"/>
  <c r="A4291"/>
  <c r="A4292"/>
  <c r="A4293"/>
  <c r="A4294"/>
  <c r="A4295"/>
  <c r="A4296"/>
  <c r="A4297"/>
  <c r="A4298"/>
  <c r="A4299"/>
  <c r="A4300"/>
  <c r="A4301"/>
  <c r="A4302"/>
  <c r="A4303"/>
  <c r="A4304"/>
  <c r="A4305"/>
  <c r="A4306"/>
  <c r="A4307"/>
  <c r="A4308"/>
  <c r="A4309"/>
  <c r="A4310"/>
  <c r="A4311"/>
  <c r="A4312"/>
  <c r="A4313"/>
  <c r="A4314"/>
  <c r="A4315"/>
  <c r="A4316"/>
  <c r="A4317"/>
  <c r="A4318"/>
  <c r="A4319"/>
  <c r="A4320"/>
  <c r="A4321"/>
  <c r="A4322"/>
  <c r="A4323"/>
  <c r="A4324"/>
  <c r="A4325"/>
  <c r="A4326"/>
  <c r="A4327"/>
  <c r="A4328"/>
  <c r="A4329"/>
  <c r="A4330"/>
  <c r="A4331"/>
  <c r="A4332"/>
  <c r="A4333"/>
  <c r="A4334"/>
  <c r="A4335"/>
  <c r="A4336"/>
  <c r="A4337"/>
  <c r="A4338"/>
  <c r="A4339"/>
  <c r="A4340"/>
  <c r="A4341"/>
  <c r="A4342"/>
  <c r="A4343"/>
  <c r="A4344"/>
  <c r="A4345"/>
  <c r="A4346"/>
  <c r="A4347"/>
  <c r="A4348"/>
  <c r="A4349"/>
  <c r="A4350"/>
  <c r="A4351"/>
  <c r="A4352"/>
  <c r="A4353"/>
  <c r="A4354"/>
  <c r="A4355"/>
  <c r="A4356"/>
  <c r="A4357"/>
  <c r="A4358"/>
  <c r="A4359"/>
  <c r="A4360"/>
  <c r="A4361"/>
  <c r="A4362"/>
  <c r="A4363"/>
  <c r="A4364"/>
  <c r="A4365"/>
  <c r="A4366"/>
  <c r="A4367"/>
  <c r="A4368"/>
  <c r="A4369"/>
  <c r="A4370"/>
  <c r="A4371"/>
  <c r="A4372"/>
  <c r="A4373"/>
  <c r="A4374"/>
  <c r="A4375"/>
  <c r="A4376"/>
  <c r="A4377"/>
  <c r="A4378"/>
  <c r="A4379"/>
  <c r="A4380"/>
  <c r="A4381"/>
  <c r="A4382"/>
  <c r="A4383"/>
  <c r="A4384"/>
  <c r="A4385"/>
  <c r="A4386"/>
  <c r="A4387"/>
  <c r="A4388"/>
  <c r="A4389"/>
  <c r="A4390"/>
  <c r="A4391"/>
  <c r="A4392"/>
  <c r="A4393"/>
  <c r="A4394"/>
  <c r="A4395"/>
  <c r="A4396"/>
  <c r="A4397"/>
  <c r="A4398"/>
  <c r="A4399"/>
  <c r="A4400"/>
  <c r="A4401"/>
  <c r="A4402"/>
  <c r="A4403"/>
  <c r="A4404"/>
  <c r="A4405"/>
  <c r="A4406"/>
  <c r="A4407"/>
  <c r="A4408"/>
  <c r="A4409"/>
  <c r="A4410"/>
  <c r="A4411"/>
  <c r="A4412"/>
  <c r="A4413"/>
  <c r="A4414"/>
  <c r="A4415"/>
  <c r="A4416"/>
  <c r="A4417"/>
  <c r="A4418"/>
  <c r="A4419"/>
  <c r="A4420"/>
  <c r="A4421"/>
  <c r="A4422"/>
  <c r="A4423"/>
  <c r="A4424"/>
  <c r="A4425"/>
  <c r="A4426"/>
  <c r="A4427"/>
  <c r="A4428"/>
  <c r="A4429"/>
  <c r="A4430"/>
  <c r="A4431"/>
  <c r="A4432"/>
  <c r="A4433"/>
  <c r="A4434"/>
  <c r="A4435"/>
  <c r="A4436"/>
  <c r="A4437"/>
  <c r="A4438"/>
  <c r="A4439"/>
  <c r="A4440"/>
  <c r="A4441"/>
  <c r="A4442"/>
  <c r="A4443"/>
  <c r="A4444"/>
  <c r="A4445"/>
  <c r="A4446"/>
  <c r="A4447"/>
  <c r="A4448"/>
  <c r="A4449"/>
  <c r="A4450"/>
  <c r="A4451"/>
  <c r="A4452"/>
  <c r="A4453"/>
  <c r="A4454"/>
  <c r="A4455"/>
  <c r="A4456"/>
  <c r="A4457"/>
  <c r="A4458"/>
  <c r="A4459"/>
  <c r="A4460"/>
  <c r="A4461"/>
  <c r="A4462"/>
  <c r="A4463"/>
  <c r="A4464"/>
  <c r="A4465"/>
  <c r="A4466"/>
  <c r="A4467"/>
  <c r="A4468"/>
  <c r="A4469"/>
  <c r="A4470"/>
  <c r="A4471"/>
  <c r="A4472"/>
  <c r="A4473"/>
  <c r="A4474"/>
  <c r="A4475"/>
  <c r="A4476"/>
  <c r="A4477"/>
  <c r="A4478"/>
  <c r="A4479"/>
  <c r="A4480"/>
  <c r="A4481"/>
  <c r="A4482"/>
  <c r="A4483"/>
  <c r="A4484"/>
  <c r="A4485"/>
  <c r="A4486"/>
  <c r="A4487"/>
  <c r="A4488"/>
  <c r="A4489"/>
  <c r="A4490"/>
  <c r="A4491"/>
  <c r="A4492"/>
  <c r="A4493"/>
  <c r="A4494"/>
  <c r="A4495"/>
  <c r="A4496"/>
  <c r="A4497"/>
  <c r="A4498"/>
  <c r="A4499"/>
  <c r="A4500"/>
  <c r="A4501"/>
  <c r="A4502"/>
  <c r="A4503"/>
  <c r="A4504"/>
  <c r="A4505"/>
  <c r="A4506"/>
  <c r="A4507"/>
  <c r="A4508"/>
  <c r="A4509"/>
  <c r="A4510"/>
  <c r="A4511"/>
  <c r="A4512"/>
  <c r="A4513"/>
  <c r="A4514"/>
  <c r="A4515"/>
  <c r="A4516"/>
  <c r="A4517"/>
  <c r="A4518"/>
  <c r="A4519"/>
  <c r="A4520"/>
  <c r="A4521"/>
  <c r="A4522"/>
  <c r="A4523"/>
  <c r="A4524"/>
  <c r="A4525"/>
  <c r="A4526"/>
  <c r="A4527"/>
  <c r="A4528"/>
  <c r="A4529"/>
  <c r="A4530"/>
  <c r="A4531"/>
  <c r="A4532"/>
  <c r="A4533"/>
  <c r="A4534"/>
  <c r="A4535"/>
  <c r="A4536"/>
  <c r="A4537"/>
  <c r="A4538"/>
  <c r="A4539"/>
  <c r="A4540"/>
  <c r="A4541"/>
  <c r="A4542"/>
  <c r="A4543"/>
  <c r="A4544"/>
  <c r="A4545"/>
  <c r="A4546"/>
  <c r="A4547"/>
  <c r="A4548"/>
  <c r="A4549"/>
  <c r="A4550"/>
  <c r="A4551"/>
  <c r="A4552"/>
  <c r="A4553"/>
  <c r="A4554"/>
  <c r="A4555"/>
  <c r="A4556"/>
  <c r="A4557"/>
  <c r="A4558"/>
  <c r="A4559"/>
  <c r="A4560"/>
  <c r="A4561"/>
  <c r="A4562"/>
  <c r="A4563"/>
  <c r="A4564"/>
  <c r="A4565"/>
  <c r="A4566"/>
  <c r="A4567"/>
  <c r="A4568"/>
  <c r="A4569"/>
  <c r="A4570"/>
  <c r="A4571"/>
  <c r="A4572"/>
  <c r="A4573"/>
  <c r="A4574"/>
  <c r="A4575"/>
  <c r="A4576"/>
  <c r="A4577"/>
  <c r="A4578"/>
  <c r="A4579"/>
  <c r="A4580"/>
  <c r="A4581"/>
  <c r="A4582"/>
  <c r="A4583"/>
  <c r="A4584"/>
  <c r="A4585"/>
  <c r="A4586"/>
  <c r="A4587"/>
  <c r="A4588"/>
  <c r="A4589"/>
  <c r="A4590"/>
  <c r="A4591"/>
  <c r="A4592"/>
  <c r="A4593"/>
  <c r="A4594"/>
  <c r="A4595"/>
  <c r="A4596"/>
  <c r="A4597"/>
  <c r="A4598"/>
  <c r="A4599"/>
  <c r="A4600"/>
  <c r="A4601"/>
  <c r="A4602"/>
  <c r="A4603"/>
  <c r="A4604"/>
  <c r="A4605"/>
  <c r="A4606"/>
  <c r="A4607"/>
  <c r="A4608"/>
  <c r="A4609"/>
  <c r="A4610"/>
  <c r="A4611"/>
  <c r="A4612"/>
  <c r="A4613"/>
  <c r="A4614"/>
  <c r="A4615"/>
  <c r="A4616"/>
  <c r="A4617"/>
  <c r="A4618"/>
  <c r="A4619"/>
  <c r="A4620"/>
  <c r="A4621"/>
  <c r="A4622"/>
  <c r="A4623"/>
  <c r="A4624"/>
  <c r="A4625"/>
  <c r="A4626"/>
  <c r="A4627"/>
  <c r="A4628"/>
  <c r="A4629"/>
  <c r="A4630"/>
  <c r="A4631"/>
  <c r="A4632"/>
  <c r="A4633"/>
  <c r="A4634"/>
  <c r="A4635"/>
  <c r="A4636"/>
  <c r="A4637"/>
  <c r="A4638"/>
  <c r="A4639"/>
  <c r="A4640"/>
  <c r="A4641"/>
  <c r="A4642"/>
  <c r="A4643"/>
  <c r="A4644"/>
  <c r="A4645"/>
  <c r="A4646"/>
  <c r="A4647"/>
  <c r="A4648"/>
  <c r="A4649"/>
  <c r="A4650"/>
  <c r="A4651"/>
  <c r="A4652"/>
  <c r="A4653"/>
  <c r="A4654"/>
  <c r="A4655"/>
  <c r="A4656"/>
  <c r="A4657"/>
  <c r="A4658"/>
  <c r="A4659"/>
  <c r="A4660"/>
  <c r="A4661"/>
  <c r="A4662"/>
  <c r="A4663"/>
  <c r="A4664"/>
  <c r="A4665"/>
  <c r="A4666"/>
  <c r="A4667"/>
  <c r="A4668"/>
  <c r="A4669"/>
  <c r="A4670"/>
  <c r="A4671"/>
  <c r="A4672"/>
  <c r="A4673"/>
  <c r="A4674"/>
  <c r="A4675"/>
  <c r="A4676"/>
  <c r="A4677"/>
  <c r="A4678"/>
  <c r="A4679"/>
  <c r="A4680"/>
  <c r="A4681"/>
  <c r="A4682"/>
  <c r="A4683"/>
  <c r="A4684"/>
  <c r="A4685"/>
  <c r="A4686"/>
  <c r="A4687"/>
  <c r="A4688"/>
  <c r="A4689"/>
  <c r="A4690"/>
  <c r="A4691"/>
  <c r="A4692"/>
  <c r="A4693"/>
  <c r="A4694"/>
  <c r="A4695"/>
  <c r="A4696"/>
  <c r="A4697"/>
  <c r="A4698"/>
  <c r="A4699"/>
  <c r="A4700"/>
  <c r="A4701"/>
  <c r="A4702"/>
  <c r="A4703"/>
  <c r="A4704"/>
  <c r="A4705"/>
  <c r="A4706"/>
  <c r="A4707"/>
  <c r="A4708"/>
  <c r="A4709"/>
  <c r="A4710"/>
  <c r="A4711"/>
  <c r="A4712"/>
  <c r="A4713"/>
  <c r="A4714"/>
  <c r="A4715"/>
  <c r="A4716"/>
  <c r="A4717"/>
  <c r="A4718"/>
  <c r="A4719"/>
  <c r="A4720"/>
  <c r="A4721"/>
  <c r="A4722"/>
  <c r="A4723"/>
  <c r="A4724"/>
  <c r="A4725"/>
  <c r="A4726"/>
  <c r="A4727"/>
  <c r="A4728"/>
  <c r="A4729"/>
  <c r="A4730"/>
  <c r="A4731"/>
  <c r="A4732"/>
  <c r="A4733"/>
  <c r="A4734"/>
  <c r="A4735"/>
  <c r="A4736"/>
  <c r="A4737"/>
  <c r="A4738"/>
  <c r="A4739"/>
  <c r="A4740"/>
  <c r="A4741"/>
  <c r="A4742"/>
  <c r="A4743"/>
  <c r="A4744"/>
  <c r="A4745"/>
  <c r="A4746"/>
  <c r="A4747"/>
  <c r="A4748"/>
  <c r="A4749"/>
  <c r="A4750"/>
  <c r="A4751"/>
  <c r="A4752"/>
  <c r="A4753"/>
  <c r="A4754"/>
  <c r="A4755"/>
  <c r="A4756"/>
  <c r="A4757"/>
  <c r="A4758"/>
  <c r="A4759"/>
  <c r="A4760"/>
  <c r="A4761"/>
  <c r="A4762"/>
  <c r="A4763"/>
  <c r="A4764"/>
  <c r="A4765"/>
  <c r="A4766"/>
  <c r="A4767"/>
  <c r="A4768"/>
  <c r="A4769"/>
  <c r="A4770"/>
  <c r="A4771"/>
  <c r="A4772"/>
  <c r="A4773"/>
  <c r="A4774"/>
  <c r="A4775"/>
  <c r="A4776"/>
  <c r="A4777"/>
  <c r="A4778"/>
  <c r="A4779"/>
  <c r="A4780"/>
  <c r="A4781"/>
  <c r="A4782"/>
  <c r="A4783"/>
  <c r="A4784"/>
  <c r="A4785"/>
  <c r="A4786"/>
  <c r="A4787"/>
  <c r="A4788"/>
  <c r="A4789"/>
  <c r="A4790"/>
  <c r="A4791"/>
  <c r="A4792"/>
  <c r="A4793"/>
  <c r="A4794"/>
  <c r="A4795"/>
  <c r="A4796"/>
  <c r="A4797"/>
  <c r="A4798"/>
  <c r="A4799"/>
  <c r="A4800"/>
  <c r="A4801"/>
  <c r="A4802"/>
  <c r="A4803"/>
  <c r="A4804"/>
  <c r="A4805"/>
  <c r="A4806"/>
  <c r="A4807"/>
  <c r="A4808"/>
  <c r="A4809"/>
  <c r="A4810"/>
  <c r="A4811"/>
  <c r="A4812"/>
  <c r="A4813"/>
  <c r="A4814"/>
  <c r="A4815"/>
  <c r="A4816"/>
  <c r="A4817"/>
  <c r="A4818"/>
  <c r="A4819"/>
  <c r="A4820"/>
  <c r="A4821"/>
  <c r="A4822"/>
  <c r="A4823"/>
  <c r="A4824"/>
  <c r="A4825"/>
  <c r="A4826"/>
  <c r="A4827"/>
  <c r="A4828"/>
  <c r="A4829"/>
  <c r="A4830"/>
  <c r="A4831"/>
  <c r="A4832"/>
  <c r="A4833"/>
  <c r="A4834"/>
  <c r="A4835"/>
  <c r="A4836"/>
  <c r="A4837"/>
  <c r="A4838"/>
  <c r="A4839"/>
  <c r="A4840"/>
  <c r="A4841"/>
  <c r="A4842"/>
  <c r="A4843"/>
  <c r="A4844"/>
  <c r="A4845"/>
  <c r="A4846"/>
  <c r="A4847"/>
  <c r="A4848"/>
  <c r="A4849"/>
  <c r="A4850"/>
  <c r="A4851"/>
  <c r="A4852"/>
  <c r="A4853"/>
  <c r="A4854"/>
  <c r="A4855"/>
  <c r="A4856"/>
  <c r="A4857"/>
  <c r="A4858"/>
  <c r="A4859"/>
  <c r="A4860"/>
  <c r="A4861"/>
  <c r="A4862"/>
  <c r="A4863"/>
  <c r="A4864"/>
  <c r="A4865"/>
  <c r="A4866"/>
  <c r="A4867"/>
  <c r="A4868"/>
  <c r="A4869"/>
  <c r="A4870"/>
  <c r="A4871"/>
  <c r="A4872"/>
  <c r="A4873"/>
  <c r="A4874"/>
  <c r="A4875"/>
  <c r="A4876"/>
  <c r="A4877"/>
  <c r="A4878"/>
  <c r="A4879"/>
  <c r="A4880"/>
  <c r="A4881"/>
  <c r="A4882"/>
  <c r="A4883"/>
  <c r="A4884"/>
  <c r="A4885"/>
  <c r="A4886"/>
  <c r="A4887"/>
  <c r="A4888"/>
  <c r="A4889"/>
  <c r="A4890"/>
  <c r="A4891"/>
  <c r="A4892"/>
  <c r="A4893"/>
  <c r="A4894"/>
  <c r="A4895"/>
  <c r="A4896"/>
  <c r="A4897"/>
  <c r="A4898"/>
  <c r="A4899"/>
  <c r="A4900"/>
  <c r="A4901"/>
  <c r="A4902"/>
  <c r="A4903"/>
  <c r="A4904"/>
  <c r="A4905"/>
  <c r="A4906"/>
  <c r="A4907"/>
  <c r="A4908"/>
  <c r="A4909"/>
  <c r="A4910"/>
  <c r="A4911"/>
  <c r="A4912"/>
  <c r="A4913"/>
  <c r="A4914"/>
  <c r="A4915"/>
  <c r="A4916"/>
  <c r="A4917"/>
  <c r="A4918"/>
  <c r="A4919"/>
  <c r="A4920"/>
  <c r="A4921"/>
  <c r="A4922"/>
  <c r="A4923"/>
  <c r="A4924"/>
  <c r="A4925"/>
  <c r="A4926"/>
  <c r="A4927"/>
  <c r="A4928"/>
  <c r="A4929"/>
  <c r="A4930"/>
  <c r="A4931"/>
  <c r="A4932"/>
  <c r="A4933"/>
  <c r="A4934"/>
  <c r="A4935"/>
  <c r="A4936"/>
  <c r="A4937"/>
  <c r="A4938"/>
  <c r="A4939"/>
  <c r="A4940"/>
  <c r="A4941"/>
  <c r="A4942"/>
  <c r="A4943"/>
  <c r="A4944"/>
  <c r="A4945"/>
  <c r="A4946"/>
  <c r="A4947"/>
  <c r="A4948"/>
  <c r="A4949"/>
  <c r="A4950"/>
  <c r="A4951"/>
  <c r="A4952"/>
  <c r="A4953"/>
  <c r="A4954"/>
  <c r="A4955"/>
  <c r="A4956"/>
  <c r="A4957"/>
  <c r="A4958"/>
  <c r="A4959"/>
  <c r="A4960"/>
  <c r="A4961"/>
  <c r="A4962"/>
  <c r="A4963"/>
  <c r="A4964"/>
  <c r="A4965"/>
  <c r="A4966"/>
  <c r="A4967"/>
  <c r="A4968"/>
  <c r="A4969"/>
  <c r="A4970"/>
  <c r="A4971"/>
  <c r="A4972"/>
  <c r="A4973"/>
  <c r="A4974"/>
  <c r="A4975"/>
  <c r="A4976"/>
  <c r="A4977"/>
  <c r="A4978"/>
  <c r="A4979"/>
  <c r="A4980"/>
  <c r="A4981"/>
  <c r="A4982"/>
  <c r="A4983"/>
  <c r="A4984"/>
  <c r="A4985"/>
  <c r="A4986"/>
  <c r="A4987"/>
  <c r="A4988"/>
  <c r="A4989"/>
  <c r="A4990"/>
  <c r="A4991"/>
  <c r="A4992"/>
  <c r="A4993"/>
  <c r="A4994"/>
  <c r="A4995"/>
  <c r="A4996"/>
  <c r="A4997"/>
  <c r="A4998"/>
  <c r="A4999"/>
  <c r="A5000"/>
  <c r="A5001"/>
  <c r="A5002"/>
  <c r="A5003"/>
  <c r="A5004"/>
  <c r="A5005"/>
  <c r="A5006"/>
  <c r="A5007"/>
  <c r="A5008"/>
  <c r="A5009"/>
  <c r="A5010"/>
  <c r="A5011"/>
  <c r="A5012"/>
  <c r="A5013"/>
  <c r="A5014"/>
  <c r="A5015"/>
  <c r="A5016"/>
  <c r="A5017"/>
  <c r="A5018"/>
  <c r="A5019"/>
  <c r="A5020"/>
  <c r="A5021"/>
  <c r="A5022"/>
  <c r="A5023"/>
  <c r="A5024"/>
  <c r="A5025"/>
  <c r="A5026"/>
  <c r="A5027"/>
  <c r="A5028"/>
  <c r="A5029"/>
  <c r="A5030"/>
  <c r="A5031"/>
  <c r="A5032"/>
  <c r="A5033"/>
  <c r="A5034"/>
  <c r="A5035"/>
  <c r="A5036"/>
  <c r="A5037"/>
  <c r="A5038"/>
  <c r="A5039"/>
  <c r="A5040"/>
  <c r="A5041"/>
  <c r="A5042"/>
  <c r="A5043"/>
  <c r="A5044"/>
  <c r="A5045"/>
  <c r="A5046"/>
  <c r="A5047"/>
  <c r="A5048"/>
  <c r="A5049"/>
  <c r="A5050"/>
  <c r="A5051"/>
  <c r="A5052"/>
  <c r="A5053"/>
  <c r="A5054"/>
  <c r="A5055"/>
  <c r="A5056"/>
  <c r="A5057"/>
  <c r="A5058"/>
  <c r="A5059"/>
  <c r="A5060"/>
  <c r="A5061"/>
  <c r="A5062"/>
  <c r="A5063"/>
  <c r="A5064"/>
  <c r="A5065"/>
  <c r="A5066"/>
  <c r="A5067"/>
  <c r="A5068"/>
  <c r="A5069"/>
  <c r="A5070"/>
  <c r="A5071"/>
  <c r="A5072"/>
  <c r="A5073"/>
  <c r="A5074"/>
  <c r="A5075"/>
  <c r="A5076"/>
  <c r="A5077"/>
  <c r="A5078"/>
  <c r="A5079"/>
  <c r="A5080"/>
  <c r="A5081"/>
  <c r="A5082"/>
  <c r="A5083"/>
  <c r="A5084"/>
  <c r="A5085"/>
  <c r="A5086"/>
  <c r="A5087"/>
  <c r="A5088"/>
  <c r="A5089"/>
  <c r="A5090"/>
  <c r="A5091"/>
  <c r="A5092"/>
  <c r="A5093"/>
  <c r="A5094"/>
  <c r="A5095"/>
  <c r="A5096"/>
  <c r="A5097"/>
  <c r="A5098"/>
  <c r="A5099"/>
  <c r="A5100"/>
  <c r="A5101"/>
  <c r="A5102"/>
  <c r="A5103"/>
  <c r="A5104"/>
  <c r="A5105"/>
  <c r="A5106"/>
  <c r="A5107"/>
  <c r="A5108"/>
  <c r="A5109"/>
  <c r="A5110"/>
  <c r="A5111"/>
  <c r="A5112"/>
  <c r="A5113"/>
  <c r="A5114"/>
  <c r="A5115"/>
  <c r="A5116"/>
  <c r="A5117"/>
  <c r="A5118"/>
  <c r="A5119"/>
  <c r="A5120"/>
  <c r="A5121"/>
  <c r="A5122"/>
  <c r="A5123"/>
  <c r="A5124"/>
  <c r="A5125"/>
  <c r="A5126"/>
  <c r="A5127"/>
  <c r="A5128"/>
  <c r="A5129"/>
  <c r="A5130"/>
  <c r="A5131"/>
  <c r="A5132"/>
  <c r="A5133"/>
  <c r="A5134"/>
  <c r="A5135"/>
  <c r="A5136"/>
  <c r="A5137"/>
  <c r="A5138"/>
  <c r="A5139"/>
  <c r="A5140"/>
  <c r="A5141"/>
  <c r="A5142"/>
  <c r="A5143"/>
  <c r="A5144"/>
  <c r="A5145"/>
  <c r="A5146"/>
  <c r="A5147"/>
  <c r="A5148"/>
  <c r="A5149"/>
  <c r="A5150"/>
  <c r="A5151"/>
  <c r="A5152"/>
  <c r="A5153"/>
  <c r="A5154"/>
  <c r="A5155"/>
  <c r="A5156"/>
  <c r="A5157"/>
  <c r="A5158"/>
  <c r="A5159"/>
  <c r="A5160"/>
  <c r="A5161"/>
  <c r="A5162"/>
  <c r="A5163"/>
  <c r="A5164"/>
  <c r="A5165"/>
  <c r="A5166"/>
  <c r="A5167"/>
  <c r="A5168"/>
  <c r="A5169"/>
  <c r="A5170"/>
  <c r="A5171"/>
  <c r="A5172"/>
  <c r="A5173"/>
  <c r="A5174"/>
  <c r="A5175"/>
  <c r="A5176"/>
  <c r="A5177"/>
  <c r="A5178"/>
  <c r="A5179"/>
  <c r="A5180"/>
  <c r="A5181"/>
  <c r="A5182"/>
  <c r="A5183"/>
  <c r="A5184"/>
  <c r="A5185"/>
  <c r="A5186"/>
  <c r="A5187"/>
  <c r="A5188"/>
  <c r="A5189"/>
  <c r="A5190"/>
  <c r="A5191"/>
  <c r="A5192"/>
  <c r="A5193"/>
  <c r="A5194"/>
  <c r="A5195"/>
  <c r="A5196"/>
  <c r="A5197"/>
  <c r="A5198"/>
  <c r="A5199"/>
  <c r="A5200"/>
  <c r="A5201"/>
  <c r="A5202"/>
  <c r="A5203"/>
  <c r="A5204"/>
  <c r="A5205"/>
  <c r="A5206"/>
  <c r="A5207"/>
  <c r="A5208"/>
  <c r="A5209"/>
  <c r="A5210"/>
  <c r="A5211"/>
  <c r="A5212"/>
  <c r="A5213"/>
  <c r="A5214"/>
  <c r="A5215"/>
  <c r="A5216"/>
  <c r="A5217"/>
  <c r="A5218"/>
  <c r="A5219"/>
  <c r="A5220"/>
  <c r="A5221"/>
  <c r="A5222"/>
  <c r="A5223"/>
  <c r="A5224"/>
  <c r="A5225"/>
  <c r="A5226"/>
  <c r="A5227"/>
  <c r="A5228"/>
  <c r="A5229"/>
  <c r="A5230"/>
  <c r="A5231"/>
  <c r="A5232"/>
  <c r="A5233"/>
  <c r="A5234"/>
  <c r="A5235"/>
  <c r="A5236"/>
  <c r="A5237"/>
  <c r="A5238"/>
  <c r="A5239"/>
  <c r="A5240"/>
  <c r="A5241"/>
  <c r="A5242"/>
  <c r="A5243"/>
  <c r="A5244"/>
  <c r="A5245"/>
  <c r="A5246"/>
  <c r="A5247"/>
  <c r="A5248"/>
  <c r="A5249"/>
  <c r="A5250"/>
  <c r="A5251"/>
  <c r="A5252"/>
  <c r="A5253"/>
  <c r="A5254"/>
  <c r="A5255"/>
  <c r="A5256"/>
  <c r="A5257"/>
  <c r="A5258"/>
  <c r="A5259"/>
  <c r="A5260"/>
  <c r="A5261"/>
  <c r="A5262"/>
  <c r="A5263"/>
  <c r="A5264"/>
  <c r="A5265"/>
  <c r="A5266"/>
  <c r="A5267"/>
  <c r="A5268"/>
  <c r="A5269"/>
  <c r="A5270"/>
  <c r="A5271"/>
  <c r="A5272"/>
  <c r="A5273"/>
  <c r="A5274"/>
  <c r="A5275"/>
  <c r="A5276"/>
  <c r="A5277"/>
  <c r="A5278"/>
  <c r="A5279"/>
  <c r="A5280"/>
  <c r="A5281"/>
  <c r="A5282"/>
  <c r="A5283"/>
  <c r="A5284"/>
  <c r="A5285"/>
  <c r="A5286"/>
  <c r="A5287"/>
  <c r="A5288"/>
  <c r="A5289"/>
  <c r="A5290"/>
  <c r="A5291"/>
  <c r="A5292"/>
  <c r="A5293"/>
  <c r="A5294"/>
  <c r="A5295"/>
  <c r="A5296"/>
  <c r="A5297"/>
  <c r="A5298"/>
  <c r="A5299"/>
  <c r="A5300"/>
  <c r="A5301"/>
  <c r="A5302"/>
  <c r="A5303"/>
  <c r="A5304"/>
  <c r="A5305"/>
  <c r="A5306"/>
  <c r="A5307"/>
  <c r="A5308"/>
  <c r="A5309"/>
  <c r="A5310"/>
  <c r="A5311"/>
  <c r="A5312"/>
  <c r="A5313"/>
  <c r="A5314"/>
  <c r="A5315"/>
  <c r="A5316"/>
  <c r="A5317"/>
  <c r="A5318"/>
  <c r="A5319"/>
  <c r="A5320"/>
  <c r="A5321"/>
  <c r="A5322"/>
  <c r="A5323"/>
  <c r="A5324"/>
  <c r="A5325"/>
  <c r="A5326"/>
  <c r="A5327"/>
  <c r="A5328"/>
  <c r="A5329"/>
  <c r="A5330"/>
  <c r="A5331"/>
  <c r="A5332"/>
  <c r="A5333"/>
  <c r="A5334"/>
  <c r="A5335"/>
  <c r="A5336"/>
  <c r="A5337"/>
  <c r="A5338"/>
  <c r="A5339"/>
  <c r="A5340"/>
  <c r="A5341"/>
  <c r="A5342"/>
  <c r="A5343"/>
  <c r="A5344"/>
  <c r="A5345"/>
  <c r="A5346"/>
  <c r="A5347"/>
  <c r="A5348"/>
  <c r="A5349"/>
  <c r="A5350"/>
  <c r="A5351"/>
  <c r="A5352"/>
  <c r="A5353"/>
  <c r="A5354"/>
  <c r="A5355"/>
  <c r="A5356"/>
  <c r="A5357"/>
  <c r="A5358"/>
  <c r="A5359"/>
  <c r="A5360"/>
  <c r="A5361"/>
  <c r="A5362"/>
  <c r="A5363"/>
  <c r="A5364"/>
  <c r="A5365"/>
  <c r="A5366"/>
  <c r="A5367"/>
  <c r="A5368"/>
  <c r="A5369"/>
  <c r="A5370"/>
  <c r="A5371"/>
  <c r="A5372"/>
  <c r="A5373"/>
  <c r="A5374"/>
  <c r="A5375"/>
  <c r="A5376"/>
  <c r="A5377"/>
  <c r="A5378"/>
  <c r="A5379"/>
  <c r="A5380"/>
  <c r="A5381"/>
  <c r="A5382"/>
  <c r="A5383"/>
  <c r="A5384"/>
  <c r="A5385"/>
  <c r="A5386"/>
  <c r="A5387"/>
  <c r="A5388"/>
  <c r="A5389"/>
  <c r="A5390"/>
  <c r="A5391"/>
  <c r="A5392"/>
  <c r="A5393"/>
  <c r="A5394"/>
  <c r="A5395"/>
  <c r="A5396"/>
  <c r="A5397"/>
  <c r="A5398"/>
  <c r="A5399"/>
  <c r="A5400"/>
  <c r="A5401"/>
  <c r="A5402"/>
  <c r="A5403"/>
  <c r="A5404"/>
  <c r="A5405"/>
  <c r="A5406"/>
  <c r="A5407"/>
  <c r="A5408"/>
  <c r="A5409"/>
  <c r="A5410"/>
  <c r="A5411"/>
  <c r="A5412"/>
  <c r="A5413"/>
  <c r="A5414"/>
  <c r="A5415"/>
  <c r="A5416"/>
  <c r="A5417"/>
  <c r="A5418"/>
  <c r="A5419"/>
  <c r="A5420"/>
  <c r="A5421"/>
  <c r="A5422"/>
  <c r="A5423"/>
  <c r="A5424"/>
  <c r="A5425"/>
  <c r="A5426"/>
  <c r="A5427"/>
  <c r="A5428"/>
  <c r="A5429"/>
  <c r="A5430"/>
  <c r="A5431"/>
  <c r="A5432"/>
  <c r="A5433"/>
  <c r="A5434"/>
  <c r="A5435"/>
  <c r="A5436"/>
  <c r="A5437"/>
  <c r="A5438"/>
  <c r="A5439"/>
  <c r="A5440"/>
  <c r="A5441"/>
  <c r="A5442"/>
  <c r="A5443"/>
  <c r="A5444"/>
  <c r="A5445"/>
  <c r="A5446"/>
  <c r="A5447"/>
  <c r="A5448"/>
  <c r="A5449"/>
  <c r="A5450"/>
  <c r="A5451"/>
  <c r="A5452"/>
  <c r="A5453"/>
  <c r="A5454"/>
  <c r="A5455"/>
  <c r="A5456"/>
  <c r="A5457"/>
  <c r="A5458"/>
  <c r="A5459"/>
  <c r="A5460"/>
  <c r="A5461"/>
  <c r="A5462"/>
  <c r="A5463"/>
  <c r="A5464"/>
  <c r="A5465"/>
  <c r="A5466"/>
  <c r="A5467"/>
  <c r="A5468"/>
  <c r="A5469"/>
  <c r="A5470"/>
  <c r="A5471"/>
  <c r="A5472"/>
  <c r="A5473"/>
  <c r="A5474"/>
  <c r="A5475"/>
  <c r="A5476"/>
  <c r="A5477"/>
  <c r="A5478"/>
  <c r="A5479"/>
  <c r="A5480"/>
  <c r="A5481"/>
  <c r="A5482"/>
  <c r="A5483"/>
  <c r="A5484"/>
  <c r="A5485"/>
  <c r="A5486"/>
  <c r="A5487"/>
  <c r="A5488"/>
  <c r="A5489"/>
  <c r="A5490"/>
  <c r="A5491"/>
  <c r="A5492"/>
  <c r="A5493"/>
  <c r="A5494"/>
  <c r="A5495"/>
  <c r="A5496"/>
  <c r="A5497"/>
  <c r="A5498"/>
  <c r="A5499"/>
  <c r="A5500"/>
  <c r="A5501"/>
  <c r="A5502"/>
  <c r="A5503"/>
  <c r="A5504"/>
  <c r="A5505"/>
  <c r="A5506"/>
  <c r="A5507"/>
  <c r="A5508"/>
  <c r="A5509"/>
  <c r="A5510"/>
  <c r="A5511"/>
  <c r="A5512"/>
  <c r="A5513"/>
  <c r="A5514"/>
  <c r="A5515"/>
  <c r="A5516"/>
  <c r="A5517"/>
  <c r="A5518"/>
  <c r="A5519"/>
  <c r="A5520"/>
  <c r="A5521"/>
  <c r="A5522"/>
  <c r="A5523"/>
  <c r="A5524"/>
  <c r="A5525"/>
  <c r="A5526"/>
  <c r="A5527"/>
  <c r="A5528"/>
  <c r="A5529"/>
  <c r="A5530"/>
  <c r="A5531"/>
  <c r="A5532"/>
  <c r="A5533"/>
  <c r="A5534"/>
  <c r="A5535"/>
  <c r="A5536"/>
  <c r="A5537"/>
  <c r="A5538"/>
  <c r="A5539"/>
  <c r="A5540"/>
  <c r="A5541"/>
  <c r="A5542"/>
  <c r="A5543"/>
  <c r="A5544"/>
  <c r="A5545"/>
  <c r="A5546"/>
  <c r="A5547"/>
  <c r="A5548"/>
  <c r="A5549"/>
  <c r="A5550"/>
  <c r="A5551"/>
  <c r="A5552"/>
  <c r="A5553"/>
  <c r="A5554"/>
  <c r="A5555"/>
  <c r="A5556"/>
  <c r="A5557"/>
  <c r="A5558"/>
  <c r="A5559"/>
  <c r="A5560"/>
  <c r="A5561"/>
  <c r="A5562"/>
  <c r="A5563"/>
  <c r="A5564"/>
  <c r="A5565"/>
  <c r="A5566"/>
  <c r="A5567"/>
  <c r="A5568"/>
  <c r="A5569"/>
  <c r="A5570"/>
  <c r="A5571"/>
  <c r="A5572"/>
  <c r="A5573"/>
  <c r="A5574"/>
  <c r="A5575"/>
  <c r="A5576"/>
  <c r="A5577"/>
  <c r="A5578"/>
  <c r="A5579"/>
  <c r="A5580"/>
  <c r="A5581"/>
  <c r="A5582"/>
  <c r="A5583"/>
  <c r="A5584"/>
  <c r="A5585"/>
  <c r="A5586"/>
  <c r="A5587"/>
  <c r="A5588"/>
  <c r="A5589"/>
  <c r="A5590"/>
  <c r="A5591"/>
  <c r="A5592"/>
  <c r="A5593"/>
  <c r="A5594"/>
  <c r="A5595"/>
  <c r="A5596"/>
  <c r="A5597"/>
  <c r="A5598"/>
  <c r="A5599"/>
  <c r="A5600"/>
  <c r="A5601"/>
  <c r="A5602"/>
  <c r="A5603"/>
  <c r="A5604"/>
  <c r="A5605"/>
  <c r="A5606"/>
  <c r="A5607"/>
  <c r="A5608"/>
  <c r="A5609"/>
  <c r="A5610"/>
  <c r="A5611"/>
  <c r="A5612"/>
  <c r="A5613"/>
  <c r="A5614"/>
  <c r="A5615"/>
  <c r="A5616"/>
  <c r="A5617"/>
  <c r="A5618"/>
  <c r="A5619"/>
  <c r="A5620"/>
  <c r="A5621"/>
  <c r="A5622"/>
  <c r="A5623"/>
  <c r="A5624"/>
  <c r="A5625"/>
  <c r="A5626"/>
  <c r="A5627"/>
  <c r="A5628"/>
  <c r="A5629"/>
  <c r="A5630"/>
  <c r="A5631"/>
  <c r="A5632"/>
  <c r="A5633"/>
  <c r="A5634"/>
  <c r="A5635"/>
  <c r="A5636"/>
  <c r="A5637"/>
  <c r="A5638"/>
  <c r="A5639"/>
  <c r="A5640"/>
  <c r="A5641"/>
  <c r="A5642"/>
  <c r="A5643"/>
  <c r="A5644"/>
  <c r="A5645"/>
  <c r="A5646"/>
  <c r="A5647"/>
  <c r="A5648"/>
  <c r="A5649"/>
  <c r="A5650"/>
  <c r="A5651"/>
  <c r="A5652"/>
  <c r="A5653"/>
  <c r="A5654"/>
  <c r="A5655"/>
  <c r="A5656"/>
  <c r="A5657"/>
  <c r="A5658"/>
  <c r="A5659"/>
  <c r="A5660"/>
  <c r="A5661"/>
  <c r="A5662"/>
  <c r="A5663"/>
  <c r="A5664"/>
  <c r="A5665"/>
  <c r="A5666"/>
  <c r="A5667"/>
  <c r="A5668"/>
  <c r="A5669"/>
  <c r="A5670"/>
  <c r="A5671"/>
  <c r="A5672"/>
  <c r="A5673"/>
  <c r="A5674"/>
  <c r="A5675"/>
  <c r="A5676"/>
  <c r="A5677"/>
  <c r="A5678"/>
  <c r="A5679"/>
  <c r="A5680"/>
  <c r="A5681"/>
  <c r="A5682"/>
  <c r="A5683"/>
  <c r="A5684"/>
  <c r="A5685"/>
  <c r="A5686"/>
  <c r="A5687"/>
  <c r="A5688"/>
  <c r="A5689"/>
  <c r="A5690"/>
  <c r="A5691"/>
  <c r="A5692"/>
  <c r="A5693"/>
  <c r="A5694"/>
  <c r="A5695"/>
  <c r="A5696"/>
  <c r="A5697"/>
  <c r="A5698"/>
  <c r="A5699"/>
  <c r="A5700"/>
  <c r="A5701"/>
  <c r="A5702"/>
  <c r="A5703"/>
  <c r="A5704"/>
  <c r="A5705"/>
  <c r="A5706"/>
  <c r="A5707"/>
  <c r="A5708"/>
  <c r="A5709"/>
  <c r="A5710"/>
  <c r="A5711"/>
  <c r="A5712"/>
  <c r="A5713"/>
  <c r="A5714"/>
  <c r="A5715"/>
  <c r="A5716"/>
  <c r="A5717"/>
  <c r="A5718"/>
  <c r="A5719"/>
  <c r="A5720"/>
  <c r="A5721"/>
  <c r="A5722"/>
  <c r="A5723"/>
  <c r="A5724"/>
  <c r="A5725"/>
  <c r="A5726"/>
  <c r="A5727"/>
  <c r="A5728"/>
  <c r="A5729"/>
  <c r="A5730"/>
  <c r="A5731"/>
  <c r="A5732"/>
  <c r="A5733"/>
  <c r="A5734"/>
  <c r="A5735"/>
  <c r="A5736"/>
  <c r="A5737"/>
  <c r="A5738"/>
  <c r="A5739"/>
  <c r="A5740"/>
  <c r="A5741"/>
  <c r="A5742"/>
  <c r="A5743"/>
  <c r="A5744"/>
  <c r="A5745"/>
  <c r="A5746"/>
  <c r="A5747"/>
  <c r="A5748"/>
  <c r="A5749"/>
  <c r="A5750"/>
  <c r="A5751"/>
  <c r="A5752"/>
  <c r="A5753"/>
  <c r="A5754"/>
  <c r="A5755"/>
  <c r="A5756"/>
  <c r="A5757"/>
  <c r="A5758"/>
  <c r="A5759"/>
  <c r="A5760"/>
  <c r="A5761"/>
  <c r="A5762"/>
  <c r="A5763"/>
  <c r="A5764"/>
  <c r="A5765"/>
  <c r="A5766"/>
  <c r="A5767"/>
  <c r="A5768"/>
  <c r="A5769"/>
  <c r="A5770"/>
  <c r="A5771"/>
  <c r="A5772"/>
  <c r="A5773"/>
  <c r="A5774"/>
  <c r="A5775"/>
  <c r="A5776"/>
  <c r="A5777"/>
  <c r="A5778"/>
  <c r="A5779"/>
  <c r="A5780"/>
  <c r="A5781"/>
  <c r="A5782"/>
  <c r="A5783"/>
  <c r="A5784"/>
  <c r="A5785"/>
  <c r="A5786"/>
  <c r="A5787"/>
  <c r="A5788"/>
  <c r="A5789"/>
  <c r="A5790"/>
  <c r="A5791"/>
  <c r="A5792"/>
  <c r="A5793"/>
  <c r="A5794"/>
  <c r="A5795"/>
  <c r="A5796"/>
  <c r="A5797"/>
  <c r="A5798"/>
  <c r="A5799"/>
  <c r="A5800"/>
  <c r="A5801"/>
  <c r="A5802"/>
  <c r="A5803"/>
  <c r="A5804"/>
  <c r="A5805"/>
  <c r="A5806"/>
  <c r="A5807"/>
  <c r="A5808"/>
  <c r="A5809"/>
  <c r="A5810"/>
  <c r="A5811"/>
  <c r="A5812"/>
  <c r="A5813"/>
  <c r="A5814"/>
  <c r="A5815"/>
  <c r="A5816"/>
  <c r="A5817"/>
  <c r="A5818"/>
  <c r="A5819"/>
  <c r="A5820"/>
  <c r="A5821"/>
  <c r="A5822"/>
  <c r="A5823"/>
  <c r="A5824"/>
  <c r="A5825"/>
  <c r="A5826"/>
  <c r="A5827"/>
  <c r="A5828"/>
  <c r="A5829"/>
  <c r="A5830"/>
  <c r="A5831"/>
  <c r="A5832"/>
  <c r="A5833"/>
  <c r="A5834"/>
  <c r="A5835"/>
  <c r="A5836"/>
  <c r="A5837"/>
  <c r="A5838"/>
  <c r="A5839"/>
  <c r="A5840"/>
  <c r="A5841"/>
  <c r="A5842"/>
  <c r="A5843"/>
  <c r="A5844"/>
  <c r="A5845"/>
  <c r="A5846"/>
  <c r="A5847"/>
  <c r="A5848"/>
  <c r="A5849"/>
  <c r="A5850"/>
  <c r="A5851"/>
  <c r="A5852"/>
  <c r="A5853"/>
  <c r="A5854"/>
  <c r="A5855"/>
  <c r="A5856"/>
  <c r="A5857"/>
  <c r="A5858"/>
  <c r="A5859"/>
  <c r="A5860"/>
  <c r="A5861"/>
  <c r="A5862"/>
  <c r="A5863"/>
  <c r="A5864"/>
  <c r="A5865"/>
  <c r="A5866"/>
  <c r="A5867"/>
  <c r="A5868"/>
  <c r="A5869"/>
  <c r="A5870"/>
  <c r="A5871"/>
  <c r="A5872"/>
  <c r="A5873"/>
  <c r="A5874"/>
  <c r="A5875"/>
  <c r="A5876"/>
  <c r="A5877"/>
  <c r="A5878"/>
  <c r="A5879"/>
  <c r="A5880"/>
  <c r="A5881"/>
  <c r="A5882"/>
  <c r="A5883"/>
  <c r="A5884"/>
  <c r="A5885"/>
  <c r="A5886"/>
  <c r="A5887"/>
  <c r="A5888"/>
  <c r="A5889"/>
  <c r="A5890"/>
  <c r="A5891"/>
  <c r="A5892"/>
  <c r="A5893"/>
  <c r="A5894"/>
  <c r="A5895"/>
  <c r="A5896"/>
  <c r="A5897"/>
  <c r="A5898"/>
  <c r="A5899"/>
  <c r="A5900"/>
  <c r="A5901"/>
  <c r="A5902"/>
  <c r="A5903"/>
  <c r="A5904"/>
  <c r="A5905"/>
  <c r="A5906"/>
  <c r="A5907"/>
  <c r="A5908"/>
  <c r="A5909"/>
  <c r="A5910"/>
  <c r="A5911"/>
  <c r="A5912"/>
  <c r="A5913"/>
  <c r="A5914"/>
  <c r="A5915"/>
  <c r="A5916"/>
  <c r="A5917"/>
  <c r="A5918"/>
  <c r="A5919"/>
  <c r="A5920"/>
  <c r="A5921"/>
  <c r="A5922"/>
  <c r="A5923"/>
  <c r="A5924"/>
  <c r="A5925"/>
  <c r="A5926"/>
  <c r="A5927"/>
  <c r="A5928"/>
  <c r="A5929"/>
  <c r="A5930"/>
  <c r="A5931"/>
  <c r="A5932"/>
  <c r="A5933"/>
  <c r="A5934"/>
  <c r="A5935"/>
  <c r="A5936"/>
  <c r="A5937"/>
  <c r="A5938"/>
  <c r="A5939"/>
  <c r="A5940"/>
  <c r="A5941"/>
  <c r="A5942"/>
  <c r="A5943"/>
  <c r="A5944"/>
  <c r="A5945"/>
  <c r="A5946"/>
  <c r="A5947"/>
  <c r="A5948"/>
  <c r="A5949"/>
  <c r="A5950"/>
  <c r="A5951"/>
  <c r="A5952"/>
  <c r="A5953"/>
  <c r="A5954"/>
  <c r="A5955"/>
  <c r="A5956"/>
  <c r="A5957"/>
  <c r="A5958"/>
  <c r="A5959"/>
  <c r="A5960"/>
  <c r="A5961"/>
  <c r="A5962"/>
  <c r="A5963"/>
  <c r="A5964"/>
  <c r="A5965"/>
  <c r="A5966"/>
  <c r="A5967"/>
  <c r="A5968"/>
  <c r="A5969"/>
  <c r="A5970"/>
  <c r="A5971"/>
  <c r="A5972"/>
  <c r="A5973"/>
  <c r="A5974"/>
  <c r="A5975"/>
  <c r="A5976"/>
  <c r="A5977"/>
  <c r="A5978"/>
  <c r="A5979"/>
  <c r="A5980"/>
  <c r="A5981"/>
  <c r="A5982"/>
  <c r="A5983"/>
  <c r="A5984"/>
  <c r="A5985"/>
  <c r="A5986"/>
  <c r="A5987"/>
  <c r="A5988"/>
  <c r="A5989"/>
  <c r="A5990"/>
  <c r="A5991"/>
  <c r="A5992"/>
  <c r="A5993"/>
  <c r="A5994"/>
  <c r="A5995"/>
  <c r="A5996"/>
  <c r="A5997"/>
  <c r="A5998"/>
  <c r="A5999"/>
  <c r="A6000"/>
  <c r="A6001"/>
  <c r="A6002"/>
  <c r="A6003"/>
  <c r="A6004"/>
  <c r="A6005"/>
  <c r="A6006"/>
  <c r="A6007"/>
  <c r="A6008"/>
  <c r="A6009"/>
  <c r="A6010"/>
  <c r="A6011"/>
  <c r="A6012"/>
  <c r="A6013"/>
  <c r="A6014"/>
  <c r="A6015"/>
  <c r="A6016"/>
  <c r="A6017"/>
  <c r="A6018"/>
  <c r="A6019"/>
  <c r="A6020"/>
  <c r="A6021"/>
  <c r="A6022"/>
  <c r="A6023"/>
  <c r="A6024"/>
  <c r="A6025"/>
  <c r="A6026"/>
  <c r="A6027"/>
  <c r="A6028"/>
  <c r="A6029"/>
  <c r="A6030"/>
  <c r="A6031"/>
  <c r="A6032"/>
  <c r="A6033"/>
  <c r="A6034"/>
  <c r="A6035"/>
  <c r="A6036"/>
  <c r="A6037"/>
  <c r="A6038"/>
  <c r="A6039"/>
  <c r="A6040"/>
  <c r="A6041"/>
  <c r="A6042"/>
  <c r="A6043"/>
  <c r="A6044"/>
  <c r="A6045"/>
  <c r="A6046"/>
  <c r="A6047"/>
  <c r="A6048"/>
  <c r="A6049"/>
  <c r="A6050"/>
  <c r="A6051"/>
  <c r="A6052"/>
  <c r="A6053"/>
  <c r="A6054"/>
  <c r="A6055"/>
  <c r="A6056"/>
  <c r="A6057"/>
  <c r="A6058"/>
  <c r="A6059"/>
  <c r="A6060"/>
  <c r="A6061"/>
  <c r="A6062"/>
  <c r="A6063"/>
  <c r="A6064"/>
  <c r="A6065"/>
  <c r="A6066"/>
  <c r="A6067"/>
  <c r="A6068"/>
  <c r="A6069"/>
  <c r="A6070"/>
  <c r="A6071"/>
  <c r="A6072"/>
  <c r="A6073"/>
  <c r="A6074"/>
  <c r="A6075"/>
  <c r="A6076"/>
  <c r="A6077"/>
  <c r="A6078"/>
  <c r="A6079"/>
  <c r="A6080"/>
  <c r="A6081"/>
  <c r="A6082"/>
  <c r="A6083"/>
  <c r="A6084"/>
  <c r="A6085"/>
  <c r="A6086"/>
  <c r="A6087"/>
  <c r="A6088"/>
  <c r="A6089"/>
  <c r="A6090"/>
  <c r="A6091"/>
  <c r="A6092"/>
  <c r="A6093"/>
  <c r="A6094"/>
  <c r="A6095"/>
  <c r="A6096"/>
  <c r="A6097"/>
  <c r="A6098"/>
  <c r="A6099"/>
  <c r="A6100"/>
  <c r="A6101"/>
  <c r="A6102"/>
  <c r="A6103"/>
  <c r="A6104"/>
  <c r="A6105"/>
  <c r="A6106"/>
  <c r="A6107"/>
  <c r="A6108"/>
  <c r="A6109"/>
  <c r="A6110"/>
  <c r="A6111"/>
  <c r="A6112"/>
  <c r="A6113"/>
  <c r="A6114"/>
  <c r="A6115"/>
  <c r="A6116"/>
  <c r="A6117"/>
  <c r="A6118"/>
  <c r="A6119"/>
  <c r="A6120"/>
  <c r="A6121"/>
  <c r="A6122"/>
  <c r="A6123"/>
  <c r="A6124"/>
  <c r="A6125"/>
  <c r="A6126"/>
  <c r="A6127"/>
  <c r="A6128"/>
  <c r="A6129"/>
  <c r="A6130"/>
  <c r="A6131"/>
  <c r="A6132"/>
  <c r="A6133"/>
  <c r="A6134"/>
  <c r="A6135"/>
  <c r="A6136"/>
  <c r="A6137"/>
  <c r="A6138"/>
  <c r="A6139"/>
  <c r="A6140"/>
  <c r="A6141"/>
  <c r="A6142"/>
  <c r="A6143"/>
  <c r="A6144"/>
  <c r="A6145"/>
  <c r="A6146"/>
  <c r="A6147"/>
  <c r="A6148"/>
  <c r="A6149"/>
  <c r="A6150"/>
  <c r="A6151"/>
  <c r="A6152"/>
  <c r="A6153"/>
  <c r="A6154"/>
  <c r="A6155"/>
  <c r="A6156"/>
  <c r="A6157"/>
  <c r="A6158"/>
  <c r="A6159"/>
  <c r="A6160"/>
  <c r="A6161"/>
  <c r="A6162"/>
  <c r="A6163"/>
  <c r="A6164"/>
  <c r="A6165"/>
  <c r="A6166"/>
  <c r="A6167"/>
  <c r="A6168"/>
  <c r="A6169"/>
  <c r="A6170"/>
  <c r="A6171"/>
  <c r="A6172"/>
  <c r="A6173"/>
  <c r="A6174"/>
  <c r="A6175"/>
  <c r="A6176"/>
  <c r="A6177"/>
  <c r="A6178"/>
  <c r="A6179"/>
  <c r="A6180"/>
  <c r="A6181"/>
  <c r="A6182"/>
  <c r="A6183"/>
  <c r="A6184"/>
  <c r="A6185"/>
  <c r="A6186"/>
  <c r="A6187"/>
  <c r="A6188"/>
  <c r="A6189"/>
  <c r="A6190"/>
  <c r="A6191"/>
  <c r="A6192"/>
  <c r="A6193"/>
  <c r="A6194"/>
  <c r="A6195"/>
  <c r="A6196"/>
  <c r="A6197"/>
  <c r="A6198"/>
  <c r="A6199"/>
  <c r="A6200"/>
  <c r="A6201"/>
  <c r="A6202"/>
  <c r="A6203"/>
  <c r="A6204"/>
  <c r="A6205"/>
  <c r="A6206"/>
  <c r="A6207"/>
  <c r="A6208"/>
  <c r="A6209"/>
  <c r="A6210"/>
  <c r="A6211"/>
  <c r="A6212"/>
  <c r="A6213"/>
  <c r="A6214"/>
  <c r="A6215"/>
  <c r="A6216"/>
  <c r="A6217"/>
  <c r="A6218"/>
  <c r="A6219"/>
  <c r="A6220"/>
  <c r="A6221"/>
  <c r="A6222"/>
  <c r="A6223"/>
  <c r="A6224"/>
  <c r="A6225"/>
  <c r="A6226"/>
  <c r="A6227"/>
  <c r="A6228"/>
  <c r="A6229"/>
  <c r="A6230"/>
  <c r="A6231"/>
  <c r="A6232"/>
  <c r="A6233"/>
  <c r="A6234"/>
  <c r="A6235"/>
  <c r="A6236"/>
  <c r="A6237"/>
  <c r="A6238"/>
  <c r="A6239"/>
  <c r="A6240"/>
  <c r="A6241"/>
  <c r="A6242"/>
  <c r="A6243"/>
  <c r="A6244"/>
  <c r="A6245"/>
  <c r="A6246"/>
  <c r="A6247"/>
  <c r="A6248"/>
  <c r="A6249"/>
  <c r="A6250"/>
  <c r="A6251"/>
  <c r="A6252"/>
  <c r="A6253"/>
  <c r="A6254"/>
  <c r="A6255"/>
  <c r="A6256"/>
  <c r="A6257"/>
  <c r="A6258"/>
  <c r="A6259"/>
  <c r="A6260"/>
  <c r="A6261"/>
  <c r="A6262"/>
  <c r="A6263"/>
  <c r="A6264"/>
  <c r="A6265"/>
  <c r="A6266"/>
  <c r="A6267"/>
  <c r="A6268"/>
  <c r="A6269"/>
  <c r="A6270"/>
  <c r="A6271"/>
  <c r="A6272"/>
  <c r="A6273"/>
  <c r="A6274"/>
  <c r="A6275"/>
  <c r="A6276"/>
  <c r="A6277"/>
  <c r="A6278"/>
  <c r="A6279"/>
  <c r="A6280"/>
  <c r="A6281"/>
  <c r="A6282"/>
  <c r="A6283"/>
  <c r="A6284"/>
  <c r="A6285"/>
  <c r="A6286"/>
  <c r="A6287"/>
  <c r="A6288"/>
  <c r="A6289"/>
  <c r="A6290"/>
  <c r="A6291"/>
  <c r="A6292"/>
  <c r="A6293"/>
  <c r="A6294"/>
  <c r="A6295"/>
  <c r="A6296"/>
  <c r="A6297"/>
  <c r="A6298"/>
  <c r="A6299"/>
  <c r="A6300"/>
  <c r="A6301"/>
  <c r="A6302"/>
  <c r="A6303"/>
  <c r="A6304"/>
  <c r="A6305"/>
  <c r="A6306"/>
  <c r="A6307"/>
  <c r="A6308"/>
  <c r="A6309"/>
  <c r="A6310"/>
  <c r="A6311"/>
  <c r="A6312"/>
  <c r="A6313"/>
  <c r="A6314"/>
  <c r="A6315"/>
  <c r="A6316"/>
  <c r="A6317"/>
  <c r="A6318"/>
  <c r="A6319"/>
  <c r="A6320"/>
  <c r="A6321"/>
  <c r="A6322"/>
  <c r="A6323"/>
  <c r="A6324"/>
  <c r="A6325"/>
  <c r="A6326"/>
  <c r="A6327"/>
  <c r="A6328"/>
  <c r="A6329"/>
  <c r="A6330"/>
  <c r="A6331"/>
  <c r="A6332"/>
  <c r="A6333"/>
  <c r="A6334"/>
  <c r="A6335"/>
  <c r="A6336"/>
  <c r="A6337"/>
  <c r="A6338"/>
  <c r="A6339"/>
  <c r="A6340"/>
  <c r="A6341"/>
  <c r="A6342"/>
  <c r="A6343"/>
  <c r="A6344"/>
  <c r="A6345"/>
  <c r="A6346"/>
  <c r="A6347"/>
  <c r="A6348"/>
  <c r="A6349"/>
  <c r="A6350"/>
  <c r="A6351"/>
  <c r="A6352"/>
  <c r="A6353"/>
  <c r="A6354"/>
  <c r="A6355"/>
  <c r="A6356"/>
  <c r="A6357"/>
  <c r="A6358"/>
  <c r="A6359"/>
  <c r="A6360"/>
  <c r="A6361"/>
  <c r="A6362"/>
  <c r="A6363"/>
  <c r="A6364"/>
  <c r="A6365"/>
  <c r="A6366"/>
  <c r="A6367"/>
  <c r="A6368"/>
  <c r="A6369"/>
  <c r="A6370"/>
  <c r="A6371"/>
  <c r="A6372"/>
  <c r="A6373"/>
  <c r="A6374"/>
  <c r="A6375"/>
  <c r="A6376"/>
  <c r="A6377"/>
  <c r="A6378"/>
  <c r="A6379"/>
  <c r="A6380"/>
  <c r="A6381"/>
  <c r="A6382"/>
  <c r="A6383"/>
  <c r="A6384"/>
  <c r="A6385"/>
  <c r="A6386"/>
  <c r="A6387"/>
  <c r="A6388"/>
  <c r="A6389"/>
  <c r="A6390"/>
  <c r="A6391"/>
  <c r="A6392"/>
  <c r="A6393"/>
  <c r="A6394"/>
  <c r="A6395"/>
  <c r="A6396"/>
  <c r="A6397"/>
  <c r="A6398"/>
  <c r="A6399"/>
  <c r="A6400"/>
  <c r="A6401"/>
  <c r="A6402"/>
  <c r="A6403"/>
  <c r="A6404"/>
  <c r="A6405"/>
  <c r="A6406"/>
  <c r="A6407"/>
  <c r="A6408"/>
  <c r="A6409"/>
  <c r="A6410"/>
  <c r="A6411"/>
  <c r="A6412"/>
  <c r="A6413"/>
  <c r="A6414"/>
  <c r="A6415"/>
  <c r="A6416"/>
  <c r="A6417"/>
  <c r="A6418"/>
  <c r="A6419"/>
  <c r="A6420"/>
  <c r="A6421"/>
  <c r="A6422"/>
  <c r="A6423"/>
  <c r="A6424"/>
  <c r="A6425"/>
  <c r="A6426"/>
  <c r="A6427"/>
  <c r="A6428"/>
  <c r="A6429"/>
  <c r="A6430"/>
  <c r="A6431"/>
  <c r="A6432"/>
  <c r="A6433"/>
  <c r="A6434"/>
  <c r="A6435"/>
  <c r="A6436"/>
  <c r="A6437"/>
  <c r="A6438"/>
  <c r="A6439"/>
  <c r="A6440"/>
  <c r="A6441"/>
  <c r="A6442"/>
  <c r="A6443"/>
  <c r="A6444"/>
  <c r="A6445"/>
  <c r="A6446"/>
  <c r="A6447"/>
  <c r="A6448"/>
  <c r="A6449"/>
  <c r="A6450"/>
  <c r="A6451"/>
  <c r="A6452"/>
  <c r="A6453"/>
  <c r="A6454"/>
  <c r="A6455"/>
  <c r="A6456"/>
  <c r="A6457"/>
  <c r="A6458"/>
  <c r="A6459"/>
  <c r="A6460"/>
  <c r="A6461"/>
  <c r="A6462"/>
  <c r="A6463"/>
  <c r="A6464"/>
  <c r="A6465"/>
  <c r="A6466"/>
  <c r="A6467"/>
  <c r="A6468"/>
  <c r="A6469"/>
  <c r="A6470"/>
  <c r="A6471"/>
  <c r="A6472"/>
  <c r="A6473"/>
  <c r="A6474"/>
  <c r="A6475"/>
  <c r="A6476"/>
  <c r="A6477"/>
  <c r="A6478"/>
  <c r="A6479"/>
  <c r="A6480"/>
  <c r="A6481"/>
  <c r="A6482"/>
  <c r="A6483"/>
  <c r="A6484"/>
  <c r="A6485"/>
  <c r="A6486"/>
  <c r="A6487"/>
  <c r="A6488"/>
  <c r="A6489"/>
  <c r="A6490"/>
  <c r="A6491"/>
  <c r="A6492"/>
  <c r="A6493"/>
  <c r="A6494"/>
  <c r="A6495"/>
  <c r="A6496"/>
  <c r="A6497"/>
  <c r="A6498"/>
  <c r="A6499"/>
  <c r="A6500"/>
  <c r="A6501"/>
  <c r="A6502"/>
  <c r="A6503"/>
  <c r="A6504"/>
  <c r="A6505"/>
  <c r="A6506"/>
  <c r="A6507"/>
  <c r="A6508"/>
  <c r="A6509"/>
  <c r="A6510"/>
  <c r="A6511"/>
  <c r="A6512"/>
  <c r="A6513"/>
  <c r="A6514"/>
  <c r="A6515"/>
  <c r="A6516"/>
  <c r="A6517"/>
  <c r="A6518"/>
  <c r="A6519"/>
  <c r="A6520"/>
  <c r="A6521"/>
  <c r="A6522"/>
  <c r="A6523"/>
  <c r="A6524"/>
  <c r="A6525"/>
  <c r="A6526"/>
  <c r="A6527"/>
  <c r="A6528"/>
  <c r="A6529"/>
  <c r="A6530"/>
  <c r="A6531"/>
  <c r="A6532"/>
  <c r="A6533"/>
  <c r="A6534"/>
  <c r="A6535"/>
  <c r="A6536"/>
  <c r="A6537"/>
  <c r="A6538"/>
  <c r="A6539"/>
  <c r="A6540"/>
  <c r="A6541"/>
  <c r="A6542"/>
  <c r="A6543"/>
  <c r="A6544"/>
  <c r="A6545"/>
  <c r="A6546"/>
  <c r="A6547"/>
  <c r="A6548"/>
  <c r="A6549"/>
  <c r="A6550"/>
  <c r="A6551"/>
  <c r="A6552"/>
  <c r="A6553"/>
  <c r="A6554"/>
  <c r="A6555"/>
  <c r="A6556"/>
  <c r="A6557"/>
  <c r="A6558"/>
  <c r="A6559"/>
  <c r="A6560"/>
  <c r="A6561"/>
  <c r="A6562"/>
  <c r="A6563"/>
  <c r="A6564"/>
  <c r="A6565"/>
  <c r="A6566"/>
  <c r="A6567"/>
  <c r="A6568"/>
  <c r="A6569"/>
  <c r="A6570"/>
  <c r="A6571"/>
  <c r="A6572"/>
  <c r="A6573"/>
  <c r="A6574"/>
  <c r="A6575"/>
  <c r="A6576"/>
  <c r="A6577"/>
  <c r="A6578"/>
  <c r="A6579"/>
  <c r="A6580"/>
  <c r="A6581"/>
  <c r="A6582"/>
  <c r="A6583"/>
  <c r="A6584"/>
  <c r="A6585"/>
  <c r="A6586"/>
  <c r="A6587"/>
  <c r="A6588"/>
  <c r="A6589"/>
  <c r="A6590"/>
  <c r="A6591"/>
  <c r="A6592"/>
  <c r="A6593"/>
  <c r="A6594"/>
  <c r="A6595"/>
  <c r="A6596"/>
  <c r="A6597"/>
  <c r="A6598"/>
  <c r="A6599"/>
  <c r="A6600"/>
  <c r="A6601"/>
  <c r="A6602"/>
  <c r="A6603"/>
  <c r="A6604"/>
  <c r="A6605"/>
  <c r="A6606"/>
  <c r="A6607"/>
  <c r="A6608"/>
  <c r="A6609"/>
  <c r="A6610"/>
  <c r="A6611"/>
  <c r="A6612"/>
  <c r="A6613"/>
  <c r="A6614"/>
  <c r="A6615"/>
  <c r="A6616"/>
  <c r="A6617"/>
  <c r="A6618"/>
  <c r="A6619"/>
  <c r="A6620"/>
  <c r="A6621"/>
  <c r="A6622"/>
  <c r="A6623"/>
  <c r="A6624"/>
  <c r="A6625"/>
  <c r="A6626"/>
  <c r="A6627"/>
  <c r="A6628"/>
  <c r="A6629"/>
  <c r="A6630"/>
  <c r="A6631"/>
  <c r="A6632"/>
  <c r="A6633"/>
  <c r="A6634"/>
  <c r="A6635"/>
  <c r="A6636"/>
  <c r="A6637"/>
  <c r="A6638"/>
  <c r="A6639"/>
  <c r="A6640"/>
  <c r="A6641"/>
  <c r="A6642"/>
  <c r="A6643"/>
  <c r="A6644"/>
  <c r="A6645"/>
  <c r="A6646"/>
  <c r="A6647"/>
  <c r="A6648"/>
  <c r="A6649"/>
  <c r="A6650"/>
  <c r="A6651"/>
  <c r="A6652"/>
  <c r="A6653"/>
  <c r="A6654"/>
  <c r="A6655"/>
  <c r="A6656"/>
  <c r="A6657"/>
  <c r="A6658"/>
  <c r="A6659"/>
  <c r="A6660"/>
  <c r="A6661"/>
  <c r="A6662"/>
  <c r="A6663"/>
  <c r="A6664"/>
  <c r="A6665"/>
  <c r="A6666"/>
  <c r="A6667"/>
  <c r="A6668"/>
  <c r="A6669"/>
  <c r="A6670"/>
  <c r="A6671"/>
  <c r="A6672"/>
  <c r="A6673"/>
  <c r="A6674"/>
  <c r="A6675"/>
  <c r="A6676"/>
  <c r="A6677"/>
  <c r="A6678"/>
  <c r="A6679"/>
  <c r="A6680"/>
  <c r="A6681"/>
  <c r="A6682"/>
  <c r="A6683"/>
  <c r="A6684"/>
  <c r="A6685"/>
  <c r="A6686"/>
  <c r="A6687"/>
  <c r="A6688"/>
  <c r="A6689"/>
  <c r="A6690"/>
  <c r="A6691"/>
  <c r="A6692"/>
  <c r="A6693"/>
  <c r="A6694"/>
  <c r="A6695"/>
  <c r="A6696"/>
  <c r="A6697"/>
  <c r="A6698"/>
  <c r="A6699"/>
  <c r="A6700"/>
  <c r="A6701"/>
  <c r="A6702"/>
  <c r="A6703"/>
  <c r="A6704"/>
  <c r="A6705"/>
  <c r="A6706"/>
  <c r="A6707"/>
  <c r="A6708"/>
  <c r="A6709"/>
  <c r="A6710"/>
  <c r="A6711"/>
  <c r="A6712"/>
  <c r="A6713"/>
  <c r="A6714"/>
  <c r="A6715"/>
  <c r="A6716"/>
  <c r="A6717"/>
  <c r="A6718"/>
  <c r="A6719"/>
  <c r="A6720"/>
  <c r="A6721"/>
  <c r="A6722"/>
  <c r="A6723"/>
  <c r="A6724"/>
  <c r="A6725"/>
  <c r="A6726"/>
  <c r="A6727"/>
  <c r="A6728"/>
  <c r="A6729"/>
  <c r="A6730"/>
  <c r="A6731"/>
  <c r="A6732"/>
  <c r="A6733"/>
  <c r="A6734"/>
  <c r="A6735"/>
  <c r="A6736"/>
  <c r="A6737"/>
  <c r="A6738"/>
  <c r="A6739"/>
  <c r="A6740"/>
  <c r="A6741"/>
  <c r="A6742"/>
  <c r="A6743"/>
  <c r="A6744"/>
  <c r="A6745"/>
  <c r="A6746"/>
  <c r="A6747"/>
  <c r="A6748"/>
  <c r="A6749"/>
  <c r="A6750"/>
  <c r="A6751"/>
  <c r="A6752"/>
  <c r="A6753"/>
  <c r="A6754"/>
  <c r="A6755"/>
  <c r="A6756"/>
  <c r="A6757"/>
  <c r="A6758"/>
  <c r="A6759"/>
  <c r="A6760"/>
  <c r="A6761"/>
  <c r="A6762"/>
  <c r="A6763"/>
  <c r="A6764"/>
  <c r="A6765"/>
  <c r="A6766"/>
  <c r="A6767"/>
  <c r="A6768"/>
  <c r="A6769"/>
  <c r="A6770"/>
  <c r="A6771"/>
  <c r="A6772"/>
  <c r="A6773"/>
  <c r="A6774"/>
  <c r="A6775"/>
  <c r="A6776"/>
  <c r="A6777"/>
  <c r="A6778"/>
  <c r="A6779"/>
  <c r="A6780"/>
  <c r="A6781"/>
  <c r="A6782"/>
  <c r="A6783"/>
  <c r="A6784"/>
  <c r="A6785"/>
  <c r="A6786"/>
  <c r="A6787"/>
  <c r="A6788"/>
  <c r="A6789"/>
  <c r="A6790"/>
  <c r="A6791"/>
  <c r="A6792"/>
  <c r="A6793"/>
  <c r="A6794"/>
  <c r="A6795"/>
  <c r="A6796"/>
  <c r="A6797"/>
  <c r="A6798"/>
  <c r="A6799"/>
  <c r="A6800"/>
  <c r="A6801"/>
  <c r="A6802"/>
  <c r="A6803"/>
  <c r="A6804"/>
  <c r="A6805"/>
  <c r="A6806"/>
  <c r="A6807"/>
  <c r="A6808"/>
  <c r="A6809"/>
  <c r="A6810"/>
  <c r="A6811"/>
  <c r="A6812"/>
  <c r="A6813"/>
  <c r="A6814"/>
  <c r="A6815"/>
  <c r="A6816"/>
  <c r="A6817"/>
  <c r="A6818"/>
  <c r="A6819"/>
  <c r="A6820"/>
  <c r="A6821"/>
  <c r="A6822"/>
  <c r="A6823"/>
  <c r="A6824"/>
  <c r="A6825"/>
  <c r="A6826"/>
  <c r="A6827"/>
  <c r="A6828"/>
  <c r="A6829"/>
  <c r="A6830"/>
  <c r="A6831"/>
  <c r="A6832"/>
  <c r="A6833"/>
  <c r="A6834"/>
  <c r="A6835"/>
  <c r="A6836"/>
  <c r="A6837"/>
  <c r="A6838"/>
  <c r="A6839"/>
  <c r="A6840"/>
  <c r="A6841"/>
  <c r="A6842"/>
  <c r="A6843"/>
  <c r="A6844"/>
  <c r="A6845"/>
  <c r="A6846"/>
  <c r="A6847"/>
  <c r="A6848"/>
  <c r="A6849"/>
  <c r="A6850"/>
  <c r="A6851"/>
  <c r="A6852"/>
  <c r="A6853"/>
  <c r="A6854"/>
  <c r="A6855"/>
  <c r="A6856"/>
  <c r="A6857"/>
  <c r="A6858"/>
  <c r="A6859"/>
  <c r="A6860"/>
  <c r="A6861"/>
  <c r="A6862"/>
  <c r="A6863"/>
  <c r="A6864"/>
  <c r="A6865"/>
  <c r="A6866"/>
  <c r="A6867"/>
  <c r="A6868"/>
  <c r="A6869"/>
  <c r="A6870"/>
  <c r="A6871"/>
  <c r="A6872"/>
  <c r="A6873"/>
  <c r="A6874"/>
  <c r="A6875"/>
  <c r="A6876"/>
  <c r="A6877"/>
  <c r="A6878"/>
  <c r="A6879"/>
  <c r="A6880"/>
  <c r="A6881"/>
  <c r="A6882"/>
  <c r="A6883"/>
  <c r="A6884"/>
  <c r="A6885"/>
  <c r="A6886"/>
  <c r="A6887"/>
  <c r="A6888"/>
  <c r="A6889"/>
  <c r="A6890"/>
  <c r="A6891"/>
  <c r="A6892"/>
  <c r="A6893"/>
  <c r="A6894"/>
  <c r="A6895"/>
  <c r="A6896"/>
  <c r="A6897"/>
  <c r="A6898"/>
  <c r="A6899"/>
  <c r="A6900"/>
  <c r="A6901"/>
  <c r="A6902"/>
  <c r="A6903"/>
  <c r="A6904"/>
  <c r="A6905"/>
  <c r="A6906"/>
  <c r="A6907"/>
  <c r="A6908"/>
  <c r="A6909"/>
  <c r="A6910"/>
  <c r="A6911"/>
  <c r="A6912"/>
  <c r="A6913"/>
  <c r="A6914"/>
  <c r="A6915"/>
  <c r="A6916"/>
  <c r="A6917"/>
  <c r="A6918"/>
  <c r="A6919"/>
  <c r="A6920"/>
  <c r="A6921"/>
  <c r="A6922"/>
  <c r="A6923"/>
  <c r="A6924"/>
  <c r="A6925"/>
  <c r="A6926"/>
  <c r="A6927"/>
  <c r="A6928"/>
  <c r="A6929"/>
  <c r="A6930"/>
  <c r="A6931"/>
  <c r="A6932"/>
  <c r="A6933"/>
  <c r="A6934"/>
  <c r="A6935"/>
  <c r="A6936"/>
  <c r="A6937"/>
  <c r="A6938"/>
  <c r="A6939"/>
  <c r="A6940"/>
  <c r="A6941"/>
  <c r="A6942"/>
  <c r="A6943"/>
  <c r="A6944"/>
  <c r="A6945"/>
  <c r="A6946"/>
  <c r="A6947"/>
  <c r="A6948"/>
  <c r="A6949"/>
  <c r="A6950"/>
  <c r="A6951"/>
  <c r="A6952"/>
  <c r="A6953"/>
  <c r="A6954"/>
  <c r="A6955"/>
  <c r="A6956"/>
  <c r="A6957"/>
  <c r="A6958"/>
  <c r="A6959"/>
  <c r="A6960"/>
  <c r="A6961"/>
  <c r="A6962"/>
  <c r="A6963"/>
  <c r="A6964"/>
  <c r="A6965"/>
  <c r="A6966"/>
  <c r="A6967"/>
  <c r="A6968"/>
  <c r="A6969"/>
  <c r="A6970"/>
  <c r="A6971"/>
  <c r="A6972"/>
  <c r="A6973"/>
  <c r="A6974"/>
  <c r="A6975"/>
  <c r="A6976"/>
  <c r="A6977"/>
  <c r="A6978"/>
  <c r="A6979"/>
  <c r="A6980"/>
  <c r="A6981"/>
  <c r="A6982"/>
  <c r="A6983"/>
  <c r="A6984"/>
  <c r="A6985"/>
  <c r="A6986"/>
  <c r="A6987"/>
  <c r="A6988"/>
  <c r="A6989"/>
  <c r="A6990"/>
  <c r="A6991"/>
  <c r="A6992"/>
  <c r="A6993"/>
  <c r="A6994"/>
  <c r="A6995"/>
  <c r="A6996"/>
  <c r="A6997"/>
  <c r="A6998"/>
  <c r="A6999"/>
  <c r="A7000"/>
  <c r="A7001"/>
  <c r="A7002"/>
  <c r="A7003"/>
  <c r="A7004"/>
  <c r="A7005"/>
  <c r="A7006"/>
  <c r="A7007"/>
  <c r="A7008"/>
  <c r="A7009"/>
  <c r="A7010"/>
  <c r="A7011"/>
  <c r="A7012"/>
  <c r="A7013"/>
  <c r="A7014"/>
  <c r="A7015"/>
  <c r="A7016"/>
  <c r="A7017"/>
  <c r="A7018"/>
  <c r="A7019"/>
  <c r="A7020"/>
  <c r="A7021"/>
  <c r="A7022"/>
  <c r="A7023"/>
  <c r="A7024"/>
  <c r="A7025"/>
  <c r="A7026"/>
  <c r="A7027"/>
  <c r="A7028"/>
  <c r="A7029"/>
  <c r="A7030"/>
  <c r="A7031"/>
  <c r="A7032"/>
  <c r="A7033"/>
  <c r="A7034"/>
  <c r="A7035"/>
  <c r="A7036"/>
  <c r="A7037"/>
  <c r="A7038"/>
  <c r="A7039"/>
  <c r="A7040"/>
  <c r="A7041"/>
  <c r="A7042"/>
  <c r="A7043"/>
  <c r="A7044"/>
  <c r="A7045"/>
  <c r="A7046"/>
  <c r="A7047"/>
  <c r="A7048"/>
  <c r="A7049"/>
  <c r="A7050"/>
  <c r="A7051"/>
  <c r="A7052"/>
  <c r="A7053"/>
  <c r="A7054"/>
  <c r="A7055"/>
  <c r="A7056"/>
  <c r="A7057"/>
  <c r="A7058"/>
  <c r="A7059"/>
  <c r="A7060"/>
  <c r="A7061"/>
  <c r="A7062"/>
  <c r="A7063"/>
  <c r="A7064"/>
  <c r="A7065"/>
  <c r="A7066"/>
  <c r="A7067"/>
  <c r="A7068"/>
  <c r="A7069"/>
  <c r="A7070"/>
  <c r="A7071"/>
  <c r="A7072"/>
  <c r="A7073"/>
  <c r="A7074"/>
  <c r="A7075"/>
  <c r="A7076"/>
  <c r="A7077"/>
  <c r="A7078"/>
  <c r="A7079"/>
  <c r="A7080"/>
  <c r="A7081"/>
  <c r="A7082"/>
  <c r="A7083"/>
  <c r="A7084"/>
  <c r="A7085"/>
  <c r="A7086"/>
  <c r="A7087"/>
  <c r="A7088"/>
  <c r="A7089"/>
  <c r="A7090"/>
  <c r="A7091"/>
  <c r="A7092"/>
  <c r="A7093"/>
  <c r="A7094"/>
  <c r="A7095"/>
  <c r="A7096"/>
  <c r="A7097"/>
  <c r="A7098"/>
  <c r="A7099"/>
  <c r="A7100"/>
  <c r="A7101"/>
  <c r="A7102"/>
  <c r="A7103"/>
  <c r="A7104"/>
  <c r="A7105"/>
  <c r="A7106"/>
  <c r="A7107"/>
  <c r="A7108"/>
  <c r="A7109"/>
  <c r="A7110"/>
  <c r="A7111"/>
  <c r="A7112"/>
  <c r="A7113"/>
  <c r="A7114"/>
  <c r="A7115"/>
  <c r="A7116"/>
  <c r="A7117"/>
  <c r="A7118"/>
  <c r="A7119"/>
  <c r="A7120"/>
  <c r="A7121"/>
  <c r="A7122"/>
  <c r="A7123"/>
  <c r="A7124"/>
  <c r="A7125"/>
  <c r="A7126"/>
  <c r="A7127"/>
  <c r="A7128"/>
  <c r="A7129"/>
  <c r="A7130"/>
  <c r="A7131"/>
  <c r="A7132"/>
  <c r="A7133"/>
  <c r="A7134"/>
  <c r="A7135"/>
  <c r="A7136"/>
  <c r="A7137"/>
  <c r="A7138"/>
  <c r="A7139"/>
  <c r="A7140"/>
  <c r="A7141"/>
  <c r="A7142"/>
  <c r="A7143"/>
  <c r="A7144"/>
  <c r="A7145"/>
  <c r="A7146"/>
  <c r="A7147"/>
  <c r="A7148"/>
  <c r="A7149"/>
  <c r="A7150"/>
  <c r="A7151"/>
  <c r="A7152"/>
  <c r="A7153"/>
  <c r="A7154"/>
  <c r="A7155"/>
  <c r="A7156"/>
  <c r="A7157"/>
  <c r="A7158"/>
  <c r="A7159"/>
  <c r="A7160"/>
  <c r="A7161"/>
  <c r="A7162"/>
  <c r="A7163"/>
  <c r="A7164"/>
  <c r="A7165"/>
  <c r="A7166"/>
  <c r="A7167"/>
  <c r="A7168"/>
  <c r="A7169"/>
  <c r="A7170"/>
  <c r="A7171"/>
  <c r="A7172"/>
  <c r="A7173"/>
  <c r="A7174"/>
  <c r="A7175"/>
  <c r="A7176"/>
  <c r="A7177"/>
  <c r="A7178"/>
  <c r="A7179"/>
  <c r="A7180"/>
  <c r="A7181"/>
  <c r="A7182"/>
  <c r="A7183"/>
  <c r="A7184"/>
  <c r="A7185"/>
  <c r="A7186"/>
  <c r="A7187"/>
  <c r="A7188"/>
  <c r="A7189"/>
  <c r="A7190"/>
  <c r="A7191"/>
  <c r="A7192"/>
  <c r="A7193"/>
  <c r="A7194"/>
  <c r="A7195"/>
  <c r="A7196"/>
  <c r="A7197"/>
  <c r="A7198"/>
  <c r="A7199"/>
  <c r="A7200"/>
  <c r="A7201"/>
  <c r="A7202"/>
  <c r="A7203"/>
  <c r="A7204"/>
  <c r="A7205"/>
  <c r="A7206"/>
  <c r="A7207"/>
  <c r="A7208"/>
  <c r="A7209"/>
  <c r="A7210"/>
  <c r="A7211"/>
  <c r="A7212"/>
  <c r="A7213"/>
  <c r="A7214"/>
  <c r="A7215"/>
  <c r="A7216"/>
  <c r="A7217"/>
  <c r="A7218"/>
  <c r="A7219"/>
  <c r="A7220"/>
  <c r="A7221"/>
  <c r="A7222"/>
  <c r="A7223"/>
  <c r="A7224"/>
  <c r="A7225"/>
  <c r="A7226"/>
  <c r="A7227"/>
  <c r="A7228"/>
  <c r="A7229"/>
  <c r="A7230"/>
  <c r="A7231"/>
  <c r="A7232"/>
  <c r="A7233"/>
  <c r="A7234"/>
  <c r="A7235"/>
  <c r="A7236"/>
  <c r="A7237"/>
  <c r="A7238"/>
  <c r="A7239"/>
  <c r="A7240"/>
  <c r="A7241"/>
  <c r="A7242"/>
  <c r="A7243"/>
  <c r="A7244"/>
  <c r="A7245"/>
  <c r="A7246"/>
  <c r="A7247"/>
  <c r="A7248"/>
  <c r="A7249"/>
  <c r="A7250"/>
  <c r="A7251"/>
  <c r="A7252"/>
  <c r="A7253"/>
  <c r="A7254"/>
  <c r="A7255"/>
  <c r="A7256"/>
  <c r="A7257"/>
  <c r="A7258"/>
  <c r="A7259"/>
  <c r="A7260"/>
  <c r="A7261"/>
  <c r="A7262"/>
  <c r="A7263"/>
  <c r="A7264"/>
  <c r="A7265"/>
  <c r="A7266"/>
  <c r="A7267"/>
  <c r="A7268"/>
  <c r="A7269"/>
  <c r="A7270"/>
  <c r="A7271"/>
  <c r="A7272"/>
  <c r="A7273"/>
  <c r="A7274"/>
  <c r="A7275"/>
  <c r="A7276"/>
  <c r="A7277"/>
  <c r="A7278"/>
  <c r="A7279"/>
  <c r="A7280"/>
  <c r="A7281"/>
  <c r="A7282"/>
  <c r="A7283"/>
  <c r="A7284"/>
  <c r="A7285"/>
  <c r="A7286"/>
  <c r="A7287"/>
  <c r="A7288"/>
  <c r="A7289"/>
  <c r="A7290"/>
  <c r="A7291"/>
  <c r="A7292"/>
  <c r="A7293"/>
  <c r="A7294"/>
  <c r="A7295"/>
  <c r="A7296"/>
  <c r="A7297"/>
  <c r="A7298"/>
  <c r="A7299"/>
  <c r="A7300"/>
  <c r="A7301"/>
  <c r="A7302"/>
  <c r="A7303"/>
  <c r="A7304"/>
  <c r="A7305"/>
  <c r="A7306"/>
  <c r="A7307"/>
  <c r="A7308"/>
  <c r="A7309"/>
  <c r="A7310"/>
  <c r="A7311"/>
  <c r="A7312"/>
  <c r="A7313"/>
  <c r="A7314"/>
  <c r="A7315"/>
  <c r="A7316"/>
  <c r="A7317"/>
  <c r="A7318"/>
  <c r="A7319"/>
  <c r="A7320"/>
  <c r="A7321"/>
  <c r="A7322"/>
  <c r="A7323"/>
  <c r="A7324"/>
  <c r="A7325"/>
  <c r="A7326"/>
  <c r="A7327"/>
  <c r="A7328"/>
  <c r="A7329"/>
  <c r="A7330"/>
  <c r="A7331"/>
  <c r="A7332"/>
  <c r="A7333"/>
  <c r="A7334"/>
  <c r="A7335"/>
  <c r="A7336"/>
  <c r="A7337"/>
  <c r="A7338"/>
  <c r="A7339"/>
  <c r="A7340"/>
  <c r="A7341"/>
  <c r="A7342"/>
  <c r="A7343"/>
  <c r="A7344"/>
  <c r="A7345"/>
  <c r="A7346"/>
  <c r="A7347"/>
  <c r="A7348"/>
  <c r="A7349"/>
  <c r="A7350"/>
  <c r="A7351"/>
  <c r="A7352"/>
  <c r="A7353"/>
  <c r="A7354"/>
  <c r="A7355"/>
  <c r="A7356"/>
  <c r="A7357"/>
  <c r="A7358"/>
  <c r="A7359"/>
  <c r="A7360"/>
  <c r="A7361"/>
  <c r="A7362"/>
  <c r="A7363"/>
  <c r="A7364"/>
  <c r="A7365"/>
  <c r="A7366"/>
  <c r="A7367"/>
  <c r="A7368"/>
  <c r="A7369"/>
  <c r="A7370"/>
  <c r="A7371"/>
  <c r="A7372"/>
  <c r="A7373"/>
  <c r="A7374"/>
  <c r="A7375"/>
  <c r="A7376"/>
  <c r="A7377"/>
  <c r="A7378"/>
  <c r="A7379"/>
  <c r="A7380"/>
  <c r="A7381"/>
  <c r="A7382"/>
  <c r="A7383"/>
  <c r="A7384"/>
  <c r="A7385"/>
  <c r="A7386"/>
  <c r="A7387"/>
  <c r="A7388"/>
  <c r="A7389"/>
  <c r="A7390"/>
  <c r="A7391"/>
  <c r="A7392"/>
  <c r="A7393"/>
  <c r="A7394"/>
  <c r="A7395"/>
  <c r="A7396"/>
  <c r="A7397"/>
  <c r="A7398"/>
  <c r="A7399"/>
  <c r="A7400"/>
  <c r="A7401"/>
  <c r="A7402"/>
  <c r="A7403"/>
  <c r="A7404"/>
  <c r="A7405"/>
  <c r="A7406"/>
  <c r="A7407"/>
  <c r="A7408"/>
  <c r="A7409"/>
  <c r="A7410"/>
  <c r="A7411"/>
  <c r="A7412"/>
  <c r="A7413"/>
  <c r="A7414"/>
  <c r="A7415"/>
  <c r="A7416"/>
  <c r="A7417"/>
  <c r="A7418"/>
  <c r="A7419"/>
  <c r="A7420"/>
  <c r="A7421"/>
  <c r="A7422"/>
  <c r="A7423"/>
  <c r="A7424"/>
  <c r="A7425"/>
  <c r="A7426"/>
  <c r="A7427"/>
  <c r="A7428"/>
  <c r="A7429"/>
  <c r="A7430"/>
  <c r="A7431"/>
  <c r="A7432"/>
  <c r="A7433"/>
  <c r="A7434"/>
  <c r="A7435"/>
  <c r="A7436"/>
  <c r="A7437"/>
  <c r="A7438"/>
  <c r="A7439"/>
  <c r="A7440"/>
  <c r="A7441"/>
  <c r="A7442"/>
  <c r="A7443"/>
  <c r="A7444"/>
  <c r="A7445"/>
  <c r="A7446"/>
  <c r="A7447"/>
  <c r="A7448"/>
  <c r="A7449"/>
  <c r="A7450"/>
  <c r="A7451"/>
  <c r="A7452"/>
  <c r="A7453"/>
  <c r="A7454"/>
  <c r="A7455"/>
  <c r="A7456"/>
  <c r="A7457"/>
  <c r="A7458"/>
  <c r="A7459"/>
  <c r="A7460"/>
  <c r="A7461"/>
  <c r="A7462"/>
  <c r="A7463"/>
  <c r="A7464"/>
  <c r="A7465"/>
  <c r="A7466"/>
  <c r="A7467"/>
  <c r="A7468"/>
  <c r="A7469"/>
  <c r="A7470"/>
  <c r="A7471"/>
  <c r="A7472"/>
  <c r="A7473"/>
  <c r="A7474"/>
  <c r="A7475"/>
  <c r="A7476"/>
  <c r="A7477"/>
  <c r="A7478"/>
  <c r="A7479"/>
  <c r="A7480"/>
  <c r="A7481"/>
  <c r="A7482"/>
  <c r="A7483"/>
  <c r="A7484"/>
  <c r="A7485"/>
  <c r="A7486"/>
  <c r="A7487"/>
  <c r="A7488"/>
  <c r="A7489"/>
  <c r="A7490"/>
  <c r="A7491"/>
  <c r="A7492"/>
  <c r="A7493"/>
  <c r="A7494"/>
  <c r="A7495"/>
  <c r="A7496"/>
  <c r="A7497"/>
  <c r="A7498"/>
  <c r="A7499"/>
  <c r="A7500"/>
  <c r="A7501"/>
  <c r="A7502"/>
  <c r="A7503"/>
  <c r="A7504"/>
  <c r="A7505"/>
  <c r="A7506"/>
  <c r="A7507"/>
  <c r="A7508"/>
  <c r="A7509"/>
  <c r="A7510"/>
  <c r="A7511"/>
  <c r="A7512"/>
  <c r="A7513"/>
  <c r="A7514"/>
  <c r="A7515"/>
  <c r="A7516"/>
  <c r="A7517"/>
  <c r="A7518"/>
  <c r="A7519"/>
  <c r="A7520"/>
  <c r="A7521"/>
  <c r="A7522"/>
  <c r="A7523"/>
  <c r="A7524"/>
  <c r="A7525"/>
  <c r="A7526"/>
  <c r="A7527"/>
  <c r="A7528"/>
  <c r="A7529"/>
  <c r="A7530"/>
  <c r="A7531"/>
  <c r="A7532"/>
  <c r="A7533"/>
  <c r="A7534"/>
  <c r="A7535"/>
  <c r="A7536"/>
  <c r="A7537"/>
  <c r="A7538"/>
  <c r="A7539"/>
  <c r="A7540"/>
  <c r="A7541"/>
  <c r="A7542"/>
  <c r="A7543"/>
  <c r="A7544"/>
  <c r="A7545"/>
  <c r="A7546"/>
  <c r="A7547"/>
  <c r="A7548"/>
  <c r="A7549"/>
  <c r="A7550"/>
  <c r="A7551"/>
  <c r="A7552"/>
  <c r="A7553"/>
  <c r="A7554"/>
  <c r="A7555"/>
  <c r="A7556"/>
  <c r="A7557"/>
  <c r="A3"/>
  <c r="A4"/>
  <c r="A5"/>
  <c r="A6"/>
  <c r="A7"/>
  <c r="A8"/>
  <c r="A9"/>
  <c r="A10"/>
  <c r="A2"/>
  <c r="J7557"/>
  <c r="J7556"/>
  <c r="J7555"/>
  <c r="J7554"/>
  <c r="J7553"/>
  <c r="J7552"/>
  <c r="J7551"/>
  <c r="J7550"/>
  <c r="J7549"/>
  <c r="J7548"/>
  <c r="J7547"/>
  <c r="J7546"/>
  <c r="J7545"/>
  <c r="J7544"/>
  <c r="J7543"/>
  <c r="J7542"/>
  <c r="J7541"/>
  <c r="J7540"/>
  <c r="J7539"/>
  <c r="J7538"/>
  <c r="J7537"/>
  <c r="J7536"/>
  <c r="J7535"/>
  <c r="J7534"/>
  <c r="J7533"/>
  <c r="J7532"/>
  <c r="J7531"/>
  <c r="J7530"/>
  <c r="J7529"/>
  <c r="J7528"/>
  <c r="J7527"/>
  <c r="J7526"/>
  <c r="J7525"/>
  <c r="J7524"/>
  <c r="J7523"/>
  <c r="J7522"/>
  <c r="J7521"/>
  <c r="J7520"/>
  <c r="J7519"/>
  <c r="J7518"/>
  <c r="J7517"/>
  <c r="J7516"/>
  <c r="J7515"/>
  <c r="J7514"/>
  <c r="J7513"/>
  <c r="J7512"/>
  <c r="J7511"/>
  <c r="J7510"/>
  <c r="J7509"/>
  <c r="J7508"/>
  <c r="J7507"/>
  <c r="J7506"/>
  <c r="J7505"/>
  <c r="J7504"/>
  <c r="J7503"/>
  <c r="J7502"/>
  <c r="J7501"/>
  <c r="J7500"/>
  <c r="J7499"/>
  <c r="J7498"/>
  <c r="J7497"/>
  <c r="J7496"/>
  <c r="J7495"/>
  <c r="J7494"/>
  <c r="J7493"/>
  <c r="J7492"/>
  <c r="J7491"/>
  <c r="J7490"/>
  <c r="J7489"/>
  <c r="J7488"/>
  <c r="J7487"/>
  <c r="J7486"/>
  <c r="J7485"/>
  <c r="J7484"/>
  <c r="J7483"/>
  <c r="J7482"/>
  <c r="J7481"/>
  <c r="J7480"/>
  <c r="J7479"/>
  <c r="J7478"/>
  <c r="J7477"/>
  <c r="J7476"/>
  <c r="J7475"/>
  <c r="J7474"/>
  <c r="J7473"/>
  <c r="J7472"/>
  <c r="J7471"/>
  <c r="J7470"/>
  <c r="J7469"/>
  <c r="J7468"/>
  <c r="J7467"/>
  <c r="J7466"/>
  <c r="J7465"/>
  <c r="J7464"/>
  <c r="J7463"/>
  <c r="J7462"/>
  <c r="J7461"/>
  <c r="J7460"/>
  <c r="J7459"/>
  <c r="J7458"/>
  <c r="J7457"/>
  <c r="J7456"/>
  <c r="J7455"/>
  <c r="J7454"/>
  <c r="J7453"/>
  <c r="J7452"/>
  <c r="J7451"/>
  <c r="J7450"/>
  <c r="J7449"/>
  <c r="J7448"/>
  <c r="J7447"/>
  <c r="J7446"/>
  <c r="J7445"/>
  <c r="J7444"/>
  <c r="J7443"/>
  <c r="J7442"/>
  <c r="J7441"/>
  <c r="J7440"/>
  <c r="J7439"/>
  <c r="J7438"/>
  <c r="J7437"/>
  <c r="J7436"/>
  <c r="J7435"/>
  <c r="J7434"/>
  <c r="J7433"/>
  <c r="J7432"/>
  <c r="J7431"/>
  <c r="J7430"/>
  <c r="J7429"/>
  <c r="J7428"/>
  <c r="J7427"/>
  <c r="J7426"/>
  <c r="J7425"/>
  <c r="J7424"/>
  <c r="J7423"/>
  <c r="J7422"/>
  <c r="J7421"/>
  <c r="J7420"/>
  <c r="J7419"/>
  <c r="J7418"/>
  <c r="J7417"/>
  <c r="J7416"/>
  <c r="J7415"/>
  <c r="J7414"/>
  <c r="J7413"/>
  <c r="J7412"/>
  <c r="J7411"/>
  <c r="J7410"/>
  <c r="J7409"/>
  <c r="J7408"/>
  <c r="J7407"/>
  <c r="J7406"/>
  <c r="J7405"/>
  <c r="J7404"/>
  <c r="J7403"/>
  <c r="J7402"/>
  <c r="J7401"/>
  <c r="J7400"/>
  <c r="J7399"/>
  <c r="J7398"/>
  <c r="J7397"/>
  <c r="J7396"/>
  <c r="J7395"/>
  <c r="J7394"/>
  <c r="J7393"/>
  <c r="J7392"/>
  <c r="J7391"/>
  <c r="J7390"/>
  <c r="J7389"/>
  <c r="J7388"/>
  <c r="J7387"/>
  <c r="J7386"/>
  <c r="J7385"/>
  <c r="J7384"/>
  <c r="J7383"/>
  <c r="J7382"/>
  <c r="J7381"/>
  <c r="J7380"/>
  <c r="J7379"/>
  <c r="J7378"/>
  <c r="J7377"/>
  <c r="J7376"/>
  <c r="J7375"/>
  <c r="J7374"/>
  <c r="J7373"/>
  <c r="J7372"/>
  <c r="J7371"/>
  <c r="J7370"/>
  <c r="J7369"/>
  <c r="J7368"/>
  <c r="J7367"/>
  <c r="J7366"/>
  <c r="J7365"/>
  <c r="J7364"/>
  <c r="J7363"/>
  <c r="J7362"/>
  <c r="J7361"/>
  <c r="J7360"/>
  <c r="J7359"/>
  <c r="J7358"/>
  <c r="J7357"/>
  <c r="J7356"/>
  <c r="J7355"/>
  <c r="J7354"/>
  <c r="J7353"/>
  <c r="J7352"/>
  <c r="J7351"/>
  <c r="J7350"/>
  <c r="J7349"/>
  <c r="J7348"/>
  <c r="J7347"/>
  <c r="J7346"/>
  <c r="J7345"/>
  <c r="J7344"/>
  <c r="J7343"/>
  <c r="J7342"/>
  <c r="J7341"/>
  <c r="J7340"/>
  <c r="J7339"/>
  <c r="J7338"/>
  <c r="J7337"/>
  <c r="J7336"/>
  <c r="J7335"/>
  <c r="J7334"/>
  <c r="J7333"/>
  <c r="J7332"/>
  <c r="J7331"/>
  <c r="J7330"/>
  <c r="J7329"/>
  <c r="J7328"/>
  <c r="J7327"/>
  <c r="J7326"/>
  <c r="J7325"/>
  <c r="J7324"/>
  <c r="J7323"/>
  <c r="J7322"/>
  <c r="J7321"/>
  <c r="J7320"/>
  <c r="J7319"/>
  <c r="J7318"/>
  <c r="J7317"/>
  <c r="J7316"/>
  <c r="J7315"/>
  <c r="J7314"/>
  <c r="J7313"/>
  <c r="J7312"/>
  <c r="J7311"/>
  <c r="J7310"/>
  <c r="J7309"/>
  <c r="J7308"/>
  <c r="J7307"/>
  <c r="J7306"/>
  <c r="J7305"/>
  <c r="J7304"/>
  <c r="J7303"/>
  <c r="J7302"/>
  <c r="J7301"/>
  <c r="J7300"/>
  <c r="J7299"/>
  <c r="J7298"/>
  <c r="J7297"/>
  <c r="J7296"/>
  <c r="J7295"/>
  <c r="J7294"/>
  <c r="J7293"/>
  <c r="J7292"/>
  <c r="J7291"/>
  <c r="J7290"/>
  <c r="J7289"/>
  <c r="J7288"/>
  <c r="J7287"/>
  <c r="J7286"/>
  <c r="J7285"/>
  <c r="J7284"/>
  <c r="J7283"/>
  <c r="J7282"/>
  <c r="J7281"/>
  <c r="J7280"/>
  <c r="J7279"/>
  <c r="J7278"/>
  <c r="J7277"/>
  <c r="J7276"/>
  <c r="J7275"/>
  <c r="J7274"/>
  <c r="J7273"/>
  <c r="J7272"/>
  <c r="J7271"/>
  <c r="J7270"/>
  <c r="J7269"/>
  <c r="J7268"/>
  <c r="J7267"/>
  <c r="J7266"/>
  <c r="J7265"/>
  <c r="J7264"/>
  <c r="J7263"/>
  <c r="J7262"/>
  <c r="J7261"/>
  <c r="J7260"/>
  <c r="J7259"/>
  <c r="J7258"/>
  <c r="J7257"/>
  <c r="J7256"/>
  <c r="J7255"/>
  <c r="J7254"/>
  <c r="J7253"/>
  <c r="J7252"/>
  <c r="J7251"/>
  <c r="J7250"/>
  <c r="J7249"/>
  <c r="J7248"/>
  <c r="J7247"/>
  <c r="J7246"/>
  <c r="J7245"/>
  <c r="J7244"/>
  <c r="J7243"/>
  <c r="J7242"/>
  <c r="J7241"/>
  <c r="J7240"/>
  <c r="J7239"/>
  <c r="J7238"/>
  <c r="J7237"/>
  <c r="J7236"/>
  <c r="J7235"/>
  <c r="J7234"/>
  <c r="J7233"/>
  <c r="J7232"/>
  <c r="J7231"/>
  <c r="J7230"/>
  <c r="J7229"/>
  <c r="J7228"/>
  <c r="J7227"/>
  <c r="J7226"/>
  <c r="J7225"/>
  <c r="J7224"/>
  <c r="J7223"/>
  <c r="J7222"/>
  <c r="J7221"/>
  <c r="J7220"/>
  <c r="J7219"/>
  <c r="J7218"/>
  <c r="J7217"/>
  <c r="J7216"/>
  <c r="J7215"/>
  <c r="J7214"/>
  <c r="J7213"/>
  <c r="J7212"/>
  <c r="J7211"/>
  <c r="J7210"/>
  <c r="J7209"/>
  <c r="J7208"/>
  <c r="J7207"/>
  <c r="J7206"/>
  <c r="J7205"/>
  <c r="J7204"/>
  <c r="J7203"/>
  <c r="J7202"/>
  <c r="J7201"/>
  <c r="J7200"/>
  <c r="J7199"/>
  <c r="J7198"/>
  <c r="J7197"/>
  <c r="J7196"/>
  <c r="J7195"/>
  <c r="J7194"/>
  <c r="J7193"/>
  <c r="J7192"/>
  <c r="J7191"/>
  <c r="J7190"/>
  <c r="J7189"/>
  <c r="J7188"/>
  <c r="J7187"/>
  <c r="J7186"/>
  <c r="J7185"/>
  <c r="J7184"/>
  <c r="J7183"/>
  <c r="J7182"/>
  <c r="J7181"/>
  <c r="J7180"/>
  <c r="J7179"/>
  <c r="J7178"/>
  <c r="J7177"/>
  <c r="J7176"/>
  <c r="J7175"/>
  <c r="J7174"/>
  <c r="J7173"/>
  <c r="J7172"/>
  <c r="J7171"/>
  <c r="J7170"/>
  <c r="J7169"/>
  <c r="J7168"/>
  <c r="J7167"/>
  <c r="J7166"/>
  <c r="J7165"/>
  <c r="J7164"/>
  <c r="J7163"/>
  <c r="J7162"/>
  <c r="J7161"/>
  <c r="J7160"/>
  <c r="J7159"/>
  <c r="J7158"/>
  <c r="J7157"/>
  <c r="J7156"/>
  <c r="J7155"/>
  <c r="J7154"/>
  <c r="J7153"/>
  <c r="J7152"/>
  <c r="J7151"/>
  <c r="J7150"/>
  <c r="J7149"/>
  <c r="J7148"/>
  <c r="J7147"/>
  <c r="J7146"/>
  <c r="J7145"/>
  <c r="J7144"/>
  <c r="J7143"/>
  <c r="J7142"/>
  <c r="J7141"/>
  <c r="J7140"/>
  <c r="J7139"/>
  <c r="J7138"/>
  <c r="J7137"/>
  <c r="J7136"/>
  <c r="J7135"/>
  <c r="J7134"/>
  <c r="J7133"/>
  <c r="J7132"/>
  <c r="J7131"/>
  <c r="J7130"/>
  <c r="J7129"/>
  <c r="J7128"/>
  <c r="J7127"/>
  <c r="J7126"/>
  <c r="J7125"/>
  <c r="J7124"/>
  <c r="J7123"/>
  <c r="J7122"/>
  <c r="J7121"/>
  <c r="J7120"/>
  <c r="J7119"/>
  <c r="J7118"/>
  <c r="J7117"/>
  <c r="J7116"/>
  <c r="J7115"/>
  <c r="J7114"/>
  <c r="J7113"/>
  <c r="J7112"/>
  <c r="J7111"/>
  <c r="J7110"/>
  <c r="J7109"/>
  <c r="J7108"/>
  <c r="J7107"/>
  <c r="J7106"/>
  <c r="J7105"/>
  <c r="J7104"/>
  <c r="J7103"/>
  <c r="J7102"/>
  <c r="J7101"/>
  <c r="J7100"/>
  <c r="J7099"/>
  <c r="J7098"/>
  <c r="J7097"/>
  <c r="J7096"/>
  <c r="J7095"/>
  <c r="J7094"/>
  <c r="J7093"/>
  <c r="J7092"/>
  <c r="J7091"/>
  <c r="J7090"/>
  <c r="J7089"/>
  <c r="J7088"/>
  <c r="J7087"/>
  <c r="J7086"/>
  <c r="J7085"/>
  <c r="J7084"/>
  <c r="J7083"/>
  <c r="J7082"/>
  <c r="J7081"/>
  <c r="J7080"/>
  <c r="J7079"/>
  <c r="J7078"/>
  <c r="J7077"/>
  <c r="J7076"/>
  <c r="J7075"/>
  <c r="J7074"/>
  <c r="J7073"/>
  <c r="J7072"/>
  <c r="J7071"/>
  <c r="J7070"/>
  <c r="J7069"/>
  <c r="J7068"/>
  <c r="J7067"/>
  <c r="J7066"/>
  <c r="J7065"/>
  <c r="J7064"/>
  <c r="J7063"/>
  <c r="J7062"/>
  <c r="J7061"/>
  <c r="J7060"/>
  <c r="J7059"/>
  <c r="J7058"/>
  <c r="J7057"/>
  <c r="J7056"/>
  <c r="J7055"/>
  <c r="J7054"/>
  <c r="J7053"/>
  <c r="J7052"/>
  <c r="J7051"/>
  <c r="J7050"/>
  <c r="J7049"/>
  <c r="J7048"/>
  <c r="J7047"/>
  <c r="J7046"/>
  <c r="J7045"/>
  <c r="J7044"/>
  <c r="J7043"/>
  <c r="J7042"/>
  <c r="J7041"/>
  <c r="J7040"/>
  <c r="J7039"/>
  <c r="J7038"/>
  <c r="J7037"/>
  <c r="J7036"/>
  <c r="J7035"/>
  <c r="J7034"/>
  <c r="J7033"/>
  <c r="J7032"/>
  <c r="J7031"/>
  <c r="J7030"/>
  <c r="J7029"/>
  <c r="J7028"/>
  <c r="J7027"/>
  <c r="J7026"/>
  <c r="J7025"/>
  <c r="J7024"/>
  <c r="J7023"/>
  <c r="J7022"/>
  <c r="J7021"/>
  <c r="J7020"/>
  <c r="J7019"/>
  <c r="J7018"/>
  <c r="J7017"/>
  <c r="J7016"/>
  <c r="J7015"/>
  <c r="J7014"/>
  <c r="J7013"/>
  <c r="J7012"/>
  <c r="J7011"/>
  <c r="J7010"/>
  <c r="J7009"/>
  <c r="J7008"/>
  <c r="J7007"/>
  <c r="J7006"/>
  <c r="J7005"/>
  <c r="J7004"/>
  <c r="J7003"/>
  <c r="J7002"/>
  <c r="J7001"/>
  <c r="J7000"/>
  <c r="J6999"/>
  <c r="J6998"/>
  <c r="J6997"/>
  <c r="J6996"/>
  <c r="J6995"/>
  <c r="J6994"/>
  <c r="J6993"/>
  <c r="J6992"/>
  <c r="J6991"/>
  <c r="J6990"/>
  <c r="J6989"/>
  <c r="J6988"/>
  <c r="J6987"/>
  <c r="J6986"/>
  <c r="J6985"/>
  <c r="J6984"/>
  <c r="J6983"/>
  <c r="J6982"/>
  <c r="J6981"/>
  <c r="J6980"/>
  <c r="J6979"/>
  <c r="J6978"/>
  <c r="J6977"/>
  <c r="J6976"/>
  <c r="J6975"/>
  <c r="J6974"/>
  <c r="J6973"/>
  <c r="J6972"/>
  <c r="J6971"/>
  <c r="J6970"/>
  <c r="J6969"/>
  <c r="J6968"/>
  <c r="J6967"/>
  <c r="J6966"/>
  <c r="J6965"/>
  <c r="J6964"/>
  <c r="J6963"/>
  <c r="J6962"/>
  <c r="J6961"/>
  <c r="J6960"/>
  <c r="J6959"/>
  <c r="J6958"/>
  <c r="J6957"/>
  <c r="J6956"/>
  <c r="J6955"/>
  <c r="J6954"/>
  <c r="J6953"/>
  <c r="J6952"/>
  <c r="J6951"/>
  <c r="J6950"/>
  <c r="J6949"/>
  <c r="J6948"/>
  <c r="J6947"/>
  <c r="J6946"/>
  <c r="J6945"/>
  <c r="J6944"/>
  <c r="J6943"/>
  <c r="J6942"/>
  <c r="J6941"/>
  <c r="J6940"/>
  <c r="J6939"/>
  <c r="J6938"/>
  <c r="J6937"/>
  <c r="J6936"/>
  <c r="J6935"/>
  <c r="J6934"/>
  <c r="J6933"/>
  <c r="J6932"/>
  <c r="J6931"/>
  <c r="J6930"/>
  <c r="J6929"/>
  <c r="J6928"/>
  <c r="J6927"/>
  <c r="J6926"/>
  <c r="J6925"/>
  <c r="J6924"/>
  <c r="J6923"/>
  <c r="J6922"/>
  <c r="J6921"/>
  <c r="J6920"/>
  <c r="J6919"/>
  <c r="J6918"/>
  <c r="J6917"/>
  <c r="J6916"/>
  <c r="J6915"/>
  <c r="J6914"/>
  <c r="J6913"/>
  <c r="J6912"/>
  <c r="J6911"/>
  <c r="J6910"/>
  <c r="J6909"/>
  <c r="J6908"/>
  <c r="J6907"/>
  <c r="J6906"/>
  <c r="J6905"/>
  <c r="J6904"/>
  <c r="J6903"/>
  <c r="J6902"/>
  <c r="J6901"/>
  <c r="J6900"/>
  <c r="J6899"/>
  <c r="J6898"/>
  <c r="J6897"/>
  <c r="J6896"/>
  <c r="J6895"/>
  <c r="J6894"/>
  <c r="J6893"/>
  <c r="J6892"/>
  <c r="J6891"/>
  <c r="J6890"/>
  <c r="J6889"/>
  <c r="J6888"/>
  <c r="J6887"/>
  <c r="J6886"/>
  <c r="J6885"/>
  <c r="J6884"/>
  <c r="J6883"/>
  <c r="J6882"/>
  <c r="J6881"/>
  <c r="J6880"/>
  <c r="J6879"/>
  <c r="J6878"/>
  <c r="J6877"/>
  <c r="J6876"/>
  <c r="J6875"/>
  <c r="J6874"/>
  <c r="J6873"/>
  <c r="J6872"/>
  <c r="J6871"/>
  <c r="J6870"/>
  <c r="J6869"/>
  <c r="J6868"/>
  <c r="J6867"/>
  <c r="J6866"/>
  <c r="J6865"/>
  <c r="J6864"/>
  <c r="J6863"/>
  <c r="J6862"/>
  <c r="J6861"/>
  <c r="J6860"/>
  <c r="J6859"/>
  <c r="J6858"/>
  <c r="J6857"/>
  <c r="J6856"/>
  <c r="J6855"/>
  <c r="J6854"/>
  <c r="J6853"/>
  <c r="J6852"/>
  <c r="J6851"/>
  <c r="J6850"/>
  <c r="J6849"/>
  <c r="J6848"/>
  <c r="J6847"/>
  <c r="J6846"/>
  <c r="J6845"/>
  <c r="J6844"/>
  <c r="J6843"/>
  <c r="J6842"/>
  <c r="J6841"/>
  <c r="J6840"/>
  <c r="J6839"/>
  <c r="J6838"/>
  <c r="J6837"/>
  <c r="J6836"/>
  <c r="J6835"/>
  <c r="J6834"/>
  <c r="J6833"/>
  <c r="J6832"/>
  <c r="J6831"/>
  <c r="J6830"/>
  <c r="J6829"/>
  <c r="J6828"/>
  <c r="J6827"/>
  <c r="J6826"/>
  <c r="J6825"/>
  <c r="J6824"/>
  <c r="J6823"/>
  <c r="J6822"/>
  <c r="J6821"/>
  <c r="J6820"/>
  <c r="J6819"/>
  <c r="J6818"/>
  <c r="J6817"/>
  <c r="J6816"/>
  <c r="J6815"/>
  <c r="J6814"/>
  <c r="J6813"/>
  <c r="J6812"/>
  <c r="J6811"/>
  <c r="J6810"/>
  <c r="J6809"/>
  <c r="J6808"/>
  <c r="J6807"/>
  <c r="J6806"/>
  <c r="J6805"/>
  <c r="J6804"/>
  <c r="J6803"/>
  <c r="J6802"/>
  <c r="J6801"/>
  <c r="J6800"/>
  <c r="J6799"/>
  <c r="J6798"/>
  <c r="J6797"/>
  <c r="J6796"/>
  <c r="J6795"/>
  <c r="J6794"/>
  <c r="J6793"/>
  <c r="J6792"/>
  <c r="J6791"/>
  <c r="J6790"/>
  <c r="J6789"/>
  <c r="J6788"/>
  <c r="J6787"/>
  <c r="J6786"/>
  <c r="J6785"/>
  <c r="J6784"/>
  <c r="J6783"/>
  <c r="J6782"/>
  <c r="J6781"/>
  <c r="J6780"/>
  <c r="J6779"/>
  <c r="J6778"/>
  <c r="J6777"/>
  <c r="J6776"/>
  <c r="J6775"/>
  <c r="J6774"/>
  <c r="J6773"/>
  <c r="J6772"/>
  <c r="J6771"/>
  <c r="J6770"/>
  <c r="J6769"/>
  <c r="J6768"/>
  <c r="J6767"/>
  <c r="J6766"/>
  <c r="J6765"/>
  <c r="J6764"/>
  <c r="J6763"/>
  <c r="J6762"/>
  <c r="J6761"/>
  <c r="J6760"/>
  <c r="J6759"/>
  <c r="J6758"/>
  <c r="J6757"/>
  <c r="J6756"/>
  <c r="J6755"/>
  <c r="J6754"/>
  <c r="J6753"/>
  <c r="J6752"/>
  <c r="J6751"/>
  <c r="J6750"/>
  <c r="J6749"/>
  <c r="J6748"/>
  <c r="J6747"/>
  <c r="J6746"/>
  <c r="J6745"/>
  <c r="J6744"/>
  <c r="J6743"/>
  <c r="J6742"/>
  <c r="J6741"/>
  <c r="J6740"/>
  <c r="J6739"/>
  <c r="J6738"/>
  <c r="J6737"/>
  <c r="J6736"/>
  <c r="J6735"/>
  <c r="J6734"/>
  <c r="J6733"/>
  <c r="J6732"/>
  <c r="J6731"/>
  <c r="J6730"/>
  <c r="J6729"/>
  <c r="J6728"/>
  <c r="J6727"/>
  <c r="J6726"/>
  <c r="J6725"/>
  <c r="J6724"/>
  <c r="J6723"/>
  <c r="J6722"/>
  <c r="J6721"/>
  <c r="J6720"/>
  <c r="J6719"/>
  <c r="J6718"/>
  <c r="J6717"/>
  <c r="J6716"/>
  <c r="J6715"/>
  <c r="J6714"/>
  <c r="J6713"/>
  <c r="J6712"/>
  <c r="J6711"/>
  <c r="J6710"/>
  <c r="J6709"/>
  <c r="J6708"/>
  <c r="J6707"/>
  <c r="J6706"/>
  <c r="J6705"/>
  <c r="J6704"/>
  <c r="J6703"/>
  <c r="J6702"/>
  <c r="J6701"/>
  <c r="J6700"/>
  <c r="J6699"/>
  <c r="J6698"/>
  <c r="J6697"/>
  <c r="J6696"/>
  <c r="J6695"/>
  <c r="J6694"/>
  <c r="J6693"/>
  <c r="J6692"/>
  <c r="J6691"/>
  <c r="J6690"/>
  <c r="J6689"/>
  <c r="J6688"/>
  <c r="J6687"/>
  <c r="J6686"/>
  <c r="J6685"/>
  <c r="J6684"/>
  <c r="J6683"/>
  <c r="J6682"/>
  <c r="J6681"/>
  <c r="J6680"/>
  <c r="J6679"/>
  <c r="J6678"/>
  <c r="J6677"/>
  <c r="J6676"/>
  <c r="J6675"/>
  <c r="J6674"/>
  <c r="J6673"/>
  <c r="J6672"/>
  <c r="J6671"/>
  <c r="J6670"/>
  <c r="J6669"/>
  <c r="J6668"/>
  <c r="J6667"/>
  <c r="J6666"/>
  <c r="J6665"/>
  <c r="J6664"/>
  <c r="J6663"/>
  <c r="J6662"/>
  <c r="J6661"/>
  <c r="J6660"/>
  <c r="J6659"/>
  <c r="J6658"/>
  <c r="J6657"/>
  <c r="J6656"/>
  <c r="J6655"/>
  <c r="J6654"/>
  <c r="J6653"/>
  <c r="J6652"/>
  <c r="J6651"/>
  <c r="J6650"/>
  <c r="J6649"/>
  <c r="J6648"/>
  <c r="J6647"/>
  <c r="J6646"/>
  <c r="J6645"/>
  <c r="J6644"/>
  <c r="J6643"/>
  <c r="J6642"/>
  <c r="J6641"/>
  <c r="J6640"/>
  <c r="J6639"/>
  <c r="J6638"/>
  <c r="J6637"/>
  <c r="J6636"/>
  <c r="J6635"/>
  <c r="J6634"/>
  <c r="J6633"/>
  <c r="J6632"/>
  <c r="J6631"/>
  <c r="J6630"/>
  <c r="J6629"/>
  <c r="J6628"/>
  <c r="J6627"/>
  <c r="J6626"/>
  <c r="J6625"/>
  <c r="J6624"/>
  <c r="J6623"/>
  <c r="J6622"/>
  <c r="J6621"/>
  <c r="J6620"/>
  <c r="J6619"/>
  <c r="J6618"/>
  <c r="J6617"/>
  <c r="J6616"/>
  <c r="J6615"/>
  <c r="J6614"/>
  <c r="J6613"/>
  <c r="J6612"/>
  <c r="J6611"/>
  <c r="J6610"/>
  <c r="J6609"/>
  <c r="J6608"/>
  <c r="J6607"/>
  <c r="J6606"/>
  <c r="J6605"/>
  <c r="J6604"/>
  <c r="J6603"/>
  <c r="J6602"/>
  <c r="J6601"/>
  <c r="J6600"/>
  <c r="J6599"/>
  <c r="J6598"/>
  <c r="J6597"/>
  <c r="J6596"/>
  <c r="J6595"/>
  <c r="J6594"/>
  <c r="J6593"/>
  <c r="J6592"/>
  <c r="J6591"/>
  <c r="J6590"/>
  <c r="J6589"/>
  <c r="J6588"/>
  <c r="J6587"/>
  <c r="J6586"/>
  <c r="J6585"/>
  <c r="J6584"/>
  <c r="J6583"/>
  <c r="J6582"/>
  <c r="J6581"/>
  <c r="J6580"/>
  <c r="J6579"/>
  <c r="J6578"/>
  <c r="J6577"/>
  <c r="J6576"/>
  <c r="J6575"/>
  <c r="J6574"/>
  <c r="J6573"/>
  <c r="J6572"/>
  <c r="J6571"/>
  <c r="J6570"/>
  <c r="J6569"/>
  <c r="J6568"/>
  <c r="J6567"/>
  <c r="J6566"/>
  <c r="J6565"/>
  <c r="J6564"/>
  <c r="J6563"/>
  <c r="J6562"/>
  <c r="J6561"/>
  <c r="J6560"/>
  <c r="J6559"/>
  <c r="J6558"/>
  <c r="J6557"/>
  <c r="J6556"/>
  <c r="J6555"/>
  <c r="J6554"/>
  <c r="J6553"/>
  <c r="J6552"/>
  <c r="J6551"/>
  <c r="J6550"/>
  <c r="J6549"/>
  <c r="J6548"/>
  <c r="J6547"/>
  <c r="J6546"/>
  <c r="J6545"/>
  <c r="J6544"/>
  <c r="J6543"/>
  <c r="J6542"/>
  <c r="J6541"/>
  <c r="J6540"/>
  <c r="J6539"/>
  <c r="J6538"/>
  <c r="J6537"/>
  <c r="J6536"/>
  <c r="J6535"/>
  <c r="J6534"/>
  <c r="J6533"/>
  <c r="J6532"/>
  <c r="J6531"/>
  <c r="J6530"/>
  <c r="J6529"/>
  <c r="J6528"/>
  <c r="J6527"/>
  <c r="J6526"/>
  <c r="J6525"/>
  <c r="J6524"/>
  <c r="J6523"/>
  <c r="J6522"/>
  <c r="J6521"/>
  <c r="J6520"/>
  <c r="J6519"/>
  <c r="J6518"/>
  <c r="J6517"/>
  <c r="J6516"/>
  <c r="J6515"/>
  <c r="J6514"/>
  <c r="J6513"/>
  <c r="J6512"/>
  <c r="J6511"/>
  <c r="J6510"/>
  <c r="J6509"/>
  <c r="J6508"/>
  <c r="J6507"/>
  <c r="J6506"/>
  <c r="J6505"/>
  <c r="J6504"/>
  <c r="J6503"/>
  <c r="J6502"/>
  <c r="J6501"/>
  <c r="J6500"/>
  <c r="J6499"/>
  <c r="J6498"/>
  <c r="J6497"/>
  <c r="J6496"/>
  <c r="J6495"/>
  <c r="J6494"/>
  <c r="J6493"/>
  <c r="J6492"/>
  <c r="J6491"/>
  <c r="J6490"/>
  <c r="J6489"/>
  <c r="J6488"/>
  <c r="J6487"/>
  <c r="J6486"/>
  <c r="J6485"/>
  <c r="J6484"/>
  <c r="J6483"/>
  <c r="J6482"/>
  <c r="J6481"/>
  <c r="J6480"/>
  <c r="J6479"/>
  <c r="J6478"/>
  <c r="J6477"/>
  <c r="J6476"/>
  <c r="J6475"/>
  <c r="J6474"/>
  <c r="J6473"/>
  <c r="J6472"/>
  <c r="J6471"/>
  <c r="J6470"/>
  <c r="J6469"/>
  <c r="J6468"/>
  <c r="J6467"/>
  <c r="J6466"/>
  <c r="J6465"/>
  <c r="J6464"/>
  <c r="J6463"/>
  <c r="J6462"/>
  <c r="J6461"/>
  <c r="J6460"/>
  <c r="J6459"/>
  <c r="J6458"/>
  <c r="J6457"/>
  <c r="J6456"/>
  <c r="J6455"/>
  <c r="J6454"/>
  <c r="J6453"/>
  <c r="J6452"/>
  <c r="J6451"/>
  <c r="J6450"/>
  <c r="J6449"/>
  <c r="J6448"/>
  <c r="J6447"/>
  <c r="J6446"/>
  <c r="J6445"/>
  <c r="J6444"/>
  <c r="J6443"/>
  <c r="J6442"/>
  <c r="J6441"/>
  <c r="J6440"/>
  <c r="J6439"/>
  <c r="J6438"/>
  <c r="J6437"/>
  <c r="J6436"/>
  <c r="J6435"/>
  <c r="J6434"/>
  <c r="J6433"/>
  <c r="J6432"/>
  <c r="J6431"/>
  <c r="J6430"/>
  <c r="J6429"/>
  <c r="J6428"/>
  <c r="J6427"/>
  <c r="J6426"/>
  <c r="J6425"/>
  <c r="J6424"/>
  <c r="J6423"/>
  <c r="J6422"/>
  <c r="J6421"/>
  <c r="J6420"/>
  <c r="J6419"/>
  <c r="J6418"/>
  <c r="J6417"/>
  <c r="J6416"/>
  <c r="J6415"/>
  <c r="J6414"/>
  <c r="J6413"/>
  <c r="J6412"/>
  <c r="J6411"/>
  <c r="J6410"/>
  <c r="J6409"/>
  <c r="J6408"/>
  <c r="J6407"/>
  <c r="J6406"/>
  <c r="J6405"/>
  <c r="J6404"/>
  <c r="J6403"/>
  <c r="J6402"/>
  <c r="J6401"/>
  <c r="J6400"/>
  <c r="J6399"/>
  <c r="J6398"/>
  <c r="J6397"/>
  <c r="J6396"/>
  <c r="J6395"/>
  <c r="J6394"/>
  <c r="J6393"/>
  <c r="J6392"/>
  <c r="J6391"/>
  <c r="J6390"/>
  <c r="J6389"/>
  <c r="J6388"/>
  <c r="J6387"/>
  <c r="J6386"/>
  <c r="J6385"/>
  <c r="J6384"/>
  <c r="J6383"/>
  <c r="J6382"/>
  <c r="J6381"/>
  <c r="J6380"/>
  <c r="J6379"/>
  <c r="J6378"/>
  <c r="J6377"/>
  <c r="J6376"/>
  <c r="J6375"/>
  <c r="J6374"/>
  <c r="J6373"/>
  <c r="J6372"/>
  <c r="J6371"/>
  <c r="J6370"/>
  <c r="J6369"/>
  <c r="J6368"/>
  <c r="J6367"/>
  <c r="J6366"/>
  <c r="J6365"/>
  <c r="J6364"/>
  <c r="J6363"/>
  <c r="J6362"/>
  <c r="J6361"/>
  <c r="J6360"/>
  <c r="J6359"/>
  <c r="J6358"/>
  <c r="J6357"/>
  <c r="J6356"/>
  <c r="J6355"/>
  <c r="J6354"/>
  <c r="J6353"/>
  <c r="J6352"/>
  <c r="J6351"/>
  <c r="J6350"/>
  <c r="J6349"/>
  <c r="J6348"/>
  <c r="J6347"/>
  <c r="J6346"/>
  <c r="J6345"/>
  <c r="J6344"/>
  <c r="J6343"/>
  <c r="J6342"/>
  <c r="J6341"/>
  <c r="J6340"/>
  <c r="J6339"/>
  <c r="J6338"/>
  <c r="J6337"/>
  <c r="J6336"/>
  <c r="J6335"/>
  <c r="J6334"/>
  <c r="J6333"/>
  <c r="J6332"/>
  <c r="J6331"/>
  <c r="J6330"/>
  <c r="J6329"/>
  <c r="J6328"/>
  <c r="J6327"/>
  <c r="J6326"/>
  <c r="J6325"/>
  <c r="J6324"/>
  <c r="J6323"/>
  <c r="J6322"/>
  <c r="J6321"/>
  <c r="J6320"/>
  <c r="J6319"/>
  <c r="J6318"/>
  <c r="J6317"/>
  <c r="J6316"/>
  <c r="J6315"/>
  <c r="J6314"/>
  <c r="J6313"/>
  <c r="J6312"/>
  <c r="J6311"/>
  <c r="J6310"/>
  <c r="J6309"/>
  <c r="J6308"/>
  <c r="J6307"/>
  <c r="J6306"/>
  <c r="J6305"/>
  <c r="J6304"/>
  <c r="J6303"/>
  <c r="J6302"/>
  <c r="J6301"/>
  <c r="J6300"/>
  <c r="J6299"/>
  <c r="J6298"/>
  <c r="J6297"/>
  <c r="J6296"/>
  <c r="J6295"/>
  <c r="J6294"/>
  <c r="J6293"/>
  <c r="J6292"/>
  <c r="J6291"/>
  <c r="J6290"/>
  <c r="J6289"/>
  <c r="J6288"/>
  <c r="J6287"/>
  <c r="J6286"/>
  <c r="J6285"/>
  <c r="J6284"/>
  <c r="J6283"/>
  <c r="J6282"/>
  <c r="J6281"/>
  <c r="J6280"/>
  <c r="J6279"/>
  <c r="J6278"/>
  <c r="J6277"/>
  <c r="J6276"/>
  <c r="J6275"/>
  <c r="J6274"/>
  <c r="J6273"/>
  <c r="J6272"/>
  <c r="J6271"/>
  <c r="J6270"/>
  <c r="J6269"/>
  <c r="J6268"/>
  <c r="J6267"/>
  <c r="J6266"/>
  <c r="J6265"/>
  <c r="J6264"/>
  <c r="J6263"/>
  <c r="J6262"/>
  <c r="J6261"/>
  <c r="J6260"/>
  <c r="J6259"/>
  <c r="J6258"/>
  <c r="J6257"/>
  <c r="J6256"/>
  <c r="J6255"/>
  <c r="J6254"/>
  <c r="J6253"/>
  <c r="J6252"/>
  <c r="J6251"/>
  <c r="J6250"/>
  <c r="J6249"/>
  <c r="J6248"/>
  <c r="J6247"/>
  <c r="J6246"/>
  <c r="J6245"/>
  <c r="J6244"/>
  <c r="J6243"/>
  <c r="J6242"/>
  <c r="J6241"/>
  <c r="J6240"/>
  <c r="J6239"/>
  <c r="J6238"/>
  <c r="J6237"/>
  <c r="J6236"/>
  <c r="J6235"/>
  <c r="J6234"/>
  <c r="J6233"/>
  <c r="J6232"/>
  <c r="J6231"/>
  <c r="J6230"/>
  <c r="J6229"/>
  <c r="J6228"/>
  <c r="J6227"/>
  <c r="J6226"/>
  <c r="J6225"/>
  <c r="J6224"/>
  <c r="J6223"/>
  <c r="J6222"/>
  <c r="J6221"/>
  <c r="J6220"/>
  <c r="J6219"/>
  <c r="J6218"/>
  <c r="J6217"/>
  <c r="J6216"/>
  <c r="J6215"/>
  <c r="J6214"/>
  <c r="J6213"/>
  <c r="J6212"/>
  <c r="J6211"/>
  <c r="J6210"/>
  <c r="J6209"/>
  <c r="J6208"/>
  <c r="J6207"/>
  <c r="J6206"/>
  <c r="J6205"/>
  <c r="J6204"/>
  <c r="J6203"/>
  <c r="J6202"/>
  <c r="J6201"/>
  <c r="J6200"/>
  <c r="J6199"/>
  <c r="J6198"/>
  <c r="J6197"/>
  <c r="J6196"/>
  <c r="J6195"/>
  <c r="J6194"/>
  <c r="J6193"/>
  <c r="J6192"/>
  <c r="J6191"/>
  <c r="J6190"/>
  <c r="J6189"/>
  <c r="J6188"/>
  <c r="J6187"/>
  <c r="J6186"/>
  <c r="J6185"/>
  <c r="J6184"/>
  <c r="J6183"/>
  <c r="J6182"/>
  <c r="J6181"/>
  <c r="J6180"/>
  <c r="J6179"/>
  <c r="J6178"/>
  <c r="J6177"/>
  <c r="J6176"/>
  <c r="J6175"/>
  <c r="J6174"/>
  <c r="J6173"/>
  <c r="J6172"/>
  <c r="J6171"/>
  <c r="J6170"/>
  <c r="J6169"/>
  <c r="J6168"/>
  <c r="J6167"/>
  <c r="J6166"/>
  <c r="J6165"/>
  <c r="J6164"/>
  <c r="J6163"/>
  <c r="J6162"/>
  <c r="J6161"/>
  <c r="J6160"/>
  <c r="J6159"/>
  <c r="J6158"/>
  <c r="J6157"/>
  <c r="J6156"/>
  <c r="J6155"/>
  <c r="J6154"/>
  <c r="J6153"/>
  <c r="J6152"/>
  <c r="J6151"/>
  <c r="J6150"/>
  <c r="J6149"/>
  <c r="J6148"/>
  <c r="J6147"/>
  <c r="J6146"/>
  <c r="J6145"/>
  <c r="J6144"/>
  <c r="J6143"/>
  <c r="J6142"/>
  <c r="J6141"/>
  <c r="J6140"/>
  <c r="J6139"/>
  <c r="J6138"/>
  <c r="J6137"/>
  <c r="J6136"/>
  <c r="J6135"/>
  <c r="J6134"/>
  <c r="J6133"/>
  <c r="J6132"/>
  <c r="J6131"/>
  <c r="J6130"/>
  <c r="J6129"/>
  <c r="J6128"/>
  <c r="J6127"/>
  <c r="J6126"/>
  <c r="J6125"/>
  <c r="J6124"/>
  <c r="J6123"/>
  <c r="J6122"/>
  <c r="J6121"/>
  <c r="J6120"/>
  <c r="J6119"/>
  <c r="J6118"/>
  <c r="J6117"/>
  <c r="J6116"/>
  <c r="J6115"/>
  <c r="J6114"/>
  <c r="J6113"/>
  <c r="J6112"/>
  <c r="J6111"/>
  <c r="J6110"/>
  <c r="J6109"/>
  <c r="J6108"/>
  <c r="J6107"/>
  <c r="J6106"/>
  <c r="J6105"/>
  <c r="J6104"/>
  <c r="J6103"/>
  <c r="J6102"/>
  <c r="J6101"/>
  <c r="J6100"/>
  <c r="J6099"/>
  <c r="J6098"/>
  <c r="J6097"/>
  <c r="J6096"/>
  <c r="J6095"/>
  <c r="J6094"/>
  <c r="J6093"/>
  <c r="J6092"/>
  <c r="J6091"/>
  <c r="J6090"/>
  <c r="J6089"/>
  <c r="J6088"/>
  <c r="J6087"/>
  <c r="J6086"/>
  <c r="J6085"/>
  <c r="J6084"/>
  <c r="J6083"/>
  <c r="J6082"/>
  <c r="J6081"/>
  <c r="J6080"/>
  <c r="J6079"/>
  <c r="J6078"/>
  <c r="J6077"/>
  <c r="J6076"/>
  <c r="J6075"/>
  <c r="J6074"/>
  <c r="J6073"/>
  <c r="J6072"/>
  <c r="J6071"/>
  <c r="J6070"/>
  <c r="J6069"/>
  <c r="J6068"/>
  <c r="J6067"/>
  <c r="J6066"/>
  <c r="J6065"/>
  <c r="J6064"/>
  <c r="J6063"/>
  <c r="J6062"/>
  <c r="J6061"/>
  <c r="J6060"/>
  <c r="J6059"/>
  <c r="J6058"/>
  <c r="J6057"/>
  <c r="J6056"/>
  <c r="J6055"/>
  <c r="J6054"/>
  <c r="J6053"/>
  <c r="J6052"/>
  <c r="J6051"/>
  <c r="J6050"/>
  <c r="J6049"/>
  <c r="J6048"/>
  <c r="J6047"/>
  <c r="J6046"/>
  <c r="J6045"/>
  <c r="J6044"/>
  <c r="J6043"/>
  <c r="J6042"/>
  <c r="J6041"/>
  <c r="J6040"/>
  <c r="J6039"/>
  <c r="J6038"/>
  <c r="J6037"/>
  <c r="J6036"/>
  <c r="J6035"/>
  <c r="J6034"/>
  <c r="J6033"/>
  <c r="J6032"/>
  <c r="J6031"/>
  <c r="J6030"/>
  <c r="J6029"/>
  <c r="J6028"/>
  <c r="J6027"/>
  <c r="J6026"/>
  <c r="J6025"/>
  <c r="J6024"/>
  <c r="J6023"/>
  <c r="J6022"/>
  <c r="J6021"/>
  <c r="J6020"/>
  <c r="J6019"/>
  <c r="J6018"/>
  <c r="J6017"/>
  <c r="J6016"/>
  <c r="J6015"/>
  <c r="J6014"/>
  <c r="J6013"/>
  <c r="J6012"/>
  <c r="J6011"/>
  <c r="J6010"/>
  <c r="J6009"/>
  <c r="J6008"/>
  <c r="J6007"/>
  <c r="J6006"/>
  <c r="J6005"/>
  <c r="J6004"/>
  <c r="J6003"/>
  <c r="J6002"/>
  <c r="J6001"/>
  <c r="J6000"/>
  <c r="J5999"/>
  <c r="J5998"/>
  <c r="J5997"/>
  <c r="J5996"/>
  <c r="J5995"/>
  <c r="J5994"/>
  <c r="J5993"/>
  <c r="J5992"/>
  <c r="J5991"/>
  <c r="J5990"/>
  <c r="J5989"/>
  <c r="J5988"/>
  <c r="J5987"/>
  <c r="J5986"/>
  <c r="J5985"/>
  <c r="J5984"/>
  <c r="J5983"/>
  <c r="J5982"/>
  <c r="J5981"/>
  <c r="J5980"/>
  <c r="J5979"/>
  <c r="J5978"/>
  <c r="J5977"/>
  <c r="J5976"/>
  <c r="J5975"/>
  <c r="J5974"/>
  <c r="J5973"/>
  <c r="J5972"/>
  <c r="J5971"/>
  <c r="J5970"/>
  <c r="J5969"/>
  <c r="J5968"/>
  <c r="J5967"/>
  <c r="J5966"/>
  <c r="J5965"/>
  <c r="J5964"/>
  <c r="J5963"/>
  <c r="J5962"/>
  <c r="J5961"/>
  <c r="J5960"/>
  <c r="J5959"/>
  <c r="J5958"/>
  <c r="J5957"/>
  <c r="J5956"/>
  <c r="J5955"/>
  <c r="J5954"/>
  <c r="J5953"/>
  <c r="J5952"/>
  <c r="J5951"/>
  <c r="J5950"/>
  <c r="J5949"/>
  <c r="J5948"/>
  <c r="J5947"/>
  <c r="J5946"/>
  <c r="J5945"/>
  <c r="J5944"/>
  <c r="J5943"/>
  <c r="J5942"/>
  <c r="J5941"/>
  <c r="J5940"/>
  <c r="J5939"/>
  <c r="J5938"/>
  <c r="J5937"/>
  <c r="J5936"/>
  <c r="J5935"/>
  <c r="J5934"/>
  <c r="J5933"/>
  <c r="J5932"/>
  <c r="J5931"/>
  <c r="J5930"/>
  <c r="J5929"/>
  <c r="J5928"/>
  <c r="J5927"/>
  <c r="J5926"/>
  <c r="J5925"/>
  <c r="J5924"/>
  <c r="J5923"/>
  <c r="J5922"/>
  <c r="J5921"/>
  <c r="J5920"/>
  <c r="J5919"/>
  <c r="J5918"/>
  <c r="J5917"/>
  <c r="J5916"/>
  <c r="J5915"/>
  <c r="J5914"/>
  <c r="J5913"/>
  <c r="J5912"/>
  <c r="J5911"/>
  <c r="J5910"/>
  <c r="J5909"/>
  <c r="J5908"/>
  <c r="J5907"/>
  <c r="J5906"/>
  <c r="J5905"/>
  <c r="J5904"/>
  <c r="J5903"/>
  <c r="J5902"/>
  <c r="J5901"/>
  <c r="J5900"/>
  <c r="J5899"/>
  <c r="J5898"/>
  <c r="J5897"/>
  <c r="J5896"/>
  <c r="J5895"/>
  <c r="J5894"/>
  <c r="J5893"/>
  <c r="J5892"/>
  <c r="J5891"/>
  <c r="J5890"/>
  <c r="J5889"/>
  <c r="J5888"/>
  <c r="J5887"/>
  <c r="J5886"/>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52"/>
  <c r="J5851"/>
  <c r="J5850"/>
  <c r="J5849"/>
  <c r="J5848"/>
  <c r="J5847"/>
  <c r="J5846"/>
  <c r="J5845"/>
  <c r="J5844"/>
  <c r="J5843"/>
  <c r="J5842"/>
  <c r="J5841"/>
  <c r="J5840"/>
  <c r="J5839"/>
  <c r="J5838"/>
  <c r="J5837"/>
  <c r="J5836"/>
  <c r="J5835"/>
  <c r="J5834"/>
  <c r="J5833"/>
  <c r="J5832"/>
  <c r="J5831"/>
  <c r="J5830"/>
  <c r="J5829"/>
  <c r="J5828"/>
  <c r="J5827"/>
  <c r="J5826"/>
  <c r="J5825"/>
  <c r="J5824"/>
  <c r="J5823"/>
  <c r="J5822"/>
  <c r="J5821"/>
  <c r="J5820"/>
  <c r="J5819"/>
  <c r="J5818"/>
  <c r="J5817"/>
  <c r="J5816"/>
  <c r="J5815"/>
  <c r="J5814"/>
  <c r="J5813"/>
  <c r="J5812"/>
  <c r="J5811"/>
  <c r="J5810"/>
  <c r="J5809"/>
  <c r="J5808"/>
  <c r="J5807"/>
  <c r="J5806"/>
  <c r="J5805"/>
  <c r="J5804"/>
  <c r="J5803"/>
  <c r="J5802"/>
  <c r="J5801"/>
  <c r="J5800"/>
  <c r="J5799"/>
  <c r="J5798"/>
  <c r="J5797"/>
  <c r="J5796"/>
  <c r="J5795"/>
  <c r="J5794"/>
  <c r="J5793"/>
  <c r="J5792"/>
  <c r="J5791"/>
  <c r="J5790"/>
  <c r="J5789"/>
  <c r="J5788"/>
  <c r="J5787"/>
  <c r="J5786"/>
  <c r="J5785"/>
  <c r="J5784"/>
  <c r="J5783"/>
  <c r="J5782"/>
  <c r="J5781"/>
  <c r="J5780"/>
  <c r="J5779"/>
  <c r="J5778"/>
  <c r="J5777"/>
  <c r="J5776"/>
  <c r="J5775"/>
  <c r="J5774"/>
  <c r="J5773"/>
  <c r="J5772"/>
  <c r="J5771"/>
  <c r="J5770"/>
  <c r="J5769"/>
  <c r="J5768"/>
  <c r="J5767"/>
  <c r="J5766"/>
  <c r="J5765"/>
  <c r="J5764"/>
  <c r="J5763"/>
  <c r="J5762"/>
  <c r="J5761"/>
  <c r="J5760"/>
  <c r="J5759"/>
  <c r="J5758"/>
  <c r="J5757"/>
  <c r="J5756"/>
  <c r="J5755"/>
  <c r="J5754"/>
  <c r="J5753"/>
  <c r="J5752"/>
  <c r="J5751"/>
  <c r="J5750"/>
  <c r="J5749"/>
  <c r="J5748"/>
  <c r="J5747"/>
  <c r="J5746"/>
  <c r="J5745"/>
  <c r="J5744"/>
  <c r="J5743"/>
  <c r="J5742"/>
  <c r="J5741"/>
  <c r="J5740"/>
  <c r="J5739"/>
  <c r="J5738"/>
  <c r="J5737"/>
  <c r="J5736"/>
  <c r="J5735"/>
  <c r="J5734"/>
  <c r="J5733"/>
  <c r="J5732"/>
  <c r="J5731"/>
  <c r="J5730"/>
  <c r="J5729"/>
  <c r="J5728"/>
  <c r="J5727"/>
  <c r="J5726"/>
  <c r="J5725"/>
  <c r="J5724"/>
  <c r="J5723"/>
  <c r="J5722"/>
  <c r="J5721"/>
  <c r="J5720"/>
  <c r="J5719"/>
  <c r="J5718"/>
  <c r="J5717"/>
  <c r="J5716"/>
  <c r="J5715"/>
  <c r="J5714"/>
  <c r="J5713"/>
  <c r="J5712"/>
  <c r="J5711"/>
  <c r="J5710"/>
  <c r="J5709"/>
  <c r="J5708"/>
  <c r="J5707"/>
  <c r="J5706"/>
  <c r="J5705"/>
  <c r="J5704"/>
  <c r="J5703"/>
  <c r="J5702"/>
  <c r="J5701"/>
  <c r="J5700"/>
  <c r="J5699"/>
  <c r="J5698"/>
  <c r="J5697"/>
  <c r="J5696"/>
  <c r="J5695"/>
  <c r="J5694"/>
  <c r="J5693"/>
  <c r="J5692"/>
  <c r="J5691"/>
  <c r="J5690"/>
  <c r="J5689"/>
  <c r="J5688"/>
  <c r="J5687"/>
  <c r="J5686"/>
  <c r="J5685"/>
  <c r="J5684"/>
  <c r="J5683"/>
  <c r="J5682"/>
  <c r="J5681"/>
  <c r="J5680"/>
  <c r="J5679"/>
  <c r="J5678"/>
  <c r="J5677"/>
  <c r="J5676"/>
  <c r="J5675"/>
  <c r="J5674"/>
  <c r="J5673"/>
  <c r="J5672"/>
  <c r="J5671"/>
  <c r="J5670"/>
  <c r="J5669"/>
  <c r="J5668"/>
  <c r="J5667"/>
  <c r="J5666"/>
  <c r="J5665"/>
  <c r="J5664"/>
  <c r="J5663"/>
  <c r="J5662"/>
  <c r="J5661"/>
  <c r="J5660"/>
  <c r="J5659"/>
  <c r="J5658"/>
  <c r="J5657"/>
  <c r="J5656"/>
  <c r="J5655"/>
  <c r="J5654"/>
  <c r="J5653"/>
  <c r="J5652"/>
  <c r="J5651"/>
  <c r="J5650"/>
  <c r="J5649"/>
  <c r="J5648"/>
  <c r="J5647"/>
  <c r="J5646"/>
  <c r="J5645"/>
  <c r="J5644"/>
  <c r="J5643"/>
  <c r="J5642"/>
  <c r="J5641"/>
  <c r="J5640"/>
  <c r="J5639"/>
  <c r="J5638"/>
  <c r="J5637"/>
  <c r="J5636"/>
  <c r="J5635"/>
  <c r="J5634"/>
  <c r="J5633"/>
  <c r="J5632"/>
  <c r="J5631"/>
  <c r="J5630"/>
  <c r="J5629"/>
  <c r="J5628"/>
  <c r="J5627"/>
  <c r="J5626"/>
  <c r="J5625"/>
  <c r="J5624"/>
  <c r="J5623"/>
  <c r="J5622"/>
  <c r="J5621"/>
  <c r="J5620"/>
  <c r="J5619"/>
  <c r="J5618"/>
  <c r="J5617"/>
  <c r="J5616"/>
  <c r="J5615"/>
  <c r="J5614"/>
  <c r="J5613"/>
  <c r="J5612"/>
  <c r="J5611"/>
  <c r="J5610"/>
  <c r="J5609"/>
  <c r="J5608"/>
  <c r="J5607"/>
  <c r="J5606"/>
  <c r="J5605"/>
  <c r="J5604"/>
  <c r="J5603"/>
  <c r="J5602"/>
  <c r="J5601"/>
  <c r="J5600"/>
  <c r="J5599"/>
  <c r="J5598"/>
  <c r="J5597"/>
  <c r="J5596"/>
  <c r="J5595"/>
  <c r="J5594"/>
  <c r="J5593"/>
  <c r="J5592"/>
  <c r="J5591"/>
  <c r="J5590"/>
  <c r="J5589"/>
  <c r="J5588"/>
  <c r="J5587"/>
  <c r="J5586"/>
  <c r="J5585"/>
  <c r="J5584"/>
  <c r="J5583"/>
  <c r="J5582"/>
  <c r="J5581"/>
  <c r="J5580"/>
  <c r="J5579"/>
  <c r="J5578"/>
  <c r="J5577"/>
  <c r="J5576"/>
  <c r="J5575"/>
  <c r="J5574"/>
  <c r="J5573"/>
  <c r="J5572"/>
  <c r="J5571"/>
  <c r="J5570"/>
  <c r="J5569"/>
  <c r="J5568"/>
  <c r="J5567"/>
  <c r="J5566"/>
  <c r="J5565"/>
  <c r="J5564"/>
  <c r="J5563"/>
  <c r="J5562"/>
  <c r="J5561"/>
  <c r="J5560"/>
  <c r="J5559"/>
  <c r="J5558"/>
  <c r="J5557"/>
  <c r="J5556"/>
  <c r="J5555"/>
  <c r="J5554"/>
  <c r="J5553"/>
  <c r="J5552"/>
  <c r="J5551"/>
  <c r="J5550"/>
  <c r="J5549"/>
  <c r="J5548"/>
  <c r="J5547"/>
  <c r="J5546"/>
  <c r="J5545"/>
  <c r="J5544"/>
  <c r="J5543"/>
  <c r="J5542"/>
  <c r="J5541"/>
  <c r="J5540"/>
  <c r="J5539"/>
  <c r="J5538"/>
  <c r="J5537"/>
  <c r="J5536"/>
  <c r="J5535"/>
  <c r="J5534"/>
  <c r="J5533"/>
  <c r="J5532"/>
  <c r="J5531"/>
  <c r="J5530"/>
  <c r="J5529"/>
  <c r="J5528"/>
  <c r="J5527"/>
  <c r="J5526"/>
  <c r="J5525"/>
  <c r="J5524"/>
  <c r="J5523"/>
  <c r="J5522"/>
  <c r="J5521"/>
  <c r="J5520"/>
  <c r="J5519"/>
  <c r="J5518"/>
  <c r="J5517"/>
  <c r="J5516"/>
  <c r="J5515"/>
  <c r="J5514"/>
  <c r="J5513"/>
  <c r="J5512"/>
  <c r="J5511"/>
  <c r="J5510"/>
  <c r="J5509"/>
  <c r="J5508"/>
  <c r="J5507"/>
  <c r="J5506"/>
  <c r="J5505"/>
  <c r="J5504"/>
  <c r="J5503"/>
  <c r="J5502"/>
  <c r="J5501"/>
  <c r="J5500"/>
  <c r="J5499"/>
  <c r="J5498"/>
  <c r="J5497"/>
  <c r="J5496"/>
  <c r="J5495"/>
  <c r="J5494"/>
  <c r="J5493"/>
  <c r="J5492"/>
  <c r="J5491"/>
  <c r="J5490"/>
  <c r="J5489"/>
  <c r="J5488"/>
  <c r="J5487"/>
  <c r="J5486"/>
  <c r="J5485"/>
  <c r="J5484"/>
  <c r="J5483"/>
  <c r="J5482"/>
  <c r="J5481"/>
  <c r="J5480"/>
  <c r="J5479"/>
  <c r="J5478"/>
  <c r="J5477"/>
  <c r="J5476"/>
  <c r="J5475"/>
  <c r="J5474"/>
  <c r="J5473"/>
  <c r="J5472"/>
  <c r="J5471"/>
  <c r="J5470"/>
  <c r="J5469"/>
  <c r="J5468"/>
  <c r="J5467"/>
  <c r="J5466"/>
  <c r="J5465"/>
  <c r="J5464"/>
  <c r="J5463"/>
  <c r="J5462"/>
  <c r="J5461"/>
  <c r="J5460"/>
  <c r="J5459"/>
  <c r="J5458"/>
  <c r="J5457"/>
  <c r="J5456"/>
  <c r="J5455"/>
  <c r="J5454"/>
  <c r="J5453"/>
  <c r="J5452"/>
  <c r="J5451"/>
  <c r="J5450"/>
  <c r="J5449"/>
  <c r="J5448"/>
  <c r="J5447"/>
  <c r="J5446"/>
  <c r="J5445"/>
  <c r="J5444"/>
  <c r="J5443"/>
  <c r="J5442"/>
  <c r="J5441"/>
  <c r="J5440"/>
  <c r="J5439"/>
  <c r="J5438"/>
  <c r="J5437"/>
  <c r="J5436"/>
  <c r="J5435"/>
  <c r="J5434"/>
  <c r="J5433"/>
  <c r="J5432"/>
  <c r="J5431"/>
  <c r="J5430"/>
  <c r="J5429"/>
  <c r="J5428"/>
  <c r="J5427"/>
  <c r="J5426"/>
  <c r="J5425"/>
  <c r="J5424"/>
  <c r="J5423"/>
  <c r="J5422"/>
  <c r="J5421"/>
  <c r="J5420"/>
  <c r="J5419"/>
  <c r="J5418"/>
  <c r="J5417"/>
  <c r="J5416"/>
  <c r="J5415"/>
  <c r="J5414"/>
  <c r="J5413"/>
  <c r="J5412"/>
  <c r="J5411"/>
  <c r="J5410"/>
  <c r="J5409"/>
  <c r="J5408"/>
  <c r="J5407"/>
  <c r="J5406"/>
  <c r="J5405"/>
  <c r="J5404"/>
  <c r="J5403"/>
  <c r="J5402"/>
  <c r="J5401"/>
  <c r="J5400"/>
  <c r="J5399"/>
  <c r="J5398"/>
  <c r="J5397"/>
  <c r="J5396"/>
  <c r="J5395"/>
  <c r="J5394"/>
  <c r="J5393"/>
  <c r="J5392"/>
  <c r="J5391"/>
  <c r="J5390"/>
  <c r="J5389"/>
  <c r="J5388"/>
  <c r="J5387"/>
  <c r="J5386"/>
  <c r="J5385"/>
  <c r="J5384"/>
  <c r="J5383"/>
  <c r="J5382"/>
  <c r="J5381"/>
  <c r="J5380"/>
  <c r="J5379"/>
  <c r="J5378"/>
  <c r="J5377"/>
  <c r="J5376"/>
  <c r="J5375"/>
  <c r="J5374"/>
  <c r="J5373"/>
  <c r="J5372"/>
  <c r="J5371"/>
  <c r="J5370"/>
  <c r="J5369"/>
  <c r="J5368"/>
  <c r="J5367"/>
  <c r="J5366"/>
  <c r="J5365"/>
  <c r="J5364"/>
  <c r="J5363"/>
  <c r="J5362"/>
  <c r="J5361"/>
  <c r="J5360"/>
  <c r="J5359"/>
  <c r="J5358"/>
  <c r="J5357"/>
  <c r="J5356"/>
  <c r="J5355"/>
  <c r="J5354"/>
  <c r="J5353"/>
  <c r="J5352"/>
  <c r="J5351"/>
  <c r="J5350"/>
  <c r="J5349"/>
  <c r="J5348"/>
  <c r="J5347"/>
  <c r="J5346"/>
  <c r="J5345"/>
  <c r="J5344"/>
  <c r="J5343"/>
  <c r="J5342"/>
  <c r="J5341"/>
  <c r="J5340"/>
  <c r="J5339"/>
  <c r="J5338"/>
  <c r="J5337"/>
  <c r="J5336"/>
  <c r="J5335"/>
  <c r="J5334"/>
  <c r="J5333"/>
  <c r="J5332"/>
  <c r="J5331"/>
  <c r="J5330"/>
  <c r="J5329"/>
  <c r="J5328"/>
  <c r="J5327"/>
  <c r="J5326"/>
  <c r="J5325"/>
  <c r="J5324"/>
  <c r="J5323"/>
  <c r="J5322"/>
  <c r="J5321"/>
  <c r="J5320"/>
  <c r="J5319"/>
  <c r="J5318"/>
  <c r="J5317"/>
  <c r="J5316"/>
  <c r="J5315"/>
  <c r="J5314"/>
  <c r="J5313"/>
  <c r="J5312"/>
  <c r="J5311"/>
  <c r="J5310"/>
  <c r="J5309"/>
  <c r="J5308"/>
  <c r="J5307"/>
  <c r="J5306"/>
  <c r="J5305"/>
  <c r="J5304"/>
  <c r="J5303"/>
  <c r="J5302"/>
  <c r="J5301"/>
  <c r="J5300"/>
  <c r="J5299"/>
  <c r="J5298"/>
  <c r="J5297"/>
  <c r="J5296"/>
  <c r="J5295"/>
  <c r="J5294"/>
  <c r="J5293"/>
  <c r="J5292"/>
  <c r="J5291"/>
  <c r="J5290"/>
  <c r="J5289"/>
  <c r="J5288"/>
  <c r="J5287"/>
  <c r="J5286"/>
  <c r="J5285"/>
  <c r="J5284"/>
  <c r="J5283"/>
  <c r="J5282"/>
  <c r="J5281"/>
  <c r="J5280"/>
  <c r="J5279"/>
  <c r="J5278"/>
  <c r="J5277"/>
  <c r="J5276"/>
  <c r="J5275"/>
  <c r="J5274"/>
  <c r="J5273"/>
  <c r="J5272"/>
  <c r="J5271"/>
  <c r="J5270"/>
  <c r="J5269"/>
  <c r="J5268"/>
  <c r="J5267"/>
  <c r="J5266"/>
  <c r="J5265"/>
  <c r="J5264"/>
  <c r="J5263"/>
  <c r="J5262"/>
  <c r="J5261"/>
  <c r="J5260"/>
  <c r="J5259"/>
  <c r="J5258"/>
  <c r="J5257"/>
  <c r="J5256"/>
  <c r="J5255"/>
  <c r="J5254"/>
  <c r="J5253"/>
  <c r="J5252"/>
  <c r="J5251"/>
  <c r="J5250"/>
  <c r="J5249"/>
  <c r="J5248"/>
  <c r="J5247"/>
  <c r="J5246"/>
  <c r="J5245"/>
  <c r="J5244"/>
  <c r="J5243"/>
  <c r="J5242"/>
  <c r="J5241"/>
  <c r="J5240"/>
  <c r="J5239"/>
  <c r="J5238"/>
  <c r="J5237"/>
  <c r="J5236"/>
  <c r="J5235"/>
  <c r="J5234"/>
  <c r="J5233"/>
  <c r="J5232"/>
  <c r="J5231"/>
  <c r="J5230"/>
  <c r="J5229"/>
  <c r="J5228"/>
  <c r="J5227"/>
  <c r="J5226"/>
  <c r="J5225"/>
  <c r="J5224"/>
  <c r="J5223"/>
  <c r="J5222"/>
  <c r="J5221"/>
  <c r="J5220"/>
  <c r="J5219"/>
  <c r="J5218"/>
  <c r="J5217"/>
  <c r="J5216"/>
  <c r="J5215"/>
  <c r="J5214"/>
  <c r="J5213"/>
  <c r="J5212"/>
  <c r="J5211"/>
  <c r="J5210"/>
  <c r="J5209"/>
  <c r="J5208"/>
  <c r="J5207"/>
  <c r="J5206"/>
  <c r="J5205"/>
  <c r="J5204"/>
  <c r="J5203"/>
  <c r="J5202"/>
  <c r="J5201"/>
  <c r="J5200"/>
  <c r="J5199"/>
  <c r="J5198"/>
  <c r="J5197"/>
  <c r="J5196"/>
  <c r="J5195"/>
  <c r="J5194"/>
  <c r="J5193"/>
  <c r="J5192"/>
  <c r="J5191"/>
  <c r="J5190"/>
  <c r="J5189"/>
  <c r="J5188"/>
  <c r="J5187"/>
  <c r="J5186"/>
  <c r="J5185"/>
  <c r="J5184"/>
  <c r="J5183"/>
  <c r="J5182"/>
  <c r="J5181"/>
  <c r="J5180"/>
  <c r="J5179"/>
  <c r="J5178"/>
  <c r="J5177"/>
  <c r="J5176"/>
  <c r="J5175"/>
  <c r="J5174"/>
  <c r="J5173"/>
  <c r="J5172"/>
  <c r="J5171"/>
  <c r="J5170"/>
  <c r="J5169"/>
  <c r="J5168"/>
  <c r="J5167"/>
  <c r="J5166"/>
  <c r="J5165"/>
  <c r="J5164"/>
  <c r="J5163"/>
  <c r="J5162"/>
  <c r="J5161"/>
  <c r="J5160"/>
  <c r="J5159"/>
  <c r="J5158"/>
  <c r="J5157"/>
  <c r="J5156"/>
  <c r="J5155"/>
  <c r="J5154"/>
  <c r="J5153"/>
  <c r="J5152"/>
  <c r="J5151"/>
  <c r="J5150"/>
  <c r="J5149"/>
  <c r="J5148"/>
  <c r="J5147"/>
  <c r="J5146"/>
  <c r="J5145"/>
  <c r="J5144"/>
  <c r="J5143"/>
  <c r="J5142"/>
  <c r="J5141"/>
  <c r="J5140"/>
  <c r="J5139"/>
  <c r="J5138"/>
  <c r="J5137"/>
  <c r="J5136"/>
  <c r="J5135"/>
  <c r="J5134"/>
  <c r="J5133"/>
  <c r="J5132"/>
  <c r="J5131"/>
  <c r="J5130"/>
  <c r="J5129"/>
  <c r="J5128"/>
  <c r="J5127"/>
  <c r="J5126"/>
  <c r="J5125"/>
  <c r="J5124"/>
  <c r="J5123"/>
  <c r="J5122"/>
  <c r="J5121"/>
  <c r="J5120"/>
  <c r="J5119"/>
  <c r="J5118"/>
  <c r="J5117"/>
  <c r="J5116"/>
  <c r="J5115"/>
  <c r="J5114"/>
  <c r="J5113"/>
  <c r="J5112"/>
  <c r="J5111"/>
  <c r="J5110"/>
  <c r="J5109"/>
  <c r="J5108"/>
  <c r="J5107"/>
  <c r="J5106"/>
  <c r="J5105"/>
  <c r="J5104"/>
  <c r="J5103"/>
  <c r="J5102"/>
  <c r="J5101"/>
  <c r="J5100"/>
  <c r="J5099"/>
  <c r="J5098"/>
  <c r="J5097"/>
  <c r="J5096"/>
  <c r="J5095"/>
  <c r="J5094"/>
  <c r="J5093"/>
  <c r="J5092"/>
  <c r="J5091"/>
  <c r="J5090"/>
  <c r="J5089"/>
  <c r="J5088"/>
  <c r="J5087"/>
  <c r="J5086"/>
  <c r="J5085"/>
  <c r="J5084"/>
  <c r="J5083"/>
  <c r="J5082"/>
  <c r="J5081"/>
  <c r="J5080"/>
  <c r="J5079"/>
  <c r="J5078"/>
  <c r="J5077"/>
  <c r="J5076"/>
  <c r="J5075"/>
  <c r="J5074"/>
  <c r="J5073"/>
  <c r="J5072"/>
  <c r="J5071"/>
  <c r="J5070"/>
  <c r="J5069"/>
  <c r="J5068"/>
  <c r="J5067"/>
  <c r="J5066"/>
  <c r="J5065"/>
  <c r="J5064"/>
  <c r="J5063"/>
  <c r="J5062"/>
  <c r="J5061"/>
  <c r="J5060"/>
  <c r="J5059"/>
  <c r="J5058"/>
  <c r="J5057"/>
  <c r="J5056"/>
  <c r="J5055"/>
  <c r="J5054"/>
  <c r="J5053"/>
  <c r="J5052"/>
  <c r="J5051"/>
  <c r="J5050"/>
  <c r="J5049"/>
  <c r="J5048"/>
  <c r="J5047"/>
  <c r="J5046"/>
  <c r="J5045"/>
  <c r="J5044"/>
  <c r="J5043"/>
  <c r="J5042"/>
  <c r="J5041"/>
  <c r="J5040"/>
  <c r="J5039"/>
  <c r="J5038"/>
  <c r="J5037"/>
  <c r="J5036"/>
  <c r="J5035"/>
  <c r="J5034"/>
  <c r="J5033"/>
  <c r="J5032"/>
  <c r="J5031"/>
  <c r="J5030"/>
  <c r="J5029"/>
  <c r="J5028"/>
  <c r="J5027"/>
  <c r="J5026"/>
  <c r="J5025"/>
  <c r="J5024"/>
  <c r="J5023"/>
  <c r="J5022"/>
  <c r="J5021"/>
  <c r="J5020"/>
  <c r="J5019"/>
  <c r="J5018"/>
  <c r="J5017"/>
  <c r="J5016"/>
  <c r="J5015"/>
  <c r="J5014"/>
  <c r="J5013"/>
  <c r="J5012"/>
  <c r="J5011"/>
  <c r="J5010"/>
  <c r="J5009"/>
  <c r="J5008"/>
  <c r="J5007"/>
  <c r="J5006"/>
  <c r="J5005"/>
  <c r="J5004"/>
  <c r="J5003"/>
  <c r="J5002"/>
  <c r="J5001"/>
  <c r="J5000"/>
  <c r="J4999"/>
  <c r="J4998"/>
  <c r="J4997"/>
  <c r="J4996"/>
  <c r="J4995"/>
  <c r="J4994"/>
  <c r="J4993"/>
  <c r="J4992"/>
  <c r="J4991"/>
  <c r="J4990"/>
  <c r="J4989"/>
  <c r="J4988"/>
  <c r="J4987"/>
  <c r="J4986"/>
  <c r="J4985"/>
  <c r="J4984"/>
  <c r="J4983"/>
  <c r="J4982"/>
  <c r="J4981"/>
  <c r="J4980"/>
  <c r="J4979"/>
  <c r="J4978"/>
  <c r="J4977"/>
  <c r="J4976"/>
  <c r="J4975"/>
  <c r="J4974"/>
  <c r="J4973"/>
  <c r="J4972"/>
  <c r="J4971"/>
  <c r="J4970"/>
  <c r="J4969"/>
  <c r="J4968"/>
  <c r="J4967"/>
  <c r="J4966"/>
  <c r="J4965"/>
  <c r="J4964"/>
  <c r="J4963"/>
  <c r="J4962"/>
  <c r="J4961"/>
  <c r="J4960"/>
  <c r="J4959"/>
  <c r="J4958"/>
  <c r="J4957"/>
  <c r="J4956"/>
  <c r="J4955"/>
  <c r="J4954"/>
  <c r="J4953"/>
  <c r="J4952"/>
  <c r="J4951"/>
  <c r="J4950"/>
  <c r="J4949"/>
  <c r="J4948"/>
  <c r="J4947"/>
  <c r="J4946"/>
  <c r="J4945"/>
  <c r="J4944"/>
  <c r="J4943"/>
  <c r="J4942"/>
  <c r="J4941"/>
  <c r="J4940"/>
  <c r="J4939"/>
  <c r="J4938"/>
  <c r="J4937"/>
  <c r="J4936"/>
  <c r="J4935"/>
  <c r="J4934"/>
  <c r="J4933"/>
  <c r="J4932"/>
  <c r="J4931"/>
  <c r="J4930"/>
  <c r="J4929"/>
  <c r="J4928"/>
  <c r="J4927"/>
  <c r="J4926"/>
  <c r="J4925"/>
  <c r="J4924"/>
  <c r="J4923"/>
  <c r="J4922"/>
  <c r="J4921"/>
  <c r="J4920"/>
  <c r="J4919"/>
  <c r="J4918"/>
  <c r="J4917"/>
  <c r="J4916"/>
  <c r="J4915"/>
  <c r="J4914"/>
  <c r="J4913"/>
  <c r="J4912"/>
  <c r="J4911"/>
  <c r="J4910"/>
  <c r="J4909"/>
  <c r="J4908"/>
  <c r="J4907"/>
  <c r="J4906"/>
  <c r="J4905"/>
  <c r="J4904"/>
  <c r="J4903"/>
  <c r="J4902"/>
  <c r="J4901"/>
  <c r="J4900"/>
  <c r="J4899"/>
  <c r="J4898"/>
  <c r="J4897"/>
  <c r="J4896"/>
  <c r="J4895"/>
  <c r="J4894"/>
  <c r="J4893"/>
  <c r="J4892"/>
  <c r="J4891"/>
  <c r="J4890"/>
  <c r="J4889"/>
  <c r="J4888"/>
  <c r="J4887"/>
  <c r="J4886"/>
  <c r="J4885"/>
  <c r="J4884"/>
  <c r="J4883"/>
  <c r="J4882"/>
  <c r="J4881"/>
  <c r="J4880"/>
  <c r="J4879"/>
  <c r="J4878"/>
  <c r="J4877"/>
  <c r="J4876"/>
  <c r="J4875"/>
  <c r="J4874"/>
  <c r="J4873"/>
  <c r="J4872"/>
  <c r="J4871"/>
  <c r="J4870"/>
  <c r="J4869"/>
  <c r="J4868"/>
  <c r="J4867"/>
  <c r="J4866"/>
  <c r="J4865"/>
  <c r="J4864"/>
  <c r="J4863"/>
  <c r="J4862"/>
  <c r="J4861"/>
  <c r="J4860"/>
  <c r="J4859"/>
  <c r="J4858"/>
  <c r="J4857"/>
  <c r="J4856"/>
  <c r="J4855"/>
  <c r="J4854"/>
  <c r="J4853"/>
  <c r="J4852"/>
  <c r="J4851"/>
  <c r="J4850"/>
  <c r="J4849"/>
  <c r="J4848"/>
  <c r="J4847"/>
  <c r="J4846"/>
  <c r="J4845"/>
  <c r="J4844"/>
  <c r="J4843"/>
  <c r="J4842"/>
  <c r="J4841"/>
  <c r="J4840"/>
  <c r="J4839"/>
  <c r="J4838"/>
  <c r="J4837"/>
  <c r="J4836"/>
  <c r="J4835"/>
  <c r="J4834"/>
  <c r="J4833"/>
  <c r="J4832"/>
  <c r="J4831"/>
  <c r="J4830"/>
  <c r="J4829"/>
  <c r="J4828"/>
  <c r="J4827"/>
  <c r="J4826"/>
  <c r="J4825"/>
  <c r="J4824"/>
  <c r="J4823"/>
  <c r="J4822"/>
  <c r="J4821"/>
  <c r="J4820"/>
  <c r="J4819"/>
  <c r="J4818"/>
  <c r="J4817"/>
  <c r="J4816"/>
  <c r="J4815"/>
  <c r="J4814"/>
  <c r="J4813"/>
  <c r="J4812"/>
  <c r="J4811"/>
  <c r="J4810"/>
  <c r="J4809"/>
  <c r="J4808"/>
  <c r="J4807"/>
  <c r="J4806"/>
  <c r="J4805"/>
  <c r="J4804"/>
  <c r="J4803"/>
  <c r="J4802"/>
  <c r="J4801"/>
  <c r="J4800"/>
  <c r="J4799"/>
  <c r="J4798"/>
  <c r="J4797"/>
  <c r="J4796"/>
  <c r="J4795"/>
  <c r="J4794"/>
  <c r="J4793"/>
  <c r="J4792"/>
  <c r="J4791"/>
  <c r="J4790"/>
  <c r="J4789"/>
  <c r="J4788"/>
  <c r="J4787"/>
  <c r="J4786"/>
  <c r="J4785"/>
  <c r="J4784"/>
  <c r="J4783"/>
  <c r="J4782"/>
  <c r="J4781"/>
  <c r="J4780"/>
  <c r="J4779"/>
  <c r="J4778"/>
  <c r="J4777"/>
  <c r="J4776"/>
  <c r="J4775"/>
  <c r="J4774"/>
  <c r="J4773"/>
  <c r="J4772"/>
  <c r="J4771"/>
  <c r="J4770"/>
  <c r="J4769"/>
  <c r="J4768"/>
  <c r="J4767"/>
  <c r="J4766"/>
  <c r="J4765"/>
  <c r="J4764"/>
  <c r="J4763"/>
  <c r="J4762"/>
  <c r="J4761"/>
  <c r="J4760"/>
  <c r="J4759"/>
  <c r="J4758"/>
  <c r="J4757"/>
  <c r="J4756"/>
  <c r="J4755"/>
  <c r="J4754"/>
  <c r="J4753"/>
  <c r="J4752"/>
  <c r="J4751"/>
  <c r="J4750"/>
  <c r="J4749"/>
  <c r="J4748"/>
  <c r="J4747"/>
  <c r="J4746"/>
  <c r="J4745"/>
  <c r="J4744"/>
  <c r="J4743"/>
  <c r="J4742"/>
  <c r="J4741"/>
  <c r="J4740"/>
  <c r="J4739"/>
  <c r="J4738"/>
  <c r="J4737"/>
  <c r="J4736"/>
  <c r="J4735"/>
  <c r="J4734"/>
  <c r="J4733"/>
  <c r="J4732"/>
  <c r="J4731"/>
  <c r="J4730"/>
  <c r="J4729"/>
  <c r="J4728"/>
  <c r="J4727"/>
  <c r="J4726"/>
  <c r="J4725"/>
  <c r="J4724"/>
  <c r="J4723"/>
  <c r="J4722"/>
  <c r="J4721"/>
  <c r="J4720"/>
  <c r="J4719"/>
  <c r="J4718"/>
  <c r="J4717"/>
  <c r="J4716"/>
  <c r="J4715"/>
  <c r="J4714"/>
  <c r="J4713"/>
  <c r="J4712"/>
  <c r="J4711"/>
  <c r="J4710"/>
  <c r="J4709"/>
  <c r="J4708"/>
  <c r="J4707"/>
  <c r="J4706"/>
  <c r="J4705"/>
  <c r="J4704"/>
  <c r="J4703"/>
  <c r="J4702"/>
  <c r="J4701"/>
  <c r="J4700"/>
  <c r="J4699"/>
  <c r="J4698"/>
  <c r="J4697"/>
  <c r="J4696"/>
  <c r="J4695"/>
  <c r="J4694"/>
  <c r="J4693"/>
  <c r="J4692"/>
  <c r="J4691"/>
  <c r="J4690"/>
  <c r="J4689"/>
  <c r="J4688"/>
  <c r="J4687"/>
  <c r="J4686"/>
  <c r="J4685"/>
  <c r="J4684"/>
  <c r="J4683"/>
  <c r="J4682"/>
  <c r="J4681"/>
  <c r="J4680"/>
  <c r="J4679"/>
  <c r="J4678"/>
  <c r="J4677"/>
  <c r="J4676"/>
  <c r="J4675"/>
  <c r="J4674"/>
  <c r="J4673"/>
  <c r="J4672"/>
  <c r="J4671"/>
  <c r="J4670"/>
  <c r="J4669"/>
  <c r="J4668"/>
  <c r="J4667"/>
  <c r="J4666"/>
  <c r="J4665"/>
  <c r="J4664"/>
  <c r="J4663"/>
  <c r="J4662"/>
  <c r="J4661"/>
  <c r="J4660"/>
  <c r="J4659"/>
  <c r="J4658"/>
  <c r="J4657"/>
  <c r="J4656"/>
  <c r="J4655"/>
  <c r="J4654"/>
  <c r="J4653"/>
  <c r="J4652"/>
  <c r="J4651"/>
  <c r="J4650"/>
  <c r="J4649"/>
  <c r="J4648"/>
  <c r="J4647"/>
  <c r="J4646"/>
  <c r="J4645"/>
  <c r="J4644"/>
  <c r="J4643"/>
  <c r="J4642"/>
  <c r="J4641"/>
  <c r="J4640"/>
  <c r="J4639"/>
  <c r="J4638"/>
  <c r="J4637"/>
  <c r="J4636"/>
  <c r="J4635"/>
  <c r="J4634"/>
  <c r="J4633"/>
  <c r="J4632"/>
  <c r="J4631"/>
  <c r="J4630"/>
  <c r="J4629"/>
  <c r="J4628"/>
  <c r="J4627"/>
  <c r="J4626"/>
  <c r="J4625"/>
  <c r="J4624"/>
  <c r="J4623"/>
  <c r="J4622"/>
  <c r="J4621"/>
  <c r="J4620"/>
  <c r="J4619"/>
  <c r="J4618"/>
  <c r="J4617"/>
  <c r="J4616"/>
  <c r="J4615"/>
  <c r="J4614"/>
  <c r="J4613"/>
  <c r="J4612"/>
  <c r="J4611"/>
  <c r="J4610"/>
  <c r="J4609"/>
  <c r="J4608"/>
  <c r="J4607"/>
  <c r="J4606"/>
  <c r="J4605"/>
  <c r="J4604"/>
  <c r="J4603"/>
  <c r="J4602"/>
  <c r="J4601"/>
  <c r="J4600"/>
  <c r="J4599"/>
  <c r="J4598"/>
  <c r="J4597"/>
  <c r="J4596"/>
  <c r="J4595"/>
  <c r="J4594"/>
  <c r="J4593"/>
  <c r="J4592"/>
  <c r="J4591"/>
  <c r="J4590"/>
  <c r="J4589"/>
  <c r="J4588"/>
  <c r="J4587"/>
  <c r="J4586"/>
  <c r="J4585"/>
  <c r="J4584"/>
  <c r="J4583"/>
  <c r="J4582"/>
  <c r="J4581"/>
  <c r="J4580"/>
  <c r="J4579"/>
  <c r="J4578"/>
  <c r="J4577"/>
  <c r="J4576"/>
  <c r="J4575"/>
  <c r="J4574"/>
  <c r="J4573"/>
  <c r="J4572"/>
  <c r="J4571"/>
  <c r="J4570"/>
  <c r="J4569"/>
  <c r="J4568"/>
  <c r="J4567"/>
  <c r="J4566"/>
  <c r="J4565"/>
  <c r="J4564"/>
  <c r="J4563"/>
  <c r="J4562"/>
  <c r="J4561"/>
  <c r="J4560"/>
  <c r="J4559"/>
  <c r="J4558"/>
  <c r="J4557"/>
  <c r="J4556"/>
  <c r="J4555"/>
  <c r="J4554"/>
  <c r="J4553"/>
  <c r="J4552"/>
  <c r="J4551"/>
  <c r="J4550"/>
  <c r="J4549"/>
  <c r="J4548"/>
  <c r="J4547"/>
  <c r="J4546"/>
  <c r="J4545"/>
  <c r="J4544"/>
  <c r="J4543"/>
  <c r="J4542"/>
  <c r="J4541"/>
  <c r="J4540"/>
  <c r="J4539"/>
  <c r="J4538"/>
  <c r="J4537"/>
  <c r="J4536"/>
  <c r="J4535"/>
  <c r="J4534"/>
  <c r="J4533"/>
  <c r="J4532"/>
  <c r="J4531"/>
  <c r="J4530"/>
  <c r="J4529"/>
  <c r="J4528"/>
  <c r="J4527"/>
  <c r="J4526"/>
  <c r="J4525"/>
  <c r="J4524"/>
  <c r="J4523"/>
  <c r="J4522"/>
  <c r="J4521"/>
  <c r="J4520"/>
  <c r="J4519"/>
  <c r="J4518"/>
  <c r="J4517"/>
  <c r="J4516"/>
  <c r="J4515"/>
  <c r="J4514"/>
  <c r="J4513"/>
  <c r="J4512"/>
  <c r="J4511"/>
  <c r="J4510"/>
  <c r="J4509"/>
  <c r="J4508"/>
  <c r="J4507"/>
  <c r="J4506"/>
  <c r="J4505"/>
  <c r="J4504"/>
  <c r="J4503"/>
  <c r="J4502"/>
  <c r="J4501"/>
  <c r="J4500"/>
  <c r="J4499"/>
  <c r="J4498"/>
  <c r="J4497"/>
  <c r="J4496"/>
  <c r="J4495"/>
  <c r="J4494"/>
  <c r="J4493"/>
  <c r="J4492"/>
  <c r="J4491"/>
  <c r="J4490"/>
  <c r="J4489"/>
  <c r="J4488"/>
  <c r="J4487"/>
  <c r="J4486"/>
  <c r="J4485"/>
  <c r="J4484"/>
  <c r="J4483"/>
  <c r="J4482"/>
  <c r="J4481"/>
  <c r="J4480"/>
  <c r="J4479"/>
  <c r="J4478"/>
  <c r="J4477"/>
  <c r="J4476"/>
  <c r="J4475"/>
  <c r="J4474"/>
  <c r="J4473"/>
  <c r="J4472"/>
  <c r="J4471"/>
  <c r="J4470"/>
  <c r="J4469"/>
  <c r="J4468"/>
  <c r="J4467"/>
  <c r="J4466"/>
  <c r="J4465"/>
  <c r="J4464"/>
  <c r="J4463"/>
  <c r="J4462"/>
  <c r="J4461"/>
  <c r="J4460"/>
  <c r="J4459"/>
  <c r="J4458"/>
  <c r="J4457"/>
  <c r="J4456"/>
  <c r="J4455"/>
  <c r="J4454"/>
  <c r="J4453"/>
  <c r="J4452"/>
  <c r="J4451"/>
  <c r="J4450"/>
  <c r="J4449"/>
  <c r="J4448"/>
  <c r="J4447"/>
  <c r="J4446"/>
  <c r="J4445"/>
  <c r="J4444"/>
  <c r="J4443"/>
  <c r="J4442"/>
  <c r="J4441"/>
  <c r="J4440"/>
  <c r="J4439"/>
  <c r="J4438"/>
  <c r="J4437"/>
  <c r="J4436"/>
  <c r="J4435"/>
  <c r="J4434"/>
  <c r="J4433"/>
  <c r="J4432"/>
  <c r="J4431"/>
  <c r="J4430"/>
  <c r="J4429"/>
  <c r="J4428"/>
  <c r="J4427"/>
  <c r="J4426"/>
  <c r="J4425"/>
  <c r="J4424"/>
  <c r="J4423"/>
  <c r="J4422"/>
  <c r="J4421"/>
  <c r="J4420"/>
  <c r="J4419"/>
  <c r="J4418"/>
  <c r="J4417"/>
  <c r="J4416"/>
  <c r="J4415"/>
  <c r="J4414"/>
  <c r="J4413"/>
  <c r="J4412"/>
  <c r="J4411"/>
  <c r="J4410"/>
  <c r="J4409"/>
  <c r="J4408"/>
  <c r="J4407"/>
  <c r="J4406"/>
  <c r="J4405"/>
  <c r="J4404"/>
  <c r="J4403"/>
  <c r="J4402"/>
  <c r="J4401"/>
  <c r="J4400"/>
  <c r="J4399"/>
  <c r="J4398"/>
  <c r="J4397"/>
  <c r="J4396"/>
  <c r="J4395"/>
  <c r="J4394"/>
  <c r="J4393"/>
  <c r="J4392"/>
  <c r="J4391"/>
  <c r="J4390"/>
  <c r="J4389"/>
  <c r="J4388"/>
  <c r="J4387"/>
  <c r="J4386"/>
  <c r="J4385"/>
  <c r="J4384"/>
  <c r="J4383"/>
  <c r="J4382"/>
  <c r="J4381"/>
  <c r="J4380"/>
  <c r="J4379"/>
  <c r="J4378"/>
  <c r="J4377"/>
  <c r="J4376"/>
  <c r="J4375"/>
  <c r="J4374"/>
  <c r="J4373"/>
  <c r="J4372"/>
  <c r="J4371"/>
  <c r="J4370"/>
  <c r="J4369"/>
  <c r="J4368"/>
  <c r="J4367"/>
  <c r="J4366"/>
  <c r="J4365"/>
  <c r="J4364"/>
  <c r="J4363"/>
  <c r="J4362"/>
  <c r="J4361"/>
  <c r="J4360"/>
  <c r="J4359"/>
  <c r="J4358"/>
  <c r="J4357"/>
  <c r="J4356"/>
  <c r="J4355"/>
  <c r="J4354"/>
  <c r="J4353"/>
  <c r="J4352"/>
  <c r="J4351"/>
  <c r="J4350"/>
  <c r="J4349"/>
  <c r="J4348"/>
  <c r="J4347"/>
  <c r="J4346"/>
  <c r="J4345"/>
  <c r="J4344"/>
  <c r="J4343"/>
  <c r="J4342"/>
  <c r="J4341"/>
  <c r="J4340"/>
  <c r="J4339"/>
  <c r="J4338"/>
  <c r="J4337"/>
  <c r="J4336"/>
  <c r="J4335"/>
  <c r="J4334"/>
  <c r="J4333"/>
  <c r="J4332"/>
  <c r="J4331"/>
  <c r="J4330"/>
  <c r="J4329"/>
  <c r="J4328"/>
  <c r="J4327"/>
  <c r="J4326"/>
  <c r="J4325"/>
  <c r="J4324"/>
  <c r="J4323"/>
  <c r="J4322"/>
  <c r="J4321"/>
  <c r="J4320"/>
  <c r="J4319"/>
  <c r="J4318"/>
  <c r="J4317"/>
  <c r="J4316"/>
  <c r="J4315"/>
  <c r="J4314"/>
  <c r="J4313"/>
  <c r="J4312"/>
  <c r="J4311"/>
  <c r="J4310"/>
  <c r="J4309"/>
  <c r="J4308"/>
  <c r="J4307"/>
  <c r="J4306"/>
  <c r="J4305"/>
  <c r="J4304"/>
  <c r="J4303"/>
  <c r="J4302"/>
  <c r="J4301"/>
  <c r="J4300"/>
  <c r="J4299"/>
  <c r="J4298"/>
  <c r="J4297"/>
  <c r="J4296"/>
  <c r="J4295"/>
  <c r="J4294"/>
  <c r="J4293"/>
  <c r="J4292"/>
  <c r="J4291"/>
  <c r="J4290"/>
  <c r="J4289"/>
  <c r="J4288"/>
  <c r="J4287"/>
  <c r="J4286"/>
  <c r="J4285"/>
  <c r="J4284"/>
  <c r="J4283"/>
  <c r="J4282"/>
  <c r="J4281"/>
  <c r="J4280"/>
  <c r="J4279"/>
  <c r="J4278"/>
  <c r="J4277"/>
  <c r="J4276"/>
  <c r="J4275"/>
  <c r="J4274"/>
  <c r="J4273"/>
  <c r="J4272"/>
  <c r="J4271"/>
  <c r="J4270"/>
  <c r="J4269"/>
  <c r="J4268"/>
  <c r="J4267"/>
  <c r="J4266"/>
  <c r="J4265"/>
  <c r="J4264"/>
  <c r="J4263"/>
  <c r="J4262"/>
  <c r="J4261"/>
  <c r="J4260"/>
  <c r="J4259"/>
  <c r="J4258"/>
  <c r="J4257"/>
  <c r="J4256"/>
  <c r="J4255"/>
  <c r="J4254"/>
  <c r="J4253"/>
  <c r="J4252"/>
  <c r="J4251"/>
  <c r="J4250"/>
  <c r="J4249"/>
  <c r="J4248"/>
  <c r="J4247"/>
  <c r="J4246"/>
  <c r="J4245"/>
  <c r="J4244"/>
  <c r="J4243"/>
  <c r="J4242"/>
  <c r="J4241"/>
  <c r="J4240"/>
  <c r="J4239"/>
  <c r="J4238"/>
  <c r="J4237"/>
  <c r="J4236"/>
  <c r="J4235"/>
  <c r="J4234"/>
  <c r="J4233"/>
  <c r="J4232"/>
  <c r="J4231"/>
  <c r="J4230"/>
  <c r="J4229"/>
  <c r="J4228"/>
  <c r="J4227"/>
  <c r="J4226"/>
  <c r="J4225"/>
  <c r="J4224"/>
  <c r="J4223"/>
  <c r="J4222"/>
  <c r="J4221"/>
  <c r="J4220"/>
  <c r="J4219"/>
  <c r="J4218"/>
  <c r="J4217"/>
  <c r="J4216"/>
  <c r="J4215"/>
  <c r="J4214"/>
  <c r="J4213"/>
  <c r="J4212"/>
  <c r="J4211"/>
  <c r="J4210"/>
  <c r="J4209"/>
  <c r="J4208"/>
  <c r="J4207"/>
  <c r="J4206"/>
  <c r="J4205"/>
  <c r="J4204"/>
  <c r="J4203"/>
  <c r="J4202"/>
  <c r="J4201"/>
  <c r="J4200"/>
  <c r="J4199"/>
  <c r="J4198"/>
  <c r="J4197"/>
  <c r="J4196"/>
  <c r="J4195"/>
  <c r="J4194"/>
  <c r="J4193"/>
  <c r="J4192"/>
  <c r="J4191"/>
  <c r="J4190"/>
  <c r="J4189"/>
  <c r="J4188"/>
  <c r="J4187"/>
  <c r="J4186"/>
  <c r="J4185"/>
  <c r="J4184"/>
  <c r="J4183"/>
  <c r="J4182"/>
  <c r="J4181"/>
  <c r="J4180"/>
  <c r="J4179"/>
  <c r="J4178"/>
  <c r="J4177"/>
  <c r="J4176"/>
  <c r="J4175"/>
  <c r="J4174"/>
  <c r="J4173"/>
  <c r="J4172"/>
  <c r="J4171"/>
  <c r="J4170"/>
  <c r="J4169"/>
  <c r="J4168"/>
  <c r="J4167"/>
  <c r="J4166"/>
  <c r="J4165"/>
  <c r="J4164"/>
  <c r="J4163"/>
  <c r="J4162"/>
  <c r="J4161"/>
  <c r="J4160"/>
  <c r="J4159"/>
  <c r="J4158"/>
  <c r="J4157"/>
  <c r="J4156"/>
  <c r="J4155"/>
  <c r="J4154"/>
  <c r="J4153"/>
  <c r="J4152"/>
  <c r="J4151"/>
  <c r="J4150"/>
  <c r="J4149"/>
  <c r="J4148"/>
  <c r="J4147"/>
  <c r="J4146"/>
  <c r="J4145"/>
  <c r="J4144"/>
  <c r="J4143"/>
  <c r="J4142"/>
  <c r="J4141"/>
  <c r="J4140"/>
  <c r="J4139"/>
  <c r="J4138"/>
  <c r="J4137"/>
  <c r="J4136"/>
  <c r="J4135"/>
  <c r="J4134"/>
  <c r="J4133"/>
  <c r="J4132"/>
  <c r="J4131"/>
  <c r="J4130"/>
  <c r="J4129"/>
  <c r="J4128"/>
  <c r="J4127"/>
  <c r="J4126"/>
  <c r="J4125"/>
  <c r="J4124"/>
  <c r="J4123"/>
  <c r="J4122"/>
  <c r="J4121"/>
  <c r="J4120"/>
  <c r="J4119"/>
  <c r="J4118"/>
  <c r="J4117"/>
  <c r="J4116"/>
  <c r="J4115"/>
  <c r="J4114"/>
  <c r="J4113"/>
  <c r="J4112"/>
  <c r="J4111"/>
  <c r="J4110"/>
  <c r="J4109"/>
  <c r="J4108"/>
  <c r="J4107"/>
  <c r="J4106"/>
  <c r="J4105"/>
  <c r="J4104"/>
  <c r="J4103"/>
  <c r="J4102"/>
  <c r="J4101"/>
  <c r="J4100"/>
  <c r="J4099"/>
  <c r="J4098"/>
  <c r="J4097"/>
  <c r="J4096"/>
  <c r="J4095"/>
  <c r="J4094"/>
  <c r="J4093"/>
  <c r="J4092"/>
  <c r="J4091"/>
  <c r="J4090"/>
  <c r="J4089"/>
  <c r="J4088"/>
  <c r="J4087"/>
  <c r="J4086"/>
  <c r="J4085"/>
  <c r="J4084"/>
  <c r="J4083"/>
  <c r="J4082"/>
  <c r="J4081"/>
  <c r="J4080"/>
  <c r="J4079"/>
  <c r="J4078"/>
  <c r="J4077"/>
  <c r="J4076"/>
  <c r="J4075"/>
  <c r="J4074"/>
  <c r="J4073"/>
  <c r="J4072"/>
  <c r="J4071"/>
  <c r="J4070"/>
  <c r="J4069"/>
  <c r="J4068"/>
  <c r="J4067"/>
  <c r="J4066"/>
  <c r="J4065"/>
  <c r="J4064"/>
  <c r="J4063"/>
  <c r="J4062"/>
  <c r="J4061"/>
  <c r="J4060"/>
  <c r="J4059"/>
  <c r="J4058"/>
  <c r="J4057"/>
  <c r="J4056"/>
  <c r="J4055"/>
  <c r="J4054"/>
  <c r="J4053"/>
  <c r="J4052"/>
  <c r="J4051"/>
  <c r="J4050"/>
  <c r="J4049"/>
  <c r="J4048"/>
  <c r="J4047"/>
  <c r="J4046"/>
  <c r="J4045"/>
  <c r="J4044"/>
  <c r="J4043"/>
  <c r="J4042"/>
  <c r="J4041"/>
  <c r="J4040"/>
  <c r="J4039"/>
  <c r="J4038"/>
  <c r="J4037"/>
  <c r="J4036"/>
  <c r="J4035"/>
  <c r="J4034"/>
  <c r="J4033"/>
  <c r="J4032"/>
  <c r="J4031"/>
  <c r="J4030"/>
  <c r="J4029"/>
  <c r="J4028"/>
  <c r="J4027"/>
  <c r="J4026"/>
  <c r="J4025"/>
  <c r="J4024"/>
  <c r="J4023"/>
  <c r="J4022"/>
  <c r="J4021"/>
  <c r="J4020"/>
  <c r="J4019"/>
  <c r="J4018"/>
  <c r="J4017"/>
  <c r="J4016"/>
  <c r="J4015"/>
  <c r="J4014"/>
  <c r="J4013"/>
  <c r="J4012"/>
  <c r="J4011"/>
  <c r="J4010"/>
  <c r="J4009"/>
  <c r="J4008"/>
  <c r="J4007"/>
  <c r="J4006"/>
  <c r="J4005"/>
  <c r="J4004"/>
  <c r="J4003"/>
  <c r="J4002"/>
  <c r="J4001"/>
  <c r="J4000"/>
  <c r="J3999"/>
  <c r="J3998"/>
  <c r="J3997"/>
  <c r="J3996"/>
  <c r="J3995"/>
  <c r="J3994"/>
  <c r="J3993"/>
  <c r="J3992"/>
  <c r="J3991"/>
  <c r="J3990"/>
  <c r="J3989"/>
  <c r="J3988"/>
  <c r="J3987"/>
  <c r="J3986"/>
  <c r="J3985"/>
  <c r="J3984"/>
  <c r="J3983"/>
  <c r="J3982"/>
  <c r="J3981"/>
  <c r="J3980"/>
  <c r="J3979"/>
  <c r="J3978"/>
  <c r="J3977"/>
  <c r="J3976"/>
  <c r="J3975"/>
  <c r="J3974"/>
  <c r="J3973"/>
  <c r="J3972"/>
  <c r="J3971"/>
  <c r="J3970"/>
  <c r="J3969"/>
  <c r="J3968"/>
  <c r="J3967"/>
  <c r="J3966"/>
  <c r="J3965"/>
  <c r="J3964"/>
  <c r="J3963"/>
  <c r="J3962"/>
  <c r="J3961"/>
  <c r="J3960"/>
  <c r="J3959"/>
  <c r="J3958"/>
  <c r="J3957"/>
  <c r="J3956"/>
  <c r="J3955"/>
  <c r="J3954"/>
  <c r="J3953"/>
  <c r="J3952"/>
  <c r="J3951"/>
  <c r="J3950"/>
  <c r="J3949"/>
  <c r="J3948"/>
  <c r="J3947"/>
  <c r="J3946"/>
  <c r="J3945"/>
  <c r="J3944"/>
  <c r="J3943"/>
  <c r="J3942"/>
  <c r="J3941"/>
  <c r="J3940"/>
  <c r="J3939"/>
  <c r="J3938"/>
  <c r="J3937"/>
  <c r="J3936"/>
  <c r="J3935"/>
  <c r="J3934"/>
  <c r="J3933"/>
  <c r="J3932"/>
  <c r="J3931"/>
  <c r="J3930"/>
  <c r="J3929"/>
  <c r="J3928"/>
  <c r="J3927"/>
  <c r="J3926"/>
  <c r="J3925"/>
  <c r="J3924"/>
  <c r="J3923"/>
  <c r="J3922"/>
  <c r="J3921"/>
  <c r="J3920"/>
  <c r="J3919"/>
  <c r="J3918"/>
  <c r="J3917"/>
  <c r="J3916"/>
  <c r="J3915"/>
  <c r="J3914"/>
  <c r="J3913"/>
  <c r="J3912"/>
  <c r="J3911"/>
  <c r="J3910"/>
  <c r="J3909"/>
  <c r="J3908"/>
  <c r="J3907"/>
  <c r="J3906"/>
  <c r="J3905"/>
  <c r="J3904"/>
  <c r="J3903"/>
  <c r="J3902"/>
  <c r="J3901"/>
  <c r="J3900"/>
  <c r="J3899"/>
  <c r="J3898"/>
  <c r="J3897"/>
  <c r="J3896"/>
  <c r="J3895"/>
  <c r="J3894"/>
  <c r="J3893"/>
  <c r="J3892"/>
  <c r="J3891"/>
  <c r="J3890"/>
  <c r="J3889"/>
  <c r="J3888"/>
  <c r="J3887"/>
  <c r="J3886"/>
  <c r="J3885"/>
  <c r="J3884"/>
  <c r="J3883"/>
  <c r="J3882"/>
  <c r="J3881"/>
  <c r="J3880"/>
  <c r="J3879"/>
  <c r="J3878"/>
  <c r="J3877"/>
  <c r="J3876"/>
  <c r="J3875"/>
  <c r="J3874"/>
  <c r="J3873"/>
  <c r="J3872"/>
  <c r="J3871"/>
  <c r="J3870"/>
  <c r="J3869"/>
  <c r="J3868"/>
  <c r="J3867"/>
  <c r="J3866"/>
  <c r="J3865"/>
  <c r="J3864"/>
  <c r="J3863"/>
  <c r="J3862"/>
  <c r="J3861"/>
  <c r="J3860"/>
  <c r="J3859"/>
  <c r="J3858"/>
  <c r="J3857"/>
  <c r="J3856"/>
  <c r="J3855"/>
  <c r="J3854"/>
  <c r="J3853"/>
  <c r="J3852"/>
  <c r="J3851"/>
  <c r="J3850"/>
  <c r="J3849"/>
  <c r="J3848"/>
  <c r="J3847"/>
  <c r="J3846"/>
  <c r="J3845"/>
  <c r="J3844"/>
  <c r="J3843"/>
  <c r="J3842"/>
  <c r="J3841"/>
  <c r="J3840"/>
  <c r="J3839"/>
  <c r="J3838"/>
  <c r="J3837"/>
  <c r="J3836"/>
  <c r="J3835"/>
  <c r="J3834"/>
  <c r="J3833"/>
  <c r="J3832"/>
  <c r="J3831"/>
  <c r="J3830"/>
  <c r="J3829"/>
  <c r="J3828"/>
  <c r="J3827"/>
  <c r="J3826"/>
  <c r="J3825"/>
  <c r="J3824"/>
  <c r="J3823"/>
  <c r="J3822"/>
  <c r="J3821"/>
  <c r="J3820"/>
  <c r="J3819"/>
  <c r="J3818"/>
  <c r="J3817"/>
  <c r="J3816"/>
  <c r="J3815"/>
  <c r="J3814"/>
  <c r="J3813"/>
  <c r="J3812"/>
  <c r="J3811"/>
  <c r="J3810"/>
  <c r="J3809"/>
  <c r="J3808"/>
  <c r="J3807"/>
  <c r="J3806"/>
  <c r="J3805"/>
  <c r="J3804"/>
  <c r="J3803"/>
  <c r="J3802"/>
  <c r="J3801"/>
  <c r="J3800"/>
  <c r="J3799"/>
  <c r="J3798"/>
  <c r="J3797"/>
  <c r="J3796"/>
  <c r="J3795"/>
  <c r="J3794"/>
  <c r="J3793"/>
  <c r="J3792"/>
  <c r="J3791"/>
  <c r="J3790"/>
  <c r="J3789"/>
  <c r="J3788"/>
  <c r="J3787"/>
  <c r="J3786"/>
  <c r="J3785"/>
  <c r="J3784"/>
  <c r="J3783"/>
  <c r="J3782"/>
  <c r="J3781"/>
  <c r="J3780"/>
  <c r="J3779"/>
  <c r="J3778"/>
  <c r="J3777"/>
  <c r="J3776"/>
  <c r="J3775"/>
  <c r="J3774"/>
  <c r="J3773"/>
  <c r="J3772"/>
  <c r="J3771"/>
  <c r="J3770"/>
  <c r="J3769"/>
  <c r="J3768"/>
  <c r="J3767"/>
  <c r="J3766"/>
  <c r="J3765"/>
  <c r="J3764"/>
  <c r="J3763"/>
  <c r="J3762"/>
  <c r="J3761"/>
  <c r="J3760"/>
  <c r="J3759"/>
  <c r="J3758"/>
  <c r="J3757"/>
  <c r="J3756"/>
  <c r="J3755"/>
  <c r="J3754"/>
  <c r="J3753"/>
  <c r="J3752"/>
  <c r="J3751"/>
  <c r="J3750"/>
  <c r="J3749"/>
  <c r="J3748"/>
  <c r="J3747"/>
  <c r="J3746"/>
  <c r="J3745"/>
  <c r="J3744"/>
  <c r="J3743"/>
  <c r="J3742"/>
  <c r="J3741"/>
  <c r="J3740"/>
  <c r="J3739"/>
  <c r="J3738"/>
  <c r="J3737"/>
  <c r="J3736"/>
  <c r="J3735"/>
  <c r="J3734"/>
  <c r="J3733"/>
  <c r="J3732"/>
  <c r="J3731"/>
  <c r="J3730"/>
  <c r="J3729"/>
  <c r="J3728"/>
  <c r="J3727"/>
  <c r="J3726"/>
  <c r="J3725"/>
  <c r="J3724"/>
  <c r="J3723"/>
  <c r="J3722"/>
  <c r="J3721"/>
  <c r="J3720"/>
  <c r="J3719"/>
  <c r="J3718"/>
  <c r="J3717"/>
  <c r="J3716"/>
  <c r="J3715"/>
  <c r="J3714"/>
  <c r="J3713"/>
  <c r="J3712"/>
  <c r="J3711"/>
  <c r="J3710"/>
  <c r="J3709"/>
  <c r="J3708"/>
  <c r="J3707"/>
  <c r="J3706"/>
  <c r="J3705"/>
  <c r="J3704"/>
  <c r="J3703"/>
  <c r="J3702"/>
  <c r="J3701"/>
  <c r="J3700"/>
  <c r="J3699"/>
  <c r="J3698"/>
  <c r="J3697"/>
  <c r="J3696"/>
  <c r="J3695"/>
  <c r="J3694"/>
  <c r="J3693"/>
  <c r="J3692"/>
  <c r="J3691"/>
  <c r="J3690"/>
  <c r="J3689"/>
  <c r="J3688"/>
  <c r="J3687"/>
  <c r="J3686"/>
  <c r="J3685"/>
  <c r="J3684"/>
  <c r="J3683"/>
  <c r="J3682"/>
  <c r="J3681"/>
  <c r="J3680"/>
  <c r="J3679"/>
  <c r="J3678"/>
  <c r="J3677"/>
  <c r="J3676"/>
  <c r="J3675"/>
  <c r="J3674"/>
  <c r="J3673"/>
  <c r="J3672"/>
  <c r="J3671"/>
  <c r="J3670"/>
  <c r="J3669"/>
  <c r="J3668"/>
  <c r="J3667"/>
  <c r="J3666"/>
  <c r="J3665"/>
  <c r="J3664"/>
  <c r="J3663"/>
  <c r="J3662"/>
  <c r="J3661"/>
  <c r="J3660"/>
  <c r="J3659"/>
  <c r="J3658"/>
  <c r="J3657"/>
  <c r="J3656"/>
  <c r="J3655"/>
  <c r="J3654"/>
  <c r="J3653"/>
  <c r="J3652"/>
  <c r="J3651"/>
  <c r="J3650"/>
  <c r="J3649"/>
  <c r="J3648"/>
  <c r="J3647"/>
  <c r="J3646"/>
  <c r="J3645"/>
  <c r="J3644"/>
  <c r="J3643"/>
  <c r="J3642"/>
  <c r="J3641"/>
  <c r="J3640"/>
  <c r="J3639"/>
  <c r="J3638"/>
  <c r="J3637"/>
  <c r="J3636"/>
  <c r="J3635"/>
  <c r="J3634"/>
  <c r="J3633"/>
  <c r="J3632"/>
  <c r="J3631"/>
  <c r="J3630"/>
  <c r="J3629"/>
  <c r="J3628"/>
  <c r="J3627"/>
  <c r="J3626"/>
  <c r="J3625"/>
  <c r="J3624"/>
  <c r="J3623"/>
  <c r="J3622"/>
  <c r="J3621"/>
  <c r="J3620"/>
  <c r="J3619"/>
  <c r="J3618"/>
  <c r="J3617"/>
  <c r="J3616"/>
  <c r="J3615"/>
  <c r="J3614"/>
  <c r="J3613"/>
  <c r="J3612"/>
  <c r="J3611"/>
  <c r="J3610"/>
  <c r="J3609"/>
  <c r="J3608"/>
  <c r="J3607"/>
  <c r="J3606"/>
  <c r="J3605"/>
  <c r="J3604"/>
  <c r="J3603"/>
  <c r="J3602"/>
  <c r="J3601"/>
  <c r="J3600"/>
  <c r="J3599"/>
  <c r="J3598"/>
  <c r="J3597"/>
  <c r="J3596"/>
  <c r="J3595"/>
  <c r="J3594"/>
  <c r="J3593"/>
  <c r="J3592"/>
  <c r="J3591"/>
  <c r="J3590"/>
  <c r="J3589"/>
  <c r="J3588"/>
  <c r="J3587"/>
  <c r="J3586"/>
  <c r="J3585"/>
  <c r="J3584"/>
  <c r="J3583"/>
  <c r="J3582"/>
  <c r="J3581"/>
  <c r="J3580"/>
  <c r="J3579"/>
  <c r="J3578"/>
  <c r="J3577"/>
  <c r="J3576"/>
  <c r="J3575"/>
  <c r="J3574"/>
  <c r="J3573"/>
  <c r="J3572"/>
  <c r="J3571"/>
  <c r="J3570"/>
  <c r="J3569"/>
  <c r="J3568"/>
  <c r="J3567"/>
  <c r="J3566"/>
  <c r="J3565"/>
  <c r="J3564"/>
  <c r="J3563"/>
  <c r="J3562"/>
  <c r="J3561"/>
  <c r="J3560"/>
  <c r="J3559"/>
  <c r="J3558"/>
  <c r="J3557"/>
  <c r="J3556"/>
  <c r="J3555"/>
  <c r="J3554"/>
  <c r="J3553"/>
  <c r="J3552"/>
  <c r="J3551"/>
  <c r="J3550"/>
  <c r="J3549"/>
  <c r="J3548"/>
  <c r="J3547"/>
  <c r="J3546"/>
  <c r="J3545"/>
  <c r="J3544"/>
  <c r="J3543"/>
  <c r="J3542"/>
  <c r="J3541"/>
  <c r="J3540"/>
  <c r="J3539"/>
  <c r="J3538"/>
  <c r="J3537"/>
  <c r="J3536"/>
  <c r="J3535"/>
  <c r="J3534"/>
  <c r="J3533"/>
  <c r="J3532"/>
  <c r="J3531"/>
  <c r="J3530"/>
  <c r="J3529"/>
  <c r="J3528"/>
  <c r="J3527"/>
  <c r="J3526"/>
  <c r="J3525"/>
  <c r="J3524"/>
  <c r="J3523"/>
  <c r="J3522"/>
  <c r="J3521"/>
  <c r="J3520"/>
  <c r="J3519"/>
  <c r="J3518"/>
  <c r="J3517"/>
  <c r="J3516"/>
  <c r="J3515"/>
  <c r="J3514"/>
  <c r="J3513"/>
  <c r="J3512"/>
  <c r="J3511"/>
  <c r="J3510"/>
  <c r="J3509"/>
  <c r="J3508"/>
  <c r="J3507"/>
  <c r="J3506"/>
  <c r="J3505"/>
  <c r="J3504"/>
  <c r="J3503"/>
  <c r="J3502"/>
  <c r="J3501"/>
  <c r="J3500"/>
  <c r="J3499"/>
  <c r="J3498"/>
  <c r="J3497"/>
  <c r="J3496"/>
  <c r="J3495"/>
  <c r="J3494"/>
  <c r="J3493"/>
  <c r="J3492"/>
  <c r="J3491"/>
  <c r="J3490"/>
  <c r="J3489"/>
  <c r="J3488"/>
  <c r="J3487"/>
  <c r="J3486"/>
  <c r="J3485"/>
  <c r="J3484"/>
  <c r="J3483"/>
  <c r="J3482"/>
  <c r="J3481"/>
  <c r="J3480"/>
  <c r="J3479"/>
  <c r="J3478"/>
  <c r="J3477"/>
  <c r="J3476"/>
  <c r="J3475"/>
  <c r="J3474"/>
  <c r="J3473"/>
  <c r="J3472"/>
  <c r="J3471"/>
  <c r="J3470"/>
  <c r="J3469"/>
  <c r="J3468"/>
  <c r="J3467"/>
  <c r="J3466"/>
  <c r="J3465"/>
  <c r="J3464"/>
  <c r="J3463"/>
  <c r="J3462"/>
  <c r="J3461"/>
  <c r="J3460"/>
  <c r="J3459"/>
  <c r="J3458"/>
  <c r="J3457"/>
  <c r="J3456"/>
  <c r="J3455"/>
  <c r="J3454"/>
  <c r="J3453"/>
  <c r="J3452"/>
  <c r="J3451"/>
  <c r="J3450"/>
  <c r="J3449"/>
  <c r="J3448"/>
  <c r="J3447"/>
  <c r="J3446"/>
  <c r="J3445"/>
  <c r="J3444"/>
  <c r="J3443"/>
  <c r="J3442"/>
  <c r="J3441"/>
  <c r="J3440"/>
  <c r="J3439"/>
  <c r="J3438"/>
  <c r="J3437"/>
  <c r="J3436"/>
  <c r="J3435"/>
  <c r="J3434"/>
  <c r="J3433"/>
  <c r="J3432"/>
  <c r="J3431"/>
  <c r="J3430"/>
  <c r="J3429"/>
  <c r="J3428"/>
  <c r="J3427"/>
  <c r="J3426"/>
  <c r="J3425"/>
  <c r="J3424"/>
  <c r="J3423"/>
  <c r="J3422"/>
  <c r="J3421"/>
  <c r="J3420"/>
  <c r="J3419"/>
  <c r="J3418"/>
  <c r="J3417"/>
  <c r="J3416"/>
  <c r="J3415"/>
  <c r="J3414"/>
  <c r="J3413"/>
  <c r="J3412"/>
  <c r="J3411"/>
  <c r="J3410"/>
  <c r="J3409"/>
  <c r="J3408"/>
  <c r="J3407"/>
  <c r="J3406"/>
  <c r="J3405"/>
  <c r="J3404"/>
  <c r="J3403"/>
  <c r="J3402"/>
  <c r="J3401"/>
  <c r="J3400"/>
  <c r="J3399"/>
  <c r="J3398"/>
  <c r="J3397"/>
  <c r="J3396"/>
  <c r="J3395"/>
  <c r="J3394"/>
  <c r="J3393"/>
  <c r="J3392"/>
  <c r="J3391"/>
  <c r="J3390"/>
  <c r="J3389"/>
  <c r="J3388"/>
  <c r="J3387"/>
  <c r="J3386"/>
  <c r="J3385"/>
  <c r="J3384"/>
  <c r="J3383"/>
  <c r="J3382"/>
  <c r="J3381"/>
  <c r="J3380"/>
  <c r="J3379"/>
  <c r="J3378"/>
  <c r="J3377"/>
  <c r="J3376"/>
  <c r="J3375"/>
  <c r="J3374"/>
  <c r="J3373"/>
  <c r="J3372"/>
  <c r="J3371"/>
  <c r="J3370"/>
  <c r="J3369"/>
  <c r="J3368"/>
  <c r="J3367"/>
  <c r="J3366"/>
  <c r="J3365"/>
  <c r="J3364"/>
  <c r="J3363"/>
  <c r="J3362"/>
  <c r="J3361"/>
  <c r="J3360"/>
  <c r="J3359"/>
  <c r="J3358"/>
  <c r="J3357"/>
  <c r="J3356"/>
  <c r="J3355"/>
  <c r="J3354"/>
  <c r="J3353"/>
  <c r="J3352"/>
  <c r="J3351"/>
  <c r="J3350"/>
  <c r="J3349"/>
  <c r="J3348"/>
  <c r="J3347"/>
  <c r="J3346"/>
  <c r="J3345"/>
  <c r="J3344"/>
  <c r="J3343"/>
  <c r="J3342"/>
  <c r="J3341"/>
  <c r="J3340"/>
  <c r="J3339"/>
  <c r="J3338"/>
  <c r="J3337"/>
  <c r="J3336"/>
  <c r="J3335"/>
  <c r="J3334"/>
  <c r="J3333"/>
  <c r="J3332"/>
  <c r="J3331"/>
  <c r="J3330"/>
  <c r="J3329"/>
  <c r="J3328"/>
  <c r="J3327"/>
  <c r="J3326"/>
  <c r="J3325"/>
  <c r="J3324"/>
  <c r="J3323"/>
  <c r="J3322"/>
  <c r="J3321"/>
  <c r="J3320"/>
  <c r="J3319"/>
  <c r="J3318"/>
  <c r="J3317"/>
  <c r="J3316"/>
  <c r="J3315"/>
  <c r="J3314"/>
  <c r="J3313"/>
  <c r="J3312"/>
  <c r="J3311"/>
  <c r="J3310"/>
  <c r="J3309"/>
  <c r="J3308"/>
  <c r="J3307"/>
  <c r="J3306"/>
  <c r="J3305"/>
  <c r="J3304"/>
  <c r="J3303"/>
  <c r="J3302"/>
  <c r="J3301"/>
  <c r="J3300"/>
  <c r="J3299"/>
  <c r="J3298"/>
  <c r="J3297"/>
  <c r="J3296"/>
  <c r="J3295"/>
  <c r="J3294"/>
  <c r="J3293"/>
  <c r="J3292"/>
  <c r="J3291"/>
  <c r="J3290"/>
  <c r="J3289"/>
  <c r="J3288"/>
  <c r="J3287"/>
  <c r="J3286"/>
  <c r="J3285"/>
  <c r="J3284"/>
  <c r="J3283"/>
  <c r="J3282"/>
  <c r="J3281"/>
  <c r="J3280"/>
  <c r="J3279"/>
  <c r="J3278"/>
  <c r="J3277"/>
  <c r="J3276"/>
  <c r="J3275"/>
  <c r="J3274"/>
  <c r="J3273"/>
  <c r="J3272"/>
  <c r="J3271"/>
  <c r="J3270"/>
  <c r="J3269"/>
  <c r="J3268"/>
  <c r="J3267"/>
  <c r="J3266"/>
  <c r="J3265"/>
  <c r="J3264"/>
  <c r="J3263"/>
  <c r="J3262"/>
  <c r="J3261"/>
  <c r="J3260"/>
  <c r="J3259"/>
  <c r="J3258"/>
  <c r="J3257"/>
  <c r="J3256"/>
  <c r="J3255"/>
  <c r="J3254"/>
  <c r="J3253"/>
  <c r="J3252"/>
  <c r="J3251"/>
  <c r="J3250"/>
  <c r="J3249"/>
  <c r="J3248"/>
  <c r="J3247"/>
  <c r="J3246"/>
  <c r="J3245"/>
  <c r="J3244"/>
  <c r="J3243"/>
  <c r="J3242"/>
  <c r="J3241"/>
  <c r="J3240"/>
  <c r="J3239"/>
  <c r="J3238"/>
  <c r="J3237"/>
  <c r="J3236"/>
  <c r="J3235"/>
  <c r="J3234"/>
  <c r="J3233"/>
  <c r="J3232"/>
  <c r="J3231"/>
  <c r="J3230"/>
  <c r="J3229"/>
  <c r="J3228"/>
  <c r="J3227"/>
  <c r="J3226"/>
  <c r="J3225"/>
  <c r="J3224"/>
  <c r="J3223"/>
  <c r="J3222"/>
  <c r="J3221"/>
  <c r="J3220"/>
  <c r="J3219"/>
  <c r="J3218"/>
  <c r="J3217"/>
  <c r="J3216"/>
  <c r="J3215"/>
  <c r="J3214"/>
  <c r="J3213"/>
  <c r="J3212"/>
  <c r="J3211"/>
  <c r="J3210"/>
  <c r="J3209"/>
  <c r="J3208"/>
  <c r="J3207"/>
  <c r="J3206"/>
  <c r="J3205"/>
  <c r="J3204"/>
  <c r="J3203"/>
  <c r="J3202"/>
  <c r="J3201"/>
  <c r="J3200"/>
  <c r="J3199"/>
  <c r="J3198"/>
  <c r="J3197"/>
  <c r="J3196"/>
  <c r="J3195"/>
  <c r="J3194"/>
  <c r="J3193"/>
  <c r="J3192"/>
  <c r="J3191"/>
  <c r="J3190"/>
  <c r="J3189"/>
  <c r="J3188"/>
  <c r="J3187"/>
  <c r="J3186"/>
  <c r="J3185"/>
  <c r="J3184"/>
  <c r="J3183"/>
  <c r="J3182"/>
  <c r="J3181"/>
  <c r="J3180"/>
  <c r="J3179"/>
  <c r="J3178"/>
  <c r="J3177"/>
  <c r="J3176"/>
  <c r="J3175"/>
  <c r="J3174"/>
  <c r="J3173"/>
  <c r="J3172"/>
  <c r="J3171"/>
  <c r="J3170"/>
  <c r="J3169"/>
  <c r="J3168"/>
  <c r="J3167"/>
  <c r="J3166"/>
  <c r="J3165"/>
  <c r="J3164"/>
  <c r="J3163"/>
  <c r="J3162"/>
  <c r="J3161"/>
  <c r="J3160"/>
  <c r="J3159"/>
  <c r="J3158"/>
  <c r="J3157"/>
  <c r="J3156"/>
  <c r="J3155"/>
  <c r="J3154"/>
  <c r="J3153"/>
  <c r="J3152"/>
  <c r="J3151"/>
  <c r="J3150"/>
  <c r="J3149"/>
  <c r="J3148"/>
  <c r="J3147"/>
  <c r="J3146"/>
  <c r="J3145"/>
  <c r="J3144"/>
  <c r="J3143"/>
  <c r="J3142"/>
  <c r="J3141"/>
  <c r="J3140"/>
  <c r="J3139"/>
  <c r="J3138"/>
  <c r="J3137"/>
  <c r="J3136"/>
  <c r="J3135"/>
  <c r="J3134"/>
  <c r="J3133"/>
  <c r="J3132"/>
  <c r="J3131"/>
  <c r="J3130"/>
  <c r="J3129"/>
  <c r="J3128"/>
  <c r="J3127"/>
  <c r="J3126"/>
  <c r="J3125"/>
  <c r="J3124"/>
  <c r="J3123"/>
  <c r="J3122"/>
  <c r="J3121"/>
  <c r="J3120"/>
  <c r="J3119"/>
  <c r="J3118"/>
  <c r="J3117"/>
  <c r="J3116"/>
  <c r="J3115"/>
  <c r="J3114"/>
  <c r="J3113"/>
  <c r="J3112"/>
  <c r="J3111"/>
  <c r="J3110"/>
  <c r="J3109"/>
  <c r="J3108"/>
  <c r="J3107"/>
  <c r="J3106"/>
  <c r="J3105"/>
  <c r="J3104"/>
  <c r="J3103"/>
  <c r="J3102"/>
  <c r="J3101"/>
  <c r="J3100"/>
  <c r="J3099"/>
  <c r="J3098"/>
  <c r="J3097"/>
  <c r="J3096"/>
  <c r="J3095"/>
  <c r="J3094"/>
  <c r="J3093"/>
  <c r="J3092"/>
  <c r="J3091"/>
  <c r="J3090"/>
  <c r="J3089"/>
  <c r="J3088"/>
  <c r="J3087"/>
  <c r="J3086"/>
  <c r="J3085"/>
  <c r="J3084"/>
  <c r="J3083"/>
  <c r="J3082"/>
  <c r="J3081"/>
  <c r="J3080"/>
  <c r="J3079"/>
  <c r="J3078"/>
  <c r="J3077"/>
  <c r="J3076"/>
  <c r="J3075"/>
  <c r="J3074"/>
  <c r="J3073"/>
  <c r="J3072"/>
  <c r="J3071"/>
  <c r="J3070"/>
  <c r="J3069"/>
  <c r="J3068"/>
  <c r="J3067"/>
  <c r="J3066"/>
  <c r="J3065"/>
  <c r="J3064"/>
  <c r="J3063"/>
  <c r="J3062"/>
  <c r="J3061"/>
  <c r="J3060"/>
  <c r="J3059"/>
  <c r="J3058"/>
  <c r="J3057"/>
  <c r="J3056"/>
  <c r="J3055"/>
  <c r="J3054"/>
  <c r="J3053"/>
  <c r="J3052"/>
  <c r="J3051"/>
  <c r="J3050"/>
  <c r="J3049"/>
  <c r="J3048"/>
  <c r="J3047"/>
  <c r="J3046"/>
  <c r="J3045"/>
  <c r="J3044"/>
  <c r="J3043"/>
  <c r="J3042"/>
  <c r="J3041"/>
  <c r="J3040"/>
  <c r="J3039"/>
  <c r="J3038"/>
  <c r="J3037"/>
  <c r="J3036"/>
  <c r="J3035"/>
  <c r="J3034"/>
  <c r="J3033"/>
  <c r="J3032"/>
  <c r="J3031"/>
  <c r="J3030"/>
  <c r="J3029"/>
  <c r="J3028"/>
  <c r="J3027"/>
  <c r="J3026"/>
  <c r="J3025"/>
  <c r="J3024"/>
  <c r="J3023"/>
  <c r="J3022"/>
  <c r="J3021"/>
  <c r="J3020"/>
  <c r="J3019"/>
  <c r="J3018"/>
  <c r="J3017"/>
  <c r="J3016"/>
  <c r="J3015"/>
  <c r="J3014"/>
  <c r="J3013"/>
  <c r="J3012"/>
  <c r="J3011"/>
  <c r="J3010"/>
  <c r="J3009"/>
  <c r="J3008"/>
  <c r="J3007"/>
  <c r="J3006"/>
  <c r="J3005"/>
  <c r="J3004"/>
  <c r="J3003"/>
  <c r="J3002"/>
  <c r="J3001"/>
  <c r="J3000"/>
  <c r="J2999"/>
  <c r="J2998"/>
  <c r="J2997"/>
  <c r="J2996"/>
  <c r="J2995"/>
  <c r="J2994"/>
  <c r="J2993"/>
  <c r="J2992"/>
  <c r="J2991"/>
  <c r="J2990"/>
  <c r="J2989"/>
  <c r="J2988"/>
  <c r="J2987"/>
  <c r="J2986"/>
  <c r="J2985"/>
  <c r="J2984"/>
  <c r="J2983"/>
  <c r="J2982"/>
  <c r="J2981"/>
  <c r="J2980"/>
  <c r="J2979"/>
  <c r="J2978"/>
  <c r="J2977"/>
  <c r="J2976"/>
  <c r="J2975"/>
  <c r="J2974"/>
  <c r="J2973"/>
  <c r="J2972"/>
  <c r="J2971"/>
  <c r="J2970"/>
  <c r="J2969"/>
  <c r="J2968"/>
  <c r="J2967"/>
  <c r="J2966"/>
  <c r="J2965"/>
  <c r="J2964"/>
  <c r="J2963"/>
  <c r="J2962"/>
  <c r="J2961"/>
  <c r="J2960"/>
  <c r="J2959"/>
  <c r="J2958"/>
  <c r="J2957"/>
  <c r="J2956"/>
  <c r="J2955"/>
  <c r="J2954"/>
  <c r="J2953"/>
  <c r="J2952"/>
  <c r="J2951"/>
  <c r="J2950"/>
  <c r="J2949"/>
  <c r="J2948"/>
  <c r="J2947"/>
  <c r="J2946"/>
  <c r="J2945"/>
  <c r="J2944"/>
  <c r="J2943"/>
  <c r="J2942"/>
  <c r="J2941"/>
  <c r="J2940"/>
  <c r="J2939"/>
  <c r="J2938"/>
  <c r="J2937"/>
  <c r="J2936"/>
  <c r="J2935"/>
  <c r="J2934"/>
  <c r="J2933"/>
  <c r="J2932"/>
  <c r="J2931"/>
  <c r="J2930"/>
  <c r="J2929"/>
  <c r="J2928"/>
  <c r="J2927"/>
  <c r="J2926"/>
  <c r="J2925"/>
  <c r="J2924"/>
  <c r="J2923"/>
  <c r="J2922"/>
  <c r="J2921"/>
  <c r="J2920"/>
  <c r="J2919"/>
  <c r="J2918"/>
  <c r="J2917"/>
  <c r="J2916"/>
  <c r="J2915"/>
  <c r="J2914"/>
  <c r="J2913"/>
  <c r="J2912"/>
  <c r="J2911"/>
  <c r="J2910"/>
  <c r="J2909"/>
  <c r="J2908"/>
  <c r="J2907"/>
  <c r="J2906"/>
  <c r="J2905"/>
  <c r="J2904"/>
  <c r="J2903"/>
  <c r="J2902"/>
  <c r="J2901"/>
  <c r="J2900"/>
  <c r="J2899"/>
  <c r="J2898"/>
  <c r="J2897"/>
  <c r="J2896"/>
  <c r="J2895"/>
  <c r="J2894"/>
  <c r="J2893"/>
  <c r="J2892"/>
  <c r="J2891"/>
  <c r="J2890"/>
  <c r="J2889"/>
  <c r="J2888"/>
  <c r="J2887"/>
  <c r="J2886"/>
  <c r="J2885"/>
  <c r="J2884"/>
  <c r="J2883"/>
  <c r="J2882"/>
  <c r="J2881"/>
  <c r="J2880"/>
  <c r="J2879"/>
  <c r="J2878"/>
  <c r="J2877"/>
  <c r="J2876"/>
  <c r="J2875"/>
  <c r="J2874"/>
  <c r="J2873"/>
  <c r="J2872"/>
  <c r="J2871"/>
  <c r="J2870"/>
  <c r="J2869"/>
  <c r="J2868"/>
  <c r="J2867"/>
  <c r="J2866"/>
  <c r="J2865"/>
  <c r="J2864"/>
  <c r="J2863"/>
  <c r="J2862"/>
  <c r="J2861"/>
  <c r="J2860"/>
  <c r="J2859"/>
  <c r="J2858"/>
  <c r="J2857"/>
  <c r="J2856"/>
  <c r="J2855"/>
  <c r="J2854"/>
  <c r="J2853"/>
  <c r="J2852"/>
  <c r="J2851"/>
  <c r="J2850"/>
  <c r="J2849"/>
  <c r="J2848"/>
  <c r="J2847"/>
  <c r="J2846"/>
  <c r="J2845"/>
  <c r="J2844"/>
  <c r="J2843"/>
  <c r="J2842"/>
  <c r="J2841"/>
  <c r="J2840"/>
  <c r="J2839"/>
  <c r="J2838"/>
  <c r="J2837"/>
  <c r="J2836"/>
  <c r="J2835"/>
  <c r="J2834"/>
  <c r="J2833"/>
  <c r="J2832"/>
  <c r="J2831"/>
  <c r="J2830"/>
  <c r="J2829"/>
  <c r="J2828"/>
  <c r="J2827"/>
  <c r="J2826"/>
  <c r="J2825"/>
  <c r="J2824"/>
  <c r="J2823"/>
  <c r="J2822"/>
  <c r="J2821"/>
  <c r="J2820"/>
  <c r="J2819"/>
  <c r="J2818"/>
  <c r="J2817"/>
  <c r="J2816"/>
  <c r="J2815"/>
  <c r="J2814"/>
  <c r="J2813"/>
  <c r="J2812"/>
  <c r="J2811"/>
  <c r="J2810"/>
  <c r="J2809"/>
  <c r="J2808"/>
  <c r="J2807"/>
  <c r="J2806"/>
  <c r="J2805"/>
  <c r="J2804"/>
  <c r="J2803"/>
  <c r="J2802"/>
  <c r="J2801"/>
  <c r="J2800"/>
  <c r="J2799"/>
  <c r="J2798"/>
  <c r="J2797"/>
  <c r="J2796"/>
  <c r="J2795"/>
  <c r="J2794"/>
  <c r="J2793"/>
  <c r="J2792"/>
  <c r="J2791"/>
  <c r="J2790"/>
  <c r="J2789"/>
  <c r="J2788"/>
  <c r="J2787"/>
  <c r="J2786"/>
  <c r="J2785"/>
  <c r="J2784"/>
  <c r="J2783"/>
  <c r="J2782"/>
  <c r="J2781"/>
  <c r="J2780"/>
  <c r="J2779"/>
  <c r="J2778"/>
  <c r="J2777"/>
  <c r="J2776"/>
  <c r="J2775"/>
  <c r="J2774"/>
  <c r="J2773"/>
  <c r="J2772"/>
  <c r="J2771"/>
  <c r="J2770"/>
  <c r="J2769"/>
  <c r="J2768"/>
  <c r="J2767"/>
  <c r="J2766"/>
  <c r="J2765"/>
  <c r="J2764"/>
  <c r="J2763"/>
  <c r="J2762"/>
  <c r="J2761"/>
  <c r="J2760"/>
  <c r="J2759"/>
  <c r="J2758"/>
  <c r="J2757"/>
  <c r="J2756"/>
  <c r="J2755"/>
  <c r="J2754"/>
  <c r="J2753"/>
  <c r="J2752"/>
  <c r="J2751"/>
  <c r="J2750"/>
  <c r="J2749"/>
  <c r="J2748"/>
  <c r="J2747"/>
  <c r="J2746"/>
  <c r="J2745"/>
  <c r="J2744"/>
  <c r="J2743"/>
  <c r="J2742"/>
  <c r="J2741"/>
  <c r="J2740"/>
  <c r="J2739"/>
  <c r="J2738"/>
  <c r="J2737"/>
  <c r="J2736"/>
  <c r="J2735"/>
  <c r="J2734"/>
  <c r="J2733"/>
  <c r="J2732"/>
  <c r="J2731"/>
  <c r="J2730"/>
  <c r="J2729"/>
  <c r="J2728"/>
  <c r="J2727"/>
  <c r="J2726"/>
  <c r="J2725"/>
  <c r="J2724"/>
  <c r="J2723"/>
  <c r="J2722"/>
  <c r="J2721"/>
  <c r="J2720"/>
  <c r="J2719"/>
  <c r="J2718"/>
  <c r="J2717"/>
  <c r="J2716"/>
  <c r="J2715"/>
  <c r="J2714"/>
  <c r="J2713"/>
  <c r="J2712"/>
  <c r="J2711"/>
  <c r="J2710"/>
  <c r="J2709"/>
  <c r="J2708"/>
  <c r="J2707"/>
  <c r="J2706"/>
  <c r="J2705"/>
  <c r="J2704"/>
  <c r="J2703"/>
  <c r="J2702"/>
  <c r="J2701"/>
  <c r="J2700"/>
  <c r="J2699"/>
  <c r="J2698"/>
  <c r="J2697"/>
  <c r="J2696"/>
  <c r="J2695"/>
  <c r="J2694"/>
  <c r="J2693"/>
  <c r="J2692"/>
  <c r="J2691"/>
  <c r="J2690"/>
  <c r="J2689"/>
  <c r="J2688"/>
  <c r="J2687"/>
  <c r="J2686"/>
  <c r="J2685"/>
  <c r="J2684"/>
  <c r="J2683"/>
  <c r="J2682"/>
  <c r="J2681"/>
  <c r="J2680"/>
  <c r="J2679"/>
  <c r="J2678"/>
  <c r="J2677"/>
  <c r="J2676"/>
  <c r="J2675"/>
  <c r="J2674"/>
  <c r="J2673"/>
  <c r="J2672"/>
  <c r="J2671"/>
  <c r="J2670"/>
  <c r="J2669"/>
  <c r="J2668"/>
  <c r="J2667"/>
  <c r="J2666"/>
  <c r="J2665"/>
  <c r="J2664"/>
  <c r="J2663"/>
  <c r="J2662"/>
  <c r="J2661"/>
  <c r="J2660"/>
  <c r="J2659"/>
  <c r="J2658"/>
  <c r="J2657"/>
  <c r="J2656"/>
  <c r="J2655"/>
  <c r="J2654"/>
  <c r="J2653"/>
  <c r="J2652"/>
  <c r="J2651"/>
  <c r="J2650"/>
  <c r="J2649"/>
  <c r="J2648"/>
  <c r="J2647"/>
  <c r="J2646"/>
  <c r="J2645"/>
  <c r="J2644"/>
  <c r="J2643"/>
  <c r="J2642"/>
  <c r="J2641"/>
  <c r="J2640"/>
  <c r="J2639"/>
  <c r="J2638"/>
  <c r="J2637"/>
  <c r="J2636"/>
  <c r="J2635"/>
  <c r="J2634"/>
  <c r="J2633"/>
  <c r="J2632"/>
  <c r="J2631"/>
  <c r="J2630"/>
  <c r="J2629"/>
  <c r="J2628"/>
  <c r="J2627"/>
  <c r="J2626"/>
  <c r="J2625"/>
  <c r="J2624"/>
  <c r="J2623"/>
  <c r="J2622"/>
  <c r="J2621"/>
  <c r="J2620"/>
  <c r="J2619"/>
  <c r="J2618"/>
  <c r="J2617"/>
  <c r="J2616"/>
  <c r="J2615"/>
  <c r="J2614"/>
  <c r="J2613"/>
  <c r="J2612"/>
  <c r="J2611"/>
  <c r="J2610"/>
  <c r="J2609"/>
  <c r="J2608"/>
  <c r="J2607"/>
  <c r="J2606"/>
  <c r="J2605"/>
  <c r="J2604"/>
  <c r="J2603"/>
  <c r="J2602"/>
  <c r="J2601"/>
  <c r="J2600"/>
  <c r="J2599"/>
  <c r="J2598"/>
  <c r="J2597"/>
  <c r="J2596"/>
  <c r="J2595"/>
  <c r="J2594"/>
  <c r="J2593"/>
  <c r="J2592"/>
  <c r="J2591"/>
  <c r="J2590"/>
  <c r="J2589"/>
  <c r="J2588"/>
  <c r="J2587"/>
  <c r="J2586"/>
  <c r="J2585"/>
  <c r="J2584"/>
  <c r="J2583"/>
  <c r="J2582"/>
  <c r="J2581"/>
  <c r="J2580"/>
  <c r="J2579"/>
  <c r="J2578"/>
  <c r="J2577"/>
  <c r="J2576"/>
  <c r="J2575"/>
  <c r="J2574"/>
  <c r="J2573"/>
  <c r="J2572"/>
  <c r="J2571"/>
  <c r="J2570"/>
  <c r="J2569"/>
  <c r="J2568"/>
  <c r="J2567"/>
  <c r="J2566"/>
  <c r="J2565"/>
  <c r="J2564"/>
  <c r="J2563"/>
  <c r="J2562"/>
  <c r="J2561"/>
  <c r="J2560"/>
  <c r="J2559"/>
  <c r="J2558"/>
  <c r="J2557"/>
  <c r="J2556"/>
  <c r="J2555"/>
  <c r="J2554"/>
  <c r="J2553"/>
  <c r="J2552"/>
  <c r="J2551"/>
  <c r="J2550"/>
  <c r="J2549"/>
  <c r="J2548"/>
  <c r="J2547"/>
  <c r="J2546"/>
  <c r="J2545"/>
  <c r="J2544"/>
  <c r="J2543"/>
  <c r="J2542"/>
  <c r="J2541"/>
  <c r="J2540"/>
  <c r="J2539"/>
  <c r="J2538"/>
  <c r="J2537"/>
  <c r="J2536"/>
  <c r="J2535"/>
  <c r="J2534"/>
  <c r="J2533"/>
  <c r="J2532"/>
  <c r="J2531"/>
  <c r="J2530"/>
  <c r="J2529"/>
  <c r="J2528"/>
  <c r="J2527"/>
  <c r="J2526"/>
  <c r="J2525"/>
  <c r="J2524"/>
  <c r="J2523"/>
  <c r="J2522"/>
  <c r="J2521"/>
  <c r="J2520"/>
  <c r="J2519"/>
  <c r="J2518"/>
  <c r="J2517"/>
  <c r="J2516"/>
  <c r="J2515"/>
  <c r="J2514"/>
  <c r="J2513"/>
  <c r="J2512"/>
  <c r="J2511"/>
  <c r="J2510"/>
  <c r="J2509"/>
  <c r="J2508"/>
  <c r="J2507"/>
  <c r="J2506"/>
  <c r="J2505"/>
  <c r="J2504"/>
  <c r="J2503"/>
  <c r="J2502"/>
  <c r="J2501"/>
  <c r="J2500"/>
  <c r="J2499"/>
  <c r="J2498"/>
  <c r="J2497"/>
  <c r="J2496"/>
  <c r="J2495"/>
  <c r="J2494"/>
  <c r="J2493"/>
  <c r="J2492"/>
  <c r="J2491"/>
  <c r="J2490"/>
  <c r="J2489"/>
  <c r="J2488"/>
  <c r="J2487"/>
  <c r="J2486"/>
  <c r="J2485"/>
  <c r="J2484"/>
  <c r="J2483"/>
  <c r="J2482"/>
  <c r="J2481"/>
  <c r="J2480"/>
  <c r="J2479"/>
  <c r="J2478"/>
  <c r="J2477"/>
  <c r="J2476"/>
  <c r="J2475"/>
  <c r="J2474"/>
  <c r="J2473"/>
  <c r="J2472"/>
  <c r="J2471"/>
  <c r="J2470"/>
  <c r="J2469"/>
  <c r="J2468"/>
  <c r="J2467"/>
  <c r="J2466"/>
  <c r="J2465"/>
  <c r="J2464"/>
  <c r="J2463"/>
  <c r="J2462"/>
  <c r="J2461"/>
  <c r="J2460"/>
  <c r="J2459"/>
  <c r="J2458"/>
  <c r="J2457"/>
  <c r="J2456"/>
  <c r="J2455"/>
  <c r="J2454"/>
  <c r="J2453"/>
  <c r="J2452"/>
  <c r="J2451"/>
  <c r="J2450"/>
  <c r="J2449"/>
  <c r="J2448"/>
  <c r="J2447"/>
  <c r="J2446"/>
  <c r="J2445"/>
  <c r="J2444"/>
  <c r="J2443"/>
  <c r="J2442"/>
  <c r="J2441"/>
  <c r="J2440"/>
  <c r="J2439"/>
  <c r="J2438"/>
  <c r="J2437"/>
  <c r="J2436"/>
  <c r="J2435"/>
  <c r="J2434"/>
  <c r="J2433"/>
  <c r="J2432"/>
  <c r="J2431"/>
  <c r="J2430"/>
  <c r="J2429"/>
  <c r="J2428"/>
  <c r="J2427"/>
  <c r="J2426"/>
  <c r="J2425"/>
  <c r="J2424"/>
  <c r="J2423"/>
  <c r="J2422"/>
  <c r="J2421"/>
  <c r="J2420"/>
  <c r="J2419"/>
  <c r="J2418"/>
  <c r="J2417"/>
  <c r="J2416"/>
  <c r="J2415"/>
  <c r="J2414"/>
  <c r="J2413"/>
  <c r="J2412"/>
  <c r="J2411"/>
  <c r="J2410"/>
  <c r="J2409"/>
  <c r="J2408"/>
  <c r="J2407"/>
  <c r="J2406"/>
  <c r="J2405"/>
  <c r="J2404"/>
  <c r="J2403"/>
  <c r="J2402"/>
  <c r="J2401"/>
  <c r="J2400"/>
  <c r="J2399"/>
  <c r="J2398"/>
  <c r="J2397"/>
  <c r="J2396"/>
  <c r="J2395"/>
  <c r="J2394"/>
  <c r="J2393"/>
  <c r="J2392"/>
  <c r="J2391"/>
  <c r="J2390"/>
  <c r="J2389"/>
  <c r="J2388"/>
  <c r="J2387"/>
  <c r="J2386"/>
  <c r="J2385"/>
  <c r="J2384"/>
  <c r="J2383"/>
  <c r="J2382"/>
  <c r="J2381"/>
  <c r="J2380"/>
  <c r="J2379"/>
  <c r="J2378"/>
  <c r="J2377"/>
  <c r="J2376"/>
  <c r="J2375"/>
  <c r="J2374"/>
  <c r="J2373"/>
  <c r="J2372"/>
  <c r="J2371"/>
  <c r="J2370"/>
  <c r="J2369"/>
  <c r="J2368"/>
  <c r="J2367"/>
  <c r="J2366"/>
  <c r="J2365"/>
  <c r="J2364"/>
  <c r="J2363"/>
  <c r="J2362"/>
  <c r="J2361"/>
  <c r="J2360"/>
  <c r="J2359"/>
  <c r="J2358"/>
  <c r="J2357"/>
  <c r="J2356"/>
  <c r="J2355"/>
  <c r="J2354"/>
  <c r="J2353"/>
  <c r="J2352"/>
  <c r="J2351"/>
  <c r="J2350"/>
  <c r="J2349"/>
  <c r="J2348"/>
  <c r="J2347"/>
  <c r="J2346"/>
  <c r="J2345"/>
  <c r="J2344"/>
  <c r="J2343"/>
  <c r="J2342"/>
  <c r="J2341"/>
  <c r="J2340"/>
  <c r="J2339"/>
  <c r="J2338"/>
  <c r="J2337"/>
  <c r="J2336"/>
  <c r="J2335"/>
  <c r="J2334"/>
  <c r="J2333"/>
  <c r="J2332"/>
  <c r="J2331"/>
  <c r="J2330"/>
  <c r="J2329"/>
  <c r="J2328"/>
  <c r="J2327"/>
  <c r="J2326"/>
  <c r="J2325"/>
  <c r="J2324"/>
  <c r="J2323"/>
  <c r="J2322"/>
  <c r="J2321"/>
  <c r="J2320"/>
  <c r="J2319"/>
  <c r="J2318"/>
  <c r="J2317"/>
  <c r="J2316"/>
  <c r="J2315"/>
  <c r="J2314"/>
  <c r="J2313"/>
  <c r="J2312"/>
  <c r="J2311"/>
  <c r="J2310"/>
  <c r="J2309"/>
  <c r="J2308"/>
  <c r="J2307"/>
  <c r="J2306"/>
  <c r="J2305"/>
  <c r="J2304"/>
  <c r="J2303"/>
  <c r="J2302"/>
  <c r="J2301"/>
  <c r="J2300"/>
  <c r="J2299"/>
  <c r="J2298"/>
  <c r="J2297"/>
  <c r="J2296"/>
  <c r="J2295"/>
  <c r="J2294"/>
  <c r="J2293"/>
  <c r="J2292"/>
  <c r="J2291"/>
  <c r="J2290"/>
  <c r="J2289"/>
  <c r="J2288"/>
  <c r="J2287"/>
  <c r="J2286"/>
  <c r="J2285"/>
  <c r="J2284"/>
  <c r="J2283"/>
  <c r="J2282"/>
  <c r="J2281"/>
  <c r="J2280"/>
  <c r="J2279"/>
  <c r="J2278"/>
  <c r="J2277"/>
  <c r="J2276"/>
  <c r="J2275"/>
  <c r="J2274"/>
  <c r="J2273"/>
  <c r="J2272"/>
  <c r="J2271"/>
  <c r="J2270"/>
  <c r="J2269"/>
  <c r="J2268"/>
  <c r="J2267"/>
  <c r="J2266"/>
  <c r="J2265"/>
  <c r="J2264"/>
  <c r="J2263"/>
  <c r="J2262"/>
  <c r="J2261"/>
  <c r="J2260"/>
  <c r="J2259"/>
  <c r="J2258"/>
  <c r="J2257"/>
  <c r="J2256"/>
  <c r="J2255"/>
  <c r="J2254"/>
  <c r="J2253"/>
  <c r="J2252"/>
  <c r="J2251"/>
  <c r="J2250"/>
  <c r="J2249"/>
  <c r="J2248"/>
  <c r="J2247"/>
  <c r="J2246"/>
  <c r="J2245"/>
  <c r="J2244"/>
  <c r="J2243"/>
  <c r="J2242"/>
  <c r="J2241"/>
  <c r="J2240"/>
  <c r="J2239"/>
  <c r="J2238"/>
  <c r="J2237"/>
  <c r="J2236"/>
  <c r="J2235"/>
  <c r="J2234"/>
  <c r="J2233"/>
  <c r="J2232"/>
  <c r="J2231"/>
  <c r="J2230"/>
  <c r="J2229"/>
  <c r="J2228"/>
  <c r="J2227"/>
  <c r="J2226"/>
  <c r="J2225"/>
  <c r="J2224"/>
  <c r="J2223"/>
  <c r="J2222"/>
  <c r="J2221"/>
  <c r="J2220"/>
  <c r="J2219"/>
  <c r="J2218"/>
  <c r="J2217"/>
  <c r="J2216"/>
  <c r="J2215"/>
  <c r="J2214"/>
  <c r="J2213"/>
  <c r="J2212"/>
  <c r="J2211"/>
  <c r="J2210"/>
  <c r="J2209"/>
  <c r="J2208"/>
  <c r="J2207"/>
  <c r="J2206"/>
  <c r="J2205"/>
  <c r="J2204"/>
  <c r="J2203"/>
  <c r="J2202"/>
  <c r="J2201"/>
  <c r="J2200"/>
  <c r="J2199"/>
  <c r="J2198"/>
  <c r="J2197"/>
  <c r="J2196"/>
  <c r="J2195"/>
  <c r="J2194"/>
  <c r="J2193"/>
  <c r="J2192"/>
  <c r="J2191"/>
  <c r="J2190"/>
  <c r="J2189"/>
  <c r="J2188"/>
  <c r="J2187"/>
  <c r="J2186"/>
  <c r="J2185"/>
  <c r="J2184"/>
  <c r="J2183"/>
  <c r="J2182"/>
  <c r="J2181"/>
  <c r="J2180"/>
  <c r="J2179"/>
  <c r="J2178"/>
  <c r="J2177"/>
  <c r="J2176"/>
  <c r="J2175"/>
  <c r="J2174"/>
  <c r="J2173"/>
  <c r="J2172"/>
  <c r="J2171"/>
  <c r="J2170"/>
  <c r="J2169"/>
  <c r="J2168"/>
  <c r="J2167"/>
  <c r="J2166"/>
  <c r="J2165"/>
  <c r="J2164"/>
  <c r="J2163"/>
  <c r="J2162"/>
  <c r="J2161"/>
  <c r="J2160"/>
  <c r="J2159"/>
  <c r="J2158"/>
  <c r="J2157"/>
  <c r="J2156"/>
  <c r="J2155"/>
  <c r="J2154"/>
  <c r="J2153"/>
  <c r="J2152"/>
  <c r="J2151"/>
  <c r="J2150"/>
  <c r="J2149"/>
  <c r="J2148"/>
  <c r="J2147"/>
  <c r="J2146"/>
  <c r="J2145"/>
  <c r="J2144"/>
  <c r="J2143"/>
  <c r="J2142"/>
  <c r="J2141"/>
  <c r="J2140"/>
  <c r="J2139"/>
  <c r="J2138"/>
  <c r="J2137"/>
  <c r="J2136"/>
  <c r="J2135"/>
  <c r="J2134"/>
  <c r="J2133"/>
  <c r="J2132"/>
  <c r="J2131"/>
  <c r="J2130"/>
  <c r="J2129"/>
  <c r="J2128"/>
  <c r="J2127"/>
  <c r="J2126"/>
  <c r="J2125"/>
  <c r="J2124"/>
  <c r="J2123"/>
  <c r="J2122"/>
  <c r="J2121"/>
  <c r="J2120"/>
  <c r="J2119"/>
  <c r="J2118"/>
  <c r="J2117"/>
  <c r="J2116"/>
  <c r="J2115"/>
  <c r="J2114"/>
  <c r="J2113"/>
  <c r="J2112"/>
  <c r="J2111"/>
  <c r="J2110"/>
  <c r="J2109"/>
  <c r="J2108"/>
  <c r="J2107"/>
  <c r="J2106"/>
  <c r="J2105"/>
  <c r="J2104"/>
  <c r="J2103"/>
  <c r="J2102"/>
  <c r="J2101"/>
  <c r="J2100"/>
  <c r="J2099"/>
  <c r="J2098"/>
  <c r="J2097"/>
  <c r="J2096"/>
  <c r="J2095"/>
  <c r="J2094"/>
  <c r="J2093"/>
  <c r="J2092"/>
  <c r="J2091"/>
  <c r="J2090"/>
  <c r="J2089"/>
  <c r="J2088"/>
  <c r="J2087"/>
  <c r="J2086"/>
  <c r="J2085"/>
  <c r="J2084"/>
  <c r="J2083"/>
  <c r="J2082"/>
  <c r="J2081"/>
  <c r="J2080"/>
  <c r="J2079"/>
  <c r="J2078"/>
  <c r="J2077"/>
  <c r="J2076"/>
  <c r="J2075"/>
  <c r="J2074"/>
  <c r="J2073"/>
  <c r="J2072"/>
  <c r="J2071"/>
  <c r="J2070"/>
  <c r="J2069"/>
  <c r="J2068"/>
  <c r="J2067"/>
  <c r="J2066"/>
  <c r="J2065"/>
  <c r="J2064"/>
  <c r="J2063"/>
  <c r="J2062"/>
  <c r="J2061"/>
  <c r="J2060"/>
  <c r="J2059"/>
  <c r="J2058"/>
  <c r="J2057"/>
  <c r="J2056"/>
  <c r="J2055"/>
  <c r="J2054"/>
  <c r="J2053"/>
  <c r="J2052"/>
  <c r="J2051"/>
  <c r="J2050"/>
  <c r="J2049"/>
  <c r="J2048"/>
  <c r="J2047"/>
  <c r="J2046"/>
  <c r="J2045"/>
  <c r="J2044"/>
  <c r="J2043"/>
  <c r="J2042"/>
  <c r="J2041"/>
  <c r="J2040"/>
  <c r="J2039"/>
  <c r="J2038"/>
  <c r="J2037"/>
  <c r="J2036"/>
  <c r="J2035"/>
  <c r="J2034"/>
  <c r="J2033"/>
  <c r="J2032"/>
  <c r="J2031"/>
  <c r="J2030"/>
  <c r="J2029"/>
  <c r="J2028"/>
  <c r="J2027"/>
  <c r="J2026"/>
  <c r="J2025"/>
  <c r="J2024"/>
  <c r="J2023"/>
  <c r="J2022"/>
  <c r="J2021"/>
  <c r="J2020"/>
  <c r="J2019"/>
  <c r="J2018"/>
  <c r="J2017"/>
  <c r="J2016"/>
  <c r="J2015"/>
  <c r="J2014"/>
  <c r="J2013"/>
  <c r="J2012"/>
  <c r="J2011"/>
  <c r="J2010"/>
  <c r="J2009"/>
  <c r="J2008"/>
  <c r="J2007"/>
  <c r="J2006"/>
  <c r="J2005"/>
  <c r="J2004"/>
  <c r="J2003"/>
  <c r="J2002"/>
  <c r="J2001"/>
  <c r="J2000"/>
  <c r="J1999"/>
  <c r="J1998"/>
  <c r="J1997"/>
  <c r="J1996"/>
  <c r="J1995"/>
  <c r="J1994"/>
  <c r="J1993"/>
  <c r="J1992"/>
  <c r="J1991"/>
  <c r="J1990"/>
  <c r="J1989"/>
  <c r="J1988"/>
  <c r="J1987"/>
  <c r="J1986"/>
  <c r="J1985"/>
  <c r="J1984"/>
  <c r="J1983"/>
  <c r="J1982"/>
  <c r="J1981"/>
  <c r="J1980"/>
  <c r="J1979"/>
  <c r="J1978"/>
  <c r="J1977"/>
  <c r="J1976"/>
  <c r="J1975"/>
  <c r="J1974"/>
  <c r="J1973"/>
  <c r="J1972"/>
  <c r="J1971"/>
  <c r="J1970"/>
  <c r="J1969"/>
  <c r="J1968"/>
  <c r="J1967"/>
  <c r="J1966"/>
  <c r="J1965"/>
  <c r="J1964"/>
  <c r="J1963"/>
  <c r="J1962"/>
  <c r="J1961"/>
  <c r="J1960"/>
  <c r="J1959"/>
  <c r="J1958"/>
  <c r="J1957"/>
  <c r="J1956"/>
  <c r="J1955"/>
  <c r="J1954"/>
  <c r="J1953"/>
  <c r="J1952"/>
  <c r="J1951"/>
  <c r="J1950"/>
  <c r="J1949"/>
  <c r="J1948"/>
  <c r="J1947"/>
  <c r="J1946"/>
  <c r="J1945"/>
  <c r="J1944"/>
  <c r="J1943"/>
  <c r="J1942"/>
  <c r="J1941"/>
  <c r="J1940"/>
  <c r="J1939"/>
  <c r="J1938"/>
  <c r="J1937"/>
  <c r="J1936"/>
  <c r="J1935"/>
  <c r="J1934"/>
  <c r="J1933"/>
  <c r="J1932"/>
  <c r="J1931"/>
  <c r="J1930"/>
  <c r="J1929"/>
  <c r="J1928"/>
  <c r="J1927"/>
  <c r="J1926"/>
  <c r="J1925"/>
  <c r="J1924"/>
  <c r="J1923"/>
  <c r="J1922"/>
  <c r="J1921"/>
  <c r="J1920"/>
  <c r="J1919"/>
  <c r="J1918"/>
  <c r="J1917"/>
  <c r="J1916"/>
  <c r="J1915"/>
  <c r="J1914"/>
  <c r="J1913"/>
  <c r="J1912"/>
  <c r="J1911"/>
  <c r="J1910"/>
  <c r="J1909"/>
  <c r="J1908"/>
  <c r="J1907"/>
  <c r="J1906"/>
  <c r="J1905"/>
  <c r="J1904"/>
  <c r="J1903"/>
  <c r="J1902"/>
  <c r="J1901"/>
  <c r="J1900"/>
  <c r="J1899"/>
  <c r="J1898"/>
  <c r="J1897"/>
  <c r="J1896"/>
  <c r="J1895"/>
  <c r="J1894"/>
  <c r="J1893"/>
  <c r="J1892"/>
  <c r="J1891"/>
  <c r="J1890"/>
  <c r="J1889"/>
  <c r="J1888"/>
  <c r="J1887"/>
  <c r="J1886"/>
  <c r="J1885"/>
  <c r="J1884"/>
  <c r="J1883"/>
  <c r="J1882"/>
  <c r="J1881"/>
  <c r="J1880"/>
  <c r="J1879"/>
  <c r="J1878"/>
  <c r="J1877"/>
  <c r="J1876"/>
  <c r="J1875"/>
  <c r="J1874"/>
  <c r="J1873"/>
  <c r="J1872"/>
  <c r="J1871"/>
  <c r="J1870"/>
  <c r="J1869"/>
  <c r="J1868"/>
  <c r="J1867"/>
  <c r="J1866"/>
  <c r="J1865"/>
  <c r="J1864"/>
  <c r="J1863"/>
  <c r="J1862"/>
  <c r="J1861"/>
  <c r="J1860"/>
  <c r="J1859"/>
  <c r="J1858"/>
  <c r="J1857"/>
  <c r="J1856"/>
  <c r="J1855"/>
  <c r="J1854"/>
  <c r="J1853"/>
  <c r="J1852"/>
  <c r="J1851"/>
  <c r="J1850"/>
  <c r="J1849"/>
  <c r="J1848"/>
  <c r="J1847"/>
  <c r="J1846"/>
  <c r="J1845"/>
  <c r="J1844"/>
  <c r="J1843"/>
  <c r="J1842"/>
  <c r="J1841"/>
  <c r="J1840"/>
  <c r="J1839"/>
  <c r="J1838"/>
  <c r="J1837"/>
  <c r="J1836"/>
  <c r="J1835"/>
  <c r="J1834"/>
  <c r="J1833"/>
  <c r="J1832"/>
  <c r="J1831"/>
  <c r="J1830"/>
  <c r="J1829"/>
  <c r="J1828"/>
  <c r="J1827"/>
  <c r="J1826"/>
  <c r="J1825"/>
  <c r="J1824"/>
  <c r="J1823"/>
  <c r="J1822"/>
  <c r="J1821"/>
  <c r="J1820"/>
  <c r="J1819"/>
  <c r="J1818"/>
  <c r="J1817"/>
  <c r="J1816"/>
  <c r="J1815"/>
  <c r="J1814"/>
  <c r="J1813"/>
  <c r="J1812"/>
  <c r="J1811"/>
  <c r="J1810"/>
  <c r="J1809"/>
  <c r="J1808"/>
  <c r="J1807"/>
  <c r="J1806"/>
  <c r="J1805"/>
  <c r="J1804"/>
  <c r="J1803"/>
  <c r="J1802"/>
  <c r="J1801"/>
  <c r="J1800"/>
  <c r="J1799"/>
  <c r="J1798"/>
  <c r="J1797"/>
  <c r="J1796"/>
  <c r="J1795"/>
  <c r="J1794"/>
  <c r="J1793"/>
  <c r="J1792"/>
  <c r="J1791"/>
  <c r="J1790"/>
  <c r="J1789"/>
  <c r="J1788"/>
  <c r="J1787"/>
  <c r="J1786"/>
  <c r="J1785"/>
  <c r="J1784"/>
  <c r="J1783"/>
  <c r="J1782"/>
  <c r="J1781"/>
  <c r="J1780"/>
  <c r="J1779"/>
  <c r="J1778"/>
  <c r="J1777"/>
  <c r="J1776"/>
  <c r="J1775"/>
  <c r="J1774"/>
  <c r="J1773"/>
  <c r="J1772"/>
  <c r="J1771"/>
  <c r="J1770"/>
  <c r="J1769"/>
  <c r="J1768"/>
  <c r="J1767"/>
  <c r="J1766"/>
  <c r="J1765"/>
  <c r="J1764"/>
  <c r="J1763"/>
  <c r="J1762"/>
  <c r="J1761"/>
  <c r="J1760"/>
  <c r="J1759"/>
  <c r="J1758"/>
  <c r="J1757"/>
  <c r="J1756"/>
  <c r="J1755"/>
  <c r="J1754"/>
  <c r="J1753"/>
  <c r="J1752"/>
  <c r="J1751"/>
  <c r="J1750"/>
  <c r="J1749"/>
  <c r="J1748"/>
  <c r="J1747"/>
  <c r="J1746"/>
  <c r="J1745"/>
  <c r="J1744"/>
  <c r="J1743"/>
  <c r="J1742"/>
  <c r="J1741"/>
  <c r="J1740"/>
  <c r="J1739"/>
  <c r="J1738"/>
  <c r="J1737"/>
  <c r="J1736"/>
  <c r="J1735"/>
  <c r="J1734"/>
  <c r="J1733"/>
  <c r="J1732"/>
  <c r="J1731"/>
  <c r="J1730"/>
  <c r="J1729"/>
  <c r="J1728"/>
  <c r="J1727"/>
  <c r="J1726"/>
  <c r="J1725"/>
  <c r="J1724"/>
  <c r="J1723"/>
  <c r="J1722"/>
  <c r="J1721"/>
  <c r="J1720"/>
  <c r="J1719"/>
  <c r="J1718"/>
  <c r="J1717"/>
  <c r="J1716"/>
  <c r="J1715"/>
  <c r="J1714"/>
  <c r="J1713"/>
  <c r="J1712"/>
  <c r="J1711"/>
  <c r="J1710"/>
  <c r="J1709"/>
  <c r="J1708"/>
  <c r="J1707"/>
  <c r="J1706"/>
  <c r="J1705"/>
  <c r="J1704"/>
  <c r="J1703"/>
  <c r="J1702"/>
  <c r="J1701"/>
  <c r="J1700"/>
  <c r="J1699"/>
  <c r="J1698"/>
  <c r="J1697"/>
  <c r="J1696"/>
  <c r="J1695"/>
  <c r="J1694"/>
  <c r="J1693"/>
  <c r="J1692"/>
  <c r="J1691"/>
  <c r="J1690"/>
  <c r="J1689"/>
  <c r="J1688"/>
  <c r="J1687"/>
  <c r="J1686"/>
  <c r="J1685"/>
  <c r="J1684"/>
  <c r="J1683"/>
  <c r="J1682"/>
  <c r="J1681"/>
  <c r="J1680"/>
  <c r="J1679"/>
  <c r="J1678"/>
  <c r="J1677"/>
  <c r="J1676"/>
  <c r="J1675"/>
  <c r="J1674"/>
  <c r="J1673"/>
  <c r="J1672"/>
  <c r="J1671"/>
  <c r="J1670"/>
  <c r="J1669"/>
  <c r="J1668"/>
  <c r="J1667"/>
  <c r="J1666"/>
  <c r="J1665"/>
  <c r="J1664"/>
  <c r="J1663"/>
  <c r="J1662"/>
  <c r="J1661"/>
  <c r="J1660"/>
  <c r="J1659"/>
  <c r="J1658"/>
  <c r="J1657"/>
  <c r="J1656"/>
  <c r="J1655"/>
  <c r="J1654"/>
  <c r="J1653"/>
  <c r="J1652"/>
  <c r="J1651"/>
  <c r="J1650"/>
  <c r="J1649"/>
  <c r="J1648"/>
  <c r="J1647"/>
  <c r="J1646"/>
  <c r="J1645"/>
  <c r="J1644"/>
  <c r="J1643"/>
  <c r="J1642"/>
  <c r="J1641"/>
  <c r="J1640"/>
  <c r="J1639"/>
  <c r="J1638"/>
  <c r="J1637"/>
  <c r="J1636"/>
  <c r="J1635"/>
  <c r="J1634"/>
  <c r="J1633"/>
  <c r="J1632"/>
  <c r="J1631"/>
  <c r="J1630"/>
  <c r="J1629"/>
  <c r="J1628"/>
  <c r="J1627"/>
  <c r="J1626"/>
  <c r="J1625"/>
  <c r="J1624"/>
  <c r="J1623"/>
  <c r="J1622"/>
  <c r="J1621"/>
  <c r="J1620"/>
  <c r="J1619"/>
  <c r="J1618"/>
  <c r="J1617"/>
  <c r="J1616"/>
  <c r="J1615"/>
  <c r="J1614"/>
  <c r="J1613"/>
  <c r="J1612"/>
  <c r="J1611"/>
  <c r="J1610"/>
  <c r="J1609"/>
  <c r="J1608"/>
  <c r="J1607"/>
  <c r="J1606"/>
  <c r="J1605"/>
  <c r="J1604"/>
  <c r="J1603"/>
  <c r="J1602"/>
  <c r="J1601"/>
  <c r="J1600"/>
  <c r="J1599"/>
  <c r="J1598"/>
  <c r="J1597"/>
  <c r="J1596"/>
  <c r="J1595"/>
  <c r="J1594"/>
  <c r="J1593"/>
  <c r="J1592"/>
  <c r="J1591"/>
  <c r="J1590"/>
  <c r="J1589"/>
  <c r="J1588"/>
  <c r="J1587"/>
  <c r="J1586"/>
  <c r="J1585"/>
  <c r="J1584"/>
  <c r="J1583"/>
  <c r="J1582"/>
  <c r="J1581"/>
  <c r="J1580"/>
  <c r="J1579"/>
  <c r="J1578"/>
  <c r="J1577"/>
  <c r="J1576"/>
  <c r="J1575"/>
  <c r="J1574"/>
  <c r="J1573"/>
  <c r="J1572"/>
  <c r="J1571"/>
  <c r="J1570"/>
  <c r="J1569"/>
  <c r="J1568"/>
  <c r="J1567"/>
  <c r="J1566"/>
  <c r="J1565"/>
  <c r="J1564"/>
  <c r="J1563"/>
  <c r="J1562"/>
  <c r="J1561"/>
  <c r="J1560"/>
  <c r="J1559"/>
  <c r="J1558"/>
  <c r="J1557"/>
  <c r="J1556"/>
  <c r="J1555"/>
  <c r="J1554"/>
  <c r="J1553"/>
  <c r="J1552"/>
  <c r="J1551"/>
  <c r="J1550"/>
  <c r="J1549"/>
  <c r="J1548"/>
  <c r="J1547"/>
  <c r="J1546"/>
  <c r="J1545"/>
  <c r="J1544"/>
  <c r="J1543"/>
  <c r="J1542"/>
  <c r="J1541"/>
  <c r="J1540"/>
  <c r="J1539"/>
  <c r="J1538"/>
  <c r="J1537"/>
  <c r="J1536"/>
  <c r="J1535"/>
  <c r="J1534"/>
  <c r="J1533"/>
  <c r="J1532"/>
  <c r="J1531"/>
  <c r="J1530"/>
  <c r="J1529"/>
  <c r="J1528"/>
  <c r="J1527"/>
  <c r="J1526"/>
  <c r="J1525"/>
  <c r="J1524"/>
  <c r="J1523"/>
  <c r="J1522"/>
  <c r="J1521"/>
  <c r="J1520"/>
  <c r="J1519"/>
  <c r="J1518"/>
  <c r="J1517"/>
  <c r="J1516"/>
  <c r="J1515"/>
  <c r="J1514"/>
  <c r="J1513"/>
  <c r="J1512"/>
  <c r="J1511"/>
  <c r="J1510"/>
  <c r="J1509"/>
  <c r="J1508"/>
  <c r="J1507"/>
  <c r="J1506"/>
  <c r="J1505"/>
  <c r="J1504"/>
  <c r="J1503"/>
  <c r="J1502"/>
  <c r="J1501"/>
  <c r="J1500"/>
  <c r="J1499"/>
  <c r="J1498"/>
  <c r="J1497"/>
  <c r="J1496"/>
  <c r="J1495"/>
  <c r="J1494"/>
  <c r="J1493"/>
  <c r="J1492"/>
  <c r="J1491"/>
  <c r="J1490"/>
  <c r="J1489"/>
  <c r="J1488"/>
  <c r="J1487"/>
  <c r="J1486"/>
  <c r="J1485"/>
  <c r="J1484"/>
  <c r="J1483"/>
  <c r="J1482"/>
  <c r="J1481"/>
  <c r="J1480"/>
  <c r="J1479"/>
  <c r="J1478"/>
  <c r="J1477"/>
  <c r="J1476"/>
  <c r="J1475"/>
  <c r="J1474"/>
  <c r="J1473"/>
  <c r="J1472"/>
  <c r="J1471"/>
  <c r="J1470"/>
  <c r="J1469"/>
  <c r="J1468"/>
  <c r="J1467"/>
  <c r="J1466"/>
  <c r="J1465"/>
  <c r="J1464"/>
  <c r="J1463"/>
  <c r="J1462"/>
  <c r="J1461"/>
  <c r="J1460"/>
  <c r="J1459"/>
  <c r="J1458"/>
  <c r="J1457"/>
  <c r="J1456"/>
  <c r="J1455"/>
  <c r="J1454"/>
  <c r="J1453"/>
  <c r="J1452"/>
  <c r="J1451"/>
  <c r="J1450"/>
  <c r="J1449"/>
  <c r="J1448"/>
  <c r="J1447"/>
  <c r="J1446"/>
  <c r="J1445"/>
  <c r="J1444"/>
  <c r="J1443"/>
  <c r="J1442"/>
  <c r="J1441"/>
  <c r="J1440"/>
  <c r="J1439"/>
  <c r="J1438"/>
  <c r="J1437"/>
  <c r="J1436"/>
  <c r="J1435"/>
  <c r="J1434"/>
  <c r="J1433"/>
  <c r="J1432"/>
  <c r="J1431"/>
  <c r="J1430"/>
  <c r="J1429"/>
  <c r="J1428"/>
  <c r="J1427"/>
  <c r="J1426"/>
  <c r="J1425"/>
  <c r="J1424"/>
  <c r="J1423"/>
  <c r="J1422"/>
  <c r="J1421"/>
  <c r="J1420"/>
  <c r="J1419"/>
  <c r="J1418"/>
  <c r="J1417"/>
  <c r="J1416"/>
  <c r="J1415"/>
  <c r="J1414"/>
  <c r="J1413"/>
  <c r="J1412"/>
  <c r="J1411"/>
  <c r="J1410"/>
  <c r="J1409"/>
  <c r="J1408"/>
  <c r="J1407"/>
  <c r="J1406"/>
  <c r="J1405"/>
  <c r="J1404"/>
  <c r="J1403"/>
  <c r="J1402"/>
  <c r="J1401"/>
  <c r="J1400"/>
  <c r="J1399"/>
  <c r="J1398"/>
  <c r="J1397"/>
  <c r="J1396"/>
  <c r="J1395"/>
  <c r="J1394"/>
  <c r="J1393"/>
  <c r="J1392"/>
  <c r="J1391"/>
  <c r="J1390"/>
  <c r="J1389"/>
  <c r="J1388"/>
  <c r="J1387"/>
  <c r="J1386"/>
  <c r="J1385"/>
  <c r="J1384"/>
  <c r="J1383"/>
  <c r="J1382"/>
  <c r="J1381"/>
  <c r="J1380"/>
  <c r="J1379"/>
  <c r="J1378"/>
  <c r="J1377"/>
  <c r="J1376"/>
  <c r="J1375"/>
  <c r="J1374"/>
  <c r="J1373"/>
  <c r="J1372"/>
  <c r="J1371"/>
  <c r="J1370"/>
  <c r="J1369"/>
  <c r="J1368"/>
  <c r="J1367"/>
  <c r="J1366"/>
  <c r="J1365"/>
  <c r="J1364"/>
  <c r="J1363"/>
  <c r="J1362"/>
  <c r="J1361"/>
  <c r="J1360"/>
  <c r="J1359"/>
  <c r="J1358"/>
  <c r="J1357"/>
  <c r="J1356"/>
  <c r="J1355"/>
  <c r="J1354"/>
  <c r="J1353"/>
  <c r="J1352"/>
  <c r="J1351"/>
  <c r="J1350"/>
  <c r="J1349"/>
  <c r="J1348"/>
  <c r="J1347"/>
  <c r="J1346"/>
  <c r="J1345"/>
  <c r="J1344"/>
  <c r="J1343"/>
  <c r="J1342"/>
  <c r="J1341"/>
  <c r="J1340"/>
  <c r="J1339"/>
  <c r="J1338"/>
  <c r="J1337"/>
  <c r="J1336"/>
  <c r="J1335"/>
  <c r="J1334"/>
  <c r="J1333"/>
  <c r="J1332"/>
  <c r="J1331"/>
  <c r="J1330"/>
  <c r="J1329"/>
  <c r="J1328"/>
  <c r="J1327"/>
  <c r="J1326"/>
  <c r="J1325"/>
  <c r="J1324"/>
  <c r="J1323"/>
  <c r="J1322"/>
  <c r="J1321"/>
  <c r="J1320"/>
  <c r="J1319"/>
  <c r="J1318"/>
  <c r="J1317"/>
  <c r="J1316"/>
  <c r="J1315"/>
  <c r="J1314"/>
  <c r="J1313"/>
  <c r="J1312"/>
  <c r="J1311"/>
  <c r="J1310"/>
  <c r="J1309"/>
  <c r="J1308"/>
  <c r="J1307"/>
  <c r="J1306"/>
  <c r="J1305"/>
  <c r="J1304"/>
  <c r="J1303"/>
  <c r="J1302"/>
  <c r="J1301"/>
  <c r="J1300"/>
  <c r="J1299"/>
  <c r="J1298"/>
  <c r="J1297"/>
  <c r="J1296"/>
  <c r="J1295"/>
  <c r="J1294"/>
  <c r="J1293"/>
  <c r="J1292"/>
  <c r="J1291"/>
  <c r="J1290"/>
  <c r="J1289"/>
  <c r="J1288"/>
  <c r="J1287"/>
  <c r="J1286"/>
  <c r="J1285"/>
  <c r="J1284"/>
  <c r="J1283"/>
  <c r="J1282"/>
  <c r="J1281"/>
  <c r="J1280"/>
  <c r="J1279"/>
  <c r="J1278"/>
  <c r="J1277"/>
  <c r="J1276"/>
  <c r="J1275"/>
  <c r="J1274"/>
  <c r="J1273"/>
  <c r="J1272"/>
  <c r="J1271"/>
  <c r="J1270"/>
  <c r="J1269"/>
  <c r="J1268"/>
  <c r="J1267"/>
  <c r="J1266"/>
  <c r="J1265"/>
  <c r="J1264"/>
  <c r="J1263"/>
  <c r="J1262"/>
  <c r="J1261"/>
  <c r="J1260"/>
  <c r="J1259"/>
  <c r="J1258"/>
  <c r="J1257"/>
  <c r="J1256"/>
  <c r="J1255"/>
  <c r="J1254"/>
  <c r="J1253"/>
  <c r="J1252"/>
  <c r="J1251"/>
  <c r="J1250"/>
  <c r="J1249"/>
  <c r="J1248"/>
  <c r="J1247"/>
  <c r="J1246"/>
  <c r="J1245"/>
  <c r="J1244"/>
  <c r="J1243"/>
  <c r="J1242"/>
  <c r="J1241"/>
  <c r="J1240"/>
  <c r="J1239"/>
  <c r="J1238"/>
  <c r="J1237"/>
  <c r="J1236"/>
  <c r="J1235"/>
  <c r="J1234"/>
  <c r="J1233"/>
  <c r="J1232"/>
  <c r="J1231"/>
  <c r="J1230"/>
  <c r="J1229"/>
  <c r="J1228"/>
  <c r="J1227"/>
  <c r="J1226"/>
  <c r="J1225"/>
  <c r="J1224"/>
  <c r="J1223"/>
  <c r="J1222"/>
  <c r="J1221"/>
  <c r="J1220"/>
  <c r="J1219"/>
  <c r="J1218"/>
  <c r="J1217"/>
  <c r="J1216"/>
  <c r="J1215"/>
  <c r="J1214"/>
  <c r="J1213"/>
  <c r="J1212"/>
  <c r="J1211"/>
  <c r="J1210"/>
  <c r="J1209"/>
  <c r="J1208"/>
  <c r="J1207"/>
  <c r="J1206"/>
  <c r="J1205"/>
  <c r="J1204"/>
  <c r="J1203"/>
  <c r="J1202"/>
  <c r="J1201"/>
  <c r="J1200"/>
  <c r="J1199"/>
  <c r="J1198"/>
  <c r="J1197"/>
  <c r="J1196"/>
  <c r="J1195"/>
  <c r="J1194"/>
  <c r="J1193"/>
  <c r="J1192"/>
  <c r="J1191"/>
  <c r="J1190"/>
  <c r="J1189"/>
  <c r="J1188"/>
  <c r="J1187"/>
  <c r="J1186"/>
  <c r="J1185"/>
  <c r="J1184"/>
  <c r="J1183"/>
  <c r="J1182"/>
  <c r="J1181"/>
  <c r="J1180"/>
  <c r="J1179"/>
  <c r="J1178"/>
  <c r="J1177"/>
  <c r="J1176"/>
  <c r="J1175"/>
  <c r="J1174"/>
  <c r="J1173"/>
  <c r="J1172"/>
  <c r="J1171"/>
  <c r="J1170"/>
  <c r="J1169"/>
  <c r="J1168"/>
  <c r="J1167"/>
  <c r="J1166"/>
  <c r="J1165"/>
  <c r="J1164"/>
  <c r="J1163"/>
  <c r="J1162"/>
  <c r="J1161"/>
  <c r="J1160"/>
  <c r="J1159"/>
  <c r="J1158"/>
  <c r="J1157"/>
  <c r="J1156"/>
  <c r="J1155"/>
  <c r="J1154"/>
  <c r="J1153"/>
  <c r="J1152"/>
  <c r="J1151"/>
  <c r="J1150"/>
  <c r="J1149"/>
  <c r="J1148"/>
  <c r="J1147"/>
  <c r="J1146"/>
  <c r="J1145"/>
  <c r="J1144"/>
  <c r="J1143"/>
  <c r="J1142"/>
  <c r="J1141"/>
  <c r="J1140"/>
  <c r="J1139"/>
  <c r="J1138"/>
  <c r="J1137"/>
  <c r="J1136"/>
  <c r="J1135"/>
  <c r="J1134"/>
  <c r="J1133"/>
  <c r="J1132"/>
  <c r="J1131"/>
  <c r="J1130"/>
  <c r="J1129"/>
  <c r="J1128"/>
  <c r="J1127"/>
  <c r="J1126"/>
  <c r="J1125"/>
  <c r="J1124"/>
  <c r="J1123"/>
  <c r="J1122"/>
  <c r="J1121"/>
  <c r="J1120"/>
  <c r="J1119"/>
  <c r="J1118"/>
  <c r="J1117"/>
  <c r="J1116"/>
  <c r="J1115"/>
  <c r="J1114"/>
  <c r="J1113"/>
  <c r="J1112"/>
  <c r="J1111"/>
  <c r="J1110"/>
  <c r="J1109"/>
  <c r="J1108"/>
  <c r="J1107"/>
  <c r="J1106"/>
  <c r="J1105"/>
  <c r="J1104"/>
  <c r="J1103"/>
  <c r="J1102"/>
  <c r="J1101"/>
  <c r="J1100"/>
  <c r="J1099"/>
  <c r="J1098"/>
  <c r="J1097"/>
  <c r="J1096"/>
  <c r="J1095"/>
  <c r="J1094"/>
  <c r="J1093"/>
  <c r="J1092"/>
  <c r="J1091"/>
  <c r="J1090"/>
  <c r="J1089"/>
  <c r="J1088"/>
  <c r="J1087"/>
  <c r="J1086"/>
  <c r="J1085"/>
  <c r="J1084"/>
  <c r="J1083"/>
  <c r="J1082"/>
  <c r="J1081"/>
  <c r="J1080"/>
  <c r="J1079"/>
  <c r="J1078"/>
  <c r="J1077"/>
  <c r="J1076"/>
  <c r="J1075"/>
  <c r="J1074"/>
  <c r="J1073"/>
  <c r="J1072"/>
  <c r="J1071"/>
  <c r="J1070"/>
  <c r="J1069"/>
  <c r="J1068"/>
  <c r="J1067"/>
  <c r="J1066"/>
  <c r="J1065"/>
  <c r="J1064"/>
  <c r="J1063"/>
  <c r="J1062"/>
  <c r="J1061"/>
  <c r="J1060"/>
  <c r="J1059"/>
  <c r="J1058"/>
  <c r="J1057"/>
  <c r="J1056"/>
  <c r="J1055"/>
  <c r="J1054"/>
  <c r="J1053"/>
  <c r="J1052"/>
  <c r="J1051"/>
  <c r="J1050"/>
  <c r="J1049"/>
  <c r="J1048"/>
  <c r="J1047"/>
  <c r="J1046"/>
  <c r="J1045"/>
  <c r="J1044"/>
  <c r="J1043"/>
  <c r="J1042"/>
  <c r="J1041"/>
  <c r="J1040"/>
  <c r="J1039"/>
  <c r="J1038"/>
  <c r="J1037"/>
  <c r="J1036"/>
  <c r="J1035"/>
  <c r="J1034"/>
  <c r="J1033"/>
  <c r="J1032"/>
  <c r="J1031"/>
  <c r="J1030"/>
  <c r="J1029"/>
  <c r="J1028"/>
  <c r="J1027"/>
  <c r="J1026"/>
  <c r="J1025"/>
  <c r="J1024"/>
  <c r="J1023"/>
  <c r="J1022"/>
  <c r="J1021"/>
  <c r="J1020"/>
  <c r="J1019"/>
  <c r="J1018"/>
  <c r="J1017"/>
  <c r="J1016"/>
  <c r="J1015"/>
  <c r="J1014"/>
  <c r="J1013"/>
  <c r="J1012"/>
  <c r="J101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c r="J3"/>
  <c r="J2"/>
  <c r="I54" i="13" l="1"/>
  <c r="A54" s="1"/>
  <c r="I53"/>
  <c r="A53" s="1"/>
  <c r="I52"/>
  <c r="A52" s="1"/>
  <c r="I51"/>
  <c r="A51" s="1"/>
  <c r="I50"/>
  <c r="A50" s="1"/>
  <c r="I49"/>
  <c r="A49" s="1"/>
  <c r="I48"/>
  <c r="A48" s="1"/>
  <c r="I47"/>
  <c r="A47" s="1"/>
  <c r="I46"/>
  <c r="A46" s="1"/>
  <c r="I45"/>
  <c r="A45" s="1"/>
  <c r="I44"/>
  <c r="A44" s="1"/>
  <c r="I43"/>
  <c r="A43" s="1"/>
  <c r="I42"/>
  <c r="A42" s="1"/>
  <c r="I41"/>
  <c r="A41" s="1"/>
  <c r="I40"/>
  <c r="A40" s="1"/>
  <c r="I39"/>
  <c r="A39" s="1"/>
  <c r="I38"/>
  <c r="A38" s="1"/>
  <c r="I37"/>
  <c r="A37" s="1"/>
  <c r="I36"/>
  <c r="A36" s="1"/>
  <c r="I35"/>
  <c r="A35" s="1"/>
  <c r="I34"/>
  <c r="A34" s="1"/>
  <c r="I33"/>
  <c r="A33" s="1"/>
  <c r="I32"/>
  <c r="A32" s="1"/>
  <c r="I31"/>
  <c r="A31" s="1"/>
  <c r="I30"/>
  <c r="A30" s="1"/>
  <c r="I29"/>
  <c r="A29" s="1"/>
  <c r="I28"/>
  <c r="A28" s="1"/>
  <c r="I27"/>
  <c r="A27" s="1"/>
  <c r="I26"/>
  <c r="A26" s="1"/>
  <c r="I25"/>
  <c r="A25" s="1"/>
  <c r="I24"/>
  <c r="A24" s="1"/>
  <c r="I23"/>
  <c r="A23" s="1"/>
  <c r="I22"/>
  <c r="A22" s="1"/>
  <c r="I21"/>
  <c r="A21" s="1"/>
  <c r="I20"/>
  <c r="A20" s="1"/>
  <c r="I19"/>
  <c r="A19" s="1"/>
  <c r="I18"/>
  <c r="A18" s="1"/>
  <c r="I17"/>
  <c r="A17" s="1"/>
  <c r="I16"/>
  <c r="A16" s="1"/>
  <c r="I15"/>
  <c r="A15" s="1"/>
  <c r="I14"/>
  <c r="A14" s="1"/>
  <c r="I13"/>
  <c r="A13" s="1"/>
  <c r="I12"/>
  <c r="A12" s="1"/>
  <c r="I11"/>
  <c r="A11" s="1"/>
  <c r="I10"/>
  <c r="A10" s="1"/>
  <c r="I9"/>
  <c r="A9" s="1"/>
  <c r="I8"/>
  <c r="A8" s="1"/>
  <c r="I7"/>
  <c r="A7" s="1"/>
  <c r="I6"/>
  <c r="A6" s="1"/>
  <c r="I5"/>
  <c r="A5" s="1"/>
  <c r="I4"/>
  <c r="A4" s="1"/>
  <c r="I3"/>
  <c r="A3" s="1"/>
  <c r="I2"/>
  <c r="A2" s="1"/>
  <c r="J295" i="16"/>
  <c r="A295" s="1"/>
  <c r="J294"/>
  <c r="A294" s="1"/>
  <c r="J293"/>
  <c r="A293" s="1"/>
  <c r="J292"/>
  <c r="A292" s="1"/>
  <c r="J291"/>
  <c r="A291" s="1"/>
  <c r="J290"/>
  <c r="A290" s="1"/>
  <c r="J289"/>
  <c r="A289" s="1"/>
  <c r="J288"/>
  <c r="A288" s="1"/>
  <c r="J287"/>
  <c r="A287" s="1"/>
  <c r="J286"/>
  <c r="A286" s="1"/>
  <c r="J285"/>
  <c r="A285" s="1"/>
  <c r="J284"/>
  <c r="A284" s="1"/>
  <c r="J283"/>
  <c r="A283" s="1"/>
  <c r="J282"/>
  <c r="A282" s="1"/>
  <c r="J281"/>
  <c r="A281" s="1"/>
  <c r="J280"/>
  <c r="A280" s="1"/>
  <c r="J279"/>
  <c r="A279" s="1"/>
  <c r="J278"/>
  <c r="A278" s="1"/>
  <c r="J277"/>
  <c r="A277" s="1"/>
  <c r="J276"/>
  <c r="A276" s="1"/>
  <c r="J275"/>
  <c r="A275" s="1"/>
  <c r="J274"/>
  <c r="A274" s="1"/>
  <c r="J273"/>
  <c r="A273" s="1"/>
  <c r="J272"/>
  <c r="A272" s="1"/>
  <c r="J271"/>
  <c r="A271" s="1"/>
  <c r="J270"/>
  <c r="A270" s="1"/>
  <c r="J269"/>
  <c r="A269" s="1"/>
  <c r="J268"/>
  <c r="A268" s="1"/>
  <c r="J267"/>
  <c r="A267" s="1"/>
  <c r="J266"/>
  <c r="A266" s="1"/>
  <c r="J265"/>
  <c r="A265" s="1"/>
  <c r="J264"/>
  <c r="A264" s="1"/>
  <c r="J263"/>
  <c r="A263" s="1"/>
  <c r="J262"/>
  <c r="A262" s="1"/>
  <c r="J261"/>
  <c r="A261" s="1"/>
  <c r="J260"/>
  <c r="A260" s="1"/>
  <c r="J259"/>
  <c r="A259" s="1"/>
  <c r="J258"/>
  <c r="A258" s="1"/>
  <c r="J257"/>
  <c r="A257" s="1"/>
  <c r="J256"/>
  <c r="A256" s="1"/>
  <c r="J255"/>
  <c r="A255" s="1"/>
  <c r="J254"/>
  <c r="A254" s="1"/>
  <c r="J253"/>
  <c r="A253" s="1"/>
  <c r="J252"/>
  <c r="A252" s="1"/>
  <c r="J251"/>
  <c r="A251" s="1"/>
  <c r="J250"/>
  <c r="A250" s="1"/>
  <c r="J249"/>
  <c r="A249" s="1"/>
  <c r="J248"/>
  <c r="A248" s="1"/>
  <c r="J247"/>
  <c r="A247" s="1"/>
  <c r="J246"/>
  <c r="A246" s="1"/>
  <c r="J245"/>
  <c r="A245" s="1"/>
  <c r="J244"/>
  <c r="A244" s="1"/>
  <c r="J243"/>
  <c r="A243" s="1"/>
  <c r="J242"/>
  <c r="A242" s="1"/>
  <c r="J241"/>
  <c r="A241" s="1"/>
  <c r="J240"/>
  <c r="A240" s="1"/>
  <c r="J239"/>
  <c r="A239" s="1"/>
  <c r="J238"/>
  <c r="A238" s="1"/>
  <c r="J237"/>
  <c r="A237" s="1"/>
  <c r="J236"/>
  <c r="A236" s="1"/>
  <c r="J235"/>
  <c r="A235" s="1"/>
  <c r="J234"/>
  <c r="A234" s="1"/>
  <c r="J233"/>
  <c r="A233" s="1"/>
  <c r="J232"/>
  <c r="A232" s="1"/>
  <c r="J231"/>
  <c r="A231" s="1"/>
  <c r="J230"/>
  <c r="A230" s="1"/>
  <c r="J229"/>
  <c r="A229" s="1"/>
  <c r="J228"/>
  <c r="A228" s="1"/>
  <c r="J227"/>
  <c r="A227" s="1"/>
  <c r="J226"/>
  <c r="A226" s="1"/>
  <c r="J225"/>
  <c r="A225" s="1"/>
  <c r="J224"/>
  <c r="A224" s="1"/>
  <c r="J223"/>
  <c r="A223" s="1"/>
  <c r="J222"/>
  <c r="A222" s="1"/>
  <c r="J221"/>
  <c r="A221" s="1"/>
  <c r="J220"/>
  <c r="A220" s="1"/>
  <c r="J219"/>
  <c r="A219" s="1"/>
  <c r="J218"/>
  <c r="A218" s="1"/>
  <c r="J217"/>
  <c r="A217" s="1"/>
  <c r="J216"/>
  <c r="A216" s="1"/>
  <c r="J215"/>
  <c r="A215" s="1"/>
  <c r="J214"/>
  <c r="A214" s="1"/>
  <c r="J213"/>
  <c r="A213" s="1"/>
  <c r="J212"/>
  <c r="A212" s="1"/>
  <c r="J211"/>
  <c r="A211" s="1"/>
  <c r="J210"/>
  <c r="A210" s="1"/>
  <c r="J209"/>
  <c r="A209" s="1"/>
  <c r="J208"/>
  <c r="A208" s="1"/>
  <c r="J207"/>
  <c r="A207" s="1"/>
  <c r="J206"/>
  <c r="A206" s="1"/>
  <c r="J205"/>
  <c r="A205" s="1"/>
  <c r="J204"/>
  <c r="A204" s="1"/>
  <c r="J203"/>
  <c r="A203" s="1"/>
  <c r="J202"/>
  <c r="A202" s="1"/>
  <c r="J201"/>
  <c r="A201" s="1"/>
  <c r="J200"/>
  <c r="A200" s="1"/>
  <c r="J199"/>
  <c r="A199" s="1"/>
  <c r="J198"/>
  <c r="A198" s="1"/>
  <c r="J197"/>
  <c r="A197" s="1"/>
  <c r="J196"/>
  <c r="A196" s="1"/>
  <c r="J195"/>
  <c r="A195" s="1"/>
  <c r="J194"/>
  <c r="A194" s="1"/>
  <c r="J193"/>
  <c r="A193" s="1"/>
  <c r="J192"/>
  <c r="A192" s="1"/>
  <c r="J191"/>
  <c r="A191" s="1"/>
  <c r="J190"/>
  <c r="A190" s="1"/>
  <c r="J189"/>
  <c r="A189" s="1"/>
  <c r="J188"/>
  <c r="A188" s="1"/>
  <c r="J187"/>
  <c r="A187" s="1"/>
  <c r="J186"/>
  <c r="A186" s="1"/>
  <c r="J185"/>
  <c r="A185" s="1"/>
  <c r="J184"/>
  <c r="A184" s="1"/>
  <c r="J183"/>
  <c r="A183" s="1"/>
  <c r="J182"/>
  <c r="A182" s="1"/>
  <c r="J181"/>
  <c r="A181" s="1"/>
  <c r="J180"/>
  <c r="A180" s="1"/>
  <c r="J179"/>
  <c r="A179" s="1"/>
  <c r="J178"/>
  <c r="A178" s="1"/>
  <c r="J177"/>
  <c r="A177" s="1"/>
  <c r="J176"/>
  <c r="A176" s="1"/>
  <c r="J175"/>
  <c r="A175" s="1"/>
  <c r="J174"/>
  <c r="A174" s="1"/>
  <c r="J173"/>
  <c r="A173" s="1"/>
  <c r="J172"/>
  <c r="A172" s="1"/>
  <c r="J171"/>
  <c r="A171" s="1"/>
  <c r="J170"/>
  <c r="A170" s="1"/>
  <c r="J169"/>
  <c r="A169" s="1"/>
  <c r="J168"/>
  <c r="A168" s="1"/>
  <c r="J167"/>
  <c r="A167" s="1"/>
  <c r="J166"/>
  <c r="A166" s="1"/>
  <c r="J165"/>
  <c r="A165" s="1"/>
  <c r="J164"/>
  <c r="A164" s="1"/>
  <c r="J163"/>
  <c r="A163" s="1"/>
  <c r="J162"/>
  <c r="A162" s="1"/>
  <c r="J161"/>
  <c r="A161" s="1"/>
  <c r="J160"/>
  <c r="A160" s="1"/>
  <c r="J159"/>
  <c r="A159" s="1"/>
  <c r="J158"/>
  <c r="A158" s="1"/>
  <c r="J157"/>
  <c r="A157" s="1"/>
  <c r="J156"/>
  <c r="A156" s="1"/>
  <c r="J155"/>
  <c r="A155" s="1"/>
  <c r="J154"/>
  <c r="A154" s="1"/>
  <c r="J153"/>
  <c r="A153" s="1"/>
  <c r="J152"/>
  <c r="A152" s="1"/>
  <c r="J151"/>
  <c r="A151" s="1"/>
  <c r="J150"/>
  <c r="A150" s="1"/>
  <c r="J149"/>
  <c r="A149" s="1"/>
  <c r="J148"/>
  <c r="A148" s="1"/>
  <c r="J147"/>
  <c r="A147" s="1"/>
  <c r="J146"/>
  <c r="A146" s="1"/>
  <c r="J145"/>
  <c r="A145" s="1"/>
  <c r="J144"/>
  <c r="A144" s="1"/>
  <c r="J143"/>
  <c r="A143" s="1"/>
  <c r="J142"/>
  <c r="A142" s="1"/>
  <c r="J141"/>
  <c r="A141" s="1"/>
  <c r="J140"/>
  <c r="A140" s="1"/>
  <c r="J139"/>
  <c r="A139" s="1"/>
  <c r="J138"/>
  <c r="A138" s="1"/>
  <c r="J137"/>
  <c r="A137" s="1"/>
  <c r="J136"/>
  <c r="A136" s="1"/>
  <c r="J135"/>
  <c r="A135" s="1"/>
  <c r="J134"/>
  <c r="A134" s="1"/>
  <c r="J133"/>
  <c r="A133" s="1"/>
  <c r="J132"/>
  <c r="A132" s="1"/>
  <c r="J131"/>
  <c r="A131" s="1"/>
  <c r="J130"/>
  <c r="A130" s="1"/>
  <c r="J129"/>
  <c r="A129" s="1"/>
  <c r="J128"/>
  <c r="A128" s="1"/>
  <c r="J127"/>
  <c r="A127" s="1"/>
  <c r="J126"/>
  <c r="A126" s="1"/>
  <c r="J125"/>
  <c r="A125" s="1"/>
  <c r="J124"/>
  <c r="A124" s="1"/>
  <c r="J123"/>
  <c r="A123" s="1"/>
  <c r="J122"/>
  <c r="A122" s="1"/>
  <c r="J121"/>
  <c r="A121" s="1"/>
  <c r="J120"/>
  <c r="A120" s="1"/>
  <c r="J119"/>
  <c r="A119" s="1"/>
  <c r="J118"/>
  <c r="A118" s="1"/>
  <c r="J117"/>
  <c r="A117" s="1"/>
  <c r="J116"/>
  <c r="A116" s="1"/>
  <c r="J115"/>
  <c r="A115" s="1"/>
  <c r="J114"/>
  <c r="A114" s="1"/>
  <c r="J113"/>
  <c r="A113" s="1"/>
  <c r="J112"/>
  <c r="A112" s="1"/>
  <c r="J111"/>
  <c r="A111" s="1"/>
  <c r="J110"/>
  <c r="A110" s="1"/>
  <c r="J109"/>
  <c r="A109" s="1"/>
  <c r="J108"/>
  <c r="A108" s="1"/>
  <c r="J107"/>
  <c r="A107" s="1"/>
  <c r="J106"/>
  <c r="A106" s="1"/>
  <c r="J105"/>
  <c r="A105" s="1"/>
  <c r="J104"/>
  <c r="A104" s="1"/>
  <c r="J103"/>
  <c r="A103" s="1"/>
  <c r="J102"/>
  <c r="A102" s="1"/>
  <c r="J101"/>
  <c r="A101" s="1"/>
  <c r="J100"/>
  <c r="A100" s="1"/>
  <c r="J99"/>
  <c r="A99" s="1"/>
  <c r="J98"/>
  <c r="A98" s="1"/>
  <c r="J97"/>
  <c r="A97" s="1"/>
  <c r="J96"/>
  <c r="A96" s="1"/>
  <c r="J95"/>
  <c r="A95" s="1"/>
  <c r="J94"/>
  <c r="A94" s="1"/>
  <c r="J93"/>
  <c r="A93" s="1"/>
  <c r="J92"/>
  <c r="A92" s="1"/>
  <c r="J91"/>
  <c r="A91" s="1"/>
  <c r="J90"/>
  <c r="A90" s="1"/>
  <c r="J89"/>
  <c r="A89" s="1"/>
  <c r="J88"/>
  <c r="A88" s="1"/>
  <c r="J87"/>
  <c r="A87" s="1"/>
  <c r="J86"/>
  <c r="A86" s="1"/>
  <c r="J85"/>
  <c r="A85" s="1"/>
  <c r="J84"/>
  <c r="A84" s="1"/>
  <c r="J83"/>
  <c r="A83" s="1"/>
  <c r="J82"/>
  <c r="A82" s="1"/>
  <c r="J81"/>
  <c r="A81" s="1"/>
  <c r="J80"/>
  <c r="A80" s="1"/>
  <c r="J79"/>
  <c r="A79" s="1"/>
  <c r="J78"/>
  <c r="A78" s="1"/>
  <c r="J77"/>
  <c r="A77" s="1"/>
  <c r="J76"/>
  <c r="A76" s="1"/>
  <c r="J75"/>
  <c r="A75" s="1"/>
  <c r="J74"/>
  <c r="A74" s="1"/>
  <c r="J73"/>
  <c r="A73" s="1"/>
  <c r="J72"/>
  <c r="A72" s="1"/>
  <c r="J71"/>
  <c r="A71" s="1"/>
  <c r="J70"/>
  <c r="A70" s="1"/>
  <c r="J69"/>
  <c r="A69" s="1"/>
  <c r="J68"/>
  <c r="A68" s="1"/>
  <c r="J67"/>
  <c r="A67" s="1"/>
  <c r="J66"/>
  <c r="A66" s="1"/>
  <c r="J65"/>
  <c r="A65" s="1"/>
  <c r="J64"/>
  <c r="A64" s="1"/>
  <c r="J63"/>
  <c r="A63" s="1"/>
  <c r="J62"/>
  <c r="A62" s="1"/>
  <c r="J61"/>
  <c r="A61" s="1"/>
  <c r="J60"/>
  <c r="A60" s="1"/>
  <c r="J59"/>
  <c r="A59" s="1"/>
  <c r="J58"/>
  <c r="A58" s="1"/>
  <c r="J57"/>
  <c r="A57" s="1"/>
  <c r="J56"/>
  <c r="A56" s="1"/>
  <c r="J55"/>
  <c r="A55" s="1"/>
  <c r="J54"/>
  <c r="A54" s="1"/>
  <c r="J53"/>
  <c r="A53" s="1"/>
  <c r="J52"/>
  <c r="A52" s="1"/>
  <c r="J51"/>
  <c r="A51" s="1"/>
  <c r="J50"/>
  <c r="A50" s="1"/>
  <c r="J49"/>
  <c r="A49" s="1"/>
  <c r="J48"/>
  <c r="A48" s="1"/>
  <c r="J47"/>
  <c r="A47" s="1"/>
  <c r="J46"/>
  <c r="A46" s="1"/>
  <c r="J45"/>
  <c r="A45" s="1"/>
  <c r="J44"/>
  <c r="A44" s="1"/>
  <c r="J43"/>
  <c r="A43" s="1"/>
  <c r="J42"/>
  <c r="A42" s="1"/>
  <c r="J41"/>
  <c r="A41" s="1"/>
  <c r="J40"/>
  <c r="A40" s="1"/>
  <c r="J39"/>
  <c r="A39" s="1"/>
  <c r="J38"/>
  <c r="A38" s="1"/>
  <c r="J37"/>
  <c r="A37" s="1"/>
  <c r="J36"/>
  <c r="A36" s="1"/>
  <c r="J35"/>
  <c r="A35" s="1"/>
  <c r="J34"/>
  <c r="A34" s="1"/>
  <c r="J33"/>
  <c r="A33" s="1"/>
  <c r="J32"/>
  <c r="A32" s="1"/>
  <c r="J31"/>
  <c r="A31" s="1"/>
  <c r="J30"/>
  <c r="A30" s="1"/>
  <c r="J29"/>
  <c r="A29" s="1"/>
  <c r="J28"/>
  <c r="A28" s="1"/>
  <c r="J27"/>
  <c r="A27" s="1"/>
  <c r="J26"/>
  <c r="A26" s="1"/>
  <c r="J25"/>
  <c r="A25" s="1"/>
  <c r="J24"/>
  <c r="A24" s="1"/>
  <c r="J23"/>
  <c r="A23" s="1"/>
  <c r="J22"/>
  <c r="A22" s="1"/>
  <c r="J21"/>
  <c r="A21" s="1"/>
  <c r="J20"/>
  <c r="A20" s="1"/>
  <c r="J19"/>
  <c r="A19" s="1"/>
  <c r="J18"/>
  <c r="A18" s="1"/>
  <c r="J17"/>
  <c r="A17" s="1"/>
  <c r="J16"/>
  <c r="A16" s="1"/>
  <c r="J15"/>
  <c r="A15" s="1"/>
  <c r="J14"/>
  <c r="A14" s="1"/>
  <c r="J13"/>
  <c r="A13" s="1"/>
  <c r="J12"/>
  <c r="A12" s="1"/>
  <c r="J11"/>
  <c r="A11" s="1"/>
  <c r="J10"/>
  <c r="A10" s="1"/>
  <c r="J9"/>
  <c r="A9" s="1"/>
  <c r="J8"/>
  <c r="A8" s="1"/>
  <c r="J7"/>
  <c r="A7" s="1"/>
  <c r="J6"/>
  <c r="A6" s="1"/>
  <c r="J5"/>
  <c r="A5" s="1"/>
  <c r="J4"/>
  <c r="A4" s="1"/>
  <c r="J3"/>
  <c r="A3" s="1"/>
  <c r="J2"/>
  <c r="A2" s="1"/>
  <c r="T1604" i="7" l="1"/>
  <c r="T1602"/>
  <c r="T1600"/>
  <c r="T1598"/>
  <c r="T1596"/>
  <c r="T1594"/>
  <c r="T1592"/>
  <c r="T1590"/>
  <c r="T1588"/>
  <c r="T1586"/>
  <c r="T1584"/>
  <c r="T1582"/>
  <c r="T1580"/>
  <c r="T1578"/>
  <c r="T1576"/>
  <c r="T1574"/>
  <c r="T1572"/>
  <c r="T1570"/>
  <c r="T1568"/>
  <c r="T1566"/>
  <c r="T1564"/>
  <c r="T1562"/>
  <c r="T1560"/>
  <c r="T1558"/>
  <c r="T1556"/>
  <c r="T1554"/>
  <c r="T1552"/>
  <c r="T1550"/>
  <c r="T1548"/>
  <c r="T1546"/>
  <c r="T1544"/>
  <c r="T1542"/>
  <c r="T1540"/>
  <c r="T1538"/>
  <c r="T1536"/>
  <c r="T1534"/>
  <c r="T1532"/>
  <c r="T1530"/>
  <c r="T1528"/>
  <c r="T1526"/>
  <c r="T1524"/>
  <c r="T1522"/>
  <c r="T1520"/>
  <c r="T1518"/>
  <c r="T1516"/>
  <c r="T1514"/>
  <c r="T1512"/>
  <c r="T1510"/>
  <c r="T1508"/>
  <c r="T1506"/>
  <c r="T1504"/>
  <c r="T1502"/>
  <c r="T1500"/>
  <c r="T1498"/>
  <c r="T1496"/>
  <c r="T1494"/>
  <c r="T1492"/>
  <c r="T1490"/>
  <c r="T1488"/>
  <c r="T1486"/>
  <c r="T1484"/>
  <c r="T1482"/>
  <c r="T1480"/>
  <c r="T1478"/>
  <c r="T1476"/>
  <c r="T1474"/>
  <c r="T1472"/>
  <c r="T1470"/>
  <c r="T1468"/>
  <c r="T1466"/>
  <c r="T1464"/>
  <c r="T1462"/>
  <c r="T1460"/>
  <c r="T1458"/>
  <c r="T1456"/>
  <c r="T1454"/>
  <c r="T1452"/>
  <c r="T1450"/>
  <c r="T1448"/>
  <c r="T1446"/>
  <c r="T1444"/>
  <c r="T1442"/>
  <c r="T1440"/>
  <c r="T1438"/>
  <c r="T1436"/>
  <c r="T1434"/>
  <c r="T1432"/>
  <c r="T1430"/>
  <c r="T1428"/>
  <c r="T1426"/>
  <c r="T1424"/>
  <c r="T1422"/>
  <c r="T1420"/>
  <c r="T1418"/>
  <c r="T1416"/>
  <c r="T1414"/>
  <c r="T1412"/>
  <c r="T1410"/>
  <c r="T1408"/>
  <c r="T1406"/>
  <c r="T1404"/>
  <c r="T1402"/>
  <c r="T1400"/>
  <c r="T1398"/>
  <c r="T1396"/>
  <c r="T1394"/>
  <c r="T1392"/>
  <c r="T1390"/>
  <c r="T1388"/>
  <c r="T1386"/>
  <c r="T1384"/>
  <c r="T1382"/>
  <c r="T1380"/>
  <c r="T1378"/>
  <c r="T1376"/>
  <c r="T1374"/>
  <c r="T1372"/>
  <c r="T1370"/>
  <c r="T1368"/>
  <c r="T1366"/>
  <c r="T1364"/>
  <c r="T1362"/>
  <c r="T1360"/>
  <c r="T1358"/>
  <c r="T1356"/>
  <c r="T1354"/>
  <c r="T1352"/>
  <c r="T1350"/>
  <c r="T1348"/>
  <c r="T1346"/>
  <c r="T1344"/>
  <c r="T1342"/>
  <c r="T1340"/>
  <c r="T1338"/>
  <c r="T1336"/>
  <c r="T1334"/>
  <c r="T1332"/>
  <c r="T1330"/>
  <c r="T1328"/>
  <c r="T1326"/>
  <c r="T1324"/>
  <c r="T1322"/>
  <c r="T1320"/>
  <c r="T1318"/>
  <c r="T1316"/>
  <c r="T1314"/>
  <c r="T1312"/>
  <c r="T1310"/>
  <c r="T1308"/>
  <c r="T1306"/>
  <c r="T1304"/>
  <c r="T1302"/>
  <c r="T1300"/>
  <c r="T1298"/>
  <c r="T1296"/>
  <c r="T1294"/>
  <c r="T1292"/>
  <c r="T1290"/>
  <c r="T1288"/>
  <c r="T1286"/>
  <c r="T1284"/>
  <c r="T1282"/>
  <c r="T1280"/>
  <c r="T1278"/>
  <c r="T1276"/>
  <c r="T1274"/>
  <c r="T1272"/>
  <c r="T1270"/>
  <c r="T1268"/>
  <c r="T1266"/>
  <c r="T1264"/>
  <c r="T1262"/>
  <c r="T1260"/>
  <c r="T1258"/>
  <c r="T1256"/>
  <c r="T1254"/>
  <c r="T1252"/>
  <c r="T1250"/>
  <c r="T1248"/>
  <c r="T1246"/>
  <c r="T1244"/>
  <c r="T1242"/>
  <c r="T1240"/>
  <c r="T1238"/>
  <c r="T1236"/>
  <c r="T1234"/>
  <c r="T1232"/>
  <c r="T1230"/>
  <c r="T1228"/>
  <c r="T1226"/>
  <c r="T1224"/>
  <c r="T1222"/>
  <c r="T1220"/>
  <c r="T1218"/>
  <c r="T1216"/>
  <c r="T1214"/>
  <c r="T1212"/>
  <c r="T1210"/>
  <c r="T1208"/>
  <c r="T1206"/>
  <c r="T1204"/>
  <c r="T1202"/>
  <c r="T1200"/>
  <c r="T1198"/>
  <c r="T1196"/>
  <c r="T1194"/>
  <c r="T1192"/>
  <c r="T1190"/>
  <c r="T1188"/>
  <c r="T1186"/>
  <c r="T1184"/>
  <c r="T1182"/>
  <c r="T1180"/>
  <c r="T1178"/>
  <c r="T1176"/>
  <c r="T1174"/>
  <c r="T1172"/>
  <c r="T1170"/>
  <c r="T1168"/>
  <c r="T1166"/>
  <c r="T1164"/>
  <c r="T1162"/>
  <c r="T1160"/>
  <c r="T1158"/>
  <c r="T1156"/>
  <c r="T1154"/>
  <c r="T1152"/>
  <c r="T1150"/>
  <c r="T1148"/>
  <c r="T1146"/>
  <c r="T1144"/>
  <c r="T1142"/>
  <c r="T1140"/>
  <c r="T1138"/>
  <c r="T1136"/>
  <c r="T1134"/>
  <c r="T1132"/>
  <c r="T1130"/>
  <c r="T1128"/>
  <c r="T1126"/>
  <c r="T1124"/>
  <c r="T1122"/>
  <c r="T1120"/>
  <c r="T1118"/>
  <c r="T1116"/>
  <c r="T1114"/>
  <c r="T1112"/>
  <c r="T1110"/>
  <c r="T1108"/>
  <c r="T1106"/>
  <c r="T1104"/>
  <c r="T1102"/>
  <c r="T1100"/>
  <c r="T1098"/>
  <c r="T1096"/>
  <c r="T1094"/>
  <c r="T1092"/>
  <c r="T1090"/>
  <c r="T1088"/>
  <c r="T1086"/>
  <c r="T1084"/>
  <c r="T1082"/>
  <c r="T1080"/>
  <c r="T1078"/>
  <c r="T1076"/>
  <c r="T1074"/>
  <c r="T1072"/>
  <c r="T1070"/>
  <c r="T1068"/>
  <c r="T1066"/>
  <c r="T1064"/>
  <c r="T1062"/>
  <c r="T1060"/>
  <c r="T1058"/>
  <c r="T1056"/>
  <c r="T1054"/>
  <c r="T1052"/>
  <c r="T1050"/>
  <c r="T1048"/>
  <c r="T1046"/>
  <c r="T1044"/>
  <c r="T1042"/>
  <c r="T1040"/>
  <c r="T1038"/>
  <c r="T1036"/>
  <c r="T1034"/>
  <c r="T1032"/>
  <c r="T1030"/>
  <c r="T1028"/>
  <c r="T1026"/>
  <c r="T1024"/>
  <c r="T1022"/>
  <c r="T1020"/>
  <c r="T1018"/>
  <c r="T1016"/>
  <c r="T1014"/>
  <c r="T1012"/>
  <c r="T1010"/>
  <c r="T1008"/>
  <c r="T1006"/>
  <c r="T1004"/>
  <c r="T1002"/>
  <c r="T1000"/>
  <c r="T998"/>
  <c r="T996"/>
  <c r="T994"/>
  <c r="T992"/>
  <c r="T990"/>
  <c r="T988"/>
  <c r="T986"/>
  <c r="T984"/>
  <c r="T982"/>
  <c r="T980"/>
  <c r="T978"/>
  <c r="T976"/>
  <c r="T974"/>
  <c r="T972"/>
  <c r="T970"/>
  <c r="T968"/>
  <c r="T966"/>
  <c r="T964"/>
  <c r="T962"/>
  <c r="T960"/>
  <c r="T958"/>
  <c r="T956"/>
  <c r="T954"/>
  <c r="T952"/>
  <c r="T950"/>
  <c r="T948"/>
  <c r="T946"/>
  <c r="T944"/>
  <c r="T942"/>
  <c r="T940"/>
  <c r="T938"/>
  <c r="T936"/>
  <c r="T934"/>
  <c r="T932"/>
  <c r="T930"/>
  <c r="T928"/>
  <c r="T926"/>
  <c r="T924"/>
  <c r="T922"/>
  <c r="T920"/>
  <c r="T918"/>
  <c r="T916"/>
  <c r="T914"/>
  <c r="T912"/>
  <c r="T910"/>
  <c r="T908"/>
  <c r="T906"/>
  <c r="T904"/>
  <c r="T902"/>
  <c r="T900"/>
  <c r="T898"/>
  <c r="T896"/>
  <c r="T894"/>
  <c r="T892"/>
  <c r="T890"/>
  <c r="T888"/>
  <c r="T886"/>
  <c r="T884"/>
  <c r="T882"/>
  <c r="T880"/>
  <c r="T878"/>
  <c r="T876"/>
  <c r="T874"/>
  <c r="T872"/>
  <c r="T870"/>
  <c r="T868"/>
  <c r="T866"/>
  <c r="T864"/>
  <c r="T862"/>
  <c r="T860"/>
  <c r="T858"/>
  <c r="T856"/>
  <c r="T854"/>
  <c r="T852"/>
  <c r="T850"/>
  <c r="T848"/>
  <c r="T846"/>
  <c r="T844"/>
  <c r="T842"/>
  <c r="T840"/>
  <c r="T838"/>
  <c r="T836"/>
  <c r="T834"/>
  <c r="T832"/>
  <c r="T830"/>
  <c r="T828"/>
  <c r="T826"/>
  <c r="T824"/>
  <c r="T822"/>
  <c r="T820"/>
  <c r="T818"/>
  <c r="T816"/>
  <c r="T814"/>
  <c r="T812"/>
  <c r="T810"/>
  <c r="T808"/>
  <c r="T806"/>
  <c r="T804"/>
  <c r="T802"/>
  <c r="T800"/>
  <c r="T798"/>
  <c r="T796"/>
  <c r="T794"/>
  <c r="T792"/>
  <c r="T790"/>
  <c r="T788"/>
  <c r="T786"/>
  <c r="T784"/>
  <c r="T782"/>
  <c r="T780"/>
  <c r="T778"/>
  <c r="T776"/>
  <c r="T774"/>
  <c r="T772"/>
  <c r="T770"/>
  <c r="T768"/>
  <c r="T766"/>
  <c r="T764"/>
  <c r="T762"/>
  <c r="T760"/>
  <c r="T758"/>
  <c r="T756"/>
  <c r="T754"/>
  <c r="T752"/>
  <c r="T750"/>
  <c r="T748"/>
  <c r="T746"/>
  <c r="T744"/>
  <c r="T742"/>
  <c r="T740"/>
  <c r="T738"/>
  <c r="T736"/>
  <c r="T734"/>
  <c r="T732"/>
  <c r="T730"/>
  <c r="T728"/>
  <c r="T726"/>
  <c r="T724"/>
  <c r="T722"/>
  <c r="T720"/>
  <c r="T718"/>
  <c r="T716"/>
  <c r="T714"/>
  <c r="T712"/>
  <c r="T710"/>
  <c r="T708"/>
  <c r="T706"/>
  <c r="T704"/>
  <c r="T702"/>
  <c r="T700"/>
  <c r="T698"/>
  <c r="T696"/>
  <c r="T694"/>
  <c r="T692"/>
  <c r="T690"/>
  <c r="T688"/>
  <c r="T686"/>
  <c r="T684"/>
  <c r="T682"/>
  <c r="T680"/>
  <c r="T678"/>
  <c r="T676"/>
  <c r="T674"/>
  <c r="T672"/>
  <c r="T670"/>
  <c r="T668"/>
  <c r="T666"/>
  <c r="T664"/>
  <c r="T662"/>
  <c r="T660"/>
  <c r="T658"/>
  <c r="T656"/>
  <c r="T654"/>
  <c r="T652"/>
  <c r="T650"/>
  <c r="T648"/>
  <c r="T646"/>
  <c r="T644"/>
  <c r="T642"/>
  <c r="T640"/>
  <c r="T638"/>
  <c r="T636"/>
  <c r="T634"/>
  <c r="T632"/>
  <c r="T630"/>
  <c r="T628"/>
  <c r="T626"/>
  <c r="T624"/>
  <c r="T622"/>
  <c r="T620"/>
  <c r="T618"/>
  <c r="T616"/>
  <c r="T614"/>
  <c r="T612"/>
  <c r="T610"/>
  <c r="T608"/>
  <c r="T606"/>
  <c r="T604"/>
  <c r="T602"/>
  <c r="T600"/>
  <c r="T598"/>
  <c r="T596"/>
  <c r="T594"/>
  <c r="T592"/>
  <c r="T590"/>
  <c r="T588"/>
  <c r="T586"/>
  <c r="T584"/>
  <c r="T582"/>
  <c r="T580"/>
  <c r="T578"/>
  <c r="T576"/>
  <c r="T574"/>
  <c r="T572"/>
  <c r="T570"/>
  <c r="T568"/>
  <c r="T566"/>
  <c r="T564"/>
  <c r="T562"/>
  <c r="T560"/>
  <c r="T558"/>
  <c r="T556"/>
  <c r="T554"/>
  <c r="T552"/>
  <c r="T550"/>
  <c r="T548"/>
  <c r="T546"/>
  <c r="T544"/>
  <c r="T542"/>
  <c r="T540"/>
  <c r="T538"/>
  <c r="T536"/>
  <c r="T534"/>
  <c r="T532"/>
  <c r="T530"/>
  <c r="T528"/>
  <c r="T526"/>
  <c r="T524"/>
  <c r="T522"/>
  <c r="T520"/>
  <c r="T518"/>
  <c r="T516"/>
  <c r="T514"/>
  <c r="T512"/>
  <c r="T510"/>
  <c r="T508"/>
  <c r="T506"/>
  <c r="T504"/>
  <c r="T502"/>
  <c r="T500"/>
  <c r="T498"/>
  <c r="T496"/>
  <c r="T494"/>
  <c r="T492"/>
  <c r="T490"/>
  <c r="T488"/>
  <c r="T486"/>
  <c r="T484"/>
  <c r="T482"/>
  <c r="T480"/>
  <c r="T478"/>
  <c r="T476"/>
  <c r="T474"/>
  <c r="T472"/>
  <c r="T470"/>
  <c r="T468"/>
  <c r="T466"/>
  <c r="T464"/>
  <c r="T462"/>
  <c r="T460"/>
  <c r="T458"/>
  <c r="T456"/>
  <c r="T454"/>
  <c r="T452"/>
  <c r="T450"/>
  <c r="T448"/>
  <c r="T446"/>
  <c r="T444"/>
  <c r="T442"/>
  <c r="T440"/>
  <c r="T438"/>
  <c r="T436"/>
  <c r="T434"/>
  <c r="T432"/>
  <c r="T430"/>
  <c r="T428"/>
  <c r="T426"/>
  <c r="T424"/>
  <c r="T422"/>
  <c r="T420"/>
  <c r="T418"/>
  <c r="T416"/>
  <c r="T414"/>
  <c r="T412"/>
  <c r="T410"/>
  <c r="T408"/>
  <c r="T406"/>
  <c r="T404"/>
  <c r="T402"/>
  <c r="T400"/>
  <c r="T398"/>
  <c r="T396"/>
  <c r="T394"/>
  <c r="T392"/>
  <c r="T390"/>
  <c r="T388"/>
  <c r="T386"/>
  <c r="T384"/>
  <c r="T382"/>
  <c r="T380"/>
  <c r="T378"/>
  <c r="T376"/>
  <c r="T374"/>
  <c r="T372"/>
  <c r="T370"/>
  <c r="T368"/>
  <c r="T366"/>
  <c r="T364"/>
  <c r="T362"/>
  <c r="T360"/>
  <c r="T358"/>
  <c r="T356"/>
  <c r="T354"/>
  <c r="T352"/>
  <c r="T350"/>
  <c r="T348"/>
  <c r="T346"/>
  <c r="T344"/>
  <c r="T342"/>
  <c r="T340"/>
  <c r="T338"/>
  <c r="T336"/>
  <c r="T334"/>
  <c r="T332"/>
  <c r="T330"/>
  <c r="T328"/>
  <c r="T326"/>
  <c r="T324"/>
  <c r="T322"/>
  <c r="T320"/>
  <c r="T318"/>
  <c r="T316"/>
  <c r="T314"/>
  <c r="T312"/>
  <c r="T310"/>
  <c r="T308"/>
  <c r="T306"/>
  <c r="T304"/>
  <c r="T302"/>
  <c r="T300"/>
  <c r="T298"/>
  <c r="T296"/>
  <c r="T294"/>
  <c r="T292"/>
  <c r="T290"/>
  <c r="T288"/>
  <c r="T286"/>
  <c r="T284"/>
  <c r="T282"/>
  <c r="T280"/>
  <c r="T278"/>
  <c r="T276"/>
  <c r="T274"/>
  <c r="T272"/>
  <c r="T270"/>
  <c r="T268"/>
  <c r="T266"/>
  <c r="T264"/>
  <c r="T262"/>
  <c r="T260"/>
  <c r="T258"/>
  <c r="T256"/>
  <c r="T254"/>
  <c r="T252"/>
  <c r="T250"/>
  <c r="T248"/>
  <c r="T246"/>
  <c r="T244"/>
  <c r="T242"/>
  <c r="T240"/>
  <c r="T238"/>
  <c r="T236"/>
  <c r="T234"/>
  <c r="T232"/>
  <c r="T230"/>
  <c r="T228"/>
  <c r="T226"/>
  <c r="T224"/>
  <c r="T222"/>
  <c r="T220"/>
  <c r="T218"/>
  <c r="T216"/>
  <c r="T214"/>
  <c r="T212"/>
  <c r="T210"/>
  <c r="T208"/>
  <c r="T206"/>
  <c r="T204"/>
  <c r="T202"/>
  <c r="T200"/>
  <c r="T198"/>
  <c r="T196"/>
  <c r="T194"/>
  <c r="T192"/>
  <c r="T190"/>
  <c r="T188"/>
  <c r="T186"/>
  <c r="T184"/>
  <c r="T182"/>
  <c r="T180"/>
  <c r="T178"/>
  <c r="T176"/>
  <c r="T174"/>
  <c r="T172"/>
  <c r="T170"/>
  <c r="T168"/>
  <c r="T166"/>
  <c r="T164"/>
  <c r="T162"/>
  <c r="T160"/>
  <c r="T158"/>
  <c r="T156"/>
  <c r="T154"/>
  <c r="T152"/>
  <c r="T150"/>
  <c r="T148"/>
  <c r="T146"/>
  <c r="T144"/>
  <c r="T142"/>
  <c r="T140"/>
  <c r="T138"/>
  <c r="T136"/>
  <c r="T134"/>
  <c r="T132"/>
  <c r="T130"/>
  <c r="T128"/>
  <c r="T126"/>
  <c r="T124"/>
  <c r="T122"/>
  <c r="T120"/>
  <c r="T118"/>
  <c r="T116"/>
  <c r="T114"/>
  <c r="T112"/>
  <c r="T110"/>
  <c r="T108"/>
  <c r="T106"/>
  <c r="T104"/>
  <c r="T102"/>
  <c r="T100"/>
  <c r="T98"/>
  <c r="T96"/>
  <c r="T94"/>
  <c r="T92"/>
  <c r="T90"/>
  <c r="T88"/>
  <c r="T86"/>
  <c r="T84"/>
  <c r="T82"/>
  <c r="T80"/>
  <c r="T78"/>
  <c r="T76"/>
  <c r="T74"/>
  <c r="T72"/>
  <c r="T70"/>
  <c r="T68"/>
  <c r="T66"/>
  <c r="T64"/>
  <c r="T62"/>
  <c r="T60"/>
  <c r="T58"/>
  <c r="T56"/>
  <c r="T54"/>
  <c r="T52"/>
  <c r="T50"/>
  <c r="T48"/>
  <c r="T46"/>
  <c r="T44"/>
  <c r="T42"/>
  <c r="T40"/>
  <c r="T38"/>
  <c r="T36"/>
  <c r="T34"/>
  <c r="T32"/>
  <c r="T30"/>
  <c r="T28"/>
  <c r="T26"/>
  <c r="T24"/>
  <c r="T22"/>
  <c r="T20"/>
  <c r="T18"/>
  <c r="T16"/>
  <c r="T14"/>
  <c r="T12"/>
  <c r="T10"/>
  <c r="T8"/>
  <c r="T6"/>
  <c r="T4"/>
  <c r="T2"/>
  <c r="P1385" i="6"/>
  <c r="P1384"/>
  <c r="P1383"/>
  <c r="P1382"/>
  <c r="P1381"/>
  <c r="P1380"/>
  <c r="P1379"/>
  <c r="P1378"/>
  <c r="P1377"/>
  <c r="P1376"/>
  <c r="P1375"/>
  <c r="P1374"/>
  <c r="P1373"/>
  <c r="P1372"/>
  <c r="P1371"/>
  <c r="P1370"/>
  <c r="P1369"/>
  <c r="P1368"/>
  <c r="P1367"/>
  <c r="P1366"/>
  <c r="P1365"/>
  <c r="P1364"/>
  <c r="P1363"/>
  <c r="P1362"/>
  <c r="P1361"/>
  <c r="P1360"/>
  <c r="P1359"/>
  <c r="P1358"/>
  <c r="P1357"/>
  <c r="P1356"/>
  <c r="P1355"/>
  <c r="P1354"/>
  <c r="P1353"/>
  <c r="P1352"/>
  <c r="P1351"/>
  <c r="P1350"/>
  <c r="P1349"/>
  <c r="P1348"/>
  <c r="P1347"/>
  <c r="P1346"/>
  <c r="P1345"/>
  <c r="P1344"/>
  <c r="P1343"/>
  <c r="P1342"/>
  <c r="P1341"/>
  <c r="P1340"/>
  <c r="P1339"/>
  <c r="P1338"/>
  <c r="P1337"/>
  <c r="P1336"/>
  <c r="P1335"/>
  <c r="P1334"/>
  <c r="P1333"/>
  <c r="P1332"/>
  <c r="P1331"/>
  <c r="P1330"/>
  <c r="P1329"/>
  <c r="P1328"/>
  <c r="P1327"/>
  <c r="P1326"/>
  <c r="P1325"/>
  <c r="P1324"/>
  <c r="P1323"/>
  <c r="P1322"/>
  <c r="P1321"/>
  <c r="P1320"/>
  <c r="P1319"/>
  <c r="P1318"/>
  <c r="P1317"/>
  <c r="P1316"/>
  <c r="P1315"/>
  <c r="P1314"/>
  <c r="P1313"/>
  <c r="P1312"/>
  <c r="P1311"/>
  <c r="P1310"/>
  <c r="P1309"/>
  <c r="P1308"/>
  <c r="P1307"/>
  <c r="P1306"/>
  <c r="P1305"/>
  <c r="P1304"/>
  <c r="P1303"/>
  <c r="P1302"/>
  <c r="P1301"/>
  <c r="P1300"/>
  <c r="P1299"/>
  <c r="P1298"/>
  <c r="P1297"/>
  <c r="P1296"/>
  <c r="P1295"/>
  <c r="P1294"/>
  <c r="P1293"/>
  <c r="P1292"/>
  <c r="P1291"/>
  <c r="P1290"/>
  <c r="P1289"/>
  <c r="P1288"/>
  <c r="P1287"/>
  <c r="P1286"/>
  <c r="P1285"/>
  <c r="P1284"/>
  <c r="P1283"/>
  <c r="P1282"/>
  <c r="P1281"/>
  <c r="P1280"/>
  <c r="P1279"/>
  <c r="P1278"/>
  <c r="P1277"/>
  <c r="P1276"/>
  <c r="P1275"/>
  <c r="P1274"/>
  <c r="P1273"/>
  <c r="P1272"/>
  <c r="P1271"/>
  <c r="P1270"/>
  <c r="P1269"/>
  <c r="P1268"/>
  <c r="P1267"/>
  <c r="P1266"/>
  <c r="P1265"/>
  <c r="P1264"/>
  <c r="P1263"/>
  <c r="P1262"/>
  <c r="P1261"/>
  <c r="P1260"/>
  <c r="P1259"/>
  <c r="P1258"/>
  <c r="P1257"/>
  <c r="P1256"/>
  <c r="P1255"/>
  <c r="P1254"/>
  <c r="P1253"/>
  <c r="P1252"/>
  <c r="P1251"/>
  <c r="P1250"/>
  <c r="P1249"/>
  <c r="P1248"/>
  <c r="P1247"/>
  <c r="P1246"/>
  <c r="P1245"/>
  <c r="P1244"/>
  <c r="P1243"/>
  <c r="P1242"/>
  <c r="P1241"/>
  <c r="P1240"/>
  <c r="P1239"/>
  <c r="P1238"/>
  <c r="P1237"/>
  <c r="P1236"/>
  <c r="P1235"/>
  <c r="P1234"/>
  <c r="P1233"/>
  <c r="P1232"/>
  <c r="P1231"/>
  <c r="P1230"/>
  <c r="P1229"/>
  <c r="P1228"/>
  <c r="P1227"/>
  <c r="P1226"/>
  <c r="P1225"/>
  <c r="P1224"/>
  <c r="P1223"/>
  <c r="P1222"/>
  <c r="P1221"/>
  <c r="P1220"/>
  <c r="P1219"/>
  <c r="P1218"/>
  <c r="P1217"/>
  <c r="P1216"/>
  <c r="P1215"/>
  <c r="P1214"/>
  <c r="P1213"/>
  <c r="P1212"/>
  <c r="P1211"/>
  <c r="P1210"/>
  <c r="P1209"/>
  <c r="P1208"/>
  <c r="P1207"/>
  <c r="P1206"/>
  <c r="P1205"/>
  <c r="P1204"/>
  <c r="P1203"/>
  <c r="P1202"/>
  <c r="P1201"/>
  <c r="P1200"/>
  <c r="P1199"/>
  <c r="P1198"/>
  <c r="P1197"/>
  <c r="P1196"/>
  <c r="P1195"/>
  <c r="P1194"/>
  <c r="P1193"/>
  <c r="P1192"/>
  <c r="P1191"/>
  <c r="P1190"/>
  <c r="P1189"/>
  <c r="P1188"/>
  <c r="P1187"/>
  <c r="P1186"/>
  <c r="P1185"/>
  <c r="P1184"/>
  <c r="P1183"/>
  <c r="P1182"/>
  <c r="P1181"/>
  <c r="P1180"/>
  <c r="P1179"/>
  <c r="P1178"/>
  <c r="P1177"/>
  <c r="P1176"/>
  <c r="P1175"/>
  <c r="P1174"/>
  <c r="P1173"/>
  <c r="P1172"/>
  <c r="P1171"/>
  <c r="P1170"/>
  <c r="P1169"/>
  <c r="P1168"/>
  <c r="P1167"/>
  <c r="P1166"/>
  <c r="P1165"/>
  <c r="P1164"/>
  <c r="P1163"/>
  <c r="P1162"/>
  <c r="P1161"/>
  <c r="P1160"/>
  <c r="P1159"/>
  <c r="P1158"/>
  <c r="P1157"/>
  <c r="P1156"/>
  <c r="P1155"/>
  <c r="P1154"/>
  <c r="P1153"/>
  <c r="P1152"/>
  <c r="P1151"/>
  <c r="P1150"/>
  <c r="P1149"/>
  <c r="P1148"/>
  <c r="P1147"/>
  <c r="P1146"/>
  <c r="P1145"/>
  <c r="P1144"/>
  <c r="P1143"/>
  <c r="P1142"/>
  <c r="P1141"/>
  <c r="P1140"/>
  <c r="P1139"/>
  <c r="P1138"/>
  <c r="P1137"/>
  <c r="P1136"/>
  <c r="P1135"/>
  <c r="P1134"/>
  <c r="P1133"/>
  <c r="P1132"/>
  <c r="P1131"/>
  <c r="P1130"/>
  <c r="P1129"/>
  <c r="P1128"/>
  <c r="P1127"/>
  <c r="P1126"/>
  <c r="P1125"/>
  <c r="P1124"/>
  <c r="P1123"/>
  <c r="P1122"/>
  <c r="P1121"/>
  <c r="P1120"/>
  <c r="P1119"/>
  <c r="P1118"/>
  <c r="P1117"/>
  <c r="P1116"/>
  <c r="P1115"/>
  <c r="P1114"/>
  <c r="P1113"/>
  <c r="P1112"/>
  <c r="P1111"/>
  <c r="P1110"/>
  <c r="P1109"/>
  <c r="P1108"/>
  <c r="P1107"/>
  <c r="P1106"/>
  <c r="P1105"/>
  <c r="P1104"/>
  <c r="P1103"/>
  <c r="P1102"/>
  <c r="P1101"/>
  <c r="P1100"/>
  <c r="P1099"/>
  <c r="P1098"/>
  <c r="P1097"/>
  <c r="P1096"/>
  <c r="P1095"/>
  <c r="P1094"/>
  <c r="P1093"/>
  <c r="P1092"/>
  <c r="P1091"/>
  <c r="P1090"/>
  <c r="P1089"/>
  <c r="P1088"/>
  <c r="P1087"/>
  <c r="P1086"/>
  <c r="P1085"/>
  <c r="P1084"/>
  <c r="P1083"/>
  <c r="P1082"/>
  <c r="P1081"/>
  <c r="P1080"/>
  <c r="P1079"/>
  <c r="P1078"/>
  <c r="P1077"/>
  <c r="P1076"/>
  <c r="P1075"/>
  <c r="P1074"/>
  <c r="P1073"/>
  <c r="P1072"/>
  <c r="P1071"/>
  <c r="P1070"/>
  <c r="P1069"/>
  <c r="P1068"/>
  <c r="P1067"/>
  <c r="P1066"/>
  <c r="P1065"/>
  <c r="P1064"/>
  <c r="P1063"/>
  <c r="P1062"/>
  <c r="P1061"/>
  <c r="P1060"/>
  <c r="P1059"/>
  <c r="P1058"/>
  <c r="P1057"/>
  <c r="P1056"/>
  <c r="P1055"/>
  <c r="P1054"/>
  <c r="P1053"/>
  <c r="P1052"/>
  <c r="P1051"/>
  <c r="P1050"/>
  <c r="P1049"/>
  <c r="P1048"/>
  <c r="P1047"/>
  <c r="P1046"/>
  <c r="P1045"/>
  <c r="P1044"/>
  <c r="P1043"/>
  <c r="P1042"/>
  <c r="P1041"/>
  <c r="P1040"/>
  <c r="P1039"/>
  <c r="P1038"/>
  <c r="P1037"/>
  <c r="P1036"/>
  <c r="P1035"/>
  <c r="P1034"/>
  <c r="P1033"/>
  <c r="P1032"/>
  <c r="P1031"/>
  <c r="P1030"/>
  <c r="P1029"/>
  <c r="P1028"/>
  <c r="P1027"/>
  <c r="P1026"/>
  <c r="P1025"/>
  <c r="P1024"/>
  <c r="P1023"/>
  <c r="P1022"/>
  <c r="P1021"/>
  <c r="P1020"/>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P3"/>
  <c r="P2"/>
  <c r="H766" i="5"/>
  <c r="A766" s="1"/>
  <c r="H765"/>
  <c r="A765" s="1"/>
  <c r="H764"/>
  <c r="A764" s="1"/>
  <c r="H763"/>
  <c r="A763" s="1"/>
  <c r="H762"/>
  <c r="A762" s="1"/>
  <c r="H761"/>
  <c r="A761" s="1"/>
  <c r="H760"/>
  <c r="A760" s="1"/>
  <c r="H759"/>
  <c r="A759" s="1"/>
  <c r="H758"/>
  <c r="A758" s="1"/>
  <c r="H757"/>
  <c r="A757" s="1"/>
  <c r="H756"/>
  <c r="A756" s="1"/>
  <c r="H755"/>
  <c r="A755" s="1"/>
  <c r="H754"/>
  <c r="A754" s="1"/>
  <c r="H753"/>
  <c r="A753" s="1"/>
  <c r="H752"/>
  <c r="A752" s="1"/>
  <c r="H751"/>
  <c r="A751" s="1"/>
  <c r="H750"/>
  <c r="A750" s="1"/>
  <c r="H749"/>
  <c r="A749" s="1"/>
  <c r="H748"/>
  <c r="A748" s="1"/>
  <c r="H747"/>
  <c r="A747" s="1"/>
  <c r="H746"/>
  <c r="A746" s="1"/>
  <c r="H745"/>
  <c r="A745" s="1"/>
  <c r="H744"/>
  <c r="A744" s="1"/>
  <c r="H743"/>
  <c r="A743" s="1"/>
  <c r="H742"/>
  <c r="A742" s="1"/>
  <c r="H741"/>
  <c r="A741" s="1"/>
  <c r="H740"/>
  <c r="A740" s="1"/>
  <c r="H739"/>
  <c r="A739" s="1"/>
  <c r="H738"/>
  <c r="A738" s="1"/>
  <c r="H737"/>
  <c r="A737" s="1"/>
  <c r="H736"/>
  <c r="A736" s="1"/>
  <c r="H735"/>
  <c r="A735" s="1"/>
  <c r="H734"/>
  <c r="A734" s="1"/>
  <c r="H733"/>
  <c r="A733" s="1"/>
  <c r="H732"/>
  <c r="A732" s="1"/>
  <c r="H731"/>
  <c r="A731" s="1"/>
  <c r="H730"/>
  <c r="A730" s="1"/>
  <c r="H729"/>
  <c r="A729" s="1"/>
  <c r="H728"/>
  <c r="A728" s="1"/>
  <c r="H727"/>
  <c r="A727" s="1"/>
  <c r="H726"/>
  <c r="A726" s="1"/>
  <c r="H725"/>
  <c r="A725" s="1"/>
  <c r="H724"/>
  <c r="A724" s="1"/>
  <c r="H723"/>
  <c r="A723" s="1"/>
  <c r="H722"/>
  <c r="A722" s="1"/>
  <c r="H721"/>
  <c r="A721" s="1"/>
  <c r="H720"/>
  <c r="A720" s="1"/>
  <c r="H719"/>
  <c r="A719" s="1"/>
  <c r="H718"/>
  <c r="A718" s="1"/>
  <c r="H717"/>
  <c r="A717" s="1"/>
  <c r="H716"/>
  <c r="A716" s="1"/>
  <c r="H715"/>
  <c r="A715" s="1"/>
  <c r="H714"/>
  <c r="A714" s="1"/>
  <c r="H713"/>
  <c r="A713" s="1"/>
  <c r="H712"/>
  <c r="A712" s="1"/>
  <c r="H711"/>
  <c r="A711" s="1"/>
  <c r="H710"/>
  <c r="A710" s="1"/>
  <c r="H709"/>
  <c r="A709" s="1"/>
  <c r="H708"/>
  <c r="A708" s="1"/>
  <c r="H707"/>
  <c r="A707" s="1"/>
  <c r="H706"/>
  <c r="A706" s="1"/>
  <c r="H705"/>
  <c r="A705" s="1"/>
  <c r="H704"/>
  <c r="A704" s="1"/>
  <c r="H703"/>
  <c r="A703" s="1"/>
  <c r="H702"/>
  <c r="A702" s="1"/>
  <c r="H701"/>
  <c r="A701" s="1"/>
  <c r="H700"/>
  <c r="A700" s="1"/>
  <c r="H699"/>
  <c r="A699" s="1"/>
  <c r="H698"/>
  <c r="A698" s="1"/>
  <c r="H697"/>
  <c r="A697" s="1"/>
  <c r="H696"/>
  <c r="A696" s="1"/>
  <c r="H695"/>
  <c r="A695" s="1"/>
  <c r="H694"/>
  <c r="A694" s="1"/>
  <c r="H693"/>
  <c r="A693" s="1"/>
  <c r="H692"/>
  <c r="A692" s="1"/>
  <c r="H691"/>
  <c r="A691" s="1"/>
  <c r="H690"/>
  <c r="A690" s="1"/>
  <c r="H689"/>
  <c r="A689" s="1"/>
  <c r="H688"/>
  <c r="A688" s="1"/>
  <c r="H687"/>
  <c r="A687" s="1"/>
  <c r="H686"/>
  <c r="A686" s="1"/>
  <c r="H685"/>
  <c r="A685" s="1"/>
  <c r="H684"/>
  <c r="A684" s="1"/>
  <c r="H683"/>
  <c r="A683" s="1"/>
  <c r="H682"/>
  <c r="A682" s="1"/>
  <c r="H681"/>
  <c r="A681" s="1"/>
  <c r="H680"/>
  <c r="A680" s="1"/>
  <c r="H679"/>
  <c r="A679" s="1"/>
  <c r="H678"/>
  <c r="A678" s="1"/>
  <c r="H677"/>
  <c r="A677" s="1"/>
  <c r="H676"/>
  <c r="A676" s="1"/>
  <c r="H675"/>
  <c r="A675" s="1"/>
  <c r="H674"/>
  <c r="A674" s="1"/>
  <c r="H673"/>
  <c r="A673" s="1"/>
  <c r="H672"/>
  <c r="A672" s="1"/>
  <c r="H671"/>
  <c r="A671" s="1"/>
  <c r="H670"/>
  <c r="A670" s="1"/>
  <c r="H669"/>
  <c r="A669" s="1"/>
  <c r="H668"/>
  <c r="A668" s="1"/>
  <c r="H667"/>
  <c r="A667" s="1"/>
  <c r="H666"/>
  <c r="A666" s="1"/>
  <c r="H665"/>
  <c r="A665" s="1"/>
  <c r="H664"/>
  <c r="A664" s="1"/>
  <c r="H663"/>
  <c r="A663" s="1"/>
  <c r="H662"/>
  <c r="A662" s="1"/>
  <c r="H661"/>
  <c r="A661" s="1"/>
  <c r="H660"/>
  <c r="A660" s="1"/>
  <c r="H659"/>
  <c r="A659" s="1"/>
  <c r="H658"/>
  <c r="A658" s="1"/>
  <c r="H657"/>
  <c r="A657" s="1"/>
  <c r="H656"/>
  <c r="A656" s="1"/>
  <c r="H655"/>
  <c r="A655" s="1"/>
  <c r="H654"/>
  <c r="A654" s="1"/>
  <c r="H653"/>
  <c r="A653" s="1"/>
  <c r="H652"/>
  <c r="A652" s="1"/>
  <c r="H651"/>
  <c r="A651" s="1"/>
  <c r="H650"/>
  <c r="A650" s="1"/>
  <c r="H649"/>
  <c r="A649" s="1"/>
  <c r="H648"/>
  <c r="A648" s="1"/>
  <c r="H647"/>
  <c r="A647" s="1"/>
  <c r="H646"/>
  <c r="A646" s="1"/>
  <c r="H645"/>
  <c r="A645" s="1"/>
  <c r="H644"/>
  <c r="A644" s="1"/>
  <c r="H643"/>
  <c r="A643" s="1"/>
  <c r="H642"/>
  <c r="A642" s="1"/>
  <c r="H641"/>
  <c r="A641" s="1"/>
  <c r="H640"/>
  <c r="A640" s="1"/>
  <c r="H639"/>
  <c r="A639" s="1"/>
  <c r="H638"/>
  <c r="A638" s="1"/>
  <c r="H637"/>
  <c r="A637" s="1"/>
  <c r="H636"/>
  <c r="A636" s="1"/>
  <c r="H635"/>
  <c r="A635" s="1"/>
  <c r="H634"/>
  <c r="A634" s="1"/>
  <c r="H633"/>
  <c r="A633" s="1"/>
  <c r="H632"/>
  <c r="A632" s="1"/>
  <c r="H631"/>
  <c r="A631" s="1"/>
  <c r="H630"/>
  <c r="A630" s="1"/>
  <c r="H629"/>
  <c r="A629" s="1"/>
  <c r="H628"/>
  <c r="A628" s="1"/>
  <c r="H627"/>
  <c r="A627" s="1"/>
  <c r="H626"/>
  <c r="A626" s="1"/>
  <c r="H625"/>
  <c r="A625" s="1"/>
  <c r="H624"/>
  <c r="A624" s="1"/>
  <c r="H623"/>
  <c r="A623" s="1"/>
  <c r="H622"/>
  <c r="A622" s="1"/>
  <c r="H621"/>
  <c r="A621" s="1"/>
  <c r="H620"/>
  <c r="A620" s="1"/>
  <c r="H619"/>
  <c r="A619" s="1"/>
  <c r="H618"/>
  <c r="A618" s="1"/>
  <c r="H617"/>
  <c r="A617" s="1"/>
  <c r="H616"/>
  <c r="A616" s="1"/>
  <c r="H615"/>
  <c r="A615" s="1"/>
  <c r="H614"/>
  <c r="A614" s="1"/>
  <c r="H613"/>
  <c r="A613" s="1"/>
  <c r="H612"/>
  <c r="A612" s="1"/>
  <c r="H611"/>
  <c r="A611" s="1"/>
  <c r="H610"/>
  <c r="A610" s="1"/>
  <c r="H609"/>
  <c r="A609" s="1"/>
  <c r="H608"/>
  <c r="A608" s="1"/>
  <c r="H607"/>
  <c r="A607" s="1"/>
  <c r="H606"/>
  <c r="A606" s="1"/>
  <c r="H605"/>
  <c r="A605" s="1"/>
  <c r="H604"/>
  <c r="A604" s="1"/>
  <c r="H603"/>
  <c r="A603" s="1"/>
  <c r="H602"/>
  <c r="A602" s="1"/>
  <c r="H601"/>
  <c r="A601" s="1"/>
  <c r="H600"/>
  <c r="A600" s="1"/>
  <c r="H599"/>
  <c r="A599" s="1"/>
  <c r="H598"/>
  <c r="A598" s="1"/>
  <c r="H597"/>
  <c r="A597" s="1"/>
  <c r="H596"/>
  <c r="A596" s="1"/>
  <c r="H595"/>
  <c r="A595" s="1"/>
  <c r="H594"/>
  <c r="A594" s="1"/>
  <c r="H593"/>
  <c r="A593" s="1"/>
  <c r="H592"/>
  <c r="A592" s="1"/>
  <c r="H591"/>
  <c r="A591" s="1"/>
  <c r="H590"/>
  <c r="A590" s="1"/>
  <c r="H589"/>
  <c r="A589" s="1"/>
  <c r="H588"/>
  <c r="A588" s="1"/>
  <c r="H587"/>
  <c r="A587" s="1"/>
  <c r="H586"/>
  <c r="A586" s="1"/>
  <c r="H585"/>
  <c r="A585" s="1"/>
  <c r="H584"/>
  <c r="A584" s="1"/>
  <c r="H583"/>
  <c r="A583" s="1"/>
  <c r="H582"/>
  <c r="A582" s="1"/>
  <c r="H581"/>
  <c r="A581" s="1"/>
  <c r="H580"/>
  <c r="A580" s="1"/>
  <c r="H579"/>
  <c r="A579" s="1"/>
  <c r="H578"/>
  <c r="A578" s="1"/>
  <c r="H577"/>
  <c r="A577" s="1"/>
  <c r="H576"/>
  <c r="A576" s="1"/>
  <c r="H575"/>
  <c r="A575" s="1"/>
  <c r="H574"/>
  <c r="A574" s="1"/>
  <c r="H573"/>
  <c r="A573" s="1"/>
  <c r="H572"/>
  <c r="A572" s="1"/>
  <c r="H571"/>
  <c r="A571" s="1"/>
  <c r="H570"/>
  <c r="A570" s="1"/>
  <c r="H569"/>
  <c r="A569" s="1"/>
  <c r="H568"/>
  <c r="A568" s="1"/>
  <c r="H567"/>
  <c r="A567" s="1"/>
  <c r="H566"/>
  <c r="A566" s="1"/>
  <c r="H565"/>
  <c r="A565" s="1"/>
  <c r="H564"/>
  <c r="A564" s="1"/>
  <c r="H563"/>
  <c r="A563" s="1"/>
  <c r="H562"/>
  <c r="A562" s="1"/>
  <c r="H561"/>
  <c r="A561" s="1"/>
  <c r="H560"/>
  <c r="A560" s="1"/>
  <c r="H559"/>
  <c r="A559" s="1"/>
  <c r="H558"/>
  <c r="A558" s="1"/>
  <c r="H557"/>
  <c r="A557" s="1"/>
  <c r="H556"/>
  <c r="A556" s="1"/>
  <c r="H555"/>
  <c r="A555" s="1"/>
  <c r="H554"/>
  <c r="A554" s="1"/>
  <c r="H553"/>
  <c r="A553" s="1"/>
  <c r="H552"/>
  <c r="A552" s="1"/>
  <c r="H551"/>
  <c r="A551" s="1"/>
  <c r="H550"/>
  <c r="A550" s="1"/>
  <c r="H549"/>
  <c r="A549" s="1"/>
  <c r="H548"/>
  <c r="A548" s="1"/>
  <c r="H547"/>
  <c r="A547" s="1"/>
  <c r="H546"/>
  <c r="A546" s="1"/>
  <c r="H545"/>
  <c r="A545" s="1"/>
  <c r="H544"/>
  <c r="A544" s="1"/>
  <c r="H543"/>
  <c r="A543" s="1"/>
  <c r="H542"/>
  <c r="A542" s="1"/>
  <c r="H541"/>
  <c r="A541" s="1"/>
  <c r="H540"/>
  <c r="A540" s="1"/>
  <c r="H539"/>
  <c r="A539" s="1"/>
  <c r="H538"/>
  <c r="A538" s="1"/>
  <c r="H537"/>
  <c r="A537" s="1"/>
  <c r="H536"/>
  <c r="A536" s="1"/>
  <c r="H535"/>
  <c r="A535" s="1"/>
  <c r="H534"/>
  <c r="A534" s="1"/>
  <c r="H533"/>
  <c r="A533" s="1"/>
  <c r="H532"/>
  <c r="A532" s="1"/>
  <c r="H531"/>
  <c r="A531" s="1"/>
  <c r="H530"/>
  <c r="A530" s="1"/>
  <c r="H529"/>
  <c r="A529" s="1"/>
  <c r="H528"/>
  <c r="A528" s="1"/>
  <c r="H527"/>
  <c r="A527" s="1"/>
  <c r="H526"/>
  <c r="A526" s="1"/>
  <c r="H525"/>
  <c r="A525" s="1"/>
  <c r="H524"/>
  <c r="A524" s="1"/>
  <c r="H523"/>
  <c r="A523" s="1"/>
  <c r="H522"/>
  <c r="A522" s="1"/>
  <c r="H521"/>
  <c r="A521" s="1"/>
  <c r="H520"/>
  <c r="A520" s="1"/>
  <c r="H519"/>
  <c r="A519" s="1"/>
  <c r="H518"/>
  <c r="A518" s="1"/>
  <c r="H517"/>
  <c r="A517" s="1"/>
  <c r="H516"/>
  <c r="A516" s="1"/>
  <c r="H515"/>
  <c r="A515" s="1"/>
  <c r="H514"/>
  <c r="A514" s="1"/>
  <c r="H513"/>
  <c r="A513" s="1"/>
  <c r="H512"/>
  <c r="A512" s="1"/>
  <c r="H511"/>
  <c r="A511" s="1"/>
  <c r="H510"/>
  <c r="A510" s="1"/>
  <c r="H509"/>
  <c r="A509" s="1"/>
  <c r="H508"/>
  <c r="A508" s="1"/>
  <c r="H507"/>
  <c r="A507" s="1"/>
  <c r="H506"/>
  <c r="A506" s="1"/>
  <c r="H505"/>
  <c r="A505" s="1"/>
  <c r="H504"/>
  <c r="A504" s="1"/>
  <c r="H503"/>
  <c r="A503" s="1"/>
  <c r="H502"/>
  <c r="A502" s="1"/>
  <c r="H501"/>
  <c r="A501" s="1"/>
  <c r="H500"/>
  <c r="A500" s="1"/>
  <c r="H499"/>
  <c r="A499" s="1"/>
  <c r="H498"/>
  <c r="A498" s="1"/>
  <c r="H497"/>
  <c r="A497" s="1"/>
  <c r="H496"/>
  <c r="A496" s="1"/>
  <c r="H495"/>
  <c r="A495" s="1"/>
  <c r="H494"/>
  <c r="A494" s="1"/>
  <c r="H493"/>
  <c r="A493" s="1"/>
  <c r="H492"/>
  <c r="A492" s="1"/>
  <c r="H491"/>
  <c r="A491" s="1"/>
  <c r="H490"/>
  <c r="A490" s="1"/>
  <c r="H489"/>
  <c r="A489" s="1"/>
  <c r="H488"/>
  <c r="A488" s="1"/>
  <c r="H487"/>
  <c r="A487" s="1"/>
  <c r="H486"/>
  <c r="A486" s="1"/>
  <c r="H485"/>
  <c r="A485" s="1"/>
  <c r="H484"/>
  <c r="A484" s="1"/>
  <c r="H483"/>
  <c r="A483" s="1"/>
  <c r="H482"/>
  <c r="A482" s="1"/>
  <c r="H481"/>
  <c r="A481" s="1"/>
  <c r="H480"/>
  <c r="A480" s="1"/>
  <c r="H479"/>
  <c r="A479" s="1"/>
  <c r="H478"/>
  <c r="A478" s="1"/>
  <c r="H477"/>
  <c r="A477" s="1"/>
  <c r="H476"/>
  <c r="A476" s="1"/>
  <c r="H475"/>
  <c r="A475" s="1"/>
  <c r="H474"/>
  <c r="A474" s="1"/>
  <c r="H473"/>
  <c r="A473" s="1"/>
  <c r="H472"/>
  <c r="A472" s="1"/>
  <c r="H471"/>
  <c r="A471" s="1"/>
  <c r="H470"/>
  <c r="A470" s="1"/>
  <c r="H469"/>
  <c r="A469" s="1"/>
  <c r="H468"/>
  <c r="A468" s="1"/>
  <c r="H467"/>
  <c r="A467" s="1"/>
  <c r="H466"/>
  <c r="A466" s="1"/>
  <c r="H465"/>
  <c r="A465" s="1"/>
  <c r="H464"/>
  <c r="A464" s="1"/>
  <c r="H463"/>
  <c r="A463" s="1"/>
  <c r="H462"/>
  <c r="A462" s="1"/>
  <c r="H461"/>
  <c r="A461" s="1"/>
  <c r="H460"/>
  <c r="A460" s="1"/>
  <c r="H459"/>
  <c r="A459" s="1"/>
  <c r="H458"/>
  <c r="A458" s="1"/>
  <c r="H457"/>
  <c r="A457" s="1"/>
  <c r="H456"/>
  <c r="A456" s="1"/>
  <c r="H455"/>
  <c r="A455" s="1"/>
  <c r="H454"/>
  <c r="A454" s="1"/>
  <c r="H453"/>
  <c r="A453" s="1"/>
  <c r="H452"/>
  <c r="A452" s="1"/>
  <c r="H451"/>
  <c r="A451" s="1"/>
  <c r="H450"/>
  <c r="A450" s="1"/>
  <c r="H449"/>
  <c r="A449" s="1"/>
  <c r="H448"/>
  <c r="A448" s="1"/>
  <c r="H447"/>
  <c r="A447" s="1"/>
  <c r="H446"/>
  <c r="A446" s="1"/>
  <c r="H445"/>
  <c r="A445" s="1"/>
  <c r="H444"/>
  <c r="A444" s="1"/>
  <c r="H443"/>
  <c r="A443" s="1"/>
  <c r="H442"/>
  <c r="A442" s="1"/>
  <c r="H441"/>
  <c r="A441" s="1"/>
  <c r="H440"/>
  <c r="A440" s="1"/>
  <c r="H439"/>
  <c r="A439" s="1"/>
  <c r="H438"/>
  <c r="A438" s="1"/>
  <c r="H437"/>
  <c r="A437" s="1"/>
  <c r="H436"/>
  <c r="A436" s="1"/>
  <c r="H435"/>
  <c r="A435" s="1"/>
  <c r="H434"/>
  <c r="A434" s="1"/>
  <c r="H433"/>
  <c r="A433" s="1"/>
  <c r="H432"/>
  <c r="A432" s="1"/>
  <c r="H431"/>
  <c r="A431" s="1"/>
  <c r="H430"/>
  <c r="A430" s="1"/>
  <c r="H429"/>
  <c r="A429" s="1"/>
  <c r="H428"/>
  <c r="A428" s="1"/>
  <c r="H427"/>
  <c r="A427" s="1"/>
  <c r="H426"/>
  <c r="A426" s="1"/>
  <c r="H425"/>
  <c r="A425" s="1"/>
  <c r="H424"/>
  <c r="A424" s="1"/>
  <c r="H423"/>
  <c r="A423" s="1"/>
  <c r="H422"/>
  <c r="A422" s="1"/>
  <c r="H421"/>
  <c r="A421" s="1"/>
  <c r="H420"/>
  <c r="A420" s="1"/>
  <c r="H419"/>
  <c r="A419" s="1"/>
  <c r="H418"/>
  <c r="A418" s="1"/>
  <c r="H417"/>
  <c r="A417" s="1"/>
  <c r="H416"/>
  <c r="A416" s="1"/>
  <c r="H415"/>
  <c r="A415" s="1"/>
  <c r="H414"/>
  <c r="A414" s="1"/>
  <c r="H413"/>
  <c r="A413" s="1"/>
  <c r="H412"/>
  <c r="A412" s="1"/>
  <c r="H411"/>
  <c r="A411" s="1"/>
  <c r="H410"/>
  <c r="A410" s="1"/>
  <c r="H409"/>
  <c r="A409" s="1"/>
  <c r="H408"/>
  <c r="A408" s="1"/>
  <c r="H407"/>
  <c r="A407" s="1"/>
  <c r="H406"/>
  <c r="A406" s="1"/>
  <c r="H405"/>
  <c r="A405" s="1"/>
  <c r="H404"/>
  <c r="A404" s="1"/>
  <c r="H403"/>
  <c r="A403" s="1"/>
  <c r="H402"/>
  <c r="A402" s="1"/>
  <c r="H401"/>
  <c r="A401" s="1"/>
  <c r="H400"/>
  <c r="A400" s="1"/>
  <c r="H399"/>
  <c r="A399" s="1"/>
  <c r="H398"/>
  <c r="A398" s="1"/>
  <c r="H397"/>
  <c r="A397" s="1"/>
  <c r="H396"/>
  <c r="A396" s="1"/>
  <c r="H395"/>
  <c r="A395" s="1"/>
  <c r="H394"/>
  <c r="A394" s="1"/>
  <c r="H393"/>
  <c r="A393" s="1"/>
  <c r="H392"/>
  <c r="A392" s="1"/>
  <c r="H391"/>
  <c r="A391" s="1"/>
  <c r="H390"/>
  <c r="A390" s="1"/>
  <c r="H389"/>
  <c r="A389" s="1"/>
  <c r="H388"/>
  <c r="A388" s="1"/>
  <c r="H387"/>
  <c r="A387" s="1"/>
  <c r="H386"/>
  <c r="A386" s="1"/>
  <c r="H385"/>
  <c r="A385" s="1"/>
  <c r="H384"/>
  <c r="A384" s="1"/>
  <c r="H383"/>
  <c r="A383" s="1"/>
  <c r="H382"/>
  <c r="A382" s="1"/>
  <c r="H381"/>
  <c r="A381" s="1"/>
  <c r="H380"/>
  <c r="A380" s="1"/>
  <c r="H379"/>
  <c r="A379" s="1"/>
  <c r="H378"/>
  <c r="A378" s="1"/>
  <c r="H377"/>
  <c r="A377" s="1"/>
  <c r="H376"/>
  <c r="A376" s="1"/>
  <c r="H375"/>
  <c r="A375" s="1"/>
  <c r="H374"/>
  <c r="A374" s="1"/>
  <c r="H373"/>
  <c r="A373" s="1"/>
  <c r="H372"/>
  <c r="A372" s="1"/>
  <c r="H371"/>
  <c r="A371" s="1"/>
  <c r="H370"/>
  <c r="A370" s="1"/>
  <c r="H369"/>
  <c r="A369" s="1"/>
  <c r="H368"/>
  <c r="A368" s="1"/>
  <c r="H367"/>
  <c r="A367" s="1"/>
  <c r="H366"/>
  <c r="A366" s="1"/>
  <c r="H365"/>
  <c r="A365" s="1"/>
  <c r="H364"/>
  <c r="A364" s="1"/>
  <c r="H363"/>
  <c r="A363" s="1"/>
  <c r="H362"/>
  <c r="A362" s="1"/>
  <c r="H361"/>
  <c r="A361" s="1"/>
  <c r="H360"/>
  <c r="A360" s="1"/>
  <c r="H359"/>
  <c r="A359" s="1"/>
  <c r="H358"/>
  <c r="A358" s="1"/>
  <c r="H357"/>
  <c r="A357" s="1"/>
  <c r="H356"/>
  <c r="A356" s="1"/>
  <c r="H355"/>
  <c r="A355" s="1"/>
  <c r="H354"/>
  <c r="A354" s="1"/>
  <c r="H353"/>
  <c r="A353" s="1"/>
  <c r="H352"/>
  <c r="A352" s="1"/>
  <c r="H351"/>
  <c r="A351" s="1"/>
  <c r="H350"/>
  <c r="A350" s="1"/>
  <c r="H349"/>
  <c r="A349" s="1"/>
  <c r="H348"/>
  <c r="A348" s="1"/>
  <c r="H347"/>
  <c r="A347" s="1"/>
  <c r="H346"/>
  <c r="A346" s="1"/>
  <c r="H345"/>
  <c r="A345" s="1"/>
  <c r="H344"/>
  <c r="A344" s="1"/>
  <c r="H343"/>
  <c r="A343" s="1"/>
  <c r="H342"/>
  <c r="A342" s="1"/>
  <c r="H341"/>
  <c r="A341" s="1"/>
  <c r="H340"/>
  <c r="A340" s="1"/>
  <c r="H339"/>
  <c r="A339" s="1"/>
  <c r="H338"/>
  <c r="A338" s="1"/>
  <c r="H337"/>
  <c r="A337" s="1"/>
  <c r="H336"/>
  <c r="A336" s="1"/>
  <c r="H335"/>
  <c r="A335" s="1"/>
  <c r="H334"/>
  <c r="A334" s="1"/>
  <c r="H333"/>
  <c r="A333" s="1"/>
  <c r="H332"/>
  <c r="A332" s="1"/>
  <c r="H331"/>
  <c r="A331" s="1"/>
  <c r="H330"/>
  <c r="A330" s="1"/>
  <c r="H329"/>
  <c r="A329" s="1"/>
  <c r="H328"/>
  <c r="A328" s="1"/>
  <c r="H327"/>
  <c r="A327" s="1"/>
  <c r="H326"/>
  <c r="A326" s="1"/>
  <c r="H325"/>
  <c r="A325" s="1"/>
  <c r="H324"/>
  <c r="A324" s="1"/>
  <c r="H323"/>
  <c r="A323" s="1"/>
  <c r="H322"/>
  <c r="A322" s="1"/>
  <c r="H321"/>
  <c r="A321" s="1"/>
  <c r="H320"/>
  <c r="A320" s="1"/>
  <c r="H319"/>
  <c r="A319" s="1"/>
  <c r="H318"/>
  <c r="A318" s="1"/>
  <c r="H317"/>
  <c r="A317" s="1"/>
  <c r="H316"/>
  <c r="A316" s="1"/>
  <c r="H315"/>
  <c r="A315" s="1"/>
  <c r="H314"/>
  <c r="A314" s="1"/>
  <c r="H313"/>
  <c r="A313" s="1"/>
  <c r="H312"/>
  <c r="A312" s="1"/>
  <c r="H311"/>
  <c r="A311" s="1"/>
  <c r="H310"/>
  <c r="A310" s="1"/>
  <c r="H309"/>
  <c r="A309" s="1"/>
  <c r="H308"/>
  <c r="A308" s="1"/>
  <c r="H307"/>
  <c r="A307" s="1"/>
  <c r="H306"/>
  <c r="A306" s="1"/>
  <c r="H305"/>
  <c r="A305" s="1"/>
  <c r="H304"/>
  <c r="A304" s="1"/>
  <c r="H303"/>
  <c r="A303" s="1"/>
  <c r="H302"/>
  <c r="A302" s="1"/>
  <c r="H301"/>
  <c r="A301" s="1"/>
  <c r="H300"/>
  <c r="A300" s="1"/>
  <c r="H299"/>
  <c r="A299" s="1"/>
  <c r="H298"/>
  <c r="A298" s="1"/>
  <c r="H297"/>
  <c r="A297" s="1"/>
  <c r="H296"/>
  <c r="A296" s="1"/>
  <c r="H295"/>
  <c r="A295" s="1"/>
  <c r="H294"/>
  <c r="A294" s="1"/>
  <c r="H293"/>
  <c r="A293" s="1"/>
  <c r="H292"/>
  <c r="A292" s="1"/>
  <c r="H291"/>
  <c r="A291" s="1"/>
  <c r="H290"/>
  <c r="A290" s="1"/>
  <c r="H289"/>
  <c r="A289" s="1"/>
  <c r="H288"/>
  <c r="A288" s="1"/>
  <c r="H287"/>
  <c r="A287" s="1"/>
  <c r="H286"/>
  <c r="A286" s="1"/>
  <c r="H285"/>
  <c r="A285" s="1"/>
  <c r="H284"/>
  <c r="A284" s="1"/>
  <c r="H283"/>
  <c r="A283" s="1"/>
  <c r="H282"/>
  <c r="A282" s="1"/>
  <c r="H281"/>
  <c r="A281" s="1"/>
  <c r="H280"/>
  <c r="A280" s="1"/>
  <c r="H279"/>
  <c r="A279" s="1"/>
  <c r="H278"/>
  <c r="A278" s="1"/>
  <c r="H277"/>
  <c r="A277" s="1"/>
  <c r="H276"/>
  <c r="A276" s="1"/>
  <c r="H275"/>
  <c r="A275" s="1"/>
  <c r="H274"/>
  <c r="A274" s="1"/>
  <c r="H273"/>
  <c r="A273" s="1"/>
  <c r="H272"/>
  <c r="A272" s="1"/>
  <c r="H271"/>
  <c r="A271" s="1"/>
  <c r="H270"/>
  <c r="A270" s="1"/>
  <c r="H269"/>
  <c r="A269" s="1"/>
  <c r="H268"/>
  <c r="A268" s="1"/>
  <c r="H267"/>
  <c r="A267" s="1"/>
  <c r="H266"/>
  <c r="A266" s="1"/>
  <c r="H265"/>
  <c r="A265" s="1"/>
  <c r="H264"/>
  <c r="A264" s="1"/>
  <c r="H263"/>
  <c r="A263" s="1"/>
  <c r="H262"/>
  <c r="A262" s="1"/>
  <c r="H261"/>
  <c r="A261" s="1"/>
  <c r="H260"/>
  <c r="A260" s="1"/>
  <c r="H259"/>
  <c r="A259" s="1"/>
  <c r="H258"/>
  <c r="A258" s="1"/>
  <c r="H257"/>
  <c r="A257" s="1"/>
  <c r="H256"/>
  <c r="A256" s="1"/>
  <c r="H255"/>
  <c r="A255" s="1"/>
  <c r="H254"/>
  <c r="A254" s="1"/>
  <c r="H253"/>
  <c r="A253" s="1"/>
  <c r="H252"/>
  <c r="A252" s="1"/>
  <c r="H251"/>
  <c r="A251" s="1"/>
  <c r="H250"/>
  <c r="A250" s="1"/>
  <c r="H249"/>
  <c r="A249" s="1"/>
  <c r="H248"/>
  <c r="A248" s="1"/>
  <c r="H247"/>
  <c r="A247" s="1"/>
  <c r="H246"/>
  <c r="A246" s="1"/>
  <c r="H245"/>
  <c r="A245" s="1"/>
  <c r="H244"/>
  <c r="A244" s="1"/>
  <c r="H243"/>
  <c r="A243" s="1"/>
  <c r="H242"/>
  <c r="A242" s="1"/>
  <c r="H241"/>
  <c r="A241" s="1"/>
  <c r="H240"/>
  <c r="A240" s="1"/>
  <c r="H239"/>
  <c r="A239" s="1"/>
  <c r="H238"/>
  <c r="A238" s="1"/>
  <c r="H237"/>
  <c r="A237" s="1"/>
  <c r="H236"/>
  <c r="A236" s="1"/>
  <c r="H235"/>
  <c r="A235" s="1"/>
  <c r="H234"/>
  <c r="A234" s="1"/>
  <c r="H233"/>
  <c r="A233" s="1"/>
  <c r="H232"/>
  <c r="A232" s="1"/>
  <c r="H231"/>
  <c r="A231" s="1"/>
  <c r="H230"/>
  <c r="A230" s="1"/>
  <c r="H229"/>
  <c r="A229" s="1"/>
  <c r="H228"/>
  <c r="A228" s="1"/>
  <c r="H227"/>
  <c r="A227" s="1"/>
  <c r="H226"/>
  <c r="A226" s="1"/>
  <c r="H225"/>
  <c r="A225" s="1"/>
  <c r="H224"/>
  <c r="A224" s="1"/>
  <c r="H223"/>
  <c r="A223" s="1"/>
  <c r="H222"/>
  <c r="A222" s="1"/>
  <c r="H221"/>
  <c r="A221" s="1"/>
  <c r="H220"/>
  <c r="A220" s="1"/>
  <c r="H219"/>
  <c r="A219" s="1"/>
  <c r="H218"/>
  <c r="A218" s="1"/>
  <c r="H217"/>
  <c r="A217" s="1"/>
  <c r="H216"/>
  <c r="A216" s="1"/>
  <c r="H215"/>
  <c r="A215" s="1"/>
  <c r="H214"/>
  <c r="A214" s="1"/>
  <c r="H213"/>
  <c r="A213" s="1"/>
  <c r="H212"/>
  <c r="A212" s="1"/>
  <c r="H211"/>
  <c r="A211" s="1"/>
  <c r="H210"/>
  <c r="A210" s="1"/>
  <c r="H209"/>
  <c r="A209" s="1"/>
  <c r="H208"/>
  <c r="A208" s="1"/>
  <c r="H207"/>
  <c r="A207" s="1"/>
  <c r="H206"/>
  <c r="A206" s="1"/>
  <c r="H205"/>
  <c r="A205" s="1"/>
  <c r="H204"/>
  <c r="A204" s="1"/>
  <c r="H203"/>
  <c r="A203" s="1"/>
  <c r="H202"/>
  <c r="A202" s="1"/>
  <c r="H201"/>
  <c r="A201" s="1"/>
  <c r="H200"/>
  <c r="A200" s="1"/>
  <c r="H199"/>
  <c r="A199" s="1"/>
  <c r="H198"/>
  <c r="A198" s="1"/>
  <c r="H197"/>
  <c r="A197" s="1"/>
  <c r="H196"/>
  <c r="A196" s="1"/>
  <c r="H195"/>
  <c r="A195" s="1"/>
  <c r="H194"/>
  <c r="A194" s="1"/>
  <c r="H193"/>
  <c r="A193" s="1"/>
  <c r="H192"/>
  <c r="A192" s="1"/>
  <c r="H191"/>
  <c r="A191" s="1"/>
  <c r="H190"/>
  <c r="A190" s="1"/>
  <c r="H189"/>
  <c r="A189" s="1"/>
  <c r="H188"/>
  <c r="A188" s="1"/>
  <c r="H187"/>
  <c r="A187" s="1"/>
  <c r="H186"/>
  <c r="A186" s="1"/>
  <c r="H185"/>
  <c r="A185" s="1"/>
  <c r="H184"/>
  <c r="A184" s="1"/>
  <c r="H183"/>
  <c r="A183" s="1"/>
  <c r="H182"/>
  <c r="A182" s="1"/>
  <c r="H181"/>
  <c r="A181" s="1"/>
  <c r="H180"/>
  <c r="A180" s="1"/>
  <c r="H179"/>
  <c r="A179" s="1"/>
  <c r="H178"/>
  <c r="A178" s="1"/>
  <c r="H177"/>
  <c r="A177" s="1"/>
  <c r="H176"/>
  <c r="A176" s="1"/>
  <c r="H175"/>
  <c r="A175" s="1"/>
  <c r="H174"/>
  <c r="A174" s="1"/>
  <c r="H173"/>
  <c r="A173" s="1"/>
  <c r="H172"/>
  <c r="A172" s="1"/>
  <c r="H171"/>
  <c r="A171" s="1"/>
  <c r="H170"/>
  <c r="A170" s="1"/>
  <c r="H169"/>
  <c r="A169" s="1"/>
  <c r="H168"/>
  <c r="A168" s="1"/>
  <c r="H167"/>
  <c r="A167" s="1"/>
  <c r="H166"/>
  <c r="A166" s="1"/>
  <c r="H165"/>
  <c r="A165" s="1"/>
  <c r="H164"/>
  <c r="A164" s="1"/>
  <c r="H163"/>
  <c r="A163" s="1"/>
  <c r="H162"/>
  <c r="A162" s="1"/>
  <c r="H161"/>
  <c r="A161" s="1"/>
  <c r="H160"/>
  <c r="A160" s="1"/>
  <c r="H159"/>
  <c r="A159" s="1"/>
  <c r="H158"/>
  <c r="A158" s="1"/>
  <c r="H157"/>
  <c r="A157" s="1"/>
  <c r="H156"/>
  <c r="A156" s="1"/>
  <c r="H155"/>
  <c r="A155" s="1"/>
  <c r="H154"/>
  <c r="A154" s="1"/>
  <c r="H153"/>
  <c r="A153" s="1"/>
  <c r="H152"/>
  <c r="A152" s="1"/>
  <c r="H151"/>
  <c r="A151" s="1"/>
  <c r="H150"/>
  <c r="A150" s="1"/>
  <c r="H149"/>
  <c r="A149" s="1"/>
  <c r="H148"/>
  <c r="A148" s="1"/>
  <c r="H147"/>
  <c r="A147" s="1"/>
  <c r="H146"/>
  <c r="A146" s="1"/>
  <c r="H145"/>
  <c r="A145" s="1"/>
  <c r="H144"/>
  <c r="A144" s="1"/>
  <c r="H143"/>
  <c r="A143" s="1"/>
  <c r="H142"/>
  <c r="A142" s="1"/>
  <c r="H141"/>
  <c r="A141" s="1"/>
  <c r="H140"/>
  <c r="A140" s="1"/>
  <c r="H139"/>
  <c r="A139" s="1"/>
  <c r="H138"/>
  <c r="A138" s="1"/>
  <c r="H137"/>
  <c r="A137" s="1"/>
  <c r="H136"/>
  <c r="A136" s="1"/>
  <c r="H135"/>
  <c r="A135" s="1"/>
  <c r="H134"/>
  <c r="A134" s="1"/>
  <c r="H133"/>
  <c r="A133" s="1"/>
  <c r="H132"/>
  <c r="A132" s="1"/>
  <c r="H131"/>
  <c r="A131" s="1"/>
  <c r="H130"/>
  <c r="A130" s="1"/>
  <c r="H129"/>
  <c r="A129" s="1"/>
  <c r="H128"/>
  <c r="A128" s="1"/>
  <c r="H127"/>
  <c r="A127" s="1"/>
  <c r="H126"/>
  <c r="A126" s="1"/>
  <c r="H125"/>
  <c r="A125" s="1"/>
  <c r="H124"/>
  <c r="A124" s="1"/>
  <c r="H123"/>
  <c r="A123" s="1"/>
  <c r="H122"/>
  <c r="A122" s="1"/>
  <c r="H121"/>
  <c r="A121" s="1"/>
  <c r="H120"/>
  <c r="A120" s="1"/>
  <c r="H119"/>
  <c r="A119" s="1"/>
  <c r="H118"/>
  <c r="A118" s="1"/>
  <c r="H117"/>
  <c r="A117" s="1"/>
  <c r="H116"/>
  <c r="A116" s="1"/>
  <c r="H115"/>
  <c r="A115" s="1"/>
  <c r="H114"/>
  <c r="A114" s="1"/>
  <c r="H113"/>
  <c r="A113" s="1"/>
  <c r="H112"/>
  <c r="A112" s="1"/>
  <c r="H111"/>
  <c r="A111" s="1"/>
  <c r="H110"/>
  <c r="A110" s="1"/>
  <c r="H109"/>
  <c r="A109" s="1"/>
  <c r="H108"/>
  <c r="A108" s="1"/>
  <c r="H107"/>
  <c r="A107" s="1"/>
  <c r="H106"/>
  <c r="A106" s="1"/>
  <c r="H105"/>
  <c r="A105" s="1"/>
  <c r="H104"/>
  <c r="A104" s="1"/>
  <c r="H103"/>
  <c r="A103" s="1"/>
  <c r="H102"/>
  <c r="A102" s="1"/>
  <c r="H101"/>
  <c r="A101" s="1"/>
  <c r="H100"/>
  <c r="A100" s="1"/>
  <c r="H99"/>
  <c r="A99" s="1"/>
  <c r="H98"/>
  <c r="A98" s="1"/>
  <c r="H97"/>
  <c r="A97" s="1"/>
  <c r="H96"/>
  <c r="A96" s="1"/>
  <c r="H95"/>
  <c r="A95" s="1"/>
  <c r="H94"/>
  <c r="A94" s="1"/>
  <c r="H93"/>
  <c r="A93" s="1"/>
  <c r="H92"/>
  <c r="A92" s="1"/>
  <c r="H91"/>
  <c r="A91" s="1"/>
  <c r="H90"/>
  <c r="A90" s="1"/>
  <c r="H89"/>
  <c r="A89" s="1"/>
  <c r="H88"/>
  <c r="A88" s="1"/>
  <c r="H87"/>
  <c r="A87" s="1"/>
  <c r="H86"/>
  <c r="A86" s="1"/>
  <c r="H85"/>
  <c r="A85" s="1"/>
  <c r="H84"/>
  <c r="A84" s="1"/>
  <c r="H83"/>
  <c r="A83" s="1"/>
  <c r="H82"/>
  <c r="A82" s="1"/>
  <c r="H81"/>
  <c r="A81" s="1"/>
  <c r="H80"/>
  <c r="A80" s="1"/>
  <c r="H79"/>
  <c r="A79" s="1"/>
  <c r="H78"/>
  <c r="A78" s="1"/>
  <c r="H77"/>
  <c r="A77" s="1"/>
  <c r="H76"/>
  <c r="A76" s="1"/>
  <c r="H75"/>
  <c r="A75" s="1"/>
  <c r="H74"/>
  <c r="A74" s="1"/>
  <c r="H73"/>
  <c r="A73" s="1"/>
  <c r="H72"/>
  <c r="A72" s="1"/>
  <c r="H71"/>
  <c r="A71" s="1"/>
  <c r="H70"/>
  <c r="A70" s="1"/>
  <c r="H69"/>
  <c r="A69" s="1"/>
  <c r="H68"/>
  <c r="A68" s="1"/>
  <c r="H67"/>
  <c r="A67" s="1"/>
  <c r="H66"/>
  <c r="A66" s="1"/>
  <c r="H65"/>
  <c r="A65" s="1"/>
  <c r="H64"/>
  <c r="A64" s="1"/>
  <c r="H63"/>
  <c r="A63" s="1"/>
  <c r="H62"/>
  <c r="A62" s="1"/>
  <c r="H61"/>
  <c r="A61" s="1"/>
  <c r="H60"/>
  <c r="A60" s="1"/>
  <c r="H59"/>
  <c r="A59" s="1"/>
  <c r="H58"/>
  <c r="A58" s="1"/>
  <c r="H57"/>
  <c r="A57" s="1"/>
  <c r="H56"/>
  <c r="A56" s="1"/>
  <c r="H55"/>
  <c r="A55" s="1"/>
  <c r="H54"/>
  <c r="A54" s="1"/>
  <c r="H53"/>
  <c r="A53" s="1"/>
  <c r="H52"/>
  <c r="A52" s="1"/>
  <c r="H51"/>
  <c r="A51" s="1"/>
  <c r="H50"/>
  <c r="A50" s="1"/>
  <c r="H49"/>
  <c r="A49" s="1"/>
  <c r="H48"/>
  <c r="A48" s="1"/>
  <c r="H47"/>
  <c r="A47" s="1"/>
  <c r="H46"/>
  <c r="A46" s="1"/>
  <c r="H45"/>
  <c r="A45" s="1"/>
  <c r="H44"/>
  <c r="A44" s="1"/>
  <c r="H43"/>
  <c r="A43" s="1"/>
  <c r="H42"/>
  <c r="A42" s="1"/>
  <c r="H41"/>
  <c r="A41" s="1"/>
  <c r="H40"/>
  <c r="A40" s="1"/>
  <c r="H39"/>
  <c r="A39" s="1"/>
  <c r="H38"/>
  <c r="A38" s="1"/>
  <c r="H37"/>
  <c r="A37" s="1"/>
  <c r="H36"/>
  <c r="A36" s="1"/>
  <c r="H35"/>
  <c r="A35" s="1"/>
  <c r="H34"/>
  <c r="A34" s="1"/>
  <c r="H33"/>
  <c r="A33" s="1"/>
  <c r="H32"/>
  <c r="A32" s="1"/>
  <c r="H31"/>
  <c r="A31" s="1"/>
  <c r="H30"/>
  <c r="A30" s="1"/>
  <c r="H29"/>
  <c r="A29" s="1"/>
  <c r="H28"/>
  <c r="A28" s="1"/>
  <c r="H27"/>
  <c r="A27" s="1"/>
  <c r="H26"/>
  <c r="A26" s="1"/>
  <c r="H25"/>
  <c r="A25" s="1"/>
  <c r="H24"/>
  <c r="A24" s="1"/>
  <c r="H23"/>
  <c r="A23" s="1"/>
  <c r="H22"/>
  <c r="A22" s="1"/>
  <c r="H21"/>
  <c r="A21" s="1"/>
  <c r="H20"/>
  <c r="A20" s="1"/>
  <c r="H19"/>
  <c r="A19" s="1"/>
  <c r="H18"/>
  <c r="A18" s="1"/>
  <c r="H17"/>
  <c r="A17" s="1"/>
  <c r="H16"/>
  <c r="A16" s="1"/>
  <c r="H15"/>
  <c r="A15" s="1"/>
  <c r="H14"/>
  <c r="A14" s="1"/>
  <c r="H13"/>
  <c r="A13" s="1"/>
  <c r="H12"/>
  <c r="A12" s="1"/>
  <c r="H11"/>
  <c r="A11" s="1"/>
  <c r="H10"/>
  <c r="A10" s="1"/>
  <c r="H9"/>
  <c r="A9" s="1"/>
  <c r="H8"/>
  <c r="A8" s="1"/>
  <c r="H7"/>
  <c r="A7" s="1"/>
  <c r="H6"/>
  <c r="A6" s="1"/>
  <c r="H5"/>
  <c r="A5" s="1"/>
  <c r="H4"/>
  <c r="A4" s="1"/>
  <c r="H3"/>
  <c r="A3" s="1"/>
  <c r="H2"/>
  <c r="A2" s="1"/>
  <c r="B295" i="16" l="1"/>
  <c r="B288"/>
  <c r="B272"/>
  <c r="B264"/>
  <c r="B261"/>
  <c r="B259"/>
  <c r="B246"/>
  <c r="B244"/>
  <c r="B243"/>
  <c r="B238"/>
  <c r="B235"/>
  <c r="B228"/>
  <c r="B224"/>
  <c r="B222"/>
  <c r="B220"/>
  <c r="B213"/>
  <c r="B200"/>
  <c r="B197"/>
  <c r="B194"/>
  <c r="B180"/>
  <c r="B156"/>
  <c r="B154"/>
  <c r="B151"/>
  <c r="B147"/>
  <c r="B144"/>
  <c r="B137"/>
  <c r="B126"/>
  <c r="B124"/>
  <c r="B121"/>
  <c r="B117"/>
  <c r="B116"/>
  <c r="B115"/>
  <c r="B113"/>
  <c r="B111"/>
  <c r="B80"/>
  <c r="B78"/>
  <c r="B76"/>
  <c r="B73"/>
  <c r="B72"/>
  <c r="B68"/>
  <c r="B63"/>
  <c r="B53"/>
  <c r="B49"/>
  <c r="B45"/>
  <c r="B42"/>
  <c r="B38"/>
  <c r="B30"/>
  <c r="B27"/>
  <c r="B23"/>
  <c r="B19"/>
  <c r="B7"/>
  <c r="B6"/>
  <c r="B2"/>
  <c r="B7552" i="15"/>
  <c r="B7545"/>
  <c r="B7542"/>
  <c r="B7539"/>
  <c r="B7525"/>
  <c r="B7511"/>
  <c r="B7509"/>
  <c r="B7504"/>
  <c r="B7494"/>
  <c r="B7488"/>
  <c r="B7484"/>
  <c r="B7482"/>
  <c r="B7480"/>
  <c r="B7476"/>
  <c r="B7462"/>
  <c r="B7457"/>
  <c r="B7353"/>
  <c r="B7342"/>
  <c r="B7332"/>
  <c r="B7325"/>
  <c r="B7316"/>
  <c r="B7312"/>
  <c r="B7308"/>
  <c r="B7302"/>
  <c r="B7300"/>
  <c r="B7295"/>
  <c r="B7286"/>
  <c r="B7283"/>
  <c r="B7277"/>
  <c r="B7272"/>
  <c r="B7269"/>
  <c r="B7257"/>
  <c r="B7242"/>
  <c r="B7231"/>
  <c r="B7228"/>
  <c r="B7221"/>
  <c r="B7218"/>
  <c r="B7095"/>
  <c r="B7090"/>
  <c r="B7086"/>
  <c r="B7079"/>
  <c r="B7075"/>
  <c r="B7068"/>
  <c r="B7050"/>
  <c r="B7043"/>
  <c r="B7033"/>
  <c r="B7020"/>
  <c r="B7011"/>
  <c r="B7006"/>
  <c r="B6999"/>
  <c r="B6996"/>
  <c r="B6991"/>
  <c r="B6988"/>
  <c r="B6983"/>
  <c r="B6959"/>
  <c r="B6955"/>
  <c r="B6953"/>
  <c r="B6948"/>
  <c r="B6945"/>
  <c r="B6941"/>
  <c r="B6930"/>
  <c r="B6922"/>
  <c r="B6908"/>
  <c r="B6872"/>
  <c r="B6853"/>
  <c r="B6846"/>
  <c r="B6840"/>
  <c r="B6826"/>
  <c r="B6774"/>
  <c r="B6772"/>
  <c r="B6769"/>
  <c r="B6766"/>
  <c r="B6760"/>
  <c r="B6747"/>
  <c r="B6395"/>
  <c r="B6384"/>
  <c r="B6362"/>
  <c r="B6352"/>
  <c r="B6349"/>
  <c r="B6346"/>
  <c r="B6344"/>
  <c r="B6341"/>
  <c r="B6338"/>
  <c r="B6312"/>
  <c r="B6302"/>
  <c r="B6293"/>
  <c r="B6282"/>
  <c r="B6272"/>
  <c r="B6267"/>
  <c r="B6263"/>
  <c r="B6258"/>
  <c r="B6238"/>
  <c r="B6228"/>
  <c r="B6223"/>
  <c r="B6220"/>
  <c r="B6179"/>
  <c r="B6175"/>
  <c r="B6169"/>
  <c r="B6151"/>
  <c r="B6142"/>
  <c r="B6139"/>
  <c r="B6136"/>
  <c r="B6134"/>
  <c r="B6124"/>
  <c r="B6121"/>
  <c r="B6109"/>
  <c r="B6104"/>
  <c r="B6089"/>
  <c r="B6084"/>
  <c r="B6035"/>
  <c r="B6030"/>
  <c r="B6022"/>
  <c r="B6018"/>
  <c r="B6010"/>
  <c r="B6007"/>
  <c r="B5998"/>
  <c r="B5980"/>
  <c r="B5972"/>
  <c r="B5967"/>
  <c r="B5962"/>
  <c r="B5919"/>
  <c r="B5902"/>
  <c r="B5898"/>
  <c r="B5894"/>
  <c r="B5889"/>
  <c r="B5879"/>
  <c r="B5868"/>
  <c r="B5863"/>
  <c r="B5849"/>
  <c r="B5846"/>
  <c r="B5841"/>
  <c r="B5820"/>
  <c r="B5807"/>
  <c r="B5804"/>
  <c r="B5802"/>
  <c r="B5800"/>
  <c r="B5791"/>
  <c r="B5788"/>
  <c r="B5782"/>
  <c r="B5732"/>
  <c r="B5726"/>
  <c r="B5716"/>
  <c r="B5713"/>
  <c r="B5710"/>
  <c r="B5707"/>
  <c r="B5702"/>
  <c r="B5699"/>
  <c r="B5683"/>
  <c r="B5678"/>
  <c r="B5668"/>
  <c r="B5654"/>
  <c r="B5648"/>
  <c r="B5643"/>
  <c r="B5634"/>
  <c r="B5626"/>
  <c r="B5621"/>
  <c r="B5503"/>
  <c r="B5501"/>
  <c r="B5497"/>
  <c r="B5416"/>
  <c r="B5390"/>
  <c r="B5385"/>
  <c r="B5376"/>
  <c r="B5370"/>
  <c r="B5367"/>
  <c r="B5361"/>
  <c r="B5357"/>
  <c r="B5353"/>
  <c r="B5351"/>
  <c r="B5349"/>
  <c r="B5336"/>
  <c r="B5310"/>
  <c r="B5290"/>
  <c r="B5279"/>
  <c r="B5272"/>
  <c r="B5267"/>
  <c r="B5263"/>
  <c r="B5259"/>
  <c r="B5252"/>
  <c r="B5249"/>
  <c r="B5244"/>
  <c r="B5241"/>
  <c r="B5238"/>
  <c r="B5218"/>
  <c r="B5176"/>
  <c r="B5172"/>
  <c r="B5140"/>
  <c r="B5134"/>
  <c r="B5121"/>
  <c r="B5095"/>
  <c r="B5090"/>
  <c r="B5063"/>
  <c r="B5047"/>
  <c r="B5037"/>
  <c r="B5027"/>
  <c r="B5020"/>
  <c r="B5017"/>
  <c r="B5013"/>
  <c r="B5008"/>
  <c r="B5003"/>
  <c r="B4999"/>
  <c r="B4997"/>
  <c r="B4985"/>
  <c r="B4960"/>
  <c r="B4957"/>
  <c r="B4943"/>
  <c r="B4940"/>
  <c r="B4933"/>
  <c r="B4931"/>
  <c r="B4928"/>
  <c r="B4926"/>
  <c r="B4921"/>
  <c r="B4915"/>
  <c r="B4908"/>
  <c r="B4905"/>
  <c r="B4901"/>
  <c r="B4893"/>
  <c r="B4890"/>
  <c r="B4888"/>
  <c r="B4688"/>
  <c r="B4683"/>
  <c r="B4660"/>
  <c r="B4656"/>
  <c r="B4652"/>
  <c r="B4641"/>
  <c r="B4603"/>
  <c r="B4594"/>
  <c r="B4564"/>
  <c r="B4555"/>
  <c r="B4476"/>
  <c r="B4470"/>
  <c r="B4451"/>
  <c r="B4442"/>
  <c r="B4427"/>
  <c r="B4385"/>
  <c r="B4377"/>
  <c r="B4374"/>
  <c r="B4372"/>
  <c r="B4229"/>
  <c r="B4226"/>
  <c r="B4222"/>
  <c r="B4219"/>
  <c r="B4216"/>
  <c r="B4211"/>
  <c r="B4207"/>
  <c r="B4199"/>
  <c r="B4197"/>
  <c r="B4194"/>
  <c r="B4188"/>
  <c r="B4125"/>
  <c r="B3953"/>
  <c r="B3945"/>
  <c r="B3943"/>
  <c r="B3934"/>
  <c r="B3928"/>
  <c r="B3914"/>
  <c r="B3907"/>
  <c r="B3903"/>
  <c r="B3902"/>
  <c r="B3895"/>
  <c r="B3891"/>
  <c r="B3887"/>
  <c r="B3862"/>
  <c r="B3840"/>
  <c r="B3837"/>
  <c r="B3830"/>
  <c r="B3823"/>
  <c r="B3822"/>
  <c r="B3816"/>
  <c r="B3805"/>
  <c r="B3801"/>
  <c r="B3799"/>
  <c r="B3794"/>
  <c r="B3786"/>
  <c r="B3778"/>
  <c r="B3775"/>
  <c r="B3679"/>
  <c r="B3676"/>
  <c r="B3665"/>
  <c r="B3658"/>
  <c r="B3654"/>
  <c r="B3652"/>
  <c r="B3647"/>
  <c r="B3630"/>
  <c r="B3618"/>
  <c r="B3612"/>
  <c r="B3602"/>
  <c r="B3592"/>
  <c r="B3588"/>
  <c r="B3582"/>
  <c r="B3572"/>
  <c r="B3570"/>
  <c r="B3560"/>
  <c r="B3554"/>
  <c r="B3551"/>
  <c r="B3538"/>
  <c r="B3533"/>
  <c r="B3529"/>
  <c r="B3526"/>
  <c r="B3489"/>
  <c r="B3486"/>
  <c r="B3464"/>
  <c r="B3425"/>
  <c r="B3422"/>
  <c r="B3419"/>
  <c r="B3412"/>
  <c r="B3407"/>
  <c r="B3075"/>
  <c r="B3070"/>
  <c r="B3067"/>
  <c r="B3059"/>
  <c r="B3054"/>
  <c r="B3012"/>
  <c r="B3003"/>
  <c r="B3001"/>
  <c r="B2990"/>
  <c r="B2987"/>
  <c r="B2982"/>
  <c r="B2980"/>
  <c r="B2976"/>
  <c r="B2972"/>
  <c r="B2966"/>
  <c r="B2961"/>
  <c r="B2957"/>
  <c r="B2948"/>
  <c r="B2946"/>
  <c r="B2941"/>
  <c r="B2936"/>
  <c r="B2934"/>
  <c r="B2929"/>
  <c r="B2926"/>
  <c r="B2918"/>
  <c r="B2786"/>
  <c r="B2780"/>
  <c r="B2776"/>
  <c r="B2774"/>
  <c r="B2771"/>
  <c r="B2768"/>
  <c r="B2416"/>
  <c r="B2414"/>
  <c r="B2409"/>
  <c r="B2403"/>
  <c r="B2400"/>
  <c r="B2397"/>
  <c r="B2390"/>
  <c r="B2383"/>
  <c r="B2379"/>
  <c r="B2377"/>
  <c r="B2369"/>
  <c r="B2366"/>
  <c r="B2361"/>
  <c r="B2355"/>
  <c r="B2353"/>
  <c r="B2343"/>
  <c r="B2340"/>
  <c r="B2290"/>
  <c r="B2286"/>
  <c r="B2282"/>
  <c r="B2278"/>
  <c r="B2274"/>
  <c r="B2268"/>
  <c r="B2256"/>
  <c r="B2248"/>
  <c r="B2244"/>
  <c r="B2238"/>
  <c r="B2235"/>
  <c r="B2227"/>
  <c r="B2223"/>
  <c r="B2219"/>
  <c r="B2208"/>
  <c r="B2159"/>
  <c r="B2153"/>
  <c r="B2148"/>
  <c r="B2141"/>
  <c r="B2139"/>
  <c r="B2134"/>
  <c r="B2130"/>
  <c r="B2123"/>
  <c r="B2121"/>
  <c r="B2107"/>
  <c r="B2100"/>
  <c r="B2086"/>
  <c r="B2083"/>
  <c r="B2073"/>
  <c r="B2070"/>
  <c r="B2064"/>
  <c r="B1975"/>
  <c r="B1966"/>
  <c r="B1963"/>
  <c r="B1941"/>
  <c r="B1924"/>
  <c r="B1906"/>
  <c r="B1898"/>
  <c r="B1896"/>
  <c r="B1893"/>
  <c r="B1889"/>
  <c r="B1884"/>
  <c r="B1880"/>
  <c r="B1849"/>
  <c r="B1842"/>
  <c r="B1827"/>
  <c r="B1824"/>
  <c r="B1814"/>
  <c r="B1809"/>
  <c r="B1807"/>
  <c r="B1788"/>
  <c r="B1783"/>
  <c r="B1782"/>
  <c r="B1778"/>
  <c r="B1762"/>
  <c r="B1751"/>
  <c r="B1748"/>
  <c r="B1743"/>
  <c r="B1730"/>
  <c r="B1726"/>
  <c r="B1723"/>
  <c r="B1716"/>
  <c r="B1708"/>
  <c r="B1690"/>
  <c r="B1682"/>
  <c r="B1675"/>
  <c r="B1643"/>
  <c r="B1609"/>
  <c r="B1587"/>
  <c r="B1584"/>
  <c r="B1583"/>
  <c r="B1580"/>
  <c r="B1562"/>
  <c r="B1488"/>
  <c r="B1419"/>
  <c r="B1401"/>
  <c r="B1383"/>
  <c r="B1379"/>
  <c r="B1375"/>
  <c r="B1368"/>
  <c r="B1354"/>
  <c r="B1346"/>
  <c r="B1312"/>
  <c r="B1309"/>
  <c r="B1306"/>
  <c r="B1293"/>
  <c r="B1287"/>
  <c r="B1280"/>
  <c r="B1274"/>
  <c r="B1237"/>
  <c r="B1234"/>
  <c r="B1227"/>
  <c r="B1169"/>
  <c r="B1166"/>
  <c r="B1156"/>
  <c r="B1152"/>
  <c r="B1139"/>
  <c r="B1133"/>
  <c r="B1128"/>
  <c r="B1120"/>
  <c r="B1117"/>
  <c r="B1114"/>
  <c r="B1107"/>
  <c r="B1101"/>
  <c r="B1093"/>
  <c r="B1090"/>
  <c r="B1083"/>
  <c r="B1074"/>
  <c r="B1070"/>
  <c r="B1061"/>
  <c r="B1056"/>
  <c r="B1041"/>
  <c r="B1038"/>
  <c r="B1035"/>
  <c r="B1027"/>
  <c r="B1017"/>
  <c r="B1014"/>
  <c r="B977"/>
  <c r="B972"/>
  <c r="B957"/>
  <c r="B954"/>
  <c r="B950"/>
  <c r="B939"/>
  <c r="B929"/>
  <c r="B908"/>
  <c r="B905"/>
  <c r="B901"/>
  <c r="B892"/>
  <c r="B882"/>
  <c r="B874"/>
  <c r="B853"/>
  <c r="B848"/>
  <c r="B841"/>
  <c r="B818"/>
  <c r="B805"/>
  <c r="B803"/>
  <c r="B780"/>
  <c r="B428"/>
  <c r="B76"/>
  <c r="B70"/>
  <c r="B68"/>
  <c r="B55"/>
  <c r="B48"/>
  <c r="B25"/>
  <c r="B2"/>
  <c r="L1604" i="7" l="1"/>
  <c r="L1600"/>
  <c r="L1598"/>
  <c r="L1596"/>
  <c r="L1594"/>
  <c r="L1592"/>
  <c r="L1590"/>
  <c r="L1588"/>
  <c r="L1586"/>
  <c r="L1584"/>
  <c r="L1582"/>
  <c r="L1580"/>
  <c r="L1578"/>
  <c r="L1576"/>
  <c r="L1574"/>
  <c r="L1572"/>
  <c r="L1570"/>
  <c r="L1568"/>
  <c r="L1566"/>
  <c r="L1564"/>
  <c r="L1562"/>
  <c r="L1560"/>
  <c r="L1558"/>
  <c r="L1556"/>
  <c r="L1554"/>
  <c r="L1552"/>
  <c r="L1550"/>
  <c r="L1548"/>
  <c r="L1544"/>
  <c r="L1540"/>
  <c r="L1538"/>
  <c r="L1536"/>
  <c r="L1534"/>
  <c r="L1532"/>
  <c r="L1530"/>
  <c r="L1528"/>
  <c r="L1526"/>
  <c r="L1524"/>
  <c r="L1522"/>
  <c r="L1520"/>
  <c r="L1514"/>
  <c r="L1512"/>
  <c r="L1510"/>
  <c r="L1509"/>
  <c r="L1504"/>
  <c r="L1500"/>
  <c r="L1498"/>
  <c r="L1496"/>
  <c r="L1494"/>
  <c r="L1492"/>
  <c r="L1490"/>
  <c r="L1482"/>
  <c r="L1480"/>
  <c r="L1478"/>
  <c r="L1476"/>
  <c r="L1474"/>
  <c r="L1472"/>
  <c r="L1470"/>
  <c r="L1468"/>
  <c r="L1466"/>
  <c r="L1462"/>
  <c r="L1460"/>
  <c r="L1458"/>
  <c r="L1456"/>
  <c r="L1454"/>
  <c r="L1452"/>
  <c r="L1450"/>
  <c r="L1448"/>
  <c r="L1446"/>
  <c r="L1444"/>
  <c r="L1400"/>
  <c r="L1399"/>
  <c r="L1394"/>
  <c r="L1392"/>
  <c r="L1390"/>
  <c r="L1382"/>
  <c r="L1378"/>
  <c r="L1376"/>
  <c r="L1375"/>
  <c r="L1372"/>
  <c r="L1370"/>
  <c r="L1368"/>
  <c r="L1366"/>
  <c r="L1364"/>
  <c r="L1362"/>
  <c r="L1360"/>
  <c r="L1356"/>
  <c r="L1354"/>
  <c r="L1350"/>
  <c r="L1348"/>
  <c r="L1346"/>
  <c r="L1345"/>
  <c r="L1340"/>
  <c r="L1338"/>
  <c r="L1336"/>
  <c r="L1334"/>
  <c r="L1330"/>
  <c r="L1326"/>
  <c r="L1324"/>
  <c r="L1322"/>
  <c r="L1320"/>
  <c r="L1310"/>
  <c r="L1308"/>
  <c r="L1306"/>
  <c r="L1304"/>
  <c r="L1300"/>
  <c r="L1298"/>
  <c r="L1296"/>
  <c r="L1292"/>
  <c r="L1290"/>
  <c r="L1288"/>
  <c r="L1284"/>
  <c r="L1282"/>
  <c r="L1280"/>
  <c r="L1278"/>
  <c r="L1276"/>
  <c r="L1274"/>
  <c r="L1272"/>
  <c r="L1271"/>
  <c r="L1270"/>
  <c r="L1265"/>
  <c r="L1263"/>
  <c r="L1259"/>
  <c r="L1255"/>
  <c r="L1249"/>
  <c r="L1245"/>
  <c r="L1243"/>
  <c r="L1237"/>
  <c r="L1235"/>
  <c r="L1233"/>
  <c r="L1229"/>
  <c r="L1227"/>
  <c r="L1225"/>
  <c r="L1223"/>
  <c r="L1221"/>
  <c r="L1219"/>
  <c r="L1217"/>
  <c r="L1215"/>
  <c r="L1209"/>
  <c r="L1208"/>
  <c r="L1207"/>
  <c r="L1206"/>
  <c r="L1205"/>
  <c r="L1194"/>
  <c r="L1186"/>
  <c r="L1168"/>
  <c r="L1166"/>
  <c r="L1156"/>
  <c r="L1154"/>
  <c r="L1152"/>
  <c r="L1150"/>
  <c r="L1148"/>
  <c r="L1146"/>
  <c r="L1140"/>
  <c r="L1136"/>
  <c r="L1134"/>
  <c r="L1122"/>
  <c r="L1121"/>
  <c r="L1118"/>
  <c r="L1117"/>
  <c r="L1116"/>
  <c r="L1113"/>
  <c r="L1112"/>
  <c r="L1111"/>
  <c r="L1108"/>
  <c r="L1107"/>
  <c r="L1106"/>
  <c r="L1105"/>
  <c r="L1102"/>
  <c r="L1101"/>
  <c r="L1100"/>
  <c r="L1095"/>
  <c r="L1093"/>
  <c r="L1091"/>
  <c r="L1089"/>
  <c r="L1087"/>
  <c r="L1085"/>
  <c r="L1083"/>
  <c r="L1081"/>
  <c r="L1079"/>
  <c r="L1077"/>
  <c r="L1075"/>
  <c r="L1073"/>
  <c r="L1071"/>
  <c r="L1069"/>
  <c r="L1067"/>
  <c r="L1065"/>
  <c r="L1063"/>
  <c r="L1061"/>
  <c r="L1055"/>
  <c r="L1053"/>
  <c r="L1051"/>
  <c r="L1049"/>
  <c r="L1045"/>
  <c r="L1041"/>
  <c r="L1031"/>
  <c r="L1029"/>
  <c r="L1027"/>
  <c r="L1019"/>
  <c r="L1017"/>
  <c r="L1015"/>
  <c r="L1013"/>
  <c r="L1011"/>
  <c r="L1009"/>
  <c r="L1003"/>
  <c r="L1001"/>
  <c r="L999"/>
  <c r="L997"/>
  <c r="L993"/>
  <c r="L992"/>
  <c r="L991"/>
  <c r="L990"/>
  <c r="L989"/>
  <c r="L988"/>
  <c r="L983"/>
  <c r="L981"/>
  <c r="L979"/>
  <c r="L977"/>
  <c r="L975"/>
  <c r="L973"/>
  <c r="L971"/>
  <c r="L969"/>
  <c r="L963"/>
  <c r="L962"/>
  <c r="L961"/>
  <c r="L954"/>
  <c r="L952"/>
  <c r="L950"/>
  <c r="L948"/>
  <c r="L946"/>
  <c r="L944"/>
  <c r="L938"/>
  <c r="L936"/>
  <c r="L934"/>
  <c r="L932"/>
  <c r="L930"/>
  <c r="L928"/>
  <c r="L926"/>
  <c r="L924"/>
  <c r="L922"/>
  <c r="L906"/>
  <c r="L904"/>
  <c r="L902"/>
  <c r="L900"/>
  <c r="L896"/>
  <c r="L892"/>
  <c r="L890"/>
  <c r="L888"/>
  <c r="L886"/>
  <c r="L884"/>
  <c r="L882"/>
  <c r="L880"/>
  <c r="L878"/>
  <c r="L876"/>
  <c r="L874"/>
  <c r="L872"/>
  <c r="L870"/>
  <c r="L868"/>
  <c r="L866"/>
  <c r="L864"/>
  <c r="L862"/>
  <c r="L856"/>
  <c r="L854"/>
  <c r="L852"/>
  <c r="L850"/>
  <c r="L848"/>
  <c r="L846"/>
  <c r="L844"/>
  <c r="L842"/>
  <c r="L840"/>
  <c r="L838"/>
  <c r="L836"/>
  <c r="L834"/>
  <c r="L832"/>
  <c r="L830"/>
  <c r="L826"/>
  <c r="L824"/>
  <c r="L822"/>
  <c r="L820"/>
  <c r="L818"/>
  <c r="L816"/>
  <c r="L814"/>
  <c r="L806"/>
  <c r="L804"/>
  <c r="L802"/>
  <c r="L800"/>
  <c r="L794"/>
  <c r="L792"/>
  <c r="L790"/>
  <c r="L778"/>
  <c r="L776"/>
  <c r="L760"/>
  <c r="L759"/>
  <c r="L752"/>
  <c r="L736"/>
  <c r="L734"/>
  <c r="L730"/>
  <c r="L728"/>
  <c r="L720"/>
  <c r="L719"/>
  <c r="L716"/>
  <c r="L715"/>
  <c r="L714"/>
  <c r="L713"/>
  <c r="L708"/>
  <c r="L706"/>
  <c r="L704"/>
  <c r="L702"/>
  <c r="L700"/>
  <c r="L698"/>
  <c r="L696"/>
  <c r="L695"/>
  <c r="L690"/>
  <c r="L686"/>
  <c r="L685"/>
  <c r="L682"/>
  <c r="L676"/>
  <c r="L674"/>
  <c r="L672"/>
  <c r="L670"/>
  <c r="L668"/>
  <c r="L666"/>
  <c r="L664"/>
  <c r="L662"/>
  <c r="L661"/>
  <c r="L660"/>
  <c r="L659"/>
  <c r="L656"/>
  <c r="L654"/>
  <c r="L652"/>
  <c r="L650"/>
  <c r="L646"/>
  <c r="L644"/>
  <c r="L642"/>
  <c r="L640"/>
  <c r="L638"/>
  <c r="L636"/>
  <c r="L632"/>
  <c r="L630"/>
  <c r="L626"/>
  <c r="L622"/>
  <c r="L620"/>
  <c r="L618"/>
  <c r="L616"/>
  <c r="L612"/>
  <c r="L596"/>
  <c r="L594"/>
  <c r="L592"/>
  <c r="L590"/>
  <c r="L588"/>
  <c r="L586"/>
  <c r="L584"/>
  <c r="L582"/>
  <c r="L580"/>
  <c r="L578"/>
  <c r="L576"/>
  <c r="L574"/>
  <c r="L572"/>
  <c r="L568"/>
  <c r="L560"/>
  <c r="L558"/>
  <c r="L556"/>
  <c r="L554"/>
  <c r="L552"/>
  <c r="L550"/>
  <c r="L548"/>
  <c r="L546"/>
  <c r="L544"/>
  <c r="L542"/>
  <c r="L540"/>
  <c r="L538"/>
  <c r="L536"/>
  <c r="L532"/>
  <c r="L530"/>
  <c r="L524"/>
  <c r="L518"/>
  <c r="L516"/>
  <c r="L514"/>
  <c r="L512"/>
  <c r="L510"/>
  <c r="L508"/>
  <c r="L506"/>
  <c r="L504"/>
  <c r="L502"/>
  <c r="L500"/>
  <c r="L498"/>
  <c r="L495"/>
  <c r="L493"/>
  <c r="L491"/>
  <c r="L490"/>
  <c r="L489"/>
  <c r="L486"/>
  <c r="L484"/>
  <c r="L482"/>
  <c r="L480"/>
  <c r="L478"/>
  <c r="L472"/>
  <c r="L470"/>
  <c r="L468"/>
  <c r="L466"/>
  <c r="L464"/>
  <c r="L462"/>
  <c r="L460"/>
  <c r="L458"/>
  <c r="L456"/>
  <c r="L452"/>
  <c r="L446"/>
  <c r="L442"/>
  <c r="L438"/>
  <c r="L434"/>
  <c r="L433"/>
  <c r="L416"/>
  <c r="L414"/>
  <c r="L408"/>
  <c r="L404"/>
  <c r="L402"/>
  <c r="L400"/>
  <c r="L398"/>
  <c r="L396"/>
  <c r="L394"/>
  <c r="L392"/>
  <c r="L390"/>
  <c r="L386"/>
  <c r="L384"/>
  <c r="L382"/>
  <c r="L380"/>
  <c r="L376"/>
  <c r="L375"/>
  <c r="L372"/>
  <c r="L371"/>
  <c r="L370"/>
  <c r="L369"/>
  <c r="L364"/>
  <c r="L362"/>
  <c r="L360"/>
  <c r="L358"/>
  <c r="L356"/>
  <c r="L354"/>
  <c r="L353"/>
  <c r="L352"/>
  <c r="L351"/>
  <c r="L350"/>
  <c r="L347"/>
  <c r="L345"/>
  <c r="L343"/>
  <c r="L341"/>
  <c r="L329"/>
  <c r="L327"/>
  <c r="L325"/>
  <c r="L323"/>
  <c r="L321"/>
  <c r="L319"/>
  <c r="L313"/>
  <c r="L312"/>
  <c r="L311"/>
  <c r="L310"/>
  <c r="L309"/>
  <c r="L308"/>
  <c r="L307"/>
  <c r="L306"/>
  <c r="L305"/>
  <c r="L304"/>
  <c r="L303"/>
  <c r="L302"/>
  <c r="L301"/>
  <c r="L292"/>
  <c r="L288"/>
  <c r="L286"/>
  <c r="L284"/>
  <c r="L282"/>
  <c r="L280"/>
  <c r="L278"/>
  <c r="L276"/>
  <c r="L274"/>
  <c r="L272"/>
  <c r="L270"/>
  <c r="L268"/>
  <c r="L266"/>
  <c r="L264"/>
  <c r="L262"/>
  <c r="L260"/>
  <c r="L258"/>
  <c r="L256"/>
  <c r="L254"/>
  <c r="L252"/>
  <c r="L250"/>
  <c r="L248"/>
  <c r="L246"/>
  <c r="L244"/>
  <c r="L242"/>
  <c r="L240"/>
  <c r="L238"/>
  <c r="L236"/>
  <c r="L234"/>
  <c r="L233"/>
  <c r="L228"/>
  <c r="L226"/>
  <c r="L224"/>
  <c r="L220"/>
  <c r="L218"/>
  <c r="L216"/>
  <c r="L214"/>
  <c r="L212"/>
  <c r="L208"/>
  <c r="L206"/>
  <c r="L204"/>
  <c r="L202"/>
  <c r="L200"/>
  <c r="L198"/>
  <c r="L196"/>
  <c r="L194"/>
  <c r="L192"/>
  <c r="L190"/>
  <c r="L188"/>
  <c r="L186"/>
  <c r="L184"/>
  <c r="L182"/>
  <c r="L180"/>
  <c r="L178"/>
  <c r="L176"/>
  <c r="L174"/>
  <c r="L168"/>
  <c r="L166"/>
  <c r="L164"/>
  <c r="L162"/>
  <c r="L160"/>
  <c r="L158"/>
  <c r="L156"/>
  <c r="L154"/>
  <c r="L152"/>
  <c r="L148"/>
  <c r="L146"/>
  <c r="L144"/>
  <c r="L142"/>
  <c r="L140"/>
  <c r="L138"/>
  <c r="L136"/>
  <c r="L134"/>
  <c r="L132"/>
  <c r="L130"/>
  <c r="L128"/>
  <c r="L126"/>
  <c r="L124"/>
  <c r="L122"/>
  <c r="L120"/>
  <c r="L118"/>
  <c r="L116"/>
  <c r="L114"/>
  <c r="L112"/>
  <c r="L110"/>
  <c r="L104"/>
  <c r="L102"/>
  <c r="L100"/>
  <c r="L98"/>
  <c r="L94"/>
  <c r="L92"/>
  <c r="L90"/>
  <c r="L88"/>
  <c r="L86"/>
  <c r="L84"/>
  <c r="L82"/>
  <c r="L80"/>
  <c r="L78"/>
  <c r="L74"/>
  <c r="L72"/>
  <c r="L70"/>
  <c r="L68"/>
  <c r="L66"/>
  <c r="L62"/>
  <c r="L60"/>
  <c r="L58"/>
  <c r="L56"/>
  <c r="L54"/>
  <c r="L52"/>
  <c r="L50"/>
  <c r="L48"/>
  <c r="L46"/>
  <c r="L44"/>
  <c r="L42"/>
  <c r="L40"/>
  <c r="L34"/>
  <c r="L32"/>
  <c r="L28"/>
  <c r="L26"/>
  <c r="L24"/>
  <c r="L22"/>
  <c r="L20"/>
  <c r="L19"/>
  <c r="L18"/>
  <c r="L17"/>
  <c r="L16"/>
  <c r="L15"/>
  <c r="L10"/>
  <c r="L8"/>
  <c r="L6"/>
  <c r="L4"/>
  <c r="L2"/>
  <c r="M1385" i="6"/>
  <c r="I1385"/>
  <c r="I1384"/>
  <c r="I1383"/>
  <c r="I1382"/>
  <c r="I1381"/>
  <c r="M1380"/>
  <c r="I1380"/>
  <c r="I1379"/>
  <c r="M1378"/>
  <c r="I1378"/>
  <c r="I1377"/>
  <c r="I1376"/>
  <c r="I1375"/>
  <c r="I1374"/>
  <c r="M1373"/>
  <c r="I1373"/>
  <c r="I1372"/>
  <c r="M1371"/>
  <c r="I1371"/>
  <c r="M1370"/>
  <c r="I1370"/>
  <c r="M1369"/>
  <c r="I1369"/>
  <c r="M1368"/>
  <c r="I1368"/>
  <c r="M1367"/>
  <c r="I1367"/>
  <c r="M1366"/>
  <c r="I1366"/>
  <c r="M1365"/>
  <c r="I1365"/>
  <c r="M1364"/>
  <c r="I1364"/>
  <c r="M1363"/>
  <c r="I1363"/>
  <c r="M1362"/>
  <c r="I1362"/>
  <c r="M1361"/>
  <c r="I1361"/>
  <c r="M1360"/>
  <c r="I1360"/>
  <c r="I1359"/>
  <c r="M1358"/>
  <c r="I1358"/>
  <c r="I1357"/>
  <c r="I1356"/>
  <c r="M1355"/>
  <c r="I1355"/>
  <c r="I1354"/>
  <c r="I1353"/>
  <c r="I1352"/>
  <c r="M1351"/>
  <c r="I1351"/>
  <c r="M1350"/>
  <c r="I1350"/>
  <c r="M1349"/>
  <c r="I1349"/>
  <c r="I1348"/>
  <c r="M1347"/>
  <c r="I1347"/>
  <c r="M1346"/>
  <c r="I1346"/>
  <c r="M1345"/>
  <c r="I1345"/>
  <c r="I1344"/>
  <c r="I1343"/>
  <c r="I1342"/>
  <c r="M1341"/>
  <c r="I1341"/>
  <c r="I1340"/>
  <c r="M1339"/>
  <c r="I1339"/>
  <c r="M1338"/>
  <c r="I1338"/>
  <c r="I1337"/>
  <c r="M1336"/>
  <c r="I1336"/>
  <c r="M1335"/>
  <c r="I1335"/>
  <c r="M1334"/>
  <c r="I1334"/>
  <c r="M1333"/>
  <c r="I1333"/>
  <c r="I1332"/>
  <c r="I1331"/>
  <c r="M1330"/>
  <c r="I1330"/>
  <c r="M1329"/>
  <c r="I1329"/>
  <c r="M1328"/>
  <c r="I1328"/>
  <c r="I1327"/>
  <c r="I1326"/>
  <c r="I1325"/>
  <c r="M1324"/>
  <c r="I1324"/>
  <c r="M1323"/>
  <c r="I1323"/>
  <c r="I1322"/>
  <c r="M1321"/>
  <c r="I1321"/>
  <c r="M1320"/>
  <c r="I1320"/>
  <c r="I1319"/>
  <c r="I1318"/>
  <c r="I1317"/>
  <c r="I1316"/>
  <c r="M1315"/>
  <c r="I1315"/>
  <c r="I1314"/>
  <c r="I1313"/>
  <c r="I1312"/>
  <c r="I1311"/>
  <c r="I1310"/>
  <c r="M1309"/>
  <c r="I1309"/>
  <c r="I1308"/>
  <c r="I1307"/>
  <c r="M1306"/>
  <c r="I1306"/>
  <c r="I1305"/>
  <c r="I1304"/>
  <c r="M1303"/>
  <c r="I1303"/>
  <c r="I1302"/>
  <c r="M1301"/>
  <c r="I1301"/>
  <c r="I1300"/>
  <c r="I1299"/>
  <c r="I1298"/>
  <c r="I1297"/>
  <c r="M1296"/>
  <c r="I1296"/>
  <c r="I1295"/>
  <c r="I1294"/>
  <c r="M1293"/>
  <c r="I1293"/>
  <c r="I1292"/>
  <c r="I1291"/>
  <c r="I1290"/>
  <c r="I1289"/>
  <c r="I1288"/>
  <c r="I1287"/>
  <c r="M1286"/>
  <c r="I1286"/>
  <c r="I1285"/>
  <c r="M1284"/>
  <c r="I1284"/>
  <c r="M1283"/>
  <c r="I1283"/>
  <c r="M1282"/>
  <c r="I1282"/>
  <c r="I1281"/>
  <c r="I1280"/>
  <c r="I1279"/>
  <c r="M1278"/>
  <c r="I1278"/>
  <c r="I1277"/>
  <c r="I1276"/>
  <c r="I1275"/>
  <c r="I1274"/>
  <c r="M1273"/>
  <c r="I1273"/>
  <c r="I1272"/>
  <c r="M1271"/>
  <c r="I1271"/>
  <c r="M1270"/>
  <c r="I1270"/>
  <c r="M1269"/>
  <c r="I1269"/>
  <c r="I1268"/>
  <c r="I1267"/>
  <c r="I1266"/>
  <c r="I1265"/>
  <c r="M1264"/>
  <c r="I1264"/>
  <c r="M1263"/>
  <c r="I1263"/>
  <c r="M1262"/>
  <c r="I1262"/>
  <c r="M1261"/>
  <c r="I1261"/>
  <c r="I1260"/>
  <c r="M1259"/>
  <c r="I1259"/>
  <c r="M1258"/>
  <c r="I1258"/>
  <c r="I1257"/>
  <c r="I1256"/>
  <c r="I1255"/>
  <c r="I1254"/>
  <c r="M1253"/>
  <c r="I1253"/>
  <c r="M1252"/>
  <c r="I1252"/>
  <c r="I1251"/>
  <c r="M1250"/>
  <c r="I1250"/>
  <c r="I1249"/>
  <c r="I1248"/>
  <c r="I1247"/>
  <c r="I1246"/>
  <c r="I1245"/>
  <c r="I1244"/>
  <c r="I1243"/>
  <c r="I1242"/>
  <c r="I1241"/>
  <c r="I1240"/>
  <c r="I1239"/>
  <c r="I1238"/>
  <c r="I1237"/>
  <c r="I1236"/>
  <c r="I1235"/>
  <c r="I1234"/>
  <c r="I1233"/>
  <c r="I1232"/>
  <c r="I1231"/>
  <c r="I1230"/>
  <c r="I1229"/>
  <c r="I1228"/>
  <c r="I1227"/>
  <c r="I1226"/>
  <c r="I1225"/>
  <c r="M1224"/>
  <c r="I1224"/>
  <c r="I1223"/>
  <c r="I1222"/>
  <c r="I1221"/>
  <c r="I1220"/>
  <c r="I1219"/>
  <c r="I1218"/>
  <c r="I1217"/>
  <c r="M1216"/>
  <c r="I1216"/>
  <c r="I1215"/>
  <c r="M1214"/>
  <c r="I1214"/>
  <c r="I1213"/>
  <c r="M1212"/>
  <c r="I1212"/>
  <c r="I1211"/>
  <c r="I1210"/>
  <c r="I1209"/>
  <c r="M1208"/>
  <c r="I1208"/>
  <c r="I1207"/>
  <c r="I1206"/>
  <c r="I1205"/>
  <c r="M1204"/>
  <c r="I1204"/>
  <c r="M1203"/>
  <c r="I1203"/>
  <c r="M1202"/>
  <c r="I1202"/>
  <c r="I1201"/>
  <c r="I1200"/>
  <c r="I1199"/>
  <c r="I1198"/>
  <c r="I1197"/>
  <c r="M1196"/>
  <c r="I1196"/>
  <c r="M1195"/>
  <c r="I1195"/>
  <c r="I1194"/>
  <c r="I1193"/>
  <c r="M1192"/>
  <c r="I1192"/>
  <c r="M1191"/>
  <c r="I1191"/>
  <c r="M1190"/>
  <c r="I1190"/>
  <c r="I1189"/>
  <c r="M1188"/>
  <c r="I1188"/>
  <c r="I1187"/>
  <c r="I1186"/>
  <c r="I1185"/>
  <c r="M1184"/>
  <c r="I1184"/>
  <c r="I1183"/>
  <c r="I1182"/>
  <c r="I1181"/>
  <c r="I1180"/>
  <c r="M1179"/>
  <c r="I1179"/>
  <c r="I1178"/>
  <c r="M1177"/>
  <c r="I1177"/>
  <c r="M1176"/>
  <c r="I1176"/>
  <c r="I1175"/>
  <c r="I1174"/>
  <c r="M1173"/>
  <c r="I1173"/>
  <c r="M1172"/>
  <c r="I1172"/>
  <c r="I1171"/>
  <c r="I1170"/>
  <c r="M1169"/>
  <c r="I1169"/>
  <c r="I1168"/>
  <c r="I1167"/>
  <c r="I1166"/>
  <c r="I1165"/>
  <c r="M1164"/>
  <c r="I1164"/>
  <c r="I1163"/>
  <c r="I1162"/>
  <c r="I1161"/>
  <c r="I1160"/>
  <c r="M1159"/>
  <c r="I1159"/>
  <c r="M1158"/>
  <c r="I1158"/>
  <c r="I1157"/>
  <c r="M1156"/>
  <c r="I1156"/>
  <c r="I1155"/>
  <c r="M1154"/>
  <c r="I1154"/>
  <c r="I1153"/>
  <c r="I1152"/>
  <c r="I1151"/>
  <c r="I1150"/>
  <c r="I1149"/>
  <c r="I1148"/>
  <c r="I1147"/>
  <c r="I1146"/>
  <c r="M1145"/>
  <c r="I1145"/>
  <c r="M1144"/>
  <c r="I1144"/>
  <c r="I1143"/>
  <c r="M1142"/>
  <c r="I1142"/>
  <c r="I1141"/>
  <c r="M1140"/>
  <c r="I1140"/>
  <c r="I1139"/>
  <c r="I1138"/>
  <c r="I1137"/>
  <c r="I1136"/>
  <c r="M1135"/>
  <c r="I1135"/>
  <c r="M1134"/>
  <c r="I1134"/>
  <c r="M1133"/>
  <c r="I1133"/>
  <c r="I1132"/>
  <c r="I1131"/>
  <c r="I1130"/>
  <c r="I1129"/>
  <c r="M1128"/>
  <c r="I1128"/>
  <c r="I1127"/>
  <c r="I1126"/>
  <c r="M1125"/>
  <c r="I1125"/>
  <c r="M1124"/>
  <c r="I1124"/>
  <c r="I1123"/>
  <c r="I1122"/>
  <c r="I1121"/>
  <c r="I1120"/>
  <c r="M1119"/>
  <c r="I1119"/>
  <c r="I1118"/>
  <c r="I1117"/>
  <c r="M1116"/>
  <c r="I1116"/>
  <c r="M1115"/>
  <c r="I1115"/>
  <c r="I1114"/>
  <c r="M1113"/>
  <c r="I1113"/>
  <c r="M1112"/>
  <c r="I1112"/>
  <c r="I1111"/>
  <c r="M1110"/>
  <c r="I1110"/>
  <c r="I1109"/>
  <c r="M1108"/>
  <c r="I1108"/>
  <c r="I1107"/>
  <c r="M1106"/>
  <c r="I1106"/>
  <c r="I1105"/>
  <c r="I1104"/>
  <c r="I1103"/>
  <c r="I1102"/>
  <c r="I1101"/>
  <c r="M1100"/>
  <c r="I1100"/>
  <c r="I1099"/>
  <c r="I1098"/>
  <c r="M1097"/>
  <c r="I1097"/>
  <c r="I1096"/>
  <c r="I1095"/>
  <c r="I1094"/>
  <c r="I1093"/>
  <c r="I1092"/>
  <c r="I1091"/>
  <c r="M1090"/>
  <c r="I1090"/>
  <c r="M1089"/>
  <c r="I1089"/>
  <c r="I1088"/>
  <c r="I1087"/>
  <c r="I1086"/>
  <c r="I1085"/>
  <c r="M1084"/>
  <c r="I1084"/>
  <c r="I1083"/>
  <c r="I1082"/>
  <c r="I1081"/>
  <c r="I1080"/>
  <c r="I1079"/>
  <c r="I1078"/>
  <c r="I1077"/>
  <c r="I1076"/>
  <c r="I1075"/>
  <c r="I1074"/>
  <c r="M1073"/>
  <c r="I1073"/>
  <c r="I1072"/>
  <c r="M1071"/>
  <c r="I1071"/>
  <c r="M1070"/>
  <c r="I1070"/>
  <c r="I1069"/>
  <c r="M1068"/>
  <c r="I1068"/>
  <c r="I1067"/>
  <c r="I1066"/>
  <c r="I1065"/>
  <c r="M1064"/>
  <c r="I1064"/>
  <c r="I1063"/>
  <c r="M1062"/>
  <c r="I1062"/>
  <c r="I1061"/>
  <c r="I1060"/>
  <c r="M1059"/>
  <c r="I1059"/>
  <c r="I1058"/>
  <c r="M1057"/>
  <c r="I1057"/>
  <c r="M1056"/>
  <c r="I1056"/>
  <c r="M1055"/>
  <c r="I1055"/>
  <c r="M1054"/>
  <c r="I1054"/>
  <c r="I1053"/>
  <c r="I1052"/>
  <c r="I1051"/>
  <c r="I1050"/>
  <c r="I1049"/>
  <c r="I1048"/>
  <c r="I1047"/>
  <c r="I1046"/>
  <c r="I1045"/>
  <c r="I1044"/>
  <c r="I1043"/>
  <c r="I1042"/>
  <c r="I1041"/>
  <c r="I1040"/>
  <c r="I1039"/>
  <c r="I1038"/>
  <c r="I1037"/>
  <c r="I1036"/>
  <c r="I1035"/>
  <c r="I1034"/>
  <c r="I1033"/>
  <c r="I1032"/>
  <c r="I1031"/>
  <c r="I1030"/>
  <c r="I1029"/>
  <c r="I1028"/>
  <c r="I1027"/>
  <c r="I1026"/>
  <c r="I1025"/>
  <c r="I1024"/>
  <c r="I1023"/>
  <c r="I1022"/>
  <c r="I1021"/>
  <c r="I1020"/>
  <c r="I1019"/>
  <c r="I1018"/>
  <c r="M1017"/>
  <c r="I1017"/>
  <c r="I1016"/>
  <c r="I1015"/>
  <c r="I1014"/>
  <c r="I1013"/>
  <c r="I1012"/>
  <c r="I1011"/>
  <c r="I1010"/>
  <c r="I1009"/>
  <c r="I1008"/>
  <c r="I1007"/>
  <c r="I1006"/>
  <c r="I1005"/>
  <c r="I1004"/>
  <c r="I1003"/>
  <c r="I1002"/>
  <c r="I1001"/>
  <c r="M1000"/>
  <c r="I1000"/>
  <c r="M999"/>
  <c r="I999"/>
  <c r="M998"/>
  <c r="I998"/>
  <c r="M997"/>
  <c r="I997"/>
  <c r="I996"/>
  <c r="M995"/>
  <c r="I995"/>
  <c r="M994"/>
  <c r="I994"/>
  <c r="I993"/>
  <c r="I992"/>
  <c r="M991"/>
  <c r="I991"/>
  <c r="I990"/>
  <c r="I989"/>
  <c r="M988"/>
  <c r="I988"/>
  <c r="I987"/>
  <c r="M986"/>
  <c r="I986"/>
  <c r="I985"/>
  <c r="M984"/>
  <c r="I984"/>
  <c r="M983"/>
  <c r="I983"/>
  <c r="I982"/>
  <c r="M981"/>
  <c r="I981"/>
  <c r="M980"/>
  <c r="I980"/>
  <c r="I979"/>
  <c r="M978"/>
  <c r="I978"/>
  <c r="I977"/>
  <c r="M976"/>
  <c r="I976"/>
  <c r="M975"/>
  <c r="I975"/>
  <c r="M974"/>
  <c r="I974"/>
  <c r="M973"/>
  <c r="I973"/>
  <c r="M972"/>
  <c r="I972"/>
  <c r="I971"/>
  <c r="I970"/>
  <c r="M969"/>
  <c r="I969"/>
  <c r="M968"/>
  <c r="I968"/>
  <c r="I967"/>
  <c r="I966"/>
  <c r="M965"/>
  <c r="I965"/>
  <c r="M964"/>
  <c r="I964"/>
  <c r="M963"/>
  <c r="I963"/>
  <c r="M962"/>
  <c r="I962"/>
  <c r="M961"/>
  <c r="I961"/>
  <c r="M960"/>
  <c r="I960"/>
  <c r="I959"/>
  <c r="I958"/>
  <c r="I957"/>
  <c r="I956"/>
  <c r="I955"/>
  <c r="I954"/>
  <c r="I953"/>
  <c r="I952"/>
  <c r="I951"/>
  <c r="I950"/>
  <c r="I949"/>
  <c r="I948"/>
  <c r="I947"/>
  <c r="M946"/>
  <c r="I946"/>
  <c r="I945"/>
  <c r="M944"/>
  <c r="I944"/>
  <c r="I943"/>
  <c r="I942"/>
  <c r="I941"/>
  <c r="M940"/>
  <c r="I940"/>
  <c r="I939"/>
  <c r="I938"/>
  <c r="I937"/>
  <c r="I936"/>
  <c r="I935"/>
  <c r="I934"/>
  <c r="I933"/>
  <c r="I932"/>
  <c r="I931"/>
  <c r="I930"/>
  <c r="I929"/>
  <c r="I928"/>
  <c r="I927"/>
  <c r="I926"/>
  <c r="I925"/>
  <c r="I924"/>
  <c r="M923"/>
  <c r="I923"/>
  <c r="I922"/>
  <c r="M921"/>
  <c r="I921"/>
  <c r="I920"/>
  <c r="I919"/>
  <c r="I918"/>
  <c r="I917"/>
  <c r="I916"/>
  <c r="I915"/>
  <c r="I914"/>
  <c r="I913"/>
  <c r="M912"/>
  <c r="I912"/>
  <c r="I911"/>
  <c r="I910"/>
  <c r="M909"/>
  <c r="I909"/>
  <c r="M908"/>
  <c r="I908"/>
  <c r="I907"/>
  <c r="I906"/>
  <c r="I905"/>
  <c r="I904"/>
  <c r="I903"/>
  <c r="I902"/>
  <c r="I901"/>
  <c r="I900"/>
  <c r="M899"/>
  <c r="I899"/>
  <c r="I898"/>
  <c r="M897"/>
  <c r="I897"/>
  <c r="M896"/>
  <c r="I896"/>
  <c r="M895"/>
  <c r="I895"/>
  <c r="I894"/>
  <c r="M893"/>
  <c r="I893"/>
  <c r="I892"/>
  <c r="I891"/>
  <c r="I890"/>
  <c r="I889"/>
  <c r="I888"/>
  <c r="M887"/>
  <c r="I887"/>
  <c r="I886"/>
  <c r="I885"/>
  <c r="I884"/>
  <c r="I883"/>
  <c r="I882"/>
  <c r="M881"/>
  <c r="I881"/>
  <c r="I880"/>
  <c r="M879"/>
  <c r="I879"/>
  <c r="M878"/>
  <c r="I878"/>
  <c r="M877"/>
  <c r="I877"/>
  <c r="I876"/>
  <c r="I875"/>
  <c r="I874"/>
  <c r="M873"/>
  <c r="I873"/>
  <c r="M872"/>
  <c r="I872"/>
  <c r="M871"/>
  <c r="I871"/>
  <c r="I870"/>
  <c r="M869"/>
  <c r="I869"/>
  <c r="M868"/>
  <c r="I868"/>
  <c r="I867"/>
  <c r="I866"/>
  <c r="I865"/>
  <c r="I864"/>
  <c r="I863"/>
  <c r="I862"/>
  <c r="I861"/>
  <c r="M860"/>
  <c r="I860"/>
  <c r="I859"/>
  <c r="I858"/>
  <c r="M857"/>
  <c r="I857"/>
  <c r="M856"/>
  <c r="I856"/>
  <c r="I855"/>
  <c r="I854"/>
  <c r="I853"/>
  <c r="I852"/>
  <c r="I851"/>
  <c r="M850"/>
  <c r="I850"/>
  <c r="I849"/>
  <c r="M848"/>
  <c r="I848"/>
  <c r="I847"/>
  <c r="M846"/>
  <c r="I846"/>
  <c r="I845"/>
  <c r="M844"/>
  <c r="I844"/>
  <c r="M843"/>
  <c r="I843"/>
  <c r="M842"/>
  <c r="I842"/>
  <c r="I841"/>
  <c r="I840"/>
  <c r="I839"/>
  <c r="M838"/>
  <c r="I838"/>
  <c r="M837"/>
  <c r="I837"/>
  <c r="M836"/>
  <c r="I836"/>
  <c r="M835"/>
  <c r="I835"/>
  <c r="M834"/>
  <c r="I834"/>
  <c r="I833"/>
  <c r="M832"/>
  <c r="I832"/>
  <c r="M831"/>
  <c r="I831"/>
  <c r="M830"/>
  <c r="I830"/>
  <c r="I829"/>
  <c r="I828"/>
  <c r="I827"/>
  <c r="M826"/>
  <c r="I826"/>
  <c r="I825"/>
  <c r="I824"/>
  <c r="I823"/>
  <c r="I822"/>
  <c r="I821"/>
  <c r="I820"/>
  <c r="I819"/>
  <c r="I818"/>
  <c r="I817"/>
  <c r="I816"/>
  <c r="I815"/>
  <c r="I814"/>
  <c r="I813"/>
  <c r="I812"/>
  <c r="I811"/>
  <c r="M810"/>
  <c r="I810"/>
  <c r="M809"/>
  <c r="I809"/>
  <c r="M808"/>
  <c r="I808"/>
  <c r="I807"/>
  <c r="I806"/>
  <c r="M805"/>
  <c r="I805"/>
  <c r="I804"/>
  <c r="I803"/>
  <c r="M802"/>
  <c r="I802"/>
  <c r="I801"/>
  <c r="I800"/>
  <c r="I799"/>
  <c r="I798"/>
  <c r="I797"/>
  <c r="I796"/>
  <c r="I795"/>
  <c r="I794"/>
  <c r="I793"/>
  <c r="I792"/>
  <c r="I791"/>
  <c r="I790"/>
  <c r="I789"/>
  <c r="I788"/>
  <c r="I787"/>
  <c r="M786"/>
  <c r="I786"/>
  <c r="I785"/>
  <c r="M784"/>
  <c r="I784"/>
  <c r="M783"/>
  <c r="I783"/>
  <c r="M782"/>
  <c r="I782"/>
  <c r="M781"/>
  <c r="I781"/>
  <c r="I780"/>
  <c r="M779"/>
  <c r="I779"/>
  <c r="M778"/>
  <c r="I778"/>
  <c r="M777"/>
  <c r="I777"/>
  <c r="M776"/>
  <c r="I776"/>
  <c r="M775"/>
  <c r="I775"/>
  <c r="M774"/>
  <c r="I774"/>
  <c r="M773"/>
  <c r="I773"/>
  <c r="M772"/>
  <c r="I772"/>
  <c r="M771"/>
  <c r="I771"/>
  <c r="I770"/>
  <c r="I769"/>
  <c r="I768"/>
  <c r="M767"/>
  <c r="I767"/>
  <c r="I766"/>
  <c r="M765"/>
  <c r="I765"/>
  <c r="I764"/>
  <c r="I763"/>
  <c r="I762"/>
  <c r="I761"/>
  <c r="I760"/>
  <c r="I759"/>
  <c r="I758"/>
  <c r="I757"/>
  <c r="M756"/>
  <c r="I756"/>
  <c r="I755"/>
  <c r="I754"/>
  <c r="I753"/>
  <c r="I752"/>
  <c r="I751"/>
  <c r="I750"/>
  <c r="I749"/>
  <c r="I748"/>
  <c r="I747"/>
  <c r="I746"/>
  <c r="I745"/>
  <c r="M744"/>
  <c r="I744"/>
  <c r="I743"/>
  <c r="M742"/>
  <c r="I742"/>
  <c r="I741"/>
  <c r="I740"/>
  <c r="I739"/>
  <c r="I738"/>
  <c r="I737"/>
  <c r="I736"/>
  <c r="I735"/>
  <c r="M734"/>
  <c r="I734"/>
  <c r="M733"/>
  <c r="I733"/>
  <c r="M732"/>
  <c r="I732"/>
  <c r="M731"/>
  <c r="I731"/>
  <c r="M730"/>
  <c r="I730"/>
  <c r="I729"/>
  <c r="M728"/>
  <c r="I728"/>
  <c r="I727"/>
  <c r="M726"/>
  <c r="I726"/>
  <c r="I725"/>
  <c r="M724"/>
  <c r="I724"/>
  <c r="M723"/>
  <c r="I723"/>
  <c r="M722"/>
  <c r="I722"/>
  <c r="M721"/>
  <c r="I721"/>
  <c r="M720"/>
  <c r="I720"/>
  <c r="I719"/>
  <c r="I718"/>
  <c r="M717"/>
  <c r="I717"/>
  <c r="I716"/>
  <c r="I715"/>
  <c r="M714"/>
  <c r="I714"/>
  <c r="M713"/>
  <c r="I713"/>
  <c r="M712"/>
  <c r="I712"/>
  <c r="M711"/>
  <c r="I711"/>
  <c r="M710"/>
  <c r="I710"/>
  <c r="I709"/>
  <c r="M708"/>
  <c r="I708"/>
  <c r="M707"/>
  <c r="I707"/>
  <c r="I706"/>
  <c r="I705"/>
  <c r="I704"/>
  <c r="I703"/>
  <c r="I702"/>
  <c r="I701"/>
  <c r="I700"/>
  <c r="I699"/>
  <c r="I698"/>
  <c r="I697"/>
  <c r="I696"/>
  <c r="I695"/>
  <c r="I694"/>
  <c r="I693"/>
  <c r="I692"/>
  <c r="I691"/>
  <c r="I690"/>
  <c r="M689"/>
  <c r="I689"/>
  <c r="I688"/>
  <c r="I687"/>
  <c r="M686"/>
  <c r="I686"/>
  <c r="I685"/>
  <c r="I684"/>
  <c r="I683"/>
  <c r="I682"/>
  <c r="I681"/>
  <c r="I680"/>
  <c r="I679"/>
  <c r="I678"/>
  <c r="M677"/>
  <c r="I677"/>
  <c r="I676"/>
  <c r="I675"/>
  <c r="I674"/>
  <c r="I673"/>
  <c r="I672"/>
  <c r="M671"/>
  <c r="I671"/>
  <c r="I670"/>
  <c r="I669"/>
  <c r="I668"/>
  <c r="I667"/>
  <c r="I666"/>
  <c r="I665"/>
  <c r="M664"/>
  <c r="I664"/>
  <c r="M663"/>
  <c r="I663"/>
  <c r="M662"/>
  <c r="I662"/>
  <c r="I661"/>
  <c r="I660"/>
  <c r="I659"/>
  <c r="I658"/>
  <c r="I657"/>
  <c r="I656"/>
  <c r="I655"/>
  <c r="I654"/>
  <c r="I653"/>
  <c r="I652"/>
  <c r="I651"/>
  <c r="I650"/>
  <c r="I649"/>
  <c r="I648"/>
  <c r="I647"/>
  <c r="I646"/>
  <c r="I645"/>
  <c r="I644"/>
  <c r="M643"/>
  <c r="I643"/>
  <c r="I642"/>
  <c r="I641"/>
  <c r="M640"/>
  <c r="I640"/>
  <c r="I639"/>
  <c r="I638"/>
  <c r="I637"/>
  <c r="I636"/>
  <c r="I635"/>
  <c r="M634"/>
  <c r="I634"/>
  <c r="I633"/>
  <c r="I632"/>
  <c r="I631"/>
  <c r="I630"/>
  <c r="I629"/>
  <c r="I628"/>
  <c r="I627"/>
  <c r="I626"/>
  <c r="I625"/>
  <c r="I624"/>
  <c r="I623"/>
  <c r="M622"/>
  <c r="I622"/>
  <c r="M621"/>
  <c r="I621"/>
  <c r="I620"/>
  <c r="M619"/>
  <c r="I619"/>
  <c r="I618"/>
  <c r="I617"/>
  <c r="M616"/>
  <c r="I616"/>
  <c r="I615"/>
  <c r="I614"/>
  <c r="I613"/>
  <c r="I612"/>
  <c r="M611"/>
  <c r="I611"/>
  <c r="M610"/>
  <c r="I610"/>
  <c r="M609"/>
  <c r="I609"/>
  <c r="I608"/>
  <c r="M607"/>
  <c r="I607"/>
  <c r="I606"/>
  <c r="I605"/>
  <c r="M604"/>
  <c r="I604"/>
  <c r="I603"/>
  <c r="I602"/>
  <c r="I601"/>
  <c r="M600"/>
  <c r="I600"/>
  <c r="I599"/>
  <c r="M598"/>
  <c r="I598"/>
  <c r="I597"/>
  <c r="I596"/>
  <c r="I595"/>
  <c r="I594"/>
  <c r="M593"/>
  <c r="I593"/>
  <c r="M592"/>
  <c r="I592"/>
  <c r="I591"/>
  <c r="M590"/>
  <c r="I590"/>
  <c r="I589"/>
  <c r="I588"/>
  <c r="I587"/>
  <c r="M586"/>
  <c r="I586"/>
  <c r="I585"/>
  <c r="M584"/>
  <c r="I584"/>
  <c r="M583"/>
  <c r="I583"/>
  <c r="M582"/>
  <c r="I582"/>
  <c r="I581"/>
  <c r="I580"/>
  <c r="I579"/>
  <c r="M578"/>
  <c r="I578"/>
  <c r="I577"/>
  <c r="I576"/>
  <c r="M575"/>
  <c r="I575"/>
  <c r="I574"/>
  <c r="I573"/>
  <c r="I572"/>
  <c r="I571"/>
  <c r="I570"/>
  <c r="M569"/>
  <c r="I569"/>
  <c r="I568"/>
  <c r="I567"/>
  <c r="M566"/>
  <c r="I566"/>
  <c r="I565"/>
  <c r="I564"/>
  <c r="I563"/>
  <c r="I562"/>
  <c r="M561"/>
  <c r="I561"/>
  <c r="M560"/>
  <c r="I560"/>
  <c r="I559"/>
  <c r="I558"/>
  <c r="I557"/>
  <c r="I556"/>
  <c r="I555"/>
  <c r="I554"/>
  <c r="I553"/>
  <c r="I552"/>
  <c r="I551"/>
  <c r="M550"/>
  <c r="I550"/>
  <c r="M549"/>
  <c r="I549"/>
  <c r="I548"/>
  <c r="M547"/>
  <c r="I547"/>
  <c r="M546"/>
  <c r="I546"/>
  <c r="I545"/>
  <c r="I544"/>
  <c r="I543"/>
  <c r="I542"/>
  <c r="I541"/>
  <c r="I540"/>
  <c r="I539"/>
  <c r="M538"/>
  <c r="I538"/>
  <c r="I537"/>
  <c r="M536"/>
  <c r="I536"/>
  <c r="I535"/>
  <c r="I534"/>
  <c r="I533"/>
  <c r="I532"/>
  <c r="M531"/>
  <c r="I531"/>
  <c r="M530"/>
  <c r="I530"/>
  <c r="M529"/>
  <c r="I529"/>
  <c r="I528"/>
  <c r="M527"/>
  <c r="I527"/>
  <c r="I526"/>
  <c r="I525"/>
  <c r="I524"/>
  <c r="I523"/>
  <c r="M522"/>
  <c r="I522"/>
  <c r="I521"/>
  <c r="I520"/>
  <c r="M519"/>
  <c r="I519"/>
  <c r="I518"/>
  <c r="I517"/>
  <c r="I516"/>
  <c r="I515"/>
  <c r="I514"/>
  <c r="I513"/>
  <c r="I512"/>
  <c r="I511"/>
  <c r="I510"/>
  <c r="M509"/>
  <c r="I509"/>
  <c r="I508"/>
  <c r="I507"/>
  <c r="I506"/>
  <c r="I505"/>
  <c r="M504"/>
  <c r="I504"/>
  <c r="M503"/>
  <c r="I503"/>
  <c r="M502"/>
  <c r="I502"/>
  <c r="I501"/>
  <c r="I500"/>
  <c r="M499"/>
  <c r="I499"/>
  <c r="I498"/>
  <c r="M497"/>
  <c r="I497"/>
  <c r="M496"/>
  <c r="I496"/>
  <c r="M495"/>
  <c r="I495"/>
  <c r="I494"/>
  <c r="I493"/>
  <c r="I492"/>
  <c r="M491"/>
  <c r="I491"/>
  <c r="M490"/>
  <c r="I490"/>
  <c r="I489"/>
  <c r="I488"/>
  <c r="M487"/>
  <c r="I487"/>
  <c r="I486"/>
  <c r="I485"/>
  <c r="M484"/>
  <c r="I484"/>
  <c r="M483"/>
  <c r="I483"/>
  <c r="I482"/>
  <c r="M481"/>
  <c r="I481"/>
  <c r="I480"/>
  <c r="I479"/>
  <c r="I478"/>
  <c r="I477"/>
  <c r="I476"/>
  <c r="I475"/>
  <c r="M474"/>
  <c r="I474"/>
  <c r="I473"/>
  <c r="I472"/>
  <c r="M471"/>
  <c r="I471"/>
  <c r="I470"/>
  <c r="M469"/>
  <c r="I469"/>
  <c r="I468"/>
  <c r="I467"/>
  <c r="I466"/>
  <c r="M465"/>
  <c r="I465"/>
  <c r="M464"/>
  <c r="I464"/>
  <c r="I463"/>
  <c r="M462"/>
  <c r="I462"/>
  <c r="M461"/>
  <c r="I461"/>
  <c r="I460"/>
  <c r="I459"/>
  <c r="I458"/>
  <c r="M457"/>
  <c r="I457"/>
  <c r="I456"/>
  <c r="M455"/>
  <c r="I455"/>
  <c r="M454"/>
  <c r="I454"/>
  <c r="M453"/>
  <c r="I453"/>
  <c r="M452"/>
  <c r="I452"/>
  <c r="M451"/>
  <c r="I451"/>
  <c r="I450"/>
  <c r="I449"/>
  <c r="I448"/>
  <c r="M447"/>
  <c r="I447"/>
  <c r="I446"/>
  <c r="I445"/>
  <c r="M444"/>
  <c r="I444"/>
  <c r="I443"/>
  <c r="I442"/>
  <c r="I441"/>
  <c r="M440"/>
  <c r="I440"/>
  <c r="I439"/>
  <c r="I438"/>
  <c r="I437"/>
  <c r="M436"/>
  <c r="I436"/>
  <c r="I435"/>
  <c r="M434"/>
  <c r="I434"/>
  <c r="M433"/>
  <c r="I433"/>
  <c r="M432"/>
  <c r="I432"/>
  <c r="M431"/>
  <c r="I431"/>
  <c r="M430"/>
  <c r="I430"/>
  <c r="I429"/>
  <c r="M428"/>
  <c r="I428"/>
  <c r="I427"/>
  <c r="M426"/>
  <c r="I426"/>
  <c r="M425"/>
  <c r="I425"/>
  <c r="I424"/>
  <c r="I423"/>
  <c r="M422"/>
  <c r="I422"/>
  <c r="M421"/>
  <c r="I421"/>
  <c r="I420"/>
  <c r="I419"/>
  <c r="I418"/>
  <c r="M417"/>
  <c r="I417"/>
  <c r="M416"/>
  <c r="I416"/>
  <c r="I415"/>
  <c r="M414"/>
  <c r="I414"/>
  <c r="M413"/>
  <c r="I413"/>
  <c r="I412"/>
  <c r="I411"/>
  <c r="I410"/>
  <c r="I409"/>
  <c r="I408"/>
  <c r="M407"/>
  <c r="I407"/>
  <c r="I406"/>
  <c r="I405"/>
  <c r="I404"/>
  <c r="M403"/>
  <c r="I403"/>
  <c r="M402"/>
  <c r="I402"/>
  <c r="I401"/>
  <c r="M400"/>
  <c r="I400"/>
  <c r="M399"/>
  <c r="I399"/>
  <c r="I398"/>
  <c r="M397"/>
  <c r="I397"/>
  <c r="I396"/>
  <c r="I395"/>
  <c r="M394"/>
  <c r="I394"/>
  <c r="I393"/>
  <c r="M392"/>
  <c r="I392"/>
  <c r="I391"/>
  <c r="I390"/>
  <c r="I389"/>
  <c r="I388"/>
  <c r="I387"/>
  <c r="M386"/>
  <c r="I386"/>
  <c r="I385"/>
  <c r="I384"/>
  <c r="I383"/>
  <c r="M382"/>
  <c r="I382"/>
  <c r="I381"/>
  <c r="I380"/>
  <c r="I379"/>
  <c r="I378"/>
  <c r="I377"/>
  <c r="I376"/>
  <c r="M375"/>
  <c r="I375"/>
  <c r="I374"/>
  <c r="I373"/>
  <c r="I372"/>
  <c r="I371"/>
  <c r="I370"/>
  <c r="I369"/>
  <c r="I368"/>
  <c r="I367"/>
  <c r="I366"/>
  <c r="M365"/>
  <c r="I365"/>
  <c r="I364"/>
  <c r="I363"/>
  <c r="I362"/>
  <c r="I361"/>
  <c r="I360"/>
  <c r="I359"/>
  <c r="I358"/>
  <c r="I357"/>
  <c r="I356"/>
  <c r="I355"/>
  <c r="I354"/>
  <c r="I353"/>
  <c r="I352"/>
  <c r="I351"/>
  <c r="I350"/>
  <c r="I349"/>
  <c r="I348"/>
  <c r="I347"/>
  <c r="I346"/>
  <c r="I345"/>
  <c r="I344"/>
  <c r="I343"/>
  <c r="I342"/>
  <c r="I341"/>
  <c r="I340"/>
  <c r="I339"/>
  <c r="I338"/>
  <c r="I337"/>
  <c r="M336"/>
  <c r="I336"/>
  <c r="M335"/>
  <c r="I335"/>
  <c r="I334"/>
  <c r="I333"/>
  <c r="I332"/>
  <c r="I331"/>
  <c r="I330"/>
  <c r="M329"/>
  <c r="I329"/>
  <c r="I328"/>
  <c r="I327"/>
  <c r="I326"/>
  <c r="I325"/>
  <c r="I324"/>
  <c r="M323"/>
  <c r="I323"/>
  <c r="M322"/>
  <c r="I322"/>
  <c r="I321"/>
  <c r="M320"/>
  <c r="I320"/>
  <c r="M319"/>
  <c r="I319"/>
  <c r="I318"/>
  <c r="I317"/>
  <c r="M316"/>
  <c r="I316"/>
  <c r="M315"/>
  <c r="I315"/>
  <c r="M314"/>
  <c r="I314"/>
  <c r="M313"/>
  <c r="I313"/>
  <c r="I312"/>
  <c r="I311"/>
  <c r="M310"/>
  <c r="I310"/>
  <c r="I309"/>
  <c r="M308"/>
  <c r="I308"/>
  <c r="I307"/>
  <c r="I306"/>
  <c r="I305"/>
  <c r="M304"/>
  <c r="I304"/>
  <c r="M303"/>
  <c r="I303"/>
  <c r="I302"/>
  <c r="I301"/>
  <c r="I300"/>
  <c r="I299"/>
  <c r="M298"/>
  <c r="I298"/>
  <c r="I297"/>
  <c r="M296"/>
  <c r="I296"/>
  <c r="I295"/>
  <c r="I294"/>
  <c r="I293"/>
  <c r="I292"/>
  <c r="M291"/>
  <c r="I291"/>
  <c r="M290"/>
  <c r="I290"/>
  <c r="I289"/>
  <c r="M288"/>
  <c r="I288"/>
  <c r="M287"/>
  <c r="I287"/>
  <c r="M286"/>
  <c r="I286"/>
  <c r="M285"/>
  <c r="I285"/>
  <c r="I284"/>
  <c r="I283"/>
  <c r="I282"/>
  <c r="I281"/>
  <c r="I280"/>
  <c r="I279"/>
  <c r="I278"/>
  <c r="M277"/>
  <c r="I277"/>
  <c r="I276"/>
  <c r="M275"/>
  <c r="I275"/>
  <c r="M274"/>
  <c r="I274"/>
  <c r="I273"/>
  <c r="I272"/>
  <c r="M271"/>
  <c r="I271"/>
  <c r="I270"/>
  <c r="I269"/>
  <c r="I268"/>
  <c r="I267"/>
  <c r="I266"/>
  <c r="I265"/>
  <c r="I264"/>
  <c r="I263"/>
  <c r="M262"/>
  <c r="I262"/>
  <c r="M261"/>
  <c r="I261"/>
  <c r="I260"/>
  <c r="I259"/>
  <c r="I258"/>
  <c r="I257"/>
  <c r="I256"/>
  <c r="I255"/>
  <c r="M254"/>
  <c r="I254"/>
  <c r="I253"/>
  <c r="I252"/>
  <c r="I251"/>
  <c r="I250"/>
  <c r="I249"/>
  <c r="M248"/>
  <c r="I248"/>
  <c r="I247"/>
  <c r="I246"/>
  <c r="M245"/>
  <c r="I245"/>
  <c r="M244"/>
  <c r="I244"/>
  <c r="I243"/>
  <c r="I242"/>
  <c r="I241"/>
  <c r="M240"/>
  <c r="I240"/>
  <c r="M239"/>
  <c r="I239"/>
  <c r="M238"/>
  <c r="I238"/>
  <c r="M237"/>
  <c r="I237"/>
  <c r="M236"/>
  <c r="I236"/>
  <c r="M235"/>
  <c r="I235"/>
  <c r="M234"/>
  <c r="I234"/>
  <c r="M233"/>
  <c r="I233"/>
  <c r="M232"/>
  <c r="I232"/>
  <c r="M231"/>
  <c r="I231"/>
  <c r="M230"/>
  <c r="I230"/>
  <c r="I229"/>
  <c r="M228"/>
  <c r="I228"/>
  <c r="I227"/>
  <c r="M226"/>
  <c r="I226"/>
  <c r="M225"/>
  <c r="I225"/>
  <c r="M224"/>
  <c r="I224"/>
  <c r="M223"/>
  <c r="I223"/>
  <c r="M222"/>
  <c r="I222"/>
  <c r="I221"/>
  <c r="M220"/>
  <c r="I220"/>
  <c r="M219"/>
  <c r="I219"/>
  <c r="I218"/>
  <c r="M217"/>
  <c r="I217"/>
  <c r="M216"/>
  <c r="I216"/>
  <c r="M215"/>
  <c r="I215"/>
  <c r="M214"/>
  <c r="I214"/>
  <c r="M213"/>
  <c r="I213"/>
  <c r="M212"/>
  <c r="I212"/>
  <c r="I211"/>
  <c r="M210"/>
  <c r="I210"/>
  <c r="I209"/>
  <c r="I208"/>
  <c r="M207"/>
  <c r="I207"/>
  <c r="I206"/>
  <c r="I205"/>
  <c r="I204"/>
  <c r="I203"/>
  <c r="I202"/>
  <c r="I201"/>
  <c r="I200"/>
  <c r="M199"/>
  <c r="I199"/>
  <c r="M198"/>
  <c r="I198"/>
  <c r="I197"/>
  <c r="M196"/>
  <c r="I196"/>
  <c r="M195"/>
  <c r="I195"/>
  <c r="M194"/>
  <c r="I194"/>
  <c r="I193"/>
  <c r="I192"/>
  <c r="M191"/>
  <c r="I191"/>
  <c r="M190"/>
  <c r="I190"/>
  <c r="M189"/>
  <c r="I189"/>
  <c r="M188"/>
  <c r="I188"/>
  <c r="M187"/>
  <c r="I187"/>
  <c r="M186"/>
  <c r="I186"/>
  <c r="M185"/>
  <c r="I185"/>
  <c r="M184"/>
  <c r="I184"/>
  <c r="M183"/>
  <c r="I183"/>
  <c r="M182"/>
  <c r="I182"/>
  <c r="I181"/>
  <c r="I180"/>
  <c r="M179"/>
  <c r="I179"/>
  <c r="M178"/>
  <c r="I178"/>
  <c r="M177"/>
  <c r="I177"/>
  <c r="M176"/>
  <c r="I176"/>
  <c r="I175"/>
  <c r="I174"/>
  <c r="I173"/>
  <c r="I172"/>
  <c r="I171"/>
  <c r="I170"/>
  <c r="I169"/>
  <c r="I168"/>
  <c r="M167"/>
  <c r="I167"/>
  <c r="M166"/>
  <c r="I166"/>
  <c r="M165"/>
  <c r="I165"/>
  <c r="M164"/>
  <c r="I164"/>
  <c r="I163"/>
  <c r="I162"/>
  <c r="I161"/>
  <c r="I160"/>
  <c r="I159"/>
  <c r="I158"/>
  <c r="I157"/>
  <c r="I156"/>
  <c r="I155"/>
  <c r="I154"/>
  <c r="M153"/>
  <c r="I153"/>
  <c r="I152"/>
  <c r="I151"/>
  <c r="M150"/>
  <c r="I150"/>
  <c r="M149"/>
  <c r="I149"/>
  <c r="M148"/>
  <c r="I148"/>
  <c r="I147"/>
  <c r="M146"/>
  <c r="I146"/>
  <c r="M145"/>
  <c r="I145"/>
  <c r="M144"/>
  <c r="I144"/>
  <c r="I143"/>
  <c r="M142"/>
  <c r="I142"/>
  <c r="M141"/>
  <c r="I141"/>
  <c r="I140"/>
  <c r="I139"/>
  <c r="M138"/>
  <c r="I138"/>
  <c r="I137"/>
  <c r="I136"/>
  <c r="I135"/>
  <c r="I134"/>
  <c r="I133"/>
  <c r="I132"/>
  <c r="I131"/>
  <c r="I130"/>
  <c r="I129"/>
  <c r="I128"/>
  <c r="I127"/>
  <c r="M126"/>
  <c r="I126"/>
  <c r="M125"/>
  <c r="I125"/>
  <c r="M124"/>
  <c r="I124"/>
  <c r="I123"/>
  <c r="M122"/>
  <c r="I122"/>
  <c r="I121"/>
  <c r="M120"/>
  <c r="I120"/>
  <c r="I119"/>
  <c r="I118"/>
  <c r="M117"/>
  <c r="I117"/>
  <c r="M116"/>
  <c r="I116"/>
  <c r="M115"/>
  <c r="I115"/>
  <c r="M114"/>
  <c r="I114"/>
  <c r="M113"/>
  <c r="I113"/>
  <c r="M112"/>
  <c r="I112"/>
  <c r="M111"/>
  <c r="I111"/>
  <c r="M110"/>
  <c r="I110"/>
  <c r="I109"/>
  <c r="M108"/>
  <c r="I108"/>
  <c r="I107"/>
  <c r="I106"/>
  <c r="M105"/>
  <c r="I105"/>
  <c r="I104"/>
  <c r="M103"/>
  <c r="I103"/>
  <c r="M102"/>
  <c r="I102"/>
  <c r="I101"/>
  <c r="M100"/>
  <c r="I100"/>
  <c r="I99"/>
  <c r="I98"/>
  <c r="M97"/>
  <c r="I97"/>
  <c r="I96"/>
  <c r="I95"/>
  <c r="M94"/>
  <c r="I94"/>
  <c r="I93"/>
  <c r="M92"/>
  <c r="I92"/>
  <c r="M91"/>
  <c r="I91"/>
  <c r="I90"/>
  <c r="M89"/>
  <c r="I89"/>
  <c r="I88"/>
  <c r="I87"/>
  <c r="M86"/>
  <c r="I86"/>
  <c r="I85"/>
  <c r="M84"/>
  <c r="I84"/>
  <c r="M83"/>
  <c r="I83"/>
  <c r="M82"/>
  <c r="I82"/>
  <c r="M81"/>
  <c r="I81"/>
  <c r="I80"/>
  <c r="M79"/>
  <c r="I79"/>
  <c r="M78"/>
  <c r="I78"/>
  <c r="I77"/>
  <c r="M76"/>
  <c r="I76"/>
  <c r="I75"/>
  <c r="M74"/>
  <c r="I74"/>
  <c r="I73"/>
  <c r="I72"/>
  <c r="I71"/>
  <c r="I70"/>
  <c r="M69"/>
  <c r="I69"/>
  <c r="I68"/>
  <c r="I67"/>
  <c r="M66"/>
  <c r="I66"/>
  <c r="M65"/>
  <c r="I65"/>
  <c r="I64"/>
  <c r="M63"/>
  <c r="I63"/>
  <c r="M62"/>
  <c r="I62"/>
  <c r="I61"/>
  <c r="I60"/>
  <c r="I59"/>
  <c r="I58"/>
  <c r="I57"/>
  <c r="M56"/>
  <c r="I56"/>
  <c r="M55"/>
  <c r="I55"/>
  <c r="M54"/>
  <c r="I54"/>
  <c r="M53"/>
  <c r="I53"/>
  <c r="I52"/>
  <c r="M51"/>
  <c r="I51"/>
  <c r="I50"/>
  <c r="I49"/>
  <c r="M48"/>
  <c r="I48"/>
  <c r="I47"/>
  <c r="M46"/>
  <c r="I46"/>
  <c r="M45"/>
  <c r="I45"/>
  <c r="M44"/>
  <c r="I44"/>
  <c r="M43"/>
  <c r="I43"/>
  <c r="M42"/>
  <c r="I42"/>
  <c r="M41"/>
  <c r="I41"/>
  <c r="I40"/>
  <c r="I39"/>
  <c r="I38"/>
  <c r="I37"/>
  <c r="I36"/>
  <c r="I35"/>
  <c r="M34"/>
  <c r="I34"/>
  <c r="I33"/>
  <c r="I32"/>
  <c r="I31"/>
  <c r="M30"/>
  <c r="I30"/>
  <c r="I29"/>
  <c r="I28"/>
  <c r="M27"/>
  <c r="I27"/>
  <c r="I26"/>
  <c r="M25"/>
  <c r="I25"/>
  <c r="M24"/>
  <c r="I24"/>
  <c r="I23"/>
  <c r="I22"/>
  <c r="I21"/>
  <c r="I20"/>
  <c r="I19"/>
  <c r="M18"/>
  <c r="I18"/>
  <c r="I17"/>
  <c r="I16"/>
  <c r="I15"/>
  <c r="M14"/>
  <c r="I14"/>
  <c r="M13"/>
  <c r="I13"/>
  <c r="M12"/>
  <c r="I12"/>
  <c r="I11"/>
  <c r="M10"/>
  <c r="I10"/>
  <c r="I9"/>
  <c r="I8"/>
  <c r="I7"/>
  <c r="I6"/>
  <c r="M5"/>
  <c r="I5"/>
  <c r="I4"/>
  <c r="I3"/>
  <c r="I2"/>
  <c r="K1379"/>
  <c r="J1379"/>
  <c r="K1377"/>
  <c r="J1377"/>
  <c r="K1376"/>
  <c r="J1376"/>
  <c r="K1375"/>
  <c r="J1375"/>
  <c r="K1372"/>
  <c r="J1372"/>
  <c r="K1357"/>
  <c r="J1357"/>
  <c r="K1354"/>
  <c r="J1354"/>
  <c r="K1353"/>
  <c r="J1353"/>
  <c r="K1348"/>
  <c r="J1348"/>
  <c r="K1344"/>
  <c r="J1344"/>
  <c r="K1343"/>
  <c r="J1343"/>
  <c r="K1342"/>
  <c r="J1342"/>
  <c r="K1340"/>
  <c r="J1340"/>
  <c r="K1337"/>
  <c r="J1337"/>
  <c r="K1331"/>
  <c r="J1331"/>
  <c r="K1319"/>
  <c r="J1319"/>
  <c r="K1314"/>
  <c r="J1314"/>
  <c r="K1312"/>
  <c r="J1312"/>
  <c r="K1311"/>
  <c r="J1311"/>
  <c r="K1310"/>
  <c r="J1310"/>
  <c r="K1305"/>
  <c r="J1305"/>
  <c r="K1302"/>
  <c r="J1302"/>
  <c r="K1297"/>
  <c r="J1297"/>
  <c r="K1292"/>
  <c r="J1292"/>
  <c r="K1291"/>
  <c r="J1291"/>
  <c r="K1290"/>
  <c r="J1290"/>
  <c r="K1285"/>
  <c r="J1285"/>
  <c r="K1281"/>
  <c r="J1281"/>
  <c r="K1276"/>
  <c r="J1276"/>
  <c r="K1275"/>
  <c r="J1275"/>
  <c r="K1274"/>
  <c r="J1274"/>
  <c r="K1272"/>
  <c r="J1272"/>
  <c r="L1267"/>
  <c r="K1267"/>
  <c r="J1267"/>
  <c r="K1266"/>
  <c r="J1266"/>
  <c r="K1256"/>
  <c r="J1256"/>
  <c r="K1254"/>
  <c r="J1254"/>
  <c r="K1251"/>
  <c r="J1251"/>
  <c r="K1248"/>
  <c r="J1248"/>
  <c r="K1247"/>
  <c r="J1247"/>
  <c r="K1246"/>
  <c r="J1246"/>
  <c r="K1245"/>
  <c r="J1245"/>
  <c r="K1244"/>
  <c r="J1244"/>
  <c r="K1243"/>
  <c r="J1243"/>
  <c r="K1242"/>
  <c r="J1242"/>
  <c r="K1241"/>
  <c r="J1241"/>
  <c r="K1240"/>
  <c r="J1240"/>
  <c r="K1239"/>
  <c r="J1239"/>
  <c r="K1238"/>
  <c r="J1238"/>
  <c r="K1237"/>
  <c r="J1237"/>
  <c r="K1236"/>
  <c r="J1236"/>
  <c r="K1235"/>
  <c r="J1235"/>
  <c r="K1234"/>
  <c r="J1234"/>
  <c r="K1233"/>
  <c r="J1233"/>
  <c r="K1232"/>
  <c r="J1232"/>
  <c r="K1231"/>
  <c r="J1231"/>
  <c r="K1230"/>
  <c r="J1230"/>
  <c r="K1229"/>
  <c r="J1229"/>
  <c r="K1228"/>
  <c r="J1228"/>
  <c r="K1227"/>
  <c r="J1227"/>
  <c r="K1226"/>
  <c r="J1226"/>
  <c r="K1225"/>
  <c r="J1225"/>
  <c r="K1222"/>
  <c r="J1222"/>
  <c r="K1221"/>
  <c r="J1221"/>
  <c r="K1220"/>
  <c r="J1220"/>
  <c r="K1218"/>
  <c r="J1218"/>
  <c r="K1213"/>
  <c r="J1213"/>
  <c r="K1205"/>
  <c r="J1205"/>
  <c r="K1199"/>
  <c r="J1199"/>
  <c r="K1198"/>
  <c r="J1198"/>
  <c r="K1197"/>
  <c r="J1197"/>
  <c r="K1194"/>
  <c r="J1194"/>
  <c r="K1187"/>
  <c r="J1187"/>
  <c r="K1186"/>
  <c r="J1186"/>
  <c r="K1181"/>
  <c r="J1181"/>
  <c r="K1180"/>
  <c r="J1180"/>
  <c r="K1175"/>
  <c r="J1175"/>
  <c r="K1170"/>
  <c r="J1170"/>
  <c r="K1166"/>
  <c r="J1166"/>
  <c r="K1165"/>
  <c r="J1165"/>
  <c r="K1163"/>
  <c r="J1163"/>
  <c r="K1162"/>
  <c r="J1162"/>
  <c r="K1161"/>
  <c r="J1161"/>
  <c r="K1147"/>
  <c r="J1147"/>
  <c r="K1132"/>
  <c r="J1132"/>
  <c r="K1131"/>
  <c r="J1131"/>
  <c r="K1129"/>
  <c r="J1129"/>
  <c r="K1127"/>
  <c r="J1127"/>
  <c r="K1126"/>
  <c r="J1126"/>
  <c r="K1122"/>
  <c r="J1122"/>
  <c r="K1121"/>
  <c r="J1121"/>
  <c r="K1099"/>
  <c r="J1099"/>
  <c r="K1092"/>
  <c r="J1092"/>
  <c r="K1087"/>
  <c r="J1087"/>
  <c r="K1086"/>
  <c r="J1086"/>
  <c r="K1085"/>
  <c r="J1085"/>
  <c r="K1083"/>
  <c r="J1083"/>
  <c r="K1082"/>
  <c r="J1082"/>
  <c r="K1081"/>
  <c r="J1081"/>
  <c r="K1080"/>
  <c r="J1080"/>
  <c r="K1078"/>
  <c r="J1078"/>
  <c r="K1077"/>
  <c r="J1077"/>
  <c r="K1076"/>
  <c r="J1076"/>
  <c r="K1072"/>
  <c r="J1072"/>
  <c r="K1069"/>
  <c r="J1069"/>
  <c r="K1067"/>
  <c r="J1067"/>
  <c r="K1066"/>
  <c r="J1066"/>
  <c r="K1058"/>
  <c r="J1058"/>
  <c r="K1052"/>
  <c r="J1052"/>
  <c r="K1050"/>
  <c r="J1050"/>
  <c r="K1049"/>
  <c r="J1049"/>
  <c r="K1004"/>
  <c r="J1004"/>
  <c r="K1002"/>
  <c r="J1002"/>
  <c r="K996"/>
  <c r="J996"/>
  <c r="K989"/>
  <c r="J989"/>
  <c r="K987"/>
  <c r="J987"/>
  <c r="K982"/>
  <c r="J982"/>
  <c r="K977"/>
  <c r="J977"/>
  <c r="K955"/>
  <c r="J955"/>
  <c r="K953"/>
  <c r="J953"/>
  <c r="K951"/>
  <c r="J951"/>
  <c r="K950"/>
  <c r="J950"/>
  <c r="K949"/>
  <c r="J949"/>
  <c r="K948"/>
  <c r="J948"/>
  <c r="K947"/>
  <c r="J947"/>
  <c r="K945"/>
  <c r="J945"/>
  <c r="K942"/>
  <c r="J942"/>
  <c r="K939"/>
  <c r="J939"/>
  <c r="K936"/>
  <c r="J936"/>
  <c r="K935"/>
  <c r="J935"/>
  <c r="K934"/>
  <c r="J934"/>
  <c r="K933"/>
  <c r="J933"/>
  <c r="K932"/>
  <c r="J932"/>
  <c r="K931"/>
  <c r="J931"/>
  <c r="K930"/>
  <c r="J930"/>
  <c r="K929"/>
  <c r="J929"/>
  <c r="K928"/>
  <c r="J928"/>
  <c r="K927"/>
  <c r="J927"/>
  <c r="K926"/>
  <c r="J926"/>
  <c r="K925"/>
  <c r="J925"/>
  <c r="K924"/>
  <c r="J924"/>
  <c r="K922"/>
  <c r="J922"/>
  <c r="K907"/>
  <c r="J907"/>
  <c r="K902"/>
  <c r="J902"/>
  <c r="K898"/>
  <c r="J898"/>
  <c r="K894"/>
  <c r="J894"/>
  <c r="K886"/>
  <c r="J886"/>
  <c r="K885"/>
  <c r="J885"/>
  <c r="K876"/>
  <c r="J876"/>
  <c r="K866"/>
  <c r="J866"/>
  <c r="K865"/>
  <c r="J865"/>
  <c r="K864"/>
  <c r="J864"/>
  <c r="K858"/>
  <c r="J858"/>
  <c r="K855"/>
  <c r="J855"/>
  <c r="K849"/>
  <c r="J849"/>
  <c r="K847"/>
  <c r="J847"/>
  <c r="K833"/>
  <c r="J833"/>
  <c r="K812"/>
  <c r="J812"/>
  <c r="K801"/>
  <c r="J801"/>
  <c r="K800"/>
  <c r="J800"/>
  <c r="K799"/>
  <c r="J799"/>
  <c r="K798"/>
  <c r="J798"/>
  <c r="K797"/>
  <c r="J797"/>
  <c r="K796"/>
  <c r="J796"/>
  <c r="K795"/>
  <c r="J795"/>
  <c r="K794"/>
  <c r="J794"/>
  <c r="K793"/>
  <c r="J793"/>
  <c r="K792"/>
  <c r="J792"/>
  <c r="L791"/>
  <c r="K791"/>
  <c r="J791"/>
  <c r="K789"/>
  <c r="J789"/>
  <c r="K788"/>
  <c r="J788"/>
  <c r="K787"/>
  <c r="J787"/>
  <c r="K780"/>
  <c r="J780"/>
  <c r="K770"/>
  <c r="J770"/>
  <c r="K769"/>
  <c r="J769"/>
  <c r="K764"/>
  <c r="J764"/>
  <c r="K763"/>
  <c r="J763"/>
  <c r="K762"/>
  <c r="J762"/>
  <c r="K761"/>
  <c r="J761"/>
  <c r="K760"/>
  <c r="J760"/>
  <c r="K759"/>
  <c r="J759"/>
  <c r="K758"/>
  <c r="J758"/>
  <c r="K757"/>
  <c r="J757"/>
  <c r="K748"/>
  <c r="J748"/>
  <c r="K739"/>
  <c r="J739"/>
  <c r="K738"/>
  <c r="J738"/>
  <c r="K737"/>
  <c r="J737"/>
  <c r="K736"/>
  <c r="J736"/>
  <c r="K735"/>
  <c r="J735"/>
  <c r="K719"/>
  <c r="J719"/>
  <c r="K716"/>
  <c r="J716"/>
  <c r="K709"/>
  <c r="J709"/>
  <c r="K698"/>
  <c r="J698"/>
  <c r="K697"/>
  <c r="J697"/>
  <c r="K696"/>
  <c r="J696"/>
  <c r="K695"/>
  <c r="J695"/>
  <c r="K694"/>
  <c r="J694"/>
  <c r="K693"/>
  <c r="J693"/>
  <c r="K692"/>
  <c r="J692"/>
  <c r="K691"/>
  <c r="J691"/>
  <c r="K687"/>
  <c r="J687"/>
  <c r="K684"/>
  <c r="J684"/>
  <c r="K683"/>
  <c r="J683"/>
  <c r="K676"/>
  <c r="J676"/>
  <c r="K675"/>
  <c r="J675"/>
  <c r="K674"/>
  <c r="J674"/>
  <c r="K673"/>
  <c r="J673"/>
  <c r="K672"/>
  <c r="J672"/>
  <c r="K666"/>
  <c r="J666"/>
  <c r="K661"/>
  <c r="J661"/>
  <c r="K660"/>
  <c r="J660"/>
  <c r="K659"/>
  <c r="J659"/>
  <c r="K658"/>
  <c r="J658"/>
  <c r="K656"/>
  <c r="J656"/>
  <c r="K655"/>
  <c r="J655"/>
  <c r="K654"/>
  <c r="J654"/>
  <c r="K653"/>
  <c r="J653"/>
  <c r="K652"/>
  <c r="J652"/>
  <c r="K651"/>
  <c r="J651"/>
  <c r="K650"/>
  <c r="J650"/>
  <c r="K642"/>
  <c r="J642"/>
  <c r="K641"/>
  <c r="J641"/>
  <c r="K615"/>
  <c r="J615"/>
  <c r="K614"/>
  <c r="J614"/>
  <c r="K613"/>
  <c r="J613"/>
  <c r="K612"/>
  <c r="J612"/>
  <c r="K603"/>
  <c r="J603"/>
  <c r="K601"/>
  <c r="J601"/>
  <c r="K599"/>
  <c r="J599"/>
  <c r="K589"/>
  <c r="J589"/>
  <c r="K588"/>
  <c r="J588"/>
  <c r="K585"/>
  <c r="J585"/>
  <c r="K581"/>
  <c r="J581"/>
  <c r="K580"/>
  <c r="J580"/>
  <c r="K579"/>
  <c r="J579"/>
  <c r="K576"/>
  <c r="J576"/>
  <c r="K574"/>
  <c r="J574"/>
  <c r="K573"/>
  <c r="J573"/>
  <c r="K572"/>
  <c r="J572"/>
  <c r="K571"/>
  <c r="J571"/>
  <c r="K564"/>
  <c r="J564"/>
  <c r="K559"/>
  <c r="J559"/>
  <c r="K558"/>
  <c r="J558"/>
  <c r="K557"/>
  <c r="J557"/>
  <c r="K556"/>
  <c r="J556"/>
  <c r="K555"/>
  <c r="J555"/>
  <c r="K554"/>
  <c r="J554"/>
  <c r="K553"/>
  <c r="J553"/>
  <c r="K552"/>
  <c r="J552"/>
  <c r="K551"/>
  <c r="J551"/>
  <c r="K548"/>
  <c r="J548"/>
  <c r="K545"/>
  <c r="J545"/>
  <c r="K544"/>
  <c r="J544"/>
  <c r="K540"/>
  <c r="J540"/>
  <c r="K539"/>
  <c r="J539"/>
  <c r="K537"/>
  <c r="J537"/>
  <c r="K535"/>
  <c r="J535"/>
  <c r="K534"/>
  <c r="J534"/>
  <c r="K532"/>
  <c r="J532"/>
  <c r="K526"/>
  <c r="J526"/>
  <c r="K525"/>
  <c r="J525"/>
  <c r="K514"/>
  <c r="J514"/>
  <c r="K501"/>
  <c r="J501"/>
  <c r="L500"/>
  <c r="K500"/>
  <c r="J500"/>
  <c r="K498"/>
  <c r="J498"/>
  <c r="K485"/>
  <c r="J485"/>
  <c r="K473"/>
  <c r="J473"/>
  <c r="K468"/>
  <c r="J468"/>
  <c r="K463"/>
  <c r="J463"/>
  <c r="K459"/>
  <c r="J459"/>
  <c r="K439"/>
  <c r="J439"/>
  <c r="K437"/>
  <c r="J437"/>
  <c r="K429"/>
  <c r="J429"/>
  <c r="K427"/>
  <c r="J427"/>
  <c r="K424"/>
  <c r="J424"/>
  <c r="K423"/>
  <c r="J423"/>
  <c r="K420"/>
  <c r="J420"/>
  <c r="K419"/>
  <c r="J419"/>
  <c r="K418"/>
  <c r="J418"/>
  <c r="K415"/>
  <c r="J415"/>
  <c r="K412"/>
  <c r="J412"/>
  <c r="K411"/>
  <c r="J411"/>
  <c r="K409"/>
  <c r="J409"/>
  <c r="K405"/>
  <c r="J405"/>
  <c r="K404"/>
  <c r="J404"/>
  <c r="K398"/>
  <c r="J398"/>
  <c r="K396"/>
  <c r="J396"/>
  <c r="K393"/>
  <c r="J393"/>
  <c r="K391"/>
  <c r="J391"/>
  <c r="K390"/>
  <c r="J390"/>
  <c r="K389"/>
  <c r="J389"/>
  <c r="K388"/>
  <c r="J388"/>
  <c r="K387"/>
  <c r="J387"/>
  <c r="K385"/>
  <c r="J385"/>
  <c r="K376"/>
  <c r="J376"/>
  <c r="K374"/>
  <c r="J374"/>
  <c r="K370"/>
  <c r="J370"/>
  <c r="K369"/>
  <c r="J369"/>
  <c r="K368"/>
  <c r="J368"/>
  <c r="K367"/>
  <c r="J367"/>
  <c r="K366"/>
  <c r="J366"/>
  <c r="K358"/>
  <c r="J358"/>
  <c r="K347"/>
  <c r="J347"/>
  <c r="K344"/>
  <c r="J344"/>
  <c r="K334"/>
  <c r="J334"/>
  <c r="K332"/>
  <c r="J332"/>
  <c r="K331"/>
  <c r="J331"/>
  <c r="K328"/>
  <c r="J328"/>
  <c r="K327"/>
  <c r="J327"/>
  <c r="K326"/>
  <c r="J326"/>
  <c r="K324"/>
  <c r="J324"/>
  <c r="K321"/>
  <c r="J321"/>
  <c r="K317"/>
  <c r="J317"/>
  <c r="K309"/>
  <c r="J309"/>
  <c r="K307"/>
  <c r="J307"/>
  <c r="K306"/>
  <c r="J306"/>
  <c r="K301"/>
  <c r="J301"/>
  <c r="K264"/>
  <c r="J264"/>
  <c r="K258"/>
  <c r="J258"/>
  <c r="K253"/>
  <c r="J253"/>
  <c r="K252"/>
  <c r="J252"/>
  <c r="K251"/>
  <c r="J251"/>
  <c r="K247"/>
  <c r="J247"/>
  <c r="K246"/>
  <c r="J246"/>
  <c r="K229"/>
  <c r="J229"/>
  <c r="K209"/>
  <c r="J209"/>
  <c r="K206"/>
  <c r="J206"/>
  <c r="K204"/>
  <c r="J204"/>
  <c r="K203"/>
  <c r="J203"/>
  <c r="K202"/>
  <c r="J202"/>
  <c r="K200"/>
  <c r="J200"/>
  <c r="K192"/>
  <c r="J192"/>
  <c r="K180"/>
  <c r="J180"/>
  <c r="K173"/>
  <c r="J173"/>
  <c r="K172"/>
  <c r="J172"/>
  <c r="K171"/>
  <c r="J171"/>
  <c r="K169"/>
  <c r="J169"/>
  <c r="K168"/>
  <c r="J168"/>
  <c r="K163"/>
  <c r="J163"/>
  <c r="K162"/>
  <c r="J162"/>
  <c r="K161"/>
  <c r="J161"/>
  <c r="K160"/>
  <c r="J160"/>
  <c r="K159"/>
  <c r="J159"/>
  <c r="K158"/>
  <c r="J158"/>
  <c r="K155"/>
  <c r="J155"/>
  <c r="K154"/>
  <c r="J154"/>
  <c r="K151"/>
  <c r="J151"/>
  <c r="K147"/>
  <c r="J147"/>
  <c r="K139"/>
  <c r="J139"/>
  <c r="K130"/>
  <c r="J130"/>
  <c r="K129"/>
  <c r="J129"/>
  <c r="K128"/>
  <c r="J128"/>
  <c r="K127"/>
  <c r="J127"/>
  <c r="K121"/>
  <c r="J121"/>
  <c r="K104"/>
  <c r="J104"/>
  <c r="K98"/>
  <c r="J98"/>
  <c r="K93"/>
  <c r="J93"/>
  <c r="K90"/>
  <c r="J90"/>
  <c r="K49"/>
  <c r="J49"/>
  <c r="K39"/>
  <c r="J39"/>
  <c r="K31"/>
  <c r="J31"/>
  <c r="K21"/>
  <c r="J21"/>
  <c r="K11"/>
  <c r="J11"/>
  <c r="K9"/>
  <c r="J9"/>
  <c r="K8"/>
  <c r="J8"/>
  <c r="K7"/>
  <c r="J7"/>
  <c r="K6"/>
  <c r="J6"/>
  <c r="K4"/>
  <c r="J4"/>
  <c r="K3"/>
  <c r="J3"/>
  <c r="K2"/>
  <c r="J2"/>
  <c r="G54" i="13"/>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G6"/>
  <c r="G5"/>
  <c r="G4"/>
  <c r="G3"/>
  <c r="G2"/>
</calcChain>
</file>

<file path=xl/sharedStrings.xml><?xml version="1.0" encoding="utf-8"?>
<sst xmlns="http://schemas.openxmlformats.org/spreadsheetml/2006/main" count="62632" uniqueCount="41609">
  <si>
    <r>
      <t>A positive integer (</t>
    </r>
    <r>
      <rPr>
        <i/>
        <sz val="10"/>
        <rFont val="Arial"/>
        <family val="2"/>
      </rPr>
      <t>i.e.</t>
    </r>
    <r>
      <rPr>
        <sz val="10"/>
        <rFont val="Arial"/>
        <family val="2"/>
      </rPr>
      <t>, greater than zero) that constrains the maximum length of character string values that may be assigned to the datatype. If the length is not specified, then the character string length is unconstrained (</t>
    </r>
    <r>
      <rPr>
        <i/>
        <sz val="10"/>
        <rFont val="Arial"/>
        <family val="2"/>
      </rPr>
      <t xml:space="preserve">i.e., </t>
    </r>
    <r>
      <rPr>
        <sz val="10"/>
        <rFont val="Arial"/>
        <family val="2"/>
      </rPr>
      <t>unlimited).</t>
    </r>
  </si>
  <si>
    <r>
      <t xml:space="preserve">Lexical character values encompass any character, including accents, diacritical marks, special characters, and any other ISO standardized alphabet. Non-lexical character values are limited to characters from the ASCII code (or, equivalently, ISO 646 International Reference Version alphabet).  In the case that the datatype is not based on a character string representation, then this cell is </t>
    </r>
    <r>
      <rPr>
        <b/>
        <sz val="10"/>
        <color indexed="55"/>
        <rFont val="Arial"/>
        <family val="2"/>
      </rPr>
      <t>grey-filled</t>
    </r>
    <r>
      <rPr>
        <sz val="10"/>
        <rFont val="Arial"/>
        <family val="2"/>
      </rPr>
      <t xml:space="preserve"> and empty.</t>
    </r>
  </si>
  <si>
    <t>A character string specifying a reference physical quantity for allowed values that may be assigned to the attribute concept if its datatype is based on a numeric representation.</t>
  </si>
  <si>
    <t>Values that are members of the domain of a specific enumerated datatype.  These listed values are often referred to simply as "enumerants".</t>
  </si>
  <si>
    <t>For example, the members "Male" and "Female" in the domain of the datatype "Sex Type".</t>
  </si>
  <si>
    <r>
      <t xml:space="preserve">For example: "degree of arc", "foot", and "kilometre per hour".   In the case that the datatype of the attribute concept is not based on a numeric representation, then this cell is </t>
    </r>
    <r>
      <rPr>
        <b/>
        <sz val="10"/>
        <color indexed="55"/>
        <rFont val="Arial"/>
        <family val="2"/>
      </rPr>
      <t>grey-filled</t>
    </r>
    <r>
      <rPr>
        <sz val="10"/>
        <rFont val="Arial"/>
        <family val="2"/>
      </rPr>
      <t xml:space="preserve"> and empty.</t>
    </r>
  </si>
  <si>
    <t>For example: "1", "0..1", "0..*" or "1..*", as in "[1..*] Real" to indicate that one or more Real values are stored, or "[1..*] Set&lt;Real&gt;" to indicate that one or more sets of Real values are stored.</t>
  </si>
  <si>
    <t>Datatype Listed Values</t>
  </si>
  <si>
    <t>For example, an "Elevation with Datum and Accuracy" datatype may consist of three fields: a "Real Value", a "Vertical Datum", and a "Height Accuracy".  The first field specifies a real value, the second field specifies a vertical reference datum, and the third field specifies the accuracy of the elevation value.</t>
  </si>
  <si>
    <t>A textual value indicating the type of collection that is used if this attribute concept has values that are collections of the specified datatype.</t>
  </si>
  <si>
    <t>For example, 'Set' or 'Sequence', as in "Set&lt;Real&gt;" to indicate that the attribute concept stores sets of Real values.</t>
  </si>
  <si>
    <r>
      <t xml:space="preserve">This is hyperlinked to its specification in the </t>
    </r>
    <r>
      <rPr>
        <b/>
        <sz val="10"/>
        <color indexed="12"/>
        <rFont val="Arial"/>
        <family val="2"/>
      </rPr>
      <t>Datatypes</t>
    </r>
    <r>
      <rPr>
        <sz val="10"/>
        <rFont val="Arial"/>
        <family val="2"/>
      </rPr>
      <t xml:space="preserve"> tab/sheet.</t>
    </r>
  </si>
  <si>
    <r>
      <t xml:space="preserve">A hyperlink to the set of allowed domain values in the </t>
    </r>
    <r>
      <rPr>
        <b/>
        <sz val="10"/>
        <color indexed="12"/>
        <rFont val="Arial"/>
        <family val="2"/>
      </rPr>
      <t>DatatypeListedValues</t>
    </r>
    <r>
      <rPr>
        <sz val="10"/>
        <rFont val="Arial"/>
        <family val="2"/>
      </rPr>
      <t xml:space="preserve"> tab/sheet if the attribute concept datatype is an Enumeration.</t>
    </r>
  </si>
  <si>
    <r>
      <t xml:space="preserve">For example, the Color (attribute) of a Flag (feature entity) may have the three enumerated values: Red, White, and Blue. In the case that the attribute concept datatype is not based on an enumerated type then this cell is </t>
    </r>
    <r>
      <rPr>
        <b/>
        <sz val="10"/>
        <color indexed="55"/>
        <rFont val="Arial"/>
        <family val="2"/>
      </rPr>
      <t>grey-filled</t>
    </r>
    <r>
      <rPr>
        <sz val="10"/>
        <rFont val="Arial"/>
        <family val="2"/>
      </rPr>
      <t xml:space="preserve"> and empty.</t>
    </r>
    <r>
      <rPr>
        <b/>
        <sz val="10"/>
        <color indexed="12"/>
        <rFont val="Arial"/>
        <family val="2"/>
      </rPr>
      <t/>
    </r>
  </si>
  <si>
    <r>
      <t xml:space="preserve">For increased clarity the information items specifying a Datatype (AlphaCode, Name, Definition, Description and dataype-specific constraints) are presented in </t>
    </r>
    <r>
      <rPr>
        <b/>
        <sz val="10"/>
        <color indexed="12"/>
        <rFont val="Arial"/>
        <family val="2"/>
      </rPr>
      <t>Blue</t>
    </r>
    <r>
      <rPr>
        <sz val="10"/>
        <rFont val="Arial"/>
        <family val="2"/>
      </rPr>
      <t>.</t>
    </r>
  </si>
  <si>
    <r>
      <t xml:space="preserve">For example, "80" (as in the maximum number of input characters allowed in a computer card field).  In the case that the datatype is not based on a character string representation, then this cell is </t>
    </r>
    <r>
      <rPr>
        <b/>
        <sz val="10"/>
        <color indexed="55"/>
        <rFont val="Arial"/>
        <family val="2"/>
      </rPr>
      <t>grey-filled</t>
    </r>
    <r>
      <rPr>
        <sz val="10"/>
        <rFont val="Arial"/>
        <family val="2"/>
      </rPr>
      <t xml:space="preserve"> and empty.</t>
    </r>
  </si>
  <si>
    <r>
      <t xml:space="preserve">For example, "0".  In the case that the datatype is either not based on a numeric representation or no Range Minimum is specified, then this cell is </t>
    </r>
    <r>
      <rPr>
        <b/>
        <sz val="10"/>
        <color indexed="23"/>
        <rFont val="Arial"/>
        <family val="2"/>
      </rPr>
      <t>grey-filled</t>
    </r>
    <r>
      <rPr>
        <sz val="10"/>
        <rFont val="Arial"/>
        <family val="2"/>
      </rPr>
      <t xml:space="preserve"> and empty.</t>
    </r>
  </si>
  <si>
    <r>
      <t xml:space="preserve">For example, "360".  In the case that the datatype is either not based on a numeric representation or no Range Maximum is specified, then this cell is </t>
    </r>
    <r>
      <rPr>
        <b/>
        <sz val="10"/>
        <color indexed="23"/>
        <rFont val="Arial"/>
        <family val="2"/>
      </rPr>
      <t>grey-filled</t>
    </r>
    <r>
      <rPr>
        <sz val="10"/>
        <rFont val="Arial"/>
        <family val="2"/>
      </rPr>
      <t xml:space="preserve"> and empty.</t>
    </r>
  </si>
  <si>
    <t>Datatypes</t>
  </si>
  <si>
    <t>A datatype specifies how the value of an Attribute shall be abstractly represented and consists of one or more fields, each capturing an aspect of information required to completely specify a value in the domain of the datatype.  A simple datatype consists of a single field containing a primitive data value (e.g., a real number); a complex datatype consists of multiple fields, at least one of which contains a data value and others may contain metadata about the data value(s).</t>
  </si>
  <si>
    <r>
      <t xml:space="preserve">The information items specifying an attribute concept that is considered to be metadata are presented in </t>
    </r>
    <r>
      <rPr>
        <b/>
        <sz val="10"/>
        <color indexed="61"/>
        <rFont val="Arial"/>
        <family val="2"/>
      </rPr>
      <t>Plum</t>
    </r>
    <r>
      <rPr>
        <sz val="10"/>
        <rFont val="Arial"/>
        <family val="2"/>
      </rPr>
      <t>.</t>
    </r>
  </si>
  <si>
    <t>Additional information, if any, about the datatype.</t>
  </si>
  <si>
    <r>
      <t xml:space="preserve">In the case that no description is specified, then this cell is </t>
    </r>
    <r>
      <rPr>
        <b/>
        <sz val="10"/>
        <color indexed="23"/>
        <rFont val="Arial"/>
        <family val="2"/>
      </rPr>
      <t>grey-filled</t>
    </r>
    <r>
      <rPr>
        <sz val="10"/>
        <rFont val="Arial"/>
        <family val="2"/>
      </rPr>
      <t xml:space="preserve"> and empty.</t>
    </r>
  </si>
  <si>
    <t>Zero or more functionally equivalent synonyms for the concept.</t>
  </si>
  <si>
    <t>Column</t>
  </si>
  <si>
    <t>Purpose</t>
  </si>
  <si>
    <t>Notes</t>
  </si>
  <si>
    <t>Overview:</t>
  </si>
  <si>
    <t>Notes:</t>
  </si>
  <si>
    <t>A precise statement of the nature, properties, scope, or essential qualities of the concept.</t>
  </si>
  <si>
    <t>A compact and human-readable designator that is used to denote the concept.</t>
  </si>
  <si>
    <t>A statement of the nature, properties, scope, or non-essential qualities of the concept that are not specified by the definition.</t>
  </si>
  <si>
    <t>A positive integer (i.e., greater than zero) that is used to uniquely denote the item within the register and is intended for information processing.</t>
  </si>
  <si>
    <t>Abstractions of real world phenomena.</t>
  </si>
  <si>
    <t>Characteristics of a feature.</t>
  </si>
  <si>
    <t>Alias(es)</t>
  </si>
  <si>
    <t>Code</t>
  </si>
  <si>
    <t>Description</t>
  </si>
  <si>
    <t>Name</t>
  </si>
  <si>
    <t>Definition</t>
  </si>
  <si>
    <t>Length</t>
  </si>
  <si>
    <t>AlphaCode</t>
  </si>
  <si>
    <t>A textual value that is used to denote the concept in data interchange outside of the scope of the register.</t>
  </si>
  <si>
    <t>An alternative textual value that is used to denote the concept in data interchange outside of the scope of the register.</t>
  </si>
  <si>
    <t>Note</t>
  </si>
  <si>
    <t>Multiplicity</t>
  </si>
  <si>
    <t>Datatype Name</t>
  </si>
  <si>
    <t>Lexical?</t>
  </si>
  <si>
    <t>Structure Specification</t>
  </si>
  <si>
    <t>Range Minimum</t>
  </si>
  <si>
    <t>Range Maximum</t>
  </si>
  <si>
    <t>Feature Concepts</t>
  </si>
  <si>
    <t>Feature        Concepts</t>
  </si>
  <si>
    <t>Attribute Concepts</t>
  </si>
  <si>
    <t>For example, the phenomenon named “Eiffel Tower” may be classified with other similar phenomena into a feature concept named “tower”.</t>
  </si>
  <si>
    <t>A hyperlink to an online information resource for this Feature Concept item.</t>
  </si>
  <si>
    <t>For example, an attribute concept named “length” may have an attribute value ’82.4’ which is specified using the datatype ‘real’.</t>
  </si>
  <si>
    <t>A hyperlink to an online information resource for this Attribute Concept item.</t>
  </si>
  <si>
    <t>A Boolean that constrains the range of character values that may be used in character string values that may be assigned to the datatype.</t>
  </si>
  <si>
    <t>A character string that specifies a scheme of one or more constraints on the structure of the text values that may be assigned to the datatype.</t>
  </si>
  <si>
    <t>A value that specifies the maximum end of the range of allowed values that may be assigned to the datatype if it is based on a numeric representation.</t>
  </si>
  <si>
    <t>A value that specifies the minimum end of the range of allowed values that may be assigned to the datatype if it is based on a numeric representation.</t>
  </si>
  <si>
    <t>A textual value that is used to denote the datatype of the attribute concept.</t>
  </si>
  <si>
    <t>A compact and human-readable designator that is used to denote the datatype field concept.</t>
  </si>
  <si>
    <t>A precise statement of the nature, properties, scope, or essential qualities of the concept (either the datatype or the field, as appropriate).</t>
  </si>
  <si>
    <t>A statement of the nature, properties, scope, or non-essential qualities of the concept (either the datatype or the field, as appropriate) that are not specified by the definition.</t>
  </si>
  <si>
    <t>Range       Minimum</t>
  </si>
  <si>
    <t>Range      Maximum</t>
  </si>
  <si>
    <t>A compact and human-readable designator that is used to denote the datatype concept.</t>
  </si>
  <si>
    <t>In the case of an association to an Information Entity then this cell presents the association multiplicity.</t>
  </si>
  <si>
    <t>A textual value specifying the number of discrete domain values that may be assigned to the datatype field.</t>
  </si>
  <si>
    <t>A textual value indicating the type of collection that is used if this datatype field stores collections of the specified datatype.</t>
  </si>
  <si>
    <t>For example, 'Set' or 'Sequence', as in "Set&lt;Real&gt;" to indicate that the datatype field stores sets of Real values.</t>
  </si>
  <si>
    <t>For example; "1", "0..1", "0..*" or "1..*", as in "[1..*] Real" to indicate that one or more Real values are stored, or "[1..*] Set&lt;Real&gt;" to indicate that one or more sets of Real values are stored.</t>
  </si>
  <si>
    <t>Complete?</t>
  </si>
  <si>
    <t>For example, 'True', in the case of an enumeration attribute 'Sex' with the domain values of 'Male' and 'Female'.</t>
  </si>
  <si>
    <t>A Boolean that identifies, if the attribute concept datatype is an Enumeration, that the set of specified domain values is complete.</t>
  </si>
  <si>
    <t>A Boolean that identifies, if the datatype is an enumeration, that the set of specified domain values is complete.</t>
  </si>
  <si>
    <t>For example, 'True', in the case of an enumeration datatype 'Sex' with the domain values of 'Male' and 'Female'.</t>
  </si>
  <si>
    <t>Subgroup</t>
  </si>
  <si>
    <t>Datatype Link
[AlphaCode]</t>
  </si>
  <si>
    <t>Listed Values Link</t>
  </si>
  <si>
    <t>Datatype
[AlphaCode]</t>
  </si>
  <si>
    <t>Resource Link
[AlphaCode]</t>
  </si>
  <si>
    <t>Resource Link
[AlphaCodes]</t>
  </si>
  <si>
    <t>The link presentation is also a value (for example: the AlphaCode) that is used to denote the concept.</t>
  </si>
  <si>
    <t>This column may be hidden if these are not populated. It may be named differently depending on the FDD.</t>
  </si>
  <si>
    <t>A set of categories that may be used to characterize the concept for the purpose of discovery or comparison with possibly related concepts.</t>
  </si>
  <si>
    <t>Resource Reference URI:</t>
  </si>
  <si>
    <t>Datatype Link [AlphaCode]</t>
  </si>
  <si>
    <t>A hyperlink to an online information resource for this Datatype Concept item.</t>
  </si>
  <si>
    <r>
      <t xml:space="preserve">For example, “CCYYMMDD” where it is assumed for the purposes of this example that the meanings of ‘C’, ‘Y’, ‘M’, and ‘D’ are understood.  In the case that the datatype is not based on the character string representation, then this cell is </t>
    </r>
    <r>
      <rPr>
        <b/>
        <sz val="10"/>
        <color indexed="55"/>
        <rFont val="Arial"/>
        <family val="2"/>
      </rPr>
      <t>grey-filled</t>
    </r>
    <r>
      <rPr>
        <sz val="10"/>
        <rFont val="Arial"/>
        <family val="2"/>
      </rPr>
      <t xml:space="preserve"> and empty.</t>
    </r>
  </si>
  <si>
    <t>A hyperlink to an online information resource for this enumerant item.</t>
  </si>
  <si>
    <t>The link presentation is also a value-pair (for example: the Datatype AlphaCode and Datatype Listed Value AlphaCode) that is used to denote the concept.</t>
  </si>
  <si>
    <t>The textual code value assigned to the Datatype of which this enumerant concept is a domain member.</t>
  </si>
  <si>
    <t>Groups</t>
  </si>
  <si>
    <t>Group
(Link)</t>
  </si>
  <si>
    <r>
      <t xml:space="preserve">This is hyperlinked to its Subgroups as specified in the </t>
    </r>
    <r>
      <rPr>
        <b/>
        <sz val="10"/>
        <color rgb="FF0000FF"/>
        <rFont val="Arial"/>
        <family val="2"/>
      </rPr>
      <t>Subgroups</t>
    </r>
    <r>
      <rPr>
        <sz val="10"/>
        <rFont val="Arial"/>
        <family val="2"/>
      </rPr>
      <t xml:space="preserve"> tab..</t>
    </r>
  </si>
  <si>
    <t>Subgroups</t>
  </si>
  <si>
    <t>A textual value that is used to denote this Group in data interchange outside of the scope of the register.</t>
  </si>
  <si>
    <t>A two-digit integer value that is used to denote this Group.</t>
  </si>
  <si>
    <t>This is a CamelCase character string, for example: "HydrographyOceanography".</t>
  </si>
  <si>
    <t>A subordinate (within a Group) set of categories that may be used to further characterize the concept for the purpose of discovery or comparison with possibly related concepts.</t>
  </si>
  <si>
    <t>For example, the Group "Transportation" may be associated to Feature Concepts "Road" and "Canal".</t>
  </si>
  <si>
    <t>For example, the Subgroup "Water-borne Transportation" within the Group "Transportation" may be associated to Feature Concept "Canal".</t>
  </si>
  <si>
    <t>A five-character value consisting of a pair of two-digit integer values separated by a dot ('.') that is used to denote this Subgroup in data interchange outside of the scope of the register.</t>
  </si>
  <si>
    <t>A two-digit integer value that is used to denote the Group of which this Subgroup is a member.</t>
  </si>
  <si>
    <r>
      <t xml:space="preserve">This is hyperlinked to its specification in the </t>
    </r>
    <r>
      <rPr>
        <b/>
        <sz val="10"/>
        <color rgb="FF0000FF"/>
        <rFont val="Arial"/>
        <family val="2"/>
      </rPr>
      <t>Groups</t>
    </r>
    <r>
      <rPr>
        <sz val="10"/>
        <rFont val="Arial"/>
        <family val="2"/>
      </rPr>
      <t xml:space="preserve"> tab.</t>
    </r>
  </si>
  <si>
    <t>The first integer value identifier the Group; the second identifies this Subgroup within that Group.</t>
  </si>
  <si>
    <t>A textual value that is used to denote this Subgroup in data interchange outside of the scope of the register.</t>
  </si>
  <si>
    <t>This is a CamelCase character string, for example: "DistributionNetworks".</t>
  </si>
  <si>
    <t>This is an upper camel-case character string, for example: "RealNonNegInterval". This column may be hidden if these are not populated or if used as the basis for the Resource Link. It may be named differently depending on the FDD.</t>
  </si>
  <si>
    <t>Source</t>
  </si>
  <si>
    <t>Indicates whether the concept is profiled from the DFDD proper, or the DFDD US National Extensions.</t>
  </si>
  <si>
    <t>Physical Quantity</t>
  </si>
  <si>
    <t>Recommended
Unit of Measure</t>
  </si>
  <si>
    <r>
      <t xml:space="preserve">For example: "plane angle", "length", and "speed".   In the case that the datatype of the attribute concept is not based on a numeric representation, then this cell is </t>
    </r>
    <r>
      <rPr>
        <b/>
        <sz val="10"/>
        <color indexed="55"/>
        <rFont val="Arial"/>
        <family val="2"/>
      </rPr>
      <t>grey-filled</t>
    </r>
    <r>
      <rPr>
        <sz val="10"/>
        <rFont val="Arial"/>
        <family val="2"/>
      </rPr>
      <t xml:space="preserve"> and empty.</t>
    </r>
  </si>
  <si>
    <t>A character string specifying a recommended unit of measure for allowed values that may be assigned to the attribute concept if its datatype is based on a numeric representation.</t>
  </si>
  <si>
    <r>
      <t xml:space="preserve">For example: "flight level".   In the case that the datatype of the attribute concept is not based on a numeric representation, or no non-comparable unit of measure is specified, then this cell is </t>
    </r>
    <r>
      <rPr>
        <b/>
        <sz val="10"/>
        <color indexed="55"/>
        <rFont val="Arial"/>
        <family val="2"/>
      </rPr>
      <t>grey-filled</t>
    </r>
    <r>
      <rPr>
        <sz val="10"/>
        <rFont val="Arial"/>
        <family val="2"/>
      </rPr>
      <t xml:space="preserve"> and empty.</t>
    </r>
  </si>
  <si>
    <r>
      <t>A character string specifying a</t>
    </r>
    <r>
      <rPr>
        <sz val="10"/>
        <color rgb="FF0000FF"/>
        <rFont val="Arial"/>
        <family val="2"/>
      </rPr>
      <t xml:space="preserve"> </t>
    </r>
    <r>
      <rPr>
        <sz val="10"/>
        <rFont val="Arial"/>
        <family val="2"/>
      </rPr>
      <t>non-comparable unit of measure for allowed values that may be assigned to the attribute concept if its datatype is based on a numeric representation.  A non-comparable unit of measure is one that is not a strict member of the specified physical quantity, but is related to that physical quantity through a complex context-sensitive computation.</t>
    </r>
  </si>
  <si>
    <t>Members Link</t>
  </si>
  <si>
    <r>
      <t xml:space="preserve">Listed Values
</t>
    </r>
    <r>
      <rPr>
        <i/>
        <sz val="10"/>
        <color theme="9" tint="-0.499984740745262"/>
        <rFont val="Arial"/>
        <family val="2"/>
      </rPr>
      <t>[Link]</t>
    </r>
  </si>
  <si>
    <r>
      <t xml:space="preserve">Non-comparable
Unit of Measure
</t>
    </r>
    <r>
      <rPr>
        <i/>
        <sz val="10"/>
        <color rgb="FF0000FF"/>
        <rFont val="Arial"/>
        <family val="2"/>
      </rPr>
      <t>[Link]</t>
    </r>
  </si>
  <si>
    <r>
      <t xml:space="preserve">Recommended
Unit of Measure
</t>
    </r>
    <r>
      <rPr>
        <i/>
        <sz val="10"/>
        <color rgb="FF0000FF"/>
        <rFont val="Arial"/>
        <family val="2"/>
      </rPr>
      <t xml:space="preserve"> [Link]</t>
    </r>
  </si>
  <si>
    <r>
      <t xml:space="preserve">Physical Quantity
</t>
    </r>
    <r>
      <rPr>
        <i/>
        <sz val="10"/>
        <color rgb="FF0000FF"/>
        <rFont val="Arial"/>
        <family val="2"/>
      </rPr>
      <t>[Link]</t>
    </r>
  </si>
  <si>
    <t>Physical Quantities</t>
  </si>
  <si>
    <t>A set of physical quantities that characterize the properties of a phenomenon, body, or substance, where the property has a magnitude that can be expressed as a number (physical value) and a reference quantity - referred to as a "unit of measure".</t>
  </si>
  <si>
    <t>For a given physical quantity, the International System of Units (ISO 31, known as "SI") specifies a reference unit of measure (for example: in the case of time, the "second") as well as other "conventional" units of measure and their relationship to the reference unit through a factor or formula (for example: the "hour" which is related by the factor of 3600 to the "second").</t>
  </si>
  <si>
    <t>Units of Measure</t>
  </si>
  <si>
    <t>A set of units of measure, organized by physical quantity, where a unit of measure is a predefined amount of the concerned physical quantity (for example: a metre "of length" or kilogram "of mass").</t>
  </si>
  <si>
    <t>Units of measure that may be used with the same physical quantity are mutually comparable; a physical value expressed in terms of one unit of measure may be converted to a different physical value in terms of a different unit of measure - both expressing the same physical quantity.</t>
  </si>
  <si>
    <t>The link presentation is also a value (the 'Short Name') that is used to denote the concept.</t>
  </si>
  <si>
    <t>Short Name</t>
  </si>
  <si>
    <t>This is a character string, for example: "electricResistance".</t>
  </si>
  <si>
    <t>A hyperlink to an online information resource for this Physical Quantity item.</t>
  </si>
  <si>
    <r>
      <t xml:space="preserve">A hyperlink to the set of included units of measure in the </t>
    </r>
    <r>
      <rPr>
        <b/>
        <sz val="10"/>
        <color indexed="12"/>
        <rFont val="Arial"/>
        <family val="2"/>
      </rPr>
      <t>UnitsOfMeasure</t>
    </r>
    <r>
      <rPr>
        <sz val="10"/>
        <rFont val="Arial"/>
        <family val="2"/>
      </rPr>
      <t xml:space="preserve"> tab/sheet.</t>
    </r>
  </si>
  <si>
    <t>For example, the Force physical quantity may have two member units of measure: the Newton and the Dyne.</t>
  </si>
  <si>
    <t>A hyperlink to an online information resource for this Unit of Measure item.</t>
  </si>
  <si>
    <t>The link presentation is also a value-pair (for example: the Physical Quantity AlphaCode and Dunit of Measure AlphaCode) that is used to denote the concept.</t>
  </si>
  <si>
    <t>Physical Quantity Link
[AlphaCode]</t>
  </si>
  <si>
    <t>Physical Quantity Name</t>
  </si>
  <si>
    <t>This is a character string, for example: electricResistance".</t>
  </si>
  <si>
    <t>The textual name assigned to the Physical Quantity of which this Unit of Measure concept is a member.</t>
  </si>
  <si>
    <t>The textual code value assigned to the Physical Quantity of which this Unit of Measure concept is a member.</t>
  </si>
  <si>
    <t>A textual value that is used to denote this Unit of Measure in data interchange outside of the scope of the register.</t>
  </si>
  <si>
    <t>This is a character string, for example: "metre". This column may be named differently depending on the FDD.</t>
  </si>
  <si>
    <r>
      <t xml:space="preserve">This is an upper camel-case character string, for example: "CofCode".
In the case that the Datatype is from a different register, then the cell is </t>
    </r>
    <r>
      <rPr>
        <b/>
        <sz val="10"/>
        <color theme="0" tint="-0.499984740745262"/>
        <rFont val="Arial"/>
        <family val="2"/>
      </rPr>
      <t>grey-filled</t>
    </r>
    <r>
      <rPr>
        <sz val="10"/>
        <rFont val="Arial"/>
        <family val="2"/>
      </rPr>
      <t xml:space="preserve"> and the link is not present.</t>
    </r>
  </si>
  <si>
    <t>In the presentation of fields in the following spreadsheets, values intentionally left empty are grey-filled; values that are not applicable are black-filled.</t>
  </si>
  <si>
    <t>acceleration</t>
  </si>
  <si>
    <t>Acceleration</t>
  </si>
  <si>
    <t>The quantity of a (directionless) rate of change in speed (rate of change in the change in position per unit time).</t>
  </si>
  <si>
    <t>DFDD</t>
  </si>
  <si>
    <t>amountOfSubstance</t>
  </si>
  <si>
    <t>Amount of Substance</t>
  </si>
  <si>
    <t>The quantity of particles comprising an object.</t>
  </si>
  <si>
    <t>area</t>
  </si>
  <si>
    <t>Area</t>
  </si>
  <si>
    <t>The quantity of a two dimensional (square) region that is (generally) the product of length and width.</t>
  </si>
  <si>
    <t>capacitance</t>
  </si>
  <si>
    <t>Capacitance</t>
  </si>
  <si>
    <t>The quantity of an electrical circuit that permits it to store electric charge.</t>
  </si>
  <si>
    <t>electricCharge</t>
  </si>
  <si>
    <t>Electric Charge</t>
  </si>
  <si>
    <t>The quantity of an unbalanced excess or deficiency of elections in a body.</t>
  </si>
  <si>
    <t>electricConductance</t>
  </si>
  <si>
    <t>Electric Conductance</t>
  </si>
  <si>
    <t>The quantity of the ease with which an electric current flows through a conductor.</t>
  </si>
  <si>
    <t>electricConductivity</t>
  </si>
  <si>
    <t>Electric Conductivity</t>
  </si>
  <si>
    <t>The quantity of the ease with which an electric current flows through a conductor per unit length.</t>
  </si>
  <si>
    <t>electricCurrent</t>
  </si>
  <si>
    <t>Electric Current</t>
  </si>
  <si>
    <t>The quantity of a flow of electricity through a conductor.</t>
  </si>
  <si>
    <t>electricResistance</t>
  </si>
  <si>
    <t>Electric Resistance</t>
  </si>
  <si>
    <t>The quantity of a material's opposition to the flow of electric current.</t>
  </si>
  <si>
    <t>electricResistivity</t>
  </si>
  <si>
    <t>Electric Resistivity</t>
  </si>
  <si>
    <t>The quantity of a material's opposition to the flow of electric current per unit length.</t>
  </si>
  <si>
    <t>electromotiveForce</t>
  </si>
  <si>
    <t>Electromotive Force</t>
  </si>
  <si>
    <t>The quantity of the energy per unit electric charge in an electric circuit.</t>
  </si>
  <si>
    <t>energy</t>
  </si>
  <si>
    <t>Energy</t>
  </si>
  <si>
    <t>The thermodynamic quantity equivalent to the capacity of a physical system to do work.</t>
  </si>
  <si>
    <t>Work</t>
  </si>
  <si>
    <t>force</t>
  </si>
  <si>
    <t>Force</t>
  </si>
  <si>
    <t>The quantity of influence that produces a change in a physical quantity (for example: acceleration).</t>
  </si>
  <si>
    <t>frequency</t>
  </si>
  <si>
    <t>Frequency</t>
  </si>
  <si>
    <t>The quantity of the number of occurrences within a given time period.</t>
  </si>
  <si>
    <t>geopotentialEnergyLength</t>
  </si>
  <si>
    <t>Geopotential Energy Length</t>
  </si>
  <si>
    <t>The quantity of a height that is proportional to the potential energy of a mass relative to the geoid.</t>
  </si>
  <si>
    <t>illuminance</t>
  </si>
  <si>
    <t>Illuminance</t>
  </si>
  <si>
    <t>The quantity of luminous flux incident on a unit area.</t>
  </si>
  <si>
    <t>Luminous Emittance</t>
  </si>
  <si>
    <t>inductance</t>
  </si>
  <si>
    <t>Inductance</t>
  </si>
  <si>
    <t>The quantity of the capability of a coiled conductor to store energy in a magnetic field surrounding it.</t>
  </si>
  <si>
    <t>irradiance</t>
  </si>
  <si>
    <t>Irradiance</t>
  </si>
  <si>
    <t>The quantity of the power of electromagnetic radiation at a surface, per unit area.</t>
  </si>
  <si>
    <t>Radiant Emittance, Radiant Exitance</t>
  </si>
  <si>
    <t>length</t>
  </si>
  <si>
    <t>The quantity of a linear extent.</t>
  </si>
  <si>
    <t>linearDensity</t>
  </si>
  <si>
    <t>Linear Density</t>
  </si>
  <si>
    <t>The quantity of a linear extent per unit surface area.</t>
  </si>
  <si>
    <t>linearEnergyTransfer</t>
  </si>
  <si>
    <t>Linear Energy Transfer</t>
  </si>
  <si>
    <t>The quantity of a rate of energy transfer per unit distance.</t>
  </si>
  <si>
    <t>luminousFlux</t>
  </si>
  <si>
    <t>Luminous Flux</t>
  </si>
  <si>
    <t>The quantity of the power of light (rate of flow of light energy) as perceived by the human eye.</t>
  </si>
  <si>
    <t>luminousIntensity</t>
  </si>
  <si>
    <t>Luminous Intensity</t>
  </si>
  <si>
    <t>The quantity of the amount of wavelength-weighted power emitted by a light source per unit solid angle based on the sensitivity of the human eye.</t>
  </si>
  <si>
    <t>magneticFlux</t>
  </si>
  <si>
    <t>Magnetic Flux</t>
  </si>
  <si>
    <t>The quantity of the strength of a magnetic field over a given area.</t>
  </si>
  <si>
    <t>magneticFluxDensity</t>
  </si>
  <si>
    <t>Magnetic Flux Density</t>
  </si>
  <si>
    <t>The quantity of the magnetic flux in a unit area perpendicular to the direction of magnetic flow.</t>
  </si>
  <si>
    <t>magneticFluxDensityGradient</t>
  </si>
  <si>
    <t>Magnetic Flux Density Gradient</t>
  </si>
  <si>
    <t>The quantity of the rate of change of the magnetic flux density per unit distance along the direction of magnetic flow.</t>
  </si>
  <si>
    <t>mass</t>
  </si>
  <si>
    <t>Mass</t>
  </si>
  <si>
    <t>The quantity of the property of a body that causes it to have weight in a gravitational field.</t>
  </si>
  <si>
    <t>massDensity</t>
  </si>
  <si>
    <t>Mass Density</t>
  </si>
  <si>
    <t>The quantity of matter contained by a given volume.</t>
  </si>
  <si>
    <t>Mass/Volume Concentration</t>
  </si>
  <si>
    <t>massFraction</t>
  </si>
  <si>
    <t>Mass Fraction</t>
  </si>
  <si>
    <t>The quantity of the dimensionless ratio of two masses.</t>
  </si>
  <si>
    <t>massRate</t>
  </si>
  <si>
    <t>Mass Rate</t>
  </si>
  <si>
    <t>The quantity of mass, the property of a body that causes it to have weight in a gravitational field, per unit time.</t>
  </si>
  <si>
    <t>monetaryUnit</t>
  </si>
  <si>
    <t>Monetary Unit</t>
  </si>
  <si>
    <t>The monetary unit establishing a currency.</t>
  </si>
  <si>
    <t>noncomparable</t>
  </si>
  <si>
    <t>Noncomparable</t>
  </si>
  <si>
    <t>A quantity that is not related to any other quantity by a factor or formula.</t>
  </si>
  <si>
    <t>planeAngle</t>
  </si>
  <si>
    <t>Plane Angle</t>
  </si>
  <si>
    <t>The quantity of an angle in two dimensions (the angle between two half-lines terminating at the same point).</t>
  </si>
  <si>
    <t>power</t>
  </si>
  <si>
    <t>Power</t>
  </si>
  <si>
    <t>The quantity of the rate of doing work.</t>
  </si>
  <si>
    <t>powerLevelDifference</t>
  </si>
  <si>
    <t>Power Level Difference</t>
  </si>
  <si>
    <t>The quantity of the logarithmic ratio (base 10) between two power levels.</t>
  </si>
  <si>
    <t>powerLevelDiffLenGradient</t>
  </si>
  <si>
    <t>Power Level Difference Length Gradient</t>
  </si>
  <si>
    <t>The rate of power level difference change per unit distance.</t>
  </si>
  <si>
    <t>pressure</t>
  </si>
  <si>
    <t>Pressure</t>
  </si>
  <si>
    <t>The quantity of force applied to a unit area of surface.</t>
  </si>
  <si>
    <t>pureNumber</t>
  </si>
  <si>
    <t>Pure Number</t>
  </si>
  <si>
    <t>A dimensionless quantity (a quantity with the dimension of 1).</t>
  </si>
  <si>
    <t>radiationAbsorbedDose</t>
  </si>
  <si>
    <t>Radiation Absorbed Dose</t>
  </si>
  <si>
    <t>The quantity of absorption of ionizing radiation by matter.</t>
  </si>
  <si>
    <t>radiationDoseEquivalent</t>
  </si>
  <si>
    <t>Radiation Dose Equivalent</t>
  </si>
  <si>
    <t>The quantity of biological effects of radiation which are characterised by the absorbed radiation dose.</t>
  </si>
  <si>
    <t>radionuclideActivity</t>
  </si>
  <si>
    <t>Radionuclide Activity</t>
  </si>
  <si>
    <t>The quantity of the spontaneous emission of a stream of particles or electromagnetic rays in nuclear decay.</t>
  </si>
  <si>
    <t>rate</t>
  </si>
  <si>
    <t>Rate</t>
  </si>
  <si>
    <t>The quantity per unit time.</t>
  </si>
  <si>
    <t>reciprocalArea</t>
  </si>
  <si>
    <t>Reciprocal Area</t>
  </si>
  <si>
    <t>The inverse quantity of a two dimensional (square) region that is (generally) the product of length and width.</t>
  </si>
  <si>
    <t>Areal Density</t>
  </si>
  <si>
    <t>reciprocalTime</t>
  </si>
  <si>
    <t>Reciprocal Time</t>
  </si>
  <si>
    <t xml:space="preserve">The quantity of a reciprocal (inverse) time. </t>
  </si>
  <si>
    <t>solidAngle</t>
  </si>
  <si>
    <t>Solid Angle</t>
  </si>
  <si>
    <t>The quantity of an angle in three dimensions (the angle between three planes intersecting at the same point).</t>
  </si>
  <si>
    <t>soundSpeedRatio</t>
  </si>
  <si>
    <t>Sound Speed Ratio</t>
  </si>
  <si>
    <t>The quantity of the dimensionless ratio of the speed of an object to the speed of sound in the surrounding medium.</t>
  </si>
  <si>
    <t>speed</t>
  </si>
  <si>
    <t>Speed</t>
  </si>
  <si>
    <t>The quantity of a (directionless) rate of motion (change in position per unit time).</t>
  </si>
  <si>
    <t>surfaceMassDensityRate</t>
  </si>
  <si>
    <t>Surface Mass Density Rate</t>
  </si>
  <si>
    <t>The quantity of mass per unit surface area rate.</t>
  </si>
  <si>
    <t>thermodynamicTemperature</t>
  </si>
  <si>
    <t>Thermodynamic Temperature</t>
  </si>
  <si>
    <t>The quantity of internal energy that a substance contains.</t>
  </si>
  <si>
    <t>time</t>
  </si>
  <si>
    <t>Time</t>
  </si>
  <si>
    <t>The quantity by which events are compared in position and duration.</t>
  </si>
  <si>
    <t>volume</t>
  </si>
  <si>
    <t>Volume</t>
  </si>
  <si>
    <t>The quantity of a three dimensional (cubic) region that is (generally) the product of length, width, and height.</t>
  </si>
  <si>
    <t>volumeFlowRate</t>
  </si>
  <si>
    <t>Volume Flow Rate</t>
  </si>
  <si>
    <t>The quantity (volume) of fluid which passes through a given surface per unit time.</t>
  </si>
  <si>
    <t>volumeFraction</t>
  </si>
  <si>
    <t>Volume Fraction</t>
  </si>
  <si>
    <t>The quantity of the dimensionless ratio of two volumes.</t>
  </si>
  <si>
    <t>metrePerSecondSquare</t>
  </si>
  <si>
    <t>Metre per Second squared</t>
  </si>
  <si>
    <t>The derived unit of measurement of acceleration in the SI units system.</t>
  </si>
  <si>
    <t>gal</t>
  </si>
  <si>
    <t>Gal</t>
  </si>
  <si>
    <t>A conventional unit of measurement of acceleration that is 0.01 metres per second squared.</t>
  </si>
  <si>
    <t>milligal</t>
  </si>
  <si>
    <t>Milligal</t>
  </si>
  <si>
    <t>A conventional unit of measurement of acceleration that is one thousandth of a Gal, being 0.00001 metres per second squared.</t>
  </si>
  <si>
    <t>footPerSecondSquare</t>
  </si>
  <si>
    <t>Foot per Second squared</t>
  </si>
  <si>
    <t>A conventional unit of measurement of acceleration that is 0.3408 metres per second squared.</t>
  </si>
  <si>
    <t>mole</t>
  </si>
  <si>
    <t>Mole</t>
  </si>
  <si>
    <t>The base unit in SI for the physical quantity "amount of substance", defined as that of a system which contains as many elementary entities as there are atoms in 0.012 kilogram of carbon 12.</t>
  </si>
  <si>
    <t>Note: When the mole is used, the elementary entities must be specified and may be atoms, molecules, ions, electrons, other particles, or specified groups of such particles.</t>
  </si>
  <si>
    <t>squareMetre</t>
  </si>
  <si>
    <t>Square Metre</t>
  </si>
  <si>
    <t>The derived unit of measurement of area in the SI units system.</t>
  </si>
  <si>
    <t>squareKilometre</t>
  </si>
  <si>
    <t>Square Kilometre</t>
  </si>
  <si>
    <t>A conventional unit of measurement of area whose dimensions are one kilometre on each side, equal to one million square metres.</t>
  </si>
  <si>
    <t>hectare</t>
  </si>
  <si>
    <t>Hectare</t>
  </si>
  <si>
    <t>A conventional unit of measurement of area whose dimensions are one hectometre on each side, equal to ten thousand square metres.</t>
  </si>
  <si>
    <t>squareDecametre</t>
  </si>
  <si>
    <t>Square Decametre</t>
  </si>
  <si>
    <t>A conventional unit of measurement of area whose dimensions are one decametre on each side, equal to one hundred square metres.</t>
  </si>
  <si>
    <t>squareDecimetre</t>
  </si>
  <si>
    <t>Square Decimetre</t>
  </si>
  <si>
    <t>A conventional unit of measurement of area whose dimensions are one decimetre on each side, equal to one hundredth of a square metre.</t>
  </si>
  <si>
    <t>squareCentimetre</t>
  </si>
  <si>
    <t>Square Centimetre</t>
  </si>
  <si>
    <t>A conventional unit of measurement of area whose dimensions are one centimetre on each side, equal to one ten-thousandth of a square metre.</t>
  </si>
  <si>
    <t>squareMillimetre</t>
  </si>
  <si>
    <t>Square Millimetre</t>
  </si>
  <si>
    <t>A conventional unit of measurement of area whose dimensions are one millimetre on each side, equal to one millionth of a square metre.</t>
  </si>
  <si>
    <t>squareStatuteMile</t>
  </si>
  <si>
    <t>Square Statute Mile</t>
  </si>
  <si>
    <t>A conventional unit of measurement of area whose dimensions are one statute mile on each side, being 2,589.988 square kilometres.</t>
  </si>
  <si>
    <t>acre</t>
  </si>
  <si>
    <t>Acre</t>
  </si>
  <si>
    <t>A conventional unit of measurement of area equal to 4,840 square yards, being 4,046.856 square metres.</t>
  </si>
  <si>
    <t>squareYard</t>
  </si>
  <si>
    <t>Square Yard</t>
  </si>
  <si>
    <t>A conventional unit of measurement of area whose dimensions are one yard on each side, being 0.83612736 square metres.</t>
  </si>
  <si>
    <t>squareFoot</t>
  </si>
  <si>
    <t>Square Foot</t>
  </si>
  <si>
    <t>A conventional unit of measurement of area whose dimensions are one foot on each side, being 0.09290304 square metres.</t>
  </si>
  <si>
    <t>squareInch</t>
  </si>
  <si>
    <t>Square Inch</t>
  </si>
  <si>
    <t>A conventional unit of measurement of area whose dimensions are one inch on each side, being 0.00064516 square metres.</t>
  </si>
  <si>
    <t>farad</t>
  </si>
  <si>
    <t>Farad</t>
  </si>
  <si>
    <t>The derived unit of measurement of capacitance in the SI units system; one farad is the amount of electric charge delivered by one ampere in one second.</t>
  </si>
  <si>
    <t>microfarad</t>
  </si>
  <si>
    <t>Microfarad</t>
  </si>
  <si>
    <t>A conventional unit of measurement of electric charge equal to one millionth of a farad.</t>
  </si>
  <si>
    <t>nanofarad</t>
  </si>
  <si>
    <t>Nanofarad</t>
  </si>
  <si>
    <t>A conventional unit of measurement of electric charge equal to one billionth of a farad.</t>
  </si>
  <si>
    <t>picofarad</t>
  </si>
  <si>
    <t>Picofarad</t>
  </si>
  <si>
    <t>A conventional unit of measurement of electric charge equal to one trillionth of a farad.</t>
  </si>
  <si>
    <t>coulomb</t>
  </si>
  <si>
    <t>Coulomb</t>
  </si>
  <si>
    <t>The derived unit of measurement of electric charge in the SI units system; one coulomb is the amount of electric charge transported in one second by a steady current of one ampere.</t>
  </si>
  <si>
    <t>millicoulomb</t>
  </si>
  <si>
    <t>Millicoulomb</t>
  </si>
  <si>
    <t>A conventional unit of measurement of electric charge equal to one thousandth of a coulomb.</t>
  </si>
  <si>
    <t>microcoulomb</t>
  </si>
  <si>
    <t>Microcoulomb</t>
  </si>
  <si>
    <t>A conventional unit of measurement of electric charge equal to one millionth of a coulomb.</t>
  </si>
  <si>
    <t>nanocoulomb</t>
  </si>
  <si>
    <t>Nanocoulomb</t>
  </si>
  <si>
    <t>A conventional unit of measurement of electric charge equal to one billionth of a coulomb.</t>
  </si>
  <si>
    <t>siemens</t>
  </si>
  <si>
    <t>Siemens</t>
  </si>
  <si>
    <t>The derived unit of measurement of electric conductance in the SI units system; one siemens is equal to the reciprocal of one ohm.</t>
  </si>
  <si>
    <t>Mho</t>
  </si>
  <si>
    <t>millisiemens</t>
  </si>
  <si>
    <t>Millisiemens</t>
  </si>
  <si>
    <t>A conventional unit of measurement of electric conductance equal to one thousandth of a siemens.</t>
  </si>
  <si>
    <t>microsiemens</t>
  </si>
  <si>
    <t>Microsiemens</t>
  </si>
  <si>
    <t>A conventional unit of measurement of electric conductance equal to one millionth of a siemens.</t>
  </si>
  <si>
    <t>siemensPerCentimetre</t>
  </si>
  <si>
    <t>Siemens per Centimetre</t>
  </si>
  <si>
    <t>A conventional unit of measurement of electric conductivity equal to one hundred siemens per metre.</t>
  </si>
  <si>
    <t>Reciprocal Ohm per Centimetre</t>
  </si>
  <si>
    <t>siemensPerMetre</t>
  </si>
  <si>
    <t>Siemens per Metre</t>
  </si>
  <si>
    <t>The derived unit of measurement of electric conductivity in the SI units system; one siemens per metre is equal to the reciprocal of one ohm metre.</t>
  </si>
  <si>
    <t>Reciprocal Ohm per Metre</t>
  </si>
  <si>
    <t>microsiemensPerCentimetre</t>
  </si>
  <si>
    <t>Microsiemens per Centimetre</t>
  </si>
  <si>
    <t>A conventional unit of measurement of electric conductivity equal to one ten-thousandth of a siemens per metre.</t>
  </si>
  <si>
    <t>microsiemensPerMetre</t>
  </si>
  <si>
    <t>Microsiemens per Metre</t>
  </si>
  <si>
    <t>A conventional unit of measurement of electric conductivity equal to one millionth of a siemens per metre.</t>
  </si>
  <si>
    <t>siemensPerInch</t>
  </si>
  <si>
    <t>Siemens per Inch</t>
  </si>
  <si>
    <t>A conventional unit of measurement of electric conductivity equal to 39.3701 siemens per metre.</t>
  </si>
  <si>
    <t>siemensPerFoot</t>
  </si>
  <si>
    <t>Siemens per Foot</t>
  </si>
  <si>
    <t>A conventional unit of measurement of electric conductivity equal to 3.28084 siemens per metre.</t>
  </si>
  <si>
    <t>microsiemensPerInch</t>
  </si>
  <si>
    <t>Microsiemens per Inch</t>
  </si>
  <si>
    <t>A conventional unit of measurement of electric conductivity equal to 0.0000393701 siemens per metre.</t>
  </si>
  <si>
    <t>microsiemensPerFoot</t>
  </si>
  <si>
    <t>Microsiemens per Foot</t>
  </si>
  <si>
    <t>A conventional unit of measurement of electric conductivity equal to 0.00000328084 siemens per metre.</t>
  </si>
  <si>
    <t>kiloampere</t>
  </si>
  <si>
    <t>Kiloampere</t>
  </si>
  <si>
    <t>A conventional unit of measurement of electric current equal to 1000 amperes.</t>
  </si>
  <si>
    <t>ampere</t>
  </si>
  <si>
    <t>Ampere</t>
  </si>
  <si>
    <t>The base unit in SI for the physical quantity "electric current", defined as that constant current which, if maintained in two straight parallel conductors of infinite length, of negligible circular cross-section, and placed 1 metre apart in vacuum, would produce between these conductors a force equal to 2 x 10-7 newton per metre of length.</t>
  </si>
  <si>
    <t>milliampere</t>
  </si>
  <si>
    <t>Milliampere</t>
  </si>
  <si>
    <t>A conventional unit of measurement of electric current equal to 0.001 amperes.</t>
  </si>
  <si>
    <t>microampere</t>
  </si>
  <si>
    <t>Microampere</t>
  </si>
  <si>
    <t>A conventional unit of measurement of electric current equal to 0.000001 amperes.</t>
  </si>
  <si>
    <t>megaohm</t>
  </si>
  <si>
    <t>Megaohm</t>
  </si>
  <si>
    <t>A conventional unit of measurement of electric resistance equal to 1,000,000.0 ohms.</t>
  </si>
  <si>
    <t>kilohm</t>
  </si>
  <si>
    <t>Kilohm</t>
  </si>
  <si>
    <t>A conventional unit of measurement of electric resistance equal to 1,000.0 ohms.</t>
  </si>
  <si>
    <t>ohm</t>
  </si>
  <si>
    <t>Ohm</t>
  </si>
  <si>
    <t>The derived unit of measurement of electric resistance in the SI units system; the resistance between two points of a conductor when a constant potential difference of 1 volt produces in the conductor a current of 1 ampere.</t>
  </si>
  <si>
    <t>ohmMetre</t>
  </si>
  <si>
    <t>Ohm Metre</t>
  </si>
  <si>
    <t>The derived unit of measurement of electric resistivity in the SI units system; one ohm metre is equal to the reciprocal of one siemens per metre.</t>
  </si>
  <si>
    <t>ohmCentimetre</t>
  </si>
  <si>
    <t>Ohm Centimetre</t>
  </si>
  <si>
    <t>A conventional unit of measurement of electric resistivity equal to one hundredth of an ohm metre.</t>
  </si>
  <si>
    <t xml:space="preserve">ohmFoot </t>
  </si>
  <si>
    <t xml:space="preserve">Ohm Foot </t>
  </si>
  <si>
    <t>A conventional unit of measurement of electric resistivity equal to 0.3048 ohm metres.</t>
  </si>
  <si>
    <t xml:space="preserve">ohmInch </t>
  </si>
  <si>
    <t xml:space="preserve">Ohm Inch </t>
  </si>
  <si>
    <t>A conventional unit of measurement of electric resistivity equal to 0.0254 ohm metres.</t>
  </si>
  <si>
    <t>kilovolt</t>
  </si>
  <si>
    <t>Kilovolt</t>
  </si>
  <si>
    <t>A conventional unit of measurement of electromotive force equal to one thousand volts.</t>
  </si>
  <si>
    <t>volt</t>
  </si>
  <si>
    <t>Volt</t>
  </si>
  <si>
    <t>The derived unit of measurement of electromotive force in the SI units system.</t>
  </si>
  <si>
    <t>millivolt</t>
  </si>
  <si>
    <t>Millivolt</t>
  </si>
  <si>
    <t>A conventional unit of measurement of electromotive force equal to one thousandth of a volt.</t>
  </si>
  <si>
    <t>microvolt</t>
  </si>
  <si>
    <t>Microvolt</t>
  </si>
  <si>
    <t>A conventional unit of measurement of electromotive force equal to one millionth of a volt.</t>
  </si>
  <si>
    <t>kilojoule</t>
  </si>
  <si>
    <t>Kilojoule</t>
  </si>
  <si>
    <t>A conventional unit of measurement of energy and work equal to one thousand Joules.</t>
  </si>
  <si>
    <t>joule</t>
  </si>
  <si>
    <t>Joule</t>
  </si>
  <si>
    <t>The derived unit of measurement of energy and work in the SI units system.</t>
  </si>
  <si>
    <t>erg</t>
  </si>
  <si>
    <t>Erg</t>
  </si>
  <si>
    <t>A conventional unit of measurement of energy and work equal to one ten-millionth of a Joule.</t>
  </si>
  <si>
    <t>thermochemicalCalorie</t>
  </si>
  <si>
    <t>Thermochemical Calorie</t>
  </si>
  <si>
    <t>A conventional unit of measurement of energy and work equal to 4.184 Joules (and different than the International Table calorie).</t>
  </si>
  <si>
    <t>electronVolt</t>
  </si>
  <si>
    <t>Electron Volt</t>
  </si>
  <si>
    <t>A conventional unit of measurement of energy that is experimentally determined to be the kinetic energy acquired by an electron in passing through a potential difference of 1 volt in a vacuum, approximately 1.602177e-19 Joules.</t>
  </si>
  <si>
    <t>kilogramForceMetre</t>
  </si>
  <si>
    <t>Kilogram-force Metre</t>
  </si>
  <si>
    <t>A conventional unit of measurement of energy and work equal to 9.80665 Joules.</t>
  </si>
  <si>
    <t>footPoundForce</t>
  </si>
  <si>
    <t>Foot Pound-force</t>
  </si>
  <si>
    <t>A conventional unit of measurement of energy and work equal to 1.355818 Joules.</t>
  </si>
  <si>
    <t>megawattHour</t>
  </si>
  <si>
    <t>Megawatt Hour</t>
  </si>
  <si>
    <t>A conventional unit of measurement of energy in electrical systems equal to 3,600,000,000 Joules.</t>
  </si>
  <si>
    <t>kilowattHour</t>
  </si>
  <si>
    <t>Kilowatt Hour</t>
  </si>
  <si>
    <t>A conventional unit of measurement of energy in electrical systems equal to 3,600,000 Joules.</t>
  </si>
  <si>
    <t>wattHour</t>
  </si>
  <si>
    <t>Watt Hour</t>
  </si>
  <si>
    <t>A conventional unit of measurement of energy in electrical systems equal to 3600 Joules.</t>
  </si>
  <si>
    <t>kilopoundForce</t>
  </si>
  <si>
    <t>Kilopound (force)</t>
  </si>
  <si>
    <t>A conventional unit of measurement of force equal to 1,000 pounds-force (4,448.222 Newtons).</t>
  </si>
  <si>
    <t>Kilopound-force</t>
  </si>
  <si>
    <t>kilogramForce</t>
  </si>
  <si>
    <t>Kilogram (force)</t>
  </si>
  <si>
    <t>A conventional unit of measurement of force equal to 9.80665 Newtons.</t>
  </si>
  <si>
    <t>Kilogram-force</t>
  </si>
  <si>
    <t>poundForce</t>
  </si>
  <si>
    <t>Pound (force)</t>
  </si>
  <si>
    <t>A conventional unit of measurement of force equal to 4.448222 Newtons.</t>
  </si>
  <si>
    <t>Pound-force</t>
  </si>
  <si>
    <t>newton</t>
  </si>
  <si>
    <t>Newton</t>
  </si>
  <si>
    <t>The derived unit of measurement of force in the SI units system; it is equal to the amount of force required to accelerate a mass of one kilogram at a rate of one metre per second per second.</t>
  </si>
  <si>
    <t>dyne</t>
  </si>
  <si>
    <t>Dyne</t>
  </si>
  <si>
    <t>A conventional unit of measurement of force equal to ten millionths of a Newton.</t>
  </si>
  <si>
    <t>gigahertz</t>
  </si>
  <si>
    <t>Gigahertz</t>
  </si>
  <si>
    <t>A conventional unit of measurement of frequency equal to one billion hertz.</t>
  </si>
  <si>
    <t>megahertz</t>
  </si>
  <si>
    <t>Megahertz</t>
  </si>
  <si>
    <t>A conventional unit of measurement of frequency equal to one million hertz.</t>
  </si>
  <si>
    <t>kilohertz</t>
  </si>
  <si>
    <t>Kilohertz</t>
  </si>
  <si>
    <t>A conventional unit of measurement of frequency equal to one thousand hertz.</t>
  </si>
  <si>
    <t>hertz</t>
  </si>
  <si>
    <t>Hertz</t>
  </si>
  <si>
    <t>The derived unit of measurement of frequency in the SI units system.</t>
  </si>
  <si>
    <t>geopotentialMetre</t>
  </si>
  <si>
    <t>Geopotential Metre</t>
  </si>
  <si>
    <t>A practical unit of specific energy that is based on geopotential where the height is proportional to the potential energy of a unit mass at that level, relative to the geoid.</t>
  </si>
  <si>
    <t>At the poles 1.0 gpm ~= 1.00258 metre, whereas at the equator 1.0 gpm ~=.99738 metre.</t>
  </si>
  <si>
    <t>lux</t>
  </si>
  <si>
    <t>Lux</t>
  </si>
  <si>
    <t>The derived unit of measurement of illuminance in the SI units system; one lux is equal to one lumen per square metre.</t>
  </si>
  <si>
    <t>kilolux</t>
  </si>
  <si>
    <t>Kilolux</t>
  </si>
  <si>
    <t>A conventional unit of measurement of illuminance equal to 1,000.0 lux.</t>
  </si>
  <si>
    <t>millilux</t>
  </si>
  <si>
    <t>Millilux</t>
  </si>
  <si>
    <t>A conventional unit of measurement of illuminance equal to 0.001 lux.</t>
  </si>
  <si>
    <t>henry</t>
  </si>
  <si>
    <t>Henry</t>
  </si>
  <si>
    <t>The derived unit of measurement of inductance in the SI units system.</t>
  </si>
  <si>
    <t>microhenry</t>
  </si>
  <si>
    <t>Microhenry</t>
  </si>
  <si>
    <t>A conventional unit of measurement of inductance that is one millionth of a henry.</t>
  </si>
  <si>
    <t>wattPerSquareMetre</t>
  </si>
  <si>
    <t>Watt per square Metre</t>
  </si>
  <si>
    <t>The derived unit of measurement of irradiance (area power density) in the SI units system.</t>
  </si>
  <si>
    <t>ergsPerSqCmPerSecond</t>
  </si>
  <si>
    <t>Ergs per square Centimetre per Second</t>
  </si>
  <si>
    <t>A conventional unit of measurement of rradiance (area power density) equal to ten trillionths of a watt per square metre.</t>
  </si>
  <si>
    <t>metre</t>
  </si>
  <si>
    <t>Metre</t>
  </si>
  <si>
    <t>The base unit in SI for the physical quantity "length", defined as the length of the path travelled by light in vacuum during a time interval of 1/299,792,458 of a second.</t>
  </si>
  <si>
    <t>hectokilometre</t>
  </si>
  <si>
    <t>Hectokilometre</t>
  </si>
  <si>
    <t>A conventional unit of measurement of length equal to 100,000.0 metres.</t>
  </si>
  <si>
    <t>decakilometre</t>
  </si>
  <si>
    <t>Decakilometre</t>
  </si>
  <si>
    <t>A conventional unit of measurement of length equal to 10,000.0 metres.</t>
  </si>
  <si>
    <t>kilometre</t>
  </si>
  <si>
    <t>Kilometre</t>
  </si>
  <si>
    <t>A conventional unit of measurement of length equal to 1,000.0 metres.</t>
  </si>
  <si>
    <t>hectometre</t>
  </si>
  <si>
    <t>Hectometre</t>
  </si>
  <si>
    <t>A conventional unit of measurement of length equal to 100.0 metres</t>
  </si>
  <si>
    <t>halfHectometre</t>
  </si>
  <si>
    <t>Half-hectometre</t>
  </si>
  <si>
    <t>A conventional unit of measurement of length equal to 50.0 metres.</t>
  </si>
  <si>
    <t>decametre</t>
  </si>
  <si>
    <t>Decametre</t>
  </si>
  <si>
    <t>A conventional unit of measurement of length equal to 10.0 metres.</t>
  </si>
  <si>
    <t>halfMetre</t>
  </si>
  <si>
    <t>Half-metre</t>
  </si>
  <si>
    <t>A conventional unit of measurement of length equal to 0.5 metres.</t>
  </si>
  <si>
    <t>decimetre</t>
  </si>
  <si>
    <t>Decimetre</t>
  </si>
  <si>
    <t>A conventional unit of measurement of length equal to 0.1 metres.</t>
  </si>
  <si>
    <t>centimetre</t>
  </si>
  <si>
    <t>Centimetre</t>
  </si>
  <si>
    <t>A conventional unit of measurement of length equal to 0.01 metres.</t>
  </si>
  <si>
    <t>millimetre</t>
  </si>
  <si>
    <t>Millimetre</t>
  </si>
  <si>
    <t>A conventional unit of measurement of length equal to 0.001 metres.</t>
  </si>
  <si>
    <t>micrometre</t>
  </si>
  <si>
    <t>Micrometre</t>
  </si>
  <si>
    <t>A conventional unit of measurement of length equal to 0.000001 metres.</t>
  </si>
  <si>
    <t>nanometre</t>
  </si>
  <si>
    <t>Nanometre</t>
  </si>
  <si>
    <t>A conventional unit of measurement of length equal to 0.000000001 metres.</t>
  </si>
  <si>
    <t>picometre</t>
  </si>
  <si>
    <t>Picometre</t>
  </si>
  <si>
    <t>A conventional unit of measurement of length equal to 0.000000000001 metres.</t>
  </si>
  <si>
    <t>nauticalMile</t>
  </si>
  <si>
    <t>Nautical Mile</t>
  </si>
  <si>
    <t>A conventional unit of measurement of length equal to 1,852.0 metres.</t>
  </si>
  <si>
    <t>deciNauticalMile</t>
  </si>
  <si>
    <t>Deci-nautical Mile</t>
  </si>
  <si>
    <t>A conventional unit of measurement of length equal to one tenth of a nautical mile or 185.2 metres.</t>
  </si>
  <si>
    <t>statuteMile</t>
  </si>
  <si>
    <t>Statute Mile</t>
  </si>
  <si>
    <t>A conventional unit of measurement of length equal to 5,280 feet (1,609.344 metres).</t>
  </si>
  <si>
    <t>dataMile</t>
  </si>
  <si>
    <t>Data Mile</t>
  </si>
  <si>
    <t>A conventional unit of measurement of length equal to 6,000 feet (1,828.8 metres).</t>
  </si>
  <si>
    <t>Used in the Joint Tactical Information Distribution System (JTIDS) and Variable Message Format (VMF).</t>
  </si>
  <si>
    <t>kiloyard</t>
  </si>
  <si>
    <t>Kiloyard</t>
  </si>
  <si>
    <t>A conventional unit of measurement of length equal to 1000 yards (914.4 metres)</t>
  </si>
  <si>
    <t>kilofoot</t>
  </si>
  <si>
    <t>Kilofoot</t>
  </si>
  <si>
    <t>A conventional unit of measurement of length equal to 1000 feet (304.8 metres).</t>
  </si>
  <si>
    <t>hectofoot</t>
  </si>
  <si>
    <t>Hectofoot</t>
  </si>
  <si>
    <t>A conventional unit of measurement of length equal to 100 feet (30.48 metres).</t>
  </si>
  <si>
    <t>decafoot</t>
  </si>
  <si>
    <t>Decafoot</t>
  </si>
  <si>
    <t>A conventional unit of measurement of length equal to 10 feet (3.048 metres).</t>
  </si>
  <si>
    <t>yard</t>
  </si>
  <si>
    <t>Yard</t>
  </si>
  <si>
    <t>A conventional unit of measurement of length equal to 0.9144 metres.</t>
  </si>
  <si>
    <t>foot</t>
  </si>
  <si>
    <t>Foot</t>
  </si>
  <si>
    <t>A conventional unit of measurement of length equal to 0.3048 metres.</t>
  </si>
  <si>
    <t>halfFoot</t>
  </si>
  <si>
    <t>Half-foot</t>
  </si>
  <si>
    <t>A conventional unit of measurement of length equal to one half of a foot (0.1524 metres).</t>
  </si>
  <si>
    <t>decifoot</t>
  </si>
  <si>
    <t>Decifoot</t>
  </si>
  <si>
    <t>A conventional unit of measurement of length equal to one tenth of a foot (0.03048 metres).</t>
  </si>
  <si>
    <t>inch</t>
  </si>
  <si>
    <t>Inch</t>
  </si>
  <si>
    <t>A conventional unit of measurement of length equal to 0.0254 metres.</t>
  </si>
  <si>
    <t>fathom</t>
  </si>
  <si>
    <t>Fathom</t>
  </si>
  <si>
    <t>A conventional unit of measurement of length equal to 6 feet (1.8288 metres).</t>
  </si>
  <si>
    <t>usSurveyMile</t>
  </si>
  <si>
    <t>U.S. Survey Mile</t>
  </si>
  <si>
    <t>A conventional unit of measurement of length equal to 5,280 U.S. Survey Feet (1,609.347 metres).</t>
  </si>
  <si>
    <t>usSurveyFoot</t>
  </si>
  <si>
    <t>U.S. Survey Foot</t>
  </si>
  <si>
    <t>A conventional unit of measurement of length equal to 0.3048006 metres.</t>
  </si>
  <si>
    <t>Set by the U.S. Coast and Geodetic Survey as exactly 1200/3937 metres.</t>
  </si>
  <si>
    <t>astronomicUnit</t>
  </si>
  <si>
    <t>Astronomic Unit</t>
  </si>
  <si>
    <t>A conventional unit of measurement of length equal to 1.4959787 x 10^11 metres.</t>
  </si>
  <si>
    <t>metrePerSquareMetre</t>
  </si>
  <si>
    <t>Metre per square Metre</t>
  </si>
  <si>
    <t>The derived unit of measurement of linear density in the SI units system.</t>
  </si>
  <si>
    <t>kilometrePerSquareKilometre</t>
  </si>
  <si>
    <t>Kilometre per square Kilometre</t>
  </si>
  <si>
    <t>A conventional unit of measurement of linear density equal to one thousandth of a metre per square metre.</t>
  </si>
  <si>
    <t>joulePerMetre</t>
  </si>
  <si>
    <t>Joule per Metre</t>
  </si>
  <si>
    <t>The derived unit of measurement of linear energy transfer in the SI units system.</t>
  </si>
  <si>
    <t>joulePerKilometre</t>
  </si>
  <si>
    <t>Joule per Kilometre</t>
  </si>
  <si>
    <t>A conventional unit of measurement of linear energy transfer equal to one thousandth of a joule per metre.</t>
  </si>
  <si>
    <t>lumen</t>
  </si>
  <si>
    <t>Lumen</t>
  </si>
  <si>
    <t>The derived unit of measurement of luminious flux in the SI units system; a light source that uniformly radiates one candela in all directions radiates a total of 4pi lumens.</t>
  </si>
  <si>
    <t>candela</t>
  </si>
  <si>
    <t>Candela</t>
  </si>
  <si>
    <t>The base unit in SI for the physical quantity "luminous intensity", defined as the luminous intensity, in a given direction, of a source that emits monochromatic radiation of frequency 540x 10^12 hertz and that has a radiant intensity in that direction of 1/683 watt per steradian.</t>
  </si>
  <si>
    <t>weber</t>
  </si>
  <si>
    <t>Weber</t>
  </si>
  <si>
    <t>The derived unit of measurement of magnetic flux in the SI units system; it is the magnetic flux which, linking a circuit of one turn, would produce in it an electromotive force of 1 volt if it were reduced to zero at a uniform rate in 1 second.</t>
  </si>
  <si>
    <t>milliweber</t>
  </si>
  <si>
    <t>Milliweber</t>
  </si>
  <si>
    <t>A conventional unit of measurement of magnetic flux equal to one thousandth of a weber.</t>
  </si>
  <si>
    <t>microweber</t>
  </si>
  <si>
    <t>Microweber</t>
  </si>
  <si>
    <t>A conventional unit of measurement of magnetic flux equal to one millionth of a weber.</t>
  </si>
  <si>
    <t>nanoweber</t>
  </si>
  <si>
    <t>Nanoweber</t>
  </si>
  <si>
    <t>A conventional unit of measurement of magnetic flux equal to one billionth of a weber.</t>
  </si>
  <si>
    <t>tesla</t>
  </si>
  <si>
    <t>Tesla</t>
  </si>
  <si>
    <t>The derived unit of measurement of magnetic flux density in the SI units system; one tesla is equal to one weber per square metre.</t>
  </si>
  <si>
    <t>nanotesla</t>
  </si>
  <si>
    <t>Nanotesla</t>
  </si>
  <si>
    <t>A conventional unit of measurement of magnetic flux density equal to one billionth of a tesla.</t>
  </si>
  <si>
    <t>gauss</t>
  </si>
  <si>
    <t>Gauss</t>
  </si>
  <si>
    <t>A conventional unit of measurement of magnetic flux density equal to 0.0001 tesla; one gauss is defined as one maxwell per square centimetre.</t>
  </si>
  <si>
    <t>teslaPerMetre</t>
  </si>
  <si>
    <t>Tesla per Metre</t>
  </si>
  <si>
    <t>The derived unit of measurement of magnetic flux density gradient in the SI units system.</t>
  </si>
  <si>
    <t>nanoteslaPerMetre</t>
  </si>
  <si>
    <t>Nanotesla per Metre</t>
  </si>
  <si>
    <t>A conventional unit of measurement of magnetic flux density gradient equal to one billionth of a tesla per metre.</t>
  </si>
  <si>
    <t>tonne</t>
  </si>
  <si>
    <t>Tonne</t>
  </si>
  <si>
    <t>A conventional unit of measurement of mass equal to one thousand kilograms.</t>
  </si>
  <si>
    <t>kilogram</t>
  </si>
  <si>
    <t>Kilogram</t>
  </si>
  <si>
    <t>The base unit in SI for the physical quantity "mass", defined as equal to the mass of the international prototype of the kilogram.</t>
  </si>
  <si>
    <t>gram</t>
  </si>
  <si>
    <t>Gram</t>
  </si>
  <si>
    <t>A conventional unit of measurement of mass equal to 0.001 kilogram.</t>
  </si>
  <si>
    <t>milligram</t>
  </si>
  <si>
    <t>Milligram</t>
  </si>
  <si>
    <t>A conventional unit of measurement of mass equal to 0.000001 of a kilogram.</t>
  </si>
  <si>
    <t>microgram</t>
  </si>
  <si>
    <t>Microgram</t>
  </si>
  <si>
    <t>A conventional unit of measurement of mass equal to 0.000000001 of a kilogram.</t>
  </si>
  <si>
    <t>longTon</t>
  </si>
  <si>
    <t>Long Ton</t>
  </si>
  <si>
    <t>A conventional unit of measurement of mass equal to 2,240 pounts (1.016047 tonne or 1,016.047 kilograms).</t>
  </si>
  <si>
    <t>Imperial Ton</t>
  </si>
  <si>
    <t>shortTon</t>
  </si>
  <si>
    <t>Short Ton</t>
  </si>
  <si>
    <t>A conventional unit of measurement of mass equal to 2,000 pounts (0.9071847 tonne or 907.1847 kilograms).</t>
  </si>
  <si>
    <t>U.S. Ton</t>
  </si>
  <si>
    <t>pound</t>
  </si>
  <si>
    <t>Pound (mass)</t>
  </si>
  <si>
    <t>A conventional unit of measurement of mass equal to 0.45359237 kilograms.</t>
  </si>
  <si>
    <t>ounce</t>
  </si>
  <si>
    <t>Ounce</t>
  </si>
  <si>
    <t>A conventional unit of measurement of mass equal to one sixteenth of a pound (28.34952 grams).</t>
  </si>
  <si>
    <t>unifiedAtomicMassUnit</t>
  </si>
  <si>
    <t>Unified Atomic Mass Unit</t>
  </si>
  <si>
    <t>A conventional unit of measurement of mass that is experimentally determined to be equal to (1/12) of the mass of an atom of the nuclide carbon-14, approximately 1.660540e-27 kilograms.</t>
  </si>
  <si>
    <t>kilopound</t>
  </si>
  <si>
    <t>Kilopound</t>
  </si>
  <si>
    <t>A conventional unit of measurement of mass equal to 453.59237 kilograms.</t>
  </si>
  <si>
    <t>tonnePerCubicMetre</t>
  </si>
  <si>
    <t>Tonne per cubic Metre</t>
  </si>
  <si>
    <t>A conventional unit of measurement of mass density equal to one thousand kilograms per cubic metre.</t>
  </si>
  <si>
    <t>kilogramPerCubicMetre</t>
  </si>
  <si>
    <t>Kilogram per cubic Metre</t>
  </si>
  <si>
    <t>The derived unit of measurement of mass density in the SI units system.</t>
  </si>
  <si>
    <t>gramPerLitre</t>
  </si>
  <si>
    <t>Gram per Litre</t>
  </si>
  <si>
    <t>A conventional unit of measurement of mass density equal to one kilogram per cubic metre.</t>
  </si>
  <si>
    <t>gramPerCubicMetre</t>
  </si>
  <si>
    <t>Gram per cubic Metre</t>
  </si>
  <si>
    <t>A conventional unit of measurement of mass density equal to 0.001 kilograms per cubic metre.</t>
  </si>
  <si>
    <t>Milligram per Litre</t>
  </si>
  <si>
    <t>kilogramPerLitre</t>
  </si>
  <si>
    <t>Kilogram per Litre</t>
  </si>
  <si>
    <t>gramPerCubicCentimetre</t>
  </si>
  <si>
    <t>Gram per cubic Centimetre</t>
  </si>
  <si>
    <t>A conventional unit of measurement of mass density equal to a billionth of a kilogram per cubic metre.</t>
  </si>
  <si>
    <t>microgramPerCubicMetre</t>
  </si>
  <si>
    <t>Microgram per cubic Metre</t>
  </si>
  <si>
    <t>kilogramPerKilogram</t>
  </si>
  <si>
    <t>Kilogram per Kilogram</t>
  </si>
  <si>
    <t>The derived unit of measurement of mass fraction in the SI units system.</t>
  </si>
  <si>
    <t>gramPerKilogram</t>
  </si>
  <si>
    <t>Gram per Kilogram</t>
  </si>
  <si>
    <t>A conventional unit of measurement of mass fraction equal to one thousandth of a kilogram per kilogram.</t>
  </si>
  <si>
    <t>gramPerGram</t>
  </si>
  <si>
    <t>Gram per Gram</t>
  </si>
  <si>
    <t>A conventional unit of measurement of mass fraction equal to a kilogram per kilogram.</t>
  </si>
  <si>
    <t>kilogramPerSecond</t>
  </si>
  <si>
    <t>Kilogram per Second</t>
  </si>
  <si>
    <t>The derived unit of measurement of mass rate in the SI units system.</t>
  </si>
  <si>
    <t>tonnePerHour</t>
  </si>
  <si>
    <t>Tonne per Hour</t>
  </si>
  <si>
    <t>A conventional unit of measurement of mass rate that is approximately 0.277778 kilograms per second.</t>
  </si>
  <si>
    <t>tonnePerAnnum</t>
  </si>
  <si>
    <t>Tonne per Annum (tropical year)</t>
  </si>
  <si>
    <t>A conventional unit of measurement of mass rate that is approximately 0.000031686 kilograms per second.</t>
  </si>
  <si>
    <t>tonnePerDay</t>
  </si>
  <si>
    <t>Tonne per Day</t>
  </si>
  <si>
    <t>A conventional unit of measurement of mass rate that is approximately 0.01157408 kilograms per second.</t>
  </si>
  <si>
    <t>usDollar</t>
  </si>
  <si>
    <t>U.S. Dollar</t>
  </si>
  <si>
    <t>The unit of monetary exchange serving as legal tender in the United States, the dollar.</t>
  </si>
  <si>
    <t>euro</t>
  </si>
  <si>
    <t>Euro</t>
  </si>
  <si>
    <t>The unit of monetary exchange serving as legal tender in the European Union, the euro.</t>
  </si>
  <si>
    <t>poundSterling</t>
  </si>
  <si>
    <t>Pound Sterling</t>
  </si>
  <si>
    <t>The unit of monetary exchange serving as legal tender in the United Kingdom, the pound.</t>
  </si>
  <si>
    <t>The Pound Sterling is also legal tender in the Crown dependencies (the Isle of Man and the Channel Island bailiwicks of Jersey and Guernsey), and the British Overseas Territories of South Georgia and the South Sandwich Islands, British Antarctic Territory and British Indian Ocean Territory.</t>
  </si>
  <si>
    <t>flightLevel</t>
  </si>
  <si>
    <t>Flight Level</t>
  </si>
  <si>
    <t>A surface of constant atmospheric pressure that is related to a specific world-wide fixed pressure datum (1013.25 hectoPascal) and is separated from other such surfaces by specific pressure intervals.</t>
  </si>
  <si>
    <t>It is conventionally given a numerical value to the nearest 1000 feet in units of 100 feet in accordance with the structure of the International Civil Aviation Organization (ICAO) Standard Atmosphere. For example, the 500-hPa level is written as "FL 180" where the corresponding ICAO standard height is 18,289 feet.</t>
  </si>
  <si>
    <t>militaryLoadClass</t>
  </si>
  <si>
    <t>Military Load Class</t>
  </si>
  <si>
    <t>A dynamic live load weight-bearing capacity of a span of a horizontal construction that is calculated in accordance with STANAGs 2021 and 2253.</t>
  </si>
  <si>
    <t>The calculation is  based on the size, cross-sectional shape, and material of the longitudinal weight-bearing members of the span. It is similar to, but not the same as, the short ton.</t>
  </si>
  <si>
    <t>radian</t>
  </si>
  <si>
    <t>Radian</t>
  </si>
  <si>
    <t>The supplemental unit of measurement of plane angle in the SI units system.</t>
  </si>
  <si>
    <t>There are 2 pi radians in a full circle therefore a radian is approximately 57.2958 arc degrees.</t>
  </si>
  <si>
    <t>arcDecadegree</t>
  </si>
  <si>
    <t>Arc Decadegree</t>
  </si>
  <si>
    <t>A conventional unit of measurement of plane angle equal to pi/18 (10 arc degrees), approximately 0.1745532925199433 radians.</t>
  </si>
  <si>
    <t>Decadegree of Arc</t>
  </si>
  <si>
    <t>arcQuintdegree</t>
  </si>
  <si>
    <t>Arc Quintdegree</t>
  </si>
  <si>
    <t>A conventional unit of measurement of plane angle equal to pi/36 (5 arc degrees), approximately 0.08727664625997165 radians.</t>
  </si>
  <si>
    <t>Quintdegree of Arc</t>
  </si>
  <si>
    <t>arcDegree</t>
  </si>
  <si>
    <t>Arc Degree</t>
  </si>
  <si>
    <t>A conventional unit of measurement of plane angle equal to pi/180, approximately 0.01745532925199433 radians.</t>
  </si>
  <si>
    <t>Degree of Arc</t>
  </si>
  <si>
    <t>arcDecidegree</t>
  </si>
  <si>
    <t>Arc Decidegree</t>
  </si>
  <si>
    <t>A conventional unit of measurement of plane angle equal to one tenth of an arc degree, approximately 0.001745532925199433 radians.</t>
  </si>
  <si>
    <t>Decidegree of Arc</t>
  </si>
  <si>
    <t>arcCentidegree</t>
  </si>
  <si>
    <t>Arc Centidegree</t>
  </si>
  <si>
    <t>A conventional unit of measurement of plane angle equal to one hundredth of an arc degree, approximately 0.0001745532925199433 radians.</t>
  </si>
  <si>
    <t>Centidegree of Arc</t>
  </si>
  <si>
    <t>arcMillidegree</t>
  </si>
  <si>
    <t>Arc Millidegree</t>
  </si>
  <si>
    <t>A conventional unit of measurement of plane angle equal to one thousandth of an arc degree, approximately 0.00001745532925199433 radians.</t>
  </si>
  <si>
    <t>Millidegree of Arc</t>
  </si>
  <si>
    <t>arcDecimillidegree</t>
  </si>
  <si>
    <t>Arc Decimillidegree</t>
  </si>
  <si>
    <t>A conventional unit of measurement of plane angle equal to one ten-thousandth of an arc degree, approximately 0.0000017455329251994335 radians.</t>
  </si>
  <si>
    <t>Decimillidegree of Arc</t>
  </si>
  <si>
    <t>arcCentimilllidegree</t>
  </si>
  <si>
    <t>Arc Centimillidegree</t>
  </si>
  <si>
    <t>A conventional unit of measurement of plane angle equal to one hundred-thousandth of an arc degree, approximately 0.0000001745532925199433 radians.</t>
  </si>
  <si>
    <t>Centimillidegree of Arc</t>
  </si>
  <si>
    <t>arcMicrodegree</t>
  </si>
  <si>
    <t>Arc Microdegree</t>
  </si>
  <si>
    <t>A conventional unit of measurement of plane angle equal to one millionth of an arc degree, approximately 0.00000001745532925199433 radians.</t>
  </si>
  <si>
    <t>Microdegree of Arc</t>
  </si>
  <si>
    <t>arcMinute</t>
  </si>
  <si>
    <t>Arc Minute</t>
  </si>
  <si>
    <t>A conventional unit of measurement of plane angle equal to 1/60 of an arc degree, approximately 0.0002909221541999055 radians.</t>
  </si>
  <si>
    <t>Minute of Arc</t>
  </si>
  <si>
    <t>arcDeciminute</t>
  </si>
  <si>
    <t>Arc Deciminute</t>
  </si>
  <si>
    <t>A conventional unit of measurement of plane angle equal to one tenth of an arc minute, approximately 0.00002909221541999055 radians.</t>
  </si>
  <si>
    <t>Deciminute of Arc</t>
  </si>
  <si>
    <t>arcCentiminute</t>
  </si>
  <si>
    <t>Arc Centiminute</t>
  </si>
  <si>
    <t>A conventional unit of measurement of plane angle equal to one hundredth of an arc minute, approximately 0.000002909221541999055 radians.</t>
  </si>
  <si>
    <t>Centiminute of Arc</t>
  </si>
  <si>
    <t>arcMilliminute</t>
  </si>
  <si>
    <t>Arc Milliminute</t>
  </si>
  <si>
    <t>A conventional unit of measurement of plane angle equal to one thousandth of an arc minute, approximately 0.0000002909221541999055 radians.</t>
  </si>
  <si>
    <t>Milliminute of Arc</t>
  </si>
  <si>
    <t>arcDecimilliminute</t>
  </si>
  <si>
    <t>Arc Decimilliminute</t>
  </si>
  <si>
    <t>A conventional unit of measurement of plane angle equal to one ten thousandth of an arc minute, approximately 0.00000002909221541999055 radians.</t>
  </si>
  <si>
    <t>Decimilliminute of Arc</t>
  </si>
  <si>
    <t>arcSecond</t>
  </si>
  <si>
    <t>Arc Second</t>
  </si>
  <si>
    <t>A conventional unit of measurement of plane angle equal to 1/60 of an arc minute, approximately 0.000004848702569998425 radians.</t>
  </si>
  <si>
    <t>Second of Arc</t>
  </si>
  <si>
    <t>arcDecisecond</t>
  </si>
  <si>
    <t>Arc Decisecond</t>
  </si>
  <si>
    <t>A conventional unit of measurement of plane angle equal to one tenth of an arc second, approximately 0.0000004848702569998425 radians.</t>
  </si>
  <si>
    <t>Decisecond of Arc</t>
  </si>
  <si>
    <t>arcCentisecond</t>
  </si>
  <si>
    <t>Arc Centisecond</t>
  </si>
  <si>
    <t>A conventional unit of measurement of plane angle equal to one hundredth of an arc second, approximately 0.00000004848702569998425 radians.</t>
  </si>
  <si>
    <t>Centisecond of Arc</t>
  </si>
  <si>
    <t>arcMillisecond</t>
  </si>
  <si>
    <t>Arc Millisecond</t>
  </si>
  <si>
    <t>A conventional unit of measurement of plane angle equal to one thousandth of an arc second, approximately 0.000000004848702569998425 radians.</t>
  </si>
  <si>
    <t>Millisecond of Arc</t>
  </si>
  <si>
    <t>grad</t>
  </si>
  <si>
    <t>Grad</t>
  </si>
  <si>
    <t>A conventional unit of measurement of plane angle equal to 1/400 of a full circle, approximately 0.01570796 radians.</t>
  </si>
  <si>
    <t>There are 100 grads in a right angle (90 arc degrees).</t>
  </si>
  <si>
    <t>hectomil</t>
  </si>
  <si>
    <t>Hectomil</t>
  </si>
  <si>
    <t>A conventional unit of measurement of plane angle equal to 1/64 of a full circle, approximately 0.09818622704246810625 radians (slightly less than one tenth of a radian).</t>
  </si>
  <si>
    <t>Exactly equal to 5.625 arc degrees.</t>
  </si>
  <si>
    <t>decamil</t>
  </si>
  <si>
    <t>Decamil</t>
  </si>
  <si>
    <t>A conventional unit of measurement of plane angle equal to 1/640 of a full circle, approximately 0.009818622704246810625 radians (slightly less than one hundredth of a radian).</t>
  </si>
  <si>
    <t>Exactly equal to 0.5625 arc degrees or 33.75 arc minutes.</t>
  </si>
  <si>
    <t>mil</t>
  </si>
  <si>
    <t>Mil</t>
  </si>
  <si>
    <t>A conventional unit of measurement of plane angle equal to 1/6400 of a full circle, approximately 0.0009818622704246810625 radians (slightly less than one thousandth of a radian).</t>
  </si>
  <si>
    <t>Exactly equal to 0.05625 arc degrees, 3.375 arc minutes, or 202.5 arc seconds.</t>
  </si>
  <si>
    <t>millimil</t>
  </si>
  <si>
    <t>Millimil</t>
  </si>
  <si>
    <t>A conventional unit of measurement of plane angle equal to one thousandth of 1/6400 of a full circle, approximately 0.0000009818622704246810625 radians (slightly less than one millionth of a radian).</t>
  </si>
  <si>
    <t>Exactly equal to 0.00005625 arc degrees, 0.003375 arc minutes, or 0.2025 arc seconds.</t>
  </si>
  <si>
    <t>megawatt</t>
  </si>
  <si>
    <t>Megawatt</t>
  </si>
  <si>
    <t>A conventional unit of measurement of power equal to one million watts.</t>
  </si>
  <si>
    <t>kilowatt</t>
  </si>
  <si>
    <t>Kilowatt</t>
  </si>
  <si>
    <t>A conventional unit of measurement of power equal to one thousand watts.</t>
  </si>
  <si>
    <t>watt</t>
  </si>
  <si>
    <t>Watt</t>
  </si>
  <si>
    <t>The derived unit of measurement of power in the SI units system.</t>
  </si>
  <si>
    <t>milliwatt</t>
  </si>
  <si>
    <t>Milliwatt</t>
  </si>
  <si>
    <t>A conventional unit of measurement of power equal to one thousandth of a watt.</t>
  </si>
  <si>
    <t>microwatt</t>
  </si>
  <si>
    <t>Microwatt</t>
  </si>
  <si>
    <t>A conventional unit of measurement of power equal to one millionth of a watt.</t>
  </si>
  <si>
    <t>horsepowerElectric</t>
  </si>
  <si>
    <t>Horsepower (electric)</t>
  </si>
  <si>
    <t>A conventional unit of measurement of power used in rating electric motors equal to 746 watts.</t>
  </si>
  <si>
    <t>horsepowerMechanic</t>
  </si>
  <si>
    <t>Horsepower (mechanic)</t>
  </si>
  <si>
    <t>A conventional unit of measurement of power used in rating mechanical systems equal to 550 ft lbf/s (745.6999 watts).</t>
  </si>
  <si>
    <t>horsepowerMetric</t>
  </si>
  <si>
    <t>Horsepower (metric)</t>
  </si>
  <si>
    <t>A conventional unit of measurement of power (75 kgf-metre per second) equal to 735.49875 watts.</t>
  </si>
  <si>
    <t>kgForceMetrePerSecond</t>
  </si>
  <si>
    <t>Kilogram-force Metre per Second</t>
  </si>
  <si>
    <t>A conventional unit of measurement of power equal to 9.80665 watts.</t>
  </si>
  <si>
    <t>footPoundForcePerSecond</t>
  </si>
  <si>
    <t>Foot Pound-force per Second</t>
  </si>
  <si>
    <t>A conventional unit of measurement of power equal to 1.355818 watts.</t>
  </si>
  <si>
    <t>gigajoulePerAnnum</t>
  </si>
  <si>
    <t>Gigajoule per Annum (tropical year)</t>
  </si>
  <si>
    <t>A conventional unit of measurement of power that is approximately 31.6863 watts.</t>
  </si>
  <si>
    <t>kilowattHourPerAnnum</t>
  </si>
  <si>
    <t>Kilowatt Hour per Annum (tropical year)</t>
  </si>
  <si>
    <t>A conventional unit of measurement of power that is approximately 0.11407 watts.</t>
  </si>
  <si>
    <t>voltAmpere</t>
  </si>
  <si>
    <t>Volt-ampere</t>
  </si>
  <si>
    <t>A conventional unit of measurement of apparent electric power equal to the product of root-mean-square (RMS) voltage and RMS electric current; in direct current (DC) or resistive alternating current (AC) circuits, this product is equal to the real power (active power) in watts.</t>
  </si>
  <si>
    <t>Volt-amperes (apparent power) are useful only in the context of reactive AC circuits where the voltage and current are out of phase and the volt-ampere value will be greater than the watt value. Volt-amperes are important for determining capacity for the components of an AC electrical system (for example: wiring and circuit breakers).</t>
  </si>
  <si>
    <t>kilovoltAmpere</t>
  </si>
  <si>
    <t>Kilovolt-ampere</t>
  </si>
  <si>
    <t>A conventional unit of measurement of apparent electric power equal to one thousand volt-amperes.</t>
  </si>
  <si>
    <t>neper</t>
  </si>
  <si>
    <t>Neper</t>
  </si>
  <si>
    <t>A dimensionless natural logarithm of a power level difference (power quantity ratio) in the SI units system; 1 neper is the level of a power quantity when 1/2 ln(P/Psub0) = 1 where P and Psub0 represent two powers of the same kind, the denominator Psub0 being a reference power.</t>
  </si>
  <si>
    <t>bel</t>
  </si>
  <si>
    <t>Bel</t>
  </si>
  <si>
    <t>A dimensionless common logarithm (base 10) of a power level difference (power quantity ratio) that is approximately 1.151293 neper; 1 bel is the level of a power quantity when lg(P/Psub0) = 1 where P and Psub0 represent two power values, the denominator Psub0 being a reference power.</t>
  </si>
  <si>
    <t>decibel</t>
  </si>
  <si>
    <t>Decibel</t>
  </si>
  <si>
    <t>A conventional unit of measurement of power level difference (power quantity ratio) equal to 0.1 bel, approximately 0.1151293 neper.</t>
  </si>
  <si>
    <t>neperPerMetre</t>
  </si>
  <si>
    <t>Neper per Metre</t>
  </si>
  <si>
    <t>The derived unit of measurement of power level difference (power quantity ratio) change per unit distance in the SI units system.</t>
  </si>
  <si>
    <t>The power level difference is a dimensionless natural logarithm of a power quantity ratio; 1 neper is the level of a power quantity when 1/2 ln(P/Psub0) = 1 where P and Psub0 represent two powers of the same kind, the denominator Psub0 being a reference power.</t>
  </si>
  <si>
    <t>belPerMetre</t>
  </si>
  <si>
    <t>Bel per Metre</t>
  </si>
  <si>
    <t>A conventional unit of measurement of power level difference (power quantity ratio) length gradient that is approximately 1.151293 neper per metre.</t>
  </si>
  <si>
    <t>The power level difference is a dimensionless common logarithm (base 10) of a power quantity ratio; 1 bel is the level of a power quantity when lg(P/Psub0) = 1 where P and Psub0 represent two power values, the denominator Psub0 being a reference power.</t>
  </si>
  <si>
    <t>decibelPerMetre</t>
  </si>
  <si>
    <t>Decibel per Metre</t>
  </si>
  <si>
    <t>A conventional unit of measurement of power level difference (power quantity ratio) length gradient equal to 0.1 bel per metre, approximately 0.1151293 neper per metre.</t>
  </si>
  <si>
    <t>megaPascal</t>
  </si>
  <si>
    <t>Megapascal</t>
  </si>
  <si>
    <t>A conventional unit of measurement of pressure equal to one million pascal.</t>
  </si>
  <si>
    <t>kiloPascal</t>
  </si>
  <si>
    <t>Kilopascal</t>
  </si>
  <si>
    <t>A conventional unit of measurement of pressure equal to one thousand pascal.</t>
  </si>
  <si>
    <t>hectoPascal</t>
  </si>
  <si>
    <t>Hectopascal</t>
  </si>
  <si>
    <t>A conventional unit of measurement of pressure equal to one hundred pascal.</t>
  </si>
  <si>
    <t>pascal</t>
  </si>
  <si>
    <t>Pascal</t>
  </si>
  <si>
    <t>The derived unit of measurement of pressure in the SI units system; it is a measure of force per unit area, defined as one newton per square metre.</t>
  </si>
  <si>
    <t>Newtons per square Metre</t>
  </si>
  <si>
    <t>kilobar</t>
  </si>
  <si>
    <t>Kilobar</t>
  </si>
  <si>
    <t>A conventional unit of measurement of pressure equal to one thousand bar (100,000,000 pascal).</t>
  </si>
  <si>
    <t>bar</t>
  </si>
  <si>
    <t>Bar</t>
  </si>
  <si>
    <t>A conventional unit of measurement of pressure equal to one hundred kilopascal (100,000 pascal).</t>
  </si>
  <si>
    <t>centibar</t>
  </si>
  <si>
    <t>Centibar</t>
  </si>
  <si>
    <t>A conventional unit of measurement of pressure equal to one hundredth of a bar (1,000 pascal).</t>
  </si>
  <si>
    <t>millibar</t>
  </si>
  <si>
    <t>Millibar</t>
  </si>
  <si>
    <t>A conventional unit of measurement of pressure equal to one thousandth of a bar (100 pascal).</t>
  </si>
  <si>
    <t>standardAtmosphere</t>
  </si>
  <si>
    <t>Standard Atmosphere</t>
  </si>
  <si>
    <t>A conventional unit of measurement of pressure equal to 101,325 Pascal.</t>
  </si>
  <si>
    <t>kilogramForcePerSquareMetre</t>
  </si>
  <si>
    <t>Kilogram-force per Square Metre</t>
  </si>
  <si>
    <t>A conventional unit of measurement of pressure equal to 9.80665 pascal.</t>
  </si>
  <si>
    <t>poundForcePerSquareInch</t>
  </si>
  <si>
    <t>Pound-force per Square Inch</t>
  </si>
  <si>
    <t>A conventional unit of measurement of pressure equal to 6,894.76 pascal.</t>
  </si>
  <si>
    <t>torr</t>
  </si>
  <si>
    <t>Torr</t>
  </si>
  <si>
    <t>A conventional unit of measurement of pressure equal to 1/760 of a standard atmosphere (133.3224 pascal).</t>
  </si>
  <si>
    <t>millimetresOfMercury</t>
  </si>
  <si>
    <t>Millimetres of Mercury</t>
  </si>
  <si>
    <t>A conventional unit of measurement of pressure equal to one torr (133.3224 Pascal).</t>
  </si>
  <si>
    <t>unitless</t>
  </si>
  <si>
    <t>Unitless</t>
  </si>
  <si>
    <t>A dimensionless physical quantity, one which has no unit of measure.</t>
  </si>
  <si>
    <t>ratio</t>
  </si>
  <si>
    <t>Ratio</t>
  </si>
  <si>
    <t>A scaled dimensionless measure denoting an equivalence (1:1) ratio.</t>
  </si>
  <si>
    <t>percent</t>
  </si>
  <si>
    <t>Percent</t>
  </si>
  <si>
    <t>A scaled dimensionless measure denoting one part in every hundred.</t>
  </si>
  <si>
    <t>partsPerMillion</t>
  </si>
  <si>
    <t>Parts per Million</t>
  </si>
  <si>
    <t>A scaled dimensionless measure denoting one part in every million.</t>
  </si>
  <si>
    <t>partsPerBillion</t>
  </si>
  <si>
    <t>Parts per Billion</t>
  </si>
  <si>
    <t>A scaled dimensionless measure denoting one part in every billion.</t>
  </si>
  <si>
    <t>partsPerThousand</t>
  </si>
  <si>
    <t>Parts per Thousand</t>
  </si>
  <si>
    <t>A scaled dimensionless measure denoting one part in every thousand.</t>
  </si>
  <si>
    <t>partsPerTrillion</t>
  </si>
  <si>
    <t>Parts per Trillion</t>
  </si>
  <si>
    <t>A scaled dimensionless measure denoting one part in every trillion.</t>
  </si>
  <si>
    <t>gray</t>
  </si>
  <si>
    <t>Gray</t>
  </si>
  <si>
    <t>The derived unit of measurement of absorbed radiation dose in the SI units system; it is the absorption of one joule of energy, in the form of ionizing radiation, by one kilogram of matter.</t>
  </si>
  <si>
    <t>A conventional unit of measurement of absorbed radiation dose equal to 0.01 gray.</t>
  </si>
  <si>
    <t>rad</t>
  </si>
  <si>
    <t>sievert</t>
  </si>
  <si>
    <t>Sievert</t>
  </si>
  <si>
    <t>The derived unit of measurement of equivalent absorbed radiation dose in the SI units system; it reflects the biological effects of radiation as opposed to the physical aspects, which are characterised by the absorbed radiation dose (measured in gray).</t>
  </si>
  <si>
    <t>rontgenEquivalentMan</t>
  </si>
  <si>
    <t>Rontgen Equivalent in Man</t>
  </si>
  <si>
    <t>A conventional unit of measurement of equivalent absorbed radiation dose equal to 0.01 sievert.</t>
  </si>
  <si>
    <t>rem</t>
  </si>
  <si>
    <t>gigabecquerel</t>
  </si>
  <si>
    <t>Gigabecquerel</t>
  </si>
  <si>
    <t>A conventional unit of measurement of radionuclide activity (radioactivity) that is 1,000,000,000.0 becquerels.</t>
  </si>
  <si>
    <t>megabecquerel</t>
  </si>
  <si>
    <t>Megabecquerel</t>
  </si>
  <si>
    <t>A conventional unit of measurement of radionuclide activity (radioactivity) that is 1,000,000.0 becquerels.</t>
  </si>
  <si>
    <t>kilobecquerel</t>
  </si>
  <si>
    <t>Kilobecquerel</t>
  </si>
  <si>
    <t>A conventional unit of measurement of radionuclide activity (radioactivity) that is 1,000.0 becquerels.</t>
  </si>
  <si>
    <t>becquerel</t>
  </si>
  <si>
    <t>Becquerel</t>
  </si>
  <si>
    <t>The derived unit of measurement of radionuclide activity (radioactivity) in the SI units system; it is the activity of a quantity of radioactive material in which one nucleus decays per second.</t>
  </si>
  <si>
    <t>perSecond</t>
  </si>
  <si>
    <t>per Second</t>
  </si>
  <si>
    <t>A scaled dimensionless rate denoting one part in one second.</t>
  </si>
  <si>
    <t>perMinute</t>
  </si>
  <si>
    <t>per Minute</t>
  </si>
  <si>
    <t>A scaled dimensionless rate denoting one part in one minute, that time which is 60 seconds in duration.</t>
  </si>
  <si>
    <t>perHour</t>
  </si>
  <si>
    <t>per Hour</t>
  </si>
  <si>
    <t>A scaled dimensionless rate denoting one part in one hour, that time which is 60 minutes in duration, being 3600 seconds.</t>
  </si>
  <si>
    <t>perDay</t>
  </si>
  <si>
    <t>per Day</t>
  </si>
  <si>
    <t>A scaled dimensionless rate denoting one part in one day, that time which is 24 hours in duration, being 86,400 seconds.</t>
  </si>
  <si>
    <t>perAnnum</t>
  </si>
  <si>
    <t>per Annum (tropical year)</t>
  </si>
  <si>
    <t>A scaled dimensionless rate denoting one part in one tropical year, that time which the Sun takes to return to the same position in the cycle of seasons as seen from Earth, that was 365.270535606 days in duration at noon 1 January 2000 (J2000.0), being 31559374.2763456 seconds at that time.</t>
  </si>
  <si>
    <t>percentPerAnnum</t>
  </si>
  <si>
    <t>Percent per Annum (tropical year)</t>
  </si>
  <si>
    <t>A scaled dimensionless rate denoting one part in every hundred in one tropical year, that time which the Sun takes to return to the same position in the cycle of seasons as seen from Earth, that was 365.270535606 days in duration at noon 1 January 2000 (J2000.0), being 31559374.2763456 seconds at that time.</t>
  </si>
  <si>
    <t>partsPerThousandPerAnnum</t>
  </si>
  <si>
    <t>Parts per Thousand per Annum (tropical year)</t>
  </si>
  <si>
    <t>A scaled dimensionless rate denoting one part in every thousand in one tropical year, that time which the Sun takes to return to the same position in the cycle of seasons as seen from Earth, that was 365.270535606 days in duration at noon 1 January 2000 (J2000.0), being 31559374.2763456 seconds at that time.</t>
  </si>
  <si>
    <t>perSquareMetre</t>
  </si>
  <si>
    <t>Reciprocal Square Metre</t>
  </si>
  <si>
    <t>The derived unit of measurement of inverse (reciprocal) area in the SI units system.</t>
  </si>
  <si>
    <t>perSquareKilometre</t>
  </si>
  <si>
    <t>Reciprocal Square Kilometre</t>
  </si>
  <si>
    <t>A conventional unit of measurement of inverse (reciprocal) area that is one millionth per square metre.</t>
  </si>
  <si>
    <t>perSquareStatuteMile</t>
  </si>
  <si>
    <t>Reciprocal Square Statute Mile</t>
  </si>
  <si>
    <t>A conventional unit of measurement of inverse (reciprocal) area that is approximately 0.000386102 per square kilometre (3.86102 x 10^-10 per square metre).</t>
  </si>
  <si>
    <t>reciprocalSecond</t>
  </si>
  <si>
    <t>Reciprocal Second</t>
  </si>
  <si>
    <t>The derived unit of measurement of inverse (reciprocal) time in the SI units system.</t>
  </si>
  <si>
    <t>reciprocalMinute</t>
  </si>
  <si>
    <t>Reciprocal Minute</t>
  </si>
  <si>
    <t>A conventional unit of measurement of inverse (reciprocal) time based on the minute, that time which is 60 seconds in duration.</t>
  </si>
  <si>
    <t>reciprocalHour</t>
  </si>
  <si>
    <t>Reciprocal Hour</t>
  </si>
  <si>
    <t>A conventional unit of measurement of inverse (reciprocal) time based on the hour, that time which is 60 minutes in duration, being 3600 seconds.</t>
  </si>
  <si>
    <t>reciprocalDay</t>
  </si>
  <si>
    <t>Reciprocal Day</t>
  </si>
  <si>
    <t>A conventional unit of measurement of inverse (reciprocal) time based on the day, that time which is 24 hours in duration, being 86,400 seconds.</t>
  </si>
  <si>
    <t>reciprocalYear</t>
  </si>
  <si>
    <t>Reciprocal (tropical) Year</t>
  </si>
  <si>
    <t>A conventional unit of measurement of inverse (reciprocal) time based on the tropical year, that time which the Sun takes to return to the same position in the cycle of seasons as seen from Earth, that was 365.270535606 days in duration at noon 1 January 2000 (J2000.0), being 31559374.2763456 seconds at that time.</t>
  </si>
  <si>
    <t>steradian</t>
  </si>
  <si>
    <t>Steradian</t>
  </si>
  <si>
    <t>The supplemental unit of measurement of solid angle in the SI units system; the solid angle subtended at the center of a sphere by a portion of the surface of that sphere whose area equals the square of the radius of the sphere.</t>
  </si>
  <si>
    <t>machNumber</t>
  </si>
  <si>
    <t>Mach Number</t>
  </si>
  <si>
    <t>The physical quantity that is the ratio of the speed of an object to the speed of sound in the surrounding medium, being a dimensionless measure.</t>
  </si>
  <si>
    <t>deciMachNumber</t>
  </si>
  <si>
    <t>Decimach Number</t>
  </si>
  <si>
    <t>A conventional unit of measurement equal to one tenth of the ratio of the speed of an object to the speed of sound in the surrounding medium.</t>
  </si>
  <si>
    <t>metrePerSecond</t>
  </si>
  <si>
    <t>Metre per Second</t>
  </si>
  <si>
    <t>The derived unit of measurement of speed in the SI units system.</t>
  </si>
  <si>
    <t>decimetrePerSecond</t>
  </si>
  <si>
    <t>Decimetre per Second</t>
  </si>
  <si>
    <t>A conventional unit of measurement of speed equal to 0.1 metres per second.</t>
  </si>
  <si>
    <t>kilometrePerHour</t>
  </si>
  <si>
    <t>Kilometre per Hour</t>
  </si>
  <si>
    <t>A conventional unit of measurement of speed equal to 0.277778 metres per second.</t>
  </si>
  <si>
    <t>hectometrePerHour</t>
  </si>
  <si>
    <t>Hectometre per Hour</t>
  </si>
  <si>
    <t>A conventional unit of measurement of speed equal to 0.0277778 metres per second.</t>
  </si>
  <si>
    <t>decaknot</t>
  </si>
  <si>
    <t>Decaknot</t>
  </si>
  <si>
    <t>A conventional unit of measurement of speed that is ten nautical miles per hour, being 5.14444 metres per second.</t>
  </si>
  <si>
    <t>Exactly 18.52 kilometres per hour.</t>
  </si>
  <si>
    <t>knot</t>
  </si>
  <si>
    <t>Knot</t>
  </si>
  <si>
    <t>A conventional unit of measurement of speed that is one nautical mile per hour, being 0.514444 metres per second.</t>
  </si>
  <si>
    <t>Exactly 1.852 kilometres per hour.</t>
  </si>
  <si>
    <t>statuteMilePerHour</t>
  </si>
  <si>
    <t>Statute Mile per Hour</t>
  </si>
  <si>
    <t>A conventional unit of measurement of speed equal to 0.44704 metres per second.</t>
  </si>
  <si>
    <t>footPerSecond</t>
  </si>
  <si>
    <t>Foot per Second</t>
  </si>
  <si>
    <t>A conventional unit of measurement of speed equal to 0.3048 metres per second.</t>
  </si>
  <si>
    <t>dataMilePerHour</t>
  </si>
  <si>
    <t>Data Mile per Hour</t>
  </si>
  <si>
    <t>A conventional unit of measurement of speed used in Variable Message Format (VMF), being 6000 feet per hour (0.508 metres per second).</t>
  </si>
  <si>
    <t>kilometrePerDay</t>
  </si>
  <si>
    <t>Kilometre per Day</t>
  </si>
  <si>
    <t>A conventional unit of measurement of speed equal to 0.011574 metres per second.</t>
  </si>
  <si>
    <t>metrePerDay</t>
  </si>
  <si>
    <t>Metre per Day</t>
  </si>
  <si>
    <t>A conventional unit of measurement of speed equal to 0.000011574 metres per second.</t>
  </si>
  <si>
    <t>millimetrePerDay</t>
  </si>
  <si>
    <t>Millimetre per Day</t>
  </si>
  <si>
    <t>A conventional unit of measurement of speed equal to 0.000000011574 metres per second.</t>
  </si>
  <si>
    <t>millimetrePerHour</t>
  </si>
  <si>
    <t>Millimetre per Hour</t>
  </si>
  <si>
    <t>A conventional unit of measurement of speed equal to 0.000000277776 metres per second.</t>
  </si>
  <si>
    <t>kilogramPerSqMetreSecond</t>
  </si>
  <si>
    <t>Kilogram per Square Metre Second</t>
  </si>
  <si>
    <t>The derived unit of measurement of surface mass density rate in the SI units system.</t>
  </si>
  <si>
    <t>microgramPerSqMetreSecond</t>
  </si>
  <si>
    <t>Microgram per Square Metre Second</t>
  </si>
  <si>
    <t>A conventional unit of measurement of surface mass density rate equal to 0.000000001 kilogram per square metre second.</t>
  </si>
  <si>
    <t>kelvin</t>
  </si>
  <si>
    <t>Kelvin</t>
  </si>
  <si>
    <t>The base unit in SI for the physical quantity "thermodynamic temperature", defined as the fraction 1/273.16 of the thermodynamic temperature of the triple point of water.</t>
  </si>
  <si>
    <t>degreeCelsius</t>
  </si>
  <si>
    <t>Degree Celsius</t>
  </si>
  <si>
    <t>A conventional unit of measurement of thermodynamic temperature, based absolute zero and the freezing (triple point) point of water (those points being 273.16 degrees Celsius in separation), that is related to Kelvin by absolute zero being -273.15 degrees Celsius; the triple point of water is 0.01 degrees Celsius whereas the boiling point of water at 1 atmosphere pressure is 99.9839 degrees Celsius.</t>
  </si>
  <si>
    <t>Centigrade</t>
  </si>
  <si>
    <t>degreeFahrenheit</t>
  </si>
  <si>
    <t>Degree Fahrenheit</t>
  </si>
  <si>
    <t>A conventional unit of measurement of thermodynamic temperature, based on the freezing and boiling points of water (those points being 180 degrees Fahrenheit in separation), that is related to Kelvin by absolute zero being -459.67 degrees Fahrenheit; the triple point of water is 32.018 degrees Fahrenheit whereas the boiling point of water at 1 atmosphere pressure is 211.9710 degrees Fahrenheit.</t>
  </si>
  <si>
    <t>tropicalYear</t>
  </si>
  <si>
    <t>Tropical Year</t>
  </si>
  <si>
    <t>A conventional unit of measurement of time, that which the Sun takes to return to the same position in the cycle of seasons as seen from Earth, that was 365.270535606 days in duration at noon 1 January 2000 (J2000.0), being 31559374.2763456 seconds at that time.</t>
  </si>
  <si>
    <t>Annum</t>
  </si>
  <si>
    <t>siderealYear</t>
  </si>
  <si>
    <t>Sidereal Year</t>
  </si>
  <si>
    <t>A conventional unit of measurement of time, that taken by the Earth to orbit the Sun once with respect to the fixed stars, that was 365.256363004 days in duration at noon 1 January 2000 (J2000.0), being 31558149.7635456 seconds at that time.</t>
  </si>
  <si>
    <t>week</t>
  </si>
  <si>
    <t>Week</t>
  </si>
  <si>
    <t>A conventional unit of measurement of time that is 7 days in duration, being 604,800 seconds.</t>
  </si>
  <si>
    <t>day</t>
  </si>
  <si>
    <t>Day</t>
  </si>
  <si>
    <t>A conventional unit of measurement of time that is 24 hours in duration, being 86,400 seconds.</t>
  </si>
  <si>
    <t>hour</t>
  </si>
  <si>
    <t>Hour</t>
  </si>
  <si>
    <t>A conventional unit of measurement of time that is 60 minutes in duration, being 3600 seconds.</t>
  </si>
  <si>
    <t>minute</t>
  </si>
  <si>
    <t>Minute</t>
  </si>
  <si>
    <t>A conventional unit of measurement of time that is 60 seconds in duration.</t>
  </si>
  <si>
    <t>second</t>
  </si>
  <si>
    <t>Second</t>
  </si>
  <si>
    <t>The base unit in SI for the physical quantity "time", defined as the duration of 9,192,631,770 periods of the radiation corresponding to the transition between the two hyperfine levels of the ground state of the caesium 133 atom.</t>
  </si>
  <si>
    <t>millisecond</t>
  </si>
  <si>
    <t>Millsecond</t>
  </si>
  <si>
    <t>A conventional unit of measurement of time that is 0.001 seconds in duration.</t>
  </si>
  <si>
    <t>cubicMetre</t>
  </si>
  <si>
    <t>Cubic Metre</t>
  </si>
  <si>
    <t>The derived unit of measurement of volume in the SI units system.</t>
  </si>
  <si>
    <t>cubicDecimetre</t>
  </si>
  <si>
    <t>Cubic Decimetre</t>
  </si>
  <si>
    <t>A conventional unit of measurement of volume whose dimensions are one decimetre on each side, equal to one thousandth of a cubic metre.</t>
  </si>
  <si>
    <t>cubicCentimetre</t>
  </si>
  <si>
    <t>Cubic Centimetre</t>
  </si>
  <si>
    <t>A conventional unit of measurement of volume whose dimensions are one centimetre on each side, equal to one millionth of a cubic metre.</t>
  </si>
  <si>
    <t>cubicMillimetre</t>
  </si>
  <si>
    <t>Cubic Millimetre</t>
  </si>
  <si>
    <t>A conventional unit of measurement of volume whose dimensions are one millimetre on each side, equal to one billionth of a cubic metre.</t>
  </si>
  <si>
    <t>cubicYard</t>
  </si>
  <si>
    <t>Cubic Yard</t>
  </si>
  <si>
    <t>A conventional unit of measurement of volume whose dimensions are one yard on each side, 0.76445549 cubic metres.</t>
  </si>
  <si>
    <t>cubicFoot</t>
  </si>
  <si>
    <t>Cubic Foot</t>
  </si>
  <si>
    <t>A conventional unit of measurement of volume whose dimensions are one foot on each side, 0.02831685 cubic metres.</t>
  </si>
  <si>
    <t>cubicInch</t>
  </si>
  <si>
    <t>Cubic Inch</t>
  </si>
  <si>
    <t>A conventional unit of measurement of volume whose dimensions are one inch on each side, 0.000016387064 cubic metres.</t>
  </si>
  <si>
    <t>litre</t>
  </si>
  <si>
    <t>Litre</t>
  </si>
  <si>
    <t>A special name for a cubic decimetre, being a conventional unit of measurement of liquid volume whose dimensions are one decimetre on each side, equal to one thousandth of a cubic metre.</t>
  </si>
  <si>
    <t>decilitre</t>
  </si>
  <si>
    <t>Decilitre</t>
  </si>
  <si>
    <t>A conventional unit of measurement of liquid volume equal to one tenth of a liter and one ten-thousandth of a cubic metre.</t>
  </si>
  <si>
    <t>millilitre</t>
  </si>
  <si>
    <t>Millilitre</t>
  </si>
  <si>
    <t>A special name for a cubic centimetre, being a conventional unit of measurement of liquid volume whose dimensions are one centimetre on each side, equal to one millionth of a cubic metre.</t>
  </si>
  <si>
    <t>usGallon</t>
  </si>
  <si>
    <t>U.S. Gallon</t>
  </si>
  <si>
    <t>A conventional unit of measurement of liquid volume that is 231 cubic inches in dimension, 0.003785412 cubic metres.</t>
  </si>
  <si>
    <t>usQuart</t>
  </si>
  <si>
    <t>U.S. Quart</t>
  </si>
  <si>
    <t>A conventional unit of measurement of liquid volume that is 1/4 of a U.S. gallon, being 0.000946353 cubic metres.</t>
  </si>
  <si>
    <t>usPint</t>
  </si>
  <si>
    <t>U.S. Pint</t>
  </si>
  <si>
    <t>A conventional unit of measurement of liquid volume that is 1/2 of a U.S. quart, being 0.0004731765 cubic metres.</t>
  </si>
  <si>
    <t>usCup</t>
  </si>
  <si>
    <t>U.S. Cup</t>
  </si>
  <si>
    <t>A conventional unit of measurement of liquid volume that is 1/2 of a U.S. pint, being 0.00023658825 cubic metres.</t>
  </si>
  <si>
    <t>usFluidOunce</t>
  </si>
  <si>
    <t>U.S. Fluid Ounce</t>
  </si>
  <si>
    <t>A conventional unit of measurement of liquid volume that is 1/8 of a U.S. pint, being 0.00002957353 cubic metres.</t>
  </si>
  <si>
    <t>usBarrelOil</t>
  </si>
  <si>
    <t>U.S. Barrel (oil)</t>
  </si>
  <si>
    <t>A conventional unit of measurement of liquid volume that is 42 U.S. gallons, being approximately 0.158987294928 cubic metres.</t>
  </si>
  <si>
    <t>Because oil changes in volume depending upon its pressure and temperature, and the standard temperatures differ slightly between the American conventional and international metric systems, the volume must be corrected to standard conditions for temperature and pressure if an extremely accurate conversion to metric is required. The American Petroleum Institute (API) has adopted the convention that if oil is measured in oil barrels, it will be at 14.696 pounds per square inch (psi) and 60 degrees Fahrenheit, whereas if it is measured in cubic metres, it will be at 101.325 kilopascals (kPa) and 15 degrees Centigrade (or in some cases 20 degrees Centigrade; ignoring the difference may introduce an error of around 0.4 percent).</t>
  </si>
  <si>
    <t>cubicMetrePerSecond</t>
  </si>
  <si>
    <t>Cubic Metre per Second</t>
  </si>
  <si>
    <t>The derived unit of measurement of volume flow rate in the SI units system.</t>
  </si>
  <si>
    <t>litrePerSecond</t>
  </si>
  <si>
    <t>Litre per Second</t>
  </si>
  <si>
    <t>A conventional unit of measurement of volume flow that is 0.001 cubic metres per second.</t>
  </si>
  <si>
    <t>cubicMetrePerMinute</t>
  </si>
  <si>
    <t>Cubic Metre per Minute</t>
  </si>
  <si>
    <t>A conventional unit of measurement of volume flow that is approximately 0.016667 cubic metres per second.</t>
  </si>
  <si>
    <t>litrePerMinute</t>
  </si>
  <si>
    <t>Litre per Minute</t>
  </si>
  <si>
    <t>A conventional unit of measurement of volume flow that is approximately 0.000016667 cubic metres per second.</t>
  </si>
  <si>
    <t>cubicMetrePerHour</t>
  </si>
  <si>
    <t>Cubic Metre per Hour</t>
  </si>
  <si>
    <t>A conventional unit of measurement of volume flow that is approximately 0.0002777 cubic metres per second.</t>
  </si>
  <si>
    <t>litrePerHour</t>
  </si>
  <si>
    <t>Litre per Hour</t>
  </si>
  <si>
    <t>A conventional unit of measurement of volume flow that is approximately 0.00000016667 cubic metres per second.</t>
  </si>
  <si>
    <t>cubicMetrePerAnnum</t>
  </si>
  <si>
    <t>Cubic Metre per Annum (tropical year)</t>
  </si>
  <si>
    <t>A conventional unit of measurement of volume flow that is approximately 0.00000003167743 cubic metres per second.</t>
  </si>
  <si>
    <t>cubicMetrePerCubicMetre</t>
  </si>
  <si>
    <t>Cubic Metre per Cubic Metre</t>
  </si>
  <si>
    <t>The derived unit of measurement of volume fraction in the SI units system.</t>
  </si>
  <si>
    <t>5-3-1 Code</t>
  </si>
  <si>
    <t>FA005</t>
  </si>
  <si>
    <t>AccessZone</t>
  </si>
  <si>
    <t>Access Zone</t>
  </si>
  <si>
    <t>A terrain region between a contact zone and the first passable land transportation route (for example: a road).</t>
  </si>
  <si>
    <t>BK010</t>
  </si>
  <si>
    <t>AcousticStation</t>
  </si>
  <si>
    <t>Acoustic Station</t>
  </si>
  <si>
    <t>The geographic location at which a set of acoustic observations were taken.</t>
  </si>
  <si>
    <t>ZI044</t>
  </si>
  <si>
    <t>ActorEntity</t>
  </si>
  <si>
    <t>Actor Entity</t>
  </si>
  <si>
    <t>An abstract modeling entity that is a superclass for actor types, which are representations of intentional (that is, purposeful) entities that act or have the capability of acting as a participant in an event.</t>
  </si>
  <si>
    <t>An actor may control resources or direct activity, and may do so by holding an organizational role. Actor entities include persons, social groups, organisations, and, in some contexts, automata. Collective actors (for example: organizations) may have a distributed rather than a point location.</t>
  </si>
  <si>
    <t>FA000</t>
  </si>
  <si>
    <t>AdministrativeBoundary</t>
  </si>
  <si>
    <t>Administrative Boundary</t>
  </si>
  <si>
    <t>A boundary between administratively controlled regions.</t>
  </si>
  <si>
    <t>FA003</t>
  </si>
  <si>
    <t>AdministrativeDivision</t>
  </si>
  <si>
    <t>Administrative Division</t>
  </si>
  <si>
    <t>An administratively subordinate division of a geopolitical entity.</t>
  </si>
  <si>
    <t>A geopolitical entity (country) is typically divided into first-, second-, and lower-order administrative divisions. First-order administrative divisions are immediately subordinate to the government of the geopolitical entity, with second- and lower-order divisions subordinate to those above them. Examples: (first-order) a United States state, a German Land, a French region; a Canadian province; (second-order) a U.S. county, a French department; (third-order) a U.S. township, a French arrondissement; (lower-levels) a French commune.</t>
  </si>
  <si>
    <t>ZI021</t>
  </si>
  <si>
    <t>AdminDivisionDesig</t>
  </si>
  <si>
    <t>Administrative Division Designation</t>
  </si>
  <si>
    <t>A modeling entity collecting information about designations (for example: standardized names or codes) for a subordinate administrative division (for example: a (US) state, a (UK) county, a (US) township, a (CA) province, a (FR) arrondissement, a (CH) canton, a (GE) laender and a (FR) commune) of a geopolitical entity (for example: a State).</t>
  </si>
  <si>
    <t>AB040</t>
  </si>
  <si>
    <t>AerationBasin</t>
  </si>
  <si>
    <t>Aeration Basin</t>
  </si>
  <si>
    <t>A basin, usually artificial, in which air is mixed with partially treated wastewater.</t>
  </si>
  <si>
    <t>The water is treated with microorganisms to consume organic materials and convert suspended solids to settleable solids that are later collected by a settling pond and removed as sludge.</t>
  </si>
  <si>
    <t>AT011</t>
  </si>
  <si>
    <t>Aerial</t>
  </si>
  <si>
    <t>A device that is used for emitting and/or sensing electromagnetic energy.</t>
  </si>
  <si>
    <t>For example, used to transmit and/or receive electronic signals as on a radio tower or to capture electromagnetic energy as in radio astronomy.</t>
  </si>
  <si>
    <t>AT012</t>
  </si>
  <si>
    <t>AerialFarm</t>
  </si>
  <si>
    <t>Aerial Farm</t>
  </si>
  <si>
    <t>A collection of aerials that are collocated and serve a common purpose.</t>
  </si>
  <si>
    <t>They may be organized either to function as a single larger virtual device (for example: a phased array) or function relatively independently of each other (for example: pointed in different directions and operating at different frequencies as at a satellite communication ground station).</t>
  </si>
  <si>
    <t>GB001</t>
  </si>
  <si>
    <t>Aerodrome</t>
  </si>
  <si>
    <t>A defined area on land or water (including any buildings, installations and equipment) intended to be used either wholly or in part for the arrival, departure and surface movement of aircraft.</t>
  </si>
  <si>
    <t>GB013</t>
  </si>
  <si>
    <t>AerodromeBeacon</t>
  </si>
  <si>
    <t>Aerodrome Beacon</t>
  </si>
  <si>
    <t>A beacon used to indicate the location of an aerodrome from the air.</t>
  </si>
  <si>
    <t>Aerodrome beacons may consist of either a rotating light source or a strobe light.</t>
  </si>
  <si>
    <t>ZI072</t>
  </si>
  <si>
    <t>AerodromeBilletingInfo</t>
  </si>
  <si>
    <t>Aerodrome Billeting Information</t>
  </si>
  <si>
    <t>A modeling entity collecting information regarding billeting military personnel at an aerodrome.</t>
  </si>
  <si>
    <t>Size and/or availability of all barracks and dormitories, including normal and maximum bed capacity for both officer and enlisted personnel are collected.</t>
  </si>
  <si>
    <t>USNAT</t>
  </si>
  <si>
    <t>GB007</t>
  </si>
  <si>
    <t>AerodromeBoundary</t>
  </si>
  <si>
    <t>Aerodrome Boundary</t>
  </si>
  <si>
    <t>The geographical limits of an aerodrome property as defined by the local authority.</t>
  </si>
  <si>
    <t>ZI073</t>
  </si>
  <si>
    <t>AerodromeConstructPlanInfo</t>
  </si>
  <si>
    <t>Aerodrome Construction Planning Information</t>
  </si>
  <si>
    <t>A modeling entity collecting information regarding both current and proposed construction plans for an aerodrome.</t>
  </si>
  <si>
    <t>Planning information should be as specific as possible, including contractor company names or organizations, contact information, construction schedules, and any other pertinent information.</t>
  </si>
  <si>
    <t>ZI088</t>
  </si>
  <si>
    <t>AerodromeElecPowerService</t>
  </si>
  <si>
    <t>Aerodrome Electrical Power Service</t>
  </si>
  <si>
    <t>A modeling entity collecting information regarding the electrical power available at an aerodrome.</t>
  </si>
  <si>
    <t>GB037</t>
  </si>
  <si>
    <t>AerodromeElevationPoint</t>
  </si>
  <si>
    <t>Aerodrome Elevation Point</t>
  </si>
  <si>
    <t>The specific location of the highest point of the aerodrome landing area.</t>
  </si>
  <si>
    <t>Typically this elevation is the highest point on any of the landing runway surfaces, and is considered the specific point at which the official aerodrome elevation is determined.</t>
  </si>
  <si>
    <t>ZI075</t>
  </si>
  <si>
    <t>AerodromeFuelDispensingInfo</t>
  </si>
  <si>
    <t>Aerodrome Fuel Dispensing Information</t>
  </si>
  <si>
    <t>A modeling entity collecting information regarding the specific capabilities available for dispensing fuel at an aerodrome.</t>
  </si>
  <si>
    <t>Pertinent information includes the type, number, and status of fueling trucks and carts, aircraft loading methods, and the fueling rates or speed at which an aircraft can be refueled.</t>
  </si>
  <si>
    <t>GB014</t>
  </si>
  <si>
    <t>AerodromeFuelFillingStand</t>
  </si>
  <si>
    <t>Aerodrome Fuel Filling Stand</t>
  </si>
  <si>
    <t>A prescribed location in which the fuelling of aircraft and service vehicles from a fixed fuel pumping station is performed.</t>
  </si>
  <si>
    <t>ZI076</t>
  </si>
  <si>
    <t>AerodromeFuelInfo</t>
  </si>
  <si>
    <t>Aerodrome Fuel Information</t>
  </si>
  <si>
    <t>A modeling entity collecting information regarding the grade of fuel and on-hand supply available at an aerodrome.</t>
  </si>
  <si>
    <t>Pertinent information includes the specific grade and stock level of available fuel at the aerodrome, regardless of the delivery method.</t>
  </si>
  <si>
    <t>GB017</t>
  </si>
  <si>
    <t>AerodromeHotSpot</t>
  </si>
  <si>
    <t>Aerodrome Hot Spot</t>
  </si>
  <si>
    <t>A location on an aerodrome movement area with a history or potential risk of either collision or runway incursion, and where heightened attention by pilots/drivers is necessary.</t>
  </si>
  <si>
    <t>GB009</t>
  </si>
  <si>
    <t>AerodromeInstLocation</t>
  </si>
  <si>
    <t>Aerodrome Installation Location</t>
  </si>
  <si>
    <t>A location denoting the center of the minimum bounding rectangle that defines the functional area of an aerodrome.</t>
  </si>
  <si>
    <t>The functional area of an aerodrome includes all runways and other aircraft movement areas, hangars, and related facilities required to support aircraft operations.</t>
  </si>
  <si>
    <t>GB008</t>
  </si>
  <si>
    <t>AerodromeMarkings</t>
  </si>
  <si>
    <t>Aerodrome Markings</t>
  </si>
  <si>
    <t>A symbol or group of symbols displayed on the surface of the movement area in order to convey aeronautical information.</t>
  </si>
  <si>
    <t>ZI077</t>
  </si>
  <si>
    <t>AerodromeMessingFacInfo</t>
  </si>
  <si>
    <t>Aerodrome Messing Facility Information</t>
  </si>
  <si>
    <t>A modeling entity collecting information regarding all facilities on an aerodrome that are capable of processing food for human consumption.</t>
  </si>
  <si>
    <t xml:space="preserve">Messing facilities include all mess halls, cafeterias, dining halls, restaurants, field kitchens and airline catering facilities located on the aerodrome. Pertinent information would include the total number of personnel able to be supported, the quality </t>
  </si>
  <si>
    <t>GB300</t>
  </si>
  <si>
    <t>AerodromeMoveArea</t>
  </si>
  <si>
    <t>Aerodrome Movement Area</t>
  </si>
  <si>
    <t>That part of an aerodrome to be used for the take-off, landing and taxiing of aircraft, consisting of the manoeuvring area and the apron(s).</t>
  </si>
  <si>
    <t>This includes any Aerodrome Service Roads when they are collocated with an apron, taxiway, or runway.</t>
  </si>
  <si>
    <t>GB011</t>
  </si>
  <si>
    <t>AerodromeMoveAreaLighting</t>
  </si>
  <si>
    <t>Aerodrome Movement Area Lighting</t>
  </si>
  <si>
    <t>A lighting system providing guidance to an aircraft or vehicle while on a ground movement area of an aerodrome.</t>
  </si>
  <si>
    <t>Aerodrome Movement Surface Lighting, Surface Lighting System</t>
  </si>
  <si>
    <t>ZI078</t>
  </si>
  <si>
    <t>AerodromeOperSignifInfo</t>
  </si>
  <si>
    <t>Aerodrome Operational Significance Information</t>
  </si>
  <si>
    <t>A modeling entity collecting information of importance to a mission planner regarding the logistical and operational potential and expansibility of an aerodrome.</t>
  </si>
  <si>
    <t>ZI042</t>
  </si>
  <si>
    <t>AerodromeParkingInfo</t>
  </si>
  <si>
    <t>Aerodrome Parking Information</t>
  </si>
  <si>
    <t>A modeling entity collecting information for areas designed for either the movement or the parking of aircraft and that are not reported elsewhere as aprons, hardstands, or helipads.</t>
  </si>
  <si>
    <t>ZI019</t>
  </si>
  <si>
    <t>AerodromePavementInfo</t>
  </si>
  <si>
    <t>Aerodrome Pavement Information</t>
  </si>
  <si>
    <t>A modeling entity collecting information about aircraft pavements at aerodromes and heliports.</t>
  </si>
  <si>
    <t>For example, for runways, taxiways, aprons, and helipads.</t>
  </si>
  <si>
    <t>GB047</t>
  </si>
  <si>
    <t>AerodromeReferencePoint</t>
  </si>
  <si>
    <t>Aerodrome Reference Point (ARP)</t>
  </si>
  <si>
    <t>The designated geographic location of an aerodrome as established by the appropriate authority.</t>
  </si>
  <si>
    <t>The aerodrome reference point shall be located near the initial or planned geometric centre of the aerodrome and shall normally remain where first established.</t>
  </si>
  <si>
    <t>ZI079</t>
  </si>
  <si>
    <t>AerodromeSecurityService</t>
  </si>
  <si>
    <t>Aerodrome Security Service</t>
  </si>
  <si>
    <t>A modeling entity collecting information regarding the services related to policing and security that are available at an aerodrome.</t>
  </si>
  <si>
    <t>ZI080</t>
  </si>
  <si>
    <t>AerodromeServiceInfo</t>
  </si>
  <si>
    <t>Aerodrome Service Information</t>
  </si>
  <si>
    <t>A modeling entity collecting information regarding the owner, operator, and contact information responsible for an aerodrome service.</t>
  </si>
  <si>
    <t>For example: electrical power, maintenance, security, or water supply.</t>
  </si>
  <si>
    <t>GB200</t>
  </si>
  <si>
    <t>AerodromeServiceRoad</t>
  </si>
  <si>
    <t>Aerodrome Service Road</t>
  </si>
  <si>
    <t>An established surface route on the aerodrome meant for the exclusive use of authorized vehicles and personnel.</t>
  </si>
  <si>
    <t>Aerodrome service roads do not include public access roads. Examples of authorized vehicles are: fuel, maintenance and emergency trucks.</t>
  </si>
  <si>
    <t>ZI081</t>
  </si>
  <si>
    <t>AerodromeSewageDispService</t>
  </si>
  <si>
    <t>Aerodrome Sewage Disposal Service</t>
  </si>
  <si>
    <t>A modeling entity collecting information regarding the availability, size, and support characteristics of the sewage disposal services of an aerodrome.</t>
  </si>
  <si>
    <t>GB028</t>
  </si>
  <si>
    <t>AerodromeSurfDetectStation</t>
  </si>
  <si>
    <t>Aerodrome Surface Detection Station</t>
  </si>
  <si>
    <t>The site and equipment of a radar station designed to detect all principal features on the surface of an aerodrome, including aircraft and vehicular traffic, and to present the entire image on a radar indicator console in the aerodrome control tower.</t>
  </si>
  <si>
    <t>The aerodrome surface detection system is used to augment visual observation by tower personnel of aircraft and/or vehicular movements on aerodrome movement surfaces (for example: runways and taxiways).</t>
  </si>
  <si>
    <t>GB012</t>
  </si>
  <si>
    <t>AeronauticalGroundLight</t>
  </si>
  <si>
    <t>Aeronautical Ground Light</t>
  </si>
  <si>
    <t>A light specifically provided as an aid to air navigation, with the exception of obstacle lights and lights forming part of surface or approach lighting systems.</t>
  </si>
  <si>
    <t>GA033</t>
  </si>
  <si>
    <t>AeroRadioNavInstallation</t>
  </si>
  <si>
    <t>Aeronautical Radio Navigation Installation</t>
  </si>
  <si>
    <t>A ground based piece of electronic equipment that provides aeronautical navigation guidance information or position data.</t>
  </si>
  <si>
    <t>GA032</t>
  </si>
  <si>
    <t>AeroRadioNavInstPoint</t>
  </si>
  <si>
    <t>Aeronautical Radio Navigation Installation Point</t>
  </si>
  <si>
    <t>The navigational center point of a radio navigation installation, determined by either a specified geographic position or by a geographic fix that is referenced to a geographic location.</t>
  </si>
  <si>
    <t>A radio navigation installation point can be used by itself as a navigational fix or be used in combination with a specific bearing and distance to identify another designated point, which is used for navigational purposes.</t>
  </si>
  <si>
    <t>GA034</t>
  </si>
  <si>
    <t>AeroRadioNavService</t>
  </si>
  <si>
    <t>Aeronautical Radio Navigation Service</t>
  </si>
  <si>
    <t>A service providing aeronautical navigation guidance information or position data, intended for the benefit and safe operation of aircraft.</t>
  </si>
  <si>
    <t>GB162</t>
  </si>
  <si>
    <t>AeroRadioNavServCheckpnt</t>
  </si>
  <si>
    <t>Aeronautical Radio Navigation Service Checkpoint</t>
  </si>
  <si>
    <t>A point established and marked on the surface of an aerodrome where the checking of a navigation system can be accomplished.</t>
  </si>
  <si>
    <t>Checkpoint</t>
  </si>
  <si>
    <t>AJ100</t>
  </si>
  <si>
    <t>AgriculturalColony</t>
  </si>
  <si>
    <t>Agricultural Colony</t>
  </si>
  <si>
    <t>A tract of land set aside for agricultural settlement.</t>
  </si>
  <si>
    <t>GA540</t>
  </si>
  <si>
    <t>AirRefuellingAnchorPat</t>
  </si>
  <si>
    <t>Air Refuelling Anchor Pattern</t>
  </si>
  <si>
    <t>A prescribed pattern, established by air refuelling points, along which air-to-air refuelling of aircraft is performed.</t>
  </si>
  <si>
    <t>Air refuelling anchor patterns are usually shaped like an oval racetrack.</t>
  </si>
  <si>
    <t>Air Refuelling Anchor</t>
  </si>
  <si>
    <t>GA550</t>
  </si>
  <si>
    <t>AirRefuellingPoint</t>
  </si>
  <si>
    <t>Air Refuelling Point</t>
  </si>
  <si>
    <t>A geographic position or radio navigation fix along an air refuelling anchor pattern or air refuelling track.</t>
  </si>
  <si>
    <t>Usages include, for example, entry/exit, rendezvous and navigation checkpoint.</t>
  </si>
  <si>
    <t>GA520</t>
  </si>
  <si>
    <t>AirRefuellingProcedure</t>
  </si>
  <si>
    <t>Air Refuelling Procedure</t>
  </si>
  <si>
    <t>A procedure used by the military to transfer fuel from one aircraft to another during flight.</t>
  </si>
  <si>
    <t>GA535</t>
  </si>
  <si>
    <t>AirRefuellingRoute</t>
  </si>
  <si>
    <t>Air Refuelling Route</t>
  </si>
  <si>
    <t>A prescribed path, established by air refuelling points, along which air-to-air refuelling of aircraft is performed.</t>
  </si>
  <si>
    <t>An air refuelling route shares the same characteristics as an air refuelling track and air refuelling anchor pattern, combining the routing structures of both into one specific path for the aircraft to fly.</t>
  </si>
  <si>
    <t>GA530</t>
  </si>
  <si>
    <t>AirRefuellingTrack</t>
  </si>
  <si>
    <t>Air Refuelling Track</t>
  </si>
  <si>
    <t>A prescribed route, established by air refuelling points, geographic points and/or radio navigation fixes, along which air-to-air refuelling of aircraft is performed.</t>
  </si>
  <si>
    <t>GB810</t>
  </si>
  <si>
    <t>AirTrafficService</t>
  </si>
  <si>
    <t>Air Traffic Service (ATS)</t>
  </si>
  <si>
    <t>The availability of one or more flight information services, alerting services, air traffic advisory services, and/or air traffic control services (for example: area control services, approach control services, and aerodrome control services).</t>
  </si>
  <si>
    <t>ATS</t>
  </si>
  <si>
    <t>GA013</t>
  </si>
  <si>
    <t>AtsRouteCrossingInfo</t>
  </si>
  <si>
    <t>Air Traffic Service (ATS) Route Crossing Information</t>
  </si>
  <si>
    <t>A modeling entity collecting information regarding the relationship between an Air Traffic Service (ATS) route segment direction and the ATS route significant point, and how the two are used in an aircraft navigation environment.</t>
  </si>
  <si>
    <t>For example, minimum altitudes for crossing an aviation designated point onto the same air traffic service route or crossing onto a different air traffic service route segment.</t>
  </si>
  <si>
    <t>GA010</t>
  </si>
  <si>
    <t>AtsRouteSegment</t>
  </si>
  <si>
    <t>Air Traffic Service (ATS) Route Segment</t>
  </si>
  <si>
    <t>A portion of an Air Traffic Service (ATS) route to be flown between two consecutive significant points.</t>
  </si>
  <si>
    <t>GA011</t>
  </si>
  <si>
    <t>AtsRouteSegmentDirection</t>
  </si>
  <si>
    <t>Air Traffic Service (ATS) Route Segment Direction</t>
  </si>
  <si>
    <t>One of the two possible directions in which an aircraft may travel along an Air Traffic Service (ATS) route segment.</t>
  </si>
  <si>
    <t>GA012</t>
  </si>
  <si>
    <t>AtsRouteSigPoint</t>
  </si>
  <si>
    <t>Air Traffic Service (ATS) Route Significant Point</t>
  </si>
  <si>
    <t>A designated point within the airspace structure which serves as a beginning, intermediate, or ending point for an Air Traffic Service (ATS) route.</t>
  </si>
  <si>
    <t>ZI082</t>
  </si>
  <si>
    <t>AircraftCharacteristicsInfo</t>
  </si>
  <si>
    <t>Aircraft Characteristics Information</t>
  </si>
  <si>
    <t>A modeling entity collecting information describing the maximum aircraft capacities which the feature (for example: an apron) may support.</t>
  </si>
  <si>
    <t>For example: single wheel weight loading, overall aircraft dimensions, and weight distribution based on landing gear configuration.</t>
  </si>
  <si>
    <t>GB830</t>
  </si>
  <si>
    <t>AircraftGroundService</t>
  </si>
  <si>
    <t>Aircraft Ground Service</t>
  </si>
  <si>
    <t>The availability of maintenance, support and/or supply operations to aircraft at an aerodrome.</t>
  </si>
  <si>
    <t>GB230</t>
  </si>
  <si>
    <t>AircraftHangar</t>
  </si>
  <si>
    <t>Aircraft Hangar</t>
  </si>
  <si>
    <t>A building for housing aircraft.</t>
  </si>
  <si>
    <t>ZI094</t>
  </si>
  <si>
    <t>AircraftMaintenanceService</t>
  </si>
  <si>
    <t>Aircraft Maintenance Service</t>
  </si>
  <si>
    <t>A modeling entity collecting information regarding the service, or set of services, that perform preventative maintenance, minor repairs, or major overhaul of aircraft available at an aerodrome.</t>
  </si>
  <si>
    <t>This type of information ranges from preventative maintenance (for example: refilling oxygen supplies or filling engine oil) to major service (for example: engine or airframe rebuilding).</t>
  </si>
  <si>
    <t>ZI092</t>
  </si>
  <si>
    <t>AircraftRescueFireService</t>
  </si>
  <si>
    <t>Aircraft Rescue and Firefighting Service</t>
  </si>
  <si>
    <t>A modeling entity collecting information regarding firefighting that involves the response, hazard mitigation, evacuation and possible rescue of passengers and crew of an aircraft involved in (typically) an aerodrome ground emergency.</t>
  </si>
  <si>
    <t>GB016</t>
  </si>
  <si>
    <t>AircraftStand</t>
  </si>
  <si>
    <t>Aircraft Stand</t>
  </si>
  <si>
    <t>A designated area on an apron intended to be used for parking an aircraft.</t>
  </si>
  <si>
    <t>GA005</t>
  </si>
  <si>
    <t>Airspace</t>
  </si>
  <si>
    <t>A defined three dimensional region of space relevant to air traffic.</t>
  </si>
  <si>
    <t>GA006</t>
  </si>
  <si>
    <t>AirspaceUsageInfo</t>
  </si>
  <si>
    <t>Airspace Usage Information</t>
  </si>
  <si>
    <t>A modeling entity describing specific activities that may occur within the airspace or portions of the airspace.</t>
  </si>
  <si>
    <t>For example, parachute jump or aerobatics areas may occur within an airspace.</t>
  </si>
  <si>
    <t>GA007</t>
  </si>
  <si>
    <t>AirspaceVolume</t>
  </si>
  <si>
    <t>Airspace Volume</t>
  </si>
  <si>
    <t>A defined volume in the air, described as horizontal projection with vertical limits, used to sectionalize the sky for facilitating air traffic services.</t>
  </si>
  <si>
    <t>GB163</t>
  </si>
  <si>
    <t>AltimeterCheckLocation</t>
  </si>
  <si>
    <t>Altimeter Check Location</t>
  </si>
  <si>
    <t>A point or area designated at an aerodrome where the checking of an altimeter system can be accomplished.</t>
  </si>
  <si>
    <t>AK164</t>
  </si>
  <si>
    <t>Amphitheatre</t>
  </si>
  <si>
    <t>A small tract of level ground serving as a stage that is surrounded by rising slopes (either naturally occurring or artificially constructed) supporting tiered seating (for example: benches).</t>
  </si>
  <si>
    <t>Generally oval or circular in overall shape and typically used for live theatrical presentations, concerts, opera or dance productions, cinema, and/or other stage productions.</t>
  </si>
  <si>
    <t>AK030</t>
  </si>
  <si>
    <t>AmusementPark</t>
  </si>
  <si>
    <t>Amusement Park</t>
  </si>
  <si>
    <t>A predominantly man-made facility equipped with recreational devices.</t>
  </si>
  <si>
    <t>AK020</t>
  </si>
  <si>
    <t>AmusementParkAttraction</t>
  </si>
  <si>
    <t>Amusement Park Attraction</t>
  </si>
  <si>
    <t>A large structure located in an amusement park.</t>
  </si>
  <si>
    <t>BB019</t>
  </si>
  <si>
    <t>Anchor</t>
  </si>
  <si>
    <t>A heavy object, kept in place on the seafloor by its weight and possibly with flukes, to which is attached a cable, rope, or chain that keeps a floating structure (for example, a buoy) on the waterbody surface positioned within a narrow region.</t>
  </si>
  <si>
    <t>BB010</t>
  </si>
  <si>
    <t>Anchorage</t>
  </si>
  <si>
    <t>An area of relatively uniform water depth with no cables, pipelines, or hazardous obstructions present on the seafloor, in which vessels anchor or may anchor.</t>
  </si>
  <si>
    <t>Anchorage areas are additionally determined by: the depth of water in comparison to the tidal range; the material of the seafloor bottom; local environmental effects of wind and currents; and proximity to hazards to navigation, adjacent ships, and harbor traffic lanes. Although the anchorage refers to an identified area along the water surface, its physical structure is considered to be the material and condition of the seafloor below. An anchorage can be physically damaged by natural events (for example: an earthquake or tsunami) by which the preferred seafloor bottom type can change, or hazardous obstructions can be created or moved into the anchorage area.</t>
  </si>
  <si>
    <t>ZD045</t>
  </si>
  <si>
    <t>AnnotatedLocation</t>
  </si>
  <si>
    <t>Annotated Location</t>
  </si>
  <si>
    <t>A location at which text pertaining to that location is annotated.</t>
  </si>
  <si>
    <t>For example, a characteristic or activity pertaining to the location may be described.</t>
  </si>
  <si>
    <t>AL121</t>
  </si>
  <si>
    <t>AntiAircraftArtillerySite</t>
  </si>
  <si>
    <t>Anti-aircraft Artillery Site</t>
  </si>
  <si>
    <t>A site and related facilities (for example: buildings and/or radar equipment) for storing and launching anti-aircraft artillery.</t>
  </si>
  <si>
    <t>Walls, if any, that surround the site are typically used as the basis for delineation.</t>
  </si>
  <si>
    <t>ZV010</t>
  </si>
  <si>
    <t>AntiShippingActivity</t>
  </si>
  <si>
    <t>Anti-shipping Activity</t>
  </si>
  <si>
    <t>An occurrence of criminal action against a ship.</t>
  </si>
  <si>
    <t>For example, the use of force to accomplish unauthorized boarding or specific acts of piracy such as hijacking, robbery, and the shooting and/or murder of the ships' crew and/or passengers.</t>
  </si>
  <si>
    <t>ZR927</t>
  </si>
  <si>
    <t>MD_ApplicationSchemaInformation</t>
  </si>
  <si>
    <t>Application Schema Information</t>
  </si>
  <si>
    <t>Information about the application schema used to create the content of a resource.</t>
  </si>
  <si>
    <t>GB485</t>
  </si>
  <si>
    <t>ApproachLightingSystem</t>
  </si>
  <si>
    <t>Approach Lighting System</t>
  </si>
  <si>
    <t>An airport lighting facility which provides visual guidance to landing aircraft by radiating light beams in a directional pattern by which the pilot aligns the aircraft with the final approach path for landing.</t>
  </si>
  <si>
    <t>GB015</t>
  </si>
  <si>
    <t>Apron</t>
  </si>
  <si>
    <t>A defined area, on a land aerodrome/heliport, intended to accommodate aircraft/helicopters for purposes of loading and unloading passengers, mail or cargo, and for fuelling, parking or maintenance.</t>
  </si>
  <si>
    <t>Hardstanding, APN</t>
  </si>
  <si>
    <t>BD061</t>
  </si>
  <si>
    <t>AquaticVegetation</t>
  </si>
  <si>
    <t>Aquatic Vegetation</t>
  </si>
  <si>
    <t>A region of waterborne cellular or vascular plants (for example: algae, grasses, reeds, and water hyacinths).</t>
  </si>
  <si>
    <t>The vegetation may moored (for example: sea grass and reeds) or floating (for example: sargasso and water hyacinths).</t>
  </si>
  <si>
    <t>BH010</t>
  </si>
  <si>
    <t>Aqueduct</t>
  </si>
  <si>
    <t>A pipe or artificial channel that is designed to transport water from a remote source, usually by gravity, for freshwater supply, agricultural, and/or industrial use.</t>
  </si>
  <si>
    <t>It may be supported by a bridge.</t>
  </si>
  <si>
    <t>BH116</t>
  </si>
  <si>
    <t>Aquifer</t>
  </si>
  <si>
    <t>An underground layer of water-bearing permeable rock or unconsolidated materials (for example: gravel, sand, silt, or clay).</t>
  </si>
  <si>
    <t>It may yield economically significant quantities of groundwater to wells and springs.</t>
  </si>
  <si>
    <t>AQ151</t>
  </si>
  <si>
    <t>Arcade</t>
  </si>
  <si>
    <t>A covered pedestrian route composed of arches and pillars, usually open along one or both sides.</t>
  </si>
  <si>
    <t>AL012</t>
  </si>
  <si>
    <t>ArcheologicalSite</t>
  </si>
  <si>
    <t>Archeological Site</t>
  </si>
  <si>
    <t>A site where remains of past civilizations or human activity have been discovered.</t>
  </si>
  <si>
    <t>GB020</t>
  </si>
  <si>
    <t>ArrestingSystem</t>
  </si>
  <si>
    <t>Arresting System</t>
  </si>
  <si>
    <t>A series of devices (for example: engaging or catching devices and energy absorption devices) that are used to stop an aircraft by absorbing its momentum in a routine landing, emergency landing or aborted take-off.</t>
  </si>
  <si>
    <t>System types may consist of barriers, cables, nets and or engineered materials.</t>
  </si>
  <si>
    <t>Arresting Gear</t>
  </si>
  <si>
    <t>GA500</t>
  </si>
  <si>
    <t>ArrivalSegment</t>
  </si>
  <si>
    <t>Arrival Segment</t>
  </si>
  <si>
    <t>The portion of an arrival route which aircraft may proceed from the en-route phase of flight to an initial approach fix.</t>
  </si>
  <si>
    <t>May be defined by one or more procedure segment legs.</t>
  </si>
  <si>
    <t>DA005</t>
  </si>
  <si>
    <t>AsphaltLake</t>
  </si>
  <si>
    <t>Asphalt Lake</t>
  </si>
  <si>
    <t>A natural accumulation of liquid asphalt.</t>
  </si>
  <si>
    <t>AL142</t>
  </si>
  <si>
    <t>AstronomicalObservatory</t>
  </si>
  <si>
    <t>Astronomical Observatory</t>
  </si>
  <si>
    <t>A building designed and equipped (for example: with a telescope) for making observations of celestial objects (including the earth in relation to them), of space, and of the universe as a whole.</t>
  </si>
  <si>
    <t>Typically incorporates a dome-shaped covering that may be opened in order to expose instruments to the sky or closed to protect them from the weather.</t>
  </si>
  <si>
    <t>GB027</t>
  </si>
  <si>
    <t>AutoAerodromeWeatherStation</t>
  </si>
  <si>
    <t>Automated Aerodrome Weather Station</t>
  </si>
  <si>
    <t>The site and equipment of an automated sensor suite that measures, collects, and disseminates weather data to serve aviation and meteorological needs for safe and efficient aviation operations and weather forecasting.</t>
  </si>
  <si>
    <t>GA058</t>
  </si>
  <si>
    <t>AviationDesigPoint</t>
  </si>
  <si>
    <t>Aviation Designated Point</t>
  </si>
  <si>
    <t>A named geographical location not marked by the site of a radio navigation aid, used in defining an Air Traffic Service (ATS) route, the flight path of an aircraft and/or for other navigation or ATS purposes.</t>
  </si>
  <si>
    <t>ZI105</t>
  </si>
  <si>
    <t>AviationDesigPointInfo</t>
  </si>
  <si>
    <t>Aviation Designated Point Information</t>
  </si>
  <si>
    <t>A modeling entity collecting navigational information about an aviation designated point.</t>
  </si>
  <si>
    <t>Information collected may include, for example, the designated point use in the enroute or terminal phases of flight, or regulatory guidance for an aircraft.</t>
  </si>
  <si>
    <t>ZI106</t>
  </si>
  <si>
    <t>AviationDesigPointLocInfo</t>
  </si>
  <si>
    <t>Aviation Designated Point Location Information</t>
  </si>
  <si>
    <t>A modeling entity providing a published means of deriving the location of a designated point, using a bearing and distance from a known radio navigation service.</t>
  </si>
  <si>
    <t>ZI083</t>
  </si>
  <si>
    <t>AviationHydMaintService</t>
  </si>
  <si>
    <t>Aviation Hydraulic Fluid Maintenance Service</t>
  </si>
  <si>
    <t>A modeling entity collecting information regarding the aircraft hydraulic fluid types, stock levels, and associated service(s) that are available at an aerodrome.</t>
  </si>
  <si>
    <t>ZI084</t>
  </si>
  <si>
    <t>AviationNitMaintService</t>
  </si>
  <si>
    <t>Aviation Nitrogen Maintenance Service</t>
  </si>
  <si>
    <t>A modeling entity collecting information regarding the aircraft nitrogen supply types, stock levels, and associated service(s) that are available at an aerodrome.</t>
  </si>
  <si>
    <t>ZI085</t>
  </si>
  <si>
    <t>AviationOilMaintService</t>
  </si>
  <si>
    <t>Aviation Oil Maintenance Service</t>
  </si>
  <si>
    <t>A modeling entity collecting information regarding the aircraft oil types, stock levels, and associated service(s) that are available at an aerodrome.</t>
  </si>
  <si>
    <t>ZI086</t>
  </si>
  <si>
    <t>AviationOxyMaintService</t>
  </si>
  <si>
    <t>Aviation Oxygen Maintenance Service</t>
  </si>
  <si>
    <t>A modeling entity collecting information regarding the aircraft oxygen supply types, stock levels, equipment, and associated service(s) that are available at an aerodrome.</t>
  </si>
  <si>
    <t>BA022</t>
  </si>
  <si>
    <t>Backshore</t>
  </si>
  <si>
    <t>That part of a shore or beach which is usually dry, being reached only by the highest tides.</t>
  </si>
  <si>
    <t>AK015</t>
  </si>
  <si>
    <t>Bandshell</t>
  </si>
  <si>
    <t>An outdoor band-stand in the form of a large concave shell with special acoustical properties.</t>
  </si>
  <si>
    <t>It typically has a concave, nearly hemispherical back serving as a sounding board. A band-stand is a platform or other structure for the use of a band of musicians.</t>
  </si>
  <si>
    <t>EE060</t>
  </si>
  <si>
    <t>BankVegetationZone</t>
  </si>
  <si>
    <t>Bank Vegetation Zone</t>
  </si>
  <si>
    <t>A region along the edge of a body of water or watercourse generally dominated by riparian vegetation.</t>
  </si>
  <si>
    <t>May extend up to approximately 100 metres from the water edge, often including land subject to inundation and, if vegetation is present, commonly dominated by woody vegetation.</t>
  </si>
  <si>
    <t>AJ085</t>
  </si>
  <si>
    <t>Barn</t>
  </si>
  <si>
    <t>A roofed farm building designed for sheltering harvested crops (for example: hay), livestock (for example: cattle), and/or farm machinery (for example: tractors and plows).</t>
  </si>
  <si>
    <t>BI045</t>
  </si>
  <si>
    <t>BasinGate</t>
  </si>
  <si>
    <t>Basin Gate</t>
  </si>
  <si>
    <t>A gate that impounds water within a basin or chamber that is used by watercraft.</t>
  </si>
  <si>
    <t>For example, gates used at locks or dry docks.</t>
  </si>
  <si>
    <t>BA050</t>
  </si>
  <si>
    <t>Beach</t>
  </si>
  <si>
    <t>On a shore, the area on which the waves break and over which shore debris (for example: sand, shingle, and/or pebbles) accumulate.</t>
  </si>
  <si>
    <t>A beach includes backshore and foreshore.</t>
  </si>
  <si>
    <t>BB150</t>
  </si>
  <si>
    <t>BeachLandingSite</t>
  </si>
  <si>
    <t>Beach Landing Site</t>
  </si>
  <si>
    <t>A location on a beach suitable for the landing of troops and vehicles.</t>
  </si>
  <si>
    <t>BE050</t>
  </si>
  <si>
    <t>BeachProfile</t>
  </si>
  <si>
    <t>Beach Profile</t>
  </si>
  <si>
    <t>A representation of the three dimensional relief of the beach along a line or series of connected lines.</t>
  </si>
  <si>
    <t>AK123</t>
  </si>
  <si>
    <t>Bench</t>
  </si>
  <si>
    <t>A long hard seat for two or more persons.</t>
  </si>
  <si>
    <t>May be backless and attached to, or adjacent to, a picnic table.</t>
  </si>
  <si>
    <t>BB020</t>
  </si>
  <si>
    <t>Berth</t>
  </si>
  <si>
    <t>A named or numbered place where a vessel is moored at a wharf.</t>
  </si>
  <si>
    <t>AG050</t>
  </si>
  <si>
    <t>Billboard</t>
  </si>
  <si>
    <t>A large outdoor board for advertisements.</t>
  </si>
  <si>
    <t>May be attached to another structure or self-supporting. Usually elevated so as to be seen for a significant distance.</t>
  </si>
  <si>
    <t>GB025</t>
  </si>
  <si>
    <t>BlastBarrier</t>
  </si>
  <si>
    <t>Blast Barrier</t>
  </si>
  <si>
    <t>A barrier used to divert and/or dissipate jet and/or propeller blast.</t>
  </si>
  <si>
    <t>Blast Fence</t>
  </si>
  <si>
    <t>AC010</t>
  </si>
  <si>
    <t>BlastFurnace</t>
  </si>
  <si>
    <t>Blast-furnace</t>
  </si>
  <si>
    <t>A smelting furnace in which a blast of air is used, especially one for iron-smelting using a compressed hot air blast.</t>
  </si>
  <si>
    <t>BB149</t>
  </si>
  <si>
    <t>BoatLanding</t>
  </si>
  <si>
    <t>Boat Landing</t>
  </si>
  <si>
    <t>A place where boats receive or discharge passengers and freight, but lacking most port facilities.</t>
  </si>
  <si>
    <t>BH015</t>
  </si>
  <si>
    <t>Bog</t>
  </si>
  <si>
    <t>A permanently wet area of land consisting of incompletely decayed organic material and mainly stagnant fresh water.</t>
  </si>
  <si>
    <t>It is generally too soft to bear the weight of any heavy body. A subtype of the more generalized wetland.</t>
  </si>
  <si>
    <t>BB030</t>
  </si>
  <si>
    <t>Bollard</t>
  </si>
  <si>
    <t>A small shaped post, mounted on the ground or pavement surface.</t>
  </si>
  <si>
    <t>Bollards may be mounted on a wharf or dolphin and used to secure ship's lines, or they may be mounted at intervals on the ground or pavement surface in order to protect critical infrastructure, delimit an area such as a roadway sidewalk or path, or to exclude vehicles.  Bollards may be fixed above the surface or may be installed in housings below the surface so as to be very quickly raised into a blocking position to prevent the progress of threatening vehicles.</t>
  </si>
  <si>
    <t>BD076</t>
  </si>
  <si>
    <t>BoomingGround</t>
  </si>
  <si>
    <t>Booming Ground</t>
  </si>
  <si>
    <t>An area in a shallow portion of a body of water, usually at the mouth of a river, where logs are collected, staged, and formed into log booms for further transportation and delivery to a logging mill.</t>
  </si>
  <si>
    <t>The booming ground foundation is commonly constructed of piles or large stones placed into cribs within the waterbody to aid in shaping the log assembly into alignment with the outer logs forming the log boom barrier itself.</t>
  </si>
  <si>
    <t>FA125</t>
  </si>
  <si>
    <t>BorderCrossing</t>
  </si>
  <si>
    <t>Border Crossing</t>
  </si>
  <si>
    <t>An established and formally recognized location where a government checkpoint has been established between neighboring States where the movement of people and/or goods are regulated and restrictions enforced, shipments or vehicles are cleared for entry or departure, and/or customs duties are collected.</t>
  </si>
  <si>
    <t>AA045</t>
  </si>
  <si>
    <t>Borehole</t>
  </si>
  <si>
    <t>An excavation drilled into the ground for purposes other than the extraction of potable water, oil, gas or brine.</t>
  </si>
  <si>
    <t>For example, drilled to support the underground testing of munitions, for coring or sampling of bedrock or ice for scientific purposes, or drilled for the injection of waste material.</t>
  </si>
  <si>
    <t>EA031</t>
  </si>
  <si>
    <t>BotanicGarden</t>
  </si>
  <si>
    <t>Botanic Garden</t>
  </si>
  <si>
    <t>A culturally designated tract where plants are displayed.</t>
  </si>
  <si>
    <t>BF010</t>
  </si>
  <si>
    <t>BottomCharacterRegion</t>
  </si>
  <si>
    <t>Bottom Characteristic Region</t>
  </si>
  <si>
    <t>A region of a waterbody bottom that is homogeneous with respect to a measurement (for example: consistency, color, and/or composition).</t>
  </si>
  <si>
    <t>Bottom Characteristics</t>
  </si>
  <si>
    <t>ZB030</t>
  </si>
  <si>
    <t>BoundaryMonument</t>
  </si>
  <si>
    <t>Boundary Monument</t>
  </si>
  <si>
    <t>A marker identifying the location of a surveyed boundary line.</t>
  </si>
  <si>
    <t>Boundary Mark</t>
  </si>
  <si>
    <t>AQ040</t>
  </si>
  <si>
    <t>Bridge</t>
  </si>
  <si>
    <t>A structure that connects two locations and provides for the passage of a transportation route (for example: a road or a railway) over a terrain obstacle (for example: a waterbody, a gully, and/or a road).</t>
  </si>
  <si>
    <t>A bridge consists of a set of two abutments and/or zero or more bridge piers joined by bridge spans. A bridge may serve, for example, as an overpass or a viaduct. In the context of a bridge, the scope of the term 'transportation route' includes the transportation of liquids or gases by means of either pipelines or aqueducts.</t>
  </si>
  <si>
    <t>AQ056</t>
  </si>
  <si>
    <t>BridgePier</t>
  </si>
  <si>
    <t>Bridge Pier</t>
  </si>
  <si>
    <t>A pillar or abutment that supports a bridge span.</t>
  </si>
  <si>
    <t>AQ045</t>
  </si>
  <si>
    <t>BridgeSpan</t>
  </si>
  <si>
    <t>Bridge Span</t>
  </si>
  <si>
    <t>A component of the deck of a bridge spanning successive bridge piers.</t>
  </si>
  <si>
    <t>AQ050</t>
  </si>
  <si>
    <t>BridgeSuperstructure</t>
  </si>
  <si>
    <t>Bridge Superstructure</t>
  </si>
  <si>
    <t>A superstructure of a bridge, above the lowest deck, not including pylons or towers.</t>
  </si>
  <si>
    <t>AQ055</t>
  </si>
  <si>
    <t>BridgeTower</t>
  </si>
  <si>
    <t>Bridge Tower</t>
  </si>
  <si>
    <t>A tower and/or pylon from which the deck of a bridge is suspended.</t>
  </si>
  <si>
    <t>EB070</t>
  </si>
  <si>
    <t>Brush</t>
  </si>
  <si>
    <t>A tract covered mainly by short, uncultured, woody plants.</t>
  </si>
  <si>
    <t>For example, covered by brush, scrub and/or shrubs. The predominant height is usually less than 2-3 metres.</t>
  </si>
  <si>
    <t>AF021</t>
  </si>
  <si>
    <t>BucketElevator</t>
  </si>
  <si>
    <t>Bucket Elevator</t>
  </si>
  <si>
    <t>Equipment, usually a series of buckets, for raising materials or liquids to a higher level.</t>
  </si>
  <si>
    <t>AL013</t>
  </si>
  <si>
    <t>Building</t>
  </si>
  <si>
    <t>A free-standing self-supporting construction that is roofed, usually walled, and is intended for human occupancy (for example: a place of work or recreation) and/or habitation.</t>
  </si>
  <si>
    <t>For example, a dormitory, a bank, and a restaurant.</t>
  </si>
  <si>
    <t>AL016</t>
  </si>
  <si>
    <t>BuildingOverhang</t>
  </si>
  <si>
    <t>Building Overhang</t>
  </si>
  <si>
    <t>A canopy or ledge attached to the front of a building and protruding beyond the perimeter wall.</t>
  </si>
  <si>
    <t>AL018</t>
  </si>
  <si>
    <t>BuildingSuperstructure</t>
  </si>
  <si>
    <t>Building Superstructure</t>
  </si>
  <si>
    <t>A supplemental portion of a building which rises from the roof but is not considered to be a portion of the roof.</t>
  </si>
  <si>
    <t>AL020</t>
  </si>
  <si>
    <t>BuiltUpArea</t>
  </si>
  <si>
    <t>Built-up Area</t>
  </si>
  <si>
    <t>A tract containing a concentration of buildings and/or other structures.</t>
  </si>
  <si>
    <t>BC020</t>
  </si>
  <si>
    <t>Buoy</t>
  </si>
  <si>
    <t>A floating object moored to the bottom in a particular place, as an aid to navigation or for other specific purposes.</t>
  </si>
  <si>
    <t>AQ105</t>
  </si>
  <si>
    <t>BuriedUtility</t>
  </si>
  <si>
    <t>Buried Utility</t>
  </si>
  <si>
    <t>Utilities or pipeline network that is located underground or below a waterbody.</t>
  </si>
  <si>
    <t>For example, cables transmitting electrical power and/or communication signals and pipes carrying liquids, slurries, or gases.</t>
  </si>
  <si>
    <t>AT005</t>
  </si>
  <si>
    <t>Cable</t>
  </si>
  <si>
    <t>A single continuous rope-like bundle consisting of multiple strands.</t>
  </si>
  <si>
    <t>The strands may be individually insulated and/or protected and the cable as a whole sheathed. Cables may be used for load bearing (for example, supporting or suspending equipment and/or structures), transmitting electrical power, and/or communicating signals (for example, by electrical or optical means).</t>
  </si>
  <si>
    <t>AT041</t>
  </si>
  <si>
    <t>Cableway</t>
  </si>
  <si>
    <t>A suspended transportation system consisting of one or more load cables, supporting pylons, carrier units (for example: cars or buckets intended to transport people, material, and/or equipment) and usually stations.</t>
  </si>
  <si>
    <t>A cableway consists of carrier units attached to load cables which are strung between pylons and/or stations. For example, a ski-lift.</t>
  </si>
  <si>
    <t>AL025</t>
  </si>
  <si>
    <t>Cairn</t>
  </si>
  <si>
    <t>A heap of stones piled up as a memorial or a landmark.</t>
  </si>
  <si>
    <t>BB050</t>
  </si>
  <si>
    <t>CallingInPoint</t>
  </si>
  <si>
    <t>Calling-in Point</t>
  </si>
  <si>
    <t>The location at which vessels are required to report to a traffic control center.</t>
  </si>
  <si>
    <t>Note that this is not the same as an aeronautical waypoint, which is for aircraft only.</t>
  </si>
  <si>
    <t>AI030</t>
  </si>
  <si>
    <t>Camp</t>
  </si>
  <si>
    <t>An encampment where tents and/or other easily moveable structures (for example: yurts) serve as full-time, temporary, or seasonal residences.</t>
  </si>
  <si>
    <t>AK060</t>
  </si>
  <si>
    <t>CampSite</t>
  </si>
  <si>
    <t>Camp-site</t>
  </si>
  <si>
    <t>A designated place for recreational camping.</t>
  </si>
  <si>
    <t>Campground</t>
  </si>
  <si>
    <t>BH020</t>
  </si>
  <si>
    <t>Canal</t>
  </si>
  <si>
    <t>An artificial waterway with no flow, or a controlled flow, usable or built for navigation.</t>
  </si>
  <si>
    <t>EC010</t>
  </si>
  <si>
    <t>Cane</t>
  </si>
  <si>
    <t>A tract covered mainly by large treelike grasses.</t>
  </si>
  <si>
    <t>For example, bamboo and sugarcane.</t>
  </si>
  <si>
    <t>SU004</t>
  </si>
  <si>
    <t>CantonmentArea</t>
  </si>
  <si>
    <t>Cantonment Area</t>
  </si>
  <si>
    <t>An area containing military quarters.</t>
  </si>
  <si>
    <t>Typically consisting of the residential sections of a military installation, where tactical training may be limited due to other activities that would endanger and disrupt personnel and their dependents.</t>
  </si>
  <si>
    <t>AI020</t>
  </si>
  <si>
    <t>CaravanPark</t>
  </si>
  <si>
    <t>Caravan Park</t>
  </si>
  <si>
    <t>A prepared site, typically including facilities, used for holiday accommodations where caravans and/or motor homes are parked.</t>
  </si>
  <si>
    <t>Caravans are travel trailers towed behind vehicles while motor homes are self-contained vehicles used for both travel and accommodations. Facilities may include utility connections (for example: water, power, or gas), convenience store(s), showers, laundry facilities, and swimming pools.</t>
  </si>
  <si>
    <t>Mobile Home Park</t>
  </si>
  <si>
    <t>AP010</t>
  </si>
  <si>
    <t>CartTrack</t>
  </si>
  <si>
    <t>Cart Track</t>
  </si>
  <si>
    <t>An unimproved road.</t>
  </si>
  <si>
    <t>The surface is usually rough (for example: rutted) and minimally prepared (for example: packed earth or thinly covered with gravel).</t>
  </si>
  <si>
    <t>AL375</t>
  </si>
  <si>
    <t>Castle</t>
  </si>
  <si>
    <t>A single large fortified building that has thick walls, battlements, and often the presence of a moat, and is commonly of some historical significance.</t>
  </si>
  <si>
    <t>Historically castles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In more recent times elaborate country houses were built incorporating many design elements of a castle but which were not fully capable of being used as defensive structures. Examples of castles of both types include Doue-la-Fontaine and Neuschwanstein.</t>
  </si>
  <si>
    <t>AL376</t>
  </si>
  <si>
    <t>CastleComplex</t>
  </si>
  <si>
    <t>Castle Complex</t>
  </si>
  <si>
    <t>A fortified complex of buildings and related structures that consists principally of a central keep with surrounding thick walls, battlements, and often the presence of a moat, and is commonly of some historical significance.</t>
  </si>
  <si>
    <t>A castle complex may be quite extensive, including multiple distinct buildings of diverse function. Historically castle complexes were designed and constructed as defensive structures situated so as to dominate the surrounding countryside. With advancing technology, especially artillery, they have become obsolete for military defensive purposes and are now valued primarily for their historical significance. Examples of castle complexes include Prague and Windsor Castles.</t>
  </si>
  <si>
    <t>AC020</t>
  </si>
  <si>
    <t>CatalyticCracker</t>
  </si>
  <si>
    <t>Catalytic Cracker</t>
  </si>
  <si>
    <t>A device in which the separation of petroleum is carried out in the presence of a catalyst.</t>
  </si>
  <si>
    <t>AJ090</t>
  </si>
  <si>
    <t>CattleDippingTank</t>
  </si>
  <si>
    <t>Cattle Dipping Tank</t>
  </si>
  <si>
    <t>A small artificial pond used for immersing cattle in chemically treated water for disease control.</t>
  </si>
  <si>
    <t>Cattle Dipping Vat</t>
  </si>
  <si>
    <t>AQ063</t>
  </si>
  <si>
    <t>CausewayStructure</t>
  </si>
  <si>
    <t>Causeway Structure</t>
  </si>
  <si>
    <t>A solid raised way across a terrain obstacle (for example: a wetland or a body of shallow water) that is intended to support a transportation route (for example: a road or a railway).</t>
  </si>
  <si>
    <t>The causeway structure is often constructed from local fill supplemented by other materials (for example: rocks, boulders or gravel) and consists of a solid linear structure in the configuration of an embankment. Causeway structures are built just high enough to insure that the transportation route will remain passable during periods of flooding, tides and seasonal rainfall. Culverts may occur along the length of the causeway structure and individual sections of the causeway structure may be interrupted by bridges.</t>
  </si>
  <si>
    <t>DB028</t>
  </si>
  <si>
    <t>CaveChamber</t>
  </si>
  <si>
    <t>Cave Chamber</t>
  </si>
  <si>
    <t>An interconnected series of naturally occurring subterranean chambers.</t>
  </si>
  <si>
    <t>Typically located in limestone, and often open to the Earth's surface either vertically or horizontally. Alterations may have been made to the cave chamber.</t>
  </si>
  <si>
    <t>ZI071</t>
  </si>
  <si>
    <t>CaveInfo</t>
  </si>
  <si>
    <t>Cave Information</t>
  </si>
  <si>
    <t>A modeling entity collecting information (for example: its method of formation, its access orientation, its cultural significance) about a cave.</t>
  </si>
  <si>
    <t>DB029</t>
  </si>
  <si>
    <t>CaveMouth</t>
  </si>
  <si>
    <t>Cave Mouth</t>
  </si>
  <si>
    <t>The entrance to an interconnected series of naturally occurring subterranean chambers.</t>
  </si>
  <si>
    <t>Typically located in limestone, and often open to the Earth's surface either vertically or horizontally. Alterations may have been made to the cave mouth.</t>
  </si>
  <si>
    <t>AL030</t>
  </si>
  <si>
    <t>Cemetery</t>
  </si>
  <si>
    <t>A site and associated structures devoted to the burial of the dead.</t>
  </si>
  <si>
    <t>BH191</t>
  </si>
  <si>
    <t>Channel</t>
  </si>
  <si>
    <t>That part of a body of water, either ocean or inland, (sometimes dredged) deep enough for navigation through an area otherwise not navigable.</t>
  </si>
  <si>
    <t>It is usually marked by a single or double line of buoys and sometimes by leading lines. It is often the deepest part of a stream, bay or strait through which the main current flows.</t>
  </si>
  <si>
    <t>AH070</t>
  </si>
  <si>
    <t>A location to control passage and/or to register, declare and/or inspect goods, vehicles and/or people.</t>
  </si>
  <si>
    <t>BI010</t>
  </si>
  <si>
    <t>Cistern</t>
  </si>
  <si>
    <t>A man-made container used for the collection and/or storage of water.</t>
  </si>
  <si>
    <t>EC040</t>
  </si>
  <si>
    <t>ClearedWay</t>
  </si>
  <si>
    <t>Cleared Way</t>
  </si>
  <si>
    <t>A man-made cleared strip through a vegetated region.</t>
  </si>
  <si>
    <t>May be designed to: provide access for a road, railroad, pipeline, power transmission line, or electrical signal line; demarcate a boundary; obtain survey line-of-sight; or to impede the progress of forest fires (a firebreak).</t>
  </si>
  <si>
    <t>GB096</t>
  </si>
  <si>
    <t>Clearway</t>
  </si>
  <si>
    <t>A defined rectangular area on the ground or water under the control of the appropriate authority, selected or prepared as a suitable area over which an aircraft may make a portion of its initial climb to a specified height.</t>
  </si>
  <si>
    <t>A helicopter clearway is a defined area on the ground or water under the control of the appropriate authority, selected and/or prepared as a suitable area over which a performance Class 1 helicopter may accelerate and achieve a specific height.</t>
  </si>
  <si>
    <t>CWY</t>
  </si>
  <si>
    <t>FC185</t>
  </si>
  <si>
    <t>CommShippingActivityRegion</t>
  </si>
  <si>
    <t>Commercial Shipping Activity Region</t>
  </si>
  <si>
    <t>A geographic region characterized by a historical accounting of shipping lane location, width, distribution, and use by vessel size.</t>
  </si>
  <si>
    <t>Used, for example, for mission planning to identify areas of high and low commercial traffic for the submarine navigator and sonarman.</t>
  </si>
  <si>
    <t>GA099</t>
  </si>
  <si>
    <t>CompassLocator</t>
  </si>
  <si>
    <t>Compass Locator</t>
  </si>
  <si>
    <t>A low or medium powered Non-Directional Beacon (NDB) used as an aid for final approach.</t>
  </si>
  <si>
    <t>A locator usually has an average radius of rated coverage of between 18.5 and 46.3 kilometres (10 and 25 nautical miles).</t>
  </si>
  <si>
    <t>NDB Class Locator</t>
  </si>
  <si>
    <t>ZR940</t>
  </si>
  <si>
    <t>SC_CompoundCRS</t>
  </si>
  <si>
    <t>Compound Coordinate Reference System</t>
  </si>
  <si>
    <t>A coordinate reference system (CRS) describing the position of points through two or more independent single coordinate reference systems.</t>
  </si>
  <si>
    <t>Two coordinate reference systems are independent of each other if coordinate values in one cannot be converted or transformed into coordinate values in the other.</t>
  </si>
  <si>
    <t>FA210</t>
  </si>
  <si>
    <t>ConservationArea</t>
  </si>
  <si>
    <t>Conservation Area</t>
  </si>
  <si>
    <t>An area of land and/or sea especially dedicated to the protection and maintenance of biological diversity, and of natural and associated cultural resources, and managed through legal or other effective means.</t>
  </si>
  <si>
    <t>As determined, for example, by the International Union for Conservation of Nature and Natural Resources (IUCN).</t>
  </si>
  <si>
    <t>Protected Area</t>
  </si>
  <si>
    <t>FA041</t>
  </si>
  <si>
    <t>ContactZone</t>
  </si>
  <si>
    <t>Contact Zone</t>
  </si>
  <si>
    <t>A terrain strip 3 metres wide limited on the water side by the contact between land and water (under average water level conditions).</t>
  </si>
  <si>
    <t>FA012</t>
  </si>
  <si>
    <t>ContaminatedRegion</t>
  </si>
  <si>
    <t>Contaminated Region</t>
  </si>
  <si>
    <t>A region whose prevailing natural conditions have been degraded through contamination by harmful or objectionable substances.</t>
  </si>
  <si>
    <t>The contamination may be either naturally occurring or the result of human activity. For example, polluted by sewage or toxic chemicals, obscured by smoke or ash from volcanic eruptions, or contaminated by exposure to Chemical, Biological, Radiological, and/or Nuclear (CBRN) agents.</t>
  </si>
  <si>
    <t>AQ060</t>
  </si>
  <si>
    <t>ControlTower</t>
  </si>
  <si>
    <t>Control Tower</t>
  </si>
  <si>
    <t>A structure that houses personnel and equipment used to control the flow of traffic within a specified range of an installation.</t>
  </si>
  <si>
    <t>Examples of installations that use control towers are aerodromes, railways, and maritime routes.</t>
  </si>
  <si>
    <t>AF020</t>
  </si>
  <si>
    <t>Conveyor</t>
  </si>
  <si>
    <t>A mechanical device for conveying articles or materials during manufacture or processing using an endless moving belt or series of rollers.</t>
  </si>
  <si>
    <t>AD055</t>
  </si>
  <si>
    <t>CoolingFacility</t>
  </si>
  <si>
    <t>Cooling Facility</t>
  </si>
  <si>
    <t>A facility for the removal of thermal energy (for example: by generating and circulating chilled water) for cooling purposes.</t>
  </si>
  <si>
    <t>AF030</t>
  </si>
  <si>
    <t>CoolingTower</t>
  </si>
  <si>
    <t>Cooling Tower</t>
  </si>
  <si>
    <t>A tall tower for cooling hot water from an industrial process before reuse.</t>
  </si>
  <si>
    <t>ZR938</t>
  </si>
  <si>
    <t>SC_CRS</t>
  </si>
  <si>
    <t>Coordinate Reference System</t>
  </si>
  <si>
    <t>A Coordinate Reference System (CRS), which is a coordinate system that is related to an object by a datum.</t>
  </si>
  <si>
    <t>It is usually single but may be compound (using at least two independent coordinate reference systems).</t>
  </si>
  <si>
    <t>AL370</t>
  </si>
  <si>
    <t>CountryHouse</t>
  </si>
  <si>
    <t>Country House</t>
  </si>
  <si>
    <t>A house that is large and impressive enough to be considered a mansion (for example: having several dozen rooms) and is located on a large estate in the country and is occupied as the private residence of the landowner.</t>
  </si>
  <si>
    <t>The surrounding estate is typically at least several square kilometers in extent, comprised of a garden in the immediate vicinity of the house and a larger park beyond the garden with aesthetic, recreational, and/or agricultural (for example: animal grazing) purposes. The largest and grandest country houses are termed 'stately homes'. Historically country houses are located in Britain and Ireland.</t>
  </si>
  <si>
    <t>Chateaux</t>
  </si>
  <si>
    <t>AL175</t>
  </si>
  <si>
    <t>Courtyard</t>
  </si>
  <si>
    <t>An open area that is open to the sky and surrounded by walls or buildings forming the precincts of a larger facility (for example: an extended house, a castle, or a homestead), often in the form of an area that is enclosed by a single building.</t>
  </si>
  <si>
    <t>Historically, these areas in inns and public buildings were often the primary meeting places for some purposes, leading to the other meanings of the term 'court'.</t>
  </si>
  <si>
    <t>AF040</t>
  </si>
  <si>
    <t>Crane</t>
  </si>
  <si>
    <t>Equipment for lifting, shifting, and lowering objects or materials by means of a swinging boom or with the lifting apparatus supported on an overhead track.</t>
  </si>
  <si>
    <t>ZI093</t>
  </si>
  <si>
    <t>CrashWreckRemovalService</t>
  </si>
  <si>
    <t>Crash and Wreckage Removal Service</t>
  </si>
  <si>
    <t>A modeling entity collecting information about services available for the removal of damaged or disabled vehicles, displaced parts or leaked fluids at an aerodrome.</t>
  </si>
  <si>
    <t>Information collected includes existing preparedness plans and available resources, services and capabilities accessible in case of an accident.</t>
  </si>
  <si>
    <t>DB185</t>
  </si>
  <si>
    <t>Crater</t>
  </si>
  <si>
    <t>A bowl-shaped depression in the terrain, usually round and with steep sides.</t>
  </si>
  <si>
    <t>Craters commonly are created by the removal of material by explosions, either natural (for example: the eruption of a volcano) or artificial (for example: a bomb), originating at or below the Earth's surface, or by the impact of an object with the Earth (for example: a meteorite).</t>
  </si>
  <si>
    <t>BJ031</t>
  </si>
  <si>
    <t>Crevasse</t>
  </si>
  <si>
    <t>A deep crack or fissure in a glacier that results from differential movement of ice.</t>
  </si>
  <si>
    <t>DB061</t>
  </si>
  <si>
    <t>Crevice</t>
  </si>
  <si>
    <t>A narrow opening or fissure produced by a crack in the land, especially in rock.</t>
  </si>
  <si>
    <t>May also describe a deep vertical opening in the terrain that appears after an earthquake.</t>
  </si>
  <si>
    <t>BD020</t>
  </si>
  <si>
    <t>Crib</t>
  </si>
  <si>
    <t>A permanent structure set in the water, typically framed with wooden beams and filled with rocks or boulders that is used to anchor log booms or support other constructions (for example: submerged outfalls, diffusers, or piers).</t>
  </si>
  <si>
    <t>They may always be dry, submerged, or covered and uncovered. Cribs should not be confused with water intake towers which may sometimes also be termed a 'crib'.</t>
  </si>
  <si>
    <t>ZI013</t>
  </si>
  <si>
    <t>CropInfo</t>
  </si>
  <si>
    <t>Crop Information</t>
  </si>
  <si>
    <t>A modeling entity collecting information about the exploitation of vegetal and animal natural resources, including the activities of growing crops, raising animals, harvesting timber, and harvesting other plants, animals or animal products from a farm or their natural habitats.</t>
  </si>
  <si>
    <t>For example, the type of crop, the method of planting and the method of irrigation (if any).</t>
  </si>
  <si>
    <t>EA010</t>
  </si>
  <si>
    <t>CropLand</t>
  </si>
  <si>
    <t>Crop Land</t>
  </si>
  <si>
    <t>An area that has been tilled for the planting of crops.</t>
  </si>
  <si>
    <t>AQ062</t>
  </si>
  <si>
    <t>Crossing</t>
  </si>
  <si>
    <t>A location where land transportation routes intersect or cross at the same vertical level.</t>
  </si>
  <si>
    <t>For example, a railway crossing, a road intersection, and a ford.</t>
  </si>
  <si>
    <t>ZD030</t>
  </si>
  <si>
    <t>CulturalContextLocation</t>
  </si>
  <si>
    <t>Cultural Context Location</t>
  </si>
  <si>
    <t>A location that normally does not appear as a specific, characterized object but that represents an area where a specific cultural factor (for example: religion, ethnicity, language, or tribal/clan affiliation) predominates.</t>
  </si>
  <si>
    <t>AQ065</t>
  </si>
  <si>
    <t>Culvert</t>
  </si>
  <si>
    <t>An enclosed channel for carrying a watercourse (for example: a stream, a sewer, or a drain) under a route (for example: a road, a railway, or an embankment).</t>
  </si>
  <si>
    <t>Usually the construction of the route is unaffected.</t>
  </si>
  <si>
    <t>AQ036</t>
  </si>
  <si>
    <t>Curb</t>
  </si>
  <si>
    <t>A border of concrete, asphalt or stone forming part of a gutter along the edge of a street or road.</t>
  </si>
  <si>
    <t>ZI008</t>
  </si>
  <si>
    <t>CurveGeometryInfo</t>
  </si>
  <si>
    <t>Curve Geometry Information</t>
  </si>
  <si>
    <t>A modeling entity collecting geometric representation information about a feature that is modeled as a spatial curve.</t>
  </si>
  <si>
    <t>A spatial curve is a 1-dimensional geometric primitive, representing the continuous image of a line.</t>
  </si>
  <si>
    <t>ZI087</t>
  </si>
  <si>
    <t>CustomsImmigrationService</t>
  </si>
  <si>
    <t>Customs and Immigration Service</t>
  </si>
  <si>
    <t>A modeling entity collecting information regarding the availability and specifics of customs and immigration, including the facilities used for this service.</t>
  </si>
  <si>
    <t>DB070</t>
  </si>
  <si>
    <t>Cut</t>
  </si>
  <si>
    <t>An excavation in the terrain to provide passage for a land or water transportation route (for example: a road, a railway, and/or a canal).</t>
  </si>
  <si>
    <t>DB071</t>
  </si>
  <si>
    <t>CutLine</t>
  </si>
  <si>
    <t>Cut Line</t>
  </si>
  <si>
    <t>The demarcation line between a cut and the surrounding land surface.</t>
  </si>
  <si>
    <t>BI020</t>
  </si>
  <si>
    <t>Dam</t>
  </si>
  <si>
    <t>A barrier constructed to hold back water and raise its level to form a reservoir or to prevent flooding.</t>
  </si>
  <si>
    <t>ZR930</t>
  </si>
  <si>
    <t>MD_Distribution</t>
  </si>
  <si>
    <t>Data Distribution</t>
  </si>
  <si>
    <t>Information about the mechanisms available for obtaining the content of a resource.</t>
  </si>
  <si>
    <t>(ISO) information about the distributor of and options for obtaining the resource</t>
  </si>
  <si>
    <t>ZR931</t>
  </si>
  <si>
    <t>MD_Distributor</t>
  </si>
  <si>
    <t>Data Distributor</t>
  </si>
  <si>
    <t>Information about a distributor of the content of a resource.</t>
  </si>
  <si>
    <t>ZR932</t>
  </si>
  <si>
    <t>MD_Format</t>
  </si>
  <si>
    <t>Data Format</t>
  </si>
  <si>
    <t>A description of the form of the content of a resource.</t>
  </si>
  <si>
    <t>A description of the computer language construct that specifies the representation of data objects in a record, file, message, storage device or transmission channel.</t>
  </si>
  <si>
    <t>ZR928</t>
  </si>
  <si>
    <t>MD_DataIdentification</t>
  </si>
  <si>
    <t>Data Identification</t>
  </si>
  <si>
    <t>Information uniquely identifying a data resource.</t>
  </si>
  <si>
    <t>ZR924</t>
  </si>
  <si>
    <t>LI_Lineage</t>
  </si>
  <si>
    <t>Data Lineage</t>
  </si>
  <si>
    <t>Information about the events and/or source data used in creating the content of a resource as specified by its scope.</t>
  </si>
  <si>
    <t>ZR922</t>
  </si>
  <si>
    <t>DQ_DataQuality</t>
  </si>
  <si>
    <t>Data Quality</t>
  </si>
  <si>
    <t>Quality information for the content of a resource.</t>
  </si>
  <si>
    <t>ZI031</t>
  </si>
  <si>
    <t>Dataset</t>
  </si>
  <si>
    <t>A resource that is a set of instances of one or more modeling entities selected according to a single rationale (for example: a common production or publication process).</t>
  </si>
  <si>
    <t>For example, a set of modeling entities whose instances together constitute a 'water resources map'.</t>
  </si>
  <si>
    <t>ZI038</t>
  </si>
  <si>
    <t>DatasetGAMetadata</t>
  </si>
  <si>
    <t>Dataset GEOINT Assurance Metadata</t>
  </si>
  <si>
    <t>A modeling entity collecting assurance information about the quality of a Geospatial Intelligence (GEOINT) dataset.</t>
  </si>
  <si>
    <t>For example, the currency of the information known about a dataset or the degree to which the properties of a dataset are accurately and/or completely determined.</t>
  </si>
  <si>
    <t>GB050</t>
  </si>
  <si>
    <t>DefensiveRevetment</t>
  </si>
  <si>
    <t>Defensive Revetment</t>
  </si>
  <si>
    <t>A raised construction that protects a military asset (for example: aircraft or fighting vehicle), equipment (for example: radar station), and/or facility (for example: surface-to-air missile site) from hostile action.</t>
  </si>
  <si>
    <t>Defensive revetments may be constructed of sandbags, concrete, compacted earth, or other material such as logs or metal. They offer protection against low flying splinters, shrapnel, and/or projectiles from bombs, rockets, grenades, small arms fire and other line-of-sight weapons. High-angle, low-velocity fragments will still impact the exposed site.</t>
  </si>
  <si>
    <t>GB161</t>
  </si>
  <si>
    <t>DeIcingAntiIcingArea</t>
  </si>
  <si>
    <t>De-icing Anti-icing Area</t>
  </si>
  <si>
    <t>An area comprising an inner area for the parking of an aircraft to receive de-icing treatment and an outer area for the manoeuvring of two or more mobile de-icing equipment.</t>
  </si>
  <si>
    <t>De-icing Anti-Icing Pad</t>
  </si>
  <si>
    <t>GA510</t>
  </si>
  <si>
    <t>DepartureSegment</t>
  </si>
  <si>
    <t>Departure Segment</t>
  </si>
  <si>
    <t>The portion of a departure route between the runway and the first en-route segment.</t>
  </si>
  <si>
    <t>DB080</t>
  </si>
  <si>
    <t>Depression</t>
  </si>
  <si>
    <t>A sunken place in the terrain that is completely surrounded by higher terrain.</t>
  </si>
  <si>
    <t>BE019</t>
  </si>
  <si>
    <t>DepthArea</t>
  </si>
  <si>
    <t>Depth Area</t>
  </si>
  <si>
    <t>A water area whose depth is within a defined range of values.</t>
  </si>
  <si>
    <t>BE015</t>
  </si>
  <si>
    <t>DepthContour</t>
  </si>
  <si>
    <t>Depth Contour</t>
  </si>
  <si>
    <t>A line connecting points of equal depth at and below the hydrographic datum.</t>
  </si>
  <si>
    <t>Depth contours follow the rules for contour formation, that is, contours must close on themselves, must be continuous, and must precisely represent the shape of the bottom. Depth contours are usually based on detailed bathymetric information.</t>
  </si>
  <si>
    <t>BE010</t>
  </si>
  <si>
    <t>DepthCurve</t>
  </si>
  <si>
    <t>Depth Curve</t>
  </si>
  <si>
    <t>A navigational safety line indicating that no sounding of a lesser depth exists seaward of the line, but greater depths may occur on the shallow side of the line.</t>
  </si>
  <si>
    <t>Depth curves should not be confused with a depth contour. Depth curves are generalised, are biased towards safety of navigation, and do not fully follow the rules for contour formation, that is, contours must close on themselves, must be continuous, and must precisely represent the shape of the bottom.</t>
  </si>
  <si>
    <t>EE030</t>
  </si>
  <si>
    <t>Desert</t>
  </si>
  <si>
    <t>An arid and treeless uncultivated sparsely populated tract of land.</t>
  </si>
  <si>
    <t>ZR929</t>
  </si>
  <si>
    <t>MD_DigitalTransferOptions</t>
  </si>
  <si>
    <t>Digital Transfer Options</t>
  </si>
  <si>
    <t>The technical means by which a data resource is obtained from a distributor.</t>
  </si>
  <si>
    <t>ZI061</t>
  </si>
  <si>
    <t>DisasterInfo</t>
  </si>
  <si>
    <t>Disaster Information</t>
  </si>
  <si>
    <t>A modeling entity collecting information (for example: casualties, damage, economic cost) about a disaster (for example: flooding, hurricane, terrorist attack, tornado touchdown).</t>
  </si>
  <si>
    <t>A disaster is a serious disruption of the functioning of a community or a society causing widespread human, material, economic or environmental losses which exceed the ability of the affected community or society to cope using its own resources.</t>
  </si>
  <si>
    <t>FA530</t>
  </si>
  <si>
    <t>DisasterSite</t>
  </si>
  <si>
    <t>Disaster Site</t>
  </si>
  <si>
    <t>The site at which has occurred a serious disruption of the functioning of a community or a society causing widespread human, material, economic or environmental losses which exceed the ability of the affected community or society to cope using its own resources.</t>
  </si>
  <si>
    <t>BD030</t>
  </si>
  <si>
    <t>DiscolouredWater</t>
  </si>
  <si>
    <t>Discoloured Water</t>
  </si>
  <si>
    <t>A region of water having a colour distinctly different from that of the surrounding region.</t>
  </si>
  <si>
    <t>Discolored Water</t>
  </si>
  <si>
    <t>AT010</t>
  </si>
  <si>
    <t>DishAerial</t>
  </si>
  <si>
    <t>Dish Aerial</t>
  </si>
  <si>
    <t>A concave-shaped aerial that is used for emitting and/or sensing electromagnetic energy.</t>
  </si>
  <si>
    <t>For example, used to transmit and/or receive electronic signals as at a satellite station or to capture electromagnetic energy as in radio astronomy.</t>
  </si>
  <si>
    <t>Dish Antenna</t>
  </si>
  <si>
    <t>AL050</t>
  </si>
  <si>
    <t>DisplaySign</t>
  </si>
  <si>
    <t>Display Sign</t>
  </si>
  <si>
    <t>An upright panel or similar structure used to convey visual information.</t>
  </si>
  <si>
    <t>AB000</t>
  </si>
  <si>
    <t>DisposalSite</t>
  </si>
  <si>
    <t>Disposal Site</t>
  </si>
  <si>
    <t>A prepared or reserved site on land for the collection and/or deposition of waste, refuse or discarded material.</t>
  </si>
  <si>
    <t>Waste Pile</t>
  </si>
  <si>
    <t>ZB036</t>
  </si>
  <si>
    <t>DistanceMark</t>
  </si>
  <si>
    <t>Distance Mark</t>
  </si>
  <si>
    <t>A marker that indicates the value of distance measured from a starting location.</t>
  </si>
  <si>
    <t>Consists of either a solid visible structure or a distinct location without a special installation.</t>
  </si>
  <si>
    <t>GA041</t>
  </si>
  <si>
    <t>DistanceMeasuringEquipment</t>
  </si>
  <si>
    <t>Distance Measuring Equipment (DME)</t>
  </si>
  <si>
    <t>Ultra High Frequency (UHF) ground equipment that is used in conjunction with airborne equipment to determine distance between the airborne and ground equipment.</t>
  </si>
  <si>
    <t>DME Distance is defined as the line of sight distance (slant range) from the source of a DME signal to the receiving antenna. DME operates on the interrogation-answer principle where the time required for the round trip of the signal exchange is measured in the airborne DME unit and translated into DME Distance.</t>
  </si>
  <si>
    <t>DME</t>
  </si>
  <si>
    <t>BH030</t>
  </si>
  <si>
    <t>Ditch</t>
  </si>
  <si>
    <t>An artificial waterway with no flow, or a controlled flow, usually unlined, used for draining or irrigating land.</t>
  </si>
  <si>
    <t>BB095</t>
  </si>
  <si>
    <t>Dock</t>
  </si>
  <si>
    <t>An artificially enclosed body of water within which vessels may moor and which may have gates used to regulate the interior water level.</t>
  </si>
  <si>
    <t>BB080</t>
  </si>
  <si>
    <t>Dolphin</t>
  </si>
  <si>
    <t>A post or group of posts used for mooring, warping a ship or as an aid to navigation.</t>
  </si>
  <si>
    <t>AL060</t>
  </si>
  <si>
    <t>DragonsTeeth</t>
  </si>
  <si>
    <t>Dragon's Teeth</t>
  </si>
  <si>
    <t>Upward-pointing obstacles laid in the ground to slow or stop the movement of vehicles.</t>
  </si>
  <si>
    <t>Typically constructed of regularly spaced concrete or metal shapes laid in single or multiple rows.</t>
  </si>
  <si>
    <t>NA170</t>
  </si>
  <si>
    <t>DrainageBasin</t>
  </si>
  <si>
    <t>Drainage Basin</t>
  </si>
  <si>
    <t>An area of land within which all surface waters drain to a single outlet point located on an inland waterbody or watercourse.</t>
  </si>
  <si>
    <t>Watershed</t>
  </si>
  <si>
    <t>NA171</t>
  </si>
  <si>
    <t>DrainageLimit</t>
  </si>
  <si>
    <t>Drainage Limit</t>
  </si>
  <si>
    <t>A boundary defined by all or part of the outer limit of a drainage basin, which distinguishes the headstreams that are tributaries to different river systems or basins.</t>
  </si>
  <si>
    <t>FC034</t>
  </si>
  <si>
    <t>DredgedArea</t>
  </si>
  <si>
    <t>Dredged Area</t>
  </si>
  <si>
    <t>An area of the bottom of a body of water (for example: a channel) which has been deepened by dredging.</t>
  </si>
  <si>
    <t>AK070</t>
  </si>
  <si>
    <t>DriveInTheatre</t>
  </si>
  <si>
    <t>Drive-in Theatre</t>
  </si>
  <si>
    <t>A place where motion pictures are shown while viewers remain in their vehicles.</t>
  </si>
  <si>
    <t>Drive In Theater</t>
  </si>
  <si>
    <t>BB090</t>
  </si>
  <si>
    <t>DryDock</t>
  </si>
  <si>
    <t>Dry Dock</t>
  </si>
  <si>
    <t>An artificial basin fitted with a gate or caisson into which vessels can be floated and the water pumped out to expose the bottom of the vessel.</t>
  </si>
  <si>
    <t>Drydock, Graving Dock</t>
  </si>
  <si>
    <t>FC033</t>
  </si>
  <si>
    <t>DumpingGround</t>
  </si>
  <si>
    <t>Dumping Ground</t>
  </si>
  <si>
    <t>A sea area where dredged material or other potentially more harmful material (for example: explosives or chemical waste) is deliberately deposited.</t>
  </si>
  <si>
    <t>ZV020</t>
  </si>
  <si>
    <t>Earthquake</t>
  </si>
  <si>
    <t>An event in which sudden stress changes in the Earth's crust result in ground shaking and radiated seismic energy.</t>
  </si>
  <si>
    <t>Stress changes are most commonly associated with a sudden slip on a fault, but may also result from volcanic or magmatic activity.</t>
  </si>
  <si>
    <t>EE100</t>
  </si>
  <si>
    <t>EconomicReserve</t>
  </si>
  <si>
    <t>Economic Reserve</t>
  </si>
  <si>
    <t>A tract of public land reserved for future use and/or restricted as to present use.</t>
  </si>
  <si>
    <t>For example, reserved for hunting or limited gathering of uncultivated forest products.</t>
  </si>
  <si>
    <t>ZI062</t>
  </si>
  <si>
    <t>EducationalInfo</t>
  </si>
  <si>
    <t>Educational Information</t>
  </si>
  <si>
    <t>A modeling entity collecting information (for example: student age, enrollment, grade levels) about an educational facility (for example: an elementary school, a community college or a madrasah).</t>
  </si>
  <si>
    <t>ZI052</t>
  </si>
  <si>
    <t>ElecPowerCongestionInfo</t>
  </si>
  <si>
    <t>Electric Power Congestion Information</t>
  </si>
  <si>
    <t>A modeling entity collecting information about congestion in a component (for example: generation equipment, transmission lines, switching gear) of an electric power network.</t>
  </si>
  <si>
    <t>Electric power congestion is a condition that occurs when insufficient transmission capacity is available to implement all of the desired power transactions simultaneously; the result is the inability to supply a power consuming region or facility with the cheapest available generated power due to a limiting constraint (for example: transmission line overheating due to excessive loading) on the point to point transmission route. The bottlenecks in electric power networks where congestion often takes place are termed 'flowgates'. Electric power congestion at flowgates increases overall power system costs while resulting in voltage instability and limiting maximum delivered electric power to the load.</t>
  </si>
  <si>
    <t>FA135</t>
  </si>
  <si>
    <t>ElecPowerManagementRegion</t>
  </si>
  <si>
    <t>Electric Power Management Region</t>
  </si>
  <si>
    <t>A territorial region within which electric power production, consumption and/or distribution is managed.</t>
  </si>
  <si>
    <t>AD010</t>
  </si>
  <si>
    <t>ElectricPowerStation</t>
  </si>
  <si>
    <t>Electric Power Station</t>
  </si>
  <si>
    <t>A facility including one or more buildings and equipment used for electric power generation.</t>
  </si>
  <si>
    <t>An electric power station consists of one or more power generating units, each consisting of the full set of equipment required to generate power and capable of independent operation. The power generating units are located on one or more contiguous or adjacent properties, are under the common control of the same entity and supply power through a common connection to the electric grid. Electric power stations most commonly are used to generate electricity for long distance transmission.</t>
  </si>
  <si>
    <t>CA010</t>
  </si>
  <si>
    <t>ElevationContour</t>
  </si>
  <si>
    <t>Elevation Contour</t>
  </si>
  <si>
    <t>A line connecting points having the same elevation value relative to a vertical datum.</t>
  </si>
  <si>
    <t>DB090</t>
  </si>
  <si>
    <t>Embankment</t>
  </si>
  <si>
    <t>A man-made raised long mound of earth or other material.</t>
  </si>
  <si>
    <t>ZI090</t>
  </si>
  <si>
    <t>EmergencyMedicalService</t>
  </si>
  <si>
    <t>Emergency Medical Service</t>
  </si>
  <si>
    <t>A modeling entity collecting information regarding emergency medical services that a patient would receive outside of a hospital environment.</t>
  </si>
  <si>
    <t>Information collected includes types and availability of emergency services, personnel and transportation. Services may range from basic first aid to advanced life support. Personnel may include first responders, emergency medical technicians, paramedics,</t>
  </si>
  <si>
    <t>FA520</t>
  </si>
  <si>
    <t>EmergencyPlanningZone</t>
  </si>
  <si>
    <t>Emergency Planning Zone</t>
  </si>
  <si>
    <t>A territorial region for which agreed procedures are developed and maintained to prevent, reduce, control, mitigate and take other protective and/or ameliorative measures in the event of an emergency (for example: in the event of an accident at a nuclear facility).</t>
  </si>
  <si>
    <t>ZI091</t>
  </si>
  <si>
    <t>EmergencyResponseService</t>
  </si>
  <si>
    <t>Emergency Response Service</t>
  </si>
  <si>
    <t>A modeling entity collecting information regarding the service, or set of services, that operate in concert to minimize an immediate risk to health, life, property or environment during an emergency.</t>
  </si>
  <si>
    <t>Emergency response services include fire and rescue, law enforcement, and emergency medical service.</t>
  </si>
  <si>
    <t>ZI098</t>
  </si>
  <si>
    <t>EmergencyResponseEquipInfo</t>
  </si>
  <si>
    <t>Emergency Response Service Equipment Information</t>
  </si>
  <si>
    <t>A modeling entity collecting information regarding the type of equipment used to conduct emergency services at a facility</t>
  </si>
  <si>
    <t>For example, fire trucks, snow removal trucks, and wreckage handling and removal equipment.</t>
  </si>
  <si>
    <t>AF060</t>
  </si>
  <si>
    <t>EngineTestCell</t>
  </si>
  <si>
    <t>Engine Test Cell</t>
  </si>
  <si>
    <t>A structure wherein aircraft or rocket engines are tested.</t>
  </si>
  <si>
    <t>The most common test cells are used for testing the performance characteristics of jet engines and are typically located at military aerodromes or aerospace research and development facilities. Test cells for liquid-fueled rocket booster engines are unique, massive structures (for example: the test cell located at Stennis Space Flight Center in the U.S.).</t>
  </si>
  <si>
    <t>AH025</t>
  </si>
  <si>
    <t>EngineeredEarthwork</t>
  </si>
  <si>
    <t>Engineered Earthwork</t>
  </si>
  <si>
    <t>An excavation and/or embankment created by remolding the natural configuration of the terrain for the purpose of enhancing the defense of a site from armed attack.</t>
  </si>
  <si>
    <t>The earthwork may include ancillary elements (for example: a palisade) or reinforcements (for example: a concrete facing).</t>
  </si>
  <si>
    <t>GA045</t>
  </si>
  <si>
    <t>EnrouteAtsRoute</t>
  </si>
  <si>
    <t>Enroute Air Traffic Service (ATS) Route</t>
  </si>
  <si>
    <t>A specified route designed for channeling the flow of traffic as necessary for the provision of air traffic service (ATS) from the end of the take-off and initial climb phase to the commencement of the approach and landing phase.</t>
  </si>
  <si>
    <t>En-route Route</t>
  </si>
  <si>
    <t>ZI034</t>
  </si>
  <si>
    <t>Entity</t>
  </si>
  <si>
    <t>An abstract modeling entity that is a superclass for modeling entities having identity and that represents common properties (attributes and association roles) of its subclasses.</t>
  </si>
  <si>
    <t>Identity enables the ability to reference entity instances from other modeling entities. Common properties may include entity-related metadata, notes, and/or data-dissemination restriction(s) and security control(s) regarding the entity.</t>
  </si>
  <si>
    <t>ZI035</t>
  </si>
  <si>
    <t>EntityCollection</t>
  </si>
  <si>
    <t>Entity Collection</t>
  </si>
  <si>
    <t>A resource that collects instances of one or more modeling entities according to a common rationale (for example: based on a theme or spatial region).</t>
  </si>
  <si>
    <t>A transportation or drainage network are examples of thematically organized collections; a tessellation of the surface of a continent is an example of a spatially organized collection.</t>
  </si>
  <si>
    <t>ZI039</t>
  </si>
  <si>
    <t>EntityCollectGAMetadata</t>
  </si>
  <si>
    <t>Entity Collection GEOINT Assurance Metadata</t>
  </si>
  <si>
    <t>A modeling entity collecting assurance information about the quality of a Geospatial Intelligence (GEOINT) entity collection.</t>
  </si>
  <si>
    <t>For example, the currency of the information known about an entity collection or the degree to which the properties of an entity collection are accurately and/or completely determined.</t>
  </si>
  <si>
    <t>ZJ001</t>
  </si>
  <si>
    <t>EntityCollectionMetadata</t>
  </si>
  <si>
    <t>Entity Collection Metadata</t>
  </si>
  <si>
    <t>A modeling entity that relates resources consisting of collections of entities to metadata regarding those resources.</t>
  </si>
  <si>
    <t>Entities may be organized into collections according to a common rationale (for example: based on a theme or spatial region). A transportation or drainage network are examples of thematically organized collections; a tessellation of the surface of a continent is an example of a spatially organized collection.</t>
  </si>
  <si>
    <t>AQ090</t>
  </si>
  <si>
    <t>EntranceExit</t>
  </si>
  <si>
    <t>Entrance and/or Exit</t>
  </si>
  <si>
    <t>A location of entrance and/or exit.</t>
  </si>
  <si>
    <t>For example, a cave mouth or a doorway.</t>
  </si>
  <si>
    <t>ZI053</t>
  </si>
  <si>
    <t>EpaProgramInfo</t>
  </si>
  <si>
    <t>EPA Program Information</t>
  </si>
  <si>
    <t>A modeling entity collecting information (for example: name, acronym, purpose, Facility Registration System index) about a U.S. Environmental Protection Agency (EPA) program.</t>
  </si>
  <si>
    <t>The mission of the EPA is to protect human health and to safeguard the natural environment (air, water and land); it manages or participates in many programs that collect and manage data regarding pollution and remediation activities.</t>
  </si>
  <si>
    <t>ZI054</t>
  </si>
  <si>
    <t>EpaRiskManagementPlan</t>
  </si>
  <si>
    <t>EPA Risk Management Plan</t>
  </si>
  <si>
    <t>A modeling entity collecting information (for example: onsite toxic and/or flammable materials, accident history) about a risk management plan developed by a hazardous material facility in accordance with U.S. Environmental Protection Agency (EPA) requirements.</t>
  </si>
  <si>
    <t>Every 5 years, or sooner if changes occur, each hazardous material (termed 'hazmat') facility must submit to the EPA a Risk Management Plan (RMP) including site-specific prevention and emergency response programs. A RMP is an emergency management document that describes the broad, overall jurisdictional response to potential extraordinary emergencies or disasters. The EPA defines 'facility' as 'any buildings, structures, equipment, installations or substance emitting stationary activities (i) which belong to the same industrial group, (ii) which are located on one or more contiguous properties, (iii) which are under the control of the same person (or persons under common control), and (iv) from which an accidental release may occur.' Hazardous materials are substances or chemicals which can cause harm to people, plants, or animals when released into the environment,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these hazardous characteristics.</t>
  </si>
  <si>
    <t>DB100</t>
  </si>
  <si>
    <t>Esker</t>
  </si>
  <si>
    <t>A long, narrow ridge of sand and gravel deposited by a glacial stream.</t>
  </si>
  <si>
    <t>ZI113</t>
  </si>
  <si>
    <t>EthnicGroup</t>
  </si>
  <si>
    <t>Ethnic Group</t>
  </si>
  <si>
    <t>A social group whose members identify with the group based on a common cultural heritage (for example: as distinguished by customs, language, religious practices, or common history) and/or a presumed common genealogy or ancestry.</t>
  </si>
  <si>
    <t>Kinship-based ethnic groups are sometimes referred to as 'tribes' whereas those more closely associated with the evolution of a State are referred to as 'nations'.</t>
  </si>
  <si>
    <t>ZI030</t>
  </si>
  <si>
    <t>EventEntity</t>
  </si>
  <si>
    <t>Event Entity</t>
  </si>
  <si>
    <t>An abstract modeling entity that is a superclass for event types, which are representations of instantaneous or short-duration real-world phenomena, including their geometric position and extent.</t>
  </si>
  <si>
    <t>An event may be considered as a temporally transient feature, where the degree of transience distinguishing an 'event' from a 'feature' may be context-dependent.</t>
  </si>
  <si>
    <t>AF050</t>
  </si>
  <si>
    <t>ExcavatingMachine</t>
  </si>
  <si>
    <t>Excavating Machine</t>
  </si>
  <si>
    <t>A mechanical device for removing materials from the ground.</t>
  </si>
  <si>
    <t>For example, a dredger, a powershovel, and a dragline.</t>
  </si>
  <si>
    <t>BD001</t>
  </si>
  <si>
    <t>ExplosiveNavalMine</t>
  </si>
  <si>
    <t>Explosive Naval Mine</t>
  </si>
  <si>
    <t>An explosive device used in naval warfare deployed on or below the sea surface.</t>
  </si>
  <si>
    <t>AA010</t>
  </si>
  <si>
    <t>ExtractionMine</t>
  </si>
  <si>
    <t>Extraction Mine</t>
  </si>
  <si>
    <t>An excavation made in the terrain for the purpose of extracting and/or exploiting natural resources.</t>
  </si>
  <si>
    <t>AL010</t>
  </si>
  <si>
    <t>Facility</t>
  </si>
  <si>
    <t>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</si>
  <si>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For example, an industrial plant consisting of building(s), shipping dock(s), storage area(s), power transformer(s), heating and/or cooling equipment, vehicle parking, roads, railroad tracks, and perimeter fences and gates.</t>
  </si>
  <si>
    <t>AK090</t>
  </si>
  <si>
    <t>Fairground</t>
  </si>
  <si>
    <t>An area where permanent facilities exist to hold outdoor fairs, circuses or exhibitions.</t>
  </si>
  <si>
    <t>Fairgrounds</t>
  </si>
  <si>
    <t>AJ060</t>
  </si>
  <si>
    <t>Farm</t>
  </si>
  <si>
    <t>A tract of land, including buildings and structures, whose primary use is the production of food (for example: crops or livestock).</t>
  </si>
  <si>
    <t>A farm can be a holding of any size from a few dozen to many thousands of acres, and may be specialized to particular forms of food production, for example: a truck farm where primarily vegetables are grown, an orchard where tree fruit and/or nuts are grown, a vineyard where grapes are grown, and a ranch where livestock are raised on the range. A large farm or estate operating on the plantation economy model is termed an 'industrial farm' or 'plantation'.</t>
  </si>
  <si>
    <t>ZI065</t>
  </si>
  <si>
    <t>FccLicWirelessServInfo</t>
  </si>
  <si>
    <t>FCC-licensed Wireless Service Information</t>
  </si>
  <si>
    <t>A modeling entity collecting information (for example: call sign, service, class) about a wireless telecommunication service (for example: radio broadcast or digital mobile phone service) that has been licensed with the U.S. Federal Communication Commission (FCC).</t>
  </si>
  <si>
    <t>The FCC is charged with regulating interstate and international communications by radio, television, wire, satellite and cable. Wireless communications services licensed by the FCC include aviation services, cellular telephone, paging, personal communications services, and numerous commercial and private radio services. The latter include, for example: amateur and amateur-satellite services; Citizens Band (CB) radio service; microwave services; rural radiotelephone service; ship radio stations; and wireless medical telemetry.</t>
  </si>
  <si>
    <t>ZI064</t>
  </si>
  <si>
    <t>FccRegAntennaStructInfo</t>
  </si>
  <si>
    <t>FCC-registered Antenna Structure Information</t>
  </si>
  <si>
    <t>A modeling entity collecting selected information (for example: height, structure owner, license contact, license identifier) from a U.S. Federal Communication Commission (FCC) antenna structure registration record.</t>
  </si>
  <si>
    <t>The FCC Antenna Structure Registration (ASR) program allows the FCC to fulfill its statutory duty to require the painting and lighting of antenna structures that may pose a hazard to air navigation. Owners of antenna structures that meet the criteria for notification to the U.S. Federal Aviation Administration (generally those more than 60.96 metres (200 feet) in height or located near an aerodrome) are required to register with the FCC. An antenna structure is the radiating and/or receive system, its supporting structures and any appurtenances mounted thereon. An antenna structure could be a free standing structure, built specifically to support or act as an antenna, or it could be a structure mounted on some other man-made object (for example: a building or bridge). In the latter case, note that the structure must be registered with the FCC, not the building or bridge. Objects (for example: buildings, observation towers, bridges, windmills, and water towers) that do not have an antenna mounted on them are not antenna structures and are not registered (the FCC only has jurisdiction over antenna structures, and thus, other objects that do not house antennas are not required to be registered with the FCC, regardless of their location or height).</t>
  </si>
  <si>
    <t>ZI027</t>
  </si>
  <si>
    <t>FeatureAttGAMetadata</t>
  </si>
  <si>
    <t>Feature Attribute GEOINT Assurance Metadata</t>
  </si>
  <si>
    <t>A modeling entity collecting assurance information about the quality of the digital representation of a Geospatial Intelligence (GEOINT) feature attribute.</t>
  </si>
  <si>
    <t>For example, the currency of the information known about a feature attribute or the degree to which the attribute value is accurately and/or completely determined.</t>
  </si>
  <si>
    <t>ZI028</t>
  </si>
  <si>
    <t>FeatureEntity</t>
  </si>
  <si>
    <t>Feature Entity</t>
  </si>
  <si>
    <t>An abstract modeling entity that is a superclass for feature types, which are representations of temporally persistent real-world phenomena, including their geometric position and extent.</t>
  </si>
  <si>
    <t>The concept of a 'feature' is that of the ISO 19100-series standards and as such is not constrained to any specific representation; for example, surface representation such as grids and images are allowed in addition to vector representations.</t>
  </si>
  <si>
    <t>ZI026</t>
  </si>
  <si>
    <t>FeatureGAMetadata</t>
  </si>
  <si>
    <t>Feature GEOINT Assurance Metadata</t>
  </si>
  <si>
    <t>A modeling entity collecting assurance information about the quality of the digital representation of a Geospatial Intelligence (GEOINT) feature and its properties (attributes and associations).</t>
  </si>
  <si>
    <t>For example, the currency of the information known about a feature or the degree to which the properties of a feature are accurately and/or completely determined.</t>
  </si>
  <si>
    <t>AL070</t>
  </si>
  <si>
    <t>Fence</t>
  </si>
  <si>
    <t>A man-made barrier of relatively light structure used as an enclosure or boundary.</t>
  </si>
  <si>
    <t>Similar structures that are constructed of heavy materials (for example: stone, rock or masonry) are classified as walls.</t>
  </si>
  <si>
    <t>AQ070</t>
  </si>
  <si>
    <t>FerryCrossing</t>
  </si>
  <si>
    <t>Ferry Crossing</t>
  </si>
  <si>
    <t>A route where a ferry crosses from one shore to another.</t>
  </si>
  <si>
    <t>AQ080</t>
  </si>
  <si>
    <t>FerryStation</t>
  </si>
  <si>
    <t>Ferry Station</t>
  </si>
  <si>
    <t>A location where a ferry takes on or discharges its load.</t>
  </si>
  <si>
    <t>Ferry Site</t>
  </si>
  <si>
    <t>GB032</t>
  </si>
  <si>
    <t>FinalApproachTakeOffArea</t>
  </si>
  <si>
    <t>Final Approach and Take-off Area (FATO)</t>
  </si>
  <si>
    <t>A defined area over which the final phase of the aircraft/helicopter approach manoeuvre to hover or land is completed and from which the take-off manoeuvre is commenced.</t>
  </si>
  <si>
    <t>Where the FATO is to be used by performance Class 1 helicopters, the defined area includes the rejected take-off area available.</t>
  </si>
  <si>
    <t>FATO</t>
  </si>
  <si>
    <t>GB036</t>
  </si>
  <si>
    <t>FinalAppTakeOffAreaSafety</t>
  </si>
  <si>
    <t>Final Approach and Take-off Area (FATO) Safety Area</t>
  </si>
  <si>
    <t>A defined area on a heliport surrounding the FATO which is free of obstacles, other than those required for air navigation purposes, and intended to reduce the risk of damage to aircraft/helicopters accidentally diverging from the FATO.</t>
  </si>
  <si>
    <t>FATO Protection Area, Safety Area</t>
  </si>
  <si>
    <t>GA280</t>
  </si>
  <si>
    <t>FinalApproachSegment</t>
  </si>
  <si>
    <t>Final Approach Segment (FAS)</t>
  </si>
  <si>
    <t>That segment of an Instrument Approach Procedure (IAP) in which alignment and descent for landing are accomplished.</t>
  </si>
  <si>
    <t>GA281</t>
  </si>
  <si>
    <t>FinalApproachSegDataBlock</t>
  </si>
  <si>
    <t>Final Approach Segment (FAS) Data Block</t>
  </si>
  <si>
    <t>A set of parameters used to define two specific geometric locations used as navigational points for aircraft utilizing precision Area Navigation (RNAV) approach procedures to land an aircraft in adverse approach conditions.</t>
  </si>
  <si>
    <t>ZI059</t>
  </si>
  <si>
    <t>FinancialServiceInfo</t>
  </si>
  <si>
    <t>Financial Service Information</t>
  </si>
  <si>
    <t>A modeling entity collecting information (for example: asset type, total value, trading volume) about a financial asset or service (for example: banking deposits, mortgage loans, stock brokerage, mutual fund management, insurance).</t>
  </si>
  <si>
    <t>ZI058</t>
  </si>
  <si>
    <t>FinancialTransactionInfo</t>
  </si>
  <si>
    <t>Financial Transaction Information</t>
  </si>
  <si>
    <t>A modeling entity collecting information (for example: types of payment mechanism, specific credit cards accepted) about financial transactions associated with a feature or organization.</t>
  </si>
  <si>
    <t>ZI051</t>
  </si>
  <si>
    <t>FireFightingCapInfo</t>
  </si>
  <si>
    <t>Fire Fighting Capability Information</t>
  </si>
  <si>
    <t>A modeling entity collecting information (for example: equipment types and counts, personnel and their training) about the fire fighting capabilities of a feature (for example: a facility or a building).</t>
  </si>
  <si>
    <t>AL017</t>
  </si>
  <si>
    <t>FireHydrant</t>
  </si>
  <si>
    <t>Fire Hydrant</t>
  </si>
  <si>
    <t>An apparatus for drawing water directly from a main, especially alongside a street or road, consisting of a pipe with one or more nozzles or spouts, to which a hose of a fire-engine may be attached.</t>
  </si>
  <si>
    <t>FA015</t>
  </si>
  <si>
    <t>FiringRange</t>
  </si>
  <si>
    <t>Firing Range</t>
  </si>
  <si>
    <t>A site designated for the purpose of discharging firearms or detonating munitions.</t>
  </si>
  <si>
    <t>Gunnery Range, Weapons Range</t>
  </si>
  <si>
    <t>BH051</t>
  </si>
  <si>
    <t>FishFarmFacility</t>
  </si>
  <si>
    <t>Fish Farm Facility</t>
  </si>
  <si>
    <t>A facility involved in the breeding (hatching and associated activities) and cultivation (raising for release or harvesting) of fish in tanks or landlocked enclosures.</t>
  </si>
  <si>
    <t>Fish species raised on fish farms include, for example, salmon, catfish, tilapia, cod, carp, and trout.</t>
  </si>
  <si>
    <t>BD125</t>
  </si>
  <si>
    <t>FishHaven</t>
  </si>
  <si>
    <t>Fish Haven</t>
  </si>
  <si>
    <t>An area on a water body bottom established to simulate a natural reef and intended to enhance fishery resources and commercial and/or recreational fishing opportunities.</t>
  </si>
  <si>
    <t>The haven (reef) is constructed by dumping (or emplacing) assorted scrap materials (or artificial structures) in areas which may be of very small extent or may stretch a considerable distance along a depth contour.</t>
  </si>
  <si>
    <t>Fishery Reef</t>
  </si>
  <si>
    <t>BI060</t>
  </si>
  <si>
    <t>FishLadder</t>
  </si>
  <si>
    <t>Fish Ladder</t>
  </si>
  <si>
    <t>A series of ascending pools constructed to enable fish to swim upstream over (or around) a dam.</t>
  </si>
  <si>
    <t>BB112</t>
  </si>
  <si>
    <t>FishTrapArea</t>
  </si>
  <si>
    <t>Fish Trap Area</t>
  </si>
  <si>
    <t>An area containing structures (usually portable) for catching fish.</t>
  </si>
  <si>
    <t>BB110</t>
  </si>
  <si>
    <t>FishWeir</t>
  </si>
  <si>
    <t>Fish Weir</t>
  </si>
  <si>
    <t>A fence of stakes or wall of stones set in a river or along the shore to direct fish towards fish traps or nets.</t>
  </si>
  <si>
    <t>The weir is shaped so as to encourage fish to naturally congregate, usually based on river or tidal flow. Although generally consisting of linear segments on rivers, in shore areas one or more components may be curved so as to form an enclosure with a narrow entrance. When constructed of stones the thickness of the wall constitutes a permanent hazard to maritime navigation.</t>
  </si>
  <si>
    <t>FC187</t>
  </si>
  <si>
    <t>FisherySpeciesDistribution</t>
  </si>
  <si>
    <t>Fishery Species Distribution</t>
  </si>
  <si>
    <t>A geographic region describing the distribution of a marine species that may sustain a fishery.</t>
  </si>
  <si>
    <t>Fisheries may be characterized as commercial and/or artisanal.</t>
  </si>
  <si>
    <t>BB100</t>
  </si>
  <si>
    <t>FishingStakes</t>
  </si>
  <si>
    <t>Fishing Stakes</t>
  </si>
  <si>
    <t>Poles or stakes placed in shallow water to outline fishing grounds or to catch fish.</t>
  </si>
  <si>
    <t>Fish Stakes</t>
  </si>
  <si>
    <t>FC186</t>
  </si>
  <si>
    <t>FishingVesselActivityRegion</t>
  </si>
  <si>
    <t>Fishing Vessel Activity Region</t>
  </si>
  <si>
    <t>A geographic region characterized by a historical level of large-scale (generally greater than 100 gross ton) commercial fishing activity.</t>
  </si>
  <si>
    <t>Typically only fishing vessels traveling at trawling speeds (typically not exceeding 6 knots) are included, and regions near the coastline (for example: less than 10 nautical miles) are excluded.</t>
  </si>
  <si>
    <t>AL073</t>
  </si>
  <si>
    <t>Flagpole</t>
  </si>
  <si>
    <t>A staff or pole on which a flag is raised.</t>
  </si>
  <si>
    <t>AF070</t>
  </si>
  <si>
    <t>FlarePipe</t>
  </si>
  <si>
    <t>Flare Pipe</t>
  </si>
  <si>
    <t>An open-ended pipe at which waste gases are burned.</t>
  </si>
  <si>
    <t>BD123</t>
  </si>
  <si>
    <t>FloatingBarrier</t>
  </si>
  <si>
    <t>Floating Barrier</t>
  </si>
  <si>
    <t>A floating barrier used to protect a region of a body of water or to create a sheltered area on a body of water for storage purposes.</t>
  </si>
  <si>
    <t>For example, a boom placed around an oil tanker to catch accidental releases of oil or placed so as to enclose and contain rafted logs.</t>
  </si>
  <si>
    <t>BB199</t>
  </si>
  <si>
    <t>FloatingDryDock</t>
  </si>
  <si>
    <t>Floating Dry Dock</t>
  </si>
  <si>
    <t>A form of dry dock consisting of a floating structure of one or more sections which can be partly submerged by controlled flooding to receive a vessel, then raised by pumping out the water so that the vessel's bottom can be exposed.</t>
  </si>
  <si>
    <t>BI044</t>
  </si>
  <si>
    <t>FloodControlStructure</t>
  </si>
  <si>
    <t>Flood Control Structure</t>
  </si>
  <si>
    <t>An artificial structure or gate that is utilized as a defense against flooding or storm surges.</t>
  </si>
  <si>
    <t>Consideration should be given to using the more specific Dam or Embankment features where appropriate in lieu of Flood Control Structure.</t>
  </si>
  <si>
    <t>BC101</t>
  </si>
  <si>
    <t>FogSignal</t>
  </si>
  <si>
    <t>Fog Signal</t>
  </si>
  <si>
    <t>A device (for example: located on a vessel or an aid to navigation) that transmits a warning signal during periods of low visibility, especially due to fog.</t>
  </si>
  <si>
    <t>BH070</t>
  </si>
  <si>
    <t>Ford</t>
  </si>
  <si>
    <t>A shallow place in a body of water used as a crossing.</t>
  </si>
  <si>
    <t>BA023</t>
  </si>
  <si>
    <t>Foreshore</t>
  </si>
  <si>
    <t>The part of the shore or beach which lies between the low water mark and the upper limit of normal wave action.</t>
  </si>
  <si>
    <t>EC015</t>
  </si>
  <si>
    <t>Forest</t>
  </si>
  <si>
    <t>A tract of land primarily covered by trees and undergrowth.</t>
  </si>
  <si>
    <t>The area is sometimes mixed with pasture.</t>
  </si>
  <si>
    <t>EC060</t>
  </si>
  <si>
    <t>ForestClearing</t>
  </si>
  <si>
    <t>Forest Clearing</t>
  </si>
  <si>
    <t>A site in a forest or wood(s) that has been cleared, often for slash and burn agriculture and/or as a result of clear-cutting logging.</t>
  </si>
  <si>
    <t>May also occur from natural causes such as a forest fire.</t>
  </si>
  <si>
    <t>AH055</t>
  </si>
  <si>
    <t>FortifiedBuilding</t>
  </si>
  <si>
    <t>Fortified Building</t>
  </si>
  <si>
    <t>A building that is specifically designed or reinforced to provide for defense from armed attack.</t>
  </si>
  <si>
    <t>BD050</t>
  </si>
  <si>
    <t>FoulGround</t>
  </si>
  <si>
    <t>Foul Ground</t>
  </si>
  <si>
    <t>A region over which it is safe to navigate but which should be avoided for anchoring, intentional grounding, or ground fishing.</t>
  </si>
  <si>
    <t>BH075</t>
  </si>
  <si>
    <t>Fountain</t>
  </si>
  <si>
    <t>A monumental and/or ornamental structure containing moving water, often including jets, falls, or other decorative features.</t>
  </si>
  <si>
    <t>The structure is often of a civic nature; the water is typically recirculated.</t>
  </si>
  <si>
    <t>AM075</t>
  </si>
  <si>
    <t>FuelStorageFacility</t>
  </si>
  <si>
    <t>Fuel Storage Facility</t>
  </si>
  <si>
    <t>A facility for the storage of fuel (for example: jet fuel, gasoline, or diesel oil).</t>
  </si>
  <si>
    <t>The fuel is typically stored in large tanks that may be partially or wholly buried and is accompanied by metering and dispensing equipment. Facilities may range in size from a small stockpile of drums (sometimes termed a 'fuel dump') to a large perimeter-controlled site with multiple permanent surface tanks, in-ground pipelines and associated equipment (sometimes termed a 'fuel depot').</t>
  </si>
  <si>
    <t>AL080</t>
  </si>
  <si>
    <t>Gantry</t>
  </si>
  <si>
    <t>A permanent raised structure used to support equipment (for example: cranes, signal lights, or signs) while spanning over or around an object (for example: over a road or railroad, or around a ship hull or rocket).</t>
  </si>
  <si>
    <t>A gantry may be moveable (for example: a rocket gantry may be repositioned away from the launch pad when pre-launch preparations are complete). A 'scaffold' is a structure that may be similar in appearance but is assembled only for temporary use (for example: during external repair of a building).</t>
  </si>
  <si>
    <t>AP040</t>
  </si>
  <si>
    <t>Gate</t>
  </si>
  <si>
    <t>A barrier on a transportation route (for example: a road, a railway, a tunnel, or a bridge) that controls passage (may be opened and closed).</t>
  </si>
  <si>
    <t>BI070</t>
  </si>
  <si>
    <t>GaugingStation</t>
  </si>
  <si>
    <t>Gauging Station</t>
  </si>
  <si>
    <t>A device that monitors river flow and/or depth, and any associated support structures.</t>
  </si>
  <si>
    <t>ZR909</t>
  </si>
  <si>
    <t>EX_GeographicBoundingBox</t>
  </si>
  <si>
    <t>Geographic Bounding Box</t>
  </si>
  <si>
    <t>The geographic extent of the content of a resource.</t>
  </si>
  <si>
    <t>This is only an approximate reference so specifying the coordinate reference system is unnecessary.</t>
  </si>
  <si>
    <t>ZR908</t>
  </si>
  <si>
    <t>EX_BoundingPolygon</t>
  </si>
  <si>
    <t>Geographic Bounding Polygon</t>
  </si>
  <si>
    <t>A boundary enclosing a dataset, expressed as the closed set of (x,y) coordinates of the polygon (last point replicates first point).</t>
  </si>
  <si>
    <t>ZR910</t>
  </si>
  <si>
    <t>EX_GeographicDescription</t>
  </si>
  <si>
    <t>Geographic Description</t>
  </si>
  <si>
    <t>A description of a geographic area using identifiers.</t>
  </si>
  <si>
    <t>ZR911</t>
  </si>
  <si>
    <t>EX_GeographicExtent</t>
  </si>
  <si>
    <t>Geographic Extent</t>
  </si>
  <si>
    <t>A geographic extent of the content of a resource.</t>
  </si>
  <si>
    <t>ZD012</t>
  </si>
  <si>
    <t>GeographicInfoLocation</t>
  </si>
  <si>
    <t>Geographic Information Location</t>
  </si>
  <si>
    <t>A location that does not appear as a specific, characterized object but with which specific information is associated.</t>
  </si>
  <si>
    <t>ZI015</t>
  </si>
  <si>
    <t>GeoNameCollection</t>
  </si>
  <si>
    <t>Geographic Name Collection</t>
  </si>
  <si>
    <t>A modeling entity collecting the set of geographic name(s) used to denote a feature along with a geographic location suitable for use in a gazetteer.</t>
  </si>
  <si>
    <t>ZI005</t>
  </si>
  <si>
    <t>GeoNameInfo</t>
  </si>
  <si>
    <t>Geographic Name Information</t>
  </si>
  <si>
    <t>A modeling entity specifying both a name used to denote a feature and related information establishing the context for, and use of, that name.</t>
  </si>
  <si>
    <t>DB110</t>
  </si>
  <si>
    <t>GeologicFault</t>
  </si>
  <si>
    <t>Geologic Fault</t>
  </si>
  <si>
    <t>A fracture or zone of fractures in a rock formation, marked by the relative displacement on either side of the plane of the fracture.</t>
  </si>
  <si>
    <t>The intersection of a geologic fault with the ground surface is termed the 'fault trace' and is commonly plotted on maps to represent a fault. Since geologic faults do not usually consist of a single, clean fracture, the term 'fault zone' (or 'distributed fault') is often used when referring to the zone of complex deformation and numerous small fractures that is associated with the fault plane.</t>
  </si>
  <si>
    <t>ZG904</t>
  </si>
  <si>
    <t>GM_Curve</t>
  </si>
  <si>
    <t>Geometry Curve</t>
  </si>
  <si>
    <t>A descendent subclass of GM_Primitive through GM_OrientablePrimitive that is the basis for 1-dimensional geometry.</t>
  </si>
  <si>
    <t xml:space="preserve">Curves are continuous, connected, and have a measurable length in terms of the coordinate system. The orientation of the curve is determined by this parameterization, and is consistent with the tangent function, which approximates the derivative function </t>
  </si>
  <si>
    <t>ZI029</t>
  </si>
  <si>
    <t>GeometryInfo</t>
  </si>
  <si>
    <t>Geometry Information</t>
  </si>
  <si>
    <t>An abstract modeling entity serving as a superclass that collects shared properties (attributes and associations) of modeling entities that specify geometric representation information about a feature.</t>
  </si>
  <si>
    <t>For example, the horizontal and/or vertical metadata, notes, and/or restriction(s) and/or security control(s) applicable to dissemination of data regarding the geometric representation of the feature.</t>
  </si>
  <si>
    <t>ZG901</t>
  </si>
  <si>
    <t>GM_Object</t>
  </si>
  <si>
    <t>Geometry Object</t>
  </si>
  <si>
    <t>The root class of the geometric object taxonomy that supports interfaces common to all geographically referenced geometric objects.</t>
  </si>
  <si>
    <t>ZG907</t>
  </si>
  <si>
    <t>GM_OrientableCurve</t>
  </si>
  <si>
    <t>Geometry Orientable Curve</t>
  </si>
  <si>
    <t>A curve and an orientation inherited from GM_OrientablePrimitive.</t>
  </si>
  <si>
    <t>If the orientation is '+', then the GM_OrientableCurve is a GM_Curve. If the orientation is '-', then the GM_OrientableCurve is related to another GM_Curve with a parameterization that reverses the sense of the curve traversal.</t>
  </si>
  <si>
    <t>ZG906</t>
  </si>
  <si>
    <t>GM_OrientablePrimitive</t>
  </si>
  <si>
    <t>Geometry Orientable Primitive</t>
  </si>
  <si>
    <t>A primitive that can be mirrored into a new geometric object in terms of its internal local coordinate system (manifold chart).</t>
  </si>
  <si>
    <t>For curves, the orientation reflects the direction in which the curve is traversed, that is, the sense of its parameterization. When used as boundary curves, the surface being bounded is to the 'left' of the oriented curve. For surfaces, the orientation r</t>
  </si>
  <si>
    <t>ZG908</t>
  </si>
  <si>
    <t>GM_OrientableSurface</t>
  </si>
  <si>
    <t>Geometry Orientable Surface</t>
  </si>
  <si>
    <t>A surface and an orientation inherited from GM_OrientablePrimitive.</t>
  </si>
  <si>
    <t>If the orientation is '+', then the GM_OrientableSurface is a GM_Surface. If the orientation is '-', then the GM_OrientableSurface is a reference to a GM_Surface with an upNormal that reverses the direction for this GM_OrientableSurface, the sense of 'the</t>
  </si>
  <si>
    <t>ZG903</t>
  </si>
  <si>
    <t>GM_Point</t>
  </si>
  <si>
    <t>Geometry Point</t>
  </si>
  <si>
    <t>A 0-dimensional geometric primitive, representing a position, but not having extent.</t>
  </si>
  <si>
    <t>ZG902</t>
  </si>
  <si>
    <t>GM_Primitive</t>
  </si>
  <si>
    <t>Geometry Primitive</t>
  </si>
  <si>
    <t>A geometric object that is not decomposed further into other primitives in the system.</t>
  </si>
  <si>
    <t>This includes curves and surfaces, even though they are composed of curve segments and surface patches, respectively. This composition is a strong aggregation: curve segments and surface patches cannot exist outside the context of a primitive. Its main pu</t>
  </si>
  <si>
    <t>ZG905</t>
  </si>
  <si>
    <t>GM_Surface</t>
  </si>
  <si>
    <t>Geometry Surface</t>
  </si>
  <si>
    <t>A subclass of GM_Primitive and is the basis for 2-dimensional geometry.</t>
  </si>
  <si>
    <t>Unorientable surfaces such as the Möbius band are not allowed. The orientation of a surface chooses an 'up' direction through the choice of the upward normal, which, if the surface is not a cycle, is the side of the surface from which the exterior boundar</t>
  </si>
  <si>
    <t>ZD551</t>
  </si>
  <si>
    <t>GeomorphicBreakline</t>
  </si>
  <si>
    <t>Geomorphic Break-line</t>
  </si>
  <si>
    <t>A line along which the slope of a land surface model changes relatively abruptly.</t>
  </si>
  <si>
    <t>For example, a ridge line and a cliff. Land surface models use elevation data to approximate the shape of the terrain as a continuous mathematical surface.</t>
  </si>
  <si>
    <t>ZD550</t>
  </si>
  <si>
    <t>GeomorphicExtreme</t>
  </si>
  <si>
    <t>Geomorphic Extreme</t>
  </si>
  <si>
    <t>A location where the slope of a land surface model changes sign when approached from any direction.</t>
  </si>
  <si>
    <t>For example, a peak and a pit. Land surface models approximate the shape of the terrain as a continuous surface based on limited data.</t>
  </si>
  <si>
    <t>FA091</t>
  </si>
  <si>
    <t>GeophysicalDataTrackLine</t>
  </si>
  <si>
    <t>Geophysical Data Track Line</t>
  </si>
  <si>
    <t>A track along which a series of geophysical data observations are distributed.</t>
  </si>
  <si>
    <t>FA002</t>
  </si>
  <si>
    <t>GeopoliticalEntity</t>
  </si>
  <si>
    <t>Geopolitical Entity</t>
  </si>
  <si>
    <t>A region controlled by a political community having an organized government and possessing internal and external sovereignty, most often as a State but sometimes having a dependent relationship on another political authority or a special sovereignty status.</t>
  </si>
  <si>
    <t>The degree of sovereignty may be limited in specific areas (for example: matters of economic, administrative, legislative, judicial, military and/or foreign policy). The region controlled by a sovereign geopolitical entity is commonly referred to as a 'country'.</t>
  </si>
  <si>
    <t>ZI020</t>
  </si>
  <si>
    <t>GeopoliticalEntityDesig</t>
  </si>
  <si>
    <t>Geopolitical Entity Designation</t>
  </si>
  <si>
    <t>A modeling entity collecting information about designations (for example: standardized names or codes) for a geopolitical entity (for example: a State).</t>
  </si>
  <si>
    <t>FA004</t>
  </si>
  <si>
    <t>GeopoliticalLine</t>
  </si>
  <si>
    <t>Geopolitical Line</t>
  </si>
  <si>
    <t>A geospatially described boundary representing the limits of authority for administration, control, military and/or other kinds of activities, as asserted by one or more political organizations (whether unilaterally or in agreement), including recognized governments, provisional authorities, and international bodies.</t>
  </si>
  <si>
    <t>A geopolitical line is typically indicated at ground level, but in effect represents a two-dimensional plane roughly perpendicular to the Earth’s surface along that line, passing through the air above and the ground below.</t>
  </si>
  <si>
    <t>DB115</t>
  </si>
  <si>
    <t>GeothermalOutlet</t>
  </si>
  <si>
    <t>Geothermal Outlet</t>
  </si>
  <si>
    <t>A terrain surface feature controlled by or derived from the heat of the Earth's interior.</t>
  </si>
  <si>
    <t>For example, a hot spring.</t>
  </si>
  <si>
    <t>BJ030</t>
  </si>
  <si>
    <t>Glacier</t>
  </si>
  <si>
    <t>A large mass or river of ice formed by accumulation and compaction of snow on higher ground that is moving slowly down a slope or valley from above the snowline.</t>
  </si>
  <si>
    <t>GA040</t>
  </si>
  <si>
    <t>GlobalNavSatelliteSystem</t>
  </si>
  <si>
    <t>Global Navigation Satellite System (GNSS)</t>
  </si>
  <si>
    <t>A wide area service based on a satellite constellation providing radio frequency signals which can be used by airborne equipment to determine the aircraft's two-dimensional position, or depending upon the capabilities of the system, a three-dimensional position.</t>
  </si>
  <si>
    <t>For example: GLObal NAvigation Satellite System (GLONASS), Global Positioning System (GPS), Wide Area Augmentation System (WAAS), or European Geostationary Navigation Overlay Service (EGNOS).</t>
  </si>
  <si>
    <t>GNSS</t>
  </si>
  <si>
    <t>AK100</t>
  </si>
  <si>
    <t>GolfCourse</t>
  </si>
  <si>
    <t>Golf Course</t>
  </si>
  <si>
    <t>A tract of land on which golf is played.</t>
  </si>
  <si>
    <t>AK101</t>
  </si>
  <si>
    <t>GolfDrivingRange</t>
  </si>
  <si>
    <t>Golf Driving Range</t>
  </si>
  <si>
    <t>A parcel of land used for practicing golf shots.</t>
  </si>
  <si>
    <t>AM030</t>
  </si>
  <si>
    <t>GrainElevator</t>
  </si>
  <si>
    <t>Grain Elevator</t>
  </si>
  <si>
    <t>A tall structure, equipped for loading, unloading, processing, and/or storing grain.</t>
  </si>
  <si>
    <t>AM020</t>
  </si>
  <si>
    <t>GrainStorageStructure</t>
  </si>
  <si>
    <t>Grain Storage Structure</t>
  </si>
  <si>
    <t>An enclosed container, used for storing grain or fodder.</t>
  </si>
  <si>
    <t>AK110</t>
  </si>
  <si>
    <t>Grandstand</t>
  </si>
  <si>
    <t>A structure for special viewing of outdoor events, usually roofed, that has tiers of seats or standing room for spectators.</t>
  </si>
  <si>
    <t>EB010</t>
  </si>
  <si>
    <t>Grassland</t>
  </si>
  <si>
    <t>A tract covered mainly by grasses that have little or no woody tissue.</t>
  </si>
  <si>
    <t>For example, pasture, meadow, and steppe.</t>
  </si>
  <si>
    <t>AL035</t>
  </si>
  <si>
    <t>Grave</t>
  </si>
  <si>
    <t>A site where a human corpse is buried.</t>
  </si>
  <si>
    <t>It normally contains a single human corpse, however in some cultures servants and/or animals are buried with the deceased. The site is usually marked.</t>
  </si>
  <si>
    <t>AL090</t>
  </si>
  <si>
    <t>GraveMarker</t>
  </si>
  <si>
    <t>Grave Marker</t>
  </si>
  <si>
    <t>A marker indicating an individual grave site.</t>
  </si>
  <si>
    <t>Often located at a cemetery.</t>
  </si>
  <si>
    <t>Headstone</t>
  </si>
  <si>
    <t>AJ110</t>
  </si>
  <si>
    <t>Greenhouse</t>
  </si>
  <si>
    <t>A structure, sometimes recognized as a building, constructed primarily of transparent material (for example: glass or plastic), in which temperature and humidity can be controlled for the cultivation and/or protection of plants.</t>
  </si>
  <si>
    <t>Greenhouses can range in size from very large conservatories such as the Palm House at Kew Gardens in England to row covers. Many of the large public greenhouse conservatories are used for growing tender and rare plants. Commercial greenhouses are often state-of-the-art production facilities for vegetables or flowers. Row covers and similar structures are usually made of a lightweight transparent material placed directly above rows of crops on a supporting framework to form a low tunnel. The transparent materials on these structures may be temporary being removed once the crop is well-established. At times, the entire structure may be removed.</t>
  </si>
  <si>
    <t>BB115</t>
  </si>
  <si>
    <t>Gridiron</t>
  </si>
  <si>
    <t>A timber structure in the intertidal zone serving as a support for vessels at low stages of the tide to permit work on the exposed portion of the vessel's hull.</t>
  </si>
  <si>
    <t>ZI096</t>
  </si>
  <si>
    <t>GroundPowerEquipmentInfo</t>
  </si>
  <si>
    <t>Ground Power Equipment Information</t>
  </si>
  <si>
    <t>A modeling entity collecting information about aircraft ground power equipment at an aerodrome.</t>
  </si>
  <si>
    <t>This equipment is either located on a trailer and towed or is self-propelled and driven to the aircraft. Ground power equipment does not include aircraft electrical and air start (a power source is used to provide the initial rotation to start an engine).</t>
  </si>
  <si>
    <t>EC050</t>
  </si>
  <si>
    <t>Grove</t>
  </si>
  <si>
    <t>A small wood or similar collection of trees growing closely together.</t>
  </si>
  <si>
    <t>May occur naturally or be deliberately planted for shade, ornamentation, and/or as an orchard (for example: of olives or citrus fruit).</t>
  </si>
  <si>
    <t>BB005</t>
  </si>
  <si>
    <t>Harbour</t>
  </si>
  <si>
    <t>A natural or artificial improved body of water providing protection for vessels and generally anchorage and docking facilities.</t>
  </si>
  <si>
    <t>A harbour consists of both its port and its waters.</t>
  </si>
  <si>
    <t>Harbor</t>
  </si>
  <si>
    <t>GB250</t>
  </si>
  <si>
    <t>HardenedAircraftShelter</t>
  </si>
  <si>
    <t>Hardened Aircraft Shelter</t>
  </si>
  <si>
    <t>A hardened structure built above or partially above ground that encloses aircraft to provide protection from enemy attack.</t>
  </si>
  <si>
    <t>The shelter is closed by blast resistant doors and is generally limited in size, only accommodating one or two relatively smaller (for example: fighter) aircraft. Those built to NATO specifications are designed to withstand a direct hit by a 226 kilogram bomb.</t>
  </si>
  <si>
    <t>Protective Aircraft Shelter, Aircraft Bunker</t>
  </si>
  <si>
    <t>ZI055</t>
  </si>
  <si>
    <t>HazardousMaterialInfo</t>
  </si>
  <si>
    <t>Hazardous Material Information</t>
  </si>
  <si>
    <t>A modeling entity collecting information (for example: chemical formula, toxicity threshold, toxic effects, amount stored, and mechanism of storage) about one or more hazardous materials.</t>
  </si>
  <si>
    <t>Hazardous materials are substances or chemicals which can cause harm to people, plants, or animals when released into the environment,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these hazardous characteristics.</t>
  </si>
  <si>
    <t>BD130</t>
  </si>
  <si>
    <t>HazardousRock</t>
  </si>
  <si>
    <t>Hazardous Rock</t>
  </si>
  <si>
    <t>An isolated rocky formation or a single large stone or coral, usually one constituting a danger to navigation.</t>
  </si>
  <si>
    <t>May be either dry, awash, or below the water surface.</t>
  </si>
  <si>
    <t>EB060</t>
  </si>
  <si>
    <t>Heathland</t>
  </si>
  <si>
    <t>An area of open uncultivated ground covered by heather and/or related plants, especially on acid sandy or peaty soil.</t>
  </si>
  <si>
    <t>AD050</t>
  </si>
  <si>
    <t>HeatingFacility</t>
  </si>
  <si>
    <t>Heating Facility</t>
  </si>
  <si>
    <t>A facility for the generation of thermal energy for heating purposes.</t>
  </si>
  <si>
    <t>EA020</t>
  </si>
  <si>
    <t>Hedgerow</t>
  </si>
  <si>
    <t>A continuous growth of shrubs planted as a fence, a boundary, and/or a windbreak.</t>
  </si>
  <si>
    <t>GB030</t>
  </si>
  <si>
    <t>Helipad</t>
  </si>
  <si>
    <t>A designated area, usually with a prepared surface, used for the take-off, landing, or parking of helicopters.</t>
  </si>
  <si>
    <t>This prepared surface could either be located on land or on a platform over water. It may or may not be associated with an aerodrome. For example: a hospital helipad, and an offshore rig helipad.</t>
  </si>
  <si>
    <t>Helideck</t>
  </si>
  <si>
    <t>GB035</t>
  </si>
  <si>
    <t>Heliport</t>
  </si>
  <si>
    <t>An aerodrome intended to be used for the arrival, landing, takeoff or departure of vertical takeoff and landing aircraft/helicopters.</t>
  </si>
  <si>
    <t>BA005</t>
  </si>
  <si>
    <t>HighWaterLine</t>
  </si>
  <si>
    <t>High Water Line</t>
  </si>
  <si>
    <t>The line dividing the backshore and foreshore along a coast or beach as defined by the National Authority.</t>
  </si>
  <si>
    <t>DB031</t>
  </si>
  <si>
    <t>Hill</t>
  </si>
  <si>
    <t>A small, isolated elevation, smaller than a mountain.</t>
  </si>
  <si>
    <t>The local relief is typically less than 300 metres.</t>
  </si>
  <si>
    <t>AJ030</t>
  </si>
  <si>
    <t>HoldingPen</t>
  </si>
  <si>
    <t>Holding Pen</t>
  </si>
  <si>
    <t>An enclosed tract on which livestock are temporarily kept.</t>
  </si>
  <si>
    <t>For example, a sheepfold, a holding paddock, a livestock pen, a feedlot, and/or a stock yard. The enclosure may be by, for example, a fence or a wall.</t>
  </si>
  <si>
    <t>GA060</t>
  </si>
  <si>
    <t>HoldingProcedure</t>
  </si>
  <si>
    <t>Holding Procedure</t>
  </si>
  <si>
    <t>A predetermined manoeuvre which keeps an aircraft within a specified airspace while awaiting further clearance.</t>
  </si>
  <si>
    <t>EA055</t>
  </si>
  <si>
    <t>HopField</t>
  </si>
  <si>
    <t>Hop Field</t>
  </si>
  <si>
    <t>A tract covered by the systematic planting of hop vines.</t>
  </si>
  <si>
    <t>AF080</t>
  </si>
  <si>
    <t>Hopper</t>
  </si>
  <si>
    <t>A top-loaded funnel-shaped structure for temporary holding of loose material which will be dispensed from its bottom.</t>
  </si>
  <si>
    <t>ZI010</t>
  </si>
  <si>
    <t>HorizCoordMetadata</t>
  </si>
  <si>
    <t>Horizontal Coordinate Metadata</t>
  </si>
  <si>
    <t>A modeling entity collecting information about the basis for, and quality of, the horizontal coordinates and/or horizontal dimensional measures of the digital representation of a feature and/or attribute.</t>
  </si>
  <si>
    <t>For example, the spatial reference frame for a horizontal position or the accuracy of that position value.</t>
  </si>
  <si>
    <t>BD181</t>
  </si>
  <si>
    <t>Hulk</t>
  </si>
  <si>
    <t>A vessel, either stranded aground or permanently moored, that is no longer seaworthy due to an inoperable propulsion plant or compromised vessel integrity.</t>
  </si>
  <si>
    <t>BF012</t>
  </si>
  <si>
    <t>HullIntegTestSampleSite</t>
  </si>
  <si>
    <t>Hull Integrity Test Sample Site</t>
  </si>
  <si>
    <t>A location at a Hull Integrity Test Site where a seafloor sample was taken (for example: by grabbing or drilling).</t>
  </si>
  <si>
    <t>FC178</t>
  </si>
  <si>
    <t>HullIntegTestSite</t>
  </si>
  <si>
    <t>Hull Integrity Test Site</t>
  </si>
  <si>
    <t>A pre-designated submarine dive site that is used to test hull integrity.</t>
  </si>
  <si>
    <t>FC180</t>
  </si>
  <si>
    <t>HullIntegTestSiteBottom</t>
  </si>
  <si>
    <t>Hull Integrity Test Site Bottom Feature</t>
  </si>
  <si>
    <t>A seafloor feature at a Hull Integrity Test Site that directly affects the safe operation of the site.</t>
  </si>
  <si>
    <t>FA130</t>
  </si>
  <si>
    <t>HumReliefAdminRegion</t>
  </si>
  <si>
    <t>Humanitarian Relief Administrative Region</t>
  </si>
  <si>
    <t>A territorial region where humanitarian relief is provided under the administrative control of a relief organization.</t>
  </si>
  <si>
    <t>Humanitarian relief agencies, in particular those with ongoing international operations, may have established regions with administrative infrastructure for managing their operations in the area.</t>
  </si>
  <si>
    <t>BH077</t>
  </si>
  <si>
    <t>Hummock</t>
  </si>
  <si>
    <t>A place of higher elevation within a wetland (for example: a swamp, a bog, or a marsh).</t>
  </si>
  <si>
    <t>AL099</t>
  </si>
  <si>
    <t>Hut</t>
  </si>
  <si>
    <t>A small, simple free-standing (detached) self-contained residence usually having only a single multi-function room.</t>
  </si>
  <si>
    <t>May be intended only as temporary (for example: by displaced persons) or seasonal (for example: during seasonal livestock movement) residence. May be crude (for example: quickly built from locally-available natural materials) or relatively modern in construction and austerely furnished (for example: a Norwegian 'hytte').</t>
  </si>
  <si>
    <t>Shack</t>
  </si>
  <si>
    <t>AC040</t>
  </si>
  <si>
    <t>HydrocarbonProdFacility</t>
  </si>
  <si>
    <t>Hydrocarbon Products Facility</t>
  </si>
  <si>
    <t>A facility involved in the production or distribution of petroleum, oil and/or natural gas products.</t>
  </si>
  <si>
    <t>AA052</t>
  </si>
  <si>
    <t>HydrocarbonsField</t>
  </si>
  <si>
    <t>Hydrocarbons Field</t>
  </si>
  <si>
    <t>An area where the presence of recoverable petroleum, oil, and/or natural gas has been identified.</t>
  </si>
  <si>
    <t>The field can exist regardless of current exploitation activities.</t>
  </si>
  <si>
    <t>ZI060</t>
  </si>
  <si>
    <t>HydrocarbonsPipelineInfo</t>
  </si>
  <si>
    <t>Hydrocarbons Pipeline Information</t>
  </si>
  <si>
    <t>A modeling entity collecting information (for example: commodity, flow direction, line type) about a pipeline used for the distribution of petroleum, oil and/or natural gas.</t>
  </si>
  <si>
    <t>ZI025</t>
  </si>
  <si>
    <t>HydroVertPositioningInfo</t>
  </si>
  <si>
    <t>Hydrographic Vertical Positioning Information</t>
  </si>
  <si>
    <t>A modeling entity collecting information about the vertical position (for example: the depth from a sounding datum) of a hydrographic object (for example: a pinnacle or a wreck).</t>
  </si>
  <si>
    <t>BJ040</t>
  </si>
  <si>
    <t>IceCliff</t>
  </si>
  <si>
    <t>Ice Cliff</t>
  </si>
  <si>
    <t>The vertical face of a glacier or ice shelf.</t>
  </si>
  <si>
    <t>BJ060</t>
  </si>
  <si>
    <t>IcePeak</t>
  </si>
  <si>
    <t>Ice Peak</t>
  </si>
  <si>
    <t>A rocky peak projecting above a surrounding ice field that may be perpetually covered with ice.</t>
  </si>
  <si>
    <t>Nunatak</t>
  </si>
  <si>
    <t>AQ075</t>
  </si>
  <si>
    <t>IceRoute</t>
  </si>
  <si>
    <t>Ice Route</t>
  </si>
  <si>
    <t>A route over a frozen watercourse.</t>
  </si>
  <si>
    <t>Usually marked and intended to support substantial vehicle traffic. Often designed as an alternate to a seasonally-closed ferry crossing.</t>
  </si>
  <si>
    <t>BJ065</t>
  </si>
  <si>
    <t>IceShelf</t>
  </si>
  <si>
    <t>Ice Shelf</t>
  </si>
  <si>
    <t>A floating ice sheet of considerable thickness that is normally attached to the land along its landward edge.</t>
  </si>
  <si>
    <t>Ice shelves are the seaward extension of land glaciers. Limited areas of the ice shelf may be aground where the glacier first enters the water and possibly in other places offshore. Ice shelves are usually of great horizontal extent and have a level or gently undulating surface. The seaward edge of an ice shelf is termed an 'ice cliff'.</t>
  </si>
  <si>
    <t>BJ099</t>
  </si>
  <si>
    <t>IceCap</t>
  </si>
  <si>
    <t>Ice-cap</t>
  </si>
  <si>
    <t>A permanent layer of ice covering a tract of land (especially a polar region) or the top of a mountain.</t>
  </si>
  <si>
    <t>Usually includes a surface layer of snow.</t>
  </si>
  <si>
    <t>ZI003</t>
  </si>
  <si>
    <t>IdentificationInfo</t>
  </si>
  <si>
    <t>Identification Information</t>
  </si>
  <si>
    <t>A modeling entity collecting information about an identifier that is used to uniquely specify an instance of the entity type in a specified scope.</t>
  </si>
  <si>
    <t>The scope may be determined by the intended use and/or the data production system that assigns the identifier value.</t>
  </si>
  <si>
    <t>ZR939</t>
  </si>
  <si>
    <t>IO_IdentifiedObjectBase</t>
  </si>
  <si>
    <t>Identified Object Base</t>
  </si>
  <si>
    <t>Supplementary identification and remarks information for a Coordinate Reference System (CRS) or CRS-related object.</t>
  </si>
  <si>
    <t>ZI050</t>
  </si>
  <si>
    <t>IndustrialClassInfo</t>
  </si>
  <si>
    <t>Industrial Classification Information</t>
  </si>
  <si>
    <t>A modeling entity collecting information about the industrial classifications (for example: the International Standard Industrial Classification of All Economic Activities) used to characterize the activities and/or capabilities of a feature (for example: an installation, facility, building, structure or site).</t>
  </si>
  <si>
    <t>Numerous schemes for classifying industrial activities and capabilities have been developed that are tailored to specific communities and missions.</t>
  </si>
  <si>
    <t>AL270</t>
  </si>
  <si>
    <t>IndustrialFarm</t>
  </si>
  <si>
    <t>Industrial Farm</t>
  </si>
  <si>
    <t>An estate or large farm operating on the plantation economy model in which the farm operates as a single economic unit whose operations are based on agricultural mass production of a few staple crops (for example: cotton, tobacco, sugar cane, bananas, and/or rubber) that are typically not indigenous to the region.</t>
  </si>
  <si>
    <t>Plantation economies are often dependent on distant (for example: export) markets as the crops are harvested in large quantities. Historically, industrial farms were often found in former European colonies and termed 'plantations'.</t>
  </si>
  <si>
    <t>AC060</t>
  </si>
  <si>
    <t>IndustrialFurnace</t>
  </si>
  <si>
    <t>Industrial Furnace</t>
  </si>
  <si>
    <t>A structure used in material processing that employs heating to harden (for example: to fire brick or ceramic), pyrolyse (for example: convert coal to coke, or limestone to lime), burn (for example: to incinerate waste), or dry (for example: lumber).</t>
  </si>
  <si>
    <t>May assume many forms, for example a domed 'beehive' kiln or a long linear coke oven battery.</t>
  </si>
  <si>
    <t>Kiln, Oven</t>
  </si>
  <si>
    <t>AC070</t>
  </si>
  <si>
    <t>IndustrialPark</t>
  </si>
  <si>
    <t>Industrial Park</t>
  </si>
  <si>
    <t>An industrial facility consisting of buildings and related structures that are tenanted by multiple manufacturing (for example: industrial equipment manufacture or materials processing) and/or service businesses (for example: auto repair or residential contractors) requiring significant equipment and/or materials, and sharing common access to adjacent transport facilities.</t>
  </si>
  <si>
    <t>Heavy industrial parks have tenants that are involved in industries where a significant tonnage of raw materials and/or finished products are shipped and more than one transport mode (for example: road, railway, aerodrome, canal, or navigable river) is available. Light industrial parks have tenants that may be involved in manufacturing and/or services; for example: small electrical appliance manufacture or repair.</t>
  </si>
  <si>
    <t>ZI036</t>
  </si>
  <si>
    <t>InformationEntity</t>
  </si>
  <si>
    <t>Information Entity</t>
  </si>
  <si>
    <t>An abstract modeling entity that is a superclass for information types, which are collections of non-geometric properties of other entity types (for example: features, actors, or events) that may be shared by multiple entity types within the model, and their values reused within datasets.</t>
  </si>
  <si>
    <t>Shared information may include entity-related metadata, notes, and/or data-dissemination restriction(s) and security control(s) regarding the associated entity.</t>
  </si>
  <si>
    <t>GA260</t>
  </si>
  <si>
    <t>InitialApproachSegment</t>
  </si>
  <si>
    <t>Initial Approach Segment</t>
  </si>
  <si>
    <t>That segment of an instrument approach procedure between the initial approach fix and the intermediate fix or, where applicable, the final approach fix or point.</t>
  </si>
  <si>
    <t>BH082</t>
  </si>
  <si>
    <t>InlandWaterbody</t>
  </si>
  <si>
    <t>Inland Waterbody</t>
  </si>
  <si>
    <t>A body of water that is entirely surrounded by land.</t>
  </si>
  <si>
    <t>It may occur in a natural terrain depression in which water collects, or may be impounded by a dam, or formed by its bed being hollowed out of the soil, or formed by embanking and/or damming up a natural hollow (for example: by a beaver dam). Inland waterbodies have many uses such as: a source of water for irrigation, industrial processes, human consumption, and recreation. Impounded inland waterbodies may also be used for flood control.</t>
  </si>
  <si>
    <t>Lake, Pond, Reservoir, Water Hole</t>
  </si>
  <si>
    <t>BH141</t>
  </si>
  <si>
    <t>InlandWaterbodyBank</t>
  </si>
  <si>
    <t>Inland Waterbody Bank</t>
  </si>
  <si>
    <t>The region along the edge of an inland water body that lies between the water and the first break in slope.</t>
  </si>
  <si>
    <t>AL011</t>
  </si>
  <si>
    <t>Installation</t>
  </si>
  <si>
    <t>A grouping of facilities, located in the same vicinity, which support particular functions.</t>
  </si>
  <si>
    <t>ZI104</t>
  </si>
  <si>
    <t>InstApproachConditionInfo</t>
  </si>
  <si>
    <t>Instrument Approach Condition Information</t>
  </si>
  <si>
    <t>A modeling entity describing the path of the final approach transition to landing, and providing more information regarding which set of procedure minima is to be used.</t>
  </si>
  <si>
    <t>Different instrument approach conditions apply, for example;,when aircraft and ground services are either unavailable or not working correctly. These differences in conditions determine differences in approach procedure minima.</t>
  </si>
  <si>
    <t>GA049</t>
  </si>
  <si>
    <t>InstrumentApproachProc</t>
  </si>
  <si>
    <t>Instrument Approach Procedure (IAP)</t>
  </si>
  <si>
    <t>A series of predetermined manoeuvres by reference to flight instruments with specified protection from obstacles from the initial approach fix, or where applicable, from the beginning of a defined arrival route to a point from which a landing can be completed and thereafter, if a landing is not completed, to a position at which holding or en-route obstacle clearance criteria apply.</t>
  </si>
  <si>
    <t>Instrument approach procedures are classified as follows: 1. Non-precision approach (NPA) procedure: An instrument approach procedure which utilizes lateral guidance but does not utilize vertical guidance; 2. Approach procedure with vertical guidance (APV): An instrument procedure which utilizes lateral and vertical guidance but does not meet the requirements established for precision approach and landing operations; 3. Precision approach (PA) procedure: An instrument approach procedure using precision lateral and vertical guidance with minima as determined by the category of operation. Note that lateral and vertical guidance refers to the guidance provided either by: a) a ground-based navigation aid; or b) computer-generated navigation data.</t>
  </si>
  <si>
    <t>IAP</t>
  </si>
  <si>
    <t>GA050</t>
  </si>
  <si>
    <t>InstrumentApproachProcSeg</t>
  </si>
  <si>
    <t>Instrument Approach Procedure (IAP) Segment</t>
  </si>
  <si>
    <t>The portion of an Instrument Approach Procedure (IAP) between the initial approach fix and the runway.</t>
  </si>
  <si>
    <t>IAP segments include: initial, intermediate, transition, final, and missed approach legs.</t>
  </si>
  <si>
    <t>ZI089</t>
  </si>
  <si>
    <t>IfrTakeoffMinInfo</t>
  </si>
  <si>
    <t>Instrument Flight Rules (IFR) Takeoff Minimum Information</t>
  </si>
  <si>
    <t>A modeling entity defining the minimum climb gradient and speed that an aircraft must maintain until reaching a specified altitude.</t>
  </si>
  <si>
    <t>Takeoff minimums are usually defined based on prominent obstacles along the designated flight path, requiring that an aircraft be at a minimum altitude above those obstacles when passing over them.</t>
  </si>
  <si>
    <t>GA090</t>
  </si>
  <si>
    <t>InstrumentLandingSystem</t>
  </si>
  <si>
    <t>Instrument Landing System (ILS)</t>
  </si>
  <si>
    <t>A combination of radio navigation services intended to facilitate aircraft in landing by providing lateral and vertical guidance including indications of distance from the optimum point of landing.</t>
  </si>
  <si>
    <t>A precision instrument approach system which normally consists of the following electronic components and visual aids: localizer, glide slope, outer marker, middle marker, and approach lights.</t>
  </si>
  <si>
    <t>ILS</t>
  </si>
  <si>
    <t>GA098</t>
  </si>
  <si>
    <t>InstLandingSysGlidePath</t>
  </si>
  <si>
    <t>Instrument Landing System (ILS) Glide Path</t>
  </si>
  <si>
    <t>A component of an Instrument Landing System (ILS) consisting of an Ultra High Frequency (UHF) transmitter radiating signals and providing a straight-line descent path in the vertical plane containing the centre line of the runway served by the ILS, and thereby furnishing descent information down to the surface of the runway.</t>
  </si>
  <si>
    <t>The descent information is that locus of points in the vertical plane containing the runway centre line at which the receiver indicator deflection is zero.</t>
  </si>
  <si>
    <t>GA091</t>
  </si>
  <si>
    <t>InstLandingSysLocalizer</t>
  </si>
  <si>
    <t>Instrument Landing System (ILS) Localizer</t>
  </si>
  <si>
    <t>A component of an Instrument Landing System (ILS) consisting of a VHF transmitter, radiating signals in the direction served by the ILS, and providing a straight line azimuth path in the horizontal plane containing the centre line of the runway.</t>
  </si>
  <si>
    <t>GB048</t>
  </si>
  <si>
    <t>InstLandingSysSensArea</t>
  </si>
  <si>
    <t>Instrument Landing System (ILS) Sensitive Area</t>
  </si>
  <si>
    <t>An area extending beyond the Instrument Landing System (ILS) critical area where the parking and/or movement of vehicles, including aircraft, is controlled in order to prevent the possibility of unacceptable interference to the ILS signal during ILS operations.</t>
  </si>
  <si>
    <t>The sensitive area is protected against interference caused by large moving objects outside the critical area but still normally within the aerodrome boundary.</t>
  </si>
  <si>
    <t>BC080</t>
  </si>
  <si>
    <t>InsubstantialNavMark</t>
  </si>
  <si>
    <t>Insubstantial Navigation Mark</t>
  </si>
  <si>
    <t>A small, insubstantial navigational mark.</t>
  </si>
  <si>
    <t>For example, a staff placed on top of a rock or shoal to mark a hazard or serve as a navigational aid.</t>
  </si>
  <si>
    <t>AL201</t>
  </si>
  <si>
    <t>InterestSite</t>
  </si>
  <si>
    <t>Interest Site</t>
  </si>
  <si>
    <t>A site maintained for the public and declared to be of national or provincial historical significance and/or interest.</t>
  </si>
  <si>
    <t>GA270</t>
  </si>
  <si>
    <t>IntermediateApproachSeg</t>
  </si>
  <si>
    <t>Intermediate Approach Segment</t>
  </si>
  <si>
    <t>That segment of an Instrument Approach Procedure (IAP) between either the intermediate fix and the final approach fix or point, or between the end of a reversal, racetrack or dead reckoning track procedure and the final approach fix or point, as appropriate.</t>
  </si>
  <si>
    <t>GB077</t>
  </si>
  <si>
    <t>IntermediateHoldingPos</t>
  </si>
  <si>
    <t>Intermediate Holding Position</t>
  </si>
  <si>
    <t>A designated position intended for traffic control at which taxiing aircraft and vehicles shall stop and hold until further cleared to proceed, when so instructed by the aerodrome control tower.</t>
  </si>
  <si>
    <t>Taxiway Holding Position</t>
  </si>
  <si>
    <t>FA110</t>
  </si>
  <si>
    <t>InternationalDateLine</t>
  </si>
  <si>
    <t>International Date Line</t>
  </si>
  <si>
    <t>A line designated as the place on the Earth where each calendar day begins.</t>
  </si>
  <si>
    <t>This line generally coincides with the 180th meridian but is modified to avoid land.</t>
  </si>
  <si>
    <t>BH092</t>
  </si>
  <si>
    <t>InundatedLand</t>
  </si>
  <si>
    <t>Inundated Land</t>
  </si>
  <si>
    <t>A tract that is exceptionally covered by water, excluding tidal waters.</t>
  </si>
  <si>
    <t>It may be caused by either uncontrolled inundation (for example: flooding due to a river overflowing its banks or low-lying regions accumulating standing water following severe rainfall) or controlled inundation (for example: flooded by the regulation of the level of a reservoir).</t>
  </si>
  <si>
    <t>BH240</t>
  </si>
  <si>
    <t>IrrigationSystem</t>
  </si>
  <si>
    <t>Irrigation System</t>
  </si>
  <si>
    <t>A system for supplying land with water, usually by a network of channels or pipes.</t>
  </si>
  <si>
    <t>In addition to a source of water (for example: a stream or a well), the network may include pumps, reservoirs, controls (for example: gates or valves), timing devices, and drains.</t>
  </si>
  <si>
    <t>BA030</t>
  </si>
  <si>
    <t>Island</t>
  </si>
  <si>
    <t>A land mass, other than a continent, surrounded by water.</t>
  </si>
  <si>
    <t>ZC050</t>
  </si>
  <si>
    <t>IsogonicLine</t>
  </si>
  <si>
    <t>Isogonic Line</t>
  </si>
  <si>
    <t>An isopleth that connects locations of equal magnetic variation.</t>
  </si>
  <si>
    <t>GB018</t>
  </si>
  <si>
    <t>IsolatedAircraftParkPos</t>
  </si>
  <si>
    <t>Isolated Aircraft Parking Position</t>
  </si>
  <si>
    <t>A position designated on an aerodrome which is suitable for the parking of an aircraft which is known or believed to be the subject of unlawful interference, or which for other reasons needs to be isolated from normal aerodrome activities.</t>
  </si>
  <si>
    <t>ZI095</t>
  </si>
  <si>
    <t>JetAircraftStartUnitServ</t>
  </si>
  <si>
    <t>Jet Aircraft Starting Unit Service</t>
  </si>
  <si>
    <t>A modeling entity collecting information regarding the service available at an aerodrome that is comprised of equipment available with which to start the engine(s) of a jet aircraft.</t>
  </si>
  <si>
    <t>ZR933</t>
  </si>
  <si>
    <t>MD_Keywords</t>
  </si>
  <si>
    <t>Keywords</t>
  </si>
  <si>
    <t>Keywords describing the information content of a resource.</t>
  </si>
  <si>
    <t>BH190</t>
  </si>
  <si>
    <t>Lagoon</t>
  </si>
  <si>
    <t>An enclosed area of salt or brackish water separated from the open sea by some more or less effective, but not complete, obstacle (for example: a sand bank).</t>
  </si>
  <si>
    <t>The name most commonly used for the area of water enclosed by a barrier reef or atoll.</t>
  </si>
  <si>
    <t>GB005</t>
  </si>
  <si>
    <t>LandAerodrome</t>
  </si>
  <si>
    <t>Land Aerodrome</t>
  </si>
  <si>
    <t>An aerodrome on land intended to be used either wholly or in part for the arrival, departure and surface movement of aircraft.</t>
  </si>
  <si>
    <t>Airport, Airfield</t>
  </si>
  <si>
    <t>GB069</t>
  </si>
  <si>
    <t>LandHoldShortOpHoldPoint</t>
  </si>
  <si>
    <t>Land and Hold Short Operations (LAHSO) Hold Short Point</t>
  </si>
  <si>
    <t>A point on the runway beyond which a landing aircraft is not authorized to proceed when instructed to conduct a Land and Hold Short Operation (LAHSO).</t>
  </si>
  <si>
    <t>LAHSO are operations where an aircraft is required to land and hold short of an intersecting runway, taxiway, predetermined point on the runway, or an approach/departure path to enhance aerodrome capacity.</t>
  </si>
  <si>
    <t>DB000</t>
  </si>
  <si>
    <t>LandArea</t>
  </si>
  <si>
    <t>Land Area</t>
  </si>
  <si>
    <t>A geographically defined part of the land.</t>
  </si>
  <si>
    <t>It may have a proper name (for example: the Alps, the Rocky Mountains or the Great Plains).</t>
  </si>
  <si>
    <t>DB001</t>
  </si>
  <si>
    <t>LandMorphologyArea</t>
  </si>
  <si>
    <t>Land Morphology Area</t>
  </si>
  <si>
    <t>A region of the land surface that is homogeneous with respect to form.</t>
  </si>
  <si>
    <t>For example: a butte or a valley.</t>
  </si>
  <si>
    <t>IA040</t>
  </si>
  <si>
    <t>LandParcel</t>
  </si>
  <si>
    <t>Land Parcel</t>
  </si>
  <si>
    <t>A tract of land that is defined in location and extent according to legally or customarily recognized methods (for example: social tenure).</t>
  </si>
  <si>
    <t>Improvements (for example: buildings, fences, and wells) to the tract of land are distinct from the land itself and thus may have different associated rights and/or restrictions than those of the underlying tract of land. Social tenure (also called customary tenure) is the allocation and security of rights in land based on customs and social authority, rather than on a formal legal system of land registration. In some areas of the world, social tenure is the basis for informal land administration. Some legal land administration systems recognize and/or incorporate social tenure-based rights. An example of recognition without incorporation is social tenure 'shells', in which areas are set aside where social tenure is the recognized authority for land rights. In other cases, individual social tenure-based rights may be registered within the legal system.</t>
  </si>
  <si>
    <t>BH090</t>
  </si>
  <si>
    <t>LandSubjectToInundation</t>
  </si>
  <si>
    <t>Land Subject to Inundation</t>
  </si>
  <si>
    <t>A tract periodically covered by flood water, excluding tidal waters.</t>
  </si>
  <si>
    <t>BA010</t>
  </si>
  <si>
    <t>LandWaterBoundary</t>
  </si>
  <si>
    <t>Land Water Boundary</t>
  </si>
  <si>
    <t>The line where a land mass is in contact with a body of water and the tide state or river stage are unspecified.</t>
  </si>
  <si>
    <t>It may be in either the littoral or inland waters. In the littoral, consideration should be given to using the more specific high water or low water lines based on the nature of the source data collection.</t>
  </si>
  <si>
    <t>Inland Shoreline</t>
  </si>
  <si>
    <t>GB085</t>
  </si>
  <si>
    <t>LandingDirectionIndicator</t>
  </si>
  <si>
    <t>Landing Direction Indicator</t>
  </si>
  <si>
    <t>A device that indicates visually the direction currently designated for landing and for take-off.</t>
  </si>
  <si>
    <t>LDI</t>
  </si>
  <si>
    <t>BB151</t>
  </si>
  <si>
    <t>LandingSteps</t>
  </si>
  <si>
    <t>Landing Steps</t>
  </si>
  <si>
    <t>Steps at the shoreline as the connection between land and water on different levels.</t>
  </si>
  <si>
    <t>DB211</t>
  </si>
  <si>
    <t>LandslideMass</t>
  </si>
  <si>
    <t>Landslide Mass</t>
  </si>
  <si>
    <t>The mass of earth or rock which has slipped down from a mountain or cliff.</t>
  </si>
  <si>
    <t>BD003</t>
  </si>
  <si>
    <t>LargeBottomObject</t>
  </si>
  <si>
    <t>Large Bottom Object</t>
  </si>
  <si>
    <t>An object protruding above the water body bottom of which at least one component of height, width or length is a minimum of 5 metres.</t>
  </si>
  <si>
    <t>These include: rocks (for example: pinnacles), underwater constructions (for example: wellheads and other equipment in oil and gas fields), wrecks, and other man-made debris (for example: lost ground tackle or dumped materials).</t>
  </si>
  <si>
    <t>GB040</t>
  </si>
  <si>
    <t>LaunchPad</t>
  </si>
  <si>
    <t>Launch Pad</t>
  </si>
  <si>
    <t>A designated site or structure from which a rocket or missile is launched.</t>
  </si>
  <si>
    <t>BC100</t>
  </si>
  <si>
    <t>LeadingLine</t>
  </si>
  <si>
    <t>Leading Line</t>
  </si>
  <si>
    <t>A line which passes through at least two clearly defined objects, along which a vessel can safely travel.</t>
  </si>
  <si>
    <t>ZR914</t>
  </si>
  <si>
    <t>MD_LegalConstraints</t>
  </si>
  <si>
    <t>Legal Constraints</t>
  </si>
  <si>
    <t>The restrictions and/or legal prerequisites for accessing and/or using a resource or metadata about a resource.</t>
  </si>
  <si>
    <t>BC060</t>
  </si>
  <si>
    <t>LightSector</t>
  </si>
  <si>
    <t>Light Sector</t>
  </si>
  <si>
    <t>A sector defined by bearings from seaward within which a light shows a specified character or color, or is obscured.</t>
  </si>
  <si>
    <t>AL110</t>
  </si>
  <si>
    <t>LightSupportStructure</t>
  </si>
  <si>
    <t>Light Support Structure</t>
  </si>
  <si>
    <t>A structure serving as a support for one or more lights.</t>
  </si>
  <si>
    <t>For example, a light standard or a lamp post.</t>
  </si>
  <si>
    <t>BC070</t>
  </si>
  <si>
    <t>LightVessel</t>
  </si>
  <si>
    <t>Light Vessel</t>
  </si>
  <si>
    <t>A distinctively marked vessel anchored or moored at a charted point, to serve as an aid to navigation.</t>
  </si>
  <si>
    <t>By night, it displays a characteristic light(s) and is usually equipped with other devices (for example: a fog signal, a submarine sound signal, and/or a radio-beacon) to assist navigation.</t>
  </si>
  <si>
    <t>BC050</t>
  </si>
  <si>
    <t>Lighthouse</t>
  </si>
  <si>
    <t>A distinctive structure on or off a coast exhibiting a major light designed to serve as an aid to navigation.</t>
  </si>
  <si>
    <t>AB021</t>
  </si>
  <si>
    <t>LiquidDiffuser</t>
  </si>
  <si>
    <t>Liquid Diffuser</t>
  </si>
  <si>
    <t>Equipment located at or below water level where liquids (for example: cooling water) are spread out.</t>
  </si>
  <si>
    <t>ZC040</t>
  </si>
  <si>
    <t>LocalMagneticAnomaly</t>
  </si>
  <si>
    <t>Local Magnetic Anomaly</t>
  </si>
  <si>
    <t>A localized anomaly in the Earth's magnetic field.</t>
  </si>
  <si>
    <t>Magnetic Disturbance Area</t>
  </si>
  <si>
    <t>GA100</t>
  </si>
  <si>
    <t>LocalizerDirectionalAid</t>
  </si>
  <si>
    <t>Localizer-type Directional Aid (LDA)</t>
  </si>
  <si>
    <t>A Very High Frequency (VHF) transmitter, radiating signals in a particular direction in order to provide a straight line azimuth path in the horizontal plane to the centre line of a runway.</t>
  </si>
  <si>
    <t>The Localizer-type Directional Aid (LDA) is of comparable use and accuracy to a localizer but is not part of a complete Instrument Landing System (ILS). The LDA course usually provides a more precise approach course than the similar Simplified Directional Facility (SDF) installation, utilizing a course width of 3 to 6 arc degrees instead of the 6 to 12 arc degrees that a typical SDF may provide.</t>
  </si>
  <si>
    <t>LDA</t>
  </si>
  <si>
    <t>BI030</t>
  </si>
  <si>
    <t>Lock</t>
  </si>
  <si>
    <t>An enclosure with a pair or series of gates used for raising or lowering vessels as they pass from one water level to another.</t>
  </si>
  <si>
    <t>BI031</t>
  </si>
  <si>
    <t>LockBasin</t>
  </si>
  <si>
    <t>Lock Basin</t>
  </si>
  <si>
    <t>The reservoir in a lock, bounded by lock walls and lock gates.</t>
  </si>
  <si>
    <t>EE010</t>
  </si>
  <si>
    <t>LoggingSite</t>
  </si>
  <si>
    <t>Logging Site</t>
  </si>
  <si>
    <t>A tract of vegetation that is being exploited for lumber resources.</t>
  </si>
  <si>
    <t>AK121</t>
  </si>
  <si>
    <t>Lookout</t>
  </si>
  <si>
    <t>A location, which is generally elevated, from which the surrounding area may be observed.</t>
  </si>
  <si>
    <t>For example, it is easily accessible by vehicle, is free of obscuring vegetation, and the local topography allows for unobstructed viewing of distant features.</t>
  </si>
  <si>
    <t>GB222</t>
  </si>
  <si>
    <t>LowAirManeuverPylon</t>
  </si>
  <si>
    <t>Low Air Maneuver Pylon</t>
  </si>
  <si>
    <t>A vertical structure that is used to mark turns and/or provide obstacles around which aircraft may perform low level aerobatic manoeuvres (for example: during racing or training).</t>
  </si>
  <si>
    <t>It may be either a temporary (for example: being deflated when not in use) or permanent structure that has been placed on dry land or mounted on a barge (for example: on a lake, in a harbour, or along a river).</t>
  </si>
  <si>
    <t>BE021</t>
  </si>
  <si>
    <t>LowWaterLine</t>
  </si>
  <si>
    <t>Low Water Line</t>
  </si>
  <si>
    <t>The line dividing foreshore and nearshore along a coast at the seaward edge of the beach to which the sea recedes at low water.</t>
  </si>
  <si>
    <t>ZI103</t>
  </si>
  <si>
    <t>MagneticVariationInfo</t>
  </si>
  <si>
    <t>Magnetic Variation Information</t>
  </si>
  <si>
    <t>A modeling entity collecting information about the angles between the magnetic or grid meridians and the geographic meridian at a location.</t>
  </si>
  <si>
    <t>Magnetic variation information includes magnetic, grid, slaved, and dynamic types of variation, as well as the date of determination of the variation value.</t>
  </si>
  <si>
    <t>AI021</t>
  </si>
  <si>
    <t>ManufacturedHomePark</t>
  </si>
  <si>
    <t>Manufactured Home Park</t>
  </si>
  <si>
    <t>A site for the semi-permanent parking of manufactured homes used as dwellings and designed without a permanent foundation.</t>
  </si>
  <si>
    <t>Manufactured homes are prefabricated homes built in factories, rather than on-site, and then taken to the place where they will be occupied. They are usually transported by tractor-trailers over public roads to sites which are often in rural areas or high-density developments. While these houses are usually placed in one location and left there permanently, they do retain the ability to be moved as this is a requirement in many areas. Behind the cosmetic work fitted at installation to hide the base, there are strong trailer frames, axles, wheels and tow-hitches.</t>
  </si>
  <si>
    <t>ZI014</t>
  </si>
  <si>
    <t>ManufacturingInfo</t>
  </si>
  <si>
    <t>Manufacturing Information</t>
  </si>
  <si>
    <t>A modeling entity collecting information about the physical or chemical transformation of materials, substances, or components into new products.</t>
  </si>
  <si>
    <t>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</si>
  <si>
    <t>BH050</t>
  </si>
  <si>
    <t>MaricultureSite</t>
  </si>
  <si>
    <t>Mariculture Site</t>
  </si>
  <si>
    <t>A site where marine organisms are cultivated for food and other products in either the open ocean, in an enclosed section of the ocean, or in tanks, ponds or raceways that are filled with seawater (for example: the farming of marine fish, prawns, or oysters in saltwater ponds).</t>
  </si>
  <si>
    <t>FC102</t>
  </si>
  <si>
    <t>MarineRangeCentreLine</t>
  </si>
  <si>
    <t>Marine Range Centre-line</t>
  </si>
  <si>
    <t>A surveyed reference track marking the centre-line of a marine test range.</t>
  </si>
  <si>
    <t>Vessels undergoing testing must maintain position along this track.</t>
  </si>
  <si>
    <t>FC037</t>
  </si>
  <si>
    <t>MaritimeCautionArea</t>
  </si>
  <si>
    <t>Maritime Caution Area</t>
  </si>
  <si>
    <t>Generally, an area where the mariner has to be made aware of circumstances influencing the safety of navigation.</t>
  </si>
  <si>
    <t>The caution may represent a specific danger, a general risk, or a rule and/or navigation advice that is not directly related to a specific object. Appropriate consideration should be given, for example, to the specific identification of wrecks, hazardous rocks and wells.</t>
  </si>
  <si>
    <t>FC021</t>
  </si>
  <si>
    <t>MaritimeLimit</t>
  </si>
  <si>
    <t>Maritime Limit</t>
  </si>
  <si>
    <t>A line where on either side certain activities or factors of significance to navigation and/or operation apply.</t>
  </si>
  <si>
    <t>BC010</t>
  </si>
  <si>
    <t>MaritimeNavigationBeacon</t>
  </si>
  <si>
    <t>Maritime Navigation Beacon</t>
  </si>
  <si>
    <t>A prominent, specially constructed object forming a conspicuous mark as a fixed aid to navigation or for use in hydrographic survey.</t>
  </si>
  <si>
    <t>BC040</t>
  </si>
  <si>
    <t>MaritimeNavigationLight</t>
  </si>
  <si>
    <t>Maritime Navigation Light</t>
  </si>
  <si>
    <t>A luminous or lighted device intended for the purpose of aiding maritime navigation.</t>
  </si>
  <si>
    <t>A Maritime Navigation Light refers to the light itself including its housing but does not include any support structure or ancillary aids to maritime navigation.</t>
  </si>
  <si>
    <t>Maritime Lantern</t>
  </si>
  <si>
    <t>BC041</t>
  </si>
  <si>
    <t>MaritimeNavLightSupport</t>
  </si>
  <si>
    <t>Maritime Navigation Light Support</t>
  </si>
  <si>
    <t>An otherwise unspecified fixed structure which supports a Maritime Navigation Light.</t>
  </si>
  <si>
    <t>May also be used to support other aids to maritime navigation (for example: maritime radiobeacons or fog signals).</t>
  </si>
  <si>
    <t>BC055</t>
  </si>
  <si>
    <t>MaritimeNavigationMarker</t>
  </si>
  <si>
    <t>Maritime Navigation Marker</t>
  </si>
  <si>
    <t>A coloured (usually white) mark on a vertical surface (for example: a cliff, a rocky outcrop, and/or a wall) that is a conspicuous landmark for maritime navigation.</t>
  </si>
  <si>
    <t>BC042</t>
  </si>
  <si>
    <t>MaritimeNavRetroReflector</t>
  </si>
  <si>
    <t>Maritime Navigation Retro-reflector</t>
  </si>
  <si>
    <t>A light-reflecting device that is secured to an unlit maritime navigation aid in order to distinguish its location and purpose at night.</t>
  </si>
  <si>
    <t>The retro-reflector may be either a self-contained unit affixed to another structure or consist of a material or coating applied directly to the surface of that structure. The colour and colour patten of the retro-reflector is based on either the Standard Code or the Comprehensive Code referenced within International Association of Lighthouse Authorities (IALA) E-106.</t>
  </si>
  <si>
    <t>BC120</t>
  </si>
  <si>
    <t>MaritimeNoticeBoard</t>
  </si>
  <si>
    <t>Maritime Notice Board</t>
  </si>
  <si>
    <t>A signboard used to indicate speed restrictions, cable landings, and other items of interest to maritime navigation.</t>
  </si>
  <si>
    <t>FC130</t>
  </si>
  <si>
    <t>MaritimeRadarRefLine</t>
  </si>
  <si>
    <t>Maritime Radar Reference Line</t>
  </si>
  <si>
    <t>A track along which ships may be guided by coastal radar stations, especially in the event of reduced visibility.</t>
  </si>
  <si>
    <t>Radar Guided Track</t>
  </si>
  <si>
    <t>BC034</t>
  </si>
  <si>
    <t>MaritimeRadiobeacon</t>
  </si>
  <si>
    <t>Maritime Radiobeacon</t>
  </si>
  <si>
    <t>An electronic aid to maritime navigation consisting of a radio transmitter that broadcasts distinctive signals.</t>
  </si>
  <si>
    <t>FC165</t>
  </si>
  <si>
    <t>MaritimeRoute</t>
  </si>
  <si>
    <t>Maritime Route</t>
  </si>
  <si>
    <t>A track or lane established for the safe passage of vessels.</t>
  </si>
  <si>
    <t>BB155</t>
  </si>
  <si>
    <t>MaritimeSignalStation</t>
  </si>
  <si>
    <t>Maritime Signal Station</t>
  </si>
  <si>
    <t>A place on shore from which signals are made to vessels at sea.</t>
  </si>
  <si>
    <t>GA039</t>
  </si>
  <si>
    <t>MarkerRadioBeacon</t>
  </si>
  <si>
    <t>Marker Radio Beacon</t>
  </si>
  <si>
    <t>A radio navigation service identifying a particular location in space by means of a 75 megahertz (MHz) transmitter which transmits a directional signal to be received by aircraft flying overhead.</t>
  </si>
  <si>
    <t>For example: fan, 'Z', or compass locator.</t>
  </si>
  <si>
    <t>MKR</t>
  </si>
  <si>
    <t>ED010</t>
  </si>
  <si>
    <t>Marsh</t>
  </si>
  <si>
    <t>A soft, poorly drained wetland that is characterized by the growth of only non-woody plants (for example: grasses) and often forms a transition region between a waterbody and land.</t>
  </si>
  <si>
    <t>It is subject to frequent or tidal inundations, but not considered to be continually under water. It lacks trees. A subtype of the more generalized wetland.</t>
  </si>
  <si>
    <t>AL037</t>
  </si>
  <si>
    <t>MassGrave</t>
  </si>
  <si>
    <t>Mass Grave</t>
  </si>
  <si>
    <t>A grave containing multiple, usually unidentified, human corpses.</t>
  </si>
  <si>
    <t>Mass graves may be created after a large number of people die or are killed due to a natural disaster, disease, epidemic, warfare or criminal activity. Mass grave sites may not be marked, as in cases where they have been created to conceal genocide.</t>
  </si>
  <si>
    <t>FC100</t>
  </si>
  <si>
    <t>MeasuredDistanceLine</t>
  </si>
  <si>
    <t>Measured Distance Line</t>
  </si>
  <si>
    <t>A maritime course, the length of which has been accurately measured, whose endpoints are often established by leading lines.</t>
  </si>
  <si>
    <t>It is used by vessels to calibrate logs, engine revolution counters, and other onboard equipment, and to determine speed.</t>
  </si>
  <si>
    <t>ZI063</t>
  </si>
  <si>
    <t>MedicalServiceInfo</t>
  </si>
  <si>
    <t>Medical Service Information</t>
  </si>
  <si>
    <t>A modeling entity collecting information (for example: population type treated, condition treated, term of treatment) about the medical services supplied by an organisation or organisational unit.</t>
  </si>
  <si>
    <t>AL130</t>
  </si>
  <si>
    <t>MemorialMonument</t>
  </si>
  <si>
    <t>Memorial Monument</t>
  </si>
  <si>
    <t>A marker erected and/or maintained as a memorial to a person and/or event.</t>
  </si>
  <si>
    <t>Monument</t>
  </si>
  <si>
    <t>GA092</t>
  </si>
  <si>
    <t>MicrowaveLandingSystem</t>
  </si>
  <si>
    <t>Microwave Landing System (MLS)</t>
  </si>
  <si>
    <t>A precision approach and landing guidance system operating in the microwave spectrum, which provides position information and various ground-to-air data.</t>
  </si>
  <si>
    <t>The position information is provided in a wide coverage sector and is determined by an azimuth angle, elevation, and distance.</t>
  </si>
  <si>
    <t>MLS</t>
  </si>
  <si>
    <t>GA093</t>
  </si>
  <si>
    <t>MicrowaveLandingSysAzim</t>
  </si>
  <si>
    <t>Microwave Landing System (MLS) Azimuth</t>
  </si>
  <si>
    <t>A component of a Microwave Landing System (MLS) consisting of a Super High Frequency (SHF) transmitter radiating signals to provide lateral indications to aircraft approaching the runway.</t>
  </si>
  <si>
    <t>The lateral information is the locus of points in any horizontal plane where the decoded guidance angle is constant. SHF is the frequency band between 3 and 30 gigahertz (GHz). The elevation and azimuth stations of the Microwave Landing System operate from 5031 to 5091 megahertz (MHz) in this spectrum.</t>
  </si>
  <si>
    <t>GA094</t>
  </si>
  <si>
    <t>MicrowaveLandingSysElev</t>
  </si>
  <si>
    <t>Microwave Landing System (MLS) Elevation</t>
  </si>
  <si>
    <t>A component of a Microwave Landing System (MLS) consisting of an Super High Frequency (SHF) transmitter radiating signals to provide vertical indications as an angular value to aircraft approaching the runway.</t>
  </si>
  <si>
    <t>The vertical information is the locus of points in any vertical plane where the decoded guidance angle is constant. SHF is the frequency band between 3 and 30 gigahertz (GHz). The elevation and azimuth stations of the Microwave Landing System operate from 5031 to 5091 megahertz (MHz) in this spectrum.</t>
  </si>
  <si>
    <t>SU001</t>
  </si>
  <si>
    <t>MilitaryInstallation</t>
  </si>
  <si>
    <t>Military Installation</t>
  </si>
  <si>
    <t>An installation designed for military use.</t>
  </si>
  <si>
    <t>For example, used to perform military operations, initiate forward movements, and/or furnish supplies. Often protected by fortifications or natural advantages.</t>
  </si>
  <si>
    <t>ZI057</t>
  </si>
  <si>
    <t>MilitaryRealPropertyInfo</t>
  </si>
  <si>
    <t>Military Real Property Information</t>
  </si>
  <si>
    <t>A modeling entity collecting information (for example: occupancy, floor space, age) about a military property (for example: an installation, facility, building, structure or site).</t>
  </si>
  <si>
    <t>AA020</t>
  </si>
  <si>
    <t>MineShaftSuperstructure</t>
  </si>
  <si>
    <t>Mine Shaft Superstructure</t>
  </si>
  <si>
    <t>A structure over a vertical mine shaft containing machinery (for example: a winding head or hoist) used to transport minerals, equipment, and/or workers between the surface and various levels within the mine.</t>
  </si>
  <si>
    <t>It is usually the most prominent structure at a shaft mining facility.</t>
  </si>
  <si>
    <t>Mine Shaft Headframe, Mine Shaft Headgear, Pit-head Frame</t>
  </si>
  <si>
    <t>AL065</t>
  </si>
  <si>
    <t>Minefield</t>
  </si>
  <si>
    <t>A site laid with explosive mines.</t>
  </si>
  <si>
    <t>AM040</t>
  </si>
  <si>
    <t>MineralPile</t>
  </si>
  <si>
    <t>Mineral Pile</t>
  </si>
  <si>
    <t>A man-made heap of mining or quarrying products that does not contain waste materials.</t>
  </si>
  <si>
    <t>For example, a pile of coal or quarried stones.</t>
  </si>
  <si>
    <t>GA291</t>
  </si>
  <si>
    <t>MissedApproachInfo</t>
  </si>
  <si>
    <t>Missed Approach Information</t>
  </si>
  <si>
    <t>A modeling entity collecting information about alternative characteristics and textual descriptions of an aviation missed approach procedure.</t>
  </si>
  <si>
    <t>GA290</t>
  </si>
  <si>
    <t>MissedApproachSegment</t>
  </si>
  <si>
    <t>Missed Approach Segment</t>
  </si>
  <si>
    <t>The missed approach segment begins at the missed approach point, missed approach waypoint, or the point upon arrival at decision height, and ends at the specified missed approach NAVAID, intersection, fix or waypoint, as appropriate at the minimum Instrument Flight Rules (IFR) altitude.</t>
  </si>
  <si>
    <t>AL120</t>
  </si>
  <si>
    <t>MissileSite</t>
  </si>
  <si>
    <t>Missile Site</t>
  </si>
  <si>
    <t>A site and related facilities for storing and launching missiles.</t>
  </si>
  <si>
    <t>BH100</t>
  </si>
  <si>
    <t>Moat</t>
  </si>
  <si>
    <t>A trench surrounding a tract of land and serving as a barrier.</t>
  </si>
  <si>
    <t>It is usually filled with water.</t>
  </si>
  <si>
    <t>BD074</t>
  </si>
  <si>
    <t>MooringChain</t>
  </si>
  <si>
    <t>Mooring Chain</t>
  </si>
  <si>
    <t>A chain or similar physical connection (for example: a cable) used to moor a vessel.</t>
  </si>
  <si>
    <t>For example, used between an anchor and a mooring buoy or between a bollard on a dock and a hulk.</t>
  </si>
  <si>
    <t>AQ110</t>
  </si>
  <si>
    <t>MooringMast</t>
  </si>
  <si>
    <t>Mooring Mast</t>
  </si>
  <si>
    <t>A mast used to secure an airship.</t>
  </si>
  <si>
    <t>BB160</t>
  </si>
  <si>
    <t>MooringRing</t>
  </si>
  <si>
    <t>Mooring Ring</t>
  </si>
  <si>
    <t>A metal ring attached to a structure and used to secure a vessel.</t>
  </si>
  <si>
    <t>BJ020</t>
  </si>
  <si>
    <t>Moraine</t>
  </si>
  <si>
    <t>An accumulation of soil and stone debris deposited by a glacier.</t>
  </si>
  <si>
    <t>AQ170</t>
  </si>
  <si>
    <t>MotorVehicleStation</t>
  </si>
  <si>
    <t>Motor Vehicle Station</t>
  </si>
  <si>
    <t>A building at, or in which, motor vehicles are refuelled, serviced, and sometimes repaired.</t>
  </si>
  <si>
    <t>Usually accompanied by several prominently placed petrol pumps.</t>
  </si>
  <si>
    <t>Filling Station</t>
  </si>
  <si>
    <t>DB150</t>
  </si>
  <si>
    <t>MountainPass</t>
  </si>
  <si>
    <t>Mountain Pass</t>
  </si>
  <si>
    <t>A narrow route through a mountainous region or over a mountain range.</t>
  </si>
  <si>
    <t>GB057</t>
  </si>
  <si>
    <t>MovementAreaShoulder</t>
  </si>
  <si>
    <t>Movement Area Shoulder</t>
  </si>
  <si>
    <t>A strip adjacent to the edge of a pavement so prepared as to provide a transition between the pavement and the adjacent surface.</t>
  </si>
  <si>
    <t>The movement area shoulder is not normally used by vehicles or aircraft, but is provided as an allowable margin in case of emergency situations.</t>
  </si>
  <si>
    <t>AM065</t>
  </si>
  <si>
    <t>MunitionStorageFacility</t>
  </si>
  <si>
    <t>Munition Storage Facility</t>
  </si>
  <si>
    <t>A facility for the storage of munitions (for example: bombs, missiles, warheads, mines or ammunition).</t>
  </si>
  <si>
    <t>Specifically, storage of weapons charged with: explosives; propellant; pyrotechnics; initiating composition; or nuclear, chemical, or biological material for use in military operations. Facilities may range in size from a small stockpile of munitions (sometimes termed an 'ammo dump') that may be revetted to a large perimeter-controlled site with multiple dispersed bunkers laid out to minimize the effect of accidental detonation (sometimes termed a 'munitions depot').</t>
  </si>
  <si>
    <t>ZD040</t>
  </si>
  <si>
    <t>NamedLocation</t>
  </si>
  <si>
    <t>Named Location</t>
  </si>
  <si>
    <t>A location that normally does not appear as a specific, characterized object but that has a name that is required to be displayed in association with that location.</t>
  </si>
  <si>
    <t>For example, the name of the Alps or the Sahara.</t>
  </si>
  <si>
    <t>BH170</t>
  </si>
  <si>
    <t>NaturalPool</t>
  </si>
  <si>
    <t>Natural Pool</t>
  </si>
  <si>
    <t>A naturally formed pool of water.</t>
  </si>
  <si>
    <t>It is usually fed by surface drainage from the surrounding region and/or water arising from an underground source (for example: a spring or a resurgence).</t>
  </si>
  <si>
    <t>FC050</t>
  </si>
  <si>
    <t>NavalFiringPracticeArea</t>
  </si>
  <si>
    <t>Naval Firing and/or Practice Area</t>
  </si>
  <si>
    <t>An area where Naval forces (for example: vessels or aircraft) conduct firing and/or munition exercises.</t>
  </si>
  <si>
    <t>Distinguished from areas where Naval forces conduct general operations and manoeuvers.</t>
  </si>
  <si>
    <t>FC055</t>
  </si>
  <si>
    <t>NavalOperationsArea</t>
  </si>
  <si>
    <t>Naval Operations Area</t>
  </si>
  <si>
    <t>An area where Naval forces conduct operations.</t>
  </si>
  <si>
    <t>Distinguished from areas where Naval forces conduct firing and/or munition exercises.</t>
  </si>
  <si>
    <t>BA021</t>
  </si>
  <si>
    <t>Nearshore</t>
  </si>
  <si>
    <t>The part of the shore or beach which lies between the low water mark and the landward limit of the offshore region.</t>
  </si>
  <si>
    <t>AL014</t>
  </si>
  <si>
    <t>NonBuildingStructure</t>
  </si>
  <si>
    <t>Non-building Structure</t>
  </si>
  <si>
    <t>A free-standing self-supporting construction (for example: a large piece of equipment) designed to support human activities (for example: agriculture, manufacturing, or mining) but not intended for human occupancy and/or habitation (for example: a house, a bank, an office, or a stadium).</t>
  </si>
  <si>
    <t>May have only limited protection from the weather (for example: a hayrick) and often composed of components specialized for a particular activity (for example: animal feeding, material storage, or traffic control) or process (for example: chemical reaction, heating, mixing, or physical shaping). For example, a cane press, a cement mill, a cotton gin, a distillation tower, and a rock crusher.</t>
  </si>
  <si>
    <t>GA038</t>
  </si>
  <si>
    <t>NonDirectionalRadioBeacon</t>
  </si>
  <si>
    <t>Non-Directional Radio Beacon (NDB)</t>
  </si>
  <si>
    <t>A low or medium radio navigation service transmitting signals whereby the pilot of a suitably equipped aircraft can determine bearings, 'home in' on, and/or track to or from the station.</t>
  </si>
  <si>
    <t>The radio frequencies assigned to an NDB shall be selected from those available in that portion of the spectrum between 190 and 1750 kilohertz (kHz).</t>
  </si>
  <si>
    <t xml:space="preserve">NDB  </t>
  </si>
  <si>
    <t>ZI041</t>
  </si>
  <si>
    <t>NonSpatialMdEntCollect</t>
  </si>
  <si>
    <t>Non-spatial Metadata Entity Collection</t>
  </si>
  <si>
    <t>A resource that collects instances of one or more modeling entities that share common source(s) and processing step(s) as the basis for their digital non-spatial representation.</t>
  </si>
  <si>
    <t>The modeling entity specifies metadata regarding the type(s) of data that were used to define the digital representation of the non-spatial component(s) of the entity collection. For example, an existing vertical obstruction dataset may be used to populate accurate height or material type attributes, or a land navigation dataset may be used to populate accurate road width, clearance, and/or surface composition attributes.</t>
  </si>
  <si>
    <t>AA054</t>
  </si>
  <si>
    <t>NonWaterWell</t>
  </si>
  <si>
    <t>Non-water Well</t>
  </si>
  <si>
    <t>A shaft sunk into the ground to reach and tap a supply of liquids and/or gases other than water intended for use in agriculture or domestic consumption.</t>
  </si>
  <si>
    <t>Typically drilled to tap underground reservoirs of hydrocarbons (for example: petroleum or natural gas). May also, for example, yield geothermally heated liquids for use in power generation or heating, or brine for use in the extraction of salt.</t>
  </si>
  <si>
    <t>ZI006</t>
  </si>
  <si>
    <t>A modeling entity collecting unstructured information about the feature, attribute, or related information modeling entity.</t>
  </si>
  <si>
    <t>AD041</t>
  </si>
  <si>
    <t>NuclearReactorContainment</t>
  </si>
  <si>
    <t>Nuclear Reactor Containment</t>
  </si>
  <si>
    <t>A building-like structure intended to create a barrier against the release of radioactivity generated during nuclear power operations.</t>
  </si>
  <si>
    <t>The structure is usually heavily reinforced. It houses equipment used to manage a self-sustaining nuclear reaction of fissile material. The consequent release of energy may be used to generate electricity, as in a power plant.</t>
  </si>
  <si>
    <t>ZI049</t>
  </si>
  <si>
    <t>NuclearReactorInfo</t>
  </si>
  <si>
    <t>Nuclear Reactor Information</t>
  </si>
  <si>
    <t>A modeling entity collecting information (for example: its design, moderator, coolant, and thermal power output) about a nuclear reactor.</t>
  </si>
  <si>
    <t>Nuclear reactors may be used for power generation, research, and the preparation of radionuclides.</t>
  </si>
  <si>
    <t>EC020</t>
  </si>
  <si>
    <t>Oasis</t>
  </si>
  <si>
    <t>A fertile tract of land that occurs in a desert wherever a permanent supply of fresh water is available.</t>
  </si>
  <si>
    <t>Oasis vary in size from a pond with a group of date palms around small springs to the oasis cities of the deserts with extended agricultural cultivation.</t>
  </si>
  <si>
    <t>FD100</t>
  </si>
  <si>
    <t>OceanographicFront</t>
  </si>
  <si>
    <t>Oceanographic Front</t>
  </si>
  <si>
    <t>A temporally and spatially variable boundary between two large masses of ocean water that have different physical properties.</t>
  </si>
  <si>
    <t>ZI099</t>
  </si>
  <si>
    <t>OffBaseHousingInfo</t>
  </si>
  <si>
    <t>Off Base Housing Information</t>
  </si>
  <si>
    <t>A modeling entity collecting information on hotel, motel, and other types of off-base accommodations.</t>
  </si>
  <si>
    <t>Pertinent information includes the total number of rooms per establishment, total number of rooms in the area (all establishments), as well as the total amount of floor space which can be converted and used for accommodationswithin these establishments.</t>
  </si>
  <si>
    <t>AG040</t>
  </si>
  <si>
    <t>OfficePark</t>
  </si>
  <si>
    <t>Office Park</t>
  </si>
  <si>
    <t>A commercial facility consisting of multiple office buildings tenanted by one or more non-retail businesses (for example: corporate management, consulting services, or research and development) and supportive businesses (for example: a restaurant serving mid-day meals or a post office) that share a common park-like setting consisting of landscaping (for example: lawns, ornamental plantings, or ponds), parking facilities, and common entrances from adjacent roads.</t>
  </si>
  <si>
    <t>May also include commercial tenants involved in light industry (for example: gem cutting or specialized electronics manufacture).</t>
  </si>
  <si>
    <t>BD115</t>
  </si>
  <si>
    <t>OffshoreConstruction</t>
  </si>
  <si>
    <t>Offshore Construction</t>
  </si>
  <si>
    <t>An artificial structure that is located offshore.</t>
  </si>
  <si>
    <t>It usually has a surface that is raised above the sea and may be used as a working stage for conducting offshore operations (for example: drilling for petroleum and/or natural gas, loading and/or unloading vessels, or navigation support).</t>
  </si>
  <si>
    <t>ZI102</t>
  </si>
  <si>
    <t>OperatingTimeInfo</t>
  </si>
  <si>
    <t>Operating Time Information</t>
  </si>
  <si>
    <t>A modeling entity describing the time when a facility or service is officially available for use, as designated by the appropriate authority.</t>
  </si>
  <si>
    <t>EA040</t>
  </si>
  <si>
    <t>Orchard</t>
  </si>
  <si>
    <t>A tract covered by systematic plantings of trees that yield fruits (including nuts).</t>
  </si>
  <si>
    <t>ZI045</t>
  </si>
  <si>
    <t>Organisation</t>
  </si>
  <si>
    <t>An actor that has a purpose and a set of interrelated roles filled by persons who perform activities in the pursuit of objectives which fulfill that purpose, using owned or available resources (for example: sites, equipment, materials).</t>
  </si>
  <si>
    <t>An organisation may document its purpose (for example: a mission statement) or communicate it by other means. In practice, purposes and the objectives to achieve them are typically complex. Subordinate organisational units may be assigned to specialized objectives. Organisations and their sub-units may have members (for example: member countries of the United Nations; donor members of a public radio station), but membership is not essential for all organisations. Actors that fill a role (for example: an employee) need not identify with the organisation. An organisation may have a legitimate standing within some legal framework.</t>
  </si>
  <si>
    <t>ZI046</t>
  </si>
  <si>
    <t>OrganisationalUnit</t>
  </si>
  <si>
    <t>Organisational Unit</t>
  </si>
  <si>
    <t>An actor established to manage the performance of activities to achieve one or more purposes of an organisation.</t>
  </si>
  <si>
    <t>For example, a task unit or local office group.</t>
  </si>
  <si>
    <t>AK080</t>
  </si>
  <si>
    <t>OutdoorTheatreScreen</t>
  </si>
  <si>
    <t>Outdoor Theatre Screen</t>
  </si>
  <si>
    <t>A large outdoor screen for showing motion pictures.</t>
  </si>
  <si>
    <t>Drive In Theater Screen, Drive-in Theatre Screen</t>
  </si>
  <si>
    <t>AL155</t>
  </si>
  <si>
    <t>OverheadObstruction</t>
  </si>
  <si>
    <t>Overhead Obstruction</t>
  </si>
  <si>
    <t>An overhead obstruction (for example: an underpass, an overhead pipeline, and/or the overhang of a building) on a transportation route.</t>
  </si>
  <si>
    <t>ZI109</t>
  </si>
  <si>
    <t>OwnershipGroup</t>
  </si>
  <si>
    <t>Ownership Group</t>
  </si>
  <si>
    <t>Two or more actors that serve as a single entity for the purpose of ownership, entitlements, and/or obligations, and whose members share in that ownership, entitlement, and/or obligation.</t>
  </si>
  <si>
    <t>An actor is an intentional (that is, purposeful) entity that acts or has the capability of acting as a participant in an event. An ownership group exercises its rights or responsibilities by collective action of its members or by delegation to a representative (which may be one of the ownership group or an external agent). Ownership groups typically have legal standing but in certain contexts may be recognized by other social mechanisms (for example: social land tenure). Examples: A legal partnership that owns a property, or two tribes with an equal share in hunting rights within a territory.</t>
  </si>
  <si>
    <t>BJ070</t>
  </si>
  <si>
    <t>PackIce</t>
  </si>
  <si>
    <t>Pack Ice</t>
  </si>
  <si>
    <t>Term used in a wide sense to include any area of sea ice other than fast ice.</t>
  </si>
  <si>
    <t>Pack ice commonly consists of connected floating plates of ice and has a mosaic look. Fast Ice is defined as sea ice which remains fast, generally in the position where originally formed, and which may attain a considerable thickness. Fast ice is found along coasts, where it is attached to the shore, or over shoals, where it may be held in position by islands, grounded icebergs, or grounded polar ice.</t>
  </si>
  <si>
    <t>AK120</t>
  </si>
  <si>
    <t>Park</t>
  </si>
  <si>
    <t>An area of defined limits which is set aside for human recreation and enjoyment and/or for historic preservation purposes, and is usually maintained in a natural, semi-natural, or ornamentally planted state.</t>
  </si>
  <si>
    <t>Parks may be in urban areas such as Central Park in New York City or in less developed areas such as Poplar Forest in Forest, Virginia, where Thomas Jefferson's plantation and plantation house are located.</t>
  </si>
  <si>
    <t>AQ141</t>
  </si>
  <si>
    <t>ParkingGarage</t>
  </si>
  <si>
    <t>Parking Garage</t>
  </si>
  <si>
    <t>A designated, multi-level, structure used for parking and/or storing vehicles.</t>
  </si>
  <si>
    <t>May be present as part of a building or as a separate structure.</t>
  </si>
  <si>
    <t>AL140</t>
  </si>
  <si>
    <t>ParticleAccelerator</t>
  </si>
  <si>
    <t>Particle Accelerator</t>
  </si>
  <si>
    <t>An apparatus for imparting high velocities to charged particles.</t>
  </si>
  <si>
    <t>BH110</t>
  </si>
  <si>
    <t>Penstock</t>
  </si>
  <si>
    <t>A pipeline that is used by hydroelectric plants to transport water by gravity from a reservoir to the turbine(s).</t>
  </si>
  <si>
    <t>ZI110</t>
  </si>
  <si>
    <t>Person</t>
  </si>
  <si>
    <t>An individual human being.</t>
  </si>
  <si>
    <t>A person may participate in an event or process, be a member of a social group, or hold a role in an organisation. A person holding an appropriate role may be delegated to act on behalf of an organisation. A human being is distinguished, as a "natural person", from a corporate organisation that may be granted rights and duties as an "artificial person" in some legal systems.</t>
  </si>
  <si>
    <t>AK061</t>
  </si>
  <si>
    <t>PicnicSite</t>
  </si>
  <si>
    <t>Picnic Site</t>
  </si>
  <si>
    <t>A site that has been set aside for picnics.</t>
  </si>
  <si>
    <t>It may have picnic tables for public use.</t>
  </si>
  <si>
    <t>AK124</t>
  </si>
  <si>
    <t>PicnicTable</t>
  </si>
  <si>
    <t>Picnic Table</t>
  </si>
  <si>
    <t>A table used for picnics.</t>
  </si>
  <si>
    <t>Often includes attached benches for seating.</t>
  </si>
  <si>
    <t>BB270</t>
  </si>
  <si>
    <t>PilotBoardingPlace</t>
  </si>
  <si>
    <t>Pilot Boarding Place</t>
  </si>
  <si>
    <t>A location offshore where a pilot may board a vessel in preparation to piloting it through local waters.</t>
  </si>
  <si>
    <t>The pilot may either be stationed in a small craft cruising in the near vicinity of the designated location, or may be brought out from shore (for example: by a helicopter) upon request.</t>
  </si>
  <si>
    <t>BD121</t>
  </si>
  <si>
    <t>Pingo</t>
  </si>
  <si>
    <t>A cone or dome shaped mound or hill of peat or soil, usually with a core of ice.</t>
  </si>
  <si>
    <t>It is found in tundra regions and is produced by the pressure of water or ice accumulating underground and pushing upward.</t>
  </si>
  <si>
    <t>AQ113</t>
  </si>
  <si>
    <t>Pipeline</t>
  </si>
  <si>
    <t>A connected set of pipes for conveying liquids, slurries, or gases.</t>
  </si>
  <si>
    <t>Usually for long distances and often located underground.</t>
  </si>
  <si>
    <t>AL165</t>
  </si>
  <si>
    <t>PipelineCrossingPoint</t>
  </si>
  <si>
    <t>Pipeline Crossing Point</t>
  </si>
  <si>
    <t>A traversable site extending across a pipeline that acts as a passageway for cross-country movement of vehicles or troops.</t>
  </si>
  <si>
    <t>EA030</t>
  </si>
  <si>
    <t>PlantNursery</t>
  </si>
  <si>
    <t>Plant Nursery</t>
  </si>
  <si>
    <t>A tract where plants (for example: shrubs, flowers, and/or trees) are grown for transplanting, seed, and/or grafting.</t>
  </si>
  <si>
    <t>AK140</t>
  </si>
  <si>
    <t>Planter</t>
  </si>
  <si>
    <t>A container for growing or displaying plants, usually decorative and permanent.</t>
  </si>
  <si>
    <t>ZI007</t>
  </si>
  <si>
    <t>PointGeometryInfo</t>
  </si>
  <si>
    <t>Point Geometry Information</t>
  </si>
  <si>
    <t>A modeling entity collecting geometric representation information about a feature that is modeled as a spatial point.</t>
  </si>
  <si>
    <t>A spatial point is a 0-dimensional geometric primitive, representing a position.</t>
  </si>
  <si>
    <t>BJ080</t>
  </si>
  <si>
    <t>PolarIce</t>
  </si>
  <si>
    <t>Polar Ice</t>
  </si>
  <si>
    <t>Sea ice that is more than one year old and more than 3 metres thick.</t>
  </si>
  <si>
    <t>Sea ice is any form of ice which has originated from sea water.</t>
  </si>
  <si>
    <t>SA090</t>
  </si>
  <si>
    <t>PollutantDischargeLoc</t>
  </si>
  <si>
    <t>Pollutant Discharge Location</t>
  </si>
  <si>
    <t>The location where there occurs a regulated discharge of pollutants (for example: from a pipe or a man-made ditch) into ground or surface waters.</t>
  </si>
  <si>
    <t>Pollutants include dredged spoil, solid waste, incinerator residue, sewage, garbage, sewage sludge, munitions, chemical wastes, biological materials, radioactive materials, heat, wrecked or discarded equipment, rock, sand, cellar dirt and industrial, municipal, and agricultural waste discharged into water. In the United States, permits for pollutant discharge are issued by the Environmental Protection Agency (EPA), and such discharges are monitored and legal limits enforced.</t>
  </si>
  <si>
    <t>BD072</t>
  </si>
  <si>
    <t>Pontoon</t>
  </si>
  <si>
    <t>An airtight air-filled hollow structure, usually rectangular in shape, which is buoyant in water.</t>
  </si>
  <si>
    <t>Pontoons have enough buoyancy to float both themselves and a significant load. Pontoons may serve as supports for bridges or piers.</t>
  </si>
  <si>
    <t>AL022</t>
  </si>
  <si>
    <t>PopulatedPlace</t>
  </si>
  <si>
    <t>Populated Place</t>
  </si>
  <si>
    <t>A named area where people live and/or work.</t>
  </si>
  <si>
    <t>For example, a city, a town, and a village.</t>
  </si>
  <si>
    <t>BB009</t>
  </si>
  <si>
    <t>Port</t>
  </si>
  <si>
    <t>A place provided with terminal and transfer facilities for loading and/or discharging cargo or passengers, usually located in a harbour.</t>
  </si>
  <si>
    <t>A port and its related waters together comprise a harbour.</t>
  </si>
  <si>
    <t>AD011</t>
  </si>
  <si>
    <t>PowerGeneratingUnit</t>
  </si>
  <si>
    <t>Power Generating Unit</t>
  </si>
  <si>
    <t>A full set of equipment, capable of independent operation, used to generate power at a power station.</t>
  </si>
  <si>
    <t>In the case of electric power generation it includes all equipment up to the high-voltage terminal of the generator step-up transformer (IEEE 762). In the case of a steam electric power generating unit, it consists of individual boilers, any installed emission control equipment, and any steam turbine/generators dedicated to generating electricity. All combustion units/boilers/combined cycle turbines that produce steam for use in a single steam turbine/generator unit are part of the same electric power generating unit.</t>
  </si>
  <si>
    <t>ZI048</t>
  </si>
  <si>
    <t>PowerGenerationInfo</t>
  </si>
  <si>
    <t>Power Generation Information</t>
  </si>
  <si>
    <t>A modeling entity collecting information (for example: its capacity, fuel, prime mover, and operating status) about a power generating unit.</t>
  </si>
  <si>
    <t>Power generating units typically comprise a power station, often with multiple units at a single station.</t>
  </si>
  <si>
    <t>AD030</t>
  </si>
  <si>
    <t>PowerSubstation</t>
  </si>
  <si>
    <t>Power Substation</t>
  </si>
  <si>
    <t>A facility, along a power transmission line, in which electric current is switched, transformed, and/or converted.</t>
  </si>
  <si>
    <t>Transformer Yard</t>
  </si>
  <si>
    <t>GA095</t>
  </si>
  <si>
    <t>PrecisionApproachRadar</t>
  </si>
  <si>
    <t>Precision Approach Radar (PAR)</t>
  </si>
  <si>
    <t>Primary radar equipment used to determine the position of an aircraft during final approach, in terms of lateral and vertical deviations relative to a nominal approach path, and in range relative to touchdown.</t>
  </si>
  <si>
    <t>Precision approach radars are designated to enable pilots of aircraft to be given guidance by radio communication during the final stages of the approach to land.</t>
  </si>
  <si>
    <t>PAR</t>
  </si>
  <si>
    <t>AQ111</t>
  </si>
  <si>
    <t>PreparedWatercourseCross</t>
  </si>
  <si>
    <t>Prepared Watercourse Crossing</t>
  </si>
  <si>
    <t>A location on a watercourse that has ramps, structural piles, and/or piers constructed on one or both shores to allow for suitable future crossing operations using floating bridges or rafting equipment.</t>
  </si>
  <si>
    <t>For example, a prepared float bridge site or a prepared raft site.</t>
  </si>
  <si>
    <t>GA210</t>
  </si>
  <si>
    <t>ProcedureSegmentLeg</t>
  </si>
  <si>
    <t>Procedure Segment Leg</t>
  </si>
  <si>
    <t>A part of an instrument or visual flight procedure defined by two consecutive significant points.</t>
  </si>
  <si>
    <t>Segment Leg</t>
  </si>
  <si>
    <t>GA250</t>
  </si>
  <si>
    <t>ProcedureTransitionSeg</t>
  </si>
  <si>
    <t>Procedure Transition Segment</t>
  </si>
  <si>
    <t>A segment on which aircraft proceed directly from the en-route phase of flight to an initial approach fix.</t>
  </si>
  <si>
    <t>Arrival Feeder</t>
  </si>
  <si>
    <t>ZI004</t>
  </si>
  <si>
    <t>ProcessStepInfo</t>
  </si>
  <si>
    <t>Process Step Information</t>
  </si>
  <si>
    <t>A modeling entity collecting information about the processing activity(ies) that were used to define, review and/or update the digital representation of a feature and/or attribute.</t>
  </si>
  <si>
    <t>FA082</t>
  </si>
  <si>
    <t>ProtectWaterGatherGround</t>
  </si>
  <si>
    <t>Protected Water Gathering Ground</t>
  </si>
  <si>
    <t>A protected (restricted use) terrain region incorporating facilities for the collection of water, so designated in order to protect the water on and beneath the terrain from being contaminated.</t>
  </si>
  <si>
    <t>AL170</t>
  </si>
  <si>
    <t>PublicSquare</t>
  </si>
  <si>
    <t>Public Square</t>
  </si>
  <si>
    <t>An open site that serves as a public meeting location in a built-up area.</t>
  </si>
  <si>
    <t>Plaza</t>
  </si>
  <si>
    <t>AQ116</t>
  </si>
  <si>
    <t>PumpingStation</t>
  </si>
  <si>
    <t>Pumping Station</t>
  </si>
  <si>
    <t>A facility to move solids, liquids or gases by means of pressure or suction.</t>
  </si>
  <si>
    <t>AT042</t>
  </si>
  <si>
    <t>Pylon</t>
  </si>
  <si>
    <t>A pylon or pole used to support one or more cables.</t>
  </si>
  <si>
    <t>ZI032</t>
  </si>
  <si>
    <t>PylonInfo</t>
  </si>
  <si>
    <t>Pylon Information</t>
  </si>
  <si>
    <t>A modeling entity collecting information (for example: its shape and material) about a pylon.</t>
  </si>
  <si>
    <t>BH012</t>
  </si>
  <si>
    <t>QanatShaft</t>
  </si>
  <si>
    <t>Qanat Shaft</t>
  </si>
  <si>
    <t>A vertical shaft that provides access to an underground aqueduct and which is part of a qanat system.</t>
  </si>
  <si>
    <t>A qanat system consists a system of deep underground tunnels especially constructed to channel water from an uphill region to a dryer lower region for use (for example: a village, a garden, a crop land), and qanat shafts to provide access from the surface to the underground tunnels.</t>
  </si>
  <si>
    <t>AK130</t>
  </si>
  <si>
    <t>Racetrack</t>
  </si>
  <si>
    <t>A ground or tract marked out for racing.</t>
  </si>
  <si>
    <t>The track may be banked to facilitate high-speed racing, either by grading of the terrain or the use of structures. The bank angle may exceed 30 arc degrees and such structures can reach significant heights.</t>
  </si>
  <si>
    <t>Race Track</t>
  </si>
  <si>
    <t>BC033</t>
  </si>
  <si>
    <t>RadarRange</t>
  </si>
  <si>
    <t>Radar Range</t>
  </si>
  <si>
    <t>Indicates the coverage of a sea area by a radar surveillance station.</t>
  </si>
  <si>
    <t>Inside this area a vessel may request shore based radar assistance, particularly in poor visibility.</t>
  </si>
  <si>
    <t>AT045</t>
  </si>
  <si>
    <t>RadarStation</t>
  </si>
  <si>
    <t>Radar Station</t>
  </si>
  <si>
    <t>A facility utilizing radar to detect and analyze objects (for example: aircraft, artificial satellites, asteroids, and/or missiles) and/or environmental phenomena (for example: tornadoes).</t>
  </si>
  <si>
    <t>May include both a radar aerial as well as a structure housing radar equipment.</t>
  </si>
  <si>
    <t>ZI100</t>
  </si>
  <si>
    <t>RadioCommunicationsService</t>
  </si>
  <si>
    <t>Radio Communications Service</t>
  </si>
  <si>
    <t>A modeling entity collecting information regarding types of broadcast or network communications.</t>
  </si>
  <si>
    <t>GA044</t>
  </si>
  <si>
    <t>RadioNavServiceCoverage</t>
  </si>
  <si>
    <t>Radio Navigation Service Coverage</t>
  </si>
  <si>
    <t>The allowable circular sector coverage of a navigational aid signal.</t>
  </si>
  <si>
    <t>GA043</t>
  </si>
  <si>
    <t>RadioNavServiceLimit</t>
  </si>
  <si>
    <t>Radio Navigation Service Limitation</t>
  </si>
  <si>
    <t>A factor which would detract expected performance of a navigational aid signal circular sector.</t>
  </si>
  <si>
    <t>ZI101</t>
  </si>
  <si>
    <t>RadioTransmissionInfo</t>
  </si>
  <si>
    <t>Radio Transmission Information</t>
  </si>
  <si>
    <t>A modeling entity collecting information about the characteristics of a radio transmission.</t>
  </si>
  <si>
    <t>Radio transmission characteristics include, for example, the assigned channel, the frequency(ies) employed, and the nature of any known interference.</t>
  </si>
  <si>
    <t>AN010</t>
  </si>
  <si>
    <t>Railway</t>
  </si>
  <si>
    <t>One or more railway tracks comprising a network that is operated for the conveyance of passengers and/or goods.</t>
  </si>
  <si>
    <t>Railroad</t>
  </si>
  <si>
    <t>AN050</t>
  </si>
  <si>
    <t>RailwaySidetrack</t>
  </si>
  <si>
    <t>Railway Sidetrack</t>
  </si>
  <si>
    <t>A stretch of railway track connected to a main railway and used for temporary storage, passing, loading, and/or unloading.</t>
  </si>
  <si>
    <t>Railroad Siding, Railroad Spur</t>
  </si>
  <si>
    <t>AN085</t>
  </si>
  <si>
    <t>RailwaySignal</t>
  </si>
  <si>
    <t>Railway Signal</t>
  </si>
  <si>
    <t>A signal used to control traffic on a railway.</t>
  </si>
  <si>
    <t>AN080</t>
  </si>
  <si>
    <t>RailwaySwitch</t>
  </si>
  <si>
    <t>Railway Switch</t>
  </si>
  <si>
    <t>A device integrated with a railway track with which the rails may be switched to permit access to another railway track.</t>
  </si>
  <si>
    <t>Railroad Switch</t>
  </si>
  <si>
    <t>AN075</t>
  </si>
  <si>
    <t>RailwayTurntable</t>
  </si>
  <si>
    <t>Railway Turntable</t>
  </si>
  <si>
    <t>A rotating platform with railway tracks used for turning locomotives and/or railway carriages.</t>
  </si>
  <si>
    <t>May be enclosed within a structure.</t>
  </si>
  <si>
    <t>Railroad Turntable</t>
  </si>
  <si>
    <t>AN060</t>
  </si>
  <si>
    <t>RailwayYard</t>
  </si>
  <si>
    <t>Railway Yard</t>
  </si>
  <si>
    <t>A system of railway tracks and associated structures that are located within defined limits and that provide for loading, unloading, and/or assembling trains.</t>
  </si>
  <si>
    <t>Railroad Yard, Marshalling Yard</t>
  </si>
  <si>
    <t>AL195</t>
  </si>
  <si>
    <t>Ramp</t>
  </si>
  <si>
    <t>An inclined plane, usually man-made, for moving between two levels.</t>
  </si>
  <si>
    <t>AJ070</t>
  </si>
  <si>
    <t>Ranch</t>
  </si>
  <si>
    <t>A tract of land, including buildings and structures, whose primary use is the grazing of livestock on large, mostly unimproved, lands that are otherwise unsuitable for farming (for example: arid).</t>
  </si>
  <si>
    <t>The natural vegetation of the grazing area is usually dominated by native grasses, grass-like plants, forbs, and shrubs, but may include native or adapted introduced species that are managed like native vegetation. Ranches may be of nearly any size and if the ranch includes arable or irrigated land, the ranch may also engage in raising crops, especially hay and feed grains.</t>
  </si>
  <si>
    <t>BH120</t>
  </si>
  <si>
    <t>Rapids</t>
  </si>
  <si>
    <t>Portions of a stream with accelerated current where it descends rapidly but without a break in the slope of the bed sufficient to form a waterfall.</t>
  </si>
  <si>
    <t>The surface is usually broken by boulders and rocks.</t>
  </si>
  <si>
    <t>AB010</t>
  </si>
  <si>
    <t>RecyclingSite</t>
  </si>
  <si>
    <t>Recycling Site</t>
  </si>
  <si>
    <t>A site engaged in the wrecking, dismantling, storage, recycling, and/or disposal of discarded or scrap products.</t>
  </si>
  <si>
    <t>For example, a wrecking yard or a scrap yard.</t>
  </si>
  <si>
    <t>BD120</t>
  </si>
  <si>
    <t>Reef</t>
  </si>
  <si>
    <t>A mass of rock or coral which either reaches close to the sea surface or is exposed at low tide, posing a hazard to navigation.</t>
  </si>
  <si>
    <t>AQ200</t>
  </si>
  <si>
    <t>RegulatorySign</t>
  </si>
  <si>
    <t>Regulatory Sign</t>
  </si>
  <si>
    <t>A sign placed by an authority charged with the regulation of traffic along a transportation route for the purpose of regulating the flow of traffic (for example: vessels, vehicles and/or pedestrians) and/or providing information pertinent to the control of that traffic.</t>
  </si>
  <si>
    <t>ZI112</t>
  </si>
  <si>
    <t>ReligiousGroup</t>
  </si>
  <si>
    <t>Religious Group</t>
  </si>
  <si>
    <t>A social group whose members identify with the group based on shared religious beliefs.</t>
  </si>
  <si>
    <t>ZI037</t>
  </si>
  <si>
    <t>ReligiousInfo</t>
  </si>
  <si>
    <t>Religious Information</t>
  </si>
  <si>
    <t>A modeling entity collecting information about the religious significance and/or characteristics of features.</t>
  </si>
  <si>
    <t>ZR937</t>
  </si>
  <si>
    <t>MD_AggregateInformation</t>
  </si>
  <si>
    <t>Resource Aggregate Information</t>
  </si>
  <si>
    <t>Information about resources that are aggregate parts of the resource that the metadata describes.</t>
  </si>
  <si>
    <t>ZR902</t>
  </si>
  <si>
    <t>MD_Constraints</t>
  </si>
  <si>
    <t>Resource Constraints</t>
  </si>
  <si>
    <t>Restrictions on the access and/or use of a resource or metadata regarding a resource.</t>
  </si>
  <si>
    <t>A resource may consist of either a collection of data or the metadata that describes some collection of data.</t>
  </si>
  <si>
    <t>ZR936</t>
  </si>
  <si>
    <t>MD_Identification</t>
  </si>
  <si>
    <t>Resource Identification</t>
  </si>
  <si>
    <t>Information uniquely identifying a resource.</t>
  </si>
  <si>
    <t>May include descriptive information such as an abstract.</t>
  </si>
  <si>
    <t>ZR934</t>
  </si>
  <si>
    <t>MD_Metadata</t>
  </si>
  <si>
    <t>Resource Metadata</t>
  </si>
  <si>
    <t>Information about metadata that identifies the content of a resource.</t>
  </si>
  <si>
    <t>ZI002</t>
  </si>
  <si>
    <t>RestrictionInfo</t>
  </si>
  <si>
    <t>Restriction Information</t>
  </si>
  <si>
    <t>A modeling entity collecting information about restriction(s) and/or security control(s) applicable to dissemination of data regarding the digital representation of the feature or attribute.</t>
  </si>
  <si>
    <t>AL180</t>
  </si>
  <si>
    <t>RetailStand</t>
  </si>
  <si>
    <t>Retail Stand</t>
  </si>
  <si>
    <t>A small structure that stands alone, and is designated for the purpose of supplying a product (for example: souvenirs, magazines, snacks or refreshments) or service (for example: a shoe shine) to passers-by.</t>
  </si>
  <si>
    <t>It may be roofed (for example: a newspaper stand along the side of a city street or the attendant's booth in a parking lot or at a taxi cab stand), covered by an awning (for example: a cellular phone booth in the center of the promenade of a shopping mall or a hot dog stand on a city sidewalk), or unroofed. Although often semi-permanent in nature it may be wheeled and portable on a seasonal basis or more frequently as business conditions warrant.</t>
  </si>
  <si>
    <t>Concession Stand, Kiosk</t>
  </si>
  <si>
    <t>BH135</t>
  </si>
  <si>
    <t>RiceField</t>
  </si>
  <si>
    <t>Rice Field</t>
  </si>
  <si>
    <t>A tract that is periodically covered with water and is used for growing rice.</t>
  </si>
  <si>
    <t>CA020</t>
  </si>
  <si>
    <t>RidgeLine</t>
  </si>
  <si>
    <t>Ridge Line</t>
  </si>
  <si>
    <t>A line delineating the top of a ridge.</t>
  </si>
  <si>
    <t>AA040</t>
  </si>
  <si>
    <t>Rig</t>
  </si>
  <si>
    <t>A superstructure fitted for drilling or lifting operations for extraction and/or exploitation of natural resources.</t>
  </si>
  <si>
    <t>BH140</t>
  </si>
  <si>
    <t>River</t>
  </si>
  <si>
    <t>A natural flowing watercourse.</t>
  </si>
  <si>
    <t>AP030</t>
  </si>
  <si>
    <t>Road</t>
  </si>
  <si>
    <t>A route with a specially prepared surface that is intended for use by wheeled vehicles.</t>
  </si>
  <si>
    <t>AP020</t>
  </si>
  <si>
    <t>RoadInterchange</t>
  </si>
  <si>
    <t>Road Interchange</t>
  </si>
  <si>
    <t>A system of interconnecting roads (sometimes called ramps) located at a road junction that provides for the free movement of traffic between two or more routes on different levels.</t>
  </si>
  <si>
    <t>A road interchange utilizes grade separation and bridges to permit traffic on at least one road to pass through the junction without directly crossing any other traffic stream.</t>
  </si>
  <si>
    <t>Interchange</t>
  </si>
  <si>
    <t>AQ135</t>
  </si>
  <si>
    <t>RoadsideRestArea</t>
  </si>
  <si>
    <t>Roadside Rest Area</t>
  </si>
  <si>
    <t>A roadside place usually having facilities for people and/or vehicles.</t>
  </si>
  <si>
    <t>Rest Area</t>
  </si>
  <si>
    <t>BB015</t>
  </si>
  <si>
    <t>Roadstead</t>
  </si>
  <si>
    <t>An area near the shore where vessels can anchor in safety, usually a shallow indentation in the coast.</t>
  </si>
  <si>
    <t>They are often located outside of harbours that are restricted by size, depth, or operating capacity, and are typically used for lightering operations and unofficial anchoring.</t>
  </si>
  <si>
    <t>DB160</t>
  </si>
  <si>
    <t>RockFormation</t>
  </si>
  <si>
    <t>Rock Formation</t>
  </si>
  <si>
    <t>A significant outcropping of exposed bedrock.</t>
  </si>
  <si>
    <t>AN076</t>
  </si>
  <si>
    <t>Roundhouse</t>
  </si>
  <si>
    <t>A circular or semicircular building, with a railway turntable in the centre, used for storing and/or repairing railway locomotives.</t>
  </si>
  <si>
    <t>The railway turntable may be either completely covered, partially covered or not covered, and partially or completely surrounded by the building.</t>
  </si>
  <si>
    <t>ZI016</t>
  </si>
  <si>
    <t>RoutePavementInfo</t>
  </si>
  <si>
    <t>Route Pavement Information</t>
  </si>
  <si>
    <t>A modeling entity collecting information about a route pavement, a durable surface for an area intended to sustain traffic (for example: vehicular traffic or foot traffic).</t>
  </si>
  <si>
    <t>Paved surfaces may be used in a variety of traffic situations (for example: on a floor, in a courtyard, or on a road) and is generally composed of pieces of a hard material fitted closely together or of an undivided hard coating so as to give a compact, uniform, and smooth surface. In the past, brick was extensively used, as was metalling. Today, permeable paving methods are beginning to be used more for low-impact roadways and walkways. Metalling originally referred to the process of creating a carefully-engineered gravel roadway. The route of the roadway first would be dug down several feet. Depending on local conditions, French drains may or may not have been added. Next, large stone was placed and compacted, followed by successive layers of smaller stone, until the road surface was a small stone compacted into a hard, durable surface. 'Road metal' later became the name of stone chippings mixed with tar to form the road surfacing material termed 'tarmac'. A road of such material is called a 'metalled road' in British usage, and is still a common modern usage. (The word metal is derived from the Latin metallum, which means both 'mine' and 'quarry', hence the road building terminology.)</t>
  </si>
  <si>
    <t>AL200</t>
  </si>
  <si>
    <t>Ruins</t>
  </si>
  <si>
    <t>The deteriorated remains of an unspecified structure.</t>
  </si>
  <si>
    <t>GB055</t>
  </si>
  <si>
    <t>Runway</t>
  </si>
  <si>
    <t>A defined rectangular area on a land aerodrome prepared for the landing and take-off of aircraft.</t>
  </si>
  <si>
    <t>RWY</t>
  </si>
  <si>
    <t>GB038</t>
  </si>
  <si>
    <t>RunwayCentreLinePoint</t>
  </si>
  <si>
    <t>Runway Centre-line Point</t>
  </si>
  <si>
    <t>An operationally significant position on the centre-line of a runway surface.</t>
  </si>
  <si>
    <t>Though the runway centre-line point is a fixed location on the runway surface, the operational significance, or how the centre-line point is used, is based upon the runway direction. For example, the touchdown zone centre-line point, while a fixed location on the runway surface, is only applicable to one of the two associated runway directions for that runway surface.</t>
  </si>
  <si>
    <t>ZI043</t>
  </si>
  <si>
    <t>RunwayDeclaredDistInfo</t>
  </si>
  <si>
    <t>Runway Declared Distance Information</t>
  </si>
  <si>
    <t>A modeling entity collecting available distance information for aerodrome runway directions.</t>
  </si>
  <si>
    <t>GB052</t>
  </si>
  <si>
    <t>RunwayDirection</t>
  </si>
  <si>
    <t>Runway Direction</t>
  </si>
  <si>
    <t>One of the two possible landing and/or take-off directions of a runway or Final Approach and Take-off Area (FATO).</t>
  </si>
  <si>
    <t>One runway direction is associated with only one runway endpoint.</t>
  </si>
  <si>
    <t>GB064</t>
  </si>
  <si>
    <t>RunwayElement</t>
  </si>
  <si>
    <t>Runway Element</t>
  </si>
  <si>
    <t>A portion of a runway.</t>
  </si>
  <si>
    <t>A runway element may also include areas not defined as other portions of the runway (for example: a stopway).</t>
  </si>
  <si>
    <t>GB091</t>
  </si>
  <si>
    <t>RunwayEndSafetyArea</t>
  </si>
  <si>
    <t>Runway End Safety Area (RESA)</t>
  </si>
  <si>
    <t>An area symmetrical about the extended runway centre line and adjacent to the end of the runway strip that is primarily intended to reduce the risk of damage to an aircraft undershooting or overrunning the runway.</t>
  </si>
  <si>
    <t>The runway strip is the combination of the runway and, if provided, stopway.</t>
  </si>
  <si>
    <t>RESA, Overrun</t>
  </si>
  <si>
    <t>GB056</t>
  </si>
  <si>
    <t>RunwayEndpoint</t>
  </si>
  <si>
    <t>Runway Endpoint</t>
  </si>
  <si>
    <t>The point located on a runway centre-line at either end.</t>
  </si>
  <si>
    <t>Flight Path Alignment Point</t>
  </si>
  <si>
    <t>GB092</t>
  </si>
  <si>
    <t>RunwayHoldingPosition</t>
  </si>
  <si>
    <t>Runway Holding Position</t>
  </si>
  <si>
    <t>A designated position intended to protect a runway, an obstacle limitation surface, or an ILS/MLS critical/sensitive area at which taxiing aircraft and vehicles shall stop and hold, unless otherwise authorized by the aerodrome control tower.</t>
  </si>
  <si>
    <t>GB051</t>
  </si>
  <si>
    <t>RunwayIntersection</t>
  </si>
  <si>
    <t>Runway Intersection</t>
  </si>
  <si>
    <t>The intersecting area shared by two or more runways.</t>
  </si>
  <si>
    <t>GB060</t>
  </si>
  <si>
    <t>RunwayRadarReflector</t>
  </si>
  <si>
    <t>Runway Radar Reflector</t>
  </si>
  <si>
    <t>A device, normally placed near the threshold of a runway, used for reflecting radar signals.</t>
  </si>
  <si>
    <t>GB095</t>
  </si>
  <si>
    <t>RunwayStrip</t>
  </si>
  <si>
    <t>Runway Strip</t>
  </si>
  <si>
    <t>A defined area including the runway and stopway, if provided, that is intended: a) to reduce the risk of damage to aircraft running off a runway; and b) to protect aircraft flying over it during take-off or landing operations.</t>
  </si>
  <si>
    <t>GB090</t>
  </si>
  <si>
    <t>RunwayThreshold</t>
  </si>
  <si>
    <t>Runway Threshold</t>
  </si>
  <si>
    <t>The beginning of that portion of the runway that is available for landing.</t>
  </si>
  <si>
    <t>When the threshold is located at a point on the runway end other than the designated beginning of the runway end it is termed a 'displaced threshold'.</t>
  </si>
  <si>
    <t>GB093</t>
  </si>
  <si>
    <t>RunwayTurnPad</t>
  </si>
  <si>
    <t>Runway Turn Pad</t>
  </si>
  <si>
    <t>A defined area on a land aerodrome adjacent to a runway for the purpose of completing a 180-degree turn on that runway.</t>
  </si>
  <si>
    <t>BH160</t>
  </si>
  <si>
    <t>Sabkha</t>
  </si>
  <si>
    <t>A natural depression in arid or semi-arid regions whose bed is covered with salt encrusted clayey soil.</t>
  </si>
  <si>
    <t>Found especially in North Africa and Arabia.</t>
  </si>
  <si>
    <t>GA021</t>
  </si>
  <si>
    <t>SafeAltitudeArea</t>
  </si>
  <si>
    <t>Safe Altitude Area (SAA)</t>
  </si>
  <si>
    <t>A defined area with applicable minimum altitude providing a minimum required clearance above all objects located in the area for a defined terminal procedure(s).</t>
  </si>
  <si>
    <t>GA022</t>
  </si>
  <si>
    <t>SafeAltitudeAreaSector</t>
  </si>
  <si>
    <t>Safe Altitude Area (SAA) Sector</t>
  </si>
  <si>
    <t>A subdivision of a Safe Altitude Area (SAA) within which there is a single set of minimum altitudes.</t>
  </si>
  <si>
    <t>A safe altitude area defines an obstruction-free minimum altitude for safe aircraft operations within 25 nautical miles of an aerodrome. An SAA is usually divided into sectors, allowing lower altitudes at certain areas around the aerodrome, based on where common aircraft operations may take place.</t>
  </si>
  <si>
    <t>BH155</t>
  </si>
  <si>
    <t>SaltEvaporator</t>
  </si>
  <si>
    <t>Salt Evaporator</t>
  </si>
  <si>
    <t>Shallow pools, normally man-made, used for the natural evaporation of water for the collection of salt.</t>
  </si>
  <si>
    <t>BH150</t>
  </si>
  <si>
    <t>SaltFlat</t>
  </si>
  <si>
    <t>Salt Flat</t>
  </si>
  <si>
    <t>A flat area of natural surface salt deposits.</t>
  </si>
  <si>
    <t>May also be used to describe smaller areas; these are commonly termed salt pans.</t>
  </si>
  <si>
    <t>DB170</t>
  </si>
  <si>
    <t>SandDunes</t>
  </si>
  <si>
    <t>Sand Dunes</t>
  </si>
  <si>
    <t>One or more mounds or ridges of sand usually formed by the wind.</t>
  </si>
  <si>
    <t>GA110</t>
  </si>
  <si>
    <t>SatelliteBasedAugSystem</t>
  </si>
  <si>
    <t>Satellite Based Augmentation System (SBAS)</t>
  </si>
  <si>
    <t>A network of ground stations and satellites designed to receive navigation signals, improving the accuracy and ensuring the integrity of information for navigation and landing.</t>
  </si>
  <si>
    <t>AK161</t>
  </si>
  <si>
    <t>Scoreboard</t>
  </si>
  <si>
    <t>A large outdoor board for publicly displaying the score in an athletic event.</t>
  </si>
  <si>
    <t>Usually associated with a sports stadium or major playing field.</t>
  </si>
  <si>
    <t>EB080</t>
  </si>
  <si>
    <t>Scrubland</t>
  </si>
  <si>
    <t>A tract covered sparsely by low trees, bushes, and/or shrubs that have been stunted by an environmental limitation (for example: low rainfall or nutrient-poor soil).</t>
  </si>
  <si>
    <t>GB070</t>
  </si>
  <si>
    <t>SeaplaneRun</t>
  </si>
  <si>
    <t>Seaplane Run</t>
  </si>
  <si>
    <t>A designated portion of water that is outlined by visual surface markings and used by seaplanes to land and take-off.</t>
  </si>
  <si>
    <t>Seaplane Landing Area, Seaplane Take-off Area</t>
  </si>
  <si>
    <t>GA803</t>
  </si>
  <si>
    <t>SearchRescueRegion</t>
  </si>
  <si>
    <t>Search and Rescue Region</t>
  </si>
  <si>
    <t xml:space="preserve"> A predefined geographic area in which a specific search and rescue organization(s) is responsible for operating.</t>
  </si>
  <si>
    <t>GA802</t>
  </si>
  <si>
    <t>SearchRescueRespOrg</t>
  </si>
  <si>
    <t>Search and Rescue Responsible Organization</t>
  </si>
  <si>
    <t>An organization that is responsible for planning, coordinating, and executing search and rescue services within a specified search and rescue region.</t>
  </si>
  <si>
    <t>GA800</t>
  </si>
  <si>
    <t>SearchRescueService</t>
  </si>
  <si>
    <t>Search and Rescue Service (SAR)</t>
  </si>
  <si>
    <t>The performance of distress monitoring, communication, coordination and search and rescue functions, initial medical assistance or medical evacuation, through the use of public and private resources, including cooperating aircraft, vessels and other craft and installations.</t>
  </si>
  <si>
    <t>GA801</t>
  </si>
  <si>
    <t>SearchRescueUnit</t>
  </si>
  <si>
    <t>Search and Rescue Unit</t>
  </si>
  <si>
    <t>A unit that is designated as the appropriate responder for a specified search and rescue region.</t>
  </si>
  <si>
    <t>ZR915</t>
  </si>
  <si>
    <t>MD_SecurityConstraints</t>
  </si>
  <si>
    <t>Security Constraints</t>
  </si>
  <si>
    <t>The handling restrictions imposed on a resource, or metadata about a resource, because of national security, privacy, and/or other concerns.</t>
  </si>
  <si>
    <t>ZB080</t>
  </si>
  <si>
    <t>SensorCalibrationPoint</t>
  </si>
  <si>
    <t>Sensor Calibration Point</t>
  </si>
  <si>
    <t>A known point that is used to verify the measurements of a sensor or sensor array.</t>
  </si>
  <si>
    <t>Measurements taken from a calibration point are used to verify the accuracy and correctness of the sensor(s) and are also used as the basis for sensor adjustment.</t>
  </si>
  <si>
    <t>ZI033</t>
  </si>
  <si>
    <t>Series</t>
  </si>
  <si>
    <t>A set of related resources (for example: datasets) that share common metadata (for example: theme, source date, resolution, and methodology).</t>
  </si>
  <si>
    <t>For example, a series of vector datasets, each of which depict surface hydrography with associated attribution, where a single dataset corresponds to one of the administrative areas within a country and the series corresponds to all administrative areas within that country.</t>
  </si>
  <si>
    <t>ZI056</t>
  </si>
  <si>
    <t>ServicePopulationInfo</t>
  </si>
  <si>
    <t>Service Population Information</t>
  </si>
  <si>
    <t>A modeling entity collecting information (for example: age, gender, ethnicity) about the population served by an organisation or organisational unit.</t>
  </si>
  <si>
    <t>AL105</t>
  </si>
  <si>
    <t>Settlement</t>
  </si>
  <si>
    <t>A continuously occupied concentration of tents or lightweight fixed structures (for example: huts) serving as residences.</t>
  </si>
  <si>
    <t>May also include supporting non-residential (for example: commercial) structures.</t>
  </si>
  <si>
    <t>AC030</t>
  </si>
  <si>
    <t>SettlingPond</t>
  </si>
  <si>
    <t>Settling Pond</t>
  </si>
  <si>
    <t>A small reservoir where solid matter is precipitated from a liquid by evaporating or settling.</t>
  </si>
  <si>
    <t>Settling Basin, Sludge Pond</t>
  </si>
  <si>
    <t>AC507</t>
  </si>
  <si>
    <t>SewageTreatmentPlant</t>
  </si>
  <si>
    <t>Sewage Treatment Plant</t>
  </si>
  <si>
    <t>An operational area with buildings and other facilities for the purification of wastewater.</t>
  </si>
  <si>
    <t>BH250</t>
  </si>
  <si>
    <t>ShallowWaterArea</t>
  </si>
  <si>
    <t>Shallow Water Area</t>
  </si>
  <si>
    <t>That part of an inland body of water where the depth is relatively slight (less than 1 metre) and thus likely to limit the passage of watercraft.</t>
  </si>
  <si>
    <t>Shallow water areas may be identified using overhead imagery, where there are visible bottom features, surface waves, and/or other water surface phenomena.</t>
  </si>
  <si>
    <t>AL208</t>
  </si>
  <si>
    <t>ShantyTown</t>
  </si>
  <si>
    <t>Shanty Town</t>
  </si>
  <si>
    <t>A section of a built-up area consisting chiefly of densely packed shacks and having few, if any, streets and no public facilities.</t>
  </si>
  <si>
    <t>Usually located on the outskirts of the built-up area. The shacks are generally crude, improvised, and made from salvaged materials.</t>
  </si>
  <si>
    <t>AQ118</t>
  </si>
  <si>
    <t>SharpCurve</t>
  </si>
  <si>
    <t>Sharp Curve</t>
  </si>
  <si>
    <t>A curve along a land transportation route that may restrict vehicle traffic.</t>
  </si>
  <si>
    <t>Sharp Curve(s)</t>
  </si>
  <si>
    <t>AA011</t>
  </si>
  <si>
    <t>ShearWall</t>
  </si>
  <si>
    <t>Shear Wall</t>
  </si>
  <si>
    <t>The wall of the excavation within a quarry or extraction mine.</t>
  </si>
  <si>
    <t>AL019</t>
  </si>
  <si>
    <t>Shed</t>
  </si>
  <si>
    <t>A small building, generally of light construction, that usually has one or more open sides.</t>
  </si>
  <si>
    <t>Typically used for storage.</t>
  </si>
  <si>
    <t>BI006</t>
  </si>
  <si>
    <t>ShipElevator</t>
  </si>
  <si>
    <t>Ship Elevator</t>
  </si>
  <si>
    <t>A device used to raise ships vertically between water bodies with different elevations.</t>
  </si>
  <si>
    <t>Normally ship elevators consist of water filled chambers which can be raised or lowered by means of mechanical devices. Commonly used to move ships between canals where locks would be impractical.</t>
  </si>
  <si>
    <t>AM011</t>
  </si>
  <si>
    <t>ShippingContainer</t>
  </si>
  <si>
    <t>Shipping Container</t>
  </si>
  <si>
    <t>A moveable container used for the shipping of solid, liquid, or gaseous materials.</t>
  </si>
  <si>
    <t>The container may be either closed on all sides or open on the top or along a side. With minor modifications, if needed, shipping containers may be used for non-traditional purposes including, for example: emergency shelter, housing, retail activities, warehousing and secure space.</t>
  </si>
  <si>
    <t>BB241</t>
  </si>
  <si>
    <t>Shipyard</t>
  </si>
  <si>
    <t>A large enclosed area adjoining the sea or a major river, including facilities in which ships are built or repaired.</t>
  </si>
  <si>
    <t>AG030</t>
  </si>
  <si>
    <t>ShoppingComplex</t>
  </si>
  <si>
    <t>Shopping Complex</t>
  </si>
  <si>
    <t>A commercial facility tenanted by multiple retail stores (for example: household goods, clothing, or books), restaurants (for example: a food court), entertainment venues (for example: a movie theatre or electronic games arcade), and/or other businesses (for example: professional services), that is completely enclosed, climate controlled, has a common public arcade (for example: furnished with decorative plantings, benches, and/or fountains) and a common vehicle parking area (for example: a parking lot or parking garage).</t>
  </si>
  <si>
    <t>When the commercial entrances open onto the interior of the complex (public access being by means of central entries and broad corridors) it may consist of multiple levels connected by escalators and is often termed a 'shopping mall'. When the commercial entrances open towards the exterior of the complex and access to individual commercial entrances is directly from an adjacent vehicle parking area it consists of a single level and is often termed a 'shopping centre' or 'shopping plaza'.</t>
  </si>
  <si>
    <t>Shopping Centre, Shopping Mall, Shopping Plaza</t>
  </si>
  <si>
    <t>BA024</t>
  </si>
  <si>
    <t>Shoreline</t>
  </si>
  <si>
    <t>A line drawn along the normal limit of wave action above the higher high water line as defined by the National Authority.</t>
  </si>
  <si>
    <t>Consideration should be given to using the (more specific) high water line based on the nature of the source data collection.</t>
  </si>
  <si>
    <t>BB081</t>
  </si>
  <si>
    <t>ShorelineConstruction</t>
  </si>
  <si>
    <t>Shoreline Construction</t>
  </si>
  <si>
    <t>An artificial structure attached to land bordering a body of water and fixed in position.</t>
  </si>
  <si>
    <t>It is usually fixed to the waterbody bottom (for example: a mole) but may occasionally be fixed in position (for example: attached to the shore at one end and held between pilings at the other), but floating. Shoreline constructions are normally used for berthing and/or protection.</t>
  </si>
  <si>
    <t>BB082</t>
  </si>
  <si>
    <t>ShorelineRamp</t>
  </si>
  <si>
    <t>Shoreline Ramp</t>
  </si>
  <si>
    <t>A ramp-like structure on a shoreline that is intended to facilitate the movement of vessels and/or materials (for example: logs) into or out of the water.</t>
  </si>
  <si>
    <t>EB090</t>
  </si>
  <si>
    <t>ShrubLand</t>
  </si>
  <si>
    <t>Shrub Land</t>
  </si>
  <si>
    <t>A tract incompletely covered by low-growing, uncultured, woody plants.</t>
  </si>
  <si>
    <t>For example, partially covered by brush, scrub, shrubs (including when clumped as bush) and/or low stunted trees whose predominant height is usually less than 2-3 metres. May be more specifically characterized as either brush or scrubland.</t>
  </si>
  <si>
    <t>FC179</t>
  </si>
  <si>
    <t>SideScanSonarCoverage</t>
  </si>
  <si>
    <t>Side Scan Sonar Coverage</t>
  </si>
  <si>
    <t>An area of horizontal coverage recorded by side scan SONAR survey.</t>
  </si>
  <si>
    <t>AQ035</t>
  </si>
  <si>
    <t>Sidewalk</t>
  </si>
  <si>
    <t>A paved or improved pedestrian path, typically located adjacent and parallel to a street or road.</t>
  </si>
  <si>
    <t>GA057</t>
  </si>
  <si>
    <t>SignificantPoint</t>
  </si>
  <si>
    <t>Significant Point</t>
  </si>
  <si>
    <t>A specified geographical location used to define an air traffic service (ATS) route, the flight path of an aircraft or for other navigation/ATS purposes.</t>
  </si>
  <si>
    <t>GA059</t>
  </si>
  <si>
    <t>SigPointAssocToAirspace</t>
  </si>
  <si>
    <t>Significant Point Association to Airspace</t>
  </si>
  <si>
    <t>The use and location relative to an airspace of a significant point.</t>
  </si>
  <si>
    <t>A significant point is a specified geographical location used to define an Air Traffic Service (ATS) route, the flight path of an aircraft and/or for other navigation/ATS purposes.</t>
  </si>
  <si>
    <t>Significant Point in Airspace</t>
  </si>
  <si>
    <t>GA105</t>
  </si>
  <si>
    <t>SimplifiedDirectionFacility</t>
  </si>
  <si>
    <t>Simplified Directional Facility (SDF)</t>
  </si>
  <si>
    <t>A directional aid facility providing only lateral guidance (front or back course) for a terminal instrument approach from a final approach fix.</t>
  </si>
  <si>
    <t>The Simplified Directional Facility (SDF) provides a final approach course similar to that of the Instrument Landing System (ILS) localizer, however an SDF is intended only for use by non-precision approach procedures. It is generally less accurate than a localizer, and may not be aligned to the runway. The SDF signal is fixed at either 6 or 12 arc degrees course width as necessary to provide maximum flyability and optimum course quality.</t>
  </si>
  <si>
    <t>SDF</t>
  </si>
  <si>
    <t>ZR941</t>
  </si>
  <si>
    <t>SC_SingleCRS</t>
  </si>
  <si>
    <t>Single Coordinate Reference System</t>
  </si>
  <si>
    <t>A coordinate reference system (CRS) consisting of one Coordinate System and one Datum (as opposed to a Compound CRS).</t>
  </si>
  <si>
    <t>In ISO 19111:2003, this class was called SC_CoordinateReferenceSystem.</t>
  </si>
  <si>
    <t>AK150</t>
  </si>
  <si>
    <t>SkiJump</t>
  </si>
  <si>
    <t>Ski-jump</t>
  </si>
  <si>
    <t>A man-made structure consisting of a steep ramp levelling off at the end and built on a natural slope, used in ski-jumping.</t>
  </si>
  <si>
    <t>AK155</t>
  </si>
  <si>
    <t>SkiRun</t>
  </si>
  <si>
    <t>Ski-run</t>
  </si>
  <si>
    <t>A slope or trail prepared for skiing.</t>
  </si>
  <si>
    <t>Ski Trail</t>
  </si>
  <si>
    <t>SA050</t>
  </si>
  <si>
    <t>SlopeRegion</t>
  </si>
  <si>
    <t>Slope Region</t>
  </si>
  <si>
    <t>A region where the terrain slope is within a set range of values.</t>
  </si>
  <si>
    <t>BI040</t>
  </si>
  <si>
    <t>SluiceGate</t>
  </si>
  <si>
    <t>Sluice Gate</t>
  </si>
  <si>
    <t>A gate used to regulate the flow or level of water in a watercourse (for example: stream, irrigation ditch, or sluice).</t>
  </si>
  <si>
    <t>Sluice gates are normally installed in a superstructure and/or frame and most commonly slide vertically to open but on occasion may instead slide horizontally. When opened they allow water to flow under or beside the gate. Commonly sluice gates will be installed perpendicular to the orientation of the flow of water within a watercourse and will be constructed as wide as the watercourse they regulate. Sluice gates may also be installed along the margins of watercourses for the purpose of controlling or permitting the flow of water to or from that watercourse into adjacent watercourses. Sluice gates may be used to regulate both tidal or non-tidal waters.</t>
  </si>
  <si>
    <t>BD002</t>
  </si>
  <si>
    <t>SmallBottomObject</t>
  </si>
  <si>
    <t>Small Bottom Object</t>
  </si>
  <si>
    <t>An object protruding above the water body bottom whose greatest dimension is less than five metres.</t>
  </si>
  <si>
    <t>The object may, depending on conditions, float and/or be partially exposed above the water surface. In general such objects appear as 'mine-like' contacts on sonar sensors and will be further investigated in situations where the presence of explosive mines is suspected.</t>
  </si>
  <si>
    <t>BB201</t>
  </si>
  <si>
    <t>SmallCraftFacility</t>
  </si>
  <si>
    <t>Small Craft Facility</t>
  </si>
  <si>
    <t>A place at which a service generally of interest to small craft or pleasure boats is available.</t>
  </si>
  <si>
    <t>AF010</t>
  </si>
  <si>
    <t>Smokestack</t>
  </si>
  <si>
    <t>A vertical structure containing a passage or flue for discharging smoke and gases of combustion.</t>
  </si>
  <si>
    <t>Chimney</t>
  </si>
  <si>
    <t>BD140</t>
  </si>
  <si>
    <t>Snag</t>
  </si>
  <si>
    <t>A substantial item of woody vegetation (for example: tree, trunk, or bush) or a broken structural pile that is embedded in the bottom of a body of water (for example: ocean, river or inland waterbody) thereby creating a hazard to water travel.</t>
  </si>
  <si>
    <t>The visibility of the snag at the water surface will depend in its size and the existing water depth.</t>
  </si>
  <si>
    <t>BJ100</t>
  </si>
  <si>
    <t>SnowIceField</t>
  </si>
  <si>
    <t>Snow Field and/or Ice-field</t>
  </si>
  <si>
    <t>A large area permanently covered by snow and/or ice.</t>
  </si>
  <si>
    <t>May cover land and/or water.</t>
  </si>
  <si>
    <t>ZI111</t>
  </si>
  <si>
    <t>SocialGroup</t>
  </si>
  <si>
    <t>Social Group</t>
  </si>
  <si>
    <t>A group that has only human beings as members, and whose members identify with the group based on a shared culture or ideology (for example: political or religious beliefs).</t>
  </si>
  <si>
    <t>Shared cultural or ideological characteristics include: kinship and ancestry, economic status, specialized knowledge, shared ideology, and/or shared objectives. Types of social groups include: ethnic, civil, political, ideological, and religious. Social groups provide a context for the social interaction and behaviour of their members. Shared cultural factors may influence the behaviour of individual members. Individual members of the social group may act together to achieve common goals or objectives. Instances of social group may be further characterized by location.</t>
  </si>
  <si>
    <t>DA010</t>
  </si>
  <si>
    <t>SoilSurfaceRegion</t>
  </si>
  <si>
    <t>Soil Surface Region</t>
  </si>
  <si>
    <t>A region of the land that is homogeneous with respect to a soil characteristic.</t>
  </si>
  <si>
    <t>AD025</t>
  </si>
  <si>
    <t>SolarFarm</t>
  </si>
  <si>
    <t>Solar Farm</t>
  </si>
  <si>
    <t>An extensive collection of solar panels that are collocated and serve a common purpose (for example: the generation of electricity or the generation of heating steam and/or water).</t>
  </si>
  <si>
    <t>The collection is often organized as an array covering many hundreds of square metres in area and it may be controlled so as to track the direction of the sun throughout the day.</t>
  </si>
  <si>
    <t>AD020</t>
  </si>
  <si>
    <t>SolarPanel</t>
  </si>
  <si>
    <t>Solar Panel</t>
  </si>
  <si>
    <t>A panel designed to absorb the sun's rays for the purpose of generating electricity or heat.</t>
  </si>
  <si>
    <t>BC103</t>
  </si>
  <si>
    <t>SoundSignalDevice</t>
  </si>
  <si>
    <t>Sound Signal Device</t>
  </si>
  <si>
    <t>An acoustic aid to navigation consisting of a device that generates distinctive audible sounds.</t>
  </si>
  <si>
    <t>For example, a buoy with a bell.</t>
  </si>
  <si>
    <t>BE020</t>
  </si>
  <si>
    <t>Sounding</t>
  </si>
  <si>
    <t>A spot depth or drying height that has been referenced to a vertical datum.</t>
  </si>
  <si>
    <t>ZI012</t>
  </si>
  <si>
    <t>SoundingMetadata</t>
  </si>
  <si>
    <t>Sounding Metadata</t>
  </si>
  <si>
    <t>A modeling entity collecting information about the basis for, and quality of, coordinates and/or dimensional measures of the digital representation of a feature and/or attribute related to a hydrographic sounding datum.</t>
  </si>
  <si>
    <t>For example, the sounding datum with respect to which a vertical position or dimension has been determined, or the accuracy of that position or dimension value.</t>
  </si>
  <si>
    <t>ZI001</t>
  </si>
  <si>
    <t>SourceInfo</t>
  </si>
  <si>
    <t>Source Information</t>
  </si>
  <si>
    <t>A modeling entity collecting information about the source data that was used to define, review and/or update the digital representation of a feature and/or attribute.</t>
  </si>
  <si>
    <t>AK200</t>
  </si>
  <si>
    <t>Spa</t>
  </si>
  <si>
    <t>A resort town or area centered around mineral and/or hot springs that are believed to have restorative powers.</t>
  </si>
  <si>
    <t>Originally named after a watering-place in the province of Liege, Belgium, celebrated for the curative properties of its mineral springs. A modern spa can be a luxurious resort or resort hotel, that may be located near a special water source or offers hot tub or similar warm-water hydromassage facilities.</t>
  </si>
  <si>
    <t>AL351</t>
  </si>
  <si>
    <t>SpaceFacility</t>
  </si>
  <si>
    <t>Space Facility</t>
  </si>
  <si>
    <t>A facility that is used to support space related activities (for example: services such as assembly, launching or recovery of spacecraft or managing flight operations).</t>
  </si>
  <si>
    <t>ZI040</t>
  </si>
  <si>
    <t>SpatialMdEntCollect</t>
  </si>
  <si>
    <t>Spatial Metadata Entity Collection</t>
  </si>
  <si>
    <t>A resource that collects instances of one or more modeling entities that share common source(s) and processing step(s) as the basis for their digital spatial representation.</t>
  </si>
  <si>
    <t>The modeling entity specifies metadata regarding the type(s) of data that were used to define the digital representation of the spatial component(s) of the entity collection. In a 2-dimensional representation the spatial component(s) are expressed as the horizontal coordinate values of the entity geometry. In a 3-dimensional representation the vertical coordinate values may be determined using a separate source and process (for example: stereoscopic imagery), in which case the 'vertical source' attributes may be additionally used for greater specificity.</t>
  </si>
  <si>
    <t>ZR935</t>
  </si>
  <si>
    <t>MD_ReferenceSystem</t>
  </si>
  <si>
    <t>Spatial Reference System</t>
  </si>
  <si>
    <t>Information about a spatial reference system.</t>
  </si>
  <si>
    <t>GA096</t>
  </si>
  <si>
    <t>SpecialNavigationSystem</t>
  </si>
  <si>
    <t>Special Navigation System</t>
  </si>
  <si>
    <t>A wide area (worldwide) service based on a chain of land stations providing radio frequency signals which can be used by airborne equipment to determine the aircraft's two-dimensional position.</t>
  </si>
  <si>
    <t>For example: Decca Navigator System or LOng Range Aid to Navigation (LORAN).</t>
  </si>
  <si>
    <t>GA097</t>
  </si>
  <si>
    <t>SpecialNavSystemStation</t>
  </si>
  <si>
    <t>Special Navigation System Station</t>
  </si>
  <si>
    <t>A land based facility emitting a radio signal for a special navigation system.</t>
  </si>
  <si>
    <t>BH165</t>
  </si>
  <si>
    <t>Spillway</t>
  </si>
  <si>
    <t>A passage for surplus water to run over or around a dam.</t>
  </si>
  <si>
    <t>ZV060</t>
  </si>
  <si>
    <t>SportingEvent</t>
  </si>
  <si>
    <t>Sporting Event</t>
  </si>
  <si>
    <t>An event in which organized competition occurs where the physical capabilities of the competitors are the sole or primary determinant of the outcome (winning or losing) in accordance with an established set of rules or customs.</t>
  </si>
  <si>
    <t>Sport is commonly defined as an organized, competitive and skillful physical activity requiring commitment and fair play, however the term is also used to include activities such as games of skill (for example: some card games and board games with little to no element of chance) and motor sports where mental acuity and/or equipment quality are major factors.</t>
  </si>
  <si>
    <t>ZV061</t>
  </si>
  <si>
    <t>SportingEventSeries</t>
  </si>
  <si>
    <t>Sporting Event Series</t>
  </si>
  <si>
    <t>An extended event consisting of a series of sporting events sharing a common basis or theme.</t>
  </si>
  <si>
    <t>Example bases or themes include: the type of sport, such as basketball or ice hockey; the purpose of the competition, such as a set of matchups leading to a final playoff to determine overall championship; a common sponsorship, such as the National Football League or International Olympic Committee; or a temporal grouping, such as occurring during a specific annual cycle.</t>
  </si>
  <si>
    <t>AK040</t>
  </si>
  <si>
    <t>SportsGround</t>
  </si>
  <si>
    <t>Sports Ground</t>
  </si>
  <si>
    <t>An open area where sporting events, exercises, and/or games occur.</t>
  </si>
  <si>
    <t>For example, an athletic field, a playing field, and/or a sports field.</t>
  </si>
  <si>
    <t>Athletic Field</t>
  </si>
  <si>
    <t>ZI068</t>
  </si>
  <si>
    <t>SportsLeague</t>
  </si>
  <si>
    <t>Sports League</t>
  </si>
  <si>
    <t>An organisation of teams or individuals who compete against each other in a specific sport.</t>
  </si>
  <si>
    <t>Sports leagues may be informally established (for example: a set of neighborhood amateur athletes) or of international and/or professional stature (for example: the National Football League).</t>
  </si>
  <si>
    <t>ZI067</t>
  </si>
  <si>
    <t>SportsOrganisation</t>
  </si>
  <si>
    <t>Sports Organisation</t>
  </si>
  <si>
    <t>An organisation whose purpose is to organize, promote, referee, or compete in sporting activities.</t>
  </si>
  <si>
    <t>For example: professional sports leagues or teams, school athletics departments, and coalitions of parties that promote or conduct sporting events. Agencies that represent professional athletes in business dealings are not considered to be sports organisations.</t>
  </si>
  <si>
    <t>ZI069</t>
  </si>
  <si>
    <t>SportsTeam</t>
  </si>
  <si>
    <t>Sports Team</t>
  </si>
  <si>
    <t>An organised group of individuals playing together (a 'team') to win a competitive sport, and including coaches and staff.</t>
  </si>
  <si>
    <t>Sports teams may be professional or amateur. The most common paradigm is a group who play cooperatively to achieve a goal or points; however, it may also be a group whose scores in individual events contribute to a team score.</t>
  </si>
  <si>
    <t>CA030</t>
  </si>
  <si>
    <t>SpotElevation</t>
  </si>
  <si>
    <t>Spot Elevation</t>
  </si>
  <si>
    <t>A designated location with an elevation value relative to a vertical datum.</t>
  </si>
  <si>
    <t>AJ080</t>
  </si>
  <si>
    <t>Stable</t>
  </si>
  <si>
    <t>A building similar to a barn and adapted for the shelter and feeding of domestic animals, being divided into individual stalls.</t>
  </si>
  <si>
    <t>Although commonly used to house horses, it may be used to house other animals (for example: prize cattle, sheep or goats) and often includes a storage loft (for example: for hay).</t>
  </si>
  <si>
    <t>AK160</t>
  </si>
  <si>
    <t>Stadium</t>
  </si>
  <si>
    <t>A field and/or stage partly or completely surrounded by a structure designed to allow spectators to stand or sit while viewing an event.</t>
  </si>
  <si>
    <t>The field and/or stage may be enclosed in a building or be outdoors. Stadiums are surrounded on most or all sides by tiered seating for spectators. Often designed in size and shape to accommodate specific sports (for example: baseball, football, basketball or ice hockey), theater or musical performances.</t>
  </si>
  <si>
    <t>AQ150</t>
  </si>
  <si>
    <t>Stair</t>
  </si>
  <si>
    <t>A series of fixed steps leading from one level to another, especially such a series leading from one floor level to another inside a structure.</t>
  </si>
  <si>
    <t>The steps may also be on the outside of the structure, for example, on a gasometer.</t>
  </si>
  <si>
    <t>GA220</t>
  </si>
  <si>
    <t>StandardInstrumentArrival</t>
  </si>
  <si>
    <t>Standard Instrument Arrival (STAR)</t>
  </si>
  <si>
    <t>A designated Instrument Flight Rule (IFR) arrival route linking a significant point, normally on an Air Traffic Service (ATS) route, with a point from which a published instrument approach procedure can be commenced.</t>
  </si>
  <si>
    <t>STAR</t>
  </si>
  <si>
    <t>GA230</t>
  </si>
  <si>
    <t>StandardInstrumentDepart</t>
  </si>
  <si>
    <t>Standard Instrument Departure (SID)</t>
  </si>
  <si>
    <t>A procedure by which a departure route is designated following the Instrument Flight Rules (IFR).</t>
  </si>
  <si>
    <t>This route links the aerodrome or a specific runway of the aerodrome with a specified significant point, normally on a designated Air Traffic Service (ATS) route, at which the en-route phase of a flight commences.</t>
  </si>
  <si>
    <t>SID</t>
  </si>
  <si>
    <t>SA080</t>
  </si>
  <si>
    <t>StatisticalGeoArea</t>
  </si>
  <si>
    <t>Statistical Geographic Area</t>
  </si>
  <si>
    <t>A geographic area characterized by statistically derived and/or aggregated properties (for example: population age profile, distribution of land uses, probability of types of events).</t>
  </si>
  <si>
    <t>These areas may be characterized by statistics in one or both of the following ways: (1) delineation of the area, wholly or partially, on a statistical basis (for example: a population threshold is applied, as for a Census Tract); (2) a statistical description of the area is developed (for example: age and gender statistics; economic statistics; or natural hazard occurrences within the area). Special constraints may be applied, such as: (a) the value of one or more statistical parameters is the same throughout the area, and different from adjacent areas; (b) the value of some statistical parameter(s) falls within a range that applies throughout the area.</t>
  </si>
  <si>
    <t>AK141</t>
  </si>
  <si>
    <t>StatuePedestal</t>
  </si>
  <si>
    <t>Statue Pedestal</t>
  </si>
  <si>
    <t>An architectural support or base for a statue.</t>
  </si>
  <si>
    <t>AQ120</t>
  </si>
  <si>
    <t>SteepGrade</t>
  </si>
  <si>
    <t>Steep Grade</t>
  </si>
  <si>
    <t>A stretch along a land transportation route where the slope is high enough to slow, hinder, or even stop traffic.</t>
  </si>
  <si>
    <t>The percent (%) slope is the ratio of change in elevation (vertical distance) to horizontal ground distance multiplied by 100.</t>
  </si>
  <si>
    <t>DB010</t>
  </si>
  <si>
    <t>SteepTerrainFace</t>
  </si>
  <si>
    <t>Steep Terrain Face</t>
  </si>
  <si>
    <t>A steep, vertical, or overhanging face of rock and/or soil.</t>
  </si>
  <si>
    <t>For example, an escarpment, a bluff, or a cliff.</t>
  </si>
  <si>
    <t>GB045</t>
  </si>
  <si>
    <t>Stopway</t>
  </si>
  <si>
    <t>A defined rectangular area on the ground at the end of the take-off run available that has been prepared as a suitable area in which an aircraft can be stopped in the case of an abandoned take-off.</t>
  </si>
  <si>
    <t>Overrun, SWY</t>
  </si>
  <si>
    <t>GB044</t>
  </si>
  <si>
    <t>StopwayEndpoint</t>
  </si>
  <si>
    <t>Stopway Endpoint</t>
  </si>
  <si>
    <t>The point located on a stopway centre-line at the end of the pavement surface.</t>
  </si>
  <si>
    <t>AM010</t>
  </si>
  <si>
    <t>StorageDepot</t>
  </si>
  <si>
    <t>Storage Depot</t>
  </si>
  <si>
    <t>A tract used for the storage of products and/or supplies.</t>
  </si>
  <si>
    <t>AM070</t>
  </si>
  <si>
    <t>StorageTank</t>
  </si>
  <si>
    <t>Storage Tank</t>
  </si>
  <si>
    <t>A container used for the storage of liquids and/or gases that is not supported by a tower.</t>
  </si>
  <si>
    <t>AQ114</t>
  </si>
  <si>
    <t>StormDrain</t>
  </si>
  <si>
    <t>Storm Drain</t>
  </si>
  <si>
    <t>A collector opening into a pipe or channel to allow the removal of excess runoff water or in some cases sewage.</t>
  </si>
  <si>
    <t>In civil engineering terms, a drop inlet.</t>
  </si>
  <si>
    <t>AQ161</t>
  </si>
  <si>
    <t>StreetLamp</t>
  </si>
  <si>
    <t>Street Lamp</t>
  </si>
  <si>
    <t>A lamp intended to illuminate a road.</t>
  </si>
  <si>
    <t>May also illuminate the ground adjacent to the road. Usually attached to a tall pole.</t>
  </si>
  <si>
    <t>Street Light</t>
  </si>
  <si>
    <t>AQ162</t>
  </si>
  <si>
    <t>StreetSign</t>
  </si>
  <si>
    <t>Street Sign</t>
  </si>
  <si>
    <t>A sign placed along a road for the purpose of regulating the flow of traffic (for example: vehicles and/or pedestrians) and/or providing information.</t>
  </si>
  <si>
    <t>BD100</t>
  </si>
  <si>
    <t>StructuralPile</t>
  </si>
  <si>
    <t>Structural Pile</t>
  </si>
  <si>
    <t>A long pile (for example: a heavy timber or section of steel, wood, or concrete) forced into the earth that may serve as a support (for example: for a pier) or as a free standing pole within a marine environment.</t>
  </si>
  <si>
    <t>BD015</t>
  </si>
  <si>
    <t>SubmarineSpring</t>
  </si>
  <si>
    <t>Submarine Spring</t>
  </si>
  <si>
    <t>A flow of underground water that emerges naturally from the seafloor.</t>
  </si>
  <si>
    <t>A submarine spring occurs when a water table or aquitard intersects with the ground surface offshore. A submarine spring is relatively cool in temperature and has far less salinity than the seawater it is entering, resulting in a brackish water condition.</t>
  </si>
  <si>
    <t>DB181</t>
  </si>
  <si>
    <t>SubmergedVolcano</t>
  </si>
  <si>
    <t>Submerged Volcano</t>
  </si>
  <si>
    <t>An underwater hill or mountain situated over an opening or openings in the Earth's crust through which lava, steam, and/or gases, are or have been expelled.</t>
  </si>
  <si>
    <t>Underwater volcanoes that have grown to the point of emerging above the water surface are usually collected either as a volcano or as a volcano within the perimeter of an island.</t>
  </si>
  <si>
    <t>AM060</t>
  </si>
  <si>
    <t>SurfaceBunker</t>
  </si>
  <si>
    <t>Surface Bunker</t>
  </si>
  <si>
    <t>A surface structure that may be covered and/or surrounded with earth and is resistant to ordnance.</t>
  </si>
  <si>
    <t>Used, for example, for storage and/or aircraft protection.</t>
  </si>
  <si>
    <t>ZI009</t>
  </si>
  <si>
    <t>SurfaceGeometryInfo</t>
  </si>
  <si>
    <t>Surface Geometry Information</t>
  </si>
  <si>
    <t>A modeling entity collecting geometric representation information about a feature that is modeled as a spatial surface.</t>
  </si>
  <si>
    <t>A spatial surface is a 2-dimensional geometric primitive, locally representing a continuous image of a region of a plane.</t>
  </si>
  <si>
    <t>ZB050</t>
  </si>
  <si>
    <t>SurveyPoint</t>
  </si>
  <si>
    <t>Survey Point</t>
  </si>
  <si>
    <t>A location where horizontal and/or vertical control has been determined by surveying methods.</t>
  </si>
  <si>
    <t>Surveys are used to establish positions (horizontal or vertical) of selected points. The points are then used to reference other survey observations or measurements.</t>
  </si>
  <si>
    <t>ED020</t>
  </si>
  <si>
    <t>Swamp</t>
  </si>
  <si>
    <t>A seasonally flooded, poorly drained wetland with more woody plants than a marsh and better drainage than a bog.</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</si>
  <si>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wetland.</t>
  </si>
  <si>
    <t>FC177</t>
  </si>
  <si>
    <t>SweptArea</t>
  </si>
  <si>
    <t>Swept Area</t>
  </si>
  <si>
    <t>A region that has been determined to be clear of navigational dangers to a specified depth.</t>
  </si>
  <si>
    <t>AK170</t>
  </si>
  <si>
    <t>SwimmingPool</t>
  </si>
  <si>
    <t>Swimming Pool</t>
  </si>
  <si>
    <t>A man-made pool used for swimming outdoors.</t>
  </si>
  <si>
    <t>GA037</t>
  </si>
  <si>
    <t>TacticalAirNavAidBeacon</t>
  </si>
  <si>
    <t>Tactical Air Navigation Aid (TACAN) Beacon</t>
  </si>
  <si>
    <t>A military Ultra High Frequency (UHF) radio navigation service able to provide continuous bearing and Distance Measuring Equipment (DME) distance to a selected station.</t>
  </si>
  <si>
    <t>A navigation system developed by military and naval forces providing, as far as the navigating pilot is concerned and for suitably equipped aircraft, the same indication as a VOR/DME system. DME Distance is defined as the line of sight distance (slant range) from the source of a DME signal to the receiving antenna.</t>
  </si>
  <si>
    <t>TACAN</t>
  </si>
  <si>
    <t>AM071</t>
  </si>
  <si>
    <t>TankFarm</t>
  </si>
  <si>
    <t>Tank Farm</t>
  </si>
  <si>
    <t>A tract of land occupied by large-capacity tanks in which petroleum, natural gas, or liquid petrochemicals are stored.</t>
  </si>
  <si>
    <t>The tanks are usually round, constructed from metal plates, and separated from each other by berms intended to contain any leakage.</t>
  </si>
  <si>
    <t>GB075</t>
  </si>
  <si>
    <t>Taxiway</t>
  </si>
  <si>
    <t>A defined path at an aerodrome established for the taxiing of aircraft and intended to provide a ground movement link between one part of the aerodrome and another.</t>
  </si>
  <si>
    <t>TWY</t>
  </si>
  <si>
    <t>GB076</t>
  </si>
  <si>
    <t>TaxiwayElement</t>
  </si>
  <si>
    <t>Taxiway Element</t>
  </si>
  <si>
    <t>A portion of a taxiway.</t>
  </si>
  <si>
    <t>FA140</t>
  </si>
  <si>
    <t>TelecomManagementRegion</t>
  </si>
  <si>
    <t>Telecommunications Management Region</t>
  </si>
  <si>
    <t>A territorial region within which telecommunications (for example: provisioning of services, assignment of telephone numbers) are managed.</t>
  </si>
  <si>
    <t>Traditionally these regions are established in accordance with landline-based principles.</t>
  </si>
  <si>
    <t>ZR901</t>
  </si>
  <si>
    <t>EX_TemporalExtent</t>
  </si>
  <si>
    <t>Temporal Extent</t>
  </si>
  <si>
    <t>The time period covered by the content of a resource.</t>
  </si>
  <si>
    <t>AK050</t>
  </si>
  <si>
    <t>TennisCourt</t>
  </si>
  <si>
    <t>Tennis Court(s)</t>
  </si>
  <si>
    <t>One or more firm-surfaced courts that are used for tennis.</t>
  </si>
  <si>
    <t>Includes a net across the centre when in use.</t>
  </si>
  <si>
    <t>GA023</t>
  </si>
  <si>
    <t>TerminalArrivalAltitude</t>
  </si>
  <si>
    <t>Terminal Arrival Altitude (TAA)</t>
  </si>
  <si>
    <t>The lowest altitude that will provide a minimum clearance of 300 metres (1000 feet) above all objects located in an arc of a circle defined by a 46 kilometre (25 nautical mile) radius centred on the initial approach fix (IAF), or where there is no IAF then centered on the intermediate approach fix (IF), delimited by straight lines joining the extremity of the arc to the IAF/IF.</t>
  </si>
  <si>
    <t>The combined TAAs associated with an approach procedure shall account for an area of 360 arc degrees around the IF. Terminal Arrival Areas may be provided for RNAV approaches to facilitate descent and entry to the procedure. TAAs are associated with an RNAV procedure based upon the 'T' or 'Y' Arrangement. The Basic 'T' approach segment configuration is the standard configuration for transition from the en route to the terminal environment. The standard arrangement consists of three TAAs: straight-in, right base, and left base.</t>
  </si>
  <si>
    <t>TAA, Terminal Arrival Area</t>
  </si>
  <si>
    <t>GA024</t>
  </si>
  <si>
    <t>TerminalArrivalAltSector</t>
  </si>
  <si>
    <t>Terminal Arrival Altitude (TAA) Sector</t>
  </si>
  <si>
    <t>A subdivision of the Terminal Arrival Altitude (TAA) to allow for one or more minimum altitudes.</t>
  </si>
  <si>
    <t>The lowest altitude will provide a minimum clearance of 300 metres (1000 feet) above all objects located in the sector.</t>
  </si>
  <si>
    <t>Terminal Arrival Area Sector</t>
  </si>
  <si>
    <t>GA027</t>
  </si>
  <si>
    <t>TerminalInstProcedure</t>
  </si>
  <si>
    <t>Terminal Instrument Procedure</t>
  </si>
  <si>
    <t>A series of predetermined maneuvers used to transition an aircraft either from the enroute phase of flight to the aerodrome, or from the aerodrome to the enroute phase of flight.</t>
  </si>
  <si>
    <t>GA215</t>
  </si>
  <si>
    <t>TerminalInstProcMinima</t>
  </si>
  <si>
    <t>Terminal Instrument Procedure Minima</t>
  </si>
  <si>
    <t>The minimum weather condition requirements established for either take-off or landing operations.</t>
  </si>
  <si>
    <t>Terminal instrument procedure minima may include weather conditions such as prevailing visibility, overcast cloud cover or precipitation.</t>
  </si>
  <si>
    <t>GA029</t>
  </si>
  <si>
    <t>TerminalInstProcSegPoint</t>
  </si>
  <si>
    <t>Terminal Instrument Procedure Segment Point</t>
  </si>
  <si>
    <t>A geographic position or radio navigation fix along a procedure segment leg.</t>
  </si>
  <si>
    <t>It is a type of aviation designated point that is primarily used in the terminal phase of flight.</t>
  </si>
  <si>
    <t>GA028</t>
  </si>
  <si>
    <t>TerminalInstProcTransition</t>
  </si>
  <si>
    <t>Terminal Instrument Procedure Transition</t>
  </si>
  <si>
    <t>A published procedure used to connect either the basic terminal instrument procedure to one of several enroute Air Traffic Service (ATS) routes, or to connect one of several enroute ATS routes to the basic terminal instrument procedure.</t>
  </si>
  <si>
    <t>FA100</t>
  </si>
  <si>
    <t>TestSite</t>
  </si>
  <si>
    <t>Test Site</t>
  </si>
  <si>
    <t>A site for the testing of technical products and equipment.</t>
  </si>
  <si>
    <t>AL510</t>
  </si>
  <si>
    <t>TetheredBalloon</t>
  </si>
  <si>
    <t>Tethered Balloon</t>
  </si>
  <si>
    <t>A balloon that is tethered to the ground at an anchoring device (for example: a ring and pad) or substantial structure (for example: a mooring tower).</t>
  </si>
  <si>
    <t>It is usually deployed for extended periods of time and may be used, for example, for weather sensing and/or observation of the surrounding terrain.</t>
  </si>
  <si>
    <t>Thalweg</t>
  </si>
  <si>
    <t>An imaginary line connecting the points of lowest bed elevation in a watercourse.</t>
  </si>
  <si>
    <t>It usually marks the line of maximum flow in the watercourse.</t>
  </si>
  <si>
    <t>FC101</t>
  </si>
  <si>
    <t>TheodoliteReferenceLine</t>
  </si>
  <si>
    <t>Theodolite Reference Line</t>
  </si>
  <si>
    <t>A line of known direction from a fixed location that is used to determine accurate positions of a vessel on certain test ranges.</t>
  </si>
  <si>
    <t>EB020</t>
  </si>
  <si>
    <t>Thicket</t>
  </si>
  <si>
    <t>A tract covered mainly by low-growing, uncultured, woody plants that are thickly tangled together.</t>
  </si>
  <si>
    <t>For example, covered by brushwood and/or stunted trees. The predominant height may be up to 6-8 metres.</t>
  </si>
  <si>
    <t>BG030</t>
  </si>
  <si>
    <t>TidalStreamObserveStation</t>
  </si>
  <si>
    <t>Tidal Stream Observation Station</t>
  </si>
  <si>
    <t>The location in a tidally influenced stream where observations are taken.</t>
  </si>
  <si>
    <t>Tidal stream observation stations are either embedded in the seafloor or attached to a buoy. They measure the speed and direction of tidally influenced water movement.</t>
  </si>
  <si>
    <t>Tide Data Point</t>
  </si>
  <si>
    <t>BA040</t>
  </si>
  <si>
    <t>TidalWater</t>
  </si>
  <si>
    <t>Tidal Water</t>
  </si>
  <si>
    <t>Any water the level of which changes periodically due to tidal action.</t>
  </si>
  <si>
    <t>Tidewater</t>
  </si>
  <si>
    <t>BG020</t>
  </si>
  <si>
    <t>TideGaugeStation</t>
  </si>
  <si>
    <t>Tide Gauge Station</t>
  </si>
  <si>
    <t>A station containing an instrument for measuring the height of the tide.</t>
  </si>
  <si>
    <t>AL036</t>
  </si>
  <si>
    <t>Tomb</t>
  </si>
  <si>
    <t>A structure within which a corpse is entombed.</t>
  </si>
  <si>
    <t>It is often a building-like structure that may be partly or wholly underground (except for its entrance), but may be a simple enclosure cut into solid rock (for example: into a cliff face or inside of a cave). It may contain a single corpse or a related group (for example: a family) may be entombed together.</t>
  </si>
  <si>
    <t>ZV040</t>
  </si>
  <si>
    <t>TornadoTouchdown</t>
  </si>
  <si>
    <t>Tornado Touchdown</t>
  </si>
  <si>
    <t>An event in which a violently rotating column of air at the Earth's surface reaches sufficient ('tornadic') strength to cause surface-level wind damage.</t>
  </si>
  <si>
    <t>A tornado is a violently rotating column of air, in contact with the ground, either pendant from a cumuliform cloud or underneath a cumuliform cloud, and often (but not always) visible as a funnel cloud. The term 'touchdown' should not be understood as implying that the tornado descends until reaching the ground since a visible funnel cloud may not be present or reach ground level despite the occurrence of significant surface-level wind damage.</t>
  </si>
  <si>
    <t>GB033</t>
  </si>
  <si>
    <t>TouchdownAndLiftOffArea</t>
  </si>
  <si>
    <t>Touchdown and Lift-off Area (TLOF)</t>
  </si>
  <si>
    <t>A load bearing area on which an aircraft/helicopter may touch down or lift-off.</t>
  </si>
  <si>
    <t>TLOF</t>
  </si>
  <si>
    <t>AL241</t>
  </si>
  <si>
    <t>Tower</t>
  </si>
  <si>
    <t>A relatively tall, narrow structure that may either stand alone or may form part of another structure.</t>
  </si>
  <si>
    <t>Usually of a square, circular, or rectangular cross-section.</t>
  </si>
  <si>
    <t>ZI070</t>
  </si>
  <si>
    <t>Track</t>
  </si>
  <si>
    <t>A geospatial region that is the path of a phenomenon (for example: a vehicle, a floating mine, a balloon, or a storm) over time as it moves at or near the surface of the Earth.</t>
  </si>
  <si>
    <t>A track may be only a segment of the overall path of the phenomenon over time, in which case many tracks may be associated with a single phenomenon.</t>
  </si>
  <si>
    <t>ZI017</t>
  </si>
  <si>
    <t>TrackInfo</t>
  </si>
  <si>
    <t>Track Information</t>
  </si>
  <si>
    <t>A modeling entity collecting information about a railway track.</t>
  </si>
  <si>
    <t>A railway track consists of (usually) two parallel rails, usually of steel, generally mounted upon cross beams (termed 'railroad ties' (US) or 'sleepers' (UK) ) of timber, concrete or steel. The underlying support maintains the rails at a fixed distance (gauge) apart. Usually vehicles running on the rails are arranged in a train (a series of individual powered or unpowered vehicles linked together). In the case of a monorail, only a single rail is employed and the vehicles may be either suspended underneath or straddle an especially wide rail.</t>
  </si>
  <si>
    <t>BE040</t>
  </si>
  <si>
    <t>TrackLine</t>
  </si>
  <si>
    <t>Track Line</t>
  </si>
  <si>
    <t>The actual path or route of a craft over the ground or sea bottom.</t>
  </si>
  <si>
    <t>May be used to delineate the graphic representation of the route rather than the actual route.</t>
  </si>
  <si>
    <t>BE030</t>
  </si>
  <si>
    <t>TrackSwath</t>
  </si>
  <si>
    <t>Track Swath</t>
  </si>
  <si>
    <t>An area of horizontal coverage recorded by SONAR array systems.</t>
  </si>
  <si>
    <t>AQ160</t>
  </si>
  <si>
    <t>TrafficLight</t>
  </si>
  <si>
    <t>Traffic Light</t>
  </si>
  <si>
    <t>A set of automatic lights (usually red, amber, and green) for controlling road traffic, especially at a road intersection.</t>
  </si>
  <si>
    <t>Usually attached to tall poles or suspended from overhead cables.</t>
  </si>
  <si>
    <t>AP080</t>
  </si>
  <si>
    <t>TrafficMonitorSite</t>
  </si>
  <si>
    <t>Traffic Monitor Site</t>
  </si>
  <si>
    <t>A location where one or more devices have been temporarily or permanently stationed for the purpose of collecting information regarding vehicular and/or pedestrian traffic.</t>
  </si>
  <si>
    <t>Such information may include analysis of traffic flow, turning movements, speeds, congestion and delays, parking and loading, and pedestrian movement.</t>
  </si>
  <si>
    <t>FC041</t>
  </si>
  <si>
    <t>TrafficSeparationScheme</t>
  </si>
  <si>
    <t>Traffic Separation Scheme</t>
  </si>
  <si>
    <t>A maritime routeing measure that separates opposing streams of traffic by appropriate means.</t>
  </si>
  <si>
    <t>For example, traffic lanes and traffic circles. Often referred to by its acronym, TSS.</t>
  </si>
  <si>
    <t>AP050</t>
  </si>
  <si>
    <t>Trail</t>
  </si>
  <si>
    <t>A path worn by the passage of people or animals.</t>
  </si>
  <si>
    <t>Footpath</t>
  </si>
  <si>
    <t>FA165</t>
  </si>
  <si>
    <t>TrainingSite</t>
  </si>
  <si>
    <t>Training Site</t>
  </si>
  <si>
    <t>A site reserved for training.</t>
  </si>
  <si>
    <t>GB026</t>
  </si>
  <si>
    <t>TranspondLandingSysStation</t>
  </si>
  <si>
    <t>Transponder Landing System Station</t>
  </si>
  <si>
    <t>The elevation and transponder emission sensor of a transponder landing system.</t>
  </si>
  <si>
    <t>A transponder landing system is a precision landing system that uses the transponder emissions of an airborne aircraft coupled with ground elevation sensors to determine the position of the aircraft, and then sending the aircraft guidance signals via existing onboard Instrument Landing System (ILS) equipment. The transponder landing system is often used to create a precision approach at a location where an ILS would normally not be available due to cost or terrain issues.</t>
  </si>
  <si>
    <t>AQ068</t>
  </si>
  <si>
    <t>TransportationBlock</t>
  </si>
  <si>
    <t>Transportation Block</t>
  </si>
  <si>
    <t>A substantial semi-permanent assemblage of material, usually in the form of concrete blocks and/or cylinders, positioned alongside or above a land transportation route, ready to be activated as a potential barrier.</t>
  </si>
  <si>
    <t>For example, a rolling block is positioned alongside the route and a drop gate is positioned above the route.</t>
  </si>
  <si>
    <t>AQ059</t>
  </si>
  <si>
    <t>TransRouteCharacterChange</t>
  </si>
  <si>
    <t>Transportation Route Characteristic Change</t>
  </si>
  <si>
    <t>A section of a transportation route where its size (for example: narrowing or expansion in width) and/or operating speed is significantly different than in the adjacent sections of the route.</t>
  </si>
  <si>
    <t>For example, an increase or decrease in the number of lanes in a road. Constrictions along or beside a transportation route may impede the flow of vehicles or people thus resulting in 'choke points'.</t>
  </si>
  <si>
    <t>AL211</t>
  </si>
  <si>
    <t>TransRouteProtectStruct</t>
  </si>
  <si>
    <t>Transportation Route Protection Structure</t>
  </si>
  <si>
    <t>A structure built over and/or along a transportation route designed to prevent damage to, or blockage of, the route from rock slides, snow slides and/or weather phenomena.</t>
  </si>
  <si>
    <t>For example, a snow shed, a rock shed or a gallery. These structures are usually located in rugged mountainous regions.</t>
  </si>
  <si>
    <t>AQ125</t>
  </si>
  <si>
    <t>TransportationStation</t>
  </si>
  <si>
    <t>Transportation Station</t>
  </si>
  <si>
    <t>A station, usually having associated structures, which serves as a place for disembarking or taking on passengers or freight along a transportation route.</t>
  </si>
  <si>
    <t>Transportation routes may include railway, pipeline, road, water or air. Transportation stations may have associated structures for vehicle parking or ticket sales.</t>
  </si>
  <si>
    <t>AQ126</t>
  </si>
  <si>
    <t>TransportationStop</t>
  </si>
  <si>
    <t>Transportation Stop</t>
  </si>
  <si>
    <t>An intermediate stop, usually having minimal or no associated structures, along a transportation route, which serves as a place for disembarking or taking on passengers or freight.</t>
  </si>
  <si>
    <t>Transportation routes may include railway, pipeline, road, water or air. Associated structures could include a sign or small shelter. Some stops have no specific infrastructure and are known only by their location.</t>
  </si>
  <si>
    <t>EC005</t>
  </si>
  <si>
    <t>Tree</t>
  </si>
  <si>
    <t>An individual woody perennial plant, typically having a single stem or trunk growing to a considerable height and bearing lateral branches at some distance from the ground.</t>
  </si>
  <si>
    <t>May be distinguished by its relative isolation from other features, thus serving as a landmark.</t>
  </si>
  <si>
    <t>ZV051</t>
  </si>
  <si>
    <t>TsunamiRunup</t>
  </si>
  <si>
    <t>Tsunami Runup</t>
  </si>
  <si>
    <t>An event at a coastal location where a tsunami wave has reached shore and caused effects.</t>
  </si>
  <si>
    <t>A tsunami wave may break on the beach, appear as flooding, or form a 'bore' (violent rush of water with an abrupt front) as it moves up a river or stream. When the trough of the wave arrives first, the water level drops rapidly. Where this occurs the harbor or offshore area may be drained of its water, exposing sea life and ocean bottom. This phenomenon may be the only warning to residents that a large tsunami is approaching. Fatalities have occurred where people have tried to take advantage of this situation to gather fish or explore the strange landscape. The wave returns to cover the exposed coastline faster than the people can run. Although there may be an interval of minutes, or perhaps an hour, between the arrival of waves, the second, third, or later waves can be more destructive than the first.</t>
  </si>
  <si>
    <t>ZV050</t>
  </si>
  <si>
    <t>TsunamiSourceEvent</t>
  </si>
  <si>
    <t>Tsunami Source Event</t>
  </si>
  <si>
    <t>A sudden displacement event in the ocean that results in a series of ocean waves.</t>
  </si>
  <si>
    <t>Displacement results from either rapid vertical movement along a break in the Earth's crust, landslides (subaerial or submarine), or volcanic activity (collapse and/or subsidence). In the deep ocean, the resulting tsunami waves may only be a few centimetres high. They may come gently ashore or may increase in height to become fast moving walls of turbulent water several metres high. Strong displacement events can result in tsunami waves travelling thousands of kilometres, crossing ocean basins and still capable of causing significant damage.</t>
  </si>
  <si>
    <t>BJ110</t>
  </si>
  <si>
    <t>Tundra</t>
  </si>
  <si>
    <t>A vast, nearly level, treeless arctic region usually with a marshy surface and underlying permafrost.</t>
  </si>
  <si>
    <t>AQ130</t>
  </si>
  <si>
    <t>Tunnel</t>
  </si>
  <si>
    <t>An underground passage that is open at both ends and usually contains a land transportation route (for example: a road and/or a railway).</t>
  </si>
  <si>
    <t>Commonly used to pass through a hill or mountain, or under a river or road. May also provide underground passage in a mine.</t>
  </si>
  <si>
    <t>AQ095</t>
  </si>
  <si>
    <t>TunnelMouth</t>
  </si>
  <si>
    <t>Tunnel Mouth</t>
  </si>
  <si>
    <t>The opening of a tunnel into a larger space (for example: onto the terrain surface).</t>
  </si>
  <si>
    <t>A tunnel is usually open to the terrain surface at both ends, but may sometimes lead to an enclosed space, for example: leading to an underground bunker, into an underground mine (termed an 'adit') or into an underground railway station.</t>
  </si>
  <si>
    <t>AH060</t>
  </si>
  <si>
    <t>UndergroundBunker</t>
  </si>
  <si>
    <t>Underground Bunker</t>
  </si>
  <si>
    <t>A reinforced underground shelter.</t>
  </si>
  <si>
    <t>May be located within a mountain or buried below the terrain. Often used as an underground facility for military command, control, and/or troop billeting.</t>
  </si>
  <si>
    <t>AL250</t>
  </si>
  <si>
    <t>UndergroundDwelling</t>
  </si>
  <si>
    <t>Underground Dwelling</t>
  </si>
  <si>
    <t>Underground living quarters.</t>
  </si>
  <si>
    <t>AM076</t>
  </si>
  <si>
    <t>UndergroundStorageForm</t>
  </si>
  <si>
    <t>Underground Storage Formation</t>
  </si>
  <si>
    <t>An underground geological formation that is used to store materials, especially liquids and/or gases.</t>
  </si>
  <si>
    <t>The formation may be either natural (for example: a depleted oil reservoir), man-made for other purposes (for example: an abandoned mine), or intentionally engineered for the purpose of storage (for example: a hard rock cavern). Packaged (for example: in drums or on pallets) or bulk (for example: coal or grain) materials may also be stored.</t>
  </si>
  <si>
    <t>EE020</t>
  </si>
  <si>
    <t>UnvegetatedLand</t>
  </si>
  <si>
    <t>Unvegetated Land</t>
  </si>
  <si>
    <t>A tract covered by little (less than 5 percent) or no vegetation.</t>
  </si>
  <si>
    <t>Unvegetated land is distinguished from barren ground, which is typically used to directly characterize the underlying soil (and the resulting impact on vegetation cover).</t>
  </si>
  <si>
    <t>AQ115</t>
  </si>
  <si>
    <t>UtilityCover</t>
  </si>
  <si>
    <t>Utility Cover</t>
  </si>
  <si>
    <t>A removable cover or plate which provides access to underground utility tunnels, distribution lines, or drainage systems.</t>
  </si>
  <si>
    <t>For example, a manhole cover.</t>
  </si>
  <si>
    <t>BH145</t>
  </si>
  <si>
    <t>VanishingPoint</t>
  </si>
  <si>
    <t>Vanishing Point</t>
  </si>
  <si>
    <t>The location at which a watercourse disappears into the terrain.</t>
  </si>
  <si>
    <t>River Vanishing Point, Stream Vanishing Point</t>
  </si>
  <si>
    <t>AP041</t>
  </si>
  <si>
    <t>VehicleBarrier</t>
  </si>
  <si>
    <t>Vehicle Barrier</t>
  </si>
  <si>
    <t>A semi-permanent or permanent obstruction associated with a transportation route (for example: a road, a railway, a tunnel, or a bridge) to constrain, restrict, and/or prevent passage of vehicles.</t>
  </si>
  <si>
    <t>AQ140</t>
  </si>
  <si>
    <t>VehicleLot</t>
  </si>
  <si>
    <t>Vehicle Lot</t>
  </si>
  <si>
    <t>A tract used for storing and/or parking vehicles (for example: recreational vehicles) and/or vessels.</t>
  </si>
  <si>
    <t>Parking Area, Vehicle Storage Area</t>
  </si>
  <si>
    <t>ZI011</t>
  </si>
  <si>
    <t>VertCoordMetadata</t>
  </si>
  <si>
    <t>Vertical Coordinate Metadata</t>
  </si>
  <si>
    <t>A modeling entity collecting information about the basis for, and quality of, the vertical coordinates and/or vertical dimensional measures of the digital representation of a feature and/or attribute.</t>
  </si>
  <si>
    <t>For example, the spatial reference frame for a vertical position or the accuracy of that position value.</t>
  </si>
  <si>
    <t>ZR942</t>
  </si>
  <si>
    <t>SC_VerticalCRS</t>
  </si>
  <si>
    <t>Vertical Coordinate Reference System</t>
  </si>
  <si>
    <t>A 1D coordinate reference system (CRS) used for recording heights or depths.</t>
  </si>
  <si>
    <t>Vertical CRSs make use of the direction of gravity to define the concept of height or depth, but the relationship with gravity may not be straightforward. By implication, ellipsoidal heights (h) cannot be captured in a vertical coordinate reference system. Ellipsoidal heights cannot exist independently, but only as inseparable part of a 3D coordinate tuple defined in a geodetic 3D coordinate reference system.</t>
  </si>
  <si>
    <t>ZR923</t>
  </si>
  <si>
    <t>EX_VerticalExtent</t>
  </si>
  <si>
    <t>Vertical Extent</t>
  </si>
  <si>
    <t>The vertical domain of the content of a resource.</t>
  </si>
  <si>
    <t>BI005</t>
  </si>
  <si>
    <t>VesselLift</t>
  </si>
  <si>
    <t>Vessel Lift</t>
  </si>
  <si>
    <t>A mechanical device for lifting vessels from the water.</t>
  </si>
  <si>
    <t>The device may be, for example, a stationary crane or a wheeled vehicle. After removal from the water the vessel may be maintained (for example: cleaning the hull of encrustations) or stored (for example: moved to a building, shed, or lot for winter storage).</t>
  </si>
  <si>
    <t>GA036</t>
  </si>
  <si>
    <t>VhfOmniRadioBeacon</t>
  </si>
  <si>
    <t>VHF Omnidirectional Radio (VOR) Beacon</t>
  </si>
  <si>
    <t>A Very High Frequency (VHF) radio navigation service which uses phase comparisons of a ground transmitted signal to determine bearing.</t>
  </si>
  <si>
    <t>This term is derived from the expression 'very high frequency omnidirectional radio range'.</t>
  </si>
  <si>
    <t>VOR</t>
  </si>
  <si>
    <t>EA050</t>
  </si>
  <si>
    <t>Vineyard</t>
  </si>
  <si>
    <t>A tract covered by the systematic planting of grape vines.</t>
  </si>
  <si>
    <t>GB480</t>
  </si>
  <si>
    <t>VisualAppSlopeIndSystem</t>
  </si>
  <si>
    <t>Visual Approach Slope Indicator System (VASIS)</t>
  </si>
  <si>
    <t>An airport lighting facility providing vertical approach slope guidance to aircraft during approach to landing.</t>
  </si>
  <si>
    <t>A directional pattern of high intensity red and white focused light beams which indicate to the pilot that they are either: 'on path' if they see red/white; 'above path' if white/white; and 'below path' if red/red.</t>
  </si>
  <si>
    <t>VASIS</t>
  </si>
  <si>
    <t>ZD020</t>
  </si>
  <si>
    <t>VoidCollectionArea</t>
  </si>
  <si>
    <t>Void Collection Area</t>
  </si>
  <si>
    <t>A data collection region lacking suitable source coverage and/or where data is not required.</t>
  </si>
  <si>
    <t>DB190</t>
  </si>
  <si>
    <t>VolcanicDyke</t>
  </si>
  <si>
    <t>Volcanic Dyke</t>
  </si>
  <si>
    <t>A sheet of rock filling a fissure that sometimes shows as a terrain ridge.</t>
  </si>
  <si>
    <t>Especially a mass of igneous rock that has intruded upwards through strata.</t>
  </si>
  <si>
    <t>Volcanic Dike</t>
  </si>
  <si>
    <t>ZV070</t>
  </si>
  <si>
    <t>VolcanicEruption</t>
  </si>
  <si>
    <t>Volcanic Eruption</t>
  </si>
  <si>
    <t>An event consisting of ejection of volcanic materials (for example: lava, pyroclasts, and volcanic gases) from a vent or fissure in the Earth's crust.</t>
  </si>
  <si>
    <t>An eruption column, the vertical pillar of ash and gas which forms above the volcano at the time of eruption, may rise to altitudes in excess of 30 kilometres (100,000 feet). The effects of wind result in an ash cloud, often dark-colored brown to gray, that may drift for hundreds to thousands of kilometres from its volcanic source. As ash clouds become more diluted, they may be difficult to distinguish from meteorological clouds.</t>
  </si>
  <si>
    <t>DB180</t>
  </si>
  <si>
    <t>Volcano</t>
  </si>
  <si>
    <t>A hill or mountain situated over an opening or openings in the Earth's crust through which lava, cinders, steam, and/or gases, are or have been expelled.</t>
  </si>
  <si>
    <t>AL260</t>
  </si>
  <si>
    <t>Wall</t>
  </si>
  <si>
    <t>A solid man-made barrier of generally heavy material used as an enclosure, boundary, or for protection.</t>
  </si>
  <si>
    <t>AB507</t>
  </si>
  <si>
    <t>WasteHeap</t>
  </si>
  <si>
    <t>Waste Heap</t>
  </si>
  <si>
    <t>An area where heaped material (for example: waste or spoil) is deposited.</t>
  </si>
  <si>
    <t>Waste heaps may be located at disposal sites or in unsanctioned and unprepared locations where illegal dumping takes place. Illegal dumping sites are usually composed of materials produced in the immediately surrounding area; for example, in a residential neighborhood their content would principally be household trash. Illegal dumping sites have no associated structures or facilities.</t>
  </si>
  <si>
    <t>GB065</t>
  </si>
  <si>
    <t>WaterAerodrome</t>
  </si>
  <si>
    <t>Water Aerodrome</t>
  </si>
  <si>
    <t>An aerodrome intended to be used either wholly or in part for the arrival, departure and surface movement of aircraft on water.</t>
  </si>
  <si>
    <t>Sea Plane Base</t>
  </si>
  <si>
    <t>BG013</t>
  </si>
  <si>
    <t>WaterCurrentRegion</t>
  </si>
  <si>
    <t>Water Current Region</t>
  </si>
  <si>
    <t>A waterbody region in which a water current persists.</t>
  </si>
  <si>
    <t>For example, a tidal stream or an ocean current.</t>
  </si>
  <si>
    <t>BI050</t>
  </si>
  <si>
    <t>WaterIntakeTower</t>
  </si>
  <si>
    <t>Water Intake Tower</t>
  </si>
  <si>
    <t>A tower-like structure associated with a dam or water source and used for the intake of water.</t>
  </si>
  <si>
    <t>BA000</t>
  </si>
  <si>
    <t>WaterLine</t>
  </si>
  <si>
    <t>Water Line</t>
  </si>
  <si>
    <t>The line where a land mass is in contact with a body of water and is defined in terms of a specific tidal state, sounding datum and/or water condition.</t>
  </si>
  <si>
    <t>For example, a high water or low water line.</t>
  </si>
  <si>
    <t>ZD070</t>
  </si>
  <si>
    <t>WaterMeasurementLocation</t>
  </si>
  <si>
    <t>Water Measurement Location</t>
  </si>
  <si>
    <t>A location at which water-related measurements are taken.</t>
  </si>
  <si>
    <t>Water measurements include, for example: water chemistry and/or quality; water depth, volume or velocity; and water presence variability or seasonality.</t>
  </si>
  <si>
    <t>AJ055</t>
  </si>
  <si>
    <t>WaterMill</t>
  </si>
  <si>
    <t>Water Mill</t>
  </si>
  <si>
    <t>A structure that uses a water wheel or turbine to drive a mechanical process (for example: grinding grain into flour, cutting timber into lumber, or stripping bark from trees for use in tanning).</t>
  </si>
  <si>
    <t>A water mill that only generates electricity is more usually termed a 'hydroelectric plant'.</t>
  </si>
  <si>
    <t>BG010</t>
  </si>
  <si>
    <t>WaterMovementDataLocation</t>
  </si>
  <si>
    <t>Water Movement Data Location</t>
  </si>
  <si>
    <t>A location at which currents, tides, and/or other types of water movement are specified.</t>
  </si>
  <si>
    <t>Current Flow</t>
  </si>
  <si>
    <t>BH065</t>
  </si>
  <si>
    <t>WaterRace</t>
  </si>
  <si>
    <t>Water Race</t>
  </si>
  <si>
    <t>An artificial channel for a current of water, especially one built to provide water for industrial or agricultural purposes or for transporting water-borne materials.</t>
  </si>
  <si>
    <t>For example, a sluice, a flume, or a tailrace.</t>
  </si>
  <si>
    <t>ZI024</t>
  </si>
  <si>
    <t>WaterResourceInfo</t>
  </si>
  <si>
    <t>Water Resource Information</t>
  </si>
  <si>
    <t>A modeling entity collecting information (for example: its permanence, mineral content and potability) about a water resource.</t>
  </si>
  <si>
    <t>ZI097</t>
  </si>
  <si>
    <t>WaterSupplyService</t>
  </si>
  <si>
    <t>Water Supply Service</t>
  </si>
  <si>
    <t>A modeling entity collecting information regarding water supply services at a facility.</t>
  </si>
  <si>
    <t>Water supplied to a facility may come from either primary sources (for example: a public utility water system) or from secondary sources (for example: river or well). Water may also be brought into a facility by container (for example: can, drum, tank, or</t>
  </si>
  <si>
    <t>AM080</t>
  </si>
  <si>
    <t>WaterTower</t>
  </si>
  <si>
    <t>Water Tower</t>
  </si>
  <si>
    <t>A tower supporting an elevated storage tank of water.</t>
  </si>
  <si>
    <t>BH040</t>
  </si>
  <si>
    <t>WaterTreatmentBed</t>
  </si>
  <si>
    <t>Water Treatment Bed</t>
  </si>
  <si>
    <t>A tract for the treatment of water that consists of a bed of material where water is aerated or filtered.</t>
  </si>
  <si>
    <t>BG012</t>
  </si>
  <si>
    <t>WaterTurbulence</t>
  </si>
  <si>
    <t>Water Turbulence</t>
  </si>
  <si>
    <t>A disturbance of water caused by the interaction of any combination of waves, currents, eddies, tidal streams, wind, shoals, and obstructions.</t>
  </si>
  <si>
    <t>BH230</t>
  </si>
  <si>
    <t>WaterWell</t>
  </si>
  <si>
    <t>Water Well</t>
  </si>
  <si>
    <t>A shaft sunk into the ground to reach and tap a supply of water intended for uses other than power generation, heating or the extraction of minerals.</t>
  </si>
  <si>
    <t>May be, for example, drilled to tap deep underground reservoirs or dug to reach a shallow water table. Dug wells are typically circular, lined with masonry, have a stone border and a structure built above then for lowering and raising a bucket.</t>
  </si>
  <si>
    <t>FC046</t>
  </si>
  <si>
    <t>WaterbodyArea</t>
  </si>
  <si>
    <t>Waterbody Area</t>
  </si>
  <si>
    <t>A geographically defined part of a waterbody (for example: the sea or other navigable waters).</t>
  </si>
  <si>
    <t>It may have a proper name (for example: Philippine Sea, Bismark Sea, or Coral Sea).</t>
  </si>
  <si>
    <t>BA070</t>
  </si>
  <si>
    <t>WaterbodyBar</t>
  </si>
  <si>
    <t>Waterbody Bar</t>
  </si>
  <si>
    <t>A shallow ridge or mound of unconsolidated mineral material that is located in a stream channel, at the mouth of a stream, in an estuary, at a lagoon, in the wave-break zone along a coast or at the sea bottom.</t>
  </si>
  <si>
    <t>FC035</t>
  </si>
  <si>
    <t>WaterbodyDivider</t>
  </si>
  <si>
    <t>Waterbody Divider</t>
  </si>
  <si>
    <t>An artificial structure subdividing a waterbody.</t>
  </si>
  <si>
    <t>May consist of an artificial earthen embankment subdividing a pond or rice paddy, or an artificial partition (constructed, for example, from concrete or steel) subdividing a fish hatchery tank or water treatment plant aeration tank.</t>
  </si>
  <si>
    <t>FC047</t>
  </si>
  <si>
    <t>WaterbodyMorphologyArea</t>
  </si>
  <si>
    <t>Waterbody Morphology Area</t>
  </si>
  <si>
    <t>A region of a waterbody, either surface or subsurface, that is homogeneous with respect to form.</t>
  </si>
  <si>
    <t>For example: a bay, a cove, or a guyot.</t>
  </si>
  <si>
    <t>BH180</t>
  </si>
  <si>
    <t>Waterfall</t>
  </si>
  <si>
    <t>A vertically descending part of a watercourse where it falls from a height (for example: over a rock or a precipice).</t>
  </si>
  <si>
    <t>In place names, commonly shortened to 'fall' or 'falls', for example, 'Niagara Falls'.</t>
  </si>
  <si>
    <t>Falls</t>
  </si>
  <si>
    <t>BH220</t>
  </si>
  <si>
    <t>Waterwork</t>
  </si>
  <si>
    <t>An establishment for storing, purifying, and supplying an area or town with water.</t>
  </si>
  <si>
    <t>GA055</t>
  </si>
  <si>
    <t>WayPoint</t>
  </si>
  <si>
    <t>Way-point</t>
  </si>
  <si>
    <t>A specified geographical location used to define an area navigation route or the flight path of an aircraft employing area navigation.</t>
  </si>
  <si>
    <t>WPT</t>
  </si>
  <si>
    <t>AQ180</t>
  </si>
  <si>
    <t>WeighStation</t>
  </si>
  <si>
    <t>Weigh Station</t>
  </si>
  <si>
    <t>A site, including building(s) and associated equipment, that is used to inspect and weigh vehicles.</t>
  </si>
  <si>
    <t>Located adjacent to a road and used to enforce a variety of vehicle safety regulations. Vehicles may be weighed by moving them (for example: by driving) onto a platform.</t>
  </si>
  <si>
    <t>Commercial Vehicle Enforcement Facility, Motor Carrier Service Centre</t>
  </si>
  <si>
    <t>AA050</t>
  </si>
  <si>
    <t>Well</t>
  </si>
  <si>
    <t>An excavation drilled or dug into the ground (for example: the sea bed) for the extraction of liquids and/or gases.</t>
  </si>
  <si>
    <t>BH095</t>
  </si>
  <si>
    <t>Wetland</t>
  </si>
  <si>
    <t>A marsh, swamp, or other stretch of land that is usually saturated with water.</t>
  </si>
  <si>
    <t>ZV030</t>
  </si>
  <si>
    <t>WildlandFire</t>
  </si>
  <si>
    <t>Wildland Fire</t>
  </si>
  <si>
    <t>An event in which there is an uncontrolled fire in a wildland, usually spreading through vegetative fuels but often consuming structures as well.</t>
  </si>
  <si>
    <t>A wildland is an area in which development is essentially nonexistent, except for roads, railways, power lines, and similar transportation facilities. Structures, if any, are widely scattered and are primarily for recreation purposes. It includes large cattle ranches and forests managed for timber production.</t>
  </si>
  <si>
    <t>EC100</t>
  </si>
  <si>
    <t>WildlandFirePerimeter</t>
  </si>
  <si>
    <t>Wildland Fire Perimeter</t>
  </si>
  <si>
    <t>A geographic area delineated by the outer edge or boundary of a wildland fire at a moment in time.</t>
  </si>
  <si>
    <t>As a wildland fire progresses its perimeter will change shape and extent, not necessarily moving outward from some central location nor necessarily increasing in total acreage within the fire perimeter. While the fire front is assumed to be the leading edge of the fire perimeter, unburned interior areas may remain; such areas may burn (or not) at a later stage of the wildland fire.</t>
  </si>
  <si>
    <t>GB080</t>
  </si>
  <si>
    <t>WindDirectionIndicator</t>
  </si>
  <si>
    <t>Wind Direction Indicator</t>
  </si>
  <si>
    <t>A wind-actuated device indicating visually to aircraft the direction of the surface wind.</t>
  </si>
  <si>
    <t>WDI, Wind Sock</t>
  </si>
  <si>
    <t>AD060</t>
  </si>
  <si>
    <t>WindFarm</t>
  </si>
  <si>
    <t>Wind Farm</t>
  </si>
  <si>
    <t>A collection of windmotors that are collocated and are organized as a single power generation unit.</t>
  </si>
  <si>
    <t>AJ051</t>
  </si>
  <si>
    <t>WindTurbine</t>
  </si>
  <si>
    <t>Wind Turbine</t>
  </si>
  <si>
    <t>A tower and associated equipment that generates electrical power from wind.</t>
  </si>
  <si>
    <t>Windmotor</t>
  </si>
  <si>
    <t>AJ050</t>
  </si>
  <si>
    <t>Windmill</t>
  </si>
  <si>
    <t>A system of vanes attached to a tower and driven by wind (excluding wind turbines).</t>
  </si>
  <si>
    <t>ZI066</t>
  </si>
  <si>
    <t>WiredTelecomInfo</t>
  </si>
  <si>
    <t>Wired Telecommunication Information</t>
  </si>
  <si>
    <t>A modeling entity collecting information about a wired telecommunication service (for example: land-line phone service).</t>
  </si>
  <si>
    <t>ZI018</t>
  </si>
  <si>
    <t>WirelessTelecomInfo</t>
  </si>
  <si>
    <t>Wireless Telecommunication Information</t>
  </si>
  <si>
    <t>A modeling entity collecting information about a wireless telecommunication service (for example: radio broadcast or digital mobile phone service).</t>
  </si>
  <si>
    <t>BD180</t>
  </si>
  <si>
    <t>Wreck</t>
  </si>
  <si>
    <t>The ruined remains of a stranded or sunken vessel that has been rendered useless.</t>
  </si>
  <si>
    <t>AK180</t>
  </si>
  <si>
    <t>Zoo</t>
  </si>
  <si>
    <t>A site where wild animals are kept for exhibition to the public, that may also support breeding and/or study.</t>
  </si>
  <si>
    <t>Safari Park</t>
  </si>
  <si>
    <t>AWB</t>
  </si>
  <si>
    <t>aboveWaterBankSlope</t>
  </si>
  <si>
    <t>Above Water Bank Slope</t>
  </si>
  <si>
    <t>The amount of upward inclination between the horizontal surface of the mean water level of a watercourse where it touches the bank and the top of the first usable break in slope, measured at the same point on the upper bank as the military gap width.</t>
  </si>
  <si>
    <t>The (percent) slope is determined as the change in depth divided by the horizontal distance over which the change takes place, multiplied by one hundred: ((h2-h1)/d)*100.</t>
  </si>
  <si>
    <t>1</t>
  </si>
  <si>
    <t>RealInterval</t>
  </si>
  <si>
    <t>AHA</t>
  </si>
  <si>
    <t>absoluteHorizAccuracy90</t>
  </si>
  <si>
    <t>Absolute Horizontal Accuracy (90%)</t>
  </si>
  <si>
    <t>The difference between the recorded horizontal coordinates of a feature and its true position referenced to the same geodetic datum expressed as a circular error at 90 percent probability.</t>
  </si>
  <si>
    <t>It may also be applied to a data set. If the data contains multiple accuracies, usually the worst accuracy which applies to 10% or more of the data is recorded.</t>
  </si>
  <si>
    <t>Real</t>
  </si>
  <si>
    <t>AH5</t>
  </si>
  <si>
    <t>absoluteHorizAccuracy95</t>
  </si>
  <si>
    <t>Absolute Horizontal Accuracy (95%)</t>
  </si>
  <si>
    <t>The difference between the recorded horizontal coordinates of a feature and its true position referenced to the same geodetic datum expressed as a circular error at 95 percent probability.</t>
  </si>
  <si>
    <t>It may also be applied to a data set. If the data contains multiple accuracies, usually the worst accuracy which applies to 10% or more of the data is recorded. Circular error probability (CEP) is the radius of a circle within which a stated percentage of measurements for a given point will fall. For example, if the horizontal accuracy of a surveyed point is stated as one metre with 95 percent CEP, then 95 percent of measurements of the position of this point will fall within a circle of one metre radius. The true position is then estimated to lie at the centre of this circle.</t>
  </si>
  <si>
    <t>Geographical Accuracy</t>
  </si>
  <si>
    <t>AHM</t>
  </si>
  <si>
    <t>absoluteHorizAccEvalMeth</t>
  </si>
  <si>
    <t>Absolute Horizontal Accuracy Evaluation Method</t>
  </si>
  <si>
    <t>The method by which the absolute horizontal accuracy was derived.</t>
  </si>
  <si>
    <t>AbsHorizAccEvalMethodCode</t>
  </si>
  <si>
    <t>ALX</t>
  </si>
  <si>
    <t>absoluteLatitudeAccuracy</t>
  </si>
  <si>
    <t>Absolute Latitude Accuracy</t>
  </si>
  <si>
    <t>The difference between the recorded latitude coordinate value of a feature and its true position referenced to the same geodetic datum expressed as a linear error at 90 percent probability.</t>
  </si>
  <si>
    <t>HorizPosAccuracyReason</t>
  </si>
  <si>
    <t>AOX</t>
  </si>
  <si>
    <t>absoluteLongitudeAccuracy</t>
  </si>
  <si>
    <t>Absolute Longitude Accuracy</t>
  </si>
  <si>
    <t>The difference between the recorded longitude coordinate value of a feature and its true position referenced to the same geodetic datum expressed as a linear error at 90 percent probability.</t>
  </si>
  <si>
    <t>AVA</t>
  </si>
  <si>
    <t>absoluteVertAccuracy90</t>
  </si>
  <si>
    <t>Absolute Vertical Accuracy (90%)</t>
  </si>
  <si>
    <t>The difference between the recorded elevation of a feature and its true elevation referenced to the same vertical datum expressed as a linear error at 90 percent probability.</t>
  </si>
  <si>
    <t>AV5</t>
  </si>
  <si>
    <t>absoluteVertAccuracy95</t>
  </si>
  <si>
    <t>Absolute Vertical Accuracy (95%)</t>
  </si>
  <si>
    <t>The difference between the recorded elevation of a feature and its true elevation referenced to the same vertical datum expressed as a linear error at 95 percent probability.</t>
  </si>
  <si>
    <t>It may also be applied to a data set. If the data contains multiple accuracies, usually the worst accuracy which applies to 10% or more of the data is recorded. Linear error probability (LEP) is the linear magnitude within which a stated percentage of measurements for a given point will fall. For example, if the vertical accuracy of a surveyed point is stated as one metre with 95 percent LEP, then 95 percent of measurements of the height of this point will fall along a vertical line of length one metre. The true position is then estimated to lie at the centre of this vertical line.</t>
  </si>
  <si>
    <t>Elevation Accuracy</t>
  </si>
  <si>
    <t>AVM</t>
  </si>
  <si>
    <t>absoluteVertAccEvalMeth</t>
  </si>
  <si>
    <t>Absolute Vertical Accuracy Evaluation Method</t>
  </si>
  <si>
    <t>The method by which the absolute vertical accuracy was derived.</t>
  </si>
  <si>
    <t>AbsVertAccEvalMethodCode</t>
  </si>
  <si>
    <t>ASA</t>
  </si>
  <si>
    <t>accelerateStopDistAvail</t>
  </si>
  <si>
    <t>Accelerate-Stop Distance Available</t>
  </si>
  <si>
    <t>The length of the take-off run available plus the length of the stopway, if provided.</t>
  </si>
  <si>
    <t>ASDA</t>
  </si>
  <si>
    <t>ACS</t>
  </si>
  <si>
    <t>accessibilityStatus</t>
  </si>
  <si>
    <t>Accessibility Status</t>
  </si>
  <si>
    <t>The type of accessibility of a feature.</t>
  </si>
  <si>
    <t>AccessibilityStatusCode</t>
  </si>
  <si>
    <t>UTY</t>
  </si>
  <si>
    <t>accessibleUtilityType</t>
  </si>
  <si>
    <t>Accessible Utility Type</t>
  </si>
  <si>
    <t>The type(s) of utility that can be accessed through a utility cover.</t>
  </si>
  <si>
    <t>Sequence</t>
  </si>
  <si>
    <t>AccessibleUtilityTypeCode</t>
  </si>
  <si>
    <t>BRU</t>
  </si>
  <si>
    <t>accommodationType</t>
  </si>
  <si>
    <t>Accommodation Type</t>
  </si>
  <si>
    <t>The type of accommodations at an installation, ranging from short-stay (for example: nightly) through long-term primary residences.</t>
  </si>
  <si>
    <t>AccomodationTypeCode</t>
  </si>
  <si>
    <t>DOT</t>
  </si>
  <si>
    <t>activityDuration</t>
  </si>
  <si>
    <t>Activity Duration</t>
  </si>
  <si>
    <t>The time duration for which an activity is permitted or which is required for an activity to transpire.</t>
  </si>
  <si>
    <t>The activity to which the duration applies must be determined in the context of the data content specification. Typically the Attribute: 'Activity Description' is used to specify the nature of the activity.</t>
  </si>
  <si>
    <t>ActivityDurationStrucText</t>
  </si>
  <si>
    <t>ANP</t>
  </si>
  <si>
    <t>acufNamingPolicy</t>
  </si>
  <si>
    <t>ACUF Naming Policy</t>
  </si>
  <si>
    <t>An indication that the naming policy of a geographic name is controlled by the U.S. Board on Geographic Names (BGN) Advisory Committee on Undersea Features (ACUF).</t>
  </si>
  <si>
    <t>The ACUF was established to recommend standardization policy for the names of undersea features and to recommend official standard names outside the 12 nautical mile limit of sovereignty. Within the limit of sovereignty geographic naming is determined by country-specific policies.</t>
  </si>
  <si>
    <t>Boolean</t>
  </si>
  <si>
    <t>ADR</t>
  </si>
  <si>
    <t>address</t>
  </si>
  <si>
    <t>Address</t>
  </si>
  <si>
    <t>The postal address and/or electronic contact information for a facility, organisation or person.</t>
  </si>
  <si>
    <t>CI_Address</t>
  </si>
  <si>
    <t>ADI</t>
  </si>
  <si>
    <t>adminDivision</t>
  </si>
  <si>
    <t>The nature of an administrative division as established by an international body (for example: the United Nations), a supranational body (for example: the European Union), a State (for example: France), or a similar entity (for example: the Vatican) or organization (for example: the International Hydrographic Organization).</t>
  </si>
  <si>
    <t>AdminDivisionCode</t>
  </si>
  <si>
    <t>ANM</t>
  </si>
  <si>
    <t>adminName</t>
  </si>
  <si>
    <t>Administrative Name</t>
  </si>
  <si>
    <t>A name of a geopolitical entity or administrative division that may not have a formally standardized name (for example: in accordance with US Federal Information Processing Standards (FIPS) or the International Organization for Standards (ISO)).</t>
  </si>
  <si>
    <t>It is usually a conventional 'generally known as' name in common use.</t>
  </si>
  <si>
    <t>TextLex200</t>
  </si>
  <si>
    <t>APR</t>
  </si>
  <si>
    <t>aerialPresent</t>
  </si>
  <si>
    <t>Aerial Present</t>
  </si>
  <si>
    <t>An indication that a feature supports one or more aerials.</t>
  </si>
  <si>
    <t>ABL</t>
  </si>
  <si>
    <t>aerialRefuelBaseLevel</t>
  </si>
  <si>
    <t>Aerial Refuelling Base Level</t>
  </si>
  <si>
    <t>The lowest altitude or flight level at which refuelling operations can be performed.</t>
  </si>
  <si>
    <t>ARB</t>
  </si>
  <si>
    <t>aerialRefuelBidirectUse</t>
  </si>
  <si>
    <t>Aerial Refuelling Bidirectional Use</t>
  </si>
  <si>
    <t>An indication that the aerial refuelling track supports simultaneous opposite direction aerial refuelling.</t>
  </si>
  <si>
    <t>ARS</t>
  </si>
  <si>
    <t>aerialRefuelCopterOnly</t>
  </si>
  <si>
    <t>Aerial Refuelling Helicopter Only</t>
  </si>
  <si>
    <t>An indication that the aerial refuelling procedure is designed only for helicopter usage.</t>
  </si>
  <si>
    <t>CHX</t>
  </si>
  <si>
    <t>aerialRefuelReceiveChan</t>
  </si>
  <si>
    <t>Aerial Refuelling Receiver Channel</t>
  </si>
  <si>
    <t>The Tactical Air Navigation System (TACAN) channel assigned to the aircraft receiving fuel during air refuelling operations.</t>
  </si>
  <si>
    <t>The receiver and tanker TACAN equipment are tuned 63 channels apart in order to provide DME information from the tanker to the receiver aircraft.</t>
  </si>
  <si>
    <t>AerialRefuelReceiveChanCode</t>
  </si>
  <si>
    <t>CHY</t>
  </si>
  <si>
    <t>aerialRefuelTankerChan</t>
  </si>
  <si>
    <t>Aerial Refuelling Tanker Channel</t>
  </si>
  <si>
    <t>The Tactical Air Navigation System (TACAN) channel assigned to the aircraft supplying fuel during air refuelling operations.</t>
  </si>
  <si>
    <t>AerialRefuelTankerChanCode</t>
  </si>
  <si>
    <t>AAN</t>
  </si>
  <si>
    <t>aerodromeAltName</t>
  </si>
  <si>
    <t>Aerodrome Alternate Name</t>
  </si>
  <si>
    <t>The official alternate name of an aerodrome as designated by the operating agency or by the official publications of the country in which the aerodrome is located.</t>
  </si>
  <si>
    <t>A name other than the official selected name which on occasion continues to be used (for example: in aeronautical information publications, NOTAMS, or aeronautical charts) will be identified as an alternate name.</t>
  </si>
  <si>
    <t>TextLexUnconstrained</t>
  </si>
  <si>
    <t>RLS</t>
  </si>
  <si>
    <t>aerodromeAppLightSysType</t>
  </si>
  <si>
    <t>Aerodrome Approach Lighting System Type</t>
  </si>
  <si>
    <t>The type of aerodrome lighting system providing visual guidance during the final segment leg of an approach procedure.</t>
  </si>
  <si>
    <t>AerodromeAppLightSysTypeCode</t>
  </si>
  <si>
    <t>AXC</t>
  </si>
  <si>
    <t>aerodromeCityCrossRef</t>
  </si>
  <si>
    <t>Aerodrome City Cross Reference</t>
  </si>
  <si>
    <t>The city name for those aerodromes where the city name is different from the aerodrome's name or the first part of the aerodrome's name.</t>
  </si>
  <si>
    <t>ACI</t>
  </si>
  <si>
    <t>aerodromeCoLocationIdent</t>
  </si>
  <si>
    <t>Aerodrome Co-Location Identifier</t>
  </si>
  <si>
    <t>The aerodrome identifier of the collocated aerodrome, according to the appropriate authority.</t>
  </si>
  <si>
    <t>AerodromeCoLocationIdentStrucText</t>
  </si>
  <si>
    <t>ACY</t>
  </si>
  <si>
    <t>aerodromeControlStationType</t>
  </si>
  <si>
    <t>Aerodrome Control Station Type</t>
  </si>
  <si>
    <t>The type of a permanently marked geodetic survey point having a precise position (horizontal and vertical) that has been established in the vicinity of, and usually on, an aerodrome.</t>
  </si>
  <si>
    <t>AerodromeControlStationTypeCode</t>
  </si>
  <si>
    <t>ZVA</t>
  </si>
  <si>
    <t>aerodromeElevation</t>
  </si>
  <si>
    <t>Aerodrome Elevation</t>
  </si>
  <si>
    <t>The vertical distance above Mean Sea Level (MSL) of the highest point of the landing area.</t>
  </si>
  <si>
    <t>ESN</t>
  </si>
  <si>
    <t>aerodromeEmergMedPersCnt</t>
  </si>
  <si>
    <t>Aerodrome Emergency Medical Service Personnel Count</t>
  </si>
  <si>
    <t>The number of personnel trained in performing emergency medical services that are stationed at an aerodrome.</t>
  </si>
  <si>
    <t>Count</t>
  </si>
  <si>
    <t>VCN</t>
  </si>
  <si>
    <t>aerodromeEmergRespVehCnt</t>
  </si>
  <si>
    <t>Aerodrome Emergency Response Service Vehicle Count</t>
  </si>
  <si>
    <t>The number of vehicles that are stationed at an aerodrome and designated for use in aircraft accidents, snow removal, and/or emergency medical incidents.</t>
  </si>
  <si>
    <t>AFF</t>
  </si>
  <si>
    <t>aerodromeFireFightingCat</t>
  </si>
  <si>
    <t>Aerodrome Fire Fighting Category</t>
  </si>
  <si>
    <t>A standard categorisation of the rescue and fire-fighting capabilities of an aerodrome on the basis of the over-all length and fuselage width of the largest aircraft that may be rescued.</t>
  </si>
  <si>
    <t>The over-all length of a helicopter includes its tailboom and rotor.</t>
  </si>
  <si>
    <t>AerodromeFireFightingCatCode</t>
  </si>
  <si>
    <t>AHS</t>
  </si>
  <si>
    <t>aerodromeHotSpotDesig</t>
  </si>
  <si>
    <t>Aerodrome Hot Spot Designator</t>
  </si>
  <si>
    <t>An aerodrome hot spot is a runway safety-related problem area or intersection on an aerodrome.</t>
  </si>
  <si>
    <t>AerodromeHotSpotDesigStrucText</t>
  </si>
  <si>
    <t>SYP</t>
  </si>
  <si>
    <t>aerodromeHydroImpact</t>
  </si>
  <si>
    <t>Aerodrome Hydrography Impact</t>
  </si>
  <si>
    <t>An indication that land-water boundaries (for example: shorelines or hydrography) are present around the aerodrome.</t>
  </si>
  <si>
    <t>Hydrography includes features for which water is a relatively permanent constituent part, for example: perennial lakes, reservoirs and pools, perennial streams, aqueducts, flumes, conduits, canals and ditches. Hydrographic impact typically occurs when the feature is located within 20 nautical miles of the aerodrome.</t>
  </si>
  <si>
    <t>AID</t>
  </si>
  <si>
    <t>aerodromeIdentifier</t>
  </si>
  <si>
    <t>Aerodrome Identifier</t>
  </si>
  <si>
    <t>The unique identifier of an aerodrome, heliport or seaplane base.</t>
  </si>
  <si>
    <t>It may used to relate information about components (for example: runways, helipads, taxiways, and aprons) of the aerodrome, heliport or seaplane base to each other and to the overall facility.</t>
  </si>
  <si>
    <t>AerodromeIdentifierKey</t>
  </si>
  <si>
    <t>FRL</t>
  </si>
  <si>
    <t>aerodromeLocationDesc</t>
  </si>
  <si>
    <t>Aerodrome Location Description</t>
  </si>
  <si>
    <t>A free text description of the aerodrome site direction and distance from the city it serves or from another point easily distinguishable from the air.</t>
  </si>
  <si>
    <t>ALF</t>
  </si>
  <si>
    <t>aerodromeLowestTemp</t>
  </si>
  <si>
    <t>Aerodrome Lowest Temperature</t>
  </si>
  <si>
    <t>The mean lowest temperature of the coldest month of the year at an aerodrome.</t>
  </si>
  <si>
    <t>AMI</t>
  </si>
  <si>
    <t>aerodromeMilitaryTenant</t>
  </si>
  <si>
    <t>Aerodrome Military Tenant</t>
  </si>
  <si>
    <t>The U.S. military presence at an aerodrome where the presence does not have any control over airport operations.</t>
  </si>
  <si>
    <t>MAL</t>
  </si>
  <si>
    <t>aeroMoveAreaLightSysType</t>
  </si>
  <si>
    <t>Aerodrome Movement Area Light System Type</t>
  </si>
  <si>
    <t>The lighting system provided for a component of the aerodrome movement area.</t>
  </si>
  <si>
    <t>Set</t>
  </si>
  <si>
    <t>AeroMoveAreaLightSysTypeCode</t>
  </si>
  <si>
    <t>ASZ</t>
  </si>
  <si>
    <t>aeroMoveAreaPaveCond</t>
  </si>
  <si>
    <t>Aerodrome Movement Area Pavement Condition</t>
  </si>
  <si>
    <t>The surface condition of the aerodrome movement area, as a category.</t>
  </si>
  <si>
    <t>The surface condition does not include contaminations such as snow, ice, water, and/or fluid accumulation.</t>
  </si>
  <si>
    <t>AeroMoveAreaPaveCondCode</t>
  </si>
  <si>
    <t>ASX</t>
  </si>
  <si>
    <t>aeroMoveAreaSurfaceCat</t>
  </si>
  <si>
    <t>Aerodrome Movement Area Surface Category</t>
  </si>
  <si>
    <t>The level of preparation of the aerodrome movement area surface, as a category.</t>
  </si>
  <si>
    <t>Common category types may range from natural to completely paved.</t>
  </si>
  <si>
    <t>AeroMoveAreaSurfaceCatCode</t>
  </si>
  <si>
    <t>ASU</t>
  </si>
  <si>
    <t>aeroMoveAreaSurfaceComp</t>
  </si>
  <si>
    <t>Aerodrome Movement Area Surface Composition</t>
  </si>
  <si>
    <t>The type of the predominant material of which a surface of the movement area is composed.</t>
  </si>
  <si>
    <t>Example surfaces include: asphalt, concrete, or grass.</t>
  </si>
  <si>
    <t>AeroMoveAreaSurfaceCompCode</t>
  </si>
  <si>
    <t>ASP</t>
  </si>
  <si>
    <t>aeroMoveAreaSurfacePrep</t>
  </si>
  <si>
    <t>Aerodrome Movement Area Surface Preparation Method</t>
  </si>
  <si>
    <t>The preparation technique(s) applied to a surface composition.</t>
  </si>
  <si>
    <t>AeroMoveAreaSurfacePrepCode</t>
  </si>
  <si>
    <t>AMY</t>
  </si>
  <si>
    <t>aeroMoveAreaType</t>
  </si>
  <si>
    <t>Aerodrome Movement Area Type</t>
  </si>
  <si>
    <t>The type of that part of an aerodrome to be used for the take-off, landing and taxiing of aircraft, consisting of the manoeuvring area and the apron(s).</t>
  </si>
  <si>
    <t>AeroMoveAreaTypeCode</t>
  </si>
  <si>
    <t>NA8</t>
  </si>
  <si>
    <t>aerodromeOfficialName</t>
  </si>
  <si>
    <t>Aerodrome Official Name</t>
  </si>
  <si>
    <t>The primary official name of an aerodrome as designated by an appropriate authority.</t>
  </si>
  <si>
    <t>SFS</t>
  </si>
  <si>
    <t>aeroPavementFuncStatus</t>
  </si>
  <si>
    <t>Aerodrome Pavement Functional Status</t>
  </si>
  <si>
    <t>The functional status of the pavement of an aerodrome movement area.</t>
  </si>
  <si>
    <t>An aerodrome movement area is that part of an aerodrome to be used for aircraft movement operations, consisting of the manoeuvring area and the apron(s).</t>
  </si>
  <si>
    <t>AeroPavementFuncStatusCode</t>
  </si>
  <si>
    <t>ARF</t>
  </si>
  <si>
    <t>aerodromeReferenceTemp</t>
  </si>
  <si>
    <t>Aerodrome Reference Temperature</t>
  </si>
  <si>
    <t>The monthly mean of the daily maximum temperatures for the hottest month of the year at an aerodrome.</t>
  </si>
  <si>
    <t>The hottest month is that which has the highest monthly mean temperature; this temperature should be averaged over a period of years.</t>
  </si>
  <si>
    <t>AEP</t>
  </si>
  <si>
    <t>aerodromeSnowPlan</t>
  </si>
  <si>
    <t>Aerodrome Snow Plan</t>
  </si>
  <si>
    <t>A description of the general snow plan considerations at the aerodrome.</t>
  </si>
  <si>
    <t>TextNonLexUnconstrained</t>
  </si>
  <si>
    <t>AXS</t>
  </si>
  <si>
    <t>aerodromeSurfaceStatus</t>
  </si>
  <si>
    <t>Aerodrome Surface Status</t>
  </si>
  <si>
    <t>The operational status of an aerodrome movement area, as a category.</t>
  </si>
  <si>
    <t>For example: serviceable, unserviceable, closed, or work-in-progress.</t>
  </si>
  <si>
    <t>AerodromeSurfaceStatusCode</t>
  </si>
  <si>
    <t>TEI</t>
  </si>
  <si>
    <t>aerodromeTerrainImpact</t>
  </si>
  <si>
    <t>Aerodrome Terrain Impact</t>
  </si>
  <si>
    <t>An indication that the instrument approach path of the aerodrome is impacted by terrain features.</t>
  </si>
  <si>
    <t>Either the terrain rises at least 600 metres (2000 feet) above the aerodrome elevation within a 5 nautical mile radius of the aerodrome reference point, or the terrain rises at least 1200 metres (4000 feet) within the instrument approach path to the aerodrome.</t>
  </si>
  <si>
    <t>ADY</t>
  </si>
  <si>
    <t>aerodromeType</t>
  </si>
  <si>
    <t>Aerodrome Type</t>
  </si>
  <si>
    <t>The type of a defined area on land or water (including any buildings, installations and equipment) intended to be used either wholly or in part for the arrival, departure and surface movement of aircraft.</t>
  </si>
  <si>
    <t>AerodromeTypeCode</t>
  </si>
  <si>
    <t>AST</t>
  </si>
  <si>
    <t>aeroAdviceInfoServiceType</t>
  </si>
  <si>
    <t>Aeronautical Advisory and Information Service Type</t>
  </si>
  <si>
    <t>The type(s) of advice and information service(s) provided by a facility to assist in the safe conduct of flight and aircraft movement.</t>
  </si>
  <si>
    <t>AeroAdviceInfoServiceTypeCode</t>
  </si>
  <si>
    <t>ABT</t>
  </si>
  <si>
    <t>aeroBeaconType</t>
  </si>
  <si>
    <t>Aeronautical Beacon Type</t>
  </si>
  <si>
    <t>The type of visual beacon that may be used for air navigation or identification.</t>
  </si>
  <si>
    <t>For example: a marine beacon.</t>
  </si>
  <si>
    <t>AeroBeaconTypeCode</t>
  </si>
  <si>
    <t>ACM</t>
  </si>
  <si>
    <t>aeroCommChannelMode</t>
  </si>
  <si>
    <t>Aeronautical Communication Channel Mode</t>
  </si>
  <si>
    <t>The channel mode in which the communications service is operated.</t>
  </si>
  <si>
    <t>AeroCommChannelModeCode</t>
  </si>
  <si>
    <t>AWP</t>
  </si>
  <si>
    <t>aeroObstacleLightPresent</t>
  </si>
  <si>
    <t>Aeronautical Obstacle Light Present</t>
  </si>
  <si>
    <t>An indication that an obstacle that constitutes a danger to air navigation is marked by a light or lights.</t>
  </si>
  <si>
    <t>Obstacle Lighted</t>
  </si>
  <si>
    <t>OGD</t>
  </si>
  <si>
    <t>aeronauticalOrgIdentifier</t>
  </si>
  <si>
    <t>Aeronautical Organisation Identifier</t>
  </si>
  <si>
    <t>A coded identifier of the organisation, authority, agency or unit.</t>
  </si>
  <si>
    <t>For example: 'CA' = Canada; 'FAA' = Federal Aviation Administration; 'UK' = United Kingdom; 'ICAO' = International Civil Aviation Organization.</t>
  </si>
  <si>
    <t>ANI</t>
  </si>
  <si>
    <t>aeroRadioNavServiceIdent</t>
  </si>
  <si>
    <t>Aeronautical Radio Navigation Service Identifier</t>
  </si>
  <si>
    <t>A published sequence of alpha characters allowing the identification of the radio navigation service.</t>
  </si>
  <si>
    <t>NAVAID Identifier</t>
  </si>
  <si>
    <t>AeroRadioNavServiceIdentStrucText</t>
  </si>
  <si>
    <t>NSX</t>
  </si>
  <si>
    <t>aeroRadioNavServiceName</t>
  </si>
  <si>
    <t>Aeronautical Radio Navigation Service Name</t>
  </si>
  <si>
    <t>The textual designation given to a feature by a responsible authority.</t>
  </si>
  <si>
    <t>ATH</t>
  </si>
  <si>
    <t>aeroResponsibleAuthority</t>
  </si>
  <si>
    <t>Aeronautical Responsible Authority</t>
  </si>
  <si>
    <t>The name of the organization responsible (in whole or in part) for aeronautical services and facilities.</t>
  </si>
  <si>
    <t>Examples of services include: Air Traffic Services (ATS), Aeronautical Information Service (AIS), and Meteorological Service (MET).</t>
  </si>
  <si>
    <t>AAU</t>
  </si>
  <si>
    <t>aeroResponsibleAuthType</t>
  </si>
  <si>
    <t>Aeronautical Responsible Authority Type</t>
  </si>
  <si>
    <t>A categorisation of the role that one organisation has for aeronautical services and facilities.</t>
  </si>
  <si>
    <t>For example, the airspace is under the jurisdiction of the Organization/Authority, or the airspace is delegated to the Organization/Authority for the provision of Air Traffic Services (ATS).</t>
  </si>
  <si>
    <t>AeroResponsibleAuthTypeCode</t>
  </si>
  <si>
    <t>ART</t>
  </si>
  <si>
    <t>aeroRouteCategory</t>
  </si>
  <si>
    <t>Aeronautical Route Category</t>
  </si>
  <si>
    <t>The category of aeronautical route with which a waypoint or NAVAID is associated.</t>
  </si>
  <si>
    <t>AeroRouteCategoryCode</t>
  </si>
  <si>
    <t>ASN</t>
  </si>
  <si>
    <t>aeronauticalServiceName</t>
  </si>
  <si>
    <t>Aeronautical Service Name</t>
  </si>
  <si>
    <t>The name by which the aeronautical service is identified according to the appropriate authority.</t>
  </si>
  <si>
    <t>ASO</t>
  </si>
  <si>
    <t>aeroServiceOperStatus</t>
  </si>
  <si>
    <t>Aeronautical Service Operational Status</t>
  </si>
  <si>
    <t>The availability of an aeronautical navigation or communication service, as a category.</t>
  </si>
  <si>
    <t>AeroServiceOperStatusCode</t>
  </si>
  <si>
    <t>SER</t>
  </si>
  <si>
    <t>aeroServiceRanking</t>
  </si>
  <si>
    <t>Aeronautical Service Ranking</t>
  </si>
  <si>
    <t>The order of priority of the service.</t>
  </si>
  <si>
    <t>For example: primary or alternate.</t>
  </si>
  <si>
    <t>AeroServiceRankingCode</t>
  </si>
  <si>
    <t>AUD</t>
  </si>
  <si>
    <t>aeronauticalUnitDesignator</t>
  </si>
  <si>
    <t>Aeronautical Unit Designator</t>
  </si>
  <si>
    <t>A coded designator associated with the aeronautical unit.</t>
  </si>
  <si>
    <t>For example, in the case of an Area Control Center (ACC) the ICAO Location Indicator as specified in Doc. 7910. An Aeronautical unit is an organization established for the purpose of supplying aeronautical services such as, Air Traffic Management (ATM), Search and Rescue, Communications.</t>
  </si>
  <si>
    <t>AUN</t>
  </si>
  <si>
    <t>aeronauticalUnitName</t>
  </si>
  <si>
    <t>Aeronautical Unit Name</t>
  </si>
  <si>
    <t>The official full textual name of an aeronautical unit as established according to the rules specified by ICAO or appropriate authority.</t>
  </si>
  <si>
    <t>An Aeronautical unit is an organization established for the purpose of supplying aeronautical services such as Air Traffic Management (ATM), Search and Rescue, Communications, etc.</t>
  </si>
  <si>
    <t>ATU</t>
  </si>
  <si>
    <t>aeronauticalUnitType</t>
  </si>
  <si>
    <t>Aeronautical Unit Type</t>
  </si>
  <si>
    <t>The type of unit providing aeronautical services.</t>
  </si>
  <si>
    <t>AeronauticalUnitTypeCode</t>
  </si>
  <si>
    <t>M25</t>
  </si>
  <si>
    <t>aggregateDataSetIdentifier</t>
  </si>
  <si>
    <t>Aggregate Data Set Identifier</t>
  </si>
  <si>
    <t>Identification information regarding an aggregate resource.</t>
  </si>
  <si>
    <t>IdentifierStrucText</t>
  </si>
  <si>
    <t>M24</t>
  </si>
  <si>
    <t>aggregateDataSetName</t>
  </si>
  <si>
    <t>Aggregate Data Set Name</t>
  </si>
  <si>
    <t>Citation (for example: name) information regarding an aggregate resource.</t>
  </si>
  <si>
    <t>CitationStrucText</t>
  </si>
  <si>
    <t>G10</t>
  </si>
  <si>
    <t>aggregateGeometry</t>
  </si>
  <si>
    <t>Aggregate Geometry</t>
  </si>
  <si>
    <t>An arbitrary aggregation of geometric objects.</t>
  </si>
  <si>
    <t>Its subtypes include (but are not limited to): GM_MultiPoint, GM_MultiCurve, GM_MultiSurface, and GM_MultiSolid.</t>
  </si>
  <si>
    <t>GmAggregate</t>
  </si>
  <si>
    <t>AGG</t>
  </si>
  <si>
    <t>aggregation</t>
  </si>
  <si>
    <t>Aggregation</t>
  </si>
  <si>
    <t>An indication that a feature instance is, or may be, representing a set of interrelated feature instances as an aggregate.</t>
  </si>
  <si>
    <t>May be used when delineating interrelated features within a region that may or may not meet inclusion conditions to be delineated individually. For example, an aerodrome consists of numerous component feature instances such as runways, taxiways, NAVAIDs, and aircraft hangars, but may be collected as a single aggregate feature instance at a small scale.</t>
  </si>
  <si>
    <t>AGA</t>
  </si>
  <si>
    <t>aggressorAffiliation</t>
  </si>
  <si>
    <t>Aggressor Affiliation</t>
  </si>
  <si>
    <t>The affiliation or organizational structure of the aggressor.</t>
  </si>
  <si>
    <t>AggressorAffiliationCode</t>
  </si>
  <si>
    <t>AGN</t>
  </si>
  <si>
    <t>aggressorCount</t>
  </si>
  <si>
    <t>Aggressor Count</t>
  </si>
  <si>
    <t>The number of individuals involved in an aggressive act, both overtly and including accomplices.</t>
  </si>
  <si>
    <t>RPU</t>
  </si>
  <si>
    <t>airRefuelPointUsage</t>
  </si>
  <si>
    <t>Air Refuelling Point Usage</t>
  </si>
  <si>
    <t>The function(s) of the air refuelling point in relation to the air refuelling anchor pattern or air refuelling track.</t>
  </si>
  <si>
    <t>AirRefuelPointUsageCode</t>
  </si>
  <si>
    <t>ARX</t>
  </si>
  <si>
    <t>airRefuelProcDesignator</t>
  </si>
  <si>
    <t>Air Refuelling Procedure Designator</t>
  </si>
  <si>
    <t>The name or coded identifier by which an air refuelling procedure may be recognized.</t>
  </si>
  <si>
    <t>For example: a name such as 'GRETCHEN' or a coded identifier such as 'ARA10'.</t>
  </si>
  <si>
    <t>RDI</t>
  </si>
  <si>
    <t>airRefuelProcDirection</t>
  </si>
  <si>
    <t>Air Refuelling Procedure Direction</t>
  </si>
  <si>
    <t>The general cardinal direction of the air refuelling procedure, as a category.</t>
  </si>
  <si>
    <t>AirRefuelProcDirectionCode</t>
  </si>
  <si>
    <t>RPT</t>
  </si>
  <si>
    <t>airRefuelProcType</t>
  </si>
  <si>
    <t>Air Refuelling Procedure Type</t>
  </si>
  <si>
    <t>The type of the air refuelling procedure based on its configuration.</t>
  </si>
  <si>
    <t>AirRefuelProcTypeCode</t>
  </si>
  <si>
    <t>COR</t>
  </si>
  <si>
    <t>airTrafficContingencyRoute</t>
  </si>
  <si>
    <t>Air Traffic Contingency Route</t>
  </si>
  <si>
    <t>An indication that an air traffic route is a preplanned alternate that is designed to ensure the continued safety of air navigation in the event of a disruption or limitation of air traffic services (ATS), air traffic service (ATS) capabilities, or aircraft emergencies.</t>
  </si>
  <si>
    <t>Contingency routes use existing air routes with specific instructions, communication instructions, and pilot procedures to be followed to ensure the safety of air navigation.</t>
  </si>
  <si>
    <t>RRT</t>
  </si>
  <si>
    <t>atcRequiredReportType</t>
  </si>
  <si>
    <t>Air Traffic Control (ATC) Required Report Type</t>
  </si>
  <si>
    <t>The type of position report required to an Air Traffic Control (ATC) Unit.</t>
  </si>
  <si>
    <t>AtcRequiredReportTypeCode</t>
  </si>
  <si>
    <t>ACT</t>
  </si>
  <si>
    <t>airTrafControlServiceType</t>
  </si>
  <si>
    <t>Air Traffic Control Service Type</t>
  </si>
  <si>
    <t>The type(s) of service provided from air traffic control facilities.</t>
  </si>
  <si>
    <t>AirTrafControlServiceTypeCode</t>
  </si>
  <si>
    <t>AMT</t>
  </si>
  <si>
    <t>airTrafManageServiceType</t>
  </si>
  <si>
    <t>Air Traffic Management Service Type</t>
  </si>
  <si>
    <t>The type(s) of air traffic and airspace management services provided.</t>
  </si>
  <si>
    <t>AirTrafManageServiceTypeCode</t>
  </si>
  <si>
    <t>ATV</t>
  </si>
  <si>
    <t>airTrafficTypePermitted</t>
  </si>
  <si>
    <t>Air Traffic Permitted Type</t>
  </si>
  <si>
    <t>The type of air traffic allowed to conduct operations in a given area.</t>
  </si>
  <si>
    <t>For example: civil and/or military traffic.</t>
  </si>
  <si>
    <t>AirTrafficTypePermittedCode</t>
  </si>
  <si>
    <t>ADE</t>
  </si>
  <si>
    <t>atsRouteDesignator</t>
  </si>
  <si>
    <t>Air Traffic Service (ATS) Route Designator</t>
  </si>
  <si>
    <t>A designator permitting the identification of any Air Traffic Service (ATS) route.</t>
  </si>
  <si>
    <t>The route designator shall be specified in accordance with ICAO Annex 11.</t>
  </si>
  <si>
    <t>RDS</t>
  </si>
  <si>
    <t>atsRouteDesignatorSuffix</t>
  </si>
  <si>
    <t>Air Traffic Service (ATS) Route Designator Suffix</t>
  </si>
  <si>
    <t>A supplementary letter added to the end of the Air Traffic Service (ATS) route designator which signifies a specific usage condition of that portion of the route.</t>
  </si>
  <si>
    <t>In general, ATS route suffixes are named in accordance with ICAO Annex 11, Appendix 1.</t>
  </si>
  <si>
    <t>AtsRouteDesignatorSuffixCode</t>
  </si>
  <si>
    <t>ESP</t>
  </si>
  <si>
    <t>atsRouteEssentialSigPoint</t>
  </si>
  <si>
    <t>Air Traffic Service (ATS) Route Essential Significant Point</t>
  </si>
  <si>
    <t>An indication that at a point along an enroute Air Traffic Service (ATS) route either a change in course is required or the route intersects another enroute ATS route.</t>
  </si>
  <si>
    <t>ADX</t>
  </si>
  <si>
    <t>atsRouteLocDesignator</t>
  </si>
  <si>
    <t>Air Traffic Service (ATS) Route Location Designator</t>
  </si>
  <si>
    <t>A structured textual description of the country of origin and destination of the Air Traffic Service (ATS) route.</t>
  </si>
  <si>
    <t>AtsRouteLocDesignatorStrucText</t>
  </si>
  <si>
    <t>RSV</t>
  </si>
  <si>
    <t>atsRouteSegmentAvailable</t>
  </si>
  <si>
    <t>Air Traffic Service (ATS) Route Segment Availability</t>
  </si>
  <si>
    <t>The condition in which a Air Traffic Service (ATS) route segment may be flown.</t>
  </si>
  <si>
    <t>Factors include conditions such as traffic flow and time constraints. For example: CDR1 or SPECIAL.</t>
  </si>
  <si>
    <t>Route Availability</t>
  </si>
  <si>
    <t>AtsRouteSegmentAvailableCode</t>
  </si>
  <si>
    <t>AZL</t>
  </si>
  <si>
    <t>atsRouteSegmentLength</t>
  </si>
  <si>
    <t>Air Traffic Service (ATS) Route Segment Length</t>
  </si>
  <si>
    <t>The distance between the two ends of the Air Traffic Service (ATS) route segment, as published by the appropriate authority.</t>
  </si>
  <si>
    <t>Measured in Nautical Miles or Kilometres.</t>
  </si>
  <si>
    <t>ARP</t>
  </si>
  <si>
    <t>atsRouteSegmentPathBasis</t>
  </si>
  <si>
    <t>Air Traffic Service (ATS) Route Segment Path Basis</t>
  </si>
  <si>
    <t>The geodetic basis for the path between the two ends of the Air Traffic Service (ATS) route segment, as published by the appropriate authority.</t>
  </si>
  <si>
    <t>For example: great circle, rhumbline, or geodesic line.</t>
  </si>
  <si>
    <t>Segment Path Type</t>
  </si>
  <si>
    <t>AtsRouteSegmentPathBasisCode</t>
  </si>
  <si>
    <t>RSX</t>
  </si>
  <si>
    <t>atsRouteSegmentUsageDir</t>
  </si>
  <si>
    <t>Air Traffic Service (ATS) Route Segment Usage Direction</t>
  </si>
  <si>
    <t>The direction of the usage condition of the Air Traffic Service (ATS) route segment in relation to the start point and end point.</t>
  </si>
  <si>
    <t>For example: forward, backward or both.</t>
  </si>
  <si>
    <t>AtsRouteSegmentUsageDirCode</t>
  </si>
  <si>
    <t>AWS</t>
  </si>
  <si>
    <t>atsRouteSegmentWidth</t>
  </si>
  <si>
    <t>Air Traffic Service (ATS) Route Segment Width</t>
  </si>
  <si>
    <t>The declared dimension of an Air Traffic Service (ATS) route segment taken perpendicular to its path, as published by the appropriate authority.</t>
  </si>
  <si>
    <t>ARY</t>
  </si>
  <si>
    <t>atsRouteType</t>
  </si>
  <si>
    <t>Air Traffic Service (ATS) Route Type</t>
  </si>
  <si>
    <t>A classification of the Air Traffic Service (ATS) route segment describing the characteristics and requirements for its usage.</t>
  </si>
  <si>
    <t>For example: Conventional or Area Navigation (RNAV) Routes.</t>
  </si>
  <si>
    <t>AtsRouteTypeCode</t>
  </si>
  <si>
    <t>APX</t>
  </si>
  <si>
    <t>airbIdentRadarBcnCodeApx</t>
  </si>
  <si>
    <t>Airborne Identification Radar Beacon Code (APX)</t>
  </si>
  <si>
    <t>The setting to be used by the Airborne Identification Radar beacon during aerial refuelling operations.</t>
  </si>
  <si>
    <t>APX Code</t>
  </si>
  <si>
    <t>AirbIdentRadarBcnCodeApxStrucText</t>
  </si>
  <si>
    <t>APN</t>
  </si>
  <si>
    <t>airbNavRadarBcnCodeApn</t>
  </si>
  <si>
    <t>Airborne Navigation Radar Beacon Code (APN)</t>
  </si>
  <si>
    <t>The setting to be used by the Airborne Navigation Radar beacon during aerial refuelling operations.</t>
  </si>
  <si>
    <t>APN Code</t>
  </si>
  <si>
    <t>AirbNavRadarBcnCodeApnStrucText</t>
  </si>
  <si>
    <t>AAC</t>
  </si>
  <si>
    <t>aircraftApproachCategory</t>
  </si>
  <si>
    <t>Aircraft Approach Category</t>
  </si>
  <si>
    <t>A grouping of aircraft based on a speed of 1.3 times the stall speed in the landing configuration at maximum gross landing weight.</t>
  </si>
  <si>
    <t>Aircraft Landing Category</t>
  </si>
  <si>
    <t>AircraftApproachCatCode</t>
  </si>
  <si>
    <t>BA0</t>
  </si>
  <si>
    <t>aircraftBankAngle</t>
  </si>
  <si>
    <t>Aircraft Bank Angle</t>
  </si>
  <si>
    <t>The recommended or required lateral inclination of the aircraft in the turn.</t>
  </si>
  <si>
    <t>ABC</t>
  </si>
  <si>
    <t>aircraftBayCount</t>
  </si>
  <si>
    <t>Aircraft Bay Count</t>
  </si>
  <si>
    <t>The designed number of aircraft bays contained by an aircraft hangar or hardened aircraft shelter.</t>
  </si>
  <si>
    <t>ADF</t>
  </si>
  <si>
    <t>aircraftDeIcingFluidType</t>
  </si>
  <si>
    <t>Aircraft De-Icing Fluid Type</t>
  </si>
  <si>
    <t>The type(s) of fluid available for removal or prevention of ice, snow, shush or frost build-up from aircraft or aircraft engine on the ground.</t>
  </si>
  <si>
    <t>AircraftDeIcingFluidTypeCode</t>
  </si>
  <si>
    <t>FRO</t>
  </si>
  <si>
    <t>aircraftFuelServiceUnitCnt</t>
  </si>
  <si>
    <t>Aircraft Fuel Service Unit Count</t>
  </si>
  <si>
    <t>The number of trucks, carts, and/or stands at an aerodrome that are available for aircraft refuelling.</t>
  </si>
  <si>
    <t>FRY</t>
  </si>
  <si>
    <t>aircraftFuelServiceUnitType</t>
  </si>
  <si>
    <t>Aircraft Fuel Service Unit Type</t>
  </si>
  <si>
    <t>The type(s) of trucks, carts, and/or stands that are available for aircraft refuelling at an aerodrome.</t>
  </si>
  <si>
    <t>AircraftFuelServiceUnitTypeCode</t>
  </si>
  <si>
    <t>AFI</t>
  </si>
  <si>
    <t>aircraftFuelTransferInf</t>
  </si>
  <si>
    <t>Aircraft Fuel Transfer Infrastructure</t>
  </si>
  <si>
    <t>The type(s) of infrastructure and/or equipment that are available at an aerodrome for refuelling an aircraft according to the fueling configuration of that aircraft.</t>
  </si>
  <si>
    <t>AircraftFuelTransferInfCode</t>
  </si>
  <si>
    <t>FUR</t>
  </si>
  <si>
    <t>aircraftFuellingRate</t>
  </si>
  <si>
    <t>Aircraft Fuelling Rate</t>
  </si>
  <si>
    <t>The measured speed at which fuel can be dispensed into an aircraft for a specified fuelling unit.</t>
  </si>
  <si>
    <t>RealNonNegative</t>
  </si>
  <si>
    <t>AGS</t>
  </si>
  <si>
    <t>aircraftGroundServiceType</t>
  </si>
  <si>
    <t>Aircraft Ground Service Type</t>
  </si>
  <si>
    <t>The types of maintenance, support and/or supply operation(s) that are available to aircraft at an aerodrome.</t>
  </si>
  <si>
    <t>AircraftGroundServiceTypeCode</t>
  </si>
  <si>
    <t>MDS</t>
  </si>
  <si>
    <t>aircraftMaxDemoLcnSpan</t>
  </si>
  <si>
    <t>Aircraft Maximum Demonstrated LCN Span</t>
  </si>
  <si>
    <t>The largest wingspan aircraft of the highest Load Classification Number (LCN) known to have used a runway in the last five years.</t>
  </si>
  <si>
    <t>An aircraft with a shorter wingspan and the higher LCN will be identified in preference to an aircraft with a longer wingspan but lower LCN.</t>
  </si>
  <si>
    <t>TextNonLex10</t>
  </si>
  <si>
    <t>MDX</t>
  </si>
  <si>
    <t>aircraftMaxDemoSpan</t>
  </si>
  <si>
    <t>Aircraft Maximum Demonstrated Span</t>
  </si>
  <si>
    <t>The largest aircraft, in terms of wingspan or rotor span, known to have used a movement area in the last five years.</t>
  </si>
  <si>
    <t>The aircraft maximum demonstrated span reflects the largest wingspan, regardless of the LCN value of the aircraft.</t>
  </si>
  <si>
    <t>ASR</t>
  </si>
  <si>
    <t>aircraftSpeedReference</t>
  </si>
  <si>
    <t>Aircraft Speed Reference</t>
  </si>
  <si>
    <t>The reference system used for an aircraft speed value.</t>
  </si>
  <si>
    <t>AircraftSpeedReferenceCode</t>
  </si>
  <si>
    <t>ASD</t>
  </si>
  <si>
    <t>aircraftStandDesignator</t>
  </si>
  <si>
    <t>Aircraft Stand Designator</t>
  </si>
  <si>
    <t>The designator of an aircraft stand used to uniquely identify it at an aerodrome.</t>
  </si>
  <si>
    <t>For example: '13' or '84 A'.</t>
  </si>
  <si>
    <t>SAT</t>
  </si>
  <si>
    <t>aircraftStandType</t>
  </si>
  <si>
    <t>Aircraft Stand Type</t>
  </si>
  <si>
    <t>The characteristics of an aircraft parking position, as a category.</t>
  </si>
  <si>
    <t>For example: a parking position on the apron, an isolated aircraft stand, or a terminal building gate.</t>
  </si>
  <si>
    <t>AircraftStandTypeCode</t>
  </si>
  <si>
    <t>ASY</t>
  </si>
  <si>
    <t>airfieldSymbolType</t>
  </si>
  <si>
    <t>Airfield Symbol Type</t>
  </si>
  <si>
    <t>The type of airfield symbol designation.</t>
  </si>
  <si>
    <t>AirfieldSymbolTypeCode</t>
  </si>
  <si>
    <t>FPT</t>
  </si>
  <si>
    <t>airfieldType</t>
  </si>
  <si>
    <t>Airfield Type</t>
  </si>
  <si>
    <t>The type of an airfield based on the size and/or paving of its runways.</t>
  </si>
  <si>
    <t>AirfieldTypeCode</t>
  </si>
  <si>
    <t>APT</t>
  </si>
  <si>
    <t>airfieldUse</t>
  </si>
  <si>
    <t>Airfield Use</t>
  </si>
  <si>
    <t>The primary use(s) of an airfield.</t>
  </si>
  <si>
    <t>AirfieldUseCode</t>
  </si>
  <si>
    <t>SYM</t>
  </si>
  <si>
    <t>airportCommunicationClass</t>
  </si>
  <si>
    <t>Airport Communication Classification</t>
  </si>
  <si>
    <t>Specific capabilities of a communication facility.</t>
  </si>
  <si>
    <t>AirportCommunicationClassCode</t>
  </si>
  <si>
    <t>AAA</t>
  </si>
  <si>
    <t>airspaceActivity</t>
  </si>
  <si>
    <t>Airspace Activity</t>
  </si>
  <si>
    <t>The primary situation(s) or reason(s) on the ground or in the air, which may have an impact on air traffic.</t>
  </si>
  <si>
    <t>For example: a missile firing range or air refuelling.</t>
  </si>
  <si>
    <t>Activity or Purpose</t>
  </si>
  <si>
    <t>AirspaceActivityCode</t>
  </si>
  <si>
    <t>ACX</t>
  </si>
  <si>
    <t>airspaceClass</t>
  </si>
  <si>
    <t>Airspace Class</t>
  </si>
  <si>
    <t>A categorization of airspace which determines the operating rules, flight requirements, and services provided.</t>
  </si>
  <si>
    <t>AirspaceClassCode</t>
  </si>
  <si>
    <t>ACO</t>
  </si>
  <si>
    <t>airspaceControl</t>
  </si>
  <si>
    <t>Airspace Control</t>
  </si>
  <si>
    <t>The primary organization type providing air traffic services within a designated airspace.</t>
  </si>
  <si>
    <t>For example: civil and/or military organizations.</t>
  </si>
  <si>
    <t>AirspaceControlCode</t>
  </si>
  <si>
    <t>AIA</t>
  </si>
  <si>
    <t>airspaceIdentifier</t>
  </si>
  <si>
    <t>Airspace Identifier</t>
  </si>
  <si>
    <t>A published sequence of characters allowing the unique identification of the airspace.</t>
  </si>
  <si>
    <t>For example, the identifier of the Danger Area, Prohibited Area, or Temporary Segregated Area.</t>
  </si>
  <si>
    <t>NAA</t>
  </si>
  <si>
    <t>airspaceName</t>
  </si>
  <si>
    <t>Airspace Name</t>
  </si>
  <si>
    <t>The name given to an airspace by a responsible authority.</t>
  </si>
  <si>
    <t>It should be written as published, with no significance to upper or lower case letters.</t>
  </si>
  <si>
    <t>ATY</t>
  </si>
  <si>
    <t>airspaceType</t>
  </si>
  <si>
    <t>Airspace Type</t>
  </si>
  <si>
    <t>The general structure or characteristics of a particular airspace, as a category.</t>
  </si>
  <si>
    <t>AirspaceTypeCode</t>
  </si>
  <si>
    <t>AUP</t>
  </si>
  <si>
    <t>allUpWheelWeight</t>
  </si>
  <si>
    <t>All Up Wheel Weight (AUP)</t>
  </si>
  <si>
    <t>The maximum total value of the weight of an aircraft that a movement area surface may support, regardless of the landing gear configuration of the aircraft.</t>
  </si>
  <si>
    <t>AAR</t>
  </si>
  <si>
    <t>allowedAircraftOnRoute</t>
  </si>
  <si>
    <t>Allowed Aircraft on Route</t>
  </si>
  <si>
    <t>The general categorization of aircraft that may use the route segment.</t>
  </si>
  <si>
    <t>For example: jet, helicopter, or propeller.</t>
  </si>
  <si>
    <t>AllowedAircraftOnRouteCode</t>
  </si>
  <si>
    <t>AAD</t>
  </si>
  <si>
    <t>altAircraftDestinationUse</t>
  </si>
  <si>
    <t>Alternate Aircraft Destination Use</t>
  </si>
  <si>
    <t>An indication that an instrument approach procedure may be used when the aerodrome is serving as an alternate to the original destination of the aircraft.</t>
  </si>
  <si>
    <t>ALD</t>
  </si>
  <si>
    <t>altitudeDescription</t>
  </si>
  <si>
    <t>Altitude Description</t>
  </si>
  <si>
    <t>The applicable interpretation of the stated altitude.</t>
  </si>
  <si>
    <t>Speed Interpretation</t>
  </si>
  <si>
    <t>AltitudeDescriptionCode</t>
  </si>
  <si>
    <t>AMA</t>
  </si>
  <si>
    <t>amusementAttractionType</t>
  </si>
  <si>
    <t>Amusement Attraction Type</t>
  </si>
  <si>
    <t>The type of an amusement park attraction based on its geometric form, appearance, configuration, and/or use.</t>
  </si>
  <si>
    <t>AmusementAttractionTypeCode</t>
  </si>
  <si>
    <t>ACH</t>
  </si>
  <si>
    <t>anchorageType</t>
  </si>
  <si>
    <t>Anchorage Type</t>
  </si>
  <si>
    <t>The type(s) of an anchorage based on the size, type, or duration of craft that may be anchored.</t>
  </si>
  <si>
    <t>AnchorageTypeCode</t>
  </si>
  <si>
    <t>AIL</t>
  </si>
  <si>
    <t>angleInitialLimit</t>
  </si>
  <si>
    <t>Angle Initial Limit</t>
  </si>
  <si>
    <t>The initial angular limit, expressed as a radial or bearing from an object.</t>
  </si>
  <si>
    <t>The order of the angle initial limit and terminal limit are always ordered clockwise around the central object, as viewed from above.</t>
  </si>
  <si>
    <t>RealNonNeg359r9</t>
  </si>
  <si>
    <t>AOO</t>
  </si>
  <si>
    <t>angleOfOrientation</t>
  </si>
  <si>
    <t>Angle of Orientation</t>
  </si>
  <si>
    <t>The angular distance in the horizontal plane measured from true north (0 degrees) clockwise to the major axis of the feature.</t>
  </si>
  <si>
    <t>If the feature is square, the axis 0 up to 90 degrees is recorded. If the feature is circular, 360 degrees is recorded.</t>
  </si>
  <si>
    <t>ARR</t>
  </si>
  <si>
    <t>angleRadarReflector</t>
  </si>
  <si>
    <t>Angle of Radar Reflector</t>
  </si>
  <si>
    <t>The angular distance measured from True North clockwise to the reflective side of the radar reflector.</t>
  </si>
  <si>
    <t>ATL</t>
  </si>
  <si>
    <t>angleTerminalLimit</t>
  </si>
  <si>
    <t>Angle Terminal Limit</t>
  </si>
  <si>
    <t>The terminal angular limit, expressed as a radial or bearing from an object.</t>
  </si>
  <si>
    <t>M57</t>
  </si>
  <si>
    <t>schemaAscii</t>
  </si>
  <si>
    <t>Application Schema ASCII</t>
  </si>
  <si>
    <t>An ASCII file specifying the application schema that applies to the content (for example: a dataset) of a resource.</t>
  </si>
  <si>
    <t>M39</t>
  </si>
  <si>
    <t>constraintLanguage</t>
  </si>
  <si>
    <t>Application Schema Constraint Language</t>
  </si>
  <si>
    <t>The formal language used to specify constraints in the application schema that applies to the content (for example: a dataset) of a resource.</t>
  </si>
  <si>
    <t>M58</t>
  </si>
  <si>
    <t>graphicsFile</t>
  </si>
  <si>
    <t>Application Schema Graphics File</t>
  </si>
  <si>
    <t>A graphics file specifying the application schema that applies to the content (for example: a dataset) of a resource.</t>
  </si>
  <si>
    <t>M38</t>
  </si>
  <si>
    <t>schemaLanguage</t>
  </si>
  <si>
    <t>Application Schema Language</t>
  </si>
  <si>
    <t>The schema language used to specify the application schema that applies to the content (for example: a dataset) of a resource.</t>
  </si>
  <si>
    <t>M37</t>
  </si>
  <si>
    <t>name</t>
  </si>
  <si>
    <t>Application Schema Name</t>
  </si>
  <si>
    <t>The name of the application schema that applies to the content (for example: a dataset) of a resource.</t>
  </si>
  <si>
    <t>M59</t>
  </si>
  <si>
    <t>softwareDevelopmentFile</t>
  </si>
  <si>
    <t>Application Schema Software Development File</t>
  </si>
  <si>
    <t>A software development file specifying the application schema that applies to the content (for example: a dataset) of a resource.</t>
  </si>
  <si>
    <t>M60</t>
  </si>
  <si>
    <t>softwareDevelopmentFileFormat</t>
  </si>
  <si>
    <t>Application Schema Software Development File Format</t>
  </si>
  <si>
    <t>The format of a software development file specifying the application schema that applies to the content (for example: a dataset) of a resource.</t>
  </si>
  <si>
    <t>APM</t>
  </si>
  <si>
    <t>approachCapMarkings</t>
  </si>
  <si>
    <t>Approach Capability Markings</t>
  </si>
  <si>
    <t>A code indicating the type of markings depicted on the runway.</t>
  </si>
  <si>
    <t>ApproachCapMarkingsCode</t>
  </si>
  <si>
    <t>AMV</t>
  </si>
  <si>
    <t>approachMinimumVisibility</t>
  </si>
  <si>
    <t>Approach Minimum Visibility</t>
  </si>
  <si>
    <t>The lowest prevailing visibility needed to land at the aerodrome when at the specified minimum altitude or height.</t>
  </si>
  <si>
    <t>The visibility value, observed in accordance with the definition of 'visibility', which is reached or exceeded within at least half the horizon circle or within at least half of the surface of the aerodrome. These areas could comprise contiguous or non-contiguous sectors. This value may be assessed by human observation and/or instrumented systems. When instruments are installed, they are used to obtain the best estimate of the prevailing visibility.</t>
  </si>
  <si>
    <t>ARD</t>
  </si>
  <si>
    <t>approachPerfDesignator</t>
  </si>
  <si>
    <t>Approach Performance Designator</t>
  </si>
  <si>
    <t>An encoded designation of the performance requirements satisfied by the final approach segment data block information.</t>
  </si>
  <si>
    <t>The performance requirements are the standard precision approach categories (I, II, III), which are based on both aircraft and navigational system performance characteristics and tolerances.</t>
  </si>
  <si>
    <t>ApproachPerfDesignatorStrucText</t>
  </si>
  <si>
    <t>APF</t>
  </si>
  <si>
    <t>approachPrefix</t>
  </si>
  <si>
    <t>Approach Prefix</t>
  </si>
  <si>
    <t>A word or code placed at the beginning of the procedure name to denote a special application for the procedure.</t>
  </si>
  <si>
    <t>ApproachPrefixCode</t>
  </si>
  <si>
    <t>IAT</t>
  </si>
  <si>
    <t>approachType</t>
  </si>
  <si>
    <t>Approach Type</t>
  </si>
  <si>
    <t>The type of an Instrument Approach Procedure (IAP) based on the navigation equipment required.</t>
  </si>
  <si>
    <t>This will also form part of the procedure name.</t>
  </si>
  <si>
    <t>ApproachTypeCode</t>
  </si>
  <si>
    <t>ATA</t>
  </si>
  <si>
    <t>apronTieDownAvail</t>
  </si>
  <si>
    <t>Apron Tie-down Available</t>
  </si>
  <si>
    <t>An indication that the capability to physically secure an aircraft to an apron surface is available.</t>
  </si>
  <si>
    <t>The aircraft may be secured to the surface of the apron with, for example, ropes or chains.</t>
  </si>
  <si>
    <t>APY</t>
  </si>
  <si>
    <t>apronType</t>
  </si>
  <si>
    <t>Apron Type</t>
  </si>
  <si>
    <t>The type of an apron based upon its location on an aerodrome and its general purpose.</t>
  </si>
  <si>
    <t>ApronTypeCode</t>
  </si>
  <si>
    <t>APU</t>
  </si>
  <si>
    <t>apronUsage</t>
  </si>
  <si>
    <t>Apron Usage</t>
  </si>
  <si>
    <t>The function(s) that may be performed on an apron.</t>
  </si>
  <si>
    <t>ApronUsageCode</t>
  </si>
  <si>
    <t>AQF</t>
  </si>
  <si>
    <t>aquacultureFacilityType</t>
  </si>
  <si>
    <t>Aquaculture Facility Type</t>
  </si>
  <si>
    <t>The type, purpose, or intended role served by an aquaculture facility.</t>
  </si>
  <si>
    <t>AquacultureFacilityTypeCode</t>
  </si>
  <si>
    <t>AVC</t>
  </si>
  <si>
    <t>aquaticVegCover</t>
  </si>
  <si>
    <t>Aquatic Vegetation Cover</t>
  </si>
  <si>
    <t>The portion of a waterbody surface area that is covered by aquatic vegetation.</t>
  </si>
  <si>
    <t>RealNonNegInterval100</t>
  </si>
  <si>
    <t>AGH</t>
  </si>
  <si>
    <t>aquaticVegGrowthHabit</t>
  </si>
  <si>
    <t>Aquatic Vegetation Growth Habit</t>
  </si>
  <si>
    <t>The growth pattern, location and/or habit of aquatic vegetation.</t>
  </si>
  <si>
    <t>AquaticVegGrowthHabitCode</t>
  </si>
  <si>
    <t>ATC</t>
  </si>
  <si>
    <t>aqueductType</t>
  </si>
  <si>
    <t>Aqueduct Type</t>
  </si>
  <si>
    <t>The type of an aqueduct based on its structure.</t>
  </si>
  <si>
    <t>AqueductTypeCode</t>
  </si>
  <si>
    <t>AQP</t>
  </si>
  <si>
    <t>aquiferComposition</t>
  </si>
  <si>
    <t>Aquifer Composition</t>
  </si>
  <si>
    <t>The type of permeable geologic formation that composes the aquifer.</t>
  </si>
  <si>
    <t>The ability of the aquifer to store water is dependent on the porosity and permeability of the aquifer composition.</t>
  </si>
  <si>
    <t>AquiferCompositionCode</t>
  </si>
  <si>
    <t>DPA</t>
  </si>
  <si>
    <t>aquiferDepth</t>
  </si>
  <si>
    <t>Aquifer Depth</t>
  </si>
  <si>
    <t>The distance between the terrain surface and the upper surface of the aquifer.</t>
  </si>
  <si>
    <t>AQN</t>
  </si>
  <si>
    <t>aquiferName</t>
  </si>
  <si>
    <t>Aquifer Name</t>
  </si>
  <si>
    <t>The common or scientific name of an aquifer.</t>
  </si>
  <si>
    <t>AQO</t>
  </si>
  <si>
    <t>aquiferOverburden</t>
  </si>
  <si>
    <t>Aquifer Overburden</t>
  </si>
  <si>
    <t>The type(s) and/or morphology(ies) of terrain material that overlie an aquifer.</t>
  </si>
  <si>
    <t>AquiferOverburdenCode</t>
  </si>
  <si>
    <t>AQT</t>
  </si>
  <si>
    <t>aquiferThickness</t>
  </si>
  <si>
    <t>Aquifer Thickness</t>
  </si>
  <si>
    <t>The distance between the upper and lower surfaces of an aquifer.</t>
  </si>
  <si>
    <t>The value describes the vertical extent of the completely saturated portion of the aquifer.</t>
  </si>
  <si>
    <t>AYR</t>
  </si>
  <si>
    <t>aquiferYieldRating</t>
  </si>
  <si>
    <t>Aquifer Yield Rating</t>
  </si>
  <si>
    <t>The estimated typical long-term yield from a single, properly sited and constructed well in the aquifer.</t>
  </si>
  <si>
    <t>G19</t>
  </si>
  <si>
    <t>arcGeometry</t>
  </si>
  <si>
    <t>Arc Geometry</t>
  </si>
  <si>
    <t>An arc of a geometric circle defined by three points, starting at the first, passing through the second and terminating at the third.</t>
  </si>
  <si>
    <t>If the 3 points are co-linear then the arc is isomorphic to a 3-point line string. A type of geometric curve.</t>
  </si>
  <si>
    <t>GmArc</t>
  </si>
  <si>
    <t>G20</t>
  </si>
  <si>
    <t>arcStringGeometry</t>
  </si>
  <si>
    <t>Arc String Geometry</t>
  </si>
  <si>
    <t>A sequence of geometric arcs.</t>
  </si>
  <si>
    <t>A type of geometric curve.</t>
  </si>
  <si>
    <t>GmArcString</t>
  </si>
  <si>
    <t>ARA</t>
  </si>
  <si>
    <t>The area within the delineation of the feature.</t>
  </si>
  <si>
    <t>AA1</t>
  </si>
  <si>
    <t>areaInitialAngle</t>
  </si>
  <si>
    <t>Area Initial Angle</t>
  </si>
  <si>
    <t>A bearing that begins a clockwise arc.</t>
  </si>
  <si>
    <t>Used to define an area based on a center point plus two angles and two distances.</t>
  </si>
  <si>
    <t>AIB</t>
  </si>
  <si>
    <t>areaInnerBoundaryDistance</t>
  </si>
  <si>
    <t>Area Inner Boundary Distance</t>
  </si>
  <si>
    <t>The distance from a specified center point to the inner boundary of an area.</t>
  </si>
  <si>
    <t>AAM</t>
  </si>
  <si>
    <t>areaMinimumAltitude</t>
  </si>
  <si>
    <t>Area Minimum Altitude (AMA)</t>
  </si>
  <si>
    <t>The minimum altitude to be used under Instrument Meteorological Conditions (IMC) that provides a minimum obstacle clearance within a specified area.</t>
  </si>
  <si>
    <t>The area is normally specified by a pair of geographic parallels and a pair of geographic meridians.</t>
  </si>
  <si>
    <t>AOB</t>
  </si>
  <si>
    <t>areaOuterBoundaryDistance</t>
  </si>
  <si>
    <t>Area Outer Boundary Distance</t>
  </si>
  <si>
    <t>The distance from a specified center point to the outer boundary of an area.</t>
  </si>
  <si>
    <t>AA2</t>
  </si>
  <si>
    <t>areaTerminatingAngle</t>
  </si>
  <si>
    <t>Area Terminating Angle</t>
  </si>
  <si>
    <t>A bearing that ends a clockwise arc.</t>
  </si>
  <si>
    <t>AYC</t>
  </si>
  <si>
    <t>arrestSysCommand</t>
  </si>
  <si>
    <t>Arresting System Command</t>
  </si>
  <si>
    <t>The major military command responsible for the installation and maintenance of an arresting system.</t>
  </si>
  <si>
    <t>ArrestSysCommandCode</t>
  </si>
  <si>
    <t>AGB</t>
  </si>
  <si>
    <t>arrestSysEnergyAbsorbType</t>
  </si>
  <si>
    <t>Arresting System Energy Absorber Type</t>
  </si>
  <si>
    <t>The type of energy absorber by which the arresting system rapidly dissipates the kinetic energy of a moving aircraft that engages the arresting system, bringing the aircraft to a stop.</t>
  </si>
  <si>
    <t>For example: a rotary brake, a chain brake, or an EMAS.</t>
  </si>
  <si>
    <t>Arresting Gear Energy Absorber Type</t>
  </si>
  <si>
    <t>ArrestSysEnergyAbsCode</t>
  </si>
  <si>
    <t>AGE</t>
  </si>
  <si>
    <t>arrestSysEngageDeviceType</t>
  </si>
  <si>
    <t>Arresting System Engagement Device Type</t>
  </si>
  <si>
    <t>The type of device that is used to engage an aircraft upon landing in order to immediately stop it.</t>
  </si>
  <si>
    <t>The engagement device is connected to an energy absorber that rapidly dissipates the kinetic energy of the moving aircraft, bringing the aircraft to a stop. Examples of devices include hooks, barriers, and nets.</t>
  </si>
  <si>
    <t>Arresting Gear Engagement Device Type</t>
  </si>
  <si>
    <t>ArrestSysEngageDevCode</t>
  </si>
  <si>
    <t>AGD</t>
  </si>
  <si>
    <t>arrestSysEngageDirect</t>
  </si>
  <si>
    <t>Arresting System Engagement Direction</t>
  </si>
  <si>
    <t>The direction on a runway that the aircraft must be moving in order to utilize the arresting system.</t>
  </si>
  <si>
    <t>Arresting Gear Engagement Direction</t>
  </si>
  <si>
    <t>ArrestSysEngageDirectCode</t>
  </si>
  <si>
    <t>AGL</t>
  </si>
  <si>
    <t>arrestSysLocation</t>
  </si>
  <si>
    <t>Arresting System Location</t>
  </si>
  <si>
    <t>The distance of the arresting system from the identified threshold of the runway.</t>
  </si>
  <si>
    <t>Arresting Gear Location</t>
  </si>
  <si>
    <t>ASE</t>
  </si>
  <si>
    <t>arsenicConcentration</t>
  </si>
  <si>
    <t>Arsenic Concentration</t>
  </si>
  <si>
    <t>The mass of arsenic per volume of solution.</t>
  </si>
  <si>
    <t>Arsenic sources include natural deposits, use as a pesticide agent, and from phosphate fertilizers containing arsenic.</t>
  </si>
  <si>
    <t>ASI</t>
  </si>
  <si>
    <t>asisNumber</t>
  </si>
  <si>
    <t>ASIS Number</t>
  </si>
  <si>
    <t>An identifying number representing a unique source - receiver combination during the collection of transmission loss data, as determined by the Acoustic Station Inventory System (ASIS).</t>
  </si>
  <si>
    <t>Index</t>
  </si>
  <si>
    <t>AFQ</t>
  </si>
  <si>
    <t>assignedFrequency</t>
  </si>
  <si>
    <t>Assigned Frequency</t>
  </si>
  <si>
    <t>The radio frequency assigned by the controlling authority.</t>
  </si>
  <si>
    <t>AZM</t>
  </si>
  <si>
    <t>astroAzMeridionalComponent</t>
  </si>
  <si>
    <t>Astronomic Azimuth Meridional Component</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</si>
  <si>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</si>
  <si>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</si>
  <si>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AZP</t>
  </si>
  <si>
    <t>astroAzPrimeVertComponent</t>
  </si>
  <si>
    <t>Astronomic Azimuth Prime Vertical Component</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</si>
  <si>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</si>
  <si>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</si>
  <si>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ATB</t>
  </si>
  <si>
    <t>attachedBuilding</t>
  </si>
  <si>
    <t>Attached Building</t>
  </si>
  <si>
    <t>An indication that a building is physically contiguous (for example: shares a common wall) with one or more adjacent buildings.</t>
  </si>
  <si>
    <t>When a single residence is attached to a single adjacent residence it is considered to be 'semi-detached' and may be termed a 'duplex'. When a single residence is attached to two adjacent residences on opposite sides to form a row it is termed a 'terraced house' or 'row house'.</t>
  </si>
  <si>
    <t>ATT</t>
  </si>
  <si>
    <t>attackThwarted</t>
  </si>
  <si>
    <t>Attack Thwarted</t>
  </si>
  <si>
    <t>An indication that an aggressive act was thwarted, the intended victim able to continue with normal operations.</t>
  </si>
  <si>
    <t>AWT</t>
  </si>
  <si>
    <t>automatedWeatherStationType</t>
  </si>
  <si>
    <t>Automated Weather Station Type</t>
  </si>
  <si>
    <t>The type of an automated weather information collection station based on the nature of its equipment.</t>
  </si>
  <si>
    <t>AutomatedWeatherStationTypeCode</t>
  </si>
  <si>
    <t>ACG</t>
  </si>
  <si>
    <t>availabilityCategory</t>
  </si>
  <si>
    <t>Availability Category</t>
  </si>
  <si>
    <t>The reported availability of a product, service, feature, or facility, as a category.</t>
  </si>
  <si>
    <t>AvailabilityCategoryCode</t>
  </si>
  <si>
    <t>FFA</t>
  </si>
  <si>
    <t>availablePol</t>
  </si>
  <si>
    <t>Available POL</t>
  </si>
  <si>
    <t>The type(s) of petroleum, oils, and lubricants (POL) available at, or on the grounds of, a facility.</t>
  </si>
  <si>
    <t>POL include a variety of substances, including fuels used in motor vehicles, heating fuels, and lubricants used in vehicle and engine maintenance. Water for maintenance operations may be included.</t>
  </si>
  <si>
    <t>AvailablePolCode</t>
  </si>
  <si>
    <t>AFA</t>
  </si>
  <si>
    <t>availableVesselService</t>
  </si>
  <si>
    <t>Available Vessel Service</t>
  </si>
  <si>
    <t>The type(s) of vessel service available at, or in the near vicinity of, a facility.</t>
  </si>
  <si>
    <t>AvailableVesselServiceCode</t>
  </si>
  <si>
    <t>WDA</t>
  </si>
  <si>
    <t>averageWaterDepth</t>
  </si>
  <si>
    <t>Average Water Depth</t>
  </si>
  <si>
    <t>The average water depth, exclusive of high water due to runoff or low water due to drought.</t>
  </si>
  <si>
    <t>May be biased toward the maximum depths within the limits of the feature in order to support estimation of trafficability.</t>
  </si>
  <si>
    <t>FSL</t>
  </si>
  <si>
    <t>aviationFluidStockLevel</t>
  </si>
  <si>
    <t>Aviation Fluid Stock Level</t>
  </si>
  <si>
    <t>A description of the current on-hand stock of a single type of aircraft servicing fluid.</t>
  </si>
  <si>
    <t>Aircraft servicing fluids include, for example, lubricating oils, hydraulic fluids, special fuels and compressed gases (for example: oxygen and nitrogen).</t>
  </si>
  <si>
    <t>AFU</t>
  </si>
  <si>
    <t>aviationFuelType</t>
  </si>
  <si>
    <t>Aviation Fuel Type</t>
  </si>
  <si>
    <t>The type(s) of fuel available for aircraft and helicopters.</t>
  </si>
  <si>
    <t>For example: OCT73, OCT80-87, AVGAS, OCT100-130, OCT115-145, MOGAS, JET, A1, A1+, B, JP4, or JP5.</t>
  </si>
  <si>
    <t>AviationFuelTypeCode</t>
  </si>
  <si>
    <t>AHF</t>
  </si>
  <si>
    <t>aviationHydraulicFluidType</t>
  </si>
  <si>
    <t>Aviation Hydraulic Fluid Type</t>
  </si>
  <si>
    <t>The type(s) of hydraulic fluid available for aircraft at an aerodrome.</t>
  </si>
  <si>
    <t>AviationHydraulicFluidTypeCode</t>
  </si>
  <si>
    <t>ANS</t>
  </si>
  <si>
    <t>aviationNitrogenSupplyType</t>
  </si>
  <si>
    <t>Aviation Nitrogen Supply Type</t>
  </si>
  <si>
    <t>The form(s) in which nitrogen is available for transfer or use.</t>
  </si>
  <si>
    <t>AviationNitrogenSupplyTypeCode</t>
  </si>
  <si>
    <t>AOT</t>
  </si>
  <si>
    <t>aviationOilType</t>
  </si>
  <si>
    <t>Aviation Oil Type</t>
  </si>
  <si>
    <t>The type(s) of lubricating oil available for aircraft at an aerodrome.</t>
  </si>
  <si>
    <t>AviationOilTypeCode</t>
  </si>
  <si>
    <t>AOS</t>
  </si>
  <si>
    <t>aviationOxygenSupplyType</t>
  </si>
  <si>
    <t>Aviation Oxygen Supply Type</t>
  </si>
  <si>
    <t>The type(s) of oxygen supplies available for aviation usage.</t>
  </si>
  <si>
    <t>AviationOxygenSupplyTypeCode</t>
  </si>
  <si>
    <t>PYS</t>
  </si>
  <si>
    <t>aviationPortOfEntryStatus</t>
  </si>
  <si>
    <t>Aviation Port of Entry Status</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</si>
  <si>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</si>
  <si>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</si>
  <si>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AviationPortOfEntryStatusCode</t>
  </si>
  <si>
    <t>LBU</t>
  </si>
  <si>
    <t>backcourseLocalizerUseType</t>
  </si>
  <si>
    <t>Backcourse Localizer Use Type</t>
  </si>
  <si>
    <t>The usability of the localizer signal in the direction opposite of the primary localizer course.</t>
  </si>
  <si>
    <t>BackcourseLocalizerUseTypeCode</t>
  </si>
  <si>
    <t>IBO</t>
  </si>
  <si>
    <t>bankOrientation</t>
  </si>
  <si>
    <t>Bank Orientation</t>
  </si>
  <si>
    <t>The relative orientation of a bank of an inland waterbody based on the direction of predominant water flow in the adjacent waterbody.</t>
  </si>
  <si>
    <t>BankOrientationCode</t>
  </si>
  <si>
    <t>BVC</t>
  </si>
  <si>
    <t>bankVegetationCharacter</t>
  </si>
  <si>
    <t>Bank Vegetation Character</t>
  </si>
  <si>
    <t>The predominant type of a bank vegetation zone based on species, biome, physiography and/or structural organization.</t>
  </si>
  <si>
    <t>BankVegetationCharacterCode</t>
  </si>
  <si>
    <t>BAT</t>
  </si>
  <si>
    <t>barrierTopType</t>
  </si>
  <si>
    <t>Barrier Top Type</t>
  </si>
  <si>
    <t>The type of structure and/or material mounted on the top of a barrier (for example: a fence or a wall).</t>
  </si>
  <si>
    <t>BarrierTopTypeCode</t>
  </si>
  <si>
    <t>BEL</t>
  </si>
  <si>
    <t>baseElevation</t>
  </si>
  <si>
    <t>Base Elevation</t>
  </si>
  <si>
    <t>The vertical distance from a specified vertical datum to the terrain surface of or at the base of the feature.</t>
  </si>
  <si>
    <t>If the feature is not supported above the surface by another feature then the base of the feature is usually located at ground or water level on the downhill/downstream side. For non-inland water bodies, the water level is usually understood to be Mean Sea Level (MSL). In the case of a survey marker (monument) this is usually the elevation assigned to the marker (monument).</t>
  </si>
  <si>
    <t>BEN</t>
  </si>
  <si>
    <t>basicEncyclopediaNumber</t>
  </si>
  <si>
    <t>Basic Encyclopedia (BE) Number</t>
  </si>
  <si>
    <t>The unique identifier of a feature as assigned in the Basic Encyclopedia (a compilation of identified installations and physical areas of potential significance as objectives for attack).</t>
  </si>
  <si>
    <t>It is intended to be used to locate information about the feature that is stored in other databases.</t>
  </si>
  <si>
    <t>WAC Installation Number</t>
  </si>
  <si>
    <t>BasicEncyclopediaKey</t>
  </si>
  <si>
    <t>BGT</t>
  </si>
  <si>
    <t>basinGateType</t>
  </si>
  <si>
    <t>Basin Gate Type</t>
  </si>
  <si>
    <t>The type of a basin gate based on its structure and/or intended use.</t>
  </si>
  <si>
    <t>BasinGateTypeCode</t>
  </si>
  <si>
    <t>DKC</t>
  </si>
  <si>
    <t>bathyMeasureQualityCat</t>
  </si>
  <si>
    <t>Bathymetric Measurement Quality Category</t>
  </si>
  <si>
    <t>A general evaluation of the qualities of a bathymetric measurement, as a category.</t>
  </si>
  <si>
    <t>Drying heights are typically captured using negative (bathymetric) sounding values; their certainty of measurement may be categorized in the same manner as positive values.</t>
  </si>
  <si>
    <t>BathyMeasureQualityCatCode</t>
  </si>
  <si>
    <t>TEC</t>
  </si>
  <si>
    <t>bathyMeasureTechnique</t>
  </si>
  <si>
    <t>Bathymetric Measurement Technique</t>
  </si>
  <si>
    <t>The technique used to determine water depth(s).</t>
  </si>
  <si>
    <t>BathyMeasureTechniqueCode</t>
  </si>
  <si>
    <t>BRA</t>
  </si>
  <si>
    <t>batteryRechargeAvail</t>
  </si>
  <si>
    <t>Battery Recharge Available</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</si>
  <si>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</si>
  <si>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</si>
  <si>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BEC</t>
  </si>
  <si>
    <t>beachConfiguration</t>
  </si>
  <si>
    <t>Beach Configuration</t>
  </si>
  <si>
    <t>The type of configuration of a beach based on its overall shape as observed from above.</t>
  </si>
  <si>
    <t>BeachConfigurationCode</t>
  </si>
  <si>
    <t>BCY</t>
  </si>
  <si>
    <t>beachType</t>
  </si>
  <si>
    <t>Beach Type</t>
  </si>
  <si>
    <t>The type of an area on a shore on which the waves break and over which shore debris (for example: sand, shingle, and/or pebbles) accumulate.</t>
  </si>
  <si>
    <t>BeachTypeCode</t>
  </si>
  <si>
    <t>MAB</t>
  </si>
  <si>
    <t>beaconMinorAxisBearing</t>
  </si>
  <si>
    <t>Beacon Minor Axis Bearing</t>
  </si>
  <si>
    <t>The bearing of the minor axis of the marker beacon with respect to True North.</t>
  </si>
  <si>
    <t>Axis Bearing</t>
  </si>
  <si>
    <t>BRR</t>
  </si>
  <si>
    <t>bearingReciprocalCategory</t>
  </si>
  <si>
    <t>Bearing and Reciprocal Category</t>
  </si>
  <si>
    <t>The true course of a vessel when proceeding along a track or route, followed by its reciprocal bearing.</t>
  </si>
  <si>
    <t>BearingReciprocalCategoryStrucText</t>
  </si>
  <si>
    <t>BRS</t>
  </si>
  <si>
    <t>bearingFromSeaward</t>
  </si>
  <si>
    <t>Bearing from Seaward</t>
  </si>
  <si>
    <t>The bearing of an object measured from a position at sea to the object (not from the object to somewhere at sea).</t>
  </si>
  <si>
    <t>RealNonNeg360</t>
  </si>
  <si>
    <t>BRG</t>
  </si>
  <si>
    <t>bearingOfObject</t>
  </si>
  <si>
    <t>Bearing of Object</t>
  </si>
  <si>
    <t>The bearing of an object from an observer (on any point along the line) towards the object or feature.</t>
  </si>
  <si>
    <t>Expressed in degrees and tenths (for example: 3.0).</t>
  </si>
  <si>
    <t>BWB</t>
  </si>
  <si>
    <t>belowWaterBankSlope</t>
  </si>
  <si>
    <t>Below Water Bank Slope</t>
  </si>
  <si>
    <t>The amount of downward inclination between the horizontal surface of the mean water level of a watercourse where it touches the bank and the first break in underwater slope.</t>
  </si>
  <si>
    <t>BER</t>
  </si>
  <si>
    <t>berthIdentifier</t>
  </si>
  <si>
    <t>Berth Identifier</t>
  </si>
  <si>
    <t>The designated number or letter used to identify this feature.</t>
  </si>
  <si>
    <t>KeyNonLex80</t>
  </si>
  <si>
    <t>BTR</t>
  </si>
  <si>
    <t>berthRadius</t>
  </si>
  <si>
    <t>Berth Radius</t>
  </si>
  <si>
    <t>The radius of an anchor berth that allows sufficient room for the vessel to swing so as to avoid collision with other vessels.</t>
  </si>
  <si>
    <t>For specialized vessels (for example: a mobile offshore drilling unit) the radius may include a 'standoff distance' to ensure against fouling of associated underwater equipment (for example: mooring cables or the drillpipe).</t>
  </si>
  <si>
    <t>BAL</t>
  </si>
  <si>
    <t>bgnAdminLevel</t>
  </si>
  <si>
    <t>BGN Administrative Level</t>
  </si>
  <si>
    <t>The level of an administrative division of a country as established by the U.S. Board on Geographic Names (BGN).</t>
  </si>
  <si>
    <t>The BGN is a management body established to maintain uniform geographic name usage throughout the U.S. Government.</t>
  </si>
  <si>
    <t>BgnAdminLevelCode</t>
  </si>
  <si>
    <t>BDS</t>
  </si>
  <si>
    <t>bidirectional</t>
  </si>
  <si>
    <t>Bidirectional</t>
  </si>
  <si>
    <t>An indication that a feature supports bidirectional flow.</t>
  </si>
  <si>
    <t>BWM</t>
  </si>
  <si>
    <t>bodyWaveMagnitude</t>
  </si>
  <si>
    <t>Body-wave Magnitude</t>
  </si>
  <si>
    <t>The body-wave magnitude of the earthquake as reported by the U.S. Geological Survey.</t>
  </si>
  <si>
    <t>A body-wave is a seismic wave that travels into and through the Earth's inner layers. Its magnitude is quantified using a base-10 logarithmic scale based on the ratio of the amplitude of ground motion to its period, corrected by a factor that is a function of the distance from the point of measurement to the earthquake epicenter and the focal depth of the earthquake.</t>
  </si>
  <si>
    <t>BOC</t>
  </si>
  <si>
    <t>bogType</t>
  </si>
  <si>
    <t>Bog Type</t>
  </si>
  <si>
    <t>The type of a bog or fen based on its morphology and/or dominant vegetation.</t>
  </si>
  <si>
    <t>A fen is similar to a bog but may have alkaline, neutral, or only slightly acid peaty soil whereas a bog is generally very acidic. In both cases the vegetation is usually dominated by peat mosses, ericaceous shrubs, and sedges.</t>
  </si>
  <si>
    <t>BogTypeCode</t>
  </si>
  <si>
    <t>BRM</t>
  </si>
  <si>
    <t>bollardMobile</t>
  </si>
  <si>
    <t>Bollard Mobile</t>
  </si>
  <si>
    <t>An indication that a bollard is constructed to be moveable.</t>
  </si>
  <si>
    <t>Bollards may be, for example, retractable, collapsible or removable.</t>
  </si>
  <si>
    <t>BRD</t>
  </si>
  <si>
    <t>bollardType</t>
  </si>
  <si>
    <t>Bollard Type</t>
  </si>
  <si>
    <t>The type of a bollard based on its intended use.</t>
  </si>
  <si>
    <t>BollardTypeCode</t>
  </si>
  <si>
    <t>BRY</t>
  </si>
  <si>
    <t>borderCrossingType</t>
  </si>
  <si>
    <t>Border Crossing Type</t>
  </si>
  <si>
    <t>The type of a border crossing based on the principal structure (for example: a bridge, dam, or tunnel) that enables transport flow across the border.</t>
  </si>
  <si>
    <t>BorderCrossingTypeCode</t>
  </si>
  <si>
    <t>PTD</t>
  </si>
  <si>
    <t>boreholeType</t>
  </si>
  <si>
    <t>Borehole Type</t>
  </si>
  <si>
    <t>The type of a borehole based on the purpose for which it was drilled.</t>
  </si>
  <si>
    <t>BoreholeTypeCode</t>
  </si>
  <si>
    <t>BCS</t>
  </si>
  <si>
    <t>bottomContactStatus</t>
  </si>
  <si>
    <t>Bottom Contact Status</t>
  </si>
  <si>
    <t>The status of determination of the nature of a subsurface (bottom) contact.</t>
  </si>
  <si>
    <t>BottomContactStatusCode</t>
  </si>
  <si>
    <t>BMC</t>
  </si>
  <si>
    <t>bottomMaterialType</t>
  </si>
  <si>
    <t>Bottom Material Type</t>
  </si>
  <si>
    <t>The primary type(s) of material composing the bottom of a body of water.</t>
  </si>
  <si>
    <t>BottomMaterialTypeCode</t>
  </si>
  <si>
    <t>BOB</t>
  </si>
  <si>
    <t>bottomObjectType</t>
  </si>
  <si>
    <t>Bottom Object Type</t>
  </si>
  <si>
    <t>The type of an object protruding above the water body bottom.</t>
  </si>
  <si>
    <t>For example, as specified by the U.S. Non-Submarine Contact List. Bottom objects may include rocks (for example: pinnacles), underwater constructions (for example: wellheads and other equipment in oil and gas fields), wrecks, and other man-made debris (for example: lost ground tackle or dumped materials). The object may, depending on conditions, float and/or be partially exposed above the water surface.</t>
  </si>
  <si>
    <t>BottomObjectTypeCode</t>
  </si>
  <si>
    <t>DMC</t>
  </si>
  <si>
    <t>boundaryDemarcated</t>
  </si>
  <si>
    <t>Boundary Demarcated</t>
  </si>
  <si>
    <t>An indication that a boundary is demarcated.</t>
  </si>
  <si>
    <t>Demarcation refers to the surveying and erection of markers along a land boundary after a boundary has been delimited according to a treaty or other agreement.</t>
  </si>
  <si>
    <t>CFT</t>
  </si>
  <si>
    <t>boundaryDetermineMethod</t>
  </si>
  <si>
    <t>Boundary Determination Method</t>
  </si>
  <si>
    <t>The method by which a boundary has been determined.</t>
  </si>
  <si>
    <t>BoundaryDetermineMethodCode</t>
  </si>
  <si>
    <t>DSP</t>
  </si>
  <si>
    <t>boundaryDisputeType</t>
  </si>
  <si>
    <t>Boundary Dispute Type</t>
  </si>
  <si>
    <t>The type of dispute, if any, concerning a boundary.</t>
  </si>
  <si>
    <t>BoundaryDisputeTypeCode</t>
  </si>
  <si>
    <t>FBL</t>
  </si>
  <si>
    <t>boundaryLightsPresent</t>
  </si>
  <si>
    <t>Boundary Lights Present</t>
  </si>
  <si>
    <t>An indication that an aircraft facility has available boundary lights.</t>
  </si>
  <si>
    <t>RPC</t>
  </si>
  <si>
    <t>boundaryRepresentatPolicy</t>
  </si>
  <si>
    <t>Boundary Representation Policy</t>
  </si>
  <si>
    <t>An official (for example: by a State Department or Foreign Office) interpretation of a boundary status to be reflected in the portrayal of that boundary.</t>
  </si>
  <si>
    <t>BoundaryRepresentatPolicyCode</t>
  </si>
  <si>
    <t>BST</t>
  </si>
  <si>
    <t>boundaryStatus</t>
  </si>
  <si>
    <t>Boundary Status</t>
  </si>
  <si>
    <t>The status of delimitation of a boundary.</t>
  </si>
  <si>
    <t>BoundaryStatusCode</t>
  </si>
  <si>
    <t>RSA</t>
  </si>
  <si>
    <t>branchRailwayType</t>
  </si>
  <si>
    <t>Branch Railway Type</t>
  </si>
  <si>
    <t>The function or configuration of a branch railway.</t>
  </si>
  <si>
    <t>BranchRailwayTypeCode</t>
  </si>
  <si>
    <t>RBC</t>
  </si>
  <si>
    <t>bridgeInfoReliability</t>
  </si>
  <si>
    <t>Bridge Information Reliability</t>
  </si>
  <si>
    <t>The reliability of information regarding bridge military load classification and related characteristics.</t>
  </si>
  <si>
    <t>BridgeInfoReliabilityCode</t>
  </si>
  <si>
    <t>BOT</t>
  </si>
  <si>
    <t>bridgeOpeningType</t>
  </si>
  <si>
    <t>Bridge Opening Type</t>
  </si>
  <si>
    <t>The type of structure or mechanism by which a bridge or bridge span is moved to allow passage of a vessel.</t>
  </si>
  <si>
    <t>BridgeOpeningTypeCode</t>
  </si>
  <si>
    <t>BRN</t>
  </si>
  <si>
    <t>bridgeReferenceNumber</t>
  </si>
  <si>
    <t>Bridge Reference Number</t>
  </si>
  <si>
    <t>The unique identifier of a bridge in accordance with the provisions of terrain analysis databases (for example: PTADB or TTADB).</t>
  </si>
  <si>
    <t>The identifier is assigned consecutively (for example: within a map sheet or within a local area of interest) and begins with the northwest grid square of the UTM reference system and proceeds from left to right to the east edge of the sheet or area, continuing consecutively in the same way starting back at the west edge of the next line of UTM grid squares below those previously completed. The resulting identifiers are used to index an associated Bridge Information Table.</t>
  </si>
  <si>
    <t>KeyNonLex24</t>
  </si>
  <si>
    <t>BSC</t>
  </si>
  <si>
    <t>bridgeStructureType</t>
  </si>
  <si>
    <t>Bridge Structure Type</t>
  </si>
  <si>
    <t>The type(s) of structural design of a bridge, bridge span, or bridge superstructure.</t>
  </si>
  <si>
    <t>BridgeStructureTypeCode</t>
  </si>
  <si>
    <t>BRF</t>
  </si>
  <si>
    <t>broadcastFrequency</t>
  </si>
  <si>
    <t>Broadcast Frequency</t>
  </si>
  <si>
    <t>The transmission frequency of a radio communications device (for example: a television station or a radiobeacon).</t>
  </si>
  <si>
    <t>Integer</t>
  </si>
  <si>
    <t>BSU</t>
  </si>
  <si>
    <t>buildingSuperstructType</t>
  </si>
  <si>
    <t>Building Superstructure Type</t>
  </si>
  <si>
    <t>The type of a superstructure that extends above the general roofline of a building.</t>
  </si>
  <si>
    <t>BuildingSuperstructTypeCode</t>
  </si>
  <si>
    <t>BLY</t>
  </si>
  <si>
    <t>buildingType</t>
  </si>
  <si>
    <t>Building Type</t>
  </si>
  <si>
    <t>The type of a free-standing self-supporting construction that is roofed, usually walled, and is intended for human occupancy (for example: a place of work or recreation) and/or habitation.</t>
  </si>
  <si>
    <t>BuildingTypeCode</t>
  </si>
  <si>
    <t>BAC</t>
  </si>
  <si>
    <t>builtUpAreaDensityCat</t>
  </si>
  <si>
    <t>Built-up Area Density Category</t>
  </si>
  <si>
    <t>A general evaluation of the density of a built-up area, as a category.</t>
  </si>
  <si>
    <t>BuiltUpAreaDensityCatCode</t>
  </si>
  <si>
    <t>BUS</t>
  </si>
  <si>
    <t>buoyShape</t>
  </si>
  <si>
    <t>Buoy Shape</t>
  </si>
  <si>
    <t>The principal shape and/or design of a buoy.</t>
  </si>
  <si>
    <t>BuoyShapeCode</t>
  </si>
  <si>
    <t>BUT</t>
  </si>
  <si>
    <t>buoyType</t>
  </si>
  <si>
    <t>Buoy Type</t>
  </si>
  <si>
    <t>The type(s) of a buoy based on its significance to maritime navigation.</t>
  </si>
  <si>
    <t>BuoyTypeCode</t>
  </si>
  <si>
    <t>BUR</t>
  </si>
  <si>
    <t>buriedUtilityType</t>
  </si>
  <si>
    <t>Buried Utility Type</t>
  </si>
  <si>
    <t>The type(s) of utility(ies) or pipeline transport located underground or below a waterbody.</t>
  </si>
  <si>
    <t>BuriedUtilityTypeCode</t>
  </si>
  <si>
    <t>BCC</t>
  </si>
  <si>
    <t>bypassCondition</t>
  </si>
  <si>
    <t>Bypass Condition</t>
  </si>
  <si>
    <t>The ease or ability to circumvent a destroyed section of bridge, tunnel or pass within a distance of two kilometres from the feature.</t>
  </si>
  <si>
    <t>Bypass condition will not consider other bridges in bypass determination.</t>
  </si>
  <si>
    <t>BypassConditionCode</t>
  </si>
  <si>
    <t>PBY</t>
  </si>
  <si>
    <t>byProduct</t>
  </si>
  <si>
    <t>By-product</t>
  </si>
  <si>
    <t>The principal by-product(s) of a production, mining, or agricultural activity.</t>
  </si>
  <si>
    <t>If multiple by-products are specified then they are usually listed in descending order of importance.</t>
  </si>
  <si>
    <t>ByProductCode</t>
  </si>
  <si>
    <t>TST</t>
  </si>
  <si>
    <t>cableSuspendedShape</t>
  </si>
  <si>
    <t>Cable Suspended Shape</t>
  </si>
  <si>
    <t>The shape assumed by a cable suspended by a series of pylons.</t>
  </si>
  <si>
    <t>CableSuspendedShapeCode</t>
  </si>
  <si>
    <t>CAB</t>
  </si>
  <si>
    <t>cableType</t>
  </si>
  <si>
    <t>Cable Type</t>
  </si>
  <si>
    <t>The type of a cable based on its use.</t>
  </si>
  <si>
    <t>CableTypeCode</t>
  </si>
  <si>
    <t>CAT</t>
  </si>
  <si>
    <t>cablewayType</t>
  </si>
  <si>
    <t>Cableway Type</t>
  </si>
  <si>
    <t>The type of a cableway based on structure and/or function.</t>
  </si>
  <si>
    <t>CablewayTypeCode</t>
  </si>
  <si>
    <t>CSI</t>
  </si>
  <si>
    <t>cadastralSourceIdentifier</t>
  </si>
  <si>
    <t>Cadastral Source Identifier</t>
  </si>
  <si>
    <t>The unique identifier of a land parcel as assigned by a land survey or data production system.</t>
  </si>
  <si>
    <t>CSY</t>
  </si>
  <si>
    <t>cadastralSourceIdentType</t>
  </si>
  <si>
    <t>Cadastral Source Identifier Type</t>
  </si>
  <si>
    <t>The name, description, Uniform Resource Locator (URL) and/or other information sufficient to unambiguously identify the land survey or data production system that assigned a cadastral source identifier to a land parcel.</t>
  </si>
  <si>
    <t>CDM</t>
  </si>
  <si>
    <t>cadastralSourceMeasurement</t>
  </si>
  <si>
    <t>Cadastral Source Measurement</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</si>
  <si>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</si>
  <si>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</si>
  <si>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CDY</t>
  </si>
  <si>
    <t>cadastralSourceType</t>
  </si>
  <si>
    <t>Cadastral Source Type</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</si>
  <si>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</si>
  <si>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</si>
  <si>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CadastralSourceTypeCode</t>
  </si>
  <si>
    <t>CME</t>
  </si>
  <si>
    <t>camouflageMethod</t>
  </si>
  <si>
    <t>Camouflage Method</t>
  </si>
  <si>
    <t>The method of adjusting the appearance of an object to remove its distinctiveness so that the object blends into the background or resembles something that it isn't.</t>
  </si>
  <si>
    <t>Camouflage is used to prevent objects from being identified by altering their apparent form, shadow, texture, and/or color. Camouflage material is applied or arranged on, over and/or around an object.</t>
  </si>
  <si>
    <t>CamouflageMethodCode</t>
  </si>
  <si>
    <t>DMT</t>
  </si>
  <si>
    <t>canopyCover</t>
  </si>
  <si>
    <t>Canopy Cover</t>
  </si>
  <si>
    <t>The fraction of canopy cover within a defined area during the season of maximum foliage.</t>
  </si>
  <si>
    <t>The canopy is formed by the upper branches of the trees in a forest forming a more or less continuous layer.</t>
  </si>
  <si>
    <t>FQR</t>
  </si>
  <si>
    <t>carrierFrequency</t>
  </si>
  <si>
    <t>Carrier Frequency</t>
  </si>
  <si>
    <t>The number of cycles per second of a carrier wave used for radio transmission.</t>
  </si>
  <si>
    <t>The frequency is measured in Hertz (Hz), Megahertz (MHz), or Kilohertz (kHz). The value is tuned-in by using the transmitter and/or the receiver.</t>
  </si>
  <si>
    <t>CTX</t>
  </si>
  <si>
    <t>caveType</t>
  </si>
  <si>
    <t>Cave Type</t>
  </si>
  <si>
    <t>The type of a cave based on its dominant method of formation.</t>
  </si>
  <si>
    <t>A cave is a naturally occurring subterranean chamber.</t>
  </si>
  <si>
    <t>CaveTypeCode</t>
  </si>
  <si>
    <t>CID</t>
  </si>
  <si>
    <t>cellIdentifier</t>
  </si>
  <si>
    <t>Cell Identifier</t>
  </si>
  <si>
    <t>The identifier that denotes a defined extent (for example: a rectangular cell) within a system (for example: an array of rectangular cells) of planar space partitioning.</t>
  </si>
  <si>
    <t>The partitioning results in a set of unique, continuous, non-overlapping, regions; for exampe: a grid, a hexagonal tiling, a Voronoi tesselation, a Delaunay triangulation, a Triangulated Irregular Network (TIN). The specific mechanism used to create the tesselation and assign identifiers to its cells is externally defined.</t>
  </si>
  <si>
    <t>TextNonLex22</t>
  </si>
  <si>
    <t>CPS</t>
  </si>
  <si>
    <t>cellPartitionScheme</t>
  </si>
  <si>
    <t>Cell Partition Scheme</t>
  </si>
  <si>
    <t>The tesselation scheme used to create a planar space partitioning and assign identifiers to its cells.</t>
  </si>
  <si>
    <t>The partitioning results in a set of unique, continuous, non-overlapping, regions; for exampe: a grid, a hexagonal tiling, a Voronoi tesselation, a Delaunay triangulation, a Triangulated Irregular Network (TIN).</t>
  </si>
  <si>
    <t>CellPartSchemeCodeList</t>
  </si>
  <si>
    <t>MWG</t>
  </si>
  <si>
    <t>centerlineSpacing</t>
  </si>
  <si>
    <t>Centerline Spacing</t>
  </si>
  <si>
    <t>The distance between the centrelines of the two travelled ways of a divided highway.</t>
  </si>
  <si>
    <t>CPD</t>
  </si>
  <si>
    <t>changeOverPointDistance</t>
  </si>
  <si>
    <t>Change-over Point Distance</t>
  </si>
  <si>
    <t>The DME distance from the previous VORDME, VORTAC or TACAN to the point at which an aircraft navigating on an Air Traffic Service (ATS) route segment is expected to transfer its primary navigational reference to the next facility ahead of the aircraft.</t>
  </si>
  <si>
    <t>Change-over points are established to provide the optimum balance in respect of signal strength and quality between facilities at all levels to be used and to ensure a common source of azimuth guidance for all aircraft operating along the same portion of an Air Traffic Service (ATS) route segment.</t>
  </si>
  <si>
    <t>CHL</t>
  </si>
  <si>
    <t>channelNumber</t>
  </si>
  <si>
    <t>Channel Number</t>
  </si>
  <si>
    <t>The channel representing the frequency assigned by the controlling authority.</t>
  </si>
  <si>
    <t>CHT</t>
  </si>
  <si>
    <t>channelType</t>
  </si>
  <si>
    <t>Channel Type</t>
  </si>
  <si>
    <t>The type of a navigation channel based on the nature of the body of water through which it passes.</t>
  </si>
  <si>
    <t>May be used as a means of subtyping Feature: 'Channel'.</t>
  </si>
  <si>
    <t>ChannelTypeCode</t>
  </si>
  <si>
    <t>COL</t>
  </si>
  <si>
    <t>characterOfLight</t>
  </si>
  <si>
    <t>Character of Light</t>
  </si>
  <si>
    <t>The characteristic description of a maritime light or lights at one geographic position that includes its class, number and color(s) of flashes or occultations.</t>
  </si>
  <si>
    <t>This text is structured as it traditionally has been represented on a paper chart.</t>
  </si>
  <si>
    <t>CharacterOfLightStrucText</t>
  </si>
  <si>
    <t>M18</t>
  </si>
  <si>
    <t>characterSet</t>
  </si>
  <si>
    <t>Character Set</t>
  </si>
  <si>
    <t>The coding standard used for the character-based content of a resource.</t>
  </si>
  <si>
    <t>MD_CharacterSetCode</t>
  </si>
  <si>
    <t>MCA</t>
  </si>
  <si>
    <t>charactersEmitted</t>
  </si>
  <si>
    <t>Characters Emitted</t>
  </si>
  <si>
    <t>The character(s) that are being emitted by a signalling device (for example: a light, a beacon, or a communications transmitter).</t>
  </si>
  <si>
    <t>May be in the form of Morse code, however on 1 February 1999 Morse code was withdrawn from use and was replaced by the Global Maritime Distress and Safety System.</t>
  </si>
  <si>
    <t>TextNonLex80</t>
  </si>
  <si>
    <t>CLO</t>
  </si>
  <si>
    <t>chlorideConcentration</t>
  </si>
  <si>
    <t>Chloride Concentration</t>
  </si>
  <si>
    <t>The mass of chloride per volume of solution.</t>
  </si>
  <si>
    <t>Most chlorides are salts that are formed either by direct union of chlorine with a metal or by reaction of hydrochloric acid (a water solution of hydrogen chloride) with a metal, a metal oxide, or an inorganic base. Chloride salts include sodium chloride (common salt), potassium chloride, calcium chloride, and ammonium chloride. Most chloride salts are readily soluble in water.</t>
  </si>
  <si>
    <t>CPI</t>
  </si>
  <si>
    <t>circlingProcedureIdent</t>
  </si>
  <si>
    <t>Circling Procedure Identification</t>
  </si>
  <si>
    <t>An identifier denoting a circling-only procedure specific to a radio navigation aid type at an aerodrome.</t>
  </si>
  <si>
    <t>The first circling only procedure at an airfield is denoted with an 'A', where there second is denoted with a 'B' and so on.</t>
  </si>
  <si>
    <t>CirclingProcedureIdentStrucText</t>
  </si>
  <si>
    <t>CS0</t>
  </si>
  <si>
    <t>cityServed</t>
  </si>
  <si>
    <t>City Served</t>
  </si>
  <si>
    <t>The name of the city or town that the transportation facility serves.</t>
  </si>
  <si>
    <t>SHO</t>
  </si>
  <si>
    <t>coastType</t>
  </si>
  <si>
    <t>Coast Type</t>
  </si>
  <si>
    <t>The type of a coast based on its topography and material type(s).</t>
  </si>
  <si>
    <t>CoastTypeCode</t>
  </si>
  <si>
    <t>WPC</t>
  </si>
  <si>
    <t>coastalWorkType</t>
  </si>
  <si>
    <t>Coastal Work Type</t>
  </si>
  <si>
    <t>The type of a shore or near-shore work(s) in progress.</t>
  </si>
  <si>
    <t>CoastalWorkTypeCode</t>
  </si>
  <si>
    <t>M71</t>
  </si>
  <si>
    <t>code</t>
  </si>
  <si>
    <t>An alphanumeric value (a 'code') identifying an instance in the namespace.</t>
  </si>
  <si>
    <t>CFR</t>
  </si>
  <si>
    <t>coliformConcentration</t>
  </si>
  <si>
    <t>Coliform Concentration</t>
  </si>
  <si>
    <t>The number of coliform bacteria colonies per volume of solution.</t>
  </si>
  <si>
    <t>The coliform concentration is an indicator of pollution when testing the sanitary quality of water. Coliform bacteria normally are abundant in the intestinal tracts of humans and other warm-blooded mammals. It is measured in colonies per millilitre of solution, and reported as Coliform Microbial Density.</t>
  </si>
  <si>
    <t>CLX</t>
  </si>
  <si>
    <t>collection</t>
  </si>
  <si>
    <t>Collection</t>
  </si>
  <si>
    <t>An indication that a feature instance is, or may be, representing more than a single feature of the same type as a collection.</t>
  </si>
  <si>
    <t>May be used when delineating individual features of the same type within a region that may or may not meet inclusion conditions to be delineated individually. For example, the Finger Lakes in North America is a collection of (multiple) Lake features but may be collected as a single feature instance at a small extraction scale.</t>
  </si>
  <si>
    <t>AC3</t>
  </si>
  <si>
    <t>coLocationSharedApron</t>
  </si>
  <si>
    <t>Co-Location Shared Apron</t>
  </si>
  <si>
    <t>An indication that the aprons of the aerodrome are available to the traffic of the co-located aerodrome.</t>
  </si>
  <si>
    <t>AC4</t>
  </si>
  <si>
    <t>coLocationSharedFacilities</t>
  </si>
  <si>
    <t>Co-Location Shared Facilities</t>
  </si>
  <si>
    <t>An indication that all facilities of the aerodrome are available to the traffic of the co-located aerodrome.</t>
  </si>
  <si>
    <t>AC1</t>
  </si>
  <si>
    <t>coLocationSharedRunway</t>
  </si>
  <si>
    <t>Co-Location Shared Runway</t>
  </si>
  <si>
    <t>An indication that the runways of the aerodrome are available to the traffic of the co-located aerodrome.</t>
  </si>
  <si>
    <t>AC2</t>
  </si>
  <si>
    <t>coLocationSharedTaxiway</t>
  </si>
  <si>
    <t>Co-Location Shared Taxiway</t>
  </si>
  <si>
    <t>An indication that the taxiways of the aerodrome are available to the traffic of the co-located aerodrome.</t>
  </si>
  <si>
    <t>CCR</t>
  </si>
  <si>
    <t>colourOfNavMarkDesc</t>
  </si>
  <si>
    <t>Colour of Navigation Mark Description</t>
  </si>
  <si>
    <t>A description of any unique aspects of the colouring of a navigation mark.</t>
  </si>
  <si>
    <t>Used to expand on the use of Attribute: 'Navigation Mark Colour', especially when the required value is not one of the standard Navigation Mark Colour values.</t>
  </si>
  <si>
    <t>CPT</t>
  </si>
  <si>
    <t>colourPattern</t>
  </si>
  <si>
    <t>Colour Pattern</t>
  </si>
  <si>
    <t>The colour pattern(s) of an aid to navigation (for example: a buoy, a beacon, and/or a navigation light) or other feature of importance to maritime navigation.</t>
  </si>
  <si>
    <t>The Attribute: 'Navigation Mark Colour' may be used to specify the colours in the order in which they appear in the pattern.</t>
  </si>
  <si>
    <t>ColourPatternCode</t>
  </si>
  <si>
    <t>CCN</t>
  </si>
  <si>
    <t>commercialCopyrightNotice</t>
  </si>
  <si>
    <t>Commercial Copyright Notice</t>
  </si>
  <si>
    <t>A description of any commercial (or similar) copyright notice applicable to information regarding the feature or data set.</t>
  </si>
  <si>
    <t>For example, '©2000 Space Imaging, Inc.', in which case the copyright information for use of such imagery needs to be stated; this generally includes restrictions on use and distribution. For non copyright data, for example 'Copyright 2004 by the National Geospatial-Intelligence Agency, U.S. Government. No domestic copyright claimed under Title 17 U.S.C. All rights reserved.'</t>
  </si>
  <si>
    <t>CDR</t>
  </si>
  <si>
    <t>commercialDistribRestrict</t>
  </si>
  <si>
    <t>Commercial Distribution Restriction</t>
  </si>
  <si>
    <t>A description of any commercial (or similar) restrictions on the distribution of information regarding the feature or data set.</t>
  </si>
  <si>
    <t>For example, 'Distribution and use restricted to DoD/Title 50 and Coalition Forces.' Some commercial data is copyrighted. A copyright is 'the exclusive legal right to reproduce, publish, and sell the matter and form.' 1) The foundation of the copyright is US law and international treaties. A [distribution] license (a.k.a. License Agreement) is the 'official or legal permission to do or own a specific thing.' 2) The licenses are part of the government contracts with the commercial data providers. The license delineates what the user may or may not do with the commercial product.</t>
  </si>
  <si>
    <t>CSA</t>
  </si>
  <si>
    <t>commercialShipActivityLevel</t>
  </si>
  <si>
    <t>Commercial Shipping Activity Level</t>
  </si>
  <si>
    <t>The level of commercial shipping activity in a region over time.</t>
  </si>
  <si>
    <t>Shipping activity levels are often displayed using a standard deviation scale that minimizes random individual observations and accentuates areas of numerous observations, highlighting routinely used shipping lanes.</t>
  </si>
  <si>
    <t>CommercialShipActivityLevelCode</t>
  </si>
  <si>
    <t>CMS</t>
  </si>
  <si>
    <t>commissionedStatus</t>
  </si>
  <si>
    <t>Commissioned Status</t>
  </si>
  <si>
    <t>The status of a facility based on test, operation, and commissioning.</t>
  </si>
  <si>
    <t>CommissionedStatusCode</t>
  </si>
  <si>
    <t>FPC</t>
  </si>
  <si>
    <t>commFailureProcedure</t>
  </si>
  <si>
    <t>Communication Failure Procedure</t>
  </si>
  <si>
    <t>A textual specification of guidance to be followed in case of radio communication failure.</t>
  </si>
  <si>
    <t>Communication Failure Description</t>
  </si>
  <si>
    <t>CMT</t>
  </si>
  <si>
    <t>communicationType</t>
  </si>
  <si>
    <t>Communication Type</t>
  </si>
  <si>
    <t>A code uniquely identifying the type of communications facility.</t>
  </si>
  <si>
    <t>CommunicationTypeCode</t>
  </si>
  <si>
    <t>G05</t>
  </si>
  <si>
    <t>complexGeometry</t>
  </si>
  <si>
    <t>Complex Geometry</t>
  </si>
  <si>
    <t>A set of primitive geometric objects (in a common coordinate reference system) whose interiors are disjoint.</t>
  </si>
  <si>
    <t>Its subtypes include (but are not limited to): GM_CompositePoint, GM_CompositeCurve, GM_CompositeSurface, and GM_CompositeSolid.</t>
  </si>
  <si>
    <t>GmComposite</t>
  </si>
  <si>
    <t>CFE</t>
  </si>
  <si>
    <t>componentFeatureCount</t>
  </si>
  <si>
    <t>Component Feature Count</t>
  </si>
  <si>
    <t>The number of interrelated component features (of various types) of the feature.</t>
  </si>
  <si>
    <t>May be used to indicate the number of component feature instances that have been collected for the feature. For example, the total number of runways, taxiways, NAVAIDs, and aircraft hangars that compose an aerodrome.</t>
  </si>
  <si>
    <t>G07</t>
  </si>
  <si>
    <t>compositeCurveGeometry</t>
  </si>
  <si>
    <t>Composite Curve Geometry</t>
  </si>
  <si>
    <t>A sequence of geometric curves such that each curve (except the first) starts at the end point of the previous curve in the sequence.</t>
  </si>
  <si>
    <t>A type of geometric complex.</t>
  </si>
  <si>
    <t>GmCompositeCurve</t>
  </si>
  <si>
    <t>G06</t>
  </si>
  <si>
    <t>compositePointGeometry</t>
  </si>
  <si>
    <t>Composite Point Geometry</t>
  </si>
  <si>
    <t>A set consisting of a single geometric point.</t>
  </si>
  <si>
    <t>GmCompositePoint</t>
  </si>
  <si>
    <t>G09</t>
  </si>
  <si>
    <t>compositeSolidGeometry</t>
  </si>
  <si>
    <t>Composite Solid Geometry</t>
  </si>
  <si>
    <t>A connected set of geometric solids adjoining one another along shared boundary surfaces.</t>
  </si>
  <si>
    <t>GmCompositeSolid</t>
  </si>
  <si>
    <t>G08</t>
  </si>
  <si>
    <t>compositeSurfaceGeometry</t>
  </si>
  <si>
    <t>Composite Surface Geometry</t>
  </si>
  <si>
    <t>A connected set of geometric surfaces adjoining one another along shared boundary curves.</t>
  </si>
  <si>
    <t>GmCompositeSurface</t>
  </si>
  <si>
    <t>CNF</t>
  </si>
  <si>
    <t>confined</t>
  </si>
  <si>
    <t>Confined</t>
  </si>
  <si>
    <t>An indication that an aquifer is overlain by a confining bed consisting of a layer of rock, or of unconsolidated sediments, that possesses a very low hydraulic conductivity and thus retards the movement of water into and out of the aquifer.</t>
  </si>
  <si>
    <t>A confined aquifer is under pressure so that when the aquifer is penetrated by a well, the water will rise above the top of the aquifer. The water level in a well open to a specific confined aquifer stands at the level of the potentiometric surface. If the potentiometric surface is above land, the well is often considered as a free-flowing artesian well.</t>
  </si>
  <si>
    <t>CAM</t>
  </si>
  <si>
    <t>conservationAreaManageCat</t>
  </si>
  <si>
    <t>Conservation Area Management Category</t>
  </si>
  <si>
    <t>The category of a protected area based on level of protection and the enabling laws of the controlling entity (for example: State) or rules of international organization (for example: as determined by the International Union for Conservation of Nature and Natural Resources (IUCN)).</t>
  </si>
  <si>
    <t>Protected Area Management Category</t>
  </si>
  <si>
    <t>ConservationAreaManageCatCode</t>
  </si>
  <si>
    <t>COA</t>
  </si>
  <si>
    <t>conspicuousAirCategory</t>
  </si>
  <si>
    <t>Conspicuous Air Category</t>
  </si>
  <si>
    <t>The manner in which an object is conspicuous when viewed from the air.</t>
  </si>
  <si>
    <t>A conspicuous feature is easily detected and identified under varying conditions (for example: lighting). Factors affecting conspicuousness include size, shape, and/or height.</t>
  </si>
  <si>
    <t>ConspicuousAirCategoryCode</t>
  </si>
  <si>
    <t>COG</t>
  </si>
  <si>
    <t>conspicuousGroundCategory</t>
  </si>
  <si>
    <t>Conspicuous Ground Category</t>
  </si>
  <si>
    <t>The manner in which an object is conspicuous when viewed from on the ground.</t>
  </si>
  <si>
    <t>ConspicuousGroundCategoryCode</t>
  </si>
  <si>
    <t>COC</t>
  </si>
  <si>
    <t>conspicuousSeaCategory</t>
  </si>
  <si>
    <t>Conspicuous Sea Category</t>
  </si>
  <si>
    <t>The manner in which an object is conspicuous when viewed from the sea.</t>
  </si>
  <si>
    <t>ConspicuousSeaCategoryCode</t>
  </si>
  <si>
    <t>CNC</t>
  </si>
  <si>
    <t>contactInfo</t>
  </si>
  <si>
    <t>Contact Information</t>
  </si>
  <si>
    <t>The telephone, postal, electronic and/or other contact information for a facility, organisation or person.</t>
  </si>
  <si>
    <t>CI_Contact</t>
  </si>
  <si>
    <t>MIC</t>
  </si>
  <si>
    <t>contactMineActuation</t>
  </si>
  <si>
    <t>Contact Mine Actuation Method</t>
  </si>
  <si>
    <t>The method used to trigger a contact explosive mine.</t>
  </si>
  <si>
    <t>ContactMineActuationCode</t>
  </si>
  <si>
    <t>SBS</t>
  </si>
  <si>
    <t>contactStatus</t>
  </si>
  <si>
    <t>Contact Status</t>
  </si>
  <si>
    <t>The mine hunting status of a small bottom object.</t>
  </si>
  <si>
    <t>In general, mine hunting is a three step process involving detection, classification and finally identification. Mine disposal may then follow.</t>
  </si>
  <si>
    <t>ContactStatusCode</t>
  </si>
  <si>
    <t>CST</t>
  </si>
  <si>
    <t>containedInServiceTunnel</t>
  </si>
  <si>
    <t>Contained within Service Tunnel</t>
  </si>
  <si>
    <t>The object (for example: a telecommunication cable or a power line) is located within a service tunnel.</t>
  </si>
  <si>
    <t>CWS</t>
  </si>
  <si>
    <t>containedInStructure</t>
  </si>
  <si>
    <t>Contained within Structure</t>
  </si>
  <si>
    <t>The object is located within a structure (for example: a building).</t>
  </si>
  <si>
    <t>For example, a slipway inside of a boat house.</t>
  </si>
  <si>
    <t>CWT</t>
  </si>
  <si>
    <t>containedInTunnel</t>
  </si>
  <si>
    <t>Contained within Tunnel</t>
  </si>
  <si>
    <t>The object is at least partially located within, or passes through, a tunnel.</t>
  </si>
  <si>
    <t>For example, a canal passing through a tunnel.</t>
  </si>
  <si>
    <t>CBP</t>
  </si>
  <si>
    <t>containmentBermPresent</t>
  </si>
  <si>
    <t>Containment Berm Present</t>
  </si>
  <si>
    <t>An indication that a facility (for example: a storage tank, a drum storage area, or a liquid transfer area) is surrounded by an embankment or wall that provides a barrier to retain liquid (for example: leaked fuel oil).</t>
  </si>
  <si>
    <t>The embankment or wall is typically part of a spill containment system that may additionally provide fire protection, product recovery and/or process isolation.</t>
  </si>
  <si>
    <t>Bunded</t>
  </si>
  <si>
    <t>CSO</t>
  </si>
  <si>
    <t>contaminantSource</t>
  </si>
  <si>
    <t>Contaminant Source</t>
  </si>
  <si>
    <t>The source(s) of contaminants present in a region.</t>
  </si>
  <si>
    <t>ContaminantSourceCode</t>
  </si>
  <si>
    <t>CNS</t>
  </si>
  <si>
    <t>controlled</t>
  </si>
  <si>
    <t>Controlled</t>
  </si>
  <si>
    <t>An indication that a facility is controlled.</t>
  </si>
  <si>
    <t>For example, maritime traffic control.</t>
  </si>
  <si>
    <t>CAA</t>
  </si>
  <si>
    <t>controllingAuthority</t>
  </si>
  <si>
    <t>Controlling Authority</t>
  </si>
  <si>
    <t>The controlling authority responsible for a facility or site.</t>
  </si>
  <si>
    <t>Controlling authorities may be distinguished by organizational level (for example: national, sub-national, or military district) and/or type (for example: private or public).</t>
  </si>
  <si>
    <t>ControllingAuthorityCode</t>
  </si>
  <si>
    <t>CAN</t>
  </si>
  <si>
    <t>controllingAuthorityName</t>
  </si>
  <si>
    <t>Controlling Authority Name</t>
  </si>
  <si>
    <t>The name of the office responsible for controlling a facility or site.</t>
  </si>
  <si>
    <t>TextNonLex38</t>
  </si>
  <si>
    <t>CO1</t>
  </si>
  <si>
    <t>controllingObstacle</t>
  </si>
  <si>
    <t>Controlling Obstacle</t>
  </si>
  <si>
    <t>An indication that the obstacle is the highest obstacle relative to a prescribed plane within a specified area, upon which the aeronautical procedure is predicated.</t>
  </si>
  <si>
    <t>CFF</t>
  </si>
  <si>
    <t>copterFinalApproachCourse</t>
  </si>
  <si>
    <t>Copter Final Approach Course</t>
  </si>
  <si>
    <t>The final approach track for a helicopter procedure.</t>
  </si>
  <si>
    <t>Whole degrees in three numeric characters, for example: '030', '120', '127'.</t>
  </si>
  <si>
    <t>RVD</t>
  </si>
  <si>
    <t>courseReversalDescription</t>
  </si>
  <si>
    <t>Course Reversal Description</t>
  </si>
  <si>
    <t>Instructions for reversing course on an Instrument Approach Procedure (IAP).</t>
  </si>
  <si>
    <t>COU</t>
  </si>
  <si>
    <t>courseType</t>
  </si>
  <si>
    <t>Course Type</t>
  </si>
  <si>
    <t>A descriptor of the aircraft course to be flown.</t>
  </si>
  <si>
    <t>For example: true track, magnetic track, heading, VOR radial, true bearing, or magnetic bearing.</t>
  </si>
  <si>
    <t>CourseTypeCode</t>
  </si>
  <si>
    <t>CCT</t>
  </si>
  <si>
    <t>coverClosureType</t>
  </si>
  <si>
    <t>Cover Closure Type</t>
  </si>
  <si>
    <t>The extent and/or nature of the cover (for example: a roof) of a structure.</t>
  </si>
  <si>
    <t>CoverClosureTypeCode</t>
  </si>
  <si>
    <t>CDA</t>
  </si>
  <si>
    <t>coveredDrain</t>
  </si>
  <si>
    <t>Covered Drain</t>
  </si>
  <si>
    <t>An indication that a watercourse section is completely covered over and connects to uncovered watercourses at each end.</t>
  </si>
  <si>
    <t>CDL</t>
  </si>
  <si>
    <t>coveredDrainLength</t>
  </si>
  <si>
    <t>Covered Drain Length</t>
  </si>
  <si>
    <t>The length of a watercourse section that is completely covered over and connects to uncovered watercourses at each end.</t>
  </si>
  <si>
    <t>CMO</t>
  </si>
  <si>
    <t>craneMaxObsClearance</t>
  </si>
  <si>
    <t>Crane Maximum Obstruction Clearance</t>
  </si>
  <si>
    <t>The maximum horizontal distance from the center point of the rotation of the crane to either the end of the boom or the end of the jib.</t>
  </si>
  <si>
    <t>CRM</t>
  </si>
  <si>
    <t>craneMobilityType</t>
  </si>
  <si>
    <t>Crane Mobility Type</t>
  </si>
  <si>
    <t>The type of mobility of a crane.</t>
  </si>
  <si>
    <t>CraneMobilityTypeCode</t>
  </si>
  <si>
    <t>CSD</t>
  </si>
  <si>
    <t>craneSupportDistance</t>
  </si>
  <si>
    <t>Crane Support Distance</t>
  </si>
  <si>
    <t>The longest distance between the supports for a gantry or bridge crane.</t>
  </si>
  <si>
    <t>CRA</t>
  </si>
  <si>
    <t>craneType</t>
  </si>
  <si>
    <t>Crane Type</t>
  </si>
  <si>
    <t>The type of a crane based on its design and/or method of operation.</t>
  </si>
  <si>
    <t>CraneTypeCode</t>
  </si>
  <si>
    <t>CDT</t>
  </si>
  <si>
    <t>creationDateTime</t>
  </si>
  <si>
    <t>Creation Date and Time</t>
  </si>
  <si>
    <t>The date and, optionally, time when a digital representation (for example: of a feature or a geographic name) was created.</t>
  </si>
  <si>
    <t>Midnight is understood to be 00:00:00 (the beginning of a day); when the time is not specified then midnight in the local time zone is typically implied.</t>
  </si>
  <si>
    <t>CreationDateTimeStrucText</t>
  </si>
  <si>
    <t>COP</t>
  </si>
  <si>
    <t>creationProcComplete</t>
  </si>
  <si>
    <t>Creation Process Complete</t>
  </si>
  <si>
    <t>An indication that the process by which the digital representation of the feature(s) or data set(s) within an area is created, is complete in accordance with the specification that was used as the basis for defining the digital representation of the feature(s) or data set(s).</t>
  </si>
  <si>
    <t>CIN</t>
  </si>
  <si>
    <t>crewInjuries</t>
  </si>
  <si>
    <t>Crew Injuries</t>
  </si>
  <si>
    <t>The physical consequences to the crew of a vessel resulting from an aggressive act.</t>
  </si>
  <si>
    <t>CrewInjuriesCode</t>
  </si>
  <si>
    <t>CSP</t>
  </si>
  <si>
    <t>cropSpecies</t>
  </si>
  <si>
    <t>Crop Species</t>
  </si>
  <si>
    <t>The predominant species of a crop land.</t>
  </si>
  <si>
    <t>CropSpeciesCode</t>
  </si>
  <si>
    <t>TCS</t>
  </si>
  <si>
    <t>crossSectionalProfile</t>
  </si>
  <si>
    <t>Cross-sectional Profile</t>
  </si>
  <si>
    <t>The cross-sectional profile of an opening (for example: a tunnel or the space under a bridge span).</t>
  </si>
  <si>
    <t>CrossSectionalProfileCode</t>
  </si>
  <si>
    <t>CSS</t>
  </si>
  <si>
    <t>crossSectionalShape</t>
  </si>
  <si>
    <t>Cross-sectional Shape</t>
  </si>
  <si>
    <t>The cross-sectional shape of a feature in the horizontal plane.</t>
  </si>
  <si>
    <t>CrossSectionalShapeCode</t>
  </si>
  <si>
    <t>CRD</t>
  </si>
  <si>
    <t>crownDiameter</t>
  </si>
  <si>
    <t>Crown Diameter</t>
  </si>
  <si>
    <t>The average diameter of tree crowns within a defined area.</t>
  </si>
  <si>
    <t>The tree crown displays the leaves to allow capture of radiant energy for photosynthesis. Its diameter is usually measured by projecting the edges of the crown to the ground and measuring the length along one axis from edge to edge through the crown centre. Unless the crown has a regular shape, the width measured will depend on the axis selected for measurement. Two orthogonal axes are normally selected and averaged (for example: the maximum axis and the axis at 90 degrees to it); the two measurements are then averaged using an arithmetic mean (most common) or a geometric mean (for highly elliptical boles).</t>
  </si>
  <si>
    <t>S01</t>
  </si>
  <si>
    <t>scope</t>
  </si>
  <si>
    <t>CRS Scope</t>
  </si>
  <si>
    <t>A description of the usage, or limitations of usage, for which this Coordinate Reference System (CRS) is valid.</t>
  </si>
  <si>
    <t>CLD</t>
  </si>
  <si>
    <t>cruisingLevelDirection</t>
  </si>
  <si>
    <t>Cruising Level Direction</t>
  </si>
  <si>
    <t>The cruising level convention to be maintained during a significant portion of the flight along an airway.</t>
  </si>
  <si>
    <t>In general, standard cruising levels are odd altitudes when heading in an overall eastbound direction and even altitudes when heading in an overall westbound heading. For example, if an aircraft were heading on an overall track of 090, the aircraft would be able to fly at flight levels 230, 250, or 270, whereas if the aircraft were flying on an overall heading of 270, then that aircraft would be able to fly at flight levels 240, 260, or 280.</t>
  </si>
  <si>
    <t>CruisingLevelDirectionCode</t>
  </si>
  <si>
    <t>CUL</t>
  </si>
  <si>
    <t>culturalContextType</t>
  </si>
  <si>
    <t>Cultural Context Type</t>
  </si>
  <si>
    <t>The type of a cultural factor shared by a group of people and establishing a common context for their behaviour.</t>
  </si>
  <si>
    <t>CulturalContextTypeCode</t>
  </si>
  <si>
    <t>CFD</t>
  </si>
  <si>
    <t>culturalCover</t>
  </si>
  <si>
    <t>Cultural Cover</t>
  </si>
  <si>
    <t>The portion of an area that is covered by buildings and other cultural features (for example: roads).</t>
  </si>
  <si>
    <t>CSF</t>
  </si>
  <si>
    <t>culturalSignificance</t>
  </si>
  <si>
    <t>Cultural Significance</t>
  </si>
  <si>
    <t>The cultural significance of a feature.</t>
  </si>
  <si>
    <t>CulturalSignificanceCode</t>
  </si>
  <si>
    <t>CTC</t>
  </si>
  <si>
    <t>culvertType</t>
  </si>
  <si>
    <t>Culvert Type</t>
  </si>
  <si>
    <t>The type of a culvert based on its shape and fill.</t>
  </si>
  <si>
    <t>CulvertTypeCode</t>
  </si>
  <si>
    <t>CTL</t>
  </si>
  <si>
    <t>cumulativeTrackLength</t>
  </si>
  <si>
    <t>Cumulative Track Length</t>
  </si>
  <si>
    <t>The total cumulative length of track contained within the confines of the feature, exclusive of the branch or main trunk lines running into and/or out of the feature.</t>
  </si>
  <si>
    <t>CUD</t>
  </si>
  <si>
    <t>currencyDateTime</t>
  </si>
  <si>
    <t>Currency Date and Time</t>
  </si>
  <si>
    <t>The date and, optionally, time assigned to a data set (for example: the digital representation of a single feature or a set of features) as a whole that provides an overall assessment of its currency.</t>
  </si>
  <si>
    <t>Often known as the 'as of' date, the overall currency of a data set is affected by knowledge of the source(s) and processes used to define the location, geometry, and other properties (attributes and associations) of the digital representation.</t>
  </si>
  <si>
    <t>CurrencyDateTimeStrucText</t>
  </si>
  <si>
    <t>CRS</t>
  </si>
  <si>
    <t>currentRate</t>
  </si>
  <si>
    <t>Current Rate (Speed)</t>
  </si>
  <si>
    <t>Current speed in knots.</t>
  </si>
  <si>
    <t>CRX</t>
  </si>
  <si>
    <t>currentRateMaximum</t>
  </si>
  <si>
    <t>Current Rate Maximum</t>
  </si>
  <si>
    <t>Maximum speed of current.</t>
  </si>
  <si>
    <t>CRN</t>
  </si>
  <si>
    <t>currentRateMinimum</t>
  </si>
  <si>
    <t>Current Rate Minimum</t>
  </si>
  <si>
    <t>Minimum speed of current.</t>
  </si>
  <si>
    <t>CUR</t>
  </si>
  <si>
    <t>currentTypeCategory</t>
  </si>
  <si>
    <t>Current Type Category</t>
  </si>
  <si>
    <t>The type of horizontal movement of a body of water based on the mechanism(s) causing the flow.</t>
  </si>
  <si>
    <t>CurrentTypeCategoryCode</t>
  </si>
  <si>
    <t>G02</t>
  </si>
  <si>
    <t>curveGeometry</t>
  </si>
  <si>
    <t>Curve Geometry</t>
  </si>
  <si>
    <t>A 1-dimensional geometric primitive, representing the continuous image of a line.</t>
  </si>
  <si>
    <t>Its subtypes include (but are not limited to): GM_LineString, GM_LineSegment, GM_GeodesicString, GM_Geodesic, GM_ArcString, and GM_Arc.</t>
  </si>
  <si>
    <t>GmCurve</t>
  </si>
  <si>
    <t>RAD</t>
  </si>
  <si>
    <t>curveRadius</t>
  </si>
  <si>
    <t>Curve Radius</t>
  </si>
  <si>
    <t>The radius of curvature of a segment of a feature (or the feature as a whole, if applicable).</t>
  </si>
  <si>
    <t>Typically the smallest radius of a curved feature with more than one radius will be collected.</t>
  </si>
  <si>
    <t>CYN</t>
  </si>
  <si>
    <t>cyanideConcentration</t>
  </si>
  <si>
    <t>Cyanide Concentration</t>
  </si>
  <si>
    <t>The mass of inorganic cyanides per volume of solution.</t>
  </si>
  <si>
    <t>Inorganic cyanides are generally salts of the anion CN-. These are powerful poisons that are toxic to humans and aquatic life.</t>
  </si>
  <si>
    <t>CYR</t>
  </si>
  <si>
    <t>cylicRedundancyCheckValue</t>
  </si>
  <si>
    <t>Cyclic Redundancy Check Value</t>
  </si>
  <si>
    <t>The value determined by applying a Cyclic Redundancy Check (CRC) to a dataset.</t>
  </si>
  <si>
    <t>A CRC is a mathematical algorithm applied to the digital expression of data that provides a level of assurance against loss or alteration of data. Best practice recommends that the algorithm consider all tags and data elements within a dataset. When the receiver applies a CRC algorithm to the dataset, a different CRC value indicates that a tag or data element within the dataset has been changed since the sender generated the original CRC value.</t>
  </si>
  <si>
    <t>CylicRedundancyCheckValueStrucText</t>
  </si>
  <si>
    <t>WOC</t>
  </si>
  <si>
    <t>damCrestWidth</t>
  </si>
  <si>
    <t>Dam Crest Width</t>
  </si>
  <si>
    <t>The average distance across the crest of a dam.</t>
  </si>
  <si>
    <t>The width is measured perpendicular to the crest centerline.</t>
  </si>
  <si>
    <t>DFT</t>
  </si>
  <si>
    <t>damFaceType</t>
  </si>
  <si>
    <t>Dam Face Type</t>
  </si>
  <si>
    <t>The type of slope of the upstream face of a dam.</t>
  </si>
  <si>
    <t>DamFaceTypeCode</t>
  </si>
  <si>
    <t>DWT</t>
  </si>
  <si>
    <t>damType</t>
  </si>
  <si>
    <t>Dam Type</t>
  </si>
  <si>
    <t>The type of a dam based on function and/or structure.</t>
  </si>
  <si>
    <t>May be used as a means of subtyping Feature: 'Dam'.</t>
  </si>
  <si>
    <t>DamTypeCode</t>
  </si>
  <si>
    <t>DMD</t>
  </si>
  <si>
    <t>dammed</t>
  </si>
  <si>
    <t>Dammed</t>
  </si>
  <si>
    <t>An indication that a body of water is impounded by a dam.</t>
  </si>
  <si>
    <t>DTN</t>
  </si>
  <si>
    <t>dangerousToNavigation</t>
  </si>
  <si>
    <t>Dangerous to Navigation</t>
  </si>
  <si>
    <t>An indication that a hazard in a waterbody is considered to be dangerous to surface navigation.</t>
  </si>
  <si>
    <t>For example, broken piles, a rock formation, or a reef in moderately deep waters. For large vessels a depth of less than 20 metres is generally considered to be dangerous.</t>
  </si>
  <si>
    <t>M34</t>
  </si>
  <si>
    <t>distributorContact</t>
  </si>
  <si>
    <t>Data Distributor Contact</t>
  </si>
  <si>
    <t>The party responsible for the distribution of the content of a resource.</t>
  </si>
  <si>
    <t>ResPartyStrucText</t>
  </si>
  <si>
    <t>M54</t>
  </si>
  <si>
    <t>amendmentNumber</t>
  </si>
  <si>
    <t>Data Format Amendment Number</t>
  </si>
  <si>
    <t>The amendment number of the data transfer format version in which the content of a resource is available.</t>
  </si>
  <si>
    <t>M35</t>
  </si>
  <si>
    <t>Data Format Name</t>
  </si>
  <si>
    <t>The name of the data transfer format in which the content of a resource is available.</t>
  </si>
  <si>
    <t>M55</t>
  </si>
  <si>
    <t>specification</t>
  </si>
  <si>
    <t>Data Format Specification</t>
  </si>
  <si>
    <t>The name of a subset, profile, or product specification of the data transfer format in which the content of a resource is available.</t>
  </si>
  <si>
    <t>M36</t>
  </si>
  <si>
    <t>version</t>
  </si>
  <si>
    <t>Data Format Version</t>
  </si>
  <si>
    <t>The version number of the data transfer format in which the content of a resource is available.</t>
  </si>
  <si>
    <t>DLH</t>
  </si>
  <si>
    <t>dataLinkChannel</t>
  </si>
  <si>
    <t>Data Link Channel</t>
  </si>
  <si>
    <t>The communication channel on which Controller-Pilot Data-Link Communication (CPDLC) is available.</t>
  </si>
  <si>
    <t>DLE</t>
  </si>
  <si>
    <t>dataLinkEnabled</t>
  </si>
  <si>
    <t>Data Link Enabled</t>
  </si>
  <si>
    <t>An indication that a Controller-Pilot Data-Link Communication (CPDLC) is available in support of the service.</t>
  </si>
  <si>
    <t>DLA</t>
  </si>
  <si>
    <t>dataLinkLogonAddress</t>
  </si>
  <si>
    <t>Data Link Logon Address</t>
  </si>
  <si>
    <t>A specified code used for data link logon to an Air Traffic Service (ATS) unit.</t>
  </si>
  <si>
    <t>M65</t>
  </si>
  <si>
    <t>density</t>
  </si>
  <si>
    <t>Data Medium Density</t>
  </si>
  <si>
    <t>The density at which the data is recorded on the data transfer medium.</t>
  </si>
  <si>
    <t>M66</t>
  </si>
  <si>
    <t>densityUnits</t>
  </si>
  <si>
    <t>Data Medium Density Units</t>
  </si>
  <si>
    <t>The units of measure for the density at which the data is recorded on the data transfer medium.</t>
  </si>
  <si>
    <t>M68</t>
  </si>
  <si>
    <t>mediumFormat</t>
  </si>
  <si>
    <t>Data Medium Format</t>
  </si>
  <si>
    <t>The method used to read information from, and write information to, the data transfer medium.</t>
  </si>
  <si>
    <t>MD_MediumFormatCode</t>
  </si>
  <si>
    <t>M64</t>
  </si>
  <si>
    <t>Data Medium Name</t>
  </si>
  <si>
    <t>The name of the data transfer medium on which the content of the resource can be received.</t>
  </si>
  <si>
    <t>MD_MediumNameCode</t>
  </si>
  <si>
    <t>M69</t>
  </si>
  <si>
    <t>mediumNote</t>
  </si>
  <si>
    <t>Data Medium Note</t>
  </si>
  <si>
    <t>A description of other limitations or requirements for using the data transfer medium.</t>
  </si>
  <si>
    <t>M67</t>
  </si>
  <si>
    <t>volumes</t>
  </si>
  <si>
    <t>Data Medium Volumes</t>
  </si>
  <si>
    <t>The number of items (volumes) of the data transfer medium.</t>
  </si>
  <si>
    <t>M53</t>
  </si>
  <si>
    <t>offLine</t>
  </si>
  <si>
    <t>Data Off-line Media</t>
  </si>
  <si>
    <t>Information about off-line media on which the content of a resource may be obtained.</t>
  </si>
  <si>
    <t>DataTransMediumStrucText</t>
  </si>
  <si>
    <t>M33</t>
  </si>
  <si>
    <t>onLine</t>
  </si>
  <si>
    <t>Data On-line Source</t>
  </si>
  <si>
    <t>The identification of an online source from which the content of a resource may be obtained.</t>
  </si>
  <si>
    <t>OnlineResStrucText</t>
  </si>
  <si>
    <t>D01</t>
  </si>
  <si>
    <t>Data Quality Scope</t>
  </si>
  <si>
    <t>The (potentially restricted) scope of the content of a resource to which information (for example: data quality) applies.</t>
  </si>
  <si>
    <t>DataQualScopeStrucText</t>
  </si>
  <si>
    <t>DQS</t>
  </si>
  <si>
    <t>dataQualityStatement</t>
  </si>
  <si>
    <t>Data Quality Statement</t>
  </si>
  <si>
    <t>A narrative or other textual description that records a general assessment of the quality of a resource (for example: a data instance, a data set or a data processing activity).</t>
  </si>
  <si>
    <t>The quality of a data resource is dependent on the data providers knowledge regarding the lineage of the data and the processes that have been used to transform that data. No restriction is placed on the length of the statement.</t>
  </si>
  <si>
    <t>DSC</t>
  </si>
  <si>
    <t>dataSetCitation</t>
  </si>
  <si>
    <t>Data Set Citation</t>
  </si>
  <si>
    <t>An identification of a data set and a means of communication with person(s) and/or organisation(s) associated with that data set.</t>
  </si>
  <si>
    <t>CI_Citation</t>
  </si>
  <si>
    <t>M32</t>
  </si>
  <si>
    <t>transferSize</t>
  </si>
  <si>
    <t>Data Transfer Size</t>
  </si>
  <si>
    <t>The estimated size of the transferred content of a resource, in megabytes.</t>
  </si>
  <si>
    <t>M52</t>
  </si>
  <si>
    <t>unitsOfDistribution</t>
  </si>
  <si>
    <t>Data Units of Distribution</t>
  </si>
  <si>
    <t>The distribution units (for example: tiles, layers, or geographic areas) in which the content of a resource is available.</t>
  </si>
  <si>
    <t>M46</t>
  </si>
  <si>
    <t>environmentDescription</t>
  </si>
  <si>
    <t>Dataset Environment Description</t>
  </si>
  <si>
    <t>A description of a dataset in the producer's processing environment, including items such as the software, the computer operating system, file name, and the dataset size.</t>
  </si>
  <si>
    <t>M72</t>
  </si>
  <si>
    <t>initiativeType</t>
  </si>
  <si>
    <t>Dataset Initiative Type</t>
  </si>
  <si>
    <t>The type of initiative under which an aggregate dataset was produced.</t>
  </si>
  <si>
    <t>MD_InitiativeTypeCode</t>
  </si>
  <si>
    <t>M47</t>
  </si>
  <si>
    <t>supplementalInformation</t>
  </si>
  <si>
    <t>Dataset Supplemental Information</t>
  </si>
  <si>
    <t>Supplemental descriptive information about a dataset.</t>
  </si>
  <si>
    <t>M42</t>
  </si>
  <si>
    <t>dataSetURI</t>
  </si>
  <si>
    <t>Dataset URI</t>
  </si>
  <si>
    <t>The Uniform Resource Identifier (URI) of the dataset to which the metadata applies.</t>
  </si>
  <si>
    <t>DSK</t>
  </si>
  <si>
    <t>dateTimeOfSinking</t>
  </si>
  <si>
    <t>Date and Time of Sinking</t>
  </si>
  <si>
    <t>The date and, optionally, time on which a vessel sank or an object was discarded into the sea.</t>
  </si>
  <si>
    <t>DateTimeOfSinkingStrucText</t>
  </si>
  <si>
    <t>DKS</t>
  </si>
  <si>
    <t>daymarkShape</t>
  </si>
  <si>
    <t>Daymark Shape</t>
  </si>
  <si>
    <t>The distinctive shape of a daymark.</t>
  </si>
  <si>
    <t>A daymark is a maritime beacon consisting of an unlighted panel of adequate viewing area to be seen at the required distance and having a distinctive shape, colour and/or number that serve to facilitate its recognition against a daylight viewing background.</t>
  </si>
  <si>
    <t>DaymarkShapeCode</t>
  </si>
  <si>
    <t>DA1</t>
  </si>
  <si>
    <t>decisionAltitude</t>
  </si>
  <si>
    <t>Decision Altitude (DA)</t>
  </si>
  <si>
    <t>A specified altitude in reference to Mean Sea Level (MSL) in an approach with vertical guidance at which a missed approach must be initiated if the required visual references to continue the approach have not been established.</t>
  </si>
  <si>
    <t>DA</t>
  </si>
  <si>
    <t>DH1</t>
  </si>
  <si>
    <t>decisionHeight</t>
  </si>
  <si>
    <t>Decision Height (DH)</t>
  </si>
  <si>
    <t>A specified height in reference to the threshold elevation in the precision approach or approach with vertical guidance at which a missed approach must be initiated if the required visual reference to continue the approach has not been established.</t>
  </si>
  <si>
    <t>DH</t>
  </si>
  <si>
    <t>DZC</t>
  </si>
  <si>
    <t>deckCount</t>
  </si>
  <si>
    <t>Deck Count</t>
  </si>
  <si>
    <t>The number of vertically stacked decks, one over another, in a transportation structure (for example: a bridge or a tunnel).</t>
  </si>
  <si>
    <t>DEV</t>
  </si>
  <si>
    <t>deckLevel</t>
  </si>
  <si>
    <t>Deck Level</t>
  </si>
  <si>
    <t>The relative level of a deck within a set of vertically stacked decks, one over another, in a transportation structure (for example: on a bridge or in a tunnel).</t>
  </si>
  <si>
    <t>The lowest deck is numbered '1' and the remaining decks are numbered in ascending order (bottom to top) with the uppermost deck being assigned the highest value. When no deck is present, the deck level is zero.</t>
  </si>
  <si>
    <t>DZP</t>
  </si>
  <si>
    <t>deepDepthBelowSurfLevel</t>
  </si>
  <si>
    <t>Deepest Depth Below Surface Level</t>
  </si>
  <si>
    <t>The distance measured from ground or water level (uphill/upstream side of the feature) to the deepest point of the feature.</t>
  </si>
  <si>
    <t>May be used to measure the depth of an inland waterbody (for example: a lake), the depth of a terrain surface depression or excavation (for example: a crevice or trench), the distance to the deepest point of a drilled feature (for example: a water well or borehole) or the distance to the deepest point of a feature located entirely underground (for example: a cave chamber). In the case of a feature located below a waterbody (for example: a non-water well) the reference surface is the waterbody bottom, rather than the waterbody surface.</t>
  </si>
  <si>
    <t>DAD</t>
  </si>
  <si>
    <t>deIcingAntiIcingAreaDesig</t>
  </si>
  <si>
    <t>De-icing Anti-icing Area Designator</t>
  </si>
  <si>
    <t>The identifier or name of a de-icing anti-icing area that is unique within the extent of an aerodrome.</t>
  </si>
  <si>
    <t>COD</t>
  </si>
  <si>
    <t>delineationKnown</t>
  </si>
  <si>
    <t>Delineation Known</t>
  </si>
  <si>
    <t>An indication that the delineation (for example: limits and information) of a feature is known.</t>
  </si>
  <si>
    <t>UGS</t>
  </si>
  <si>
    <t>dodUniqueGravityStationCode</t>
  </si>
  <si>
    <t>Department of Defense (DOD) Unique Gravity Station Code</t>
  </si>
  <si>
    <t>A unique identification number, assigned by the U.S. Department of Defense gravity services branch, that is used to identify the base station location used to determine the adjusted value of the gravity.</t>
  </si>
  <si>
    <t>The base reference site identifies the occupied point at the base station location.</t>
  </si>
  <si>
    <t>DodUniqueGravityStationCodeStrucText</t>
  </si>
  <si>
    <t>CRV</t>
  </si>
  <si>
    <t>depthCurveOrContourValue</t>
  </si>
  <si>
    <t>Depth Curve or Contour Value</t>
  </si>
  <si>
    <t>A specified value assigned to a particular depth curve or contour.</t>
  </si>
  <si>
    <t>EOD</t>
  </si>
  <si>
    <t>depthExposition</t>
  </si>
  <si>
    <t>Depth Exposition</t>
  </si>
  <si>
    <t>Indicates specific depths governed by IHO regulations used in indicating safe navigation, as categories.</t>
  </si>
  <si>
    <t>DepthExpositionCode</t>
  </si>
  <si>
    <t>DRA</t>
  </si>
  <si>
    <t>depthRange</t>
  </si>
  <si>
    <t>Depth Range</t>
  </si>
  <si>
    <t>The depth from a specified sounding datum as a depth interval bounded by the minimum (shoalest) and maximum (deepest) depth values.</t>
  </si>
  <si>
    <t>Both interval bounds are typically specified, although in certain cases (for example: depth known by wire drag) the interval may be open-ended with only a shoalest depth specified.</t>
  </si>
  <si>
    <t>DRN</t>
  </si>
  <si>
    <t>depthRecorderName</t>
  </si>
  <si>
    <t>Depth Recorder Name</t>
  </si>
  <si>
    <t>Name/Type of device used to record depths.</t>
  </si>
  <si>
    <t>TextLex80</t>
  </si>
  <si>
    <t>AIX</t>
  </si>
  <si>
    <t>derivedAerodromeLocIdent</t>
  </si>
  <si>
    <t>Derived Aerodrome Location Identifier</t>
  </si>
  <si>
    <t>A designated sequence of characters formulated by the appropriate authority or provider, allowing the identification of an aerodrome which may not have an assigned ICAO or IATA code.</t>
  </si>
  <si>
    <t>DerivedAerodromeLocIdentStrucText</t>
  </si>
  <si>
    <t>DAN</t>
  </si>
  <si>
    <t>descOfAidsToNavigation</t>
  </si>
  <si>
    <t>Description of Aids to Navigation</t>
  </si>
  <si>
    <t>Textual description of aids to navigation marking a feature.</t>
  </si>
  <si>
    <t>For example, 'marked by buoys'.</t>
  </si>
  <si>
    <t>DRP</t>
  </si>
  <si>
    <t>descOfReferencePoint</t>
  </si>
  <si>
    <t>Description of Reference Point</t>
  </si>
  <si>
    <t>Description of the feature(s) which form a Leading Line or Clearing Line.</t>
  </si>
  <si>
    <t>DPI</t>
  </si>
  <si>
    <t>designatedPointIdent</t>
  </si>
  <si>
    <t>Designated Point Identifier</t>
  </si>
  <si>
    <t>A set of five alpha-numeric characters used to identify a designated point.</t>
  </si>
  <si>
    <t>DesignatedPointIdentStrucText</t>
  </si>
  <si>
    <t>DPT</t>
  </si>
  <si>
    <t>designatedPointType</t>
  </si>
  <si>
    <t>Designated Point Type</t>
  </si>
  <si>
    <t>The specific type of designated point whether published by the State, published by the ICAO, or created by another agency for convenience of identification.</t>
  </si>
  <si>
    <t>DesignatedPointTypeCode</t>
  </si>
  <si>
    <t>DSG</t>
  </si>
  <si>
    <t>designator</t>
  </si>
  <si>
    <t>Designator</t>
  </si>
  <si>
    <t>An official designation assigned to a feature.</t>
  </si>
  <si>
    <t>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</si>
  <si>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Text</t>
  </si>
  <si>
    <t>DIA</t>
  </si>
  <si>
    <t>diamFunctionClass</t>
  </si>
  <si>
    <t>DIAM Functional Classification</t>
  </si>
  <si>
    <t>The functional classification code for facilities as specified by DIA Manual (DIAM) 65-3-1 and encoded by the data element CATEGORY as required by DoD Directive 5105.21.</t>
  </si>
  <si>
    <t>Function classification codes provide a hierarchical structure for defining the detailed purpose of a facility. The Joint Chiefs of Staff (JCS) defines a facility as 'a real property performing a unique function and consisting of one or more of the following components: buildings, structures or equipment', for example: storage tanks or a pumping house. The JCS defines an installation as 'a group of facilities, or facility, in a specific geographic area which support a general functional purpose', for example: a petroleum production plant composed of all of its associated refining operations, blending operations, pumping houses and storage tanks all located within the fence line of the petroleum plant.</t>
  </si>
  <si>
    <t>DiamFunctionClassStrucText</t>
  </si>
  <si>
    <t>DIM</t>
  </si>
  <si>
    <t>diameter</t>
  </si>
  <si>
    <t>Diameter</t>
  </si>
  <si>
    <t>The dimension of a circular, cylindrical, or spherical feature taken from boundary to boundary along a straight line passing through its centre.</t>
  </si>
  <si>
    <t>DRB</t>
  </si>
  <si>
    <t>directionBasis</t>
  </si>
  <si>
    <t>Direction Basis</t>
  </si>
  <si>
    <t>The basis by which the Earth-relative horizontal angular direction of a bearing or path is specified.</t>
  </si>
  <si>
    <t>The direction basis may be used with a pair of angular limits to define the limits of an arc or sector around a centre point.</t>
  </si>
  <si>
    <t>DirectionBasisCode</t>
  </si>
  <si>
    <t>DOF</t>
  </si>
  <si>
    <t>directionOfFlow</t>
  </si>
  <si>
    <t>Direction of Flow</t>
  </si>
  <si>
    <t>The bearing of movement or direction of the flow.</t>
  </si>
  <si>
    <t>RealNonNegInterval360</t>
  </si>
  <si>
    <t>DF1</t>
  </si>
  <si>
    <t>directionOfTraffic1</t>
  </si>
  <si>
    <t>Direction of Traffic - 1</t>
  </si>
  <si>
    <t>Direction of traffic, first occurrence.</t>
  </si>
  <si>
    <t>Integer0to359</t>
  </si>
  <si>
    <t>DF2</t>
  </si>
  <si>
    <t>directionOfTraffic2</t>
  </si>
  <si>
    <t>Direction of Traffic - 2</t>
  </si>
  <si>
    <t>Direction of traffic, second occurrence.</t>
  </si>
  <si>
    <t>DF3</t>
  </si>
  <si>
    <t>directionOfTraffic3</t>
  </si>
  <si>
    <t>Direction of Traffic - 3</t>
  </si>
  <si>
    <t>Direction of traffic, third occurrence.</t>
  </si>
  <si>
    <t>DF4</t>
  </si>
  <si>
    <t>directionOfTraffic4</t>
  </si>
  <si>
    <t>Direction of Traffic - 4</t>
  </si>
  <si>
    <t>Direction of traffic, fourth occurrence.</t>
  </si>
  <si>
    <t>DIR</t>
  </si>
  <si>
    <t>directivity</t>
  </si>
  <si>
    <t>Directivity</t>
  </si>
  <si>
    <t>The side(s) of a feature that produce the greatest visual significance and/or reflectivity potential.</t>
  </si>
  <si>
    <t>DirectivityCode</t>
  </si>
  <si>
    <t>DTM</t>
  </si>
  <si>
    <t>displacedThresholdLength</t>
  </si>
  <si>
    <t>Displaced Threshold Length</t>
  </si>
  <si>
    <t>The distance from the runway end to that point of the runway that is usable for landing.</t>
  </si>
  <si>
    <t>DSY</t>
  </si>
  <si>
    <t>displaySignType</t>
  </si>
  <si>
    <t>Display Sign Type</t>
  </si>
  <si>
    <t>The type of an upright panel or similar structure used to convey visual information.</t>
  </si>
  <si>
    <t>DisplaySignTypeCode</t>
  </si>
  <si>
    <t>DIS</t>
  </si>
  <si>
    <t>dissectedTerrain</t>
  </si>
  <si>
    <t>Dissected Terrain</t>
  </si>
  <si>
    <t>An indication that the terrain surface is divided into relatively small areas of varying elevation resulting in high local relief.</t>
  </si>
  <si>
    <t>Typically formed by the dissection of a once flat plateau or plain by erosion but may also be caused by artificial means (for example: construction).</t>
  </si>
  <si>
    <t>DAE</t>
  </si>
  <si>
    <t>dmeAntennaElevation</t>
  </si>
  <si>
    <t>Distance Measuring Equipment (DME) Antenna Elevation</t>
  </si>
  <si>
    <t>The vertical distance from Mean Sea Level (MSL) to the base of the Distance Measuring Equipment (DME) antenna.</t>
  </si>
  <si>
    <t>DTC</t>
  </si>
  <si>
    <t>dmeChannel</t>
  </si>
  <si>
    <t>Distance Measuring Equipment (DME) Channel</t>
  </si>
  <si>
    <t>A number followed by a letter corresponding to the DME frequency, as per ICAO Annex 10, Chapter 3, Table A.</t>
  </si>
  <si>
    <t>DME operating channels shall be chosen from ICAO Annex 10 Chapter 3 Table A, which specifies 352 channels for each of which there is an assigned channel number, frequency, and pulse code.</t>
  </si>
  <si>
    <t>DmeChannelCode</t>
  </si>
  <si>
    <t>DDI</t>
  </si>
  <si>
    <t>dmeDisplacement</t>
  </si>
  <si>
    <t>Distance Measuring Equipment (DME) Displacement</t>
  </si>
  <si>
    <t>The distance from the DME antenna to the position where the zero range indication occurs in the DME receiver.</t>
  </si>
  <si>
    <t>DMX</t>
  </si>
  <si>
    <t>dmeType</t>
  </si>
  <si>
    <t>Distance Measuring Equipment (DME) Type</t>
  </si>
  <si>
    <t>The particular spectrum characteristics or accuracy of Ultra High Frequency (UHF) Distance Measuring Equipment (DME), as a category.</t>
  </si>
  <si>
    <t>For example: DME/N, DME/W, or DME/P.</t>
  </si>
  <si>
    <t>DmeTypeCode</t>
  </si>
  <si>
    <t>DIT</t>
  </si>
  <si>
    <t>ditchFunction</t>
  </si>
  <si>
    <t>Ditch Function</t>
  </si>
  <si>
    <t>The function of a ditch.</t>
  </si>
  <si>
    <t>DitchFunctionCode</t>
  </si>
  <si>
    <t>SEP</t>
  </si>
  <si>
    <t>divided</t>
  </si>
  <si>
    <t>Divided</t>
  </si>
  <si>
    <t>An indication that the lanes or tracks in a land transportation route (for example: a road or a railway), are horizontally separated (for example: by a median strip) and not adjoining.</t>
  </si>
  <si>
    <t>May be used to indicate the separation of opposing flows of traffic in order to improve safety or to meet route engineering restrictions by some means. For example, the two travelled ways of a divided highway may pass at different elevations along the side of a mountain or may diverge when passing around significant engineering obstacles (for example: rocky outcrops).</t>
  </si>
  <si>
    <t>DTY</t>
  </si>
  <si>
    <t>dockType</t>
  </si>
  <si>
    <t>Dock Type</t>
  </si>
  <si>
    <t>The type of a dock based on the degree to which (and method by which) its interior water level may be controlled.</t>
  </si>
  <si>
    <t>DockTypeCode</t>
  </si>
  <si>
    <t>DST</t>
  </si>
  <si>
    <t>doorStructure</t>
  </si>
  <si>
    <t>Door Structure</t>
  </si>
  <si>
    <t>The structure of a door, including the material(s) utilized.</t>
  </si>
  <si>
    <t>DoorStructureCode</t>
  </si>
  <si>
    <t>DTK</t>
  </si>
  <si>
    <t>doorThickness</t>
  </si>
  <si>
    <t>Door Thickness</t>
  </si>
  <si>
    <t>The distance between the two opposite faces of a movable structure used to regulate access through an entrance and/or exit.</t>
  </si>
  <si>
    <t>The third dimension of a door, distinct from length and width. A door typically consists of a panel that either swings on hinges, slides, or rotates into a position. The thickness of a revolving door is for one panel or wing.</t>
  </si>
  <si>
    <t>DDM</t>
  </si>
  <si>
    <t>draftDimension</t>
  </si>
  <si>
    <t>Draft Dimension</t>
  </si>
  <si>
    <t>The correction to the depth measurement measured from the hull-mounted transducer to the water surface.</t>
  </si>
  <si>
    <t>The depth measurement is normally taken from the transducer to the ocean floor. The draft correction brings that measurement to the water surface.</t>
  </si>
  <si>
    <t>DRG</t>
  </si>
  <si>
    <t>dredged</t>
  </si>
  <si>
    <t>Dredged</t>
  </si>
  <si>
    <t>An indication that the depth of a channel or body of water is being maintained by dredging.</t>
  </si>
  <si>
    <t>DPG</t>
  </si>
  <si>
    <t>dumpingGroundType</t>
  </si>
  <si>
    <t>Dumping Ground Type</t>
  </si>
  <si>
    <t>The type(s) of material deliberately deposited in an area at sea.</t>
  </si>
  <si>
    <t>DumpingGroundTypeCode</t>
  </si>
  <si>
    <t>DUP</t>
  </si>
  <si>
    <t>duplicateProcedureIdent</t>
  </si>
  <si>
    <t>Duplicate Procedure Identification</t>
  </si>
  <si>
    <t>A suffix letter for denoting multiple approaches of the same approach type to the same runway.</t>
  </si>
  <si>
    <t>A single letter suffix, starting with the letter Z, following the radio navigation aid type shall be used if two or more procedures to the same runway cannot be distinguished by the radio navigation aid type only.</t>
  </si>
  <si>
    <t>Multiple Identification</t>
  </si>
  <si>
    <t>DuplicateProcedureIdentStrucText</t>
  </si>
  <si>
    <t>YMV</t>
  </si>
  <si>
    <t>dynamicMagVariation</t>
  </si>
  <si>
    <t>Dynamic Magnetic Variation</t>
  </si>
  <si>
    <t>The angular difference between true north and magnetic north measured at a given position and date, as calculated based on a given world magnetic model.</t>
  </si>
  <si>
    <t>The value given indicates whether the angular difference is East (positive) or West (negative) of True North. True North is the direction of the northern point at which the geographic meridian lines meet.</t>
  </si>
  <si>
    <t>Realm180to180</t>
  </si>
  <si>
    <t>YMD</t>
  </si>
  <si>
    <t>dynamicMagVariationDateTime</t>
  </si>
  <si>
    <t>Dynamic Magnetic Variation Date and Time</t>
  </si>
  <si>
    <t>The date and, optionally, time on which the dynamic magnetic variation was calculated.</t>
  </si>
  <si>
    <t>DynamicMagVariationDateTimeStrucText</t>
  </si>
  <si>
    <t>EFA</t>
  </si>
  <si>
    <t>earthquakeFeltArea</t>
  </si>
  <si>
    <t>Earthquake Felt Area</t>
  </si>
  <si>
    <t>The area of the region in which the earthquake was felt.</t>
  </si>
  <si>
    <t>EMA</t>
  </si>
  <si>
    <t>earthquakeMagnitude</t>
  </si>
  <si>
    <t>Earthquake Magnitude</t>
  </si>
  <si>
    <t>The magnitude of the earthquake.</t>
  </si>
  <si>
    <t>Magnitude, a logarithmic measure of the 'size' of an earthquake, is related to the energy released as seismic waves at the focus of an earthquake. Although the magnitude scale has neither maximum nor minimum values, the highest magnitude known is about 9.5 and the lowest about -3.0. On this logarithmic scale, a magnitude 6.0 shallow-focus earthquake represents elastic-wave energy about 30 times larger than that generated by a magnitude 5.0 earthquake, and 900 times (30x30) larger than that of a magnitude 4.0 shock.</t>
  </si>
  <si>
    <t>EMS</t>
  </si>
  <si>
    <t>earthquakeMagSource</t>
  </si>
  <si>
    <t>Earthquake Magnitude Source</t>
  </si>
  <si>
    <t>The reference source in which the magnitude of the earthquake is reported.</t>
  </si>
  <si>
    <t>EarthquakeMagSourceCode</t>
  </si>
  <si>
    <t>EMT</t>
  </si>
  <si>
    <t>earthquakeMagType</t>
  </si>
  <si>
    <t>Earthquake Magnitude Type</t>
  </si>
  <si>
    <t>The type of the magnitude of the earthquake, based on the method used in its determination.</t>
  </si>
  <si>
    <t>EarthquakeMagTypeCode</t>
  </si>
  <si>
    <t>E02</t>
  </si>
  <si>
    <t>eastBoundLongitude</t>
  </si>
  <si>
    <t>Eastern Bounding Longitude</t>
  </si>
  <si>
    <t>The eastern-most coordinate of the limit of a geospatial extent.</t>
  </si>
  <si>
    <t>ERB</t>
  </si>
  <si>
    <t>economicReserveBasis</t>
  </si>
  <si>
    <t>Economic Reserve Basis</t>
  </si>
  <si>
    <t>The basis by which an economic reserve has been established.</t>
  </si>
  <si>
    <t>An economic reserve is a tract of public land reserved for future use and/or restricted as to present use.</t>
  </si>
  <si>
    <t>EconomicReserveBasisCode</t>
  </si>
  <si>
    <t>EPM</t>
  </si>
  <si>
    <t>elecPowerManageRegionType</t>
  </si>
  <si>
    <t>Electric Power Management Region Type</t>
  </si>
  <si>
    <t>The type of an electric power management region based on the nature of the management asserted (for example: generation, delivery, or distribution control).</t>
  </si>
  <si>
    <t>ElecPowerManageRegionTypeCode</t>
  </si>
  <si>
    <t>EPW</t>
  </si>
  <si>
    <t>electricPowerGenerateCap</t>
  </si>
  <si>
    <t>Electrical Power Generation Capacity</t>
  </si>
  <si>
    <t>The maximum electrical power generating capacity of a facility.</t>
  </si>
  <si>
    <t>MSL</t>
  </si>
  <si>
    <t>elevationMsl</t>
  </si>
  <si>
    <t>Elevation</t>
  </si>
  <si>
    <t>The vertical distance of a point or a level, on or affixed to the surface of the Earth, measured from Mean Sea Level (MSL).</t>
  </si>
  <si>
    <t>HSB</t>
  </si>
  <si>
    <t>elevationAboveWaterFloor</t>
  </si>
  <si>
    <t>Elevation Above Waterbody Floor</t>
  </si>
  <si>
    <t>The elevation of an object measured vertically from the waterbody floor to the base (lowest point) of the object.</t>
  </si>
  <si>
    <t>ELA</t>
  </si>
  <si>
    <t>elevationAccuracyCategory</t>
  </si>
  <si>
    <t>Elevation Accuracy Category</t>
  </si>
  <si>
    <t>A general evaluation of the accuracy of the vertical position of a feature, as a category.</t>
  </si>
  <si>
    <t>ElevationAccuracyCategoryCode</t>
  </si>
  <si>
    <t>ESC</t>
  </si>
  <si>
    <t>elevationSurfaceCategory</t>
  </si>
  <si>
    <t>Elevation Surface Category</t>
  </si>
  <si>
    <t>The category of surface for which an elevation is determined.</t>
  </si>
  <si>
    <t>ElevationSurfaceCategoryCode</t>
  </si>
  <si>
    <t>EVA</t>
  </si>
  <si>
    <t>elevationVertAccuracy90</t>
  </si>
  <si>
    <t>Elevation Vertical Accuracy (90%)</t>
  </si>
  <si>
    <t>The difference between a recorded elevation value and the true elevation referenced to the same vertical datum, expressed as a linear error at 90 percent probability.</t>
  </si>
  <si>
    <t>The elevation value may, for example, represent the highest point on a feature or the base of the feature at ground level. The accuracy may also be representative of a set of elevation values. If the data contains multiple accuracies, usually the worst accuracy which applies to 10% or more of the data is recorded.</t>
  </si>
  <si>
    <t>Z5M</t>
  </si>
  <si>
    <t>ellipsoidHeight</t>
  </si>
  <si>
    <t>Ellipsoid Height</t>
  </si>
  <si>
    <t>The height related to a reference ellipsoid, measured along the ellipsoidal outer normal through the point in question.</t>
  </si>
  <si>
    <t>HAE</t>
  </si>
  <si>
    <t>FIC</t>
  </si>
  <si>
    <t>embankmentType</t>
  </si>
  <si>
    <t>Embankment Type</t>
  </si>
  <si>
    <t>The type of an embankment based on its use and/or relationship to the surrounding terrain.</t>
  </si>
  <si>
    <t>EmbankmentTypeCode</t>
  </si>
  <si>
    <t>EPZ</t>
  </si>
  <si>
    <t>emergencyPlanningZoneType</t>
  </si>
  <si>
    <t>Emergency Planning Zone Type</t>
  </si>
  <si>
    <t>The type of an emergency planning zone based on the nature of the emergency for which the planning zone is established.</t>
  </si>
  <si>
    <t>EmergencyPlanningZoneTypeCode</t>
  </si>
  <si>
    <t>EST</t>
  </si>
  <si>
    <t>emergRespServResponseTime</t>
  </si>
  <si>
    <t>Emergency Response Service Response Time</t>
  </si>
  <si>
    <t>The average length of time between when an emergency response service is first notified of an emergency and when the service first arrives at the emergency location.</t>
  </si>
  <si>
    <t>ERV</t>
  </si>
  <si>
    <t>emergResponseVehicleType</t>
  </si>
  <si>
    <t>Emergency Response Vehicle Type</t>
  </si>
  <si>
    <t>The type of vehicle that is used in an emergency response.</t>
  </si>
  <si>
    <t>The vehicles may be designated for fire fighting, wreck removal, medical services, collision and/or other emergency responses.</t>
  </si>
  <si>
    <t>EmergResponseVehicleTypeCode</t>
  </si>
  <si>
    <t>ESA</t>
  </si>
  <si>
    <t>emergencySafeAltitude</t>
  </si>
  <si>
    <t>Emergency Safe Altitude (ESA)</t>
  </si>
  <si>
    <t>An altitude which provides at least 1000 feet of obstacle clearance in nonmountainous areas or 2000 feet of obstacle clearance in designated mountainous areas within a 100 nautical mile radius of the navigation facility upon which the procedure is predicated.</t>
  </si>
  <si>
    <t>ETY</t>
  </si>
  <si>
    <t>engineTestCellType</t>
  </si>
  <si>
    <t>Engine Test Cell Type</t>
  </si>
  <si>
    <t>The type of an engine test cell based on the purpose for which it was designed.</t>
  </si>
  <si>
    <t>EngineTestCellTypeCode</t>
  </si>
  <si>
    <t>EET</t>
  </si>
  <si>
    <t>engineeredEarthworkType</t>
  </si>
  <si>
    <t>Engineered Earthwork Type</t>
  </si>
  <si>
    <t>The type of an excavation and/or embankment created for the purpose of enhancing the defense of a site from armed attack.</t>
  </si>
  <si>
    <t>EngineeredEarthworkTypeCode</t>
  </si>
  <si>
    <t>FTE</t>
  </si>
  <si>
    <t>enhFujitaTornadoScale</t>
  </si>
  <si>
    <t>Enhanced Fujita Tornado Scale</t>
  </si>
  <si>
    <t>The degree of surface-level wind damage due to tornadic winds as specified by the damage-based Enhanced Fujita (EF) Tornado Scale.</t>
  </si>
  <si>
    <t>The categories are based upon 28 damage indicators consisting of types of buildings, structures, and trees common to tornado-prone regions. For each damage indicator, several degrees of damage are identified. Integration of degrees of damage across observed damage indicators results in an overall estimate of the highest wind speed that occurred during the life cycle of the tornado.</t>
  </si>
  <si>
    <t>EnhFujitaTornadoScaleCode</t>
  </si>
  <si>
    <t>EIT</t>
  </si>
  <si>
    <t>entityIdentifierType</t>
  </si>
  <si>
    <t>Entity Identifier Type</t>
  </si>
  <si>
    <t>The type of an identifier of an entity (for example: feature or event) instance based on its intended use and/or the data production system that assigns the value.</t>
  </si>
  <si>
    <t>The scope of uniqueness of the identifier may be limited to a dataset (for example: a map or chart sheet).</t>
  </si>
  <si>
    <t>EntityIdentifierTypeCode</t>
  </si>
  <si>
    <t>ECM</t>
  </si>
  <si>
    <t>entranceExitClosureMethod</t>
  </si>
  <si>
    <t>Entrance and/or Exit Closure Method</t>
  </si>
  <si>
    <t>The means by which an entrance and/or exit is closed (for example: by a door, hatch, or cover).</t>
  </si>
  <si>
    <t>EntranceExitClosureMethodCode</t>
  </si>
  <si>
    <t>EEP</t>
  </si>
  <si>
    <t>entranceExitShielded</t>
  </si>
  <si>
    <t>Entrance and/or Exit Shielded</t>
  </si>
  <si>
    <t>An indication that an entrance and/or exit is shielded from direct observation and/or attack.</t>
  </si>
  <si>
    <t>The shielding may be provided by a suitably placed berm, revetment, or wall.</t>
  </si>
  <si>
    <t>ECC</t>
  </si>
  <si>
    <t>entranceExitType</t>
  </si>
  <si>
    <t>Entrance and/or Exit Type</t>
  </si>
  <si>
    <t>The type of an entrance and/or exit based on the type of feature to which access is accomplished and/or its structure.</t>
  </si>
  <si>
    <t>EntranceExitTypeCode</t>
  </si>
  <si>
    <t>EQS</t>
  </si>
  <si>
    <t>equivalentScale</t>
  </si>
  <si>
    <t>Equivalent Scale</t>
  </si>
  <si>
    <t>The denominator (for example: 50,000) of the map scale that best represents the density of feature collection within the geospatial extent of a specified region.</t>
  </si>
  <si>
    <t>EQC</t>
  </si>
  <si>
    <t>equivalentScaleCategory</t>
  </si>
  <si>
    <t>Equivalent Scale Category</t>
  </si>
  <si>
    <t>The map scale that best represents the density of feature collection within the geospatial extent of a specified region, as a category.</t>
  </si>
  <si>
    <t>EquivalentScaleCatCodeList</t>
  </si>
  <si>
    <t>ESL</t>
  </si>
  <si>
    <t>equivalentSingleWheelLoad</t>
  </si>
  <si>
    <t>Equivalent Single Wheel Load (ESWL)</t>
  </si>
  <si>
    <t>The theoretical load which, if acting on a single tire, with a contact area equal to that of one tire of the assembly, will produce the same effect on the movement area as the multiple wheel assembly.</t>
  </si>
  <si>
    <t>ESWL</t>
  </si>
  <si>
    <t>ERU</t>
  </si>
  <si>
    <t>evacuationRouteUse</t>
  </si>
  <si>
    <t>Evacuation Route Use</t>
  </si>
  <si>
    <t>The type(s) of designated emergency evacuation routes which include the feature.</t>
  </si>
  <si>
    <t>Evacuation routes may include passages (for example: hallways, stairs and walkways) supporting egress from a structure and transportation routes (for example: roads) leading away from the site of the emergency.</t>
  </si>
  <si>
    <t>EvacuationRouteUseCode</t>
  </si>
  <si>
    <t>CDV</t>
  </si>
  <si>
    <t>eventDateTime</t>
  </si>
  <si>
    <t>Event Date and Time</t>
  </si>
  <si>
    <t>The date and, optionally, time of an event.</t>
  </si>
  <si>
    <t>The event to which the date applies must be determined in the context of the data content specification. Typically the Attribute: 'Event Type' is used to specify the nature of the event.</t>
  </si>
  <si>
    <t>EventDateTimeStrucText</t>
  </si>
  <si>
    <t>CTI</t>
  </si>
  <si>
    <t>eventLocalTime</t>
  </si>
  <si>
    <t>Event Local Time</t>
  </si>
  <si>
    <t>The local time of an event.</t>
  </si>
  <si>
    <t>EventLocalTimeStrucText</t>
  </si>
  <si>
    <t>EPC</t>
  </si>
  <si>
    <t>exactPosition</t>
  </si>
  <si>
    <t>Exact Position</t>
  </si>
  <si>
    <t>An indication that a feature position is 'exact' for the purposes of marine navigation.</t>
  </si>
  <si>
    <t>COE</t>
  </si>
  <si>
    <t>existenceCertaintyCat</t>
  </si>
  <si>
    <t>Existence Certainty Category</t>
  </si>
  <si>
    <t>A general evaluation of the quality of a feature assessment, as a category.</t>
  </si>
  <si>
    <t>ExistenceCertaintyCatCode</t>
  </si>
  <si>
    <t>E11</t>
  </si>
  <si>
    <t>description</t>
  </si>
  <si>
    <t>Extent Description</t>
  </si>
  <si>
    <t>The spatial and temporal extent for the referring object.</t>
  </si>
  <si>
    <t>E10</t>
  </si>
  <si>
    <t>extentTypeCode</t>
  </si>
  <si>
    <t>Extent Type</t>
  </si>
  <si>
    <t>An indication of whether the specified geographic extent (for example: a bounding polygon) encompasses an area covered by the data ('true') or an area where data is not present ('false').</t>
  </si>
  <si>
    <t>MZN</t>
  </si>
  <si>
    <t>extractionMineType</t>
  </si>
  <si>
    <t>Extraction Mine Type</t>
  </si>
  <si>
    <t>The type of an extraction mine.</t>
  </si>
  <si>
    <t>ExtractionMineTypeCode</t>
  </si>
  <si>
    <t>ETS</t>
  </si>
  <si>
    <t>extractionSpec</t>
  </si>
  <si>
    <t>Extraction Specification</t>
  </si>
  <si>
    <t>The specification that was used as the basis for defining the digital representation of the feature or data set.</t>
  </si>
  <si>
    <t>ExtractionSpecCodeList</t>
  </si>
  <si>
    <t>ETZ</t>
  </si>
  <si>
    <t>extractionSpecVersion</t>
  </si>
  <si>
    <t>Extraction Specification Version</t>
  </si>
  <si>
    <t>The version of the specification that was used as the basis for defining the digital representation of the feature or data set.</t>
  </si>
  <si>
    <t>TextLex24</t>
  </si>
  <si>
    <t>FAA</t>
  </si>
  <si>
    <t>faaIdentifier</t>
  </si>
  <si>
    <t>FAA Identifier</t>
  </si>
  <si>
    <t>Identifier assigned by the U.S. Federal Aviation Administration to an air facility.</t>
  </si>
  <si>
    <t>TextNonLex4</t>
  </si>
  <si>
    <t>FTP</t>
  </si>
  <si>
    <t>fabricationFacilityType</t>
  </si>
  <si>
    <t>Fabrication Facility Type</t>
  </si>
  <si>
    <t>The type of a fabrication facility based on its structure and/or equipment.</t>
  </si>
  <si>
    <t>FabricationFacilityTypeCode</t>
  </si>
  <si>
    <t>COS</t>
  </si>
  <si>
    <t>facilityOperationalStatus</t>
  </si>
  <si>
    <t>Facility Operational Status</t>
  </si>
  <si>
    <t>The status of operation of a man-made structure, as a whole.</t>
  </si>
  <si>
    <t>Includes actual operations, operational capability, and planned or proposed man-made structures.</t>
  </si>
  <si>
    <t>FacilityOperationalStatusCode</t>
  </si>
  <si>
    <t>FCY</t>
  </si>
  <si>
    <t>facilityType</t>
  </si>
  <si>
    <t>Facility Type</t>
  </si>
  <si>
    <t>The type of an area that has been developed to perform a specific principal function, consisting of one or more vertical constructions (for example: structures or buildings), horizontal constructions (for example: pavements, roads, rail tracks, or bridges), and/or supporting utilities (for example: power lines, water supply, or sewerage), plus the underlying land.</t>
  </si>
  <si>
    <t>FacilityTypeCode</t>
  </si>
  <si>
    <t>FMM</t>
  </si>
  <si>
    <t>farmingMethod</t>
  </si>
  <si>
    <t>Farming Method</t>
  </si>
  <si>
    <t>The agricultural practice(s) in use within an agro-ecosystem.</t>
  </si>
  <si>
    <t>FarmingMethodCode</t>
  </si>
  <si>
    <t>FFP</t>
  </si>
  <si>
    <t>farmingPattern</t>
  </si>
  <si>
    <t>Farming Pattern</t>
  </si>
  <si>
    <t>The general arrangement(s) and/or pattern(s) of farming fields.</t>
  </si>
  <si>
    <t>FarmingPatternCode</t>
  </si>
  <si>
    <t>FDC</t>
  </si>
  <si>
    <t>fdicInsured</t>
  </si>
  <si>
    <t>FDIC Insured</t>
  </si>
  <si>
    <t>An indication that certain types of assets of a financial institution (for example: a savings bank, thrift or credit union) are protected against loss by the U.S. Federal Deposit Insurance Corporation (FDIC).</t>
  </si>
  <si>
    <t>The level of protection from losses caused by the institution's inability to pay its debts when due may be limited. The FDIC is an independent agency created by the U.S. Congress to maintain stability and public confidence in the nation's financial system by: insuring deposits; examining and supervising financial institutions for safety and soundness and consumer protection; and managing receiverships.</t>
  </si>
  <si>
    <t>FCO</t>
  </si>
  <si>
    <t>featureConfiguration</t>
  </si>
  <si>
    <t>Feature Configuration</t>
  </si>
  <si>
    <t>The type of multiplicity and/or configuration of a feature.</t>
  </si>
  <si>
    <t>FeatureConfigurationCode</t>
  </si>
  <si>
    <t>DMF</t>
  </si>
  <si>
    <t>featureCount</t>
  </si>
  <si>
    <t>Feature Count</t>
  </si>
  <si>
    <t>The number of features of the same type within a defined region.</t>
  </si>
  <si>
    <t>May be used to indicate the number of features actually present in near proximity to each other although only one representative feature is collected. For example, the number of adjacent pipelines.</t>
  </si>
  <si>
    <t>FEO</t>
  </si>
  <si>
    <t>featureElementOrientation</t>
  </si>
  <si>
    <t>Feature Element Orientation</t>
  </si>
  <si>
    <t>The angular distance measured from true north (0 degrees) clockwise to the predominant linear pattern of the elements within a feature.</t>
  </si>
  <si>
    <t>FEI</t>
  </si>
  <si>
    <t>featureExtractImageIdent</t>
  </si>
  <si>
    <t>Feature Extraction Image Identifier</t>
  </si>
  <si>
    <t>The identifier of an image that is used to derive features from image source.</t>
  </si>
  <si>
    <t>TextNonLex50</t>
  </si>
  <si>
    <t>FEP</t>
  </si>
  <si>
    <t>featureExtractProcessType</t>
  </si>
  <si>
    <t>Feature Extraction Process</t>
  </si>
  <si>
    <t>The software process used to derive features from image source.</t>
  </si>
  <si>
    <t>Electronic Light Table (ELT) software may implement different algorithms and sensor models which may introduce varying types and degrees of feature positioning errors.</t>
  </si>
  <si>
    <t>FeatureExtractProcessTypeCode</t>
  </si>
  <si>
    <t>FFN</t>
  </si>
  <si>
    <t>featureFunction</t>
  </si>
  <si>
    <t>Feature Function</t>
  </si>
  <si>
    <t>The purpose(s) of, or intended role(s) served by, the feature.</t>
  </si>
  <si>
    <t>FeatureFunctionCode</t>
  </si>
  <si>
    <t>FTL</t>
  </si>
  <si>
    <t>featureLength</t>
  </si>
  <si>
    <t>Feature Length</t>
  </si>
  <si>
    <t>The total length of a feature from end to end, as measured along its centerline and thus regardless of the path that the feature follows.</t>
  </si>
  <si>
    <t>The path may include vertical or high-slope sections that increase the distance travelled beyond that evident from an overhead perspective (for example: as seen in remote sensing imagery). The path may also alter dynamically (for exampl: due to changing loading conditions on a cable).</t>
  </si>
  <si>
    <t>FEF</t>
  </si>
  <si>
    <t>fenceFunction</t>
  </si>
  <si>
    <t>Fence Function</t>
  </si>
  <si>
    <t>The purpose(s) of, or intended role(s) served by, the fence.</t>
  </si>
  <si>
    <t>FenceFunctionCode</t>
  </si>
  <si>
    <t>FTI</t>
  </si>
  <si>
    <t>fenceType</t>
  </si>
  <si>
    <t>Fence Type</t>
  </si>
  <si>
    <t>The type of a fence based on the type of materials used in its construction.</t>
  </si>
  <si>
    <t>FenceTypeCode</t>
  </si>
  <si>
    <t>FEN</t>
  </si>
  <si>
    <t>fenced</t>
  </si>
  <si>
    <t>Fenced</t>
  </si>
  <si>
    <t>An indication that a feature is completely surrounded by a fence.</t>
  </si>
  <si>
    <t>A fence is a man-made barrier of relatively light structure used as an enclosure or boundary.</t>
  </si>
  <si>
    <t>FPR</t>
  </si>
  <si>
    <t>fenderPresent</t>
  </si>
  <si>
    <t>Fender Present</t>
  </si>
  <si>
    <t>An indication that the shoreline construction has one or more associated fenders which are designed to cushion the impact of a vessel or floating object to prevent damage.</t>
  </si>
  <si>
    <t>FCL</t>
  </si>
  <si>
    <t>ferryCrossingDistance</t>
  </si>
  <si>
    <t>Ferry Crossing Distance</t>
  </si>
  <si>
    <t>The length of a route in a body of water where a ferry crosses from one shoreline to another.</t>
  </si>
  <si>
    <t>FER</t>
  </si>
  <si>
    <t>ferryCrossingType</t>
  </si>
  <si>
    <t>Ferry Crossing Type</t>
  </si>
  <si>
    <t>The type of a ferry crossing based on the maneuverability of the vessel.</t>
  </si>
  <si>
    <t>FerryCrossingTypeCode</t>
  </si>
  <si>
    <t>M56</t>
  </si>
  <si>
    <t>fileDecompressionTechnique</t>
  </si>
  <si>
    <t>File Decompression Technique</t>
  </si>
  <si>
    <t>Recommendations of algorithms or processes that can be applied to read or expand the content of a resource to which compression techniques have been applied.</t>
  </si>
  <si>
    <t>FAP</t>
  </si>
  <si>
    <t>finalApproachAlignment</t>
  </si>
  <si>
    <t>Final Approach Alignment</t>
  </si>
  <si>
    <t>A visual manoeuvre used to properly bring the aircraft into position for landing at final approach.</t>
  </si>
  <si>
    <t>FinalApproachAlignmentCode</t>
  </si>
  <si>
    <t>FAF</t>
  </si>
  <si>
    <t>finalApproachCourseFix</t>
  </si>
  <si>
    <t>Final Approach Course Fix</t>
  </si>
  <si>
    <t>An indication that a terminal segment point aids in establishing an aircraft on a final approach course.</t>
  </si>
  <si>
    <t>A final approach course fix is located on the final approach course of an Instrument Approach Procedure (IAP) prior to the Final Approach Fix (FAF) or glide path intercept point. It may also take the place of the final approach point on a procedure that has no designated FAF.</t>
  </si>
  <si>
    <t>FDA</t>
  </si>
  <si>
    <t>finalApproachDescentAngle</t>
  </si>
  <si>
    <t>Final Approach Descent Angle</t>
  </si>
  <si>
    <t>A descent profile prescribed for vertical guidance during a final approach.</t>
  </si>
  <si>
    <t>Vertical Path Angle, Precison Approach Glide Path Angle</t>
  </si>
  <si>
    <t>FAS</t>
  </si>
  <si>
    <t>finalApproachGuideSystem</t>
  </si>
  <si>
    <t>Final Approach Guidance System</t>
  </si>
  <si>
    <t>The equipment, component, or service used by the aircraft to aid in safe lateral and vertical navigation along the final approach segment.</t>
  </si>
  <si>
    <t>finalApproachGuideSystemCode</t>
  </si>
  <si>
    <t>FI1</t>
  </si>
  <si>
    <t>fips104CountryCode</t>
  </si>
  <si>
    <t>FIPS 10-4 Country Code</t>
  </si>
  <si>
    <t>The Federal Information Processing Standards (FIPS) 10-4 code that designates a geopolitical entity (for example: a State).</t>
  </si>
  <si>
    <t>A two-character alphabetic designation often termed a 'country code.' FIPS changes to 'country codes' are triggered by changes in territorial extent.</t>
  </si>
  <si>
    <t>Fips104CountryCodeList</t>
  </si>
  <si>
    <t>FI2</t>
  </si>
  <si>
    <t>fips104CountryName</t>
  </si>
  <si>
    <t>FIPS 10-4 Country Name</t>
  </si>
  <si>
    <t>The Federal Information Processing Standards (FIPS) 10-4 full name that designates a geopolitical entity (for example: a State).</t>
  </si>
  <si>
    <t>Often termed a 'country name'. Includes only the letters A through Z and punctuation marks.</t>
  </si>
  <si>
    <t>FI5</t>
  </si>
  <si>
    <t>fips104PrinAdminDivCode</t>
  </si>
  <si>
    <t>FIPS 10-4 Principal Administrative Division Code</t>
  </si>
  <si>
    <t>The Federal Information Processing Standards (FIPS) 10-4 code that designates a principal administrative division and its administrating geopolitical entity (for example: a State).</t>
  </si>
  <si>
    <t>A four-character alphanumeric code consisting of the FIPS two-character 'country code,' followed by the FIPS two-character 'administrative division [extension] code'. Often termed an 'ADM1 code'. FIPS changes to 'ADM1 codes' are triggered by changes in territorial extent.</t>
  </si>
  <si>
    <t>Fips104PrinAdminDivExtCodeList</t>
  </si>
  <si>
    <t>FI3</t>
  </si>
  <si>
    <t>fips104PrinAdminDivExtCd</t>
  </si>
  <si>
    <t>FIPS 10-4 Principal Administrative Division Extension Code</t>
  </si>
  <si>
    <t>The Federal Information Processing Standards (FIPS) 10-4 code that designates a principal administrative division of a geopolitical entity (for example: a State).</t>
  </si>
  <si>
    <t>A two-character alphanumeric designation that when prefaced with the two-character FIPS 'country code' to form a four-character code (for example: 'US01') is often referred to as an 'ADM1 code'. FIPS changes to 'ADM1 codes' are triggered by changes in territorial extent.</t>
  </si>
  <si>
    <t>Fips104PrinAdminDivCodeList</t>
  </si>
  <si>
    <t>FI4</t>
  </si>
  <si>
    <t>fips104PrinAdminDivName</t>
  </si>
  <si>
    <t>FIPS 10-4 Principal Administrative Division Name</t>
  </si>
  <si>
    <t>The Federal Information Processing Standards (FIPS) 10-4 full name that designates the principal administrative division of a geopolitical entity (for example: a State).</t>
  </si>
  <si>
    <t>Often termed an 'ADM1 name.' Includes only the letters A through Z and punctuation marks.</t>
  </si>
  <si>
    <t>TextNonLex60</t>
  </si>
  <si>
    <t>FES</t>
  </si>
  <si>
    <t>fireExtinguishStockLevel</t>
  </si>
  <si>
    <t>Fire Extinguishing Agent Stock Level</t>
  </si>
  <si>
    <t>A description of the current on-hand stock of a single type of extinguishing agent.</t>
  </si>
  <si>
    <t>FET</t>
  </si>
  <si>
    <t>fireExtinguishAgentType</t>
  </si>
  <si>
    <t>Fire Extinguishing Agent Type</t>
  </si>
  <si>
    <t>The type of extinguishing agent used to put out a fire.</t>
  </si>
  <si>
    <t>Substances put out fires by either cooling the burning material, blocking the supply of oxygen, and/or chemically inhibiting combustion.</t>
  </si>
  <si>
    <t>FireExtinguishAgentTypeCode</t>
  </si>
  <si>
    <t>FDD</t>
  </si>
  <si>
    <t>firstDetectionDateTime</t>
  </si>
  <si>
    <t>First Detection Date and Time</t>
  </si>
  <si>
    <t>The date and, optionally, time that an object was first detected and analyzed.</t>
  </si>
  <si>
    <t>FirstDetectionDateTimeStrucText</t>
  </si>
  <si>
    <t>FAL</t>
  </si>
  <si>
    <t>fishingActivityLevel</t>
  </si>
  <si>
    <t>Fishing Activity Level</t>
  </si>
  <si>
    <t>The level of fishing vessel activity in a region over time.</t>
  </si>
  <si>
    <t>FishingActivityLevelCode</t>
  </si>
  <si>
    <t>FGT</t>
  </si>
  <si>
    <t>fishingGearType</t>
  </si>
  <si>
    <t>Fishing Gear Type</t>
  </si>
  <si>
    <t>The type(s) of gear that are used to catch marine species in either commercial or artisanal fishing.</t>
  </si>
  <si>
    <t>FishingGearTypeCode</t>
  </si>
  <si>
    <t>FOL</t>
  </si>
  <si>
    <t>fpapOffsetLength</t>
  </si>
  <si>
    <t>Flight Path Alignment Point Offset Length</t>
  </si>
  <si>
    <t>The distance between the runway endpoint and the Flight Path Alignment Point (FPAP).</t>
  </si>
  <si>
    <t>PTN</t>
  </si>
  <si>
    <t>procedureTurnNotAuthorised</t>
  </si>
  <si>
    <t>Flight Procedure Turn Not Authorised</t>
  </si>
  <si>
    <t>An indication that a flight procedure turn is not allowed at the end of the segment or in the sector.</t>
  </si>
  <si>
    <t>AFR</t>
  </si>
  <si>
    <t>flightRuleType</t>
  </si>
  <si>
    <t>Flight Rule Type</t>
  </si>
  <si>
    <t>The type of standard flight rules to be observed by aircraft.</t>
  </si>
  <si>
    <t>For example: Visual Flight Rules (VFR) or Instrument Flight Rules (IFR).</t>
  </si>
  <si>
    <t>FlightRuleTypeCode</t>
  </si>
  <si>
    <t>FSC</t>
  </si>
  <si>
    <t>flightStripCapable</t>
  </si>
  <si>
    <t>Flight Strip Capable</t>
  </si>
  <si>
    <t>An indication that a road is designed to support emergency (for example: national defence) use as a runway.</t>
  </si>
  <si>
    <t>Ideally, oriented in the direction of the prevailing wind.</t>
  </si>
  <si>
    <t>FLO</t>
  </si>
  <si>
    <t>floating</t>
  </si>
  <si>
    <t>Floating</t>
  </si>
  <si>
    <t>An indication that an object is floating.</t>
  </si>
  <si>
    <t>FBT</t>
  </si>
  <si>
    <t>floatingBarrierType</t>
  </si>
  <si>
    <t>Floating Barrier Type</t>
  </si>
  <si>
    <t>The type of a floating barrier based on its design and/or intended use.</t>
  </si>
  <si>
    <t>FloatingBarrierTypeCode</t>
  </si>
  <si>
    <t>FCS</t>
  </si>
  <si>
    <t>floodControlStructureType</t>
  </si>
  <si>
    <t>Flood Control Structure Type</t>
  </si>
  <si>
    <t>The type of a flood control structure based on its structure and/or intended use.</t>
  </si>
  <si>
    <t>FloodControlStrucTypeCode</t>
  </si>
  <si>
    <t>FLT</t>
  </si>
  <si>
    <t>floodlit</t>
  </si>
  <si>
    <t>Floodlit</t>
  </si>
  <si>
    <t>An indication that a structure is floodlit.</t>
  </si>
  <si>
    <t>BNF</t>
  </si>
  <si>
    <t>floorCount</t>
  </si>
  <si>
    <t>Floor Count</t>
  </si>
  <si>
    <t>The number of floors in a structure (for example: a building).</t>
  </si>
  <si>
    <t>FDT</t>
  </si>
  <si>
    <t>fogDetectorLightPresent</t>
  </si>
  <si>
    <t>Fog Detector Light Present</t>
  </si>
  <si>
    <t>An indication that a feature has an associated fog detector light.</t>
  </si>
  <si>
    <t>SST</t>
  </si>
  <si>
    <t>fogSignalType</t>
  </si>
  <si>
    <t>Fog Signal Type</t>
  </si>
  <si>
    <t>The type of a fog signal based on its signal characteristics and method of generation.</t>
  </si>
  <si>
    <t>FogSignalTypeCode</t>
  </si>
  <si>
    <t>TRE</t>
  </si>
  <si>
    <t>foliageType</t>
  </si>
  <si>
    <t>Foliage Type</t>
  </si>
  <si>
    <t>The predominant foliage type of the vegetation.</t>
  </si>
  <si>
    <t>FoliageTypeCode</t>
  </si>
  <si>
    <t>FZR</t>
  </si>
  <si>
    <t>fortifiedBuildingType</t>
  </si>
  <si>
    <t>Fortified Building Type</t>
  </si>
  <si>
    <t>The type of a building that is fortified or reinforced to provide for defense from armed attack.</t>
  </si>
  <si>
    <t>FortifiedBuildingTypeCode</t>
  </si>
  <si>
    <t>M61</t>
  </si>
  <si>
    <t>denominator</t>
  </si>
  <si>
    <t>Fraction Denominator</t>
  </si>
  <si>
    <t>The number below the line in a vulgar fraction.</t>
  </si>
  <si>
    <t>IntegerNonNegative</t>
  </si>
  <si>
    <t>FRX</t>
  </si>
  <si>
    <t>frequencyClassification</t>
  </si>
  <si>
    <t>Frequency Classification</t>
  </si>
  <si>
    <t>The frequency of a signal, as a category.</t>
  </si>
  <si>
    <t>FrequencyClassificationCode</t>
  </si>
  <si>
    <t>FPA</t>
  </si>
  <si>
    <t>frequencyProtectAltitude</t>
  </si>
  <si>
    <t>Frequency Protection Altitude</t>
  </si>
  <si>
    <t>The altitude within which frequency reception is assumed to be interference-free.</t>
  </si>
  <si>
    <t>FPD</t>
  </si>
  <si>
    <t>frequencyProtectDistance</t>
  </si>
  <si>
    <t>Frequency Protection Distance</t>
  </si>
  <si>
    <t>The distance within which frequency reception is assumed to be interference-free.</t>
  </si>
  <si>
    <t>SIC</t>
  </si>
  <si>
    <t>frozenCoverType</t>
  </si>
  <si>
    <t>Frozen Cover Type</t>
  </si>
  <si>
    <t>The type of a covering of snow and/or ice based on its composition and structure.</t>
  </si>
  <si>
    <t>FrozenCoverTypeCode</t>
  </si>
  <si>
    <t>B01</t>
  </si>
  <si>
    <t>fuelStorageMethod</t>
  </si>
  <si>
    <t>Fuel Storage Method</t>
  </si>
  <si>
    <t>The method(s) of fuel storage.</t>
  </si>
  <si>
    <t>FuelStorageMethodCode</t>
  </si>
  <si>
    <t>FTS</t>
  </si>
  <si>
    <t>fujitaTornadoScale</t>
  </si>
  <si>
    <t>Fujita Tornado Scale</t>
  </si>
  <si>
    <t>The degree of surface-level wind damage due to tornadic winds as specified by the damage-based Fujita Tornado Scale.</t>
  </si>
  <si>
    <t>The categories are based upon the estimated maximum winds occurring within the tornado, however wind speed estimates associated with damage are not considered to be exact.</t>
  </si>
  <si>
    <t>FujitaTornadoScaleCode</t>
  </si>
  <si>
    <t>FNA</t>
  </si>
  <si>
    <t>fullName</t>
  </si>
  <si>
    <t>Full Name</t>
  </si>
  <si>
    <t>A complete name that is used to designate the entity as that designation would normally be written by the originating culture on a map or chart.</t>
  </si>
  <si>
    <t>It is generally considered to consist of a specific part, a generic part, and any articles or prepositions. The order of the parts may vary with the generic part appearing at the beginning, middle or end.</t>
  </si>
  <si>
    <t>FN2</t>
  </si>
  <si>
    <t>fullNameOrdered</t>
  </si>
  <si>
    <t>Full Name Ordered</t>
  </si>
  <si>
    <t>A complete name that is used to designate the entity as that designation would normally be written by the originating culture on a map or chart, except that its components have been arranged into an order that facilitates alphabetic ordering and search.</t>
  </si>
  <si>
    <t>The component order is such that the specific part of the name appears first, followed by an optional comma, the generic part of the name, and then finally any articles or prepositions (for example: 'Everest, Mount' or 'Mexico, Gulf of'). For some geographic names no reordering of the full name is required (for example: 'Tigrus River'). Geographic names that are believed to no longer exist are enclosed in double parenthesis, as: '(( Name ))'.</t>
  </si>
  <si>
    <t>FN3</t>
  </si>
  <si>
    <t>fullNameOrderNoDiacritics</t>
  </si>
  <si>
    <t>Full Name Ordered without Diacritics</t>
  </si>
  <si>
    <t>A complete name that is used to designate the entity as that designation would normally be written by the originating culture on a map or chart, except any diacritics and special characters have been replaced with their corresponding Roman characters and its components have been arranged into an order that facilitates alphabetic ordering and search.</t>
  </si>
  <si>
    <t>TextNonLex200</t>
  </si>
  <si>
    <t>FN1</t>
  </si>
  <si>
    <t>fullNameNoDiacritics</t>
  </si>
  <si>
    <t>Full Name without Diacritics</t>
  </si>
  <si>
    <t>A complete name that is used to designate the entity as that designation would normally be written by the originating culture on a map or chart except that any diacritics and special characters have been replaced with their corresponding Roman characters.</t>
  </si>
  <si>
    <t>GTC</t>
  </si>
  <si>
    <t>gateUse</t>
  </si>
  <si>
    <t>Gate Use</t>
  </si>
  <si>
    <t>The type of a gate (or similar route barrier) based on its intended use.</t>
  </si>
  <si>
    <t>GateUseCode</t>
  </si>
  <si>
    <t>GAZ</t>
  </si>
  <si>
    <t>gazetteerUse</t>
  </si>
  <si>
    <t>Gazetteer Use</t>
  </si>
  <si>
    <t>An indication that a geographic name is suitable for general use.</t>
  </si>
  <si>
    <t>Specific geographic names may be limited as to their scope of use (for example: due to source restrictions or policy) or may be of historic interest only.</t>
  </si>
  <si>
    <t>GEI</t>
  </si>
  <si>
    <t>genericEntityIdentifier</t>
  </si>
  <si>
    <t>Generic Entity Identifier</t>
  </si>
  <si>
    <t>An identifier of an entity (for example: feature or event) instance that has been assigned in accordance with an established policy.</t>
  </si>
  <si>
    <t>Typically used together with Attribute: 'Entity Identifier Type' to specify the intended use and/or the data production system that assigns the value.</t>
  </si>
  <si>
    <t>GNA</t>
  </si>
  <si>
    <t>genericName</t>
  </si>
  <si>
    <t>Generic Name</t>
  </si>
  <si>
    <t>The portion of a full name that references a common, often geomorphologic, feature.</t>
  </si>
  <si>
    <t>For example: a 'Mountain', a 'River', and a 'Sea'. The names of populated places are not considered to have a generic part.</t>
  </si>
  <si>
    <t>TextLex128</t>
  </si>
  <si>
    <t>GN1</t>
  </si>
  <si>
    <t>genericNameNoDiacritics</t>
  </si>
  <si>
    <t>Generic Name without Diacritics</t>
  </si>
  <si>
    <t>The portion of a full name that references a common, often geomorphologic, feature except that any diacritics and special characters have been replaced with their corresponding Roman characters.</t>
  </si>
  <si>
    <t>TextNonLex128</t>
  </si>
  <si>
    <t>RHO</t>
  </si>
  <si>
    <t>geodesicDistanceRho</t>
  </si>
  <si>
    <t>Geodesic Distance (Rho)</t>
  </si>
  <si>
    <t>The geodesic distance to a geographic point or location.</t>
  </si>
  <si>
    <t>Geodesic distance is the shortest distance between any two points on a mathematically defined ellipsoidal surface.</t>
  </si>
  <si>
    <t>Rho</t>
  </si>
  <si>
    <t>G17</t>
  </si>
  <si>
    <t>geodesicGeometry</t>
  </si>
  <si>
    <t>Geodesic Geometry</t>
  </si>
  <si>
    <t>A pair of distinct geometric points joined by a geodesic curve (defined from the ellipsoid or geoid model used by the coordinate reference system).</t>
  </si>
  <si>
    <t>GmGeodesic</t>
  </si>
  <si>
    <t>G18</t>
  </si>
  <si>
    <t>geodesicStringGeometry</t>
  </si>
  <si>
    <t>Geodesic String Geometry</t>
  </si>
  <si>
    <t>A sequence of geometric geodesic segments (defined from the ellipsoid or geoid model used by the coordinate reference system).</t>
  </si>
  <si>
    <t>GmGeodesicString</t>
  </si>
  <si>
    <t>HZD</t>
  </si>
  <si>
    <t>geoDatum</t>
  </si>
  <si>
    <t>geodeticDatum</t>
  </si>
  <si>
    <t>Geodetic Datum</t>
  </si>
  <si>
    <t>A datum describing the relationship of a two-dimensional coordinate system to the Earth.</t>
  </si>
  <si>
    <t>The datum (sometimes termed 'horizontal datum') defines a surface and two locally-orthogonal axes on that surface as the basis for specifying geodetic longitude and geodetic latitude.</t>
  </si>
  <si>
    <t>GeodeticDatumCodeList</t>
  </si>
  <si>
    <t>E06</t>
  </si>
  <si>
    <t>geographicIdentifier</t>
  </si>
  <si>
    <t>Geographic Identifier</t>
  </si>
  <si>
    <t>An identifier used to denote a geographic area.</t>
  </si>
  <si>
    <t>GCS</t>
  </si>
  <si>
    <t>geoNameCharacterSet</t>
  </si>
  <si>
    <t>Geographic Name Character Set</t>
  </si>
  <si>
    <t>The character set used for the display of characters with diacritics and special characters in a geographic name.</t>
  </si>
  <si>
    <t>Individual character sets include diacritics and special characters from multiple languages in the same geographic region.</t>
  </si>
  <si>
    <t>GeonameCharacterSetCode</t>
  </si>
  <si>
    <t>GNS</t>
  </si>
  <si>
    <t>geoNameClass</t>
  </si>
  <si>
    <t>Geographic Name Classification</t>
  </si>
  <si>
    <t>The classification of the type of a feature with which a geographic name is associated, as used in the NGA Geographic Names Data Base (GNDB).</t>
  </si>
  <si>
    <t>A classification has a (unique, non-overlapping) set of associated 'member' geographic name designations. May be used to organize geographic names for the purposes of queries and/or presentation.</t>
  </si>
  <si>
    <t>GeoNameClassStrucText</t>
  </si>
  <si>
    <t>GND</t>
  </si>
  <si>
    <t>geoNameDesignation</t>
  </si>
  <si>
    <t>Geographic Name Designation</t>
  </si>
  <si>
    <t>The designation of the type of a feature with which a geographic name is associated, as used in the NGA Geographic Names Data Base (GNDB).</t>
  </si>
  <si>
    <t>A designated feature type also has a (unique, single) geographic name classification.</t>
  </si>
  <si>
    <t>GeoNameDesignationStrucText</t>
  </si>
  <si>
    <t>GNT</t>
  </si>
  <si>
    <t>geographicNameType</t>
  </si>
  <si>
    <t>Geographic Name Type</t>
  </si>
  <si>
    <t>The type of a geographic name based on its scope of use, quality of source and/or its transliteration status.</t>
  </si>
  <si>
    <t>GeographicNameTypeCode</t>
  </si>
  <si>
    <t>GLC</t>
  </si>
  <si>
    <t>geolocationCode</t>
  </si>
  <si>
    <t>Geolocation Code</t>
  </si>
  <si>
    <t>An encoded identifier, specified by the U.S. DoD, that is used to denote military installations and worldwide geographic locations subject to reference during military planning and operations.</t>
  </si>
  <si>
    <t>See Chairman of the Joint Chiefs of Staff Manual (CJCSM) 3150.15B.</t>
  </si>
  <si>
    <t>GeolocationCodeStrucText</t>
  </si>
  <si>
    <t>GFT</t>
  </si>
  <si>
    <t>geoFaultTraceVisible</t>
  </si>
  <si>
    <t>Geologic Fault Trace Visible</t>
  </si>
  <si>
    <t>An indication that a geologic fault is visible at the ground surface.</t>
  </si>
  <si>
    <t>GPD</t>
  </si>
  <si>
    <t>geomorphicDepth</t>
  </si>
  <si>
    <t>Geomorphic Depth</t>
  </si>
  <si>
    <t>The depth of a feature below average surface level as determined by a corresponding digital elevation matrix.</t>
  </si>
  <si>
    <t>If not obtainable, the average depth will be used.</t>
  </si>
  <si>
    <t>GEH</t>
  </si>
  <si>
    <t>geomorphicHeight</t>
  </si>
  <si>
    <t>Geomorphic Height</t>
  </si>
  <si>
    <t>The height of a feature above average surface level as determined by a corresponding digital elevation matrix.</t>
  </si>
  <si>
    <t>GZT</t>
  </si>
  <si>
    <t>geomorphicType</t>
  </si>
  <si>
    <t>Geomorphic Type</t>
  </si>
  <si>
    <t>The type of a geomorphic feature based on the local configuration of terrain slope(s) and aspect(s).</t>
  </si>
  <si>
    <t>GeomorphicTypeCode</t>
  </si>
  <si>
    <t>GEB</t>
  </si>
  <si>
    <t>geopoliticalEntityBasis</t>
  </si>
  <si>
    <t>Geopolitical Entity Basis</t>
  </si>
  <si>
    <t>A description of the unique administrative circumstances of a geopolitical entity, if any.</t>
  </si>
  <si>
    <t>For example, for a dependent political entity the controlling political entity and the scope(s) of the control.</t>
  </si>
  <si>
    <t>TextLex4095</t>
  </si>
  <si>
    <t>GEC</t>
  </si>
  <si>
    <t>geopoliticalEntityType</t>
  </si>
  <si>
    <t>Geopolitical Entity Type</t>
  </si>
  <si>
    <t>The type of a legally recognized geopolitical entity (for example: a State or a zone).</t>
  </si>
  <si>
    <t>GeopoliticalEntityTypeCode</t>
  </si>
  <si>
    <t>LSP</t>
  </si>
  <si>
    <t>geopoliticalLineType</t>
  </si>
  <si>
    <t>Geopolitical Line Type</t>
  </si>
  <si>
    <t>The type of a geopolitical dividing line (for example: a boundary or a line of separation) based on the nature of its establishment and/or recognition.</t>
  </si>
  <si>
    <t>GeopoliticalLineTypeCode</t>
  </si>
  <si>
    <t>GOT</t>
  </si>
  <si>
    <t>geothermalOutletType</t>
  </si>
  <si>
    <t>Geothermal Outlet Type</t>
  </si>
  <si>
    <t>The type of a geothermal outlet based on its morphology.</t>
  </si>
  <si>
    <t>GeothermalOutletTypeCode</t>
  </si>
  <si>
    <t>DGF</t>
  </si>
  <si>
    <t>ghostFrequency</t>
  </si>
  <si>
    <t>Ghost Frequency</t>
  </si>
  <si>
    <t>The frequency of the system which operates with vertical polarization in the frequency band of 960 to 1215 megahertz (MHz).</t>
  </si>
  <si>
    <t>The interrogation and reply frequencies are assigned with one MHz spacing between channels.</t>
  </si>
  <si>
    <t>Paired Frequency</t>
  </si>
  <si>
    <t>GFI</t>
  </si>
  <si>
    <t>gidiFeatureIdentifier</t>
  </si>
  <si>
    <t>GIDI Feature Identifier</t>
  </si>
  <si>
    <t>The unique textual identifier of a feature instance as assigned by the NGA Geospatial Intelligence Database Integration (GIDI) process.</t>
  </si>
  <si>
    <t>GidiFeatureIdentifierStrucText</t>
  </si>
  <si>
    <t>GSA</t>
  </si>
  <si>
    <t>glideSlopeAngle</t>
  </si>
  <si>
    <t>Glide Slope Angle</t>
  </si>
  <si>
    <t>Glide slope angle in degrees.</t>
  </si>
  <si>
    <t>RealNonNeg0r00to4r99</t>
  </si>
  <si>
    <t>CHG</t>
  </si>
  <si>
    <t>gnssChannel</t>
  </si>
  <si>
    <t>GNSS Channel</t>
  </si>
  <si>
    <t>The operating channel of Global Navigation Satellite System (GNSS) electronic transceiving equipment.</t>
  </si>
  <si>
    <t>CNG</t>
  </si>
  <si>
    <t>gnssConstellation</t>
  </si>
  <si>
    <t>GNSS Constellation</t>
  </si>
  <si>
    <t>The identification of a group of satellites used for navigation, providing Global Navigation Satellite System (GNSS) capabilities under a common authority.</t>
  </si>
  <si>
    <t>GnssConstellationCode</t>
  </si>
  <si>
    <t>LOG</t>
  </si>
  <si>
    <t>gradientLength</t>
  </si>
  <si>
    <t>Gradient Length</t>
  </si>
  <si>
    <t>The length of a road or railway segment having a significant gradient, specifically greater than or equal to 7 percent (%) for a road or greater than or equal to 3 percent (%) for a railway.</t>
  </si>
  <si>
    <t>CET</t>
  </si>
  <si>
    <t>gradingType</t>
  </si>
  <si>
    <t>Grading Type</t>
  </si>
  <si>
    <t>The number of terrain feature sides on which either fill or cut material is exposed.</t>
  </si>
  <si>
    <t>For example, along two sides of a road that is both cut into the side of a hill and supported by fill on the downslope.</t>
  </si>
  <si>
    <t>GradingTypeCode</t>
  </si>
  <si>
    <t>GSF</t>
  </si>
  <si>
    <t>gravityStrengthDifference</t>
  </si>
  <si>
    <t>Gravity Strength Difference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</si>
  <si>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</si>
  <si>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</si>
  <si>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GVA</t>
  </si>
  <si>
    <t>gridVariation</t>
  </si>
  <si>
    <t>Grid Variation</t>
  </si>
  <si>
    <t>The angular difference between grid north and magnetic north measured at a given position and date.</t>
  </si>
  <si>
    <t>The value given indicates whether the angular difference is East (positive) or West (negative) of Grid North.</t>
  </si>
  <si>
    <t>Grivation</t>
  </si>
  <si>
    <t>GVD</t>
  </si>
  <si>
    <t>gridVariationDateTime</t>
  </si>
  <si>
    <t>Grid Variation Date and Time</t>
  </si>
  <si>
    <t>The date and, optionally, time on which the grid variation was calculated.</t>
  </si>
  <si>
    <t>GridVariationDateTimeStrucText</t>
  </si>
  <si>
    <t>GRD</t>
  </si>
  <si>
    <t>guarded</t>
  </si>
  <si>
    <t>Guarded</t>
  </si>
  <si>
    <t>An indication that a site is supervised by security personnel who can immediately respond to adverse events.</t>
  </si>
  <si>
    <t>The supervision may be either direct (for example: by a posted guard perhaps accompanied by a guard shack or post) or indirect (for example: by monitored sensors such as closed circuit television).</t>
  </si>
  <si>
    <t>GUG</t>
  </si>
  <si>
    <t>guyed</t>
  </si>
  <si>
    <t>Guyed</t>
  </si>
  <si>
    <t>An indication that an object is guided, secured, or steadied by guy wires.</t>
  </si>
  <si>
    <t>HNG</t>
  </si>
  <si>
    <t>hangarDoorHeight</t>
  </si>
  <si>
    <t>Hangar Door Height</t>
  </si>
  <si>
    <t>The measurement of the vertical extent of the hangar door.</t>
  </si>
  <si>
    <t>HDW</t>
  </si>
  <si>
    <t>hangarDoorWidth</t>
  </si>
  <si>
    <t>Hangar Door Width</t>
  </si>
  <si>
    <t>The measurement of the horizontal extent of the hangar door.</t>
  </si>
  <si>
    <t>HTP</t>
  </si>
  <si>
    <t>hangarTypeCategory</t>
  </si>
  <si>
    <t>Hangar Type Category</t>
  </si>
  <si>
    <t>Hangar design code.</t>
  </si>
  <si>
    <t>HangarTypeCategoryCode</t>
  </si>
  <si>
    <t>FHC</t>
  </si>
  <si>
    <t>harbourFacilityFunction</t>
  </si>
  <si>
    <t>Harbour Facility Function</t>
  </si>
  <si>
    <t>The primary function(s) of harbour facilities that are associated with a service or commercial operation of public interest.</t>
  </si>
  <si>
    <t>HarbourFacilityFunctionCode</t>
  </si>
  <si>
    <t>HAB</t>
  </si>
  <si>
    <t>hazardBufferRadius</t>
  </si>
  <si>
    <t>Hazard Buffer Radius</t>
  </si>
  <si>
    <t>The radius of the buffer zone around a hazard that is used to establish an emergency planning zone.</t>
  </si>
  <si>
    <t>HST</t>
  </si>
  <si>
    <t>hazardShelterIntendedUse</t>
  </si>
  <si>
    <t>Hazard Shelter Intended Use</t>
  </si>
  <si>
    <t>The intended use(s) of a designated hazard protection shelter based on the kind of emergency.</t>
  </si>
  <si>
    <t>Hazard shelters may be located inside buildings or other structures. Shelters may be equipped with disaster supplies and equipment such as food and cots.</t>
  </si>
  <si>
    <t>HazardShelterIntendedUseCode</t>
  </si>
  <si>
    <t>HCP</t>
  </si>
  <si>
    <t>healthCareCapability</t>
  </si>
  <si>
    <t>Health Care Capability</t>
  </si>
  <si>
    <t>The principal health care capabilities that are provided by a medical facility.</t>
  </si>
  <si>
    <t>HealthCareCapabilityCode</t>
  </si>
  <si>
    <t>HAA</t>
  </si>
  <si>
    <t>heightAboveAerodrome</t>
  </si>
  <si>
    <t>Height Above Aerodrome (HAA)</t>
  </si>
  <si>
    <t>The vertical distance between the published aerodrome elevation and the Minimum Descent Altitude (MDA).</t>
  </si>
  <si>
    <t>The Height Above Aerodrome (HAA) applies to circling minima.</t>
  </si>
  <si>
    <t>HAL</t>
  </si>
  <si>
    <t>heightAboveLanding</t>
  </si>
  <si>
    <t>Height Above Landing (HAL)</t>
  </si>
  <si>
    <t>The vertical distance between the designated helicopter landing area and the Decision Altitude (DA) for precision approaches, or the Minimum Descent Altitude (MDA) for non-precision approaches.</t>
  </si>
  <si>
    <t>HAM</t>
  </si>
  <si>
    <t>heightAboveSurface</t>
  </si>
  <si>
    <t>Height Above Surface (HAS)</t>
  </si>
  <si>
    <t>The vertical distance between the highest terrain/surface within a 5200 feet radius of the Missed Approach Point (MAP) and the Minimum Descent Altitude (MDA).</t>
  </si>
  <si>
    <t>The Height Above Surface (HAS) applies to point-in-space (PinS) procedures.</t>
  </si>
  <si>
    <t>HAS</t>
  </si>
  <si>
    <t>HGT</t>
  </si>
  <si>
    <t>heightAboveSurfaceLevel</t>
  </si>
  <si>
    <t>Height Above Surface Level</t>
  </si>
  <si>
    <t>The vertical distance measured from the lowest point of the base of the feature at ground or water level (downhill/downstream side) to the tallest point of the feature.</t>
  </si>
  <si>
    <t>For non-inland water bodies, the water level is usually understood to be Mean Sea Level (MSL). Note that the feature may be supported above the surface by another feature (for example: a tower supported by a building) and as a consequence the value of the Height Above Surface Level is different (larger) than the base-to-top height of the feature (for example: supported tower) itself.</t>
  </si>
  <si>
    <t>HAT</t>
  </si>
  <si>
    <t>heightAboveTouchdown</t>
  </si>
  <si>
    <t>Height Above Touchdown (HAT)</t>
  </si>
  <si>
    <t>The vertical distance between the touchdown zone elevation and the Decision Altitude (DA) for precision approaches, or the Minimum Descent Altitude (MDA) for non-precision approaches.</t>
  </si>
  <si>
    <t>The Height Above Touchdown (HAT) applies to straight-in minima.</t>
  </si>
  <si>
    <t>HAW</t>
  </si>
  <si>
    <t>heightAboveWaterbodyFloor</t>
  </si>
  <si>
    <t>Height Above Waterbody Floor</t>
  </si>
  <si>
    <t>The height of an object measured vertically from the waterbody floor to the top (highest point) of the object.</t>
  </si>
  <si>
    <t>AHO</t>
  </si>
  <si>
    <t>heightAccuracy</t>
  </si>
  <si>
    <t>Height Accuracy</t>
  </si>
  <si>
    <t>The difference between the recorded height above ground level of a feature and its true height expressed as a linear error at 90 percent probability.</t>
  </si>
  <si>
    <t>HEI</t>
  </si>
  <si>
    <t>heightOfObject</t>
  </si>
  <si>
    <t>Height of Object</t>
  </si>
  <si>
    <t>The vertical distance measured from the base to the top of the feature that gives the greatest value.</t>
  </si>
  <si>
    <t>For example, the Height of Object of a two story building with a basement is three stories while the Height of Object of a man doesn't change as a result of standing in a trench whereas his Height Above Surface Level (based on the prevailing terrain surface level) may be considered to be correspondingly reduced by the depth of the trench.</t>
  </si>
  <si>
    <t>HVA</t>
  </si>
  <si>
    <t>heightVertAccuracy90</t>
  </si>
  <si>
    <t>Height Vertical Accuracy (90%)</t>
  </si>
  <si>
    <t>The difference between a recorded height value and the true height referenced to the same ground level, expressed as a linear error at 90 percent probability.</t>
  </si>
  <si>
    <t>The height value may, for example, represent the highest point on a feature. The accuracy may also be representative of a set of height values. If the data contains multiple accuracies, usually the worst accuracy which applies to 10% or more of the data is recorded.</t>
  </si>
  <si>
    <t>HPC</t>
  </si>
  <si>
    <t>copterPerformanceClass</t>
  </si>
  <si>
    <t>Helicopter Performance Class</t>
  </si>
  <si>
    <t>The class of a helicopter based on its performance during a critical power unit failure after take-off.</t>
  </si>
  <si>
    <t>CopterPerformanceClassCode</t>
  </si>
  <si>
    <t>HAF</t>
  </si>
  <si>
    <t>helipadAssociatedFacility</t>
  </si>
  <si>
    <t>Helipad Associated Facility</t>
  </si>
  <si>
    <t>The type of facility or building that is associated with a freestanding helipad.</t>
  </si>
  <si>
    <t>HelipadAssociatedFacilityCode</t>
  </si>
  <si>
    <t>HEL</t>
  </si>
  <si>
    <t>helipadPresent</t>
  </si>
  <si>
    <t>Helipad Present</t>
  </si>
  <si>
    <t>An indication that a helipad is present.</t>
  </si>
  <si>
    <t>HWS</t>
  </si>
  <si>
    <t>highWaterMonthInterval</t>
  </si>
  <si>
    <t>High Water Month Interval</t>
  </si>
  <si>
    <t>The month interval during which the high water season occurs.</t>
  </si>
  <si>
    <t>HighWaterMonthIntStrucText</t>
  </si>
  <si>
    <t>ZVH</t>
  </si>
  <si>
    <t>highestElevation</t>
  </si>
  <si>
    <t>Highest Elevation</t>
  </si>
  <si>
    <t>The elevation from a specified vertical datum to the highest point on a feature.</t>
  </si>
  <si>
    <t>In the case of multiple features that may be stacked on each other (for example: a railway on a bridge, a superstructure on a building, or an aerial on a tower) the highest elevation is that of the entire feature stack. For example, the highest elevation of a church is that of its steeple and not that of the roof of the church itself. The church itself may have a height above surface level that excludes the additional height of the steeple superstructure located on the church roof.</t>
  </si>
  <si>
    <t>HEN</t>
  </si>
  <si>
    <t>historicGeoEntity</t>
  </si>
  <si>
    <t>Historic Geopolitical Entity</t>
  </si>
  <si>
    <t>An indication that a geopolitical entity is historic, being no longer in existence.</t>
  </si>
  <si>
    <t>HSS</t>
  </si>
  <si>
    <t>historicSignificance</t>
  </si>
  <si>
    <t>Historic Significance</t>
  </si>
  <si>
    <t>The recognized historic significance of a site and/or facility, if any.</t>
  </si>
  <si>
    <t>HistoricSignificanceCode</t>
  </si>
  <si>
    <t>HIM</t>
  </si>
  <si>
    <t>historicalMonument</t>
  </si>
  <si>
    <t>Historical Monument</t>
  </si>
  <si>
    <t>An indication that a feature is identifiable because of particular historical, national, regional, local, religious or symbolic significance.</t>
  </si>
  <si>
    <t>It is usually accessible to the general public, however visitors may be charged for admission to the monument or its vicinity.</t>
  </si>
  <si>
    <t>HTS</t>
  </si>
  <si>
    <t>hitsSpecialCharacter</t>
  </si>
  <si>
    <t>HITS Special Characteristics</t>
  </si>
  <si>
    <t>A description of any special characteristics of a Hull Integrity Test Site (HITS).</t>
  </si>
  <si>
    <t>For example, a canyon, a pinnacle, or a flat.</t>
  </si>
  <si>
    <t>TextNonLex255</t>
  </si>
  <si>
    <t>HTZ</t>
  </si>
  <si>
    <t>hitsTestZone</t>
  </si>
  <si>
    <t>HITS Test Zone</t>
  </si>
  <si>
    <t>The test zone within a Hull Integrity Test Site (HITS).</t>
  </si>
  <si>
    <t>HitsTestZoneCode</t>
  </si>
  <si>
    <t>HPD</t>
  </si>
  <si>
    <t>holdingProcDescription</t>
  </si>
  <si>
    <t>Holding Procedure Description</t>
  </si>
  <si>
    <t>A textual description of the holding procedure.</t>
  </si>
  <si>
    <t>HPI</t>
  </si>
  <si>
    <t>holdingProcInboundCourse</t>
  </si>
  <si>
    <t>Holding Procedure Inbound Course</t>
  </si>
  <si>
    <t>The radial, course or bearing to the holding fix on which the holding pattern is based.</t>
  </si>
  <si>
    <t>The outbound course is the reciprocal (opposite direction) of the inbound course.</t>
  </si>
  <si>
    <t>HPL</t>
  </si>
  <si>
    <t>holdingProcLength</t>
  </si>
  <si>
    <t>Holding Procedure Length</t>
  </si>
  <si>
    <t>The longitudinal extent of the inbound leg of the holding pattern.</t>
  </si>
  <si>
    <t>HLL</t>
  </si>
  <si>
    <t>holdingProcLowerLimit</t>
  </si>
  <si>
    <t>Holding Procedure Lower Limit</t>
  </si>
  <si>
    <t>The minimum holding procedure altitude or flight level allowed for all aircraft categories at all defined speeds.</t>
  </si>
  <si>
    <t>HPT</t>
  </si>
  <si>
    <t>holdingProcTime</t>
  </si>
  <si>
    <t>Holding Procedure Time</t>
  </si>
  <si>
    <t>The length of time that the aircraft should maintain track on the inbound leg of the holding pattern.</t>
  </si>
  <si>
    <t>Standard inbound leg times are: 1 minute if at or below 4250 metres (14,000 feet), 1.5 minutes if above 4250 metres (14,000 feet).</t>
  </si>
  <si>
    <t>HPY</t>
  </si>
  <si>
    <t>holdingProcType</t>
  </si>
  <si>
    <t>Holding Procedure Type</t>
  </si>
  <si>
    <t>The applicable phase(s) of flight for the specified holding procedure.</t>
  </si>
  <si>
    <t>For example: en-route holding, or terminal area holding.</t>
  </si>
  <si>
    <t>HoldingProcTypeCode</t>
  </si>
  <si>
    <t>HUL</t>
  </si>
  <si>
    <t>holdingProcUpperLimit</t>
  </si>
  <si>
    <t>Holding Procedure Upper Limit</t>
  </si>
  <si>
    <t>The maximum holding procedure altitude or flight level allowed for all aircraft categories at all defined speeds.</t>
  </si>
  <si>
    <t>HHD</t>
  </si>
  <si>
    <t>homogenHabitDistrib</t>
  </si>
  <si>
    <t>Homogenous Habitation Distribution</t>
  </si>
  <si>
    <t>An indication that a settled area contains a relatively homogeneous distribution of dwellings.</t>
  </si>
  <si>
    <t>Non-homogenous distributions result from the concentration of dwellings around multiple dispersed points within the settled area.</t>
  </si>
  <si>
    <t>ACC</t>
  </si>
  <si>
    <t>horizAccuracyCategory</t>
  </si>
  <si>
    <t>Horizontal Accuracy Category</t>
  </si>
  <si>
    <t>A general evaluation of the horizontal accuracy of the geographic position of a feature, as a category.</t>
  </si>
  <si>
    <t>HorizAccuracyCategoryCode</t>
  </si>
  <si>
    <t>HLI</t>
  </si>
  <si>
    <t>horizontalAlarmLimit</t>
  </si>
  <si>
    <t>Horizontal Alarm Limit</t>
  </si>
  <si>
    <t>The radius of a circle in the horizontal plane (the local plane tangent to the WGS-84 ellipsoid), which represents the maximum acceptable magnitude of error introduced by the navigation system, and yet still be usable for precision instrument approach operations.</t>
  </si>
  <si>
    <t>The value ranges between 0.0 and 50.8 metres, inclusive, in steps of 0.2 metre.</t>
  </si>
  <si>
    <t>HCA</t>
  </si>
  <si>
    <t>horizontalClearance</t>
  </si>
  <si>
    <t>Horizontal Clearance</t>
  </si>
  <si>
    <t>The distance available to pass a load that extends laterally beyond the wheels of a vehicle.</t>
  </si>
  <si>
    <t>HUA</t>
  </si>
  <si>
    <t>hsipUrbanAreaIntRank</t>
  </si>
  <si>
    <t>HSIP Urbanized Area of Interest Rank</t>
  </si>
  <si>
    <t>A unique positive integer value denoting the 'rank' of a Homeland Security Infrastructure Program (HSIP) Urbanized Area of Interest where increasing values indicate decreasing rank.</t>
  </si>
  <si>
    <t>An HSIP Urbanized Area of Interest is a contiguous and relatively compact built-up area identified as of significance to the Homeland Security Infrastructure Program (HSIP) and delineated by the perimeter of a set of adjoining U.S. Geological Survey seven and one-half arc minute Topographic Quadrangle sheets including that area in its entirety. The extent of the built-up area is based on multiple considerations including: Census 2000 urban areas and clusters, population distribution, and political boundaries. Where appropriate the extent of the built-up area may be extended to include nearby major airports and/or nuclear power stations.</t>
  </si>
  <si>
    <t>IntegerPositive</t>
  </si>
  <si>
    <t>HLK</t>
  </si>
  <si>
    <t>hulkType</t>
  </si>
  <si>
    <t>Hulk Type</t>
  </si>
  <si>
    <t>The type of a hulk or permanently moored vessel based on its structure and/or use(s).</t>
  </si>
  <si>
    <t>For example, in the 19th Century with the advent of the steel-hulled steam-propelled warship, many proud first class ships-of-the-line were permanently moored, demasted, and turned into floating barracks or even prisons and/or brigs.</t>
  </si>
  <si>
    <t>HulkTypeCode</t>
  </si>
  <si>
    <t>HHA</t>
  </si>
  <si>
    <t>humanHazard</t>
  </si>
  <si>
    <t>Human Hazard</t>
  </si>
  <si>
    <t>The type(s) of a possible danger to human activity (for example: slipping) which may be present due to naturally occuring conditions (for example: algae covered rocks).</t>
  </si>
  <si>
    <t>HumanHazardCode</t>
  </si>
  <si>
    <t>HRA</t>
  </si>
  <si>
    <t>humReliefAdminRegionType</t>
  </si>
  <si>
    <t>Humanitarian Relief Administrative Region Type</t>
  </si>
  <si>
    <t>The type of an administrative region based on the humanitarian relief organization that manages the region and provides relief efforts in the area.</t>
  </si>
  <si>
    <t>HumReliefAdminRegionTypeCode</t>
  </si>
  <si>
    <t>HBH</t>
  </si>
  <si>
    <t>hydrographicBaseHeight</t>
  </si>
  <si>
    <t>Hydrographic Base Height</t>
  </si>
  <si>
    <t>The height from a specified sounding datum to the bottom or base of a feature (for example: the base of a lighthouse).</t>
  </si>
  <si>
    <t>HBR</t>
  </si>
  <si>
    <t>hydroBaseRef</t>
  </si>
  <si>
    <t>Hydrographic Base Reference</t>
  </si>
  <si>
    <t>The sounding datum to which the hydrographic base height is referenced.</t>
  </si>
  <si>
    <t>It is usually taken to correspond to a high water stage of the tide.</t>
  </si>
  <si>
    <t>HydroBaseSoundingDatumCode</t>
  </si>
  <si>
    <t>HBN</t>
  </si>
  <si>
    <t>hydroBaseRefName</t>
  </si>
  <si>
    <t>Hydrographic Base Reference Name</t>
  </si>
  <si>
    <t>The name of the sounding datum to which the hydrographic base height is referenced.</t>
  </si>
  <si>
    <t>Used when the reference datum is known but not specified using Attribute: 'Hydrographic Base Reference'.</t>
  </si>
  <si>
    <t>HDP</t>
  </si>
  <si>
    <t>hydrographicDepth</t>
  </si>
  <si>
    <t>Hydrographic Depth</t>
  </si>
  <si>
    <t>The depth from a specified sounding datum to the top or surface of a feature (for example: the bottom of a water body).</t>
  </si>
  <si>
    <t>Recorded depth values are usually positive, however in the case of drying heights they are negative.</t>
  </si>
  <si>
    <t>HDH</t>
  </si>
  <si>
    <t>hydrographicDryingHeight</t>
  </si>
  <si>
    <t>Hydrographic Drying Height</t>
  </si>
  <si>
    <t>The height of the feature, which tidal waters cover and uncover, referenced to a specified sounding datum.</t>
  </si>
  <si>
    <t>NSC</t>
  </si>
  <si>
    <t>hydrographicNavaidSystem</t>
  </si>
  <si>
    <t>Hydrographic NAVAID System</t>
  </si>
  <si>
    <t>The marking and numbering system followed by a hydrographic aid to navigation.</t>
  </si>
  <si>
    <t>HydrographicNavaidSystemCode</t>
  </si>
  <si>
    <t>HOF</t>
  </si>
  <si>
    <t>hydrologicOceanFront</t>
  </si>
  <si>
    <t>Hydrologic Oceanographic Front</t>
  </si>
  <si>
    <t>An indication that the existence and duration of an oceanographic boundary are determined by a land runoff event outside of the rainy season or any other prescribed season.</t>
  </si>
  <si>
    <t>The time scale of appearance is shorter than any seasonal description.</t>
  </si>
  <si>
    <t>HYP</t>
  </si>
  <si>
    <t>hydrologicPersistence</t>
  </si>
  <si>
    <t>Hydrologic Persistence</t>
  </si>
  <si>
    <t>The degree of persistence of water in an inland water body (for example: a spring, a flowing stream, a lake or a pond).</t>
  </si>
  <si>
    <t>Inland water bodies may also include, for example, crevices, ditches, fountains, and water troughs.</t>
  </si>
  <si>
    <t>HydrologicPersistenceCode</t>
  </si>
  <si>
    <t>HQC</t>
  </si>
  <si>
    <t>hypsographyPortrayalType</t>
  </si>
  <si>
    <t>Hypsography Portrayal Type</t>
  </si>
  <si>
    <t>The type of a hypsographic portrayal line (for example: a contour line) based on the topography represented and/or portrayal interval.</t>
  </si>
  <si>
    <t>A contour line is an imaginary line on the ground connecting an infinite number of points of equal elevation. The vertical measurement between two contour lines is called the contour interval. Contour lines are numbered to indicate the elevation value of the contour line.</t>
  </si>
  <si>
    <t>HypsographyPortrayalTypeCode</t>
  </si>
  <si>
    <t>IAA</t>
  </si>
  <si>
    <t>ialaAOrBAdopted</t>
  </si>
  <si>
    <t>IALA A or B Adopted</t>
  </si>
  <si>
    <t>An indication that an International Association of Marine Aids to Navigation and Lighthouse Authorities (IALA) bouyage system has been adopted by the national authority.</t>
  </si>
  <si>
    <t>ITA</t>
  </si>
  <si>
    <t>iataLocationIdentifier</t>
  </si>
  <si>
    <t>IATA Location Identifier</t>
  </si>
  <si>
    <t>The identifier that is assigned to a location in accordance with rules (resolution 767) governed by the International Air Transport Association (IATA).</t>
  </si>
  <si>
    <t>These location identifiers may not be unique.</t>
  </si>
  <si>
    <t>IataLocationIdentifierStrucText</t>
  </si>
  <si>
    <t>IKC</t>
  </si>
  <si>
    <t>icaoCompliant</t>
  </si>
  <si>
    <t>ICAO Compliant</t>
  </si>
  <si>
    <t>An indication that the service is compliant with the International Civil Aviation Organization (ICAO) standards and recommended practices specified for this type of service.</t>
  </si>
  <si>
    <t>IKO</t>
  </si>
  <si>
    <t>icaoLocationIndicator</t>
  </si>
  <si>
    <t>ICAO Location Indicator</t>
  </si>
  <si>
    <t>The identifier that is assigned to a location in accordance with rules prescribed by the International Civil Aviation Organization (ICAO) in Document 7910.</t>
  </si>
  <si>
    <t>If available this indicator shall be used as primary for identification.</t>
  </si>
  <si>
    <t>ICAO Location Identifier</t>
  </si>
  <si>
    <t>IcaoLocationIndicatorStrucText</t>
  </si>
  <si>
    <t>IKT</t>
  </si>
  <si>
    <t>icaoPathTerminatorType</t>
  </si>
  <si>
    <t>ICAO Path Terminator Type</t>
  </si>
  <si>
    <t>A specific code or set of codes describing the type of aircraft flight path along a segment of a procedure, as well as a specific type of termination of that flight path, as specified by the International Civil Aviation Organization (ICAO).</t>
  </si>
  <si>
    <t>Path terminators are assigned to all Area Navigation (RNAV), Standard Instrument Departure (SID), Standard Terminal Arrival Route (STAR) and Instrument Approach Procedure (IAP) segments in an airborne navigation database, and are defined in Procedures for Air Navigation Services - Aircraft Operations (PANS-OPS) Volume 2, Chapter 5. In the case of multiple occurring codes, the ordering indicates the sequence in which the procedure leg in intended to be flown by the flight management system of the aircraft.</t>
  </si>
  <si>
    <t>IcaoPathTerminatorTypeCode</t>
  </si>
  <si>
    <t>ILB</t>
  </si>
  <si>
    <t>ilsBearingCourse</t>
  </si>
  <si>
    <t>ILS Bearing Course</t>
  </si>
  <si>
    <t>Indicates directional information leading to the localizer facility.</t>
  </si>
  <si>
    <t>Specified in degrees and tenths of degrees. The bearing/course to the localizer facility is used for final approach guidance.</t>
  </si>
  <si>
    <t>IRM</t>
  </si>
  <si>
    <t>imageRectificationMethod</t>
  </si>
  <si>
    <t>Image Rectification Method</t>
  </si>
  <si>
    <t>The type of rectification process that was used to conform an image to align it with a standard coordinate system (for example: a map projection).</t>
  </si>
  <si>
    <t>ImageRectificationMethodCode</t>
  </si>
  <si>
    <t>IRS</t>
  </si>
  <si>
    <t>imageRmsError</t>
  </si>
  <si>
    <t>Image RMS Error</t>
  </si>
  <si>
    <t>The Root Mean Square (RMS) positional error resulting from the process of rectifying an image.</t>
  </si>
  <si>
    <t>Image rectification is a process that corrects a distorted image so that it can be aligned with a standard coordinate system.</t>
  </si>
  <si>
    <t>IAS</t>
  </si>
  <si>
    <t>imoAdopted</t>
  </si>
  <si>
    <t>IMO Adopted</t>
  </si>
  <si>
    <t>An indication that a Traffic Separation Scheme (TSS) has been adopted by the International Maritime Organization (IMO).</t>
  </si>
  <si>
    <t>ICO</t>
  </si>
  <si>
    <t>inboundCourse</t>
  </si>
  <si>
    <t>Inbound Course</t>
  </si>
  <si>
    <t>The specific heading in which an aircraft must fly when arriving at an Air Traffic Service (ATS) route significant point while travelling along an enroute ATS route.</t>
  </si>
  <si>
    <t>MII</t>
  </si>
  <si>
    <t>influenceMineActuation</t>
  </si>
  <si>
    <t>Influence Mine Actuation Method</t>
  </si>
  <si>
    <t>The method used to trigger an influence explosive mine.</t>
  </si>
  <si>
    <t>InfluenceMineActuationCode</t>
  </si>
  <si>
    <t>IVA</t>
  </si>
  <si>
    <t>infoServiceVoiceAvailable</t>
  </si>
  <si>
    <t>Information Service Voice Available</t>
  </si>
  <si>
    <t>An indication that the information service is provided as voice messages.</t>
  </si>
  <si>
    <t>IWO</t>
  </si>
  <si>
    <t>inlandWaterObstruction</t>
  </si>
  <si>
    <t>Inland Water Obstruction</t>
  </si>
  <si>
    <t>An indication that a feature in an inland waterbody is an obstruction to vessel movement.</t>
  </si>
  <si>
    <t>IWT</t>
  </si>
  <si>
    <t>inlandWaterType</t>
  </si>
  <si>
    <t>Inland Water Type</t>
  </si>
  <si>
    <t>The type of an inland water based on its principal characteristics.</t>
  </si>
  <si>
    <t>InlandWaterTypeCode</t>
  </si>
  <si>
    <t>NAO</t>
  </si>
  <si>
    <t>installationOperator</t>
  </si>
  <si>
    <t>Installation Operator</t>
  </si>
  <si>
    <t>The name of the company or authority operating an installation.</t>
  </si>
  <si>
    <t>INY</t>
  </si>
  <si>
    <t>installationType</t>
  </si>
  <si>
    <t>Installation Type</t>
  </si>
  <si>
    <t>The type of a grouping of facilities, located in the same vicinity, which support particular functions.</t>
  </si>
  <si>
    <t>InstallationTypeCode</t>
  </si>
  <si>
    <t>IFR</t>
  </si>
  <si>
    <t>instApproachProcFixRole</t>
  </si>
  <si>
    <t>Instrument Approach Procedure (IAP) Fix Role</t>
  </si>
  <si>
    <t>The function of a significant point within an Instrument Approach Procedure (IAP).</t>
  </si>
  <si>
    <t>For example: initial approach fix, final approach fix, or missed approach point.</t>
  </si>
  <si>
    <t>InstApproachProcFixRoleCode</t>
  </si>
  <si>
    <t>ILC</t>
  </si>
  <si>
    <t>ilsFacilityPerformanceCat</t>
  </si>
  <si>
    <t>Instrument Landing System (ILS) Facility Performance Category</t>
  </si>
  <si>
    <t>The category of the operations indicating the precision required for defined decision heights and visibility requirements.</t>
  </si>
  <si>
    <t>For example: CAT I, CAT II, or CAT III.</t>
  </si>
  <si>
    <t>IlsFacilityPerfCategoryCode</t>
  </si>
  <si>
    <t>GPA</t>
  </si>
  <si>
    <t>ilsGlidePathAngle</t>
  </si>
  <si>
    <t>Instrument Landing System (ILS) Glide Path Angle</t>
  </si>
  <si>
    <t>The angle between a straight line which represents the mean of the Instrument Landing System (ILS) glide path and the horizontal plane at the base of the glide slope antenna.</t>
  </si>
  <si>
    <t>Slope Angle</t>
  </si>
  <si>
    <t>IGA</t>
  </si>
  <si>
    <t>ilsGlidePathAngleAcc</t>
  </si>
  <si>
    <t>Instrument Landing System (ILS) Glide Path Angle Accuracy</t>
  </si>
  <si>
    <t>The accuracy of the angle of the Instrument Landing System (ILS) glide path installation emission, as compared to the published glide path angle.</t>
  </si>
  <si>
    <t>IRD</t>
  </si>
  <si>
    <t>ilsReferenceDatumHeight</t>
  </si>
  <si>
    <t>Instrument Landing System (ILS) Reference Datum Height</t>
  </si>
  <si>
    <t>The height of a point that is located above the intersection of the runway centre line and the threshold and through which the downward extended straight portion of the glide path passes.</t>
  </si>
  <si>
    <t>IRA</t>
  </si>
  <si>
    <t>ilsReferenceDatumHeightAcc</t>
  </si>
  <si>
    <t>Instrument Landing System (ILS) Reference Datum Height Accuracy</t>
  </si>
  <si>
    <t>The accuracy of the iInstrument Landing System (ILS) Reference Datum Height (RDH), as compared to the published reference datum height location.</t>
  </si>
  <si>
    <t>IAE</t>
  </si>
  <si>
    <t>instProcAddEquipment</t>
  </si>
  <si>
    <t>Instrument Procedure Additional Equipment</t>
  </si>
  <si>
    <t>The set(s) of additional equipment needed to fly the instrument procedure in addition to that stated in the procedure name.</t>
  </si>
  <si>
    <t>InstProcAddEquipmentCode</t>
  </si>
  <si>
    <t>IAR</t>
  </si>
  <si>
    <t>internationalAtsRoute</t>
  </si>
  <si>
    <t>International Air Traffic Service (ATS) Route</t>
  </si>
  <si>
    <t>An indication that the route is part of the regional network of Air Traffic Service (ATS) routes, as defined by the ICAO regional Air Navigation Plan (ANP).</t>
  </si>
  <si>
    <t>IGB</t>
  </si>
  <si>
    <t>igbUniqueStationCode</t>
  </si>
  <si>
    <t>International Gravimetric Bureau (IGB) Unique Station Code</t>
  </si>
  <si>
    <t>A unique identification number, assigned by the IGB, that is used to identify a base gravity station for reference in relation to a survey point.</t>
  </si>
  <si>
    <t>IgbUniqueStationCodeStrucText</t>
  </si>
  <si>
    <t>CSC</t>
  </si>
  <si>
    <t>intersectionControlType</t>
  </si>
  <si>
    <t>Intersection Control Type</t>
  </si>
  <si>
    <t>The type of route intersection traffic control based on the method(s) of warning and/or control.</t>
  </si>
  <si>
    <t>IntersectionControlTypeCode</t>
  </si>
  <si>
    <t>IND</t>
  </si>
  <si>
    <t>inundationDateTime</t>
  </si>
  <si>
    <t>Inundation Date and Time</t>
  </si>
  <si>
    <t>A date and, optionally, time on which a tract was inundated by water.</t>
  </si>
  <si>
    <t>InundationDateTimeStrucText</t>
  </si>
  <si>
    <t>INU</t>
  </si>
  <si>
    <t>inundationType</t>
  </si>
  <si>
    <t>Inundation Type</t>
  </si>
  <si>
    <t>The type of an inundation based on the cause of the flooding.</t>
  </si>
  <si>
    <t>InundationTypeCode</t>
  </si>
  <si>
    <t>IRG</t>
  </si>
  <si>
    <t>irrigationMethod</t>
  </si>
  <si>
    <t>Irrigation Method</t>
  </si>
  <si>
    <t>The method used to supply crops with water.</t>
  </si>
  <si>
    <t>IrrigationMethodCode</t>
  </si>
  <si>
    <t>IGN</t>
  </si>
  <si>
    <t>islandGroupName</t>
  </si>
  <si>
    <t>Island Group Name</t>
  </si>
  <si>
    <t>The name of the island or group of islands where the feature is located.</t>
  </si>
  <si>
    <t>IS1</t>
  </si>
  <si>
    <t>iso15924ScriptCode</t>
  </si>
  <si>
    <t>ISO 15924 Script Code</t>
  </si>
  <si>
    <t>The International Organization for Standardization (ISO 15924) four character code that designates a script.</t>
  </si>
  <si>
    <t>A script is a set of graphic characters used for the written form of one or more languages.</t>
  </si>
  <si>
    <t>Iso15924ScriptCodeStrucText</t>
  </si>
  <si>
    <t>IC1</t>
  </si>
  <si>
    <t>iso31661CountryCdAlpha2</t>
  </si>
  <si>
    <t>ISO 3166-1 Country Code (alpha2)</t>
  </si>
  <si>
    <t>The International Organization for Standardization (ISO 3166-1) two character code that designates a geopolitical entity (for example: a State).</t>
  </si>
  <si>
    <t>Also known as the 'alpha-2 code'. ISO changes to 'alpha-2 codes' are triggered by changes in the names of entities. Note that non-country 'reserved code elements' may be included (for example: 'EU' to designate the European Union).</t>
  </si>
  <si>
    <t>Iso31661CountryCodeListAlpha2</t>
  </si>
  <si>
    <t>IC2</t>
  </si>
  <si>
    <t>iso31661CountryCdAlpha3</t>
  </si>
  <si>
    <t>ISO 3166-1 Country Code (alpha3)</t>
  </si>
  <si>
    <t>The International Organization for Standardization (ISO 3166-1) three character code that designates a geopolitical entity (for example: a State).</t>
  </si>
  <si>
    <t>Also known as the 'alpha-3 code'. ISO changes to 'alpha-3 codes' are triggered by changes in the names of entities.</t>
  </si>
  <si>
    <t>Iso31661CountryCodeListAlpha3</t>
  </si>
  <si>
    <t>IC3</t>
  </si>
  <si>
    <t>iso31661CountryCdNumeric</t>
  </si>
  <si>
    <t>ISO 3166-1 Country Code (numeric)</t>
  </si>
  <si>
    <t>The International Organization for Standardization (ISO 3166-1) three digit number that designates a geopolitical entity (for example: a State).</t>
  </si>
  <si>
    <t>Also known as the 'numerical code'. ISO changes to 'numerical codes' are triggered by changes in the names of entities.</t>
  </si>
  <si>
    <t>Iso31661CountryCodeListNumeric</t>
  </si>
  <si>
    <t>IC4</t>
  </si>
  <si>
    <t>iso31661EngCountryName</t>
  </si>
  <si>
    <t>ISO 3166-1 English Country Name</t>
  </si>
  <si>
    <t>The International Organization for Standardization (ISO 3166-1) full name that designates a geopolitical entity (for example: a State).</t>
  </si>
  <si>
    <t>IC8</t>
  </si>
  <si>
    <t>iso31662SubdivisionCode</t>
  </si>
  <si>
    <t>ISO 3166-2 Country Subdivision Code</t>
  </si>
  <si>
    <t>The International Organization for Standardization (ISO 3166-2) four, five or six character code that includes the ISO 3166-1 alpha-2 code and a hyphen to designate a principal administrative subdivision of a geopolitical entity (for example: a State).</t>
  </si>
  <si>
    <t>For example, the US state of Virginia is designated as 'US-VA'.</t>
  </si>
  <si>
    <t>Iso31662SubdivisionCodeListAlpha5</t>
  </si>
  <si>
    <t>IC5</t>
  </si>
  <si>
    <t>iso31662SubdivisionExtCd</t>
  </si>
  <si>
    <t>ISO 3166-2 Country Subdivision Extension Code</t>
  </si>
  <si>
    <t>The International Organization for Standardization (ISO 3166-2) one, two or three character code that is used in conjunction with the ISO 3166-1 alpha-2 code and a hyphen to designate a principal administrative subdivision of a geopolitical entity (for example: a State).</t>
  </si>
  <si>
    <t>For example, the US state of Virginia is designated as 'VA' and appears in the full ISO 3166-2 code as 'US-VA'.</t>
  </si>
  <si>
    <t>Iso31662SubdivisionExtCodeListAlpha3</t>
  </si>
  <si>
    <t>IC6</t>
  </si>
  <si>
    <t>iso31662EngSubdivisionName</t>
  </si>
  <si>
    <t>ISO 3166-2 English Country Subdivision Name</t>
  </si>
  <si>
    <t>The International Organization for Standardization (ISO 3166-2) full name that designates a principal administrative subdivision of a geopolitical entity (for example: a State).</t>
  </si>
  <si>
    <t>IC7</t>
  </si>
  <si>
    <t>iso31663FormerCountryCd</t>
  </si>
  <si>
    <t>ISO 3166-3 Former Country Code</t>
  </si>
  <si>
    <t>The International Organization for Standardization (ISO 3166-1) four character code that designates an obsolete code for a geopolitical entity (for example: a State).</t>
  </si>
  <si>
    <t>For example, 'DDDE' to designate that the withdrawn code for East Germany ('DD') is now covered by the code 'DE', the current code for Germany.</t>
  </si>
  <si>
    <t>Iso31663FormerCountryCodeList</t>
  </si>
  <si>
    <t>ISS</t>
  </si>
  <si>
    <t>isolated</t>
  </si>
  <si>
    <t>Isolated</t>
  </si>
  <si>
    <t>An indication that a feature (for example: a structure) is in the open by itself, isolated from other features of a similar type, and thus is visually distinct from surrounding features when viewed from a distance.</t>
  </si>
  <si>
    <t>JAT</t>
  </si>
  <si>
    <t>jetAircraftStartUnitType</t>
  </si>
  <si>
    <t>Jet Aircraft Starting Unit (JASU) Type</t>
  </si>
  <si>
    <t>The type(s) of external starting capabilities for jet aircraft that are available at an aerodrome.</t>
  </si>
  <si>
    <t>A Jet Aircraft Starting Unit is also commonly referred as a 'JASU'.</t>
  </si>
  <si>
    <t>JetAircraftStartUnitTypeCode</t>
  </si>
  <si>
    <t>JAC</t>
  </si>
  <si>
    <t>jetAircraftStartUnitCount</t>
  </si>
  <si>
    <t>Jet Aircraft Starting Unit Count</t>
  </si>
  <si>
    <t>The number of jet aircraft starting units per type available for use at an aerodrome.</t>
  </si>
  <si>
    <t>JSN</t>
  </si>
  <si>
    <t>jogSheetNumber</t>
  </si>
  <si>
    <t>JOG Sheet Number</t>
  </si>
  <si>
    <t>A general location specified by the designation of a Joint Operations Graphic (JOG) map sheet within which whose extent the location falls.</t>
  </si>
  <si>
    <t>The sheet number is based on the worldwide numbering system established for the International Map of the World (IMW) at 1:1,000,000 scale. Sheet numbers are developed from established subdivisions of the 1:1,000,000 scale maps. The number of 1:250,000 scale JOG sheets that cover a single IMW sheet varies from 12 to 16, depending on geographic latitude.</t>
  </si>
  <si>
    <t>JogSheetNumberStrucText</t>
  </si>
  <si>
    <t>JOP</t>
  </si>
  <si>
    <t>jointOilAnalysisProgCert</t>
  </si>
  <si>
    <t>Joint Oil Analysis Program (JOAP) Certified</t>
  </si>
  <si>
    <t>The facility is certified to perform oil analysis for the U.S. military in accordance with Joint Ail Analysis Program (JOAP) regulations.</t>
  </si>
  <si>
    <t>According to JOAP procedures the facility must provide oil analysis support to the other services within its capabilities. The JOAP uses oil analysis as a maintenance diagnostic tool to determine the internal condition of aeronautical and non-aeronautical engines, transmissions, and gearboxes, and their oil-wetted components through the analysis of used lubricating oils, grease, and fluids. Its goal is flight safety, enhanced equipment readiness, reduced maintenance costs, and the extension of component life and determine the suitability of lubricants and fluids for continued use, resulting in savings and early detection of harmful conditions that, if not corrected, could promote premature component failure.</t>
  </si>
  <si>
    <t>M21</t>
  </si>
  <si>
    <t>keyword</t>
  </si>
  <si>
    <t>Keyword</t>
  </si>
  <si>
    <t>A common-use word or phrase that may be used as a keyword.</t>
  </si>
  <si>
    <t>M22</t>
  </si>
  <si>
    <t>type</t>
  </si>
  <si>
    <t>Keyword Type</t>
  </si>
  <si>
    <t>The category of one or more keywords.</t>
  </si>
  <si>
    <t>MD_KeywordTypeCode</t>
  </si>
  <si>
    <t>LND</t>
  </si>
  <si>
    <t>landMorphology</t>
  </si>
  <si>
    <t>Land Morphology</t>
  </si>
  <si>
    <t>The shape and/or configuration of the land surface as a whole or in a localized area.</t>
  </si>
  <si>
    <t>LandMorphologyCode</t>
  </si>
  <si>
    <t>landingDistanceAvailable</t>
  </si>
  <si>
    <t>Landing Distance Available (LDA)</t>
  </si>
  <si>
    <t>The length of runway which is declared available and suitable for the ground run of an aircraft when landing.</t>
  </si>
  <si>
    <t xml:space="preserve">LDA </t>
  </si>
  <si>
    <t>LD1</t>
  </si>
  <si>
    <t>landingDistanceAvailCopter</t>
  </si>
  <si>
    <t>Landing Distance Available Helicopter (LDAH)</t>
  </si>
  <si>
    <t>The length of the final approach and take-off area plus any additional area declared available and suitable for helicopters to complete the landing manoeuvre from a defined height.</t>
  </si>
  <si>
    <t>LDAH</t>
  </si>
  <si>
    <t>LHC</t>
  </si>
  <si>
    <t>landslideHazardCategory</t>
  </si>
  <si>
    <t>Landslide Hazard Category</t>
  </si>
  <si>
    <t>The probability range of landslide susceptibility, occurrence and/or related hazard, as a category.</t>
  </si>
  <si>
    <t>LandslideHazardCategoryCode</t>
  </si>
  <si>
    <t>LTI</t>
  </si>
  <si>
    <t>landTied</t>
  </si>
  <si>
    <t>Land-tied</t>
  </si>
  <si>
    <t>An indication that a coastal island is connected to the mainland by barrier beaches, levees or dykes.</t>
  </si>
  <si>
    <t>For example, a tombolo.</t>
  </si>
  <si>
    <t>M17</t>
  </si>
  <si>
    <t>language</t>
  </si>
  <si>
    <t>Language</t>
  </si>
  <si>
    <t>The language used for the character-based content of a resource.</t>
  </si>
  <si>
    <t>LAN</t>
  </si>
  <si>
    <t>languageCode</t>
  </si>
  <si>
    <t>Language Code</t>
  </si>
  <si>
    <t>The International Organization for Standardization (ISO 639-3) three character code that designates the language or macrolanguage of the source of a geographic name.</t>
  </si>
  <si>
    <t>A macrolanguage is a set of closely related language varieties (dialects) that generally have a common linguistic identity and a common written form; this may occur when there is a transitional socio-linguistic situation in which sub-communities of a single language community are diverging. The language of the geographic name source should be distinguished from the language of origin or etymology of a geographic name; for example, considering the place name 'San Jose, California' the language of the source of this geographic name may be English if it is determined from a United States map, regardless of the fact that this geographic name means 'St. Joseph, California' in Spanish.</t>
  </si>
  <si>
    <t>LanguageStrucText</t>
  </si>
  <si>
    <t>LAD</t>
  </si>
  <si>
    <t>languageDialectCode</t>
  </si>
  <si>
    <t>Language Dialect Code</t>
  </si>
  <si>
    <t>The International Organization for Standardization (ISO 639-3) three character code that designates the language dialect, if applicable, of the source of a geographic name.</t>
  </si>
  <si>
    <t>Some languages have no (child) dialects. Each language dialect is unique to only one parent language.</t>
  </si>
  <si>
    <t>LanguageDialectStrucText</t>
  </si>
  <si>
    <t>LDD</t>
  </si>
  <si>
    <t>lastDetectionDateTime</t>
  </si>
  <si>
    <t>Last Detection Date and Time</t>
  </si>
  <si>
    <t>The date and, optionally, time that an object was most recently detected and analyzed.</t>
  </si>
  <si>
    <t>LastDetectionDateTimeStrucText</t>
  </si>
  <si>
    <t>LRE</t>
  </si>
  <si>
    <t>lastRecordedEruptDateTime</t>
  </si>
  <si>
    <t>Last Recorded Eruption Date and Time</t>
  </si>
  <si>
    <t>The date and, optionally, time of the most recent eruption of a volcano taken from the historical record or if not available, estimated from the geologic record.</t>
  </si>
  <si>
    <t>LastRecordedEruptDateTimeStrucText</t>
  </si>
  <si>
    <t>LR1</t>
  </si>
  <si>
    <t>leadRadial</t>
  </si>
  <si>
    <t>Lead Radial</t>
  </si>
  <si>
    <t>A radial or bearing which provides the appropriate lead distance to assist in turning onto the next segment of an Instrument Approach Procedure (IAP).</t>
  </si>
  <si>
    <t>LEA</t>
  </si>
  <si>
    <t>leastDepthBelowSurfLevel</t>
  </si>
  <si>
    <t>Least Depth Below Surface Level</t>
  </si>
  <si>
    <t>The distance measured from ground or water level (uphill/upstream side of the feature) to the highest point of a feature located completely underground.</t>
  </si>
  <si>
    <t>For example, in the case of an underground dwelling the least depth below surface level would be measured to its ceiling. The least depth below surface level may be located at ground or water level and therefore have a value of zero (for example: an opencast extraction mine, a terrain depression or a lake). For depths defined with respect to a time-varying water level, consideration should be given to the use of Attribute: 'Hydrographic Depth'.</t>
  </si>
  <si>
    <t>BWL</t>
  </si>
  <si>
    <t>leftBelowWaterBankSlope</t>
  </si>
  <si>
    <t>Left Below Water Bank Slope</t>
  </si>
  <si>
    <t>The amount of downward inclination between the horizontal surface of the mean water level of a watercourse where it touches the left bank and the first break in underwater slope.</t>
  </si>
  <si>
    <t>The left bank is determined by facing downstream (in the direction of flow). The (percent) slope is determined as the change in depth divided by the horizontal distance over which the change takes place, multiplied by one hundred: ((h2-h1)/d)*100.</t>
  </si>
  <si>
    <t>LSE</t>
  </si>
  <si>
    <t>legSeparation</t>
  </si>
  <si>
    <t>Leg Separation</t>
  </si>
  <si>
    <t>The distance between the two parallel segments of a refuelling anchor pattern.</t>
  </si>
  <si>
    <t>LZN</t>
  </si>
  <si>
    <t>The dimension of a feature taken along its primary alignment of use and generally in the horizontal plane.</t>
  </si>
  <si>
    <t>The primary alignment of a feature is its established direction of flow or use (for example: a road, a power line, a river, a rapid, and/or a bridge). A feature-specific rule may apply. In the case of a bridge, the length is the distance between the bridge abutments along the bridge centreline. In the case of a dam, the length is the distance along the dam crest. If no established direction of flow or use exists then (1) if the feature is irregular in shape its length is its greatest horizontal dimension (see Attribute: 'Greatest Horizontal Extent'), else (2) if the feature is regular in shape then a shape-specific rule may apply: for a rectangular feature, the length of the longer axis; for a round feature, the diameter.</t>
  </si>
  <si>
    <t>LOR</t>
  </si>
  <si>
    <t>lengthOfRange</t>
  </si>
  <si>
    <t>Length of Range</t>
  </si>
  <si>
    <t>Length of range established by aids to navigation on the shore.</t>
  </si>
  <si>
    <t>LCA</t>
  </si>
  <si>
    <t>liftingCapacity</t>
  </si>
  <si>
    <t>Lifting Capacity</t>
  </si>
  <si>
    <t>The maximum weight that can be safely raised by a lifting device (for example: a crane).</t>
  </si>
  <si>
    <t>LCN</t>
  </si>
  <si>
    <t>lightCharacteristicNumber</t>
  </si>
  <si>
    <t>Light Characteristic Number</t>
  </si>
  <si>
    <t>The number of flashes/occultations in a group flashing/occulting light character.</t>
  </si>
  <si>
    <t>EOL</t>
  </si>
  <si>
    <t>lightElevation</t>
  </si>
  <si>
    <t>Light Elevation</t>
  </si>
  <si>
    <t>The height of a light measured from a specified datum (for example: vertical or sounding), usually high water, as defined by the National agency.</t>
  </si>
  <si>
    <t>When used with a buoy the elevation is measured from the water surface; when used with a lighthouse the elevation is typically measured from ground level.</t>
  </si>
  <si>
    <t>LSA</t>
  </si>
  <si>
    <t>lightSectorAngle</t>
  </si>
  <si>
    <t>Light Sector Angle</t>
  </si>
  <si>
    <t>The horizontal angular width of a light sector to which the visibility of a light is limited.</t>
  </si>
  <si>
    <t>The limits of light sectors (arcs of visibility) are arranged clockwise and are given from seaward toward the central object.</t>
  </si>
  <si>
    <t>LSI</t>
  </si>
  <si>
    <t>lightSectorInitialLimit</t>
  </si>
  <si>
    <t>Light Sector Initial Limit</t>
  </si>
  <si>
    <t>The initial angular limit of visibility of a light sector expressed as a bearing from seaward to the central object.</t>
  </si>
  <si>
    <t>The order of sector initial limit and sector terminal limit is clockwise around the central object. The bearing direction conforms with the method used in 'List of Lights' publications.</t>
  </si>
  <si>
    <t>LST</t>
  </si>
  <si>
    <t>lightSectorTerminalLimit</t>
  </si>
  <si>
    <t>Light Sector Terminal Limit</t>
  </si>
  <si>
    <t>The terminal angular limit of visibility of a light sector expressed as a bearing from seaward to the central object.</t>
  </si>
  <si>
    <t>LIS</t>
  </si>
  <si>
    <t>lightSystemIntensity</t>
  </si>
  <si>
    <t>Light System Intensity</t>
  </si>
  <si>
    <t>The intensity level of the aerodrome lighting system.</t>
  </si>
  <si>
    <t>For example: high, medium, or low.</t>
  </si>
  <si>
    <t>LightSystemIntensityCode</t>
  </si>
  <si>
    <t>LIV</t>
  </si>
  <si>
    <t>lightSystemIntVariable</t>
  </si>
  <si>
    <t>Light System Intensity Variability</t>
  </si>
  <si>
    <t>The variability of the intensity of an aerodrome lighting system.</t>
  </si>
  <si>
    <t>For example: fixed.</t>
  </si>
  <si>
    <t>LightSystemIntVariableCode</t>
  </si>
  <si>
    <t>VIS</t>
  </si>
  <si>
    <t>lightVisibility</t>
  </si>
  <si>
    <t>Light Visibility</t>
  </si>
  <si>
    <t>The type of specific visibilities of a light based on the light's intensity and ease of recognition.</t>
  </si>
  <si>
    <t>LightVisibilityCode</t>
  </si>
  <si>
    <t>LWI</t>
  </si>
  <si>
    <t>lightedWindIndicPresent</t>
  </si>
  <si>
    <t>Lighted Wind Indicator Present</t>
  </si>
  <si>
    <t>An indication that an aircraft facility has an available lighted wind indicator.</t>
  </si>
  <si>
    <t>LAC</t>
  </si>
  <si>
    <t>limitOfAnchorsChains</t>
  </si>
  <si>
    <t>Limit of Anchors and Chains</t>
  </si>
  <si>
    <t>The radius of a circular area, originating at the object's position or center, within which the existence of chains and/or anchors are considered to be a hazard.</t>
  </si>
  <si>
    <t>MLO</t>
  </si>
  <si>
    <t>limitsPhysicallyBased</t>
  </si>
  <si>
    <t>Limit(s) Physically Based</t>
  </si>
  <si>
    <t>An indication that the limit(s) of a maritime area are based on permanent physical features.</t>
  </si>
  <si>
    <t>G15</t>
  </si>
  <si>
    <t>lineSegmentGeometry</t>
  </si>
  <si>
    <t>Line Segment Geometry</t>
  </si>
  <si>
    <t>A pair of geometric points joined by a straight (linearly interpolated in the coordinate reference system) line.</t>
  </si>
  <si>
    <t>GmLineSegment</t>
  </si>
  <si>
    <t>G16</t>
  </si>
  <si>
    <t>lineStringGeometry</t>
  </si>
  <si>
    <t>Line String Geometry</t>
  </si>
  <si>
    <t>A sequence of straight (linearly interpolated in the coordinate reference system) geometric line segments.</t>
  </si>
  <si>
    <t>GmLineString</t>
  </si>
  <si>
    <t>L01</t>
  </si>
  <si>
    <t>statement</t>
  </si>
  <si>
    <t>Lineage Statement</t>
  </si>
  <si>
    <t>A general explanation of the resource providers knowledge regarding the lineage of the content of a resource.</t>
  </si>
  <si>
    <t>RTA</t>
  </si>
  <si>
    <t>linearFeatureArrangement</t>
  </si>
  <si>
    <t>Linear Feature Arrangement</t>
  </si>
  <si>
    <t>The arrangement of parallel linear features on a single support structure including both directions (if applicable).</t>
  </si>
  <si>
    <t>For example, two railways sharing a single roadbed.</t>
  </si>
  <si>
    <t>LinearFeatureArrangementCode</t>
  </si>
  <si>
    <t>LC1</t>
  </si>
  <si>
    <t>loadClassType1</t>
  </si>
  <si>
    <t>Load Class Type 1</t>
  </si>
  <si>
    <t>The dynamic live load weight-bearing capacity of a bridge or bridge span for one-way, wheeled vehicle traffic in MLC units.</t>
  </si>
  <si>
    <t>Military load classification values are calculated in part from the size, cross-sectional shape, and material of the stringers under the bridge span; they are similar to, but not the same as, short tons. See STANAGs 2021 and 2253 for the method of calculation.</t>
  </si>
  <si>
    <t>LC2</t>
  </si>
  <si>
    <t>loadClassType2</t>
  </si>
  <si>
    <t>Load Class Type 2</t>
  </si>
  <si>
    <t>The dynamic live load weight-bearing capacity of a bridge or bridge span for two-way, wheeled vehicle traffic in MLC units.</t>
  </si>
  <si>
    <t>LC3</t>
  </si>
  <si>
    <t>loadClassType3</t>
  </si>
  <si>
    <t>Load Class Type 3</t>
  </si>
  <si>
    <t>The dynamic live load weight-bearing capacity of a bridge or bridge span for one-way, tracked vehicle traffic in MLC units.</t>
  </si>
  <si>
    <t>LC4</t>
  </si>
  <si>
    <t>loadClassType4</t>
  </si>
  <si>
    <t>Load Class Type 4</t>
  </si>
  <si>
    <t>The dynamic live load weight-bearing capacity of a bridge or bridge span for two-way, tracked vehicle traffic in MLC units.</t>
  </si>
  <si>
    <t>LCX</t>
  </si>
  <si>
    <t>loadClassificationNumber</t>
  </si>
  <si>
    <t>Load Classification Number (LCN)</t>
  </si>
  <si>
    <t>A value which denotes the peak being moment the surface can handle repeatedly without shortening its service life.</t>
  </si>
  <si>
    <t>Based on the United States Air Force/DoD LCN/LCG System.</t>
  </si>
  <si>
    <t>IntegerNonNeg0to120</t>
  </si>
  <si>
    <t>LCV</t>
  </si>
  <si>
    <t>loadClassNumberValidity</t>
  </si>
  <si>
    <t>Load Classification Number (LCN) Validity</t>
  </si>
  <si>
    <t>The method used to determine the Load Classification Number (LCN) validity.</t>
  </si>
  <si>
    <t>The Load Classification Number (LCN) is a number that gives a relative force ranking of all aircraft in terms of how much stress they impose on aircraft movement surfaces.</t>
  </si>
  <si>
    <t>LCN Validity</t>
  </si>
  <si>
    <t>LoadClassNumberValidityCode</t>
  </si>
  <si>
    <t>LCR</t>
  </si>
  <si>
    <t>loadClassNumberValidityRem</t>
  </si>
  <si>
    <t>Load Classification Number (LCN) Validity Remark</t>
  </si>
  <si>
    <t>A text remark describing the source, methods, or situation by which the Load Classification Number (LCN) validity was determined.</t>
  </si>
  <si>
    <t>LCN Validity Remark</t>
  </si>
  <si>
    <t>LAY</t>
  </si>
  <si>
    <t>localAirspaceType</t>
  </si>
  <si>
    <t>Local Airspace Type</t>
  </si>
  <si>
    <t>A locally specified designation denoting a particular airspace category as defined by a local authority.</t>
  </si>
  <si>
    <t>P03</t>
  </si>
  <si>
    <t>characterEncoding</t>
  </si>
  <si>
    <t>Locale Character Encoding</t>
  </si>
  <si>
    <t>Designation of the character set to be used to encode the textual value of the locale.</t>
  </si>
  <si>
    <t>P02</t>
  </si>
  <si>
    <t>country</t>
  </si>
  <si>
    <t>Locale Country</t>
  </si>
  <si>
    <t>Designation of the specific country of the locale language.</t>
  </si>
  <si>
    <t>CountryCode</t>
  </si>
  <si>
    <t>P01</t>
  </si>
  <si>
    <t>Locale Language</t>
  </si>
  <si>
    <t>Designation of the locale language.</t>
  </si>
  <si>
    <t>LanguageCode</t>
  </si>
  <si>
    <t>CLW</t>
  </si>
  <si>
    <t>localizerCourseWidth</t>
  </si>
  <si>
    <t>Localizer Course Width</t>
  </si>
  <si>
    <t>The angle of the localizer signal originating from the localizer equipment.</t>
  </si>
  <si>
    <t>LCW</t>
  </si>
  <si>
    <t>localizerCourseWidthAcc</t>
  </si>
  <si>
    <t>Localizer Course Width Accuracy</t>
  </si>
  <si>
    <t>The accuracy of the localizer course width, as compared to the published localizer course width.</t>
  </si>
  <si>
    <t>LUN</t>
  </si>
  <si>
    <t>locatedUnderground</t>
  </si>
  <si>
    <t>Located Underground</t>
  </si>
  <si>
    <t>The feature (for example: a parking garage, storage tank, or a transportation station) is located underground.</t>
  </si>
  <si>
    <t>SRL</t>
  </si>
  <si>
    <t>locationRefToShoreline</t>
  </si>
  <si>
    <t>Location Referenced to Shoreline</t>
  </si>
  <si>
    <t>The location of an object in relation to a land water boundary.</t>
  </si>
  <si>
    <t>LocationRefToShorelineCode</t>
  </si>
  <si>
    <t>LDR</t>
  </si>
  <si>
    <t>lockDrop</t>
  </si>
  <si>
    <t>Lock Drop</t>
  </si>
  <si>
    <t>The distance measured vertically by which the level of the water in a lock may be raised or lowered.</t>
  </si>
  <si>
    <t>LPR</t>
  </si>
  <si>
    <t>lockPresent</t>
  </si>
  <si>
    <t>Lock Present</t>
  </si>
  <si>
    <t>An indication that a dam has one or more associated locks.</t>
  </si>
  <si>
    <t>LVH</t>
  </si>
  <si>
    <t>lowVisHoldingPositionCat</t>
  </si>
  <si>
    <t>Low Visibility Holding Position Category</t>
  </si>
  <si>
    <t>The category of low visibility landing operations supported.</t>
  </si>
  <si>
    <t>LowVisHoldingPositionCatCode</t>
  </si>
  <si>
    <t>LWS</t>
  </si>
  <si>
    <t>lowWaterMonthInterval</t>
  </si>
  <si>
    <t>Low Water Month Interval</t>
  </si>
  <si>
    <t>The month interval during which the low water season occurs.</t>
  </si>
  <si>
    <t>LowWaterMonthIntStrucText</t>
  </si>
  <si>
    <t>ZVL</t>
  </si>
  <si>
    <t>lowestElevation</t>
  </si>
  <si>
    <t>Lowest Elevation</t>
  </si>
  <si>
    <t>The elevation from a specified vertical datum to the lowest point on a feature.</t>
  </si>
  <si>
    <t>MGN</t>
  </si>
  <si>
    <t>magnesiumConcentration</t>
  </si>
  <si>
    <t>Magnesium Concentration</t>
  </si>
  <si>
    <t>The mass of magnesium per volume of solution.</t>
  </si>
  <si>
    <t>Elevated concentrations of magnesium are typically associated with 'hard' water.</t>
  </si>
  <si>
    <t>BEA</t>
  </si>
  <si>
    <t>magneticBearing</t>
  </si>
  <si>
    <t>Magnetic Bearing</t>
  </si>
  <si>
    <t>The horizontal direction (bearing) of an object or point measured clockwise from Magnetic North up to, but not including, 360 arc degrees.</t>
  </si>
  <si>
    <t>THE</t>
  </si>
  <si>
    <t>magneticBearingTheta</t>
  </si>
  <si>
    <t>Magnetic Bearing (Theta)</t>
  </si>
  <si>
    <t>The magnetic bearing to a geographic point or location.</t>
  </si>
  <si>
    <t>MBA</t>
  </si>
  <si>
    <t>magneticBearingAcc</t>
  </si>
  <si>
    <t>Magnetic Bearing Accuracy</t>
  </si>
  <si>
    <t>The accuracy of the magnetic bearing of a radio emission from an object (for example: an Instrument Landing System (ILS) localizer or Microwave Landing System (MLS) azimuth), as compared to its published magnetic bearing.</t>
  </si>
  <si>
    <t>MA5</t>
  </si>
  <si>
    <t>magneticTrack</t>
  </si>
  <si>
    <t>Magnetic Track</t>
  </si>
  <si>
    <t>The projection on the Earth's surface of the path of an aircraft, the direction of which path at any point is expressed in arc degrees from Magnetic North, as published by the appropriate authority.</t>
  </si>
  <si>
    <t>MAG</t>
  </si>
  <si>
    <t>magneticVariation</t>
  </si>
  <si>
    <t>Magnetic Variation</t>
  </si>
  <si>
    <t>The angular difference between True North and Magnetic North measured at a given position and date.</t>
  </si>
  <si>
    <t>Magnetic Declination</t>
  </si>
  <si>
    <t>VAV</t>
  </si>
  <si>
    <t>magneticVarAnomaly</t>
  </si>
  <si>
    <t>Magnetic Variation Anomaly</t>
  </si>
  <si>
    <t>The difference between the magnetic variation within a magnetic disturbance area and the magnetic variation of the surrounding area.</t>
  </si>
  <si>
    <t>It is measured east (positive value) or west (negative value) consistent with the directionality of the magnetic declination in general.</t>
  </si>
  <si>
    <t>Magnetic Declination Anomaly</t>
  </si>
  <si>
    <t>VA4</t>
  </si>
  <si>
    <t>magneticVarAnomalyDes</t>
  </si>
  <si>
    <t>Magnetic Variation Anomaly Description</t>
  </si>
  <si>
    <t>A description of a magnetic disturbance area, where the local magnetic declination differs from the magnetic declination of the surrounding area.</t>
  </si>
  <si>
    <t>Used, for example, where more than an Attribute: 'Magnetic Variation Anomaly' numeric value is required.</t>
  </si>
  <si>
    <t>Magnetic Declination Anomaly Description</t>
  </si>
  <si>
    <t>MVD</t>
  </si>
  <si>
    <t>magneticVariationDate</t>
  </si>
  <si>
    <t>Magnetic Variation Date</t>
  </si>
  <si>
    <t>The date on which the magnetic variation was measured.</t>
  </si>
  <si>
    <t>MagneticVariationDateStrucText</t>
  </si>
  <si>
    <t>MAS</t>
  </si>
  <si>
    <t>maintained</t>
  </si>
  <si>
    <t>Maintained</t>
  </si>
  <si>
    <t>An indication that a feature is maintained.</t>
  </si>
  <si>
    <t>MDE</t>
  </si>
  <si>
    <t>maintenanceDateTime</t>
  </si>
  <si>
    <t>Maintenance Date and Time</t>
  </si>
  <si>
    <t>The date and, optionally, time that maintenance, based on a given Extraction Specification, was completed for the features falling within the geospatial extent of a specified region.</t>
  </si>
  <si>
    <t>MaintenanceDateTimeStrucText</t>
  </si>
  <si>
    <t>AZC</t>
  </si>
  <si>
    <t>manMade</t>
  </si>
  <si>
    <t>Man-made</t>
  </si>
  <si>
    <t>An indication that a feature is man-made.</t>
  </si>
  <si>
    <t>MNS</t>
  </si>
  <si>
    <t>manMadeShoreline</t>
  </si>
  <si>
    <t>Man-made Shoreline</t>
  </si>
  <si>
    <t>An indication that a body of water is completely surrounded by a man-made shoreline.</t>
  </si>
  <si>
    <t>MFB</t>
  </si>
  <si>
    <t>manufacturedBuilding</t>
  </si>
  <si>
    <t>Manufactured Building</t>
  </si>
  <si>
    <t>An indication that a building is free-standing (detached) and self-contained and is built in a factory and then towed by a tractor to its semi-permanent site.</t>
  </si>
  <si>
    <t>Despite being constructed on a trailer frame with accompanying axles, wheels and a tow-hitch, they are usually left in place for the life of the building. Two or more units may be joined side-by-side to form a larger, squarer, building. They are often associated with rural areas and high-density developments termed 'trailer parks'. They may also be used as offices at building sites or small businesses.</t>
  </si>
  <si>
    <t>IDN</t>
  </si>
  <si>
    <t>marginNumber</t>
  </si>
  <si>
    <t>Margin Number</t>
  </si>
  <si>
    <t>The numeric identifier used to relate a feature instance to additional information about that feature instance that may be presented along the margin (outside the neat line) of a map or chart sheet on which that feature instance is portrayed.</t>
  </si>
  <si>
    <t>The scope of uniqueness may only be within the map or chart sheet.</t>
  </si>
  <si>
    <t>MBG</t>
  </si>
  <si>
    <t>marineBiogeography</t>
  </si>
  <si>
    <t>Marine Biogeography</t>
  </si>
  <si>
    <t>The geographic distribution of marine organisms defined by historical events (for example: migration, extinction, or speciation).</t>
  </si>
  <si>
    <t>For example, the geographic region used by marine species during a portion of their life cycle (spawning, feeding, nursery, migration, and shelter), but most habitats support only a subset of these activities. Marine species may change habitats with changes in life history stage, seasonal and geographic distributions, abundance, and interactions with other species.</t>
  </si>
  <si>
    <t>MarineBiogeographyCode</t>
  </si>
  <si>
    <t>MFE</t>
  </si>
  <si>
    <t>marineFarmEncloseMethod</t>
  </si>
  <si>
    <t>Marine Farm Enclosure Method</t>
  </si>
  <si>
    <t>The method by which a marine farm is enclosed.</t>
  </si>
  <si>
    <t>MarineFarmEncloseMethodCode</t>
  </si>
  <si>
    <t>MHD</t>
  </si>
  <si>
    <t>marineHabitatDepth</t>
  </si>
  <si>
    <t>Marine Habitat Depth</t>
  </si>
  <si>
    <t>The depth range within the water column of a typical habitat in which marine organisms are found.</t>
  </si>
  <si>
    <t>MPS</t>
  </si>
  <si>
    <t>marineSpecies</t>
  </si>
  <si>
    <t>Marine Species</t>
  </si>
  <si>
    <t>The species of a marine organism, generally known by its English Common Name but more precisely identified using its Scientific Name.</t>
  </si>
  <si>
    <t>The English Common Name is a name in general use within a community in relation to organisms. This may refer to a single organism (for example: yellowfin tuna) or a group of organisms that are related to each other (for example: tunas). The Scientific Name is a two-word naming system, made up of a genus and a species, used to note the Latin name of a species in naming an organism.</t>
  </si>
  <si>
    <t>MarineSpeciesCode</t>
  </si>
  <si>
    <t>MHA</t>
  </si>
  <si>
    <t>marineSpeciesHabitat</t>
  </si>
  <si>
    <t>Marine Species Habitat</t>
  </si>
  <si>
    <t>The ecological or environmental niche that is inhabited by a marine species.</t>
  </si>
  <si>
    <t>A habitat is the natural environment in which an organism lives, or the physical environment that surrounds (influences and is utilized by) a species population.</t>
  </si>
  <si>
    <t>MarineSpeciesHabitatCode</t>
  </si>
  <si>
    <t>AGR</t>
  </si>
  <si>
    <t>maritimeAggressiveAction</t>
  </si>
  <si>
    <t>Maritime Aggressive Action</t>
  </si>
  <si>
    <t>The type of an aggressive act based on the method of approach to a vessel, the threat made and/or the consequences of the act.</t>
  </si>
  <si>
    <t>MaritimeAggressiveActionCode</t>
  </si>
  <si>
    <t>AGT</t>
  </si>
  <si>
    <t>maritimeAggressorTransport</t>
  </si>
  <si>
    <t>Maritime Aggressor Transport</t>
  </si>
  <si>
    <t>The type of maritime transportion used by aggressors in order to approach a victim.</t>
  </si>
  <si>
    <t>MaritimeAggressorTransportCode</t>
  </si>
  <si>
    <t>MRR</t>
  </si>
  <si>
    <t>maritimeAreaRestriction</t>
  </si>
  <si>
    <t>Maritime Area Restriction</t>
  </si>
  <si>
    <t>The type of maritime restriction(s) in an area that are designated by an appropriate authority.</t>
  </si>
  <si>
    <t>May be in accordance with certain specified conditions. The official legal statue of each kind of restricted area defines the kind of restriction(s).</t>
  </si>
  <si>
    <t>MaritimeAreaRestrictionCode</t>
  </si>
  <si>
    <t>MBC</t>
  </si>
  <si>
    <t>maritimeBottomCharacter</t>
  </si>
  <si>
    <t>Maritime Bottom Characteristic</t>
  </si>
  <si>
    <t>A characterization of the bottom of a body of water based on its effect on maritime operations (for example: bottom trawling, anchoring, or bottoming) that is specified in terms of quality(ies), color(s) and material(s).</t>
  </si>
  <si>
    <t>MaritimeBottomCharacterStrucText</t>
  </si>
  <si>
    <t>MAK</t>
  </si>
  <si>
    <t>maritimeCasualtyCount</t>
  </si>
  <si>
    <t>Maritime Casualty Count</t>
  </si>
  <si>
    <t>The number of ship's party members that were wounded.</t>
  </si>
  <si>
    <t>MCY</t>
  </si>
  <si>
    <t>maritimeCautionType</t>
  </si>
  <si>
    <t>Maritime Caution Type</t>
  </si>
  <si>
    <t>The type(s) of circumstance(s) influencing the safety of navigation that mariners should observe in an area.</t>
  </si>
  <si>
    <t>MaritimeCautionTypeCode</t>
  </si>
  <si>
    <t>MEX</t>
  </si>
  <si>
    <t>maritimeEvasiveActionTaken</t>
  </si>
  <si>
    <t>Maritime Evasive Action Taken</t>
  </si>
  <si>
    <t>An indication that a ship evasively maneuvered to escape suspicious vessels.</t>
  </si>
  <si>
    <t>MAF</t>
  </si>
  <si>
    <t>maritimeFatalityCount</t>
  </si>
  <si>
    <t>Maritime Fatality Count</t>
  </si>
  <si>
    <t>The number of ship's party members that were killed.</t>
  </si>
  <si>
    <t>MGL</t>
  </si>
  <si>
    <t>maritimeGeoLimitType</t>
  </si>
  <si>
    <t>Maritime Geopolitical Limit Type</t>
  </si>
  <si>
    <t>The type of a maritime geopolitical dividing line (limit) based on the nature of its establishment and/or recognition.</t>
  </si>
  <si>
    <t>Generally established and recognized in accordance with International Law (for example: the United Nations Convention on the Law of the Sea (UNCLOS)).</t>
  </si>
  <si>
    <t>MaritimeGeoLimitTypeCode</t>
  </si>
  <si>
    <t>LFC</t>
  </si>
  <si>
    <t>maritimeLightType</t>
  </si>
  <si>
    <t>Maritime Light Type</t>
  </si>
  <si>
    <t>The type of a maritime light based on its structure, location and/or intended use(s).</t>
  </si>
  <si>
    <t>MaritimeLightTypeCode</t>
  </si>
  <si>
    <t>MNB</t>
  </si>
  <si>
    <t>mariNavBeaconStructType</t>
  </si>
  <si>
    <t>Maritime Navigation Beacon Structure Type</t>
  </si>
  <si>
    <t>The type of a maritime navigation beacon based on its design and/or structure.</t>
  </si>
  <si>
    <t>MariNavBeaconStructTypeCode</t>
  </si>
  <si>
    <t>BET</t>
  </si>
  <si>
    <t>maritimeNavBeaconType</t>
  </si>
  <si>
    <t>Maritime Navigation Beacon Type</t>
  </si>
  <si>
    <t>The type of a beacon based on its significance to maritime navigation.</t>
  </si>
  <si>
    <t>MaritimeNavBeaconTypeCode</t>
  </si>
  <si>
    <t>LAF</t>
  </si>
  <si>
    <t>maritimeNavLineFeatures</t>
  </si>
  <si>
    <t>Maritime Navigation Line Features</t>
  </si>
  <si>
    <t>The type and/or number of features associated with a maritime navigation line (for example: a leading line, a transit line, or a clearing line).</t>
  </si>
  <si>
    <t>MaritimeNavLineFeaturesCode</t>
  </si>
  <si>
    <t>MAN</t>
  </si>
  <si>
    <t>maritimeNavigationMarked</t>
  </si>
  <si>
    <t>Maritime Navigation Marked</t>
  </si>
  <si>
    <t>An indication that a feature is significant to maritime safety of navigation and is marked (for example: by a light or beacon) by a maritime-specific navigational aid.</t>
  </si>
  <si>
    <t>Mariners may also use other prominent features (for example: rotating aeronautical beacons or lighted structures) for informal navigational purposes.</t>
  </si>
  <si>
    <t>MNR</t>
  </si>
  <si>
    <t>maritimeNavRestriction</t>
  </si>
  <si>
    <t>Maritime Navigation Restriction</t>
  </si>
  <si>
    <t>The type of maritime navigation restriction(s) in an area that are designated by an appropriate authority.</t>
  </si>
  <si>
    <t>MaritimeNavRestrictionCode</t>
  </si>
  <si>
    <t>MRP</t>
  </si>
  <si>
    <t>maritimeRadiobeaconPresent</t>
  </si>
  <si>
    <t>Maritime Radiobeacon Present</t>
  </si>
  <si>
    <t>An indication that a structure (for example: a maritime navigation beacon or a maritime navigation light) has an associated maritime radiobeacon.</t>
  </si>
  <si>
    <t>A maritime radiobeacon is an electronic aid to maritime navigation consisting of a radio transmitter that broadcasts distinctive and/or characteristic signals.</t>
  </si>
  <si>
    <t>MRT</t>
  </si>
  <si>
    <t>maritimeRadiobeaconType</t>
  </si>
  <si>
    <t>Maritime Radiobeacon Type</t>
  </si>
  <si>
    <t>The type of an electronic aid to maritime navigation consisting of a radio transmitter that broadcasts distinctive and/or characteristic signals.</t>
  </si>
  <si>
    <t>For example, a directional radio beacon or a radar marker (RAMARK).</t>
  </si>
  <si>
    <t>MaritimeRadiobeaconTypeCode</t>
  </si>
  <si>
    <t>MSM</t>
  </si>
  <si>
    <t>maritimeStationName</t>
  </si>
  <si>
    <t>Maritime Station Name</t>
  </si>
  <si>
    <t>The name of the receiving station where transmission loss data produced by source events is collected.</t>
  </si>
  <si>
    <t>TextLex20</t>
  </si>
  <si>
    <t>STA</t>
  </si>
  <si>
    <t>maritimeStationType</t>
  </si>
  <si>
    <t>Maritime Station Type</t>
  </si>
  <si>
    <t>The type(s) of activities of significance to navigation and/or operation that take place at a maritime station.</t>
  </si>
  <si>
    <t>MaritimeStationTypeCode</t>
  </si>
  <si>
    <t>STI</t>
  </si>
  <si>
    <t>maritimeStolenItem</t>
  </si>
  <si>
    <t>Maritime Stolen Item</t>
  </si>
  <si>
    <t>The type(s) of item(s) removed as a consequence of an aggressive action on or against a vessel.</t>
  </si>
  <si>
    <t>StolenItemCode</t>
  </si>
  <si>
    <t>TSP</t>
  </si>
  <si>
    <t>trafficSchemePart</t>
  </si>
  <si>
    <t>Maritime Traffic Separation Scheme Component</t>
  </si>
  <si>
    <t>The type of a component of a maritime Traffic Separation Scheme (TSS) based on its purpose.</t>
  </si>
  <si>
    <t>A TSS is a routeing scheme whose intent is to reduce the risk of collision in congested and/or converging areas by separating traffic moving in opposite, or nearly opposite, directions.</t>
  </si>
  <si>
    <t>TrafficSchemePartCode</t>
  </si>
  <si>
    <t>MCL</t>
  </si>
  <si>
    <t>markerRadioBeaconClass</t>
  </si>
  <si>
    <t>Marker Radio Beacon Class</t>
  </si>
  <si>
    <t>The class of a radio marker beacon based on the shape and power of its signal.</t>
  </si>
  <si>
    <t>For example: a fan marker, a low-powered fan marker, or a Z marker.</t>
  </si>
  <si>
    <t>MarkerRadioBeaconClassCode</t>
  </si>
  <si>
    <t>MBT</t>
  </si>
  <si>
    <t>markerRadioBeaconType</t>
  </si>
  <si>
    <t>Marker Radio Beacon Type</t>
  </si>
  <si>
    <t>The type of a radio marker beacon based upon distances and frequency modulation, as measured on the Instrument Landing System (ILS) glide path and localizer course line.</t>
  </si>
  <si>
    <t>For example: outer, middle, or inner.</t>
  </si>
  <si>
    <t>MarkerRadioBeaconTypeCode</t>
  </si>
  <si>
    <t>MZX</t>
  </si>
  <si>
    <t>maximumAltitude</t>
  </si>
  <si>
    <t>Maximum Altitude</t>
  </si>
  <si>
    <t>The highest altitude or flight level authorized by the designated authority for aircraft operations.</t>
  </si>
  <si>
    <t>When specified, the maximum altitude overrides the vertical upper limit, in those parts of the airspace where the vertical upper limit is situated below the maximum altitude.</t>
  </si>
  <si>
    <t>MWD</t>
  </si>
  <si>
    <t>maximumDesignWaterDepth</t>
  </si>
  <si>
    <t>Maximum Design Water Depth</t>
  </si>
  <si>
    <t>The maximum depth of water that the object was designed to hold.</t>
  </si>
  <si>
    <t>MOH</t>
  </si>
  <si>
    <t>maximumObstacleHeight</t>
  </si>
  <si>
    <t>Maximum Obstacle Height</t>
  </si>
  <si>
    <t>The maximum distance from the bottom to the top of a terrain (or waterbody floor) obstacle.</t>
  </si>
  <si>
    <t>May be a height or a depth.</t>
  </si>
  <si>
    <t>SDX</t>
  </si>
  <si>
    <t>maximumSurveySpacing</t>
  </si>
  <si>
    <t>Maximum Survey Spacing</t>
  </si>
  <si>
    <t>The maximum spacing of the principal sounding lines of a survey.</t>
  </si>
  <si>
    <t>MVC</t>
  </si>
  <si>
    <t>maximumVerticalClearance</t>
  </si>
  <si>
    <t>Maximum Vertical Clearance</t>
  </si>
  <si>
    <t>The greatest distance between the travelled way and any obstruction vertically above it.</t>
  </si>
  <si>
    <t>MES</t>
  </si>
  <si>
    <t>medianPresent</t>
  </si>
  <si>
    <t>Median Present</t>
  </si>
  <si>
    <t>An indication that the lanes or tracks of a divided land transportation route (for example: a road or a railway) are separated by a vertical median barrier.</t>
  </si>
  <si>
    <t>Often used to separate opposing flows of traffic in order to improve safety. For example, may be a substantial concrete barrier of approximately 1 metre height.</t>
  </si>
  <si>
    <t>MRE</t>
  </si>
  <si>
    <t>mediaReported</t>
  </si>
  <si>
    <t>Media-reported</t>
  </si>
  <si>
    <t>An indication that an event was reported by news media.</t>
  </si>
  <si>
    <t>MFY</t>
  </si>
  <si>
    <t>medicalFacilityType</t>
  </si>
  <si>
    <t>Medical Facility Type</t>
  </si>
  <si>
    <t>The type of the medical facility as distinguished by the principal kind(s) of medical service provided (based on the nature of ailments and/or population treated, or the stage and/or duration of care).</t>
  </si>
  <si>
    <t>The type of medical facility is often identified in the hospital's name, for example: Massachusetts General Hospital, Spaulding Rehabilitation Hospital, Massachusetts Eye and Ear Infirmary, Shriners Hospital for Children.</t>
  </si>
  <si>
    <t>MedicalFacilityTypeCode</t>
  </si>
  <si>
    <t>MEM</t>
  </si>
  <si>
    <t>memorandum</t>
  </si>
  <si>
    <t>Memorandum</t>
  </si>
  <si>
    <t>A narrative or other textual description that records observation(s) and/or event(s) associated with a particular subject (for example: a data instance, a data set or a data processing activity).</t>
  </si>
  <si>
    <t>No restriction is placed on its length.</t>
  </si>
  <si>
    <t>MET</t>
  </si>
  <si>
    <t>memorandumType</t>
  </si>
  <si>
    <t>Memorandum Type</t>
  </si>
  <si>
    <t>The type of a memorandum based on the nature of the information recorded and/or its intended use.</t>
  </si>
  <si>
    <t>MemorandumTypeCode</t>
  </si>
  <si>
    <t>MEB</t>
  </si>
  <si>
    <t>messageBody</t>
  </si>
  <si>
    <t>Message Body</t>
  </si>
  <si>
    <t>A narrative description that records information pertinent to a message (for example: what, where, or why).</t>
  </si>
  <si>
    <t>MEC</t>
  </si>
  <si>
    <t>messageCancellingAuthority</t>
  </si>
  <si>
    <t>Message Cancelling Authority</t>
  </si>
  <si>
    <t>The authority that determined that an active message could be cancelled (for example: due to the determination that a threat no longer existed).</t>
  </si>
  <si>
    <t>MDA</t>
  </si>
  <si>
    <t>messageDateTimeActive</t>
  </si>
  <si>
    <t>Message Date and Time Active</t>
  </si>
  <si>
    <t>The date and, optionally, time that a message was originally transmitted or subsequently updated with additional information.</t>
  </si>
  <si>
    <t>MessageDateTimeActiveStrucText</t>
  </si>
  <si>
    <t>MSQ</t>
  </si>
  <si>
    <t>messageSequenceNumber</t>
  </si>
  <si>
    <t>Message Sequence Number</t>
  </si>
  <si>
    <t>The sequence number of a message within the Gregorian calendar year in which the message was sent.</t>
  </si>
  <si>
    <t>M08</t>
  </si>
  <si>
    <t>contact</t>
  </si>
  <si>
    <t>Metadata Content Contact</t>
  </si>
  <si>
    <t>The party responsible for the content of a resource metadata information set.</t>
  </si>
  <si>
    <t>M09</t>
  </si>
  <si>
    <t>dateStamp</t>
  </si>
  <si>
    <t>Metadata Date Stamp</t>
  </si>
  <si>
    <t>The date that the content of a resource metadata information set was created or last updated.</t>
  </si>
  <si>
    <t>DateStrucText</t>
  </si>
  <si>
    <t>M05</t>
  </si>
  <si>
    <t>fileIdentifier</t>
  </si>
  <si>
    <t>Metadata File Identifier</t>
  </si>
  <si>
    <t>A unique identifier for a resource metadata information set.</t>
  </si>
  <si>
    <t>M06</t>
  </si>
  <si>
    <t>hierarchyLevel</t>
  </si>
  <si>
    <t>Metadata Hierarchy Level</t>
  </si>
  <si>
    <t>The hierarchical resource scope to which a resource metadata information set applies.</t>
  </si>
  <si>
    <t>MD_ScopeCode</t>
  </si>
  <si>
    <t>M07</t>
  </si>
  <si>
    <t>hierarchyLevelName</t>
  </si>
  <si>
    <t>Metadata Hierarchy Level Name</t>
  </si>
  <si>
    <t>An amplification (for example: name), if any, of the hierarchical resource scope to which a resource metadata information set applies.</t>
  </si>
  <si>
    <t>M10</t>
  </si>
  <si>
    <t>metadataStandardName</t>
  </si>
  <si>
    <t>Metadata Standard Name</t>
  </si>
  <si>
    <t>The name of the metadata standard that was used in the specification of a resource metadata information set.</t>
  </si>
  <si>
    <t>M11</t>
  </si>
  <si>
    <t>metadataStandardVersion</t>
  </si>
  <si>
    <t>Metadata Standard Version</t>
  </si>
  <si>
    <t>The version of the metadata standard that was used in the specification of a resource metadata information set.</t>
  </si>
  <si>
    <t>CML</t>
  </si>
  <si>
    <t>mlsChannel</t>
  </si>
  <si>
    <t>Microwave Landing System (MLS) Channel</t>
  </si>
  <si>
    <t>A number corresponding to the Microwave Landing System (MLS) frequency, as per ICAO Annex 10, Chapter 3, Table A.</t>
  </si>
  <si>
    <t>The MLS angle and data functions shall operate on any one of the 200 channels assigned in the frequencies from 5031.0 to 5090.7 megahertz (MHz) as shown in ICAO Annex 10, Chapter 3, Table A.</t>
  </si>
  <si>
    <t>MlsChannelCode</t>
  </si>
  <si>
    <t>MLA</t>
  </si>
  <si>
    <t>mlsElevationAngleAcc</t>
  </si>
  <si>
    <t>Microwave Landing System (MLS) Elevation Angle Accuracy</t>
  </si>
  <si>
    <t>The accuracy of the scanning beam being transmitted by the  Microwave Landing System (MLS) elevation ground substation, as compared to the published elevation angle.</t>
  </si>
  <si>
    <t>Angle accuracy may be affected by multiple factors, including the local physical environment, beam point errors, antenna alignment, and antenna field patterns in the scanning plane. All of these can yield false guidance unless appropriately compensated for in the design, construction, and/or implementation of the MLS.</t>
  </si>
  <si>
    <t>ML2</t>
  </si>
  <si>
    <t>mlsLeftAngleCoverage</t>
  </si>
  <si>
    <t>Microwave Landing System (MLS) Left Angle of Coverage</t>
  </si>
  <si>
    <t>The value of the angle from the zero indication direction within which the Microwave Landing System (MLS) azimuth indication is usable, and leftwards of this direction from the azimuth antenna.</t>
  </si>
  <si>
    <t>ML4</t>
  </si>
  <si>
    <t>mlsLeftAngleProportion</t>
  </si>
  <si>
    <t>Microwave Landing System (MLS) Left Angle of Proportionality</t>
  </si>
  <si>
    <t>The value of the angle within which the Microwave Landing System (MLS) azimuth indication is proportional to the angular displacement from the azimuth zero indication direction, and leftwards of this direction from the azimuth antenna.</t>
  </si>
  <si>
    <t>MA1</t>
  </si>
  <si>
    <t>mlsMinimumAngle</t>
  </si>
  <si>
    <t>Microwave Landing System (MLS) Minimum Angle</t>
  </si>
  <si>
    <t>The value of the lowest elevation angle authorized for a Microwave Landing System (MLS) procedure.</t>
  </si>
  <si>
    <t>MA2</t>
  </si>
  <si>
    <t>mlsNominalAngle</t>
  </si>
  <si>
    <t>Microwave Landing System (MLS) Nominal Angle</t>
  </si>
  <si>
    <t>The angle between a straight line which represents the mean of the Microwave Landing System (MLS) glide path and the horizontal plane at the base of the MLS elevation component.</t>
  </si>
  <si>
    <t>ML1</t>
  </si>
  <si>
    <t>mlsRightAngleCoverage</t>
  </si>
  <si>
    <t>Microwave Landing System (MLS) Right Angle of Coverage</t>
  </si>
  <si>
    <t>The value of the angle from the zero indication direction within which the Microwave Landing System (MLS) azimuth indication is usable, and rightwards of this direction from the azimuth antenna.</t>
  </si>
  <si>
    <t>ML3</t>
  </si>
  <si>
    <t>mlsRightAngleProportion</t>
  </si>
  <si>
    <t>Microwave Landing System (MLS) Right Angle of Proportionality</t>
  </si>
  <si>
    <t>The value of the angle within which the Microwave Landing System (MLS) azimuth indication is proportional to the angular displacement from the azimuth zero indication direction, and rightwards of this direction from the azimuth antenna.</t>
  </si>
  <si>
    <t>MA3</t>
  </si>
  <si>
    <t>mlsSpanAngle</t>
  </si>
  <si>
    <t>Microwave Landing System (MLS) Span Angle</t>
  </si>
  <si>
    <t>The value of the angle between the lower and upper limits in which the elevation component of the Microwave Landing System (MLS) is operating.</t>
  </si>
  <si>
    <t>MLT</t>
  </si>
  <si>
    <t>mlsUnitAssociationType</t>
  </si>
  <si>
    <t>Microwave Landing System (MLS) Unit Association Type</t>
  </si>
  <si>
    <t>The azimuth (lateral information) configuration used for the Microwave Landing System (MLS) ground equipment.</t>
  </si>
  <si>
    <t>MlsUnitAssociationTypeCode</t>
  </si>
  <si>
    <t>MBI</t>
  </si>
  <si>
    <t>militaryBridgeInformation</t>
  </si>
  <si>
    <t>Military Bridge Information</t>
  </si>
  <si>
    <t>Information describing a bridge, typically one that is subject to preplanned military interdiction.</t>
  </si>
  <si>
    <t>CCG</t>
  </si>
  <si>
    <t>militaryEnvironHazardCat</t>
  </si>
  <si>
    <t>Military Environmental Hazard Category</t>
  </si>
  <si>
    <t>The category(ies) of environmental hazards present in a region that affect military operations.</t>
  </si>
  <si>
    <t>ContaminantCategoryCode</t>
  </si>
  <si>
    <t>MGR</t>
  </si>
  <si>
    <t>mgrsLocation</t>
  </si>
  <si>
    <t>Military Grid Reference System Location</t>
  </si>
  <si>
    <t>A location specified using the Military Grid Reference System (MGRS) in terms of a world-wide grid zone and square designation plus a metre-based coordinate pair within a given grid square.</t>
  </si>
  <si>
    <t>It is based on the use of the Universal Transverse Mercator map projection between 84 arc degrees north and 80 arc degrees south and the Universal Polar Stereographic map projection in the polar regions.</t>
  </si>
  <si>
    <t>MgrsLocationStrucText</t>
  </si>
  <si>
    <t>MMH</t>
  </si>
  <si>
    <t>militaryMinProcHeight</t>
  </si>
  <si>
    <t>Military Minimum Procedure Height</t>
  </si>
  <si>
    <t>The minimum decision height or decision altitude for use by the military for certain instrument landing procedures.</t>
  </si>
  <si>
    <t>MMV</t>
  </si>
  <si>
    <t>militaryMinProcVisibility</t>
  </si>
  <si>
    <t>Military Minimum Procedure Visibility</t>
  </si>
  <si>
    <t>The minimum prevailing visibility for use by the military for certain instrument landing procedures.</t>
  </si>
  <si>
    <t>MRU</t>
  </si>
  <si>
    <t>militaryRouteUse</t>
  </si>
  <si>
    <t>Military Route Use</t>
  </si>
  <si>
    <t>The type of activity associated with a military air route.</t>
  </si>
  <si>
    <t>MilitaryRouteUseCode</t>
  </si>
  <si>
    <t>YSU</t>
  </si>
  <si>
    <t>militaryServiceBranch</t>
  </si>
  <si>
    <t>Military Service Branch</t>
  </si>
  <si>
    <t>The branch of the armed forces of a nation.</t>
  </si>
  <si>
    <t>May also be applied to similar organizations following military discipline (for example: a coastguard).</t>
  </si>
  <si>
    <t>MilitaryServiceBranchCode</t>
  </si>
  <si>
    <t>MIA</t>
  </si>
  <si>
    <t>mineAcousticSensitivity</t>
  </si>
  <si>
    <t>Mine Acoustic Sensitivity</t>
  </si>
  <si>
    <t>The frequency band(s) in which an explosive mine is sensitive.</t>
  </si>
  <si>
    <t>MineAcousticSensitivityCode</t>
  </si>
  <si>
    <t>MID</t>
  </si>
  <si>
    <t>mineAllegiance</t>
  </si>
  <si>
    <t>Mine Allegiance</t>
  </si>
  <si>
    <t>The allegiance of the force responsible for the creation and/or maintenance of an explosive mine.</t>
  </si>
  <si>
    <t>MineAllegianceCode</t>
  </si>
  <si>
    <t>MSH</t>
  </si>
  <si>
    <t>mineAntiHuntingCapab</t>
  </si>
  <si>
    <t>Mine Anti-Hunting Capability</t>
  </si>
  <si>
    <t>The type(s) of anti-hunting capability of a naval mine.</t>
  </si>
  <si>
    <t>MineAntiHuntingCapabCode</t>
  </si>
  <si>
    <t>MSR</t>
  </si>
  <si>
    <t>mineAntiRecoveryCapab</t>
  </si>
  <si>
    <t>Mine Anti-Recovery Capability</t>
  </si>
  <si>
    <t>The type(s) of anti-recovery capability of a naval mine.</t>
  </si>
  <si>
    <t>Anti-recovery devices may be fitted to mines to prevent discovery of details of the mechanisms of new types of mine.</t>
  </si>
  <si>
    <t>MineAntiRecoveryCapabCode</t>
  </si>
  <si>
    <t>MSW</t>
  </si>
  <si>
    <t>mineAntiSweepWireCapab</t>
  </si>
  <si>
    <t>Mine Anti-Sweep Wire Capability</t>
  </si>
  <si>
    <t>The type(s) of anti-sweep wire capability of a naval mine.</t>
  </si>
  <si>
    <t>Moorings of mines (for example: chains, piano wire, rubber-covered manila line, and canvas fire hose) may be designed to not be cut cleanly or not cut at all by mechanical sweeps. These may cause the mine to hang up in the sweep wire, endangering the ship during recovery operations.</t>
  </si>
  <si>
    <t>MineAntiSweepWireCapabCode</t>
  </si>
  <si>
    <t>MNA</t>
  </si>
  <si>
    <t>mineAutonomyType</t>
  </si>
  <si>
    <t>Mine Autonomy Type</t>
  </si>
  <si>
    <t>The degree to which an explosive mine may be externally controlled or self-activated.</t>
  </si>
  <si>
    <t>MineAutonomyTypeCode</t>
  </si>
  <si>
    <t>MNL</t>
  </si>
  <si>
    <t>mineCablelessControl</t>
  </si>
  <si>
    <t>Mine Cableless Control Method</t>
  </si>
  <si>
    <t>The method of cableless control of an explosive mine.</t>
  </si>
  <si>
    <t>MineCablelessControlCode</t>
  </si>
  <si>
    <t>MCH</t>
  </si>
  <si>
    <t>mineChargeSize</t>
  </si>
  <si>
    <t>Mine Charge Size</t>
  </si>
  <si>
    <t>The mass of an explosive mine charge.</t>
  </si>
  <si>
    <t>MNC</t>
  </si>
  <si>
    <t>mineControlMethod</t>
  </si>
  <si>
    <t>Mine Control Method</t>
  </si>
  <si>
    <t>The method of control of an explosive mine.</t>
  </si>
  <si>
    <t>MineControlMethodCode</t>
  </si>
  <si>
    <t>MIM</t>
  </si>
  <si>
    <t>mineMagneticSensitivity</t>
  </si>
  <si>
    <t>Mine Magnetic Sensitivity</t>
  </si>
  <si>
    <t>The magnetic sensitivity of an explosive mine.</t>
  </si>
  <si>
    <t>MineMagneticSensitivityCode</t>
  </si>
  <si>
    <t>MNI</t>
  </si>
  <si>
    <t>mineSelfActuationMethod</t>
  </si>
  <si>
    <t>Mine Self-Actuation Method</t>
  </si>
  <si>
    <t>The method of self-actuation of an explosive mine.</t>
  </si>
  <si>
    <t>MineSelfActuationMethodCode</t>
  </si>
  <si>
    <t>MSD</t>
  </si>
  <si>
    <t>mineSpecialCapability</t>
  </si>
  <si>
    <t>Mine Special Capability</t>
  </si>
  <si>
    <t>The special capabilities of an explosive mine.</t>
  </si>
  <si>
    <t>MineSpecialCapabilityCode</t>
  </si>
  <si>
    <t>MSS</t>
  </si>
  <si>
    <t>mineSwept</t>
  </si>
  <si>
    <t>Mine Swept</t>
  </si>
  <si>
    <t>An indication that a region has been swept for explosive mines.</t>
  </si>
  <si>
    <t>MIS</t>
  </si>
  <si>
    <t>minehuntingStatus</t>
  </si>
  <si>
    <t>Minehunting Status</t>
  </si>
  <si>
    <t>The status of determination of the nature of an object on or in the seabed or floating in the water volume.</t>
  </si>
  <si>
    <t>MinehuntingStatusCode</t>
  </si>
  <si>
    <t>MAY</t>
  </si>
  <si>
    <t>minimumAltitude</t>
  </si>
  <si>
    <t>Minimum Altitude</t>
  </si>
  <si>
    <t>The lowest altitude, height or flight level authorized by the designated authority for aircraft operations.</t>
  </si>
  <si>
    <t>When specified, the minimum altitude overrides the vertical lower limit, in those parts of the airspace where the vertical lower limit is situated below the minimum altitude.</t>
  </si>
  <si>
    <t>MND</t>
  </si>
  <si>
    <t>minimumAnchoringDepth</t>
  </si>
  <si>
    <t>Minimum Anchoring Depth</t>
  </si>
  <si>
    <t>The minimum depth within an anchorage which a vessel can anchor at.</t>
  </si>
  <si>
    <t>MIL</t>
  </si>
  <si>
    <t>minimumClimbAltitude</t>
  </si>
  <si>
    <t>Minimum Climb Altitude</t>
  </si>
  <si>
    <t>The minimum altitude that an aircraft must climb to and maintain while executing a terminal instrument procedure.</t>
  </si>
  <si>
    <t>The minimum climb altitude will be negative in the case of a dive. Minimum climb altitudes may be assigned to a takeoff leg, a missed approach leg, or a final leg (indicating a descent).</t>
  </si>
  <si>
    <t>MCG</t>
  </si>
  <si>
    <t>minimumClimbGradient</t>
  </si>
  <si>
    <t>Minimum Climb Gradient</t>
  </si>
  <si>
    <t>The minimum climb profile required to ensure vertical clearance.</t>
  </si>
  <si>
    <t>MinimumClimbGradientStrucText</t>
  </si>
  <si>
    <t>MXA</t>
  </si>
  <si>
    <t>minimumCrossingAltitude</t>
  </si>
  <si>
    <t>Minimum Crossing Altitude</t>
  </si>
  <si>
    <t>The lowest altitude at which an aircraft must cross a designated point (for example: a specified geographic location or a geographic fix that is referenced to a geographic location) when proceeding in the direction of a higher Minimum Enroute Instrument Flight Rule (IFR) Altitude (MEA).</t>
  </si>
  <si>
    <t>MDL</t>
  </si>
  <si>
    <t>minimumDescentAltitude</t>
  </si>
  <si>
    <t>Minimum Descent Altitude (MDA)</t>
  </si>
  <si>
    <t>A specified minimum altitude in reference to Mean Sea Level (MSL) in a non-precision approach or circling approach below which descent must not be made without the required visual reference.</t>
  </si>
  <si>
    <t>MDH</t>
  </si>
  <si>
    <t>minimumDescentHeight</t>
  </si>
  <si>
    <t>Minimum Descent Height (MDH)</t>
  </si>
  <si>
    <t>A specified minimum height in a non-precision approach or circling approach below which descent must not be made without the required visual reference.</t>
  </si>
  <si>
    <t>Minimum Descent Height (MDH) is referenced to the aerodrome elevation or to the threshold elevation if that is more than 2 metres (7 feet) below the aerodrome elevation. A minimum descent height for a circling approach is referenced to the aerodrome elevation.</t>
  </si>
  <si>
    <t>MEA</t>
  </si>
  <si>
    <t>minimumEnRouteAltitude</t>
  </si>
  <si>
    <t>Minimum En-Route Altitude (MEA)</t>
  </si>
  <si>
    <t>The minimum altitude for an en-route segment that provides adequate reception of relevant navigation facilities and Air Traffic Service (ATS) communications, complies with the airspace structure, and provides the required obstacle clearance.</t>
  </si>
  <si>
    <t>MEH</t>
  </si>
  <si>
    <t>minimumEyeHgtOverThreshold</t>
  </si>
  <si>
    <t>Minimum Eye Height Over Threshold (MEHT)</t>
  </si>
  <si>
    <t>The minimum height of the aircraft cockpit over the threshold when the aircraft glideslope indicator is showing an on-slope indication.</t>
  </si>
  <si>
    <t>MEHT</t>
  </si>
  <si>
    <t>MOC</t>
  </si>
  <si>
    <t>minimumObstacleClearAlt</t>
  </si>
  <si>
    <t>Minimum Obstacle Clearance Altitude (MOCA)</t>
  </si>
  <si>
    <t>The minimum altitude for a defined segment that provides the required obstacle clearance.</t>
  </si>
  <si>
    <t>MOCA</t>
  </si>
  <si>
    <t>MPA</t>
  </si>
  <si>
    <t>minPeakHorizGroundAcc</t>
  </si>
  <si>
    <t>Minimum Peak Horizontal Ground Acceleration</t>
  </si>
  <si>
    <t>The minimum peak horizontal ground acceleration as a percent of the acceleration due to gravity at the surface of the Earth (9.8 metres per second squared).</t>
  </si>
  <si>
    <t>MRH</t>
  </si>
  <si>
    <t>minimumRadioAltimeterHgt</t>
  </si>
  <si>
    <t>Minimum Radio Altimeter Height</t>
  </si>
  <si>
    <t>The specified vertical distance above the surface as measured by a radio altimeter at which a missed approach procedure must be initiated if the visual reference required in order to continue the approach has not been established.</t>
  </si>
  <si>
    <t>Applies to Category II approaches.</t>
  </si>
  <si>
    <t>Radio Altitude (RA), Radio Height (RH)</t>
  </si>
  <si>
    <t>MRA</t>
  </si>
  <si>
    <t>minimumReceptionAltitude</t>
  </si>
  <si>
    <t>Minimum Reception Altitude (MRA)</t>
  </si>
  <si>
    <t>The lowest altitude required in order to receive adequate signals to determine specific Very High Frequency (VHF) omnirange/tactical air navigation fixes.</t>
  </si>
  <si>
    <t>MSA</t>
  </si>
  <si>
    <t>minimumSectorAltitude</t>
  </si>
  <si>
    <t>Minimum Sector Altitude (MSA)</t>
  </si>
  <si>
    <t>The lowest altitude which may be used which will provide a minimum clearance of 300 metres (1000 feet) above all objects located in the area contained within a sector of a circle of 46 kilometres (25 nautical miles) radius centered on a radio navigation aid or waypoint.</t>
  </si>
  <si>
    <t>SDN</t>
  </si>
  <si>
    <t>minimumSurveySpacing</t>
  </si>
  <si>
    <t>Minimum Survey Spacing</t>
  </si>
  <si>
    <t>The minimum spacing of the principal sounding lines of a survey.</t>
  </si>
  <si>
    <t>MST</t>
  </si>
  <si>
    <t>missileSiteType</t>
  </si>
  <si>
    <t>Missile Site Type</t>
  </si>
  <si>
    <t>The type of a missile site based on the class of missiles it houses.</t>
  </si>
  <si>
    <t>MissileSiteTypeCode</t>
  </si>
  <si>
    <t>BSM</t>
  </si>
  <si>
    <t>mobileBridgeSpan</t>
  </si>
  <si>
    <t>Mobile Bridge Span</t>
  </si>
  <si>
    <t>An indication that a bridge span moves in some manner to allow passage underneath.</t>
  </si>
  <si>
    <t>MDT</t>
  </si>
  <si>
    <t>modificationDateTime</t>
  </si>
  <si>
    <t>Modification Date and Time</t>
  </si>
  <si>
    <t>The date and, optionally, time when a digital representation (for example: of a feature or a geographic name) was created or modified.</t>
  </si>
  <si>
    <t>ModificationDateTimeStrucText</t>
  </si>
  <si>
    <t>MMI</t>
  </si>
  <si>
    <t>modifiedMercalliIntensity</t>
  </si>
  <si>
    <t>Modified Mercalli Intensity</t>
  </si>
  <si>
    <t>The intensity of the earthquake as measured on the Modified Mercalli (MM) Scale.</t>
  </si>
  <si>
    <t>The Modified Mercalli (MM) Scale quantifies the effects of an earthquake on the Earth's surface, humans, objects of nature, and man-made structures on a scale of I through XII, with I ('Instrumental') indicating that it was not felt by many people unless in favourable conditions, and XII ('Catastrophic') one that causes almost complete destruction. It has been updated since its original definition in 1931, most recently in 1995, to account for changes in building practices.</t>
  </si>
  <si>
    <t>ModifiedMercalliIntensityCode</t>
  </si>
  <si>
    <t>MOI</t>
  </si>
  <si>
    <t>moduIdentifier</t>
  </si>
  <si>
    <t>MODU Identifier</t>
  </si>
  <si>
    <t>The numeric identifier of a Mobile Offshore Drilling Unit (MODU).</t>
  </si>
  <si>
    <t>The scope of uniqueness is global; uniqueness is guaranteed by drilling industry procedures.</t>
  </si>
  <si>
    <t>MOS</t>
  </si>
  <si>
    <t>monitored</t>
  </si>
  <si>
    <t>Monitored</t>
  </si>
  <si>
    <t>An indication that a feature is actively monitored.</t>
  </si>
  <si>
    <t>For example, attended or watched over by personnel.</t>
  </si>
  <si>
    <t>MME</t>
  </si>
  <si>
    <t>monitoringMethod</t>
  </si>
  <si>
    <t>Monitoring Method</t>
  </si>
  <si>
    <t>An indication of how the feature is observed over a period of time.</t>
  </si>
  <si>
    <t>MonitoringMethodCode</t>
  </si>
  <si>
    <t>MWF</t>
  </si>
  <si>
    <t>mooringWarpingFacType</t>
  </si>
  <si>
    <t>Mooring and/or Warping Facility Type</t>
  </si>
  <si>
    <t>The type of a mooring and/or warping facility based on its structural and intended use characteristics.</t>
  </si>
  <si>
    <t>MooringWarpingFacTypeCode</t>
  </si>
  <si>
    <t>MCT</t>
  </si>
  <si>
    <t>mooringType</t>
  </si>
  <si>
    <t>Mooring Type</t>
  </si>
  <si>
    <t>The type of system that Is used to moor vessels, based on the nature and/or number of mooring points.</t>
  </si>
  <si>
    <t>MooringTypeCode</t>
  </si>
  <si>
    <t>MCX</t>
  </si>
  <si>
    <t>motorizedCrossing</t>
  </si>
  <si>
    <t>Motorized Crossing</t>
  </si>
  <si>
    <t>An indication that a ferry is propelled across a waterbody by a motor located on either the vessel or the shore.</t>
  </si>
  <si>
    <t>ENT</t>
  </si>
  <si>
    <t>movementAreaEntryClearance</t>
  </si>
  <si>
    <t>Movement Area Entry Clearance</t>
  </si>
  <si>
    <t>The maximum entry width of a movement area considering the taxiway width plus clearance from hazards (for example: trees, revetments, and buildings).</t>
  </si>
  <si>
    <t>G12</t>
  </si>
  <si>
    <t>multiCurveGeometry</t>
  </si>
  <si>
    <t>Multi-curve Geometry</t>
  </si>
  <si>
    <t>An aggregate containing only orientable curve geometric objects.</t>
  </si>
  <si>
    <t>GmMultiCurve</t>
  </si>
  <si>
    <t>MLR</t>
  </si>
  <si>
    <t>multipleLightRanges</t>
  </si>
  <si>
    <t>Multiple Light Ranges</t>
  </si>
  <si>
    <t>A set of two numbers for light ranges of visibility (at a light) expressed in nautical miles.</t>
  </si>
  <si>
    <t>MultipleLightRangesStrucText</t>
  </si>
  <si>
    <t>MON</t>
  </si>
  <si>
    <t>multipleOfficialNames</t>
  </si>
  <si>
    <t>Multiple Official Names</t>
  </si>
  <si>
    <t>An indication that a feature has more than one official, native script, geographic name.</t>
  </si>
  <si>
    <t>Multiple official names may exist when a feature passes through more than one country and those multiple countries have different official names for that feature. Some countries have more than one official language and therefore may have an official name for a feature in each official language.</t>
  </si>
  <si>
    <t>G11</t>
  </si>
  <si>
    <t>multiPointGeometry</t>
  </si>
  <si>
    <t>Multi-point Geometry</t>
  </si>
  <si>
    <t>An aggregate containing only point geometric objects.</t>
  </si>
  <si>
    <t>GmMultiPoint</t>
  </si>
  <si>
    <t>G14</t>
  </si>
  <si>
    <t>multiSolidGeometry</t>
  </si>
  <si>
    <t>Multi-solid Geometry</t>
  </si>
  <si>
    <t>An aggregate containing only solid geometric objects.</t>
  </si>
  <si>
    <t>GmMultiSolid</t>
  </si>
  <si>
    <t>G13</t>
  </si>
  <si>
    <t>multiSurfaceGeometry</t>
  </si>
  <si>
    <t>Multi-surface Geometry</t>
  </si>
  <si>
    <t>An aggregate containing only orientable surface geometric objects.</t>
  </si>
  <si>
    <t>GmMultiSurface</t>
  </si>
  <si>
    <t>MUB</t>
  </si>
  <si>
    <t>multiUnitBuilding</t>
  </si>
  <si>
    <t>Multi-unit Building</t>
  </si>
  <si>
    <t>An indication that a building is divided into two or more distinct sets of rooms or other interior spaces that are internally fully-connected while being separated from each other and common areas by controlled access point(s) (for example: lockable doors) that enable physical privacy and security for its occupants.</t>
  </si>
  <si>
    <t>For example, an apartment building consisting of multiple self-contained residences individually including spaces for personal activities, cooking, eating, sleeping, and (usually) a private bathroom, or an office building housing multiple commercial establishments individually including spaces for reception, meetings, single or open-plan work areas, as well as individual or common-use bathrooms or cafeterias.</t>
  </si>
  <si>
    <t>NED</t>
  </si>
  <si>
    <t>nameEffectiveDateTime</t>
  </si>
  <si>
    <t>Name Effective Date and Time</t>
  </si>
  <si>
    <t>The date and, optionally, time when a geographic name may begin to be officially used.</t>
  </si>
  <si>
    <t>NameEffectiveDateTimeStrucText</t>
  </si>
  <si>
    <t>NFN</t>
  </si>
  <si>
    <t>nameIdentifier</t>
  </si>
  <si>
    <t>Name Identifier</t>
  </si>
  <si>
    <t>The unique name identifier element in the NGA Geographic Names Data Base (GNDB).</t>
  </si>
  <si>
    <t>Typically used together with Attribute: 'Named Feature Identifier' to provide a unique index into the NGA Geographic Names Data Base (GNDB) from which NGA draws all of its feature name information.</t>
  </si>
  <si>
    <t>KeyNonLex18</t>
  </si>
  <si>
    <t>NMO</t>
  </si>
  <si>
    <t>nameModifier</t>
  </si>
  <si>
    <t>Name Modifier</t>
  </si>
  <si>
    <t>The identifier of the last linguist or event that either initially created or subsequently modified any information regarding a geographic name.</t>
  </si>
  <si>
    <t>Typically includes an analyst name or initials, a specification of the event that triggered and/or associated process that generated a modification, and a possible inclusion of information related to the modification.</t>
  </si>
  <si>
    <t>GMC</t>
  </si>
  <si>
    <t>nameSourceCitation</t>
  </si>
  <si>
    <t>Name Source Citation</t>
  </si>
  <si>
    <t>An identification of a data set from which a geographic name was collected and a means of communication with person(s) and/or organisation(s) associated with that data set.</t>
  </si>
  <si>
    <t>NTD</t>
  </si>
  <si>
    <t>nameTerminationDateTime</t>
  </si>
  <si>
    <t>Name Termination Date and Time</t>
  </si>
  <si>
    <t>The date and, optionally, time after which a geographic name may no longer be officially used.</t>
  </si>
  <si>
    <t>NameTerminationDateTimeStrucText</t>
  </si>
  <si>
    <t>NFI</t>
  </si>
  <si>
    <t>namedFeatureIdentifier</t>
  </si>
  <si>
    <t>Named Feature Identifier</t>
  </si>
  <si>
    <t>The unique named feature identifier element in the NGA Geographic Names Data Base (GNDB).</t>
  </si>
  <si>
    <t>Typically used together with Attribute: 'Name Identifier' to provide a unique index into the NGA Geographic Names Data Base (GNDB) from which NGA draws all of its feature name information.</t>
  </si>
  <si>
    <t>NLT</t>
  </si>
  <si>
    <t>namedLocationType</t>
  </si>
  <si>
    <t>Named Location Type</t>
  </si>
  <si>
    <t>The type of a location that normally does not appear as a specific, characterized object but that has a name that is required to be displayed in association with that location.</t>
  </si>
  <si>
    <t>NamedLocationTypeCode</t>
  </si>
  <si>
    <t>R01</t>
  </si>
  <si>
    <t>codeSpace</t>
  </si>
  <si>
    <t>Namespace</t>
  </si>
  <si>
    <t>An unambiguous identifier of the domain of allowable values (the namespace).</t>
  </si>
  <si>
    <t>Code Space</t>
  </si>
  <si>
    <t>M70</t>
  </si>
  <si>
    <t>authority</t>
  </si>
  <si>
    <t>Namespace Authority</t>
  </si>
  <si>
    <t>The person or party responsible for maintenance of the namespace.</t>
  </si>
  <si>
    <t>R02</t>
  </si>
  <si>
    <t>Namespace Version</t>
  </si>
  <si>
    <t>The version identifier for the namespace.</t>
  </si>
  <si>
    <t>NMI</t>
  </si>
  <si>
    <t>nationalMonIconCategory</t>
  </si>
  <si>
    <t>National Monument or Icon Category</t>
  </si>
  <si>
    <t>The degree to which a feature (for example: monument or icon) is of such national significance that its damage or destruction would have a great impact on the morale and public confidence of the nation as a whole, as a category.</t>
  </si>
  <si>
    <t>National monuments or icons are internationally recognized symbols of national power, culture, and tradition. They include sites and structures such as prominent historical attractions, monuments, cultural icons, and centers of government and commerce. Icons can be considered to include any structure, system, or resource that has cultural, historic, psychological, or political significance at the local, regional or national level if compromised or destroyed. National monuments or icons are usually located within the territory of the nation; the most common exceptions are cultural sites of religious significance which may be located within the territory of another nation.</t>
  </si>
  <si>
    <t>NationalMonIconCategoryCode</t>
  </si>
  <si>
    <t>SWT</t>
  </si>
  <si>
    <t>naturalPoolType</t>
  </si>
  <si>
    <t>Natural Pool Type</t>
  </si>
  <si>
    <t>The type of a natural pool, generally based on its origin.</t>
  </si>
  <si>
    <t>NaturalPoolTypeCode</t>
  </si>
  <si>
    <t>RCC</t>
  </si>
  <si>
    <t>navaidClass</t>
  </si>
  <si>
    <t>NAVAID Class</t>
  </si>
  <si>
    <t>The type of an aeronautical navigation aid (NAVAID) based on its transmission power and the altitude and range at which its transmissions are intended to be received.</t>
  </si>
  <si>
    <t>The classification is based on the service range at which radio reception can be guaranteed, based on the frequency band utilized by the navigational aid.</t>
  </si>
  <si>
    <t>NavaidClassCode</t>
  </si>
  <si>
    <t>PWR</t>
  </si>
  <si>
    <t>navaidPower</t>
  </si>
  <si>
    <t>NAVAID Power</t>
  </si>
  <si>
    <t>NAVAID facility radiated power.</t>
  </si>
  <si>
    <t>NFP</t>
  </si>
  <si>
    <t>navalFiringPracticeType</t>
  </si>
  <si>
    <t>Naval Firing and/or Practice Type</t>
  </si>
  <si>
    <t>The type(s) of an area where firing and/or munition exercises are conducted by Naval forces (for example: vessels or aircraft) based on the purpose(s) of the firing, practice, or exercise and/or the nature of the equipment employed.</t>
  </si>
  <si>
    <t>NavalFiringPracticeTypeCode</t>
  </si>
  <si>
    <t>MMT</t>
  </si>
  <si>
    <t>mineTacticalUse</t>
  </si>
  <si>
    <t>Naval Mine Intended Use</t>
  </si>
  <si>
    <t>The intended military use of a naval mine or minelike object.</t>
  </si>
  <si>
    <t>MineTacticalUseCode</t>
  </si>
  <si>
    <t>MPC</t>
  </si>
  <si>
    <t>navalMinePositioning</t>
  </si>
  <si>
    <t>Naval Mine Positioning</t>
  </si>
  <si>
    <t>The capability by which an explosive naval mine maintains or changes position.</t>
  </si>
  <si>
    <t>NavalMinePositioningCode</t>
  </si>
  <si>
    <t>NOA</t>
  </si>
  <si>
    <t>navalOperationsType</t>
  </si>
  <si>
    <t>Naval Operations Type</t>
  </si>
  <si>
    <t>The type(s) of an area in which operations are conducted by Naval forces (for example: vessels or aircraft) based on the size, purpose, forces deployed and/or operation(s) conducted.</t>
  </si>
  <si>
    <t>NavalOperationsTypeCode</t>
  </si>
  <si>
    <t>NVS</t>
  </si>
  <si>
    <t>navigabilityInformation</t>
  </si>
  <si>
    <t>Navigability Information</t>
  </si>
  <si>
    <t>Information about the navigability of a body of water by ocean-going and/or large vessels.</t>
  </si>
  <si>
    <t>Navigability is not intended to include jet skis, motorboats or other recreational craft.</t>
  </si>
  <si>
    <t>NavigabilityInformationCode</t>
  </si>
  <si>
    <t>PAI</t>
  </si>
  <si>
    <t>navAidPointAngleIndication</t>
  </si>
  <si>
    <t>Navigation Aid Point Angular Indication</t>
  </si>
  <si>
    <t>A published bearing to or radial from a radio navigation aid, referenced to a significant point or radio navigation aid checkpoint.</t>
  </si>
  <si>
    <t>Angular Reference</t>
  </si>
  <si>
    <t>NavAidPointAngleIndicationStrucText</t>
  </si>
  <si>
    <t>PDI</t>
  </si>
  <si>
    <t>navAidPointDistIndication</t>
  </si>
  <si>
    <t>Navigation Aid Point Distance Indication</t>
  </si>
  <si>
    <t>A published distance between a radio navigation aid and a significant point or radio navigation aid checkpoint.</t>
  </si>
  <si>
    <t>NavAidPointDistIndicationStrucText</t>
  </si>
  <si>
    <t>LMC</t>
  </si>
  <si>
    <t>navigationLandmark</t>
  </si>
  <si>
    <t>Navigation Landmark</t>
  </si>
  <si>
    <t>An indication that a feature may serve as a navigation landmark, allowing for rapid and positive orientation of a navigator.</t>
  </si>
  <si>
    <t>Its size, shape, and/or location make it prominent in relation to its surroundings, and it is therefore easily recognized from the surface and/or from the air.</t>
  </si>
  <si>
    <t>CHA</t>
  </si>
  <si>
    <t>navigationLightCharacter</t>
  </si>
  <si>
    <t>Navigation Light Characteristic</t>
  </si>
  <si>
    <t>The sequence, grouping, and/or distinctive character (rythym and colour or colours) of a navigation light.</t>
  </si>
  <si>
    <t>NavigationLightCharacterCode</t>
  </si>
  <si>
    <t>NMC</t>
  </si>
  <si>
    <t>navigationMarkColour</t>
  </si>
  <si>
    <t>Navigation Mark Colour</t>
  </si>
  <si>
    <t>The colour(s) of a International Association of Lighthouse Authorities (IALA) navigation mark.</t>
  </si>
  <si>
    <t>When the navigation mark is patterned, the Attribute: 'Colour Pattern' may be used to identify the pattern and a corresponding list of colours specified.</t>
  </si>
  <si>
    <t>NavigationMarkColourCode</t>
  </si>
  <si>
    <t>NCH</t>
  </si>
  <si>
    <t>navServiceCheckpointType</t>
  </si>
  <si>
    <t>Navigation Service Checkpoint Type</t>
  </si>
  <si>
    <t>The type of navigation system for which the checkpoint has been established.</t>
  </si>
  <si>
    <t>For example: Inertial Navigation System (INS), VHF Omnidirectional Range (VOR), or Global Navigation Satellite System (GNSS) systems.</t>
  </si>
  <si>
    <t>NavServiceCheckpointTypeCode</t>
  </si>
  <si>
    <t>NSY</t>
  </si>
  <si>
    <t>navigationSystemName</t>
  </si>
  <si>
    <t>Navigation System Name</t>
  </si>
  <si>
    <t>The name of the navigation system used to measure the sounding depths.</t>
  </si>
  <si>
    <t>NST</t>
  </si>
  <si>
    <t>navigationSystemType</t>
  </si>
  <si>
    <t>Navigation System Type</t>
  </si>
  <si>
    <t>The type(s) of equipment or system used in electronic navigation.</t>
  </si>
  <si>
    <t>NavigationSystemTypeCode</t>
  </si>
  <si>
    <t>TUR</t>
  </si>
  <si>
    <t>nephelometricTurbidity</t>
  </si>
  <si>
    <t>Nephelometric Turbidity</t>
  </si>
  <si>
    <t>The cloudiness or haziness of a volume of solution as determined by its degree of light scattering.</t>
  </si>
  <si>
    <t>Turbidity is caused by suspended solids that are generally invisible to the naked eye, for example: suspended clay, silt, organic and inorganic matter, and plankton and other microorganisms. The units of turbidity from a calibrated nephelometer (based on the scattering of a focused beam of light) are called Nephelometric Turbidity Units (NTU).</t>
  </si>
  <si>
    <t>STL</t>
  </si>
  <si>
    <t>nomadicSeasonalLocation</t>
  </si>
  <si>
    <t>Nomadic Seasonal Location</t>
  </si>
  <si>
    <t>The season(s) in which a nomadic people are camped at a given location.</t>
  </si>
  <si>
    <t>NomadicSeasonalLocationCode</t>
  </si>
  <si>
    <t>LVN</t>
  </si>
  <si>
    <t>nominalRange</t>
  </si>
  <si>
    <t>Nominal Range</t>
  </si>
  <si>
    <t>The maximum distance at which a light can be seen (or signal detected) in a homogeneous atmosphere in which the meteorological visibility is 10 nautical miles (clear weather as defined by the International Visibility Code).</t>
  </si>
  <si>
    <t>The actual luminous range will be lesser (or occasionally greater) than the nominal range depending on prevailing weather conditions. The lesser of the geographic range and the luminous range is the range at which a light will first be sighted.</t>
  </si>
  <si>
    <t>NBY</t>
  </si>
  <si>
    <t>nonBuildingStructType</t>
  </si>
  <si>
    <t>Non-building Structure Type</t>
  </si>
  <si>
    <t>The type of a free-standing self-supporting construction (for example: a large piece of equipment) designed to support human activities (for example: agriculture, manufacturing, or mining) but not intended for human occupancy and/or habitation (for example: a house, a bank, an office, or a stadium).</t>
  </si>
  <si>
    <t>NonBuildingStructTypeCode</t>
  </si>
  <si>
    <t>NSD</t>
  </si>
  <si>
    <t>nonSpatialSourceDateTime</t>
  </si>
  <si>
    <t>Non-spatial Source Date and Time</t>
  </si>
  <si>
    <t>The date and, optionally, time of collection of the data that was used to define the non-spatial representation of the digital feature or data set.</t>
  </si>
  <si>
    <t>NonSpatialSourceDateTimeStrucText</t>
  </si>
  <si>
    <t>NSN</t>
  </si>
  <si>
    <t>nonSpatialSourceDesc</t>
  </si>
  <si>
    <t>Non-spatial Source Description</t>
  </si>
  <si>
    <t>A description of the data that was used to define the non-spatial representation of the digital feature or data set.</t>
  </si>
  <si>
    <t>NSP</t>
  </si>
  <si>
    <t>nonSpatialSourceType</t>
  </si>
  <si>
    <t>Non-spatial Source Type</t>
  </si>
  <si>
    <t>The type(s) of data that were used to define the digital representation of the non-spatial component(s) of the feature or data set.</t>
  </si>
  <si>
    <t>Non-spatial component(s) include feature attribute values (for example: height above surface level, controlling authority, or whether the feature is man-made) and/or associations between feature instances (for example: a specific power transmission line originates at a particular power station).</t>
  </si>
  <si>
    <t>NonSpatialSourceTypeCodeList</t>
  </si>
  <si>
    <t>NHR</t>
  </si>
  <si>
    <t>nonStandardHoldingReason</t>
  </si>
  <si>
    <t>Non-Standard Holding Reason</t>
  </si>
  <si>
    <t>A statement specifying the reason that the holding procedure does not employ standard length, time, and/or turns.</t>
  </si>
  <si>
    <t>NCP</t>
  </si>
  <si>
    <t>nonSubContactPositionAcc</t>
  </si>
  <si>
    <t>Non-submarine Contact Position Accuracy</t>
  </si>
  <si>
    <t>The accuracy of the position of a non-submarine contact.</t>
  </si>
  <si>
    <t>RAG</t>
  </si>
  <si>
    <t>nonSubContactReportAgType</t>
  </si>
  <si>
    <t>Non-submarine Contact Reporting Agency Type</t>
  </si>
  <si>
    <t>General classification of the source of a reported non-submarine contact.</t>
  </si>
  <si>
    <t>Based on specific fields in the US and UK Wreck Lists.</t>
  </si>
  <si>
    <t>NonSubContactReportAgTypeCode</t>
  </si>
  <si>
    <t>NRT</t>
  </si>
  <si>
    <t>northReferenceType</t>
  </si>
  <si>
    <t>North Reference Type</t>
  </si>
  <si>
    <t>The type of North to which the 'zero bearing' corresponds.</t>
  </si>
  <si>
    <t>For example: magnetic north, true north, or grid north.</t>
  </si>
  <si>
    <t>NorthReferenceTypeCode</t>
  </si>
  <si>
    <t>E04</t>
  </si>
  <si>
    <t>northBoundLatitude</t>
  </si>
  <si>
    <t>Northern Bounding Latitude</t>
  </si>
  <si>
    <t>The northern-most coordinate of the limit of a geospatial extent.</t>
  </si>
  <si>
    <t>I01</t>
  </si>
  <si>
    <t>alias</t>
  </si>
  <si>
    <t>Object Alias</t>
  </si>
  <si>
    <t>An alternative name by which this object is identified.</t>
  </si>
  <si>
    <t>GenericNameStrucText</t>
  </si>
  <si>
    <t>OEC</t>
  </si>
  <si>
    <t>objectExistCertaintyCat</t>
  </si>
  <si>
    <t>Object Existence Certainty Category</t>
  </si>
  <si>
    <t>The subjective level of certainty of the existence of an object, as a category.</t>
  </si>
  <si>
    <t>A subjective analysis based on multiple observations (for example: overhead images or sensor signals) interpreted algorithmically and/or by analysts.</t>
  </si>
  <si>
    <t>ObjectExistCertaintyCatCode</t>
  </si>
  <si>
    <t>I02</t>
  </si>
  <si>
    <t>identifier</t>
  </si>
  <si>
    <t>Object Identifier</t>
  </si>
  <si>
    <t>An identifier which references elsewhere the object's defining information; alternatively an identifier by which this object can be referenced.</t>
  </si>
  <si>
    <t>RefSystemIdentStrucText</t>
  </si>
  <si>
    <t>I03</t>
  </si>
  <si>
    <t>remarks</t>
  </si>
  <si>
    <t>Object Remarks</t>
  </si>
  <si>
    <t>Comments on or information about this object, including data source information.</t>
  </si>
  <si>
    <t>OCT</t>
  </si>
  <si>
    <t>observationCount</t>
  </si>
  <si>
    <t>Observation Count</t>
  </si>
  <si>
    <t>The number of times that a persistent phenomenon (for example: an object) has been observed.</t>
  </si>
  <si>
    <t>OLH</t>
  </si>
  <si>
    <t>obsLandWaterBoundaryHgt</t>
  </si>
  <si>
    <t>Observed Land Water Boundary Height</t>
  </si>
  <si>
    <t>The vertical elevation difference between an observed tidal level or river stage and a specified reference level (for example: a tidal sounding datum or a river base level).</t>
  </si>
  <si>
    <t>For example, a water line may be established for a time at which the tidal state doesn't correspond to a standard sounding datum. The observed boundary height then specifies how much higher or lower the tide stage was from a specified sounding datum.</t>
  </si>
  <si>
    <t>OCA</t>
  </si>
  <si>
    <t>obstacleClearanceAltitude</t>
  </si>
  <si>
    <t>Obstacle Clearance Altitude (OCA)</t>
  </si>
  <si>
    <t>The lowest altitude in reference to Mean Sea Level that is used in establishing compliance with appropriate obstacle clearance criteria.</t>
  </si>
  <si>
    <t>OCH</t>
  </si>
  <si>
    <t>obstacleClearanceHeight</t>
  </si>
  <si>
    <t>Obstacle Clearance Height (OCH)</t>
  </si>
  <si>
    <t>The lowest height above the elevation of the relevant runway threshold or the aerodrome elevation as applicable, used in establishing compliance with appropriate obstacle clearance criteria.</t>
  </si>
  <si>
    <t>Obstacle clearance height is referenced to the threshold elevation or in the case of non-precision approaches to the aerodrome elevation or the threshold elevation if that is more than 2 metres (7 feet) below the aerodrome elevation. An obstacle clearance height for a circling approach is referenced to the aerodrome elevation.</t>
  </si>
  <si>
    <t>OMP</t>
  </si>
  <si>
    <t>obstacleMarkingPresent</t>
  </si>
  <si>
    <t>Obstacle Marking Present</t>
  </si>
  <si>
    <t>An indication that an obstacle that constitutes a danger to air navigation is marked by visual means other than a light.</t>
  </si>
  <si>
    <t>May be painted or may display flags.</t>
  </si>
  <si>
    <t>OFI</t>
  </si>
  <si>
    <t>oceanFrontIndicator</t>
  </si>
  <si>
    <t>Oceanographic Front Indicator</t>
  </si>
  <si>
    <t>The type of water indicator that locates the position of an oceanographic front.</t>
  </si>
  <si>
    <t>OceanFrontIndicatorCode</t>
  </si>
  <si>
    <t>OCF</t>
  </si>
  <si>
    <t>oceanographicFrontType</t>
  </si>
  <si>
    <t>Oceanographic Front Type</t>
  </si>
  <si>
    <t>The type of physical oceanographic property whose difference distinguishes two adjacent water masses.</t>
  </si>
  <si>
    <t>OceanographicFrontTypeCode</t>
  </si>
  <si>
    <t>OSI</t>
  </si>
  <si>
    <t>oceanographicSurveyIdent</t>
  </si>
  <si>
    <t>Oceanographic Survey Identifier</t>
  </si>
  <si>
    <t>The unique identifier of an oceanographic survey.</t>
  </si>
  <si>
    <t>The identifier format varies and is determined in accordance with how the data was collected, either during a normal trip survey or during a fleet exercise. For example, the first two digits may identify the ship or vessel collecting the data. the 3rd and 4th digits may identify the survey that took place during a specific year, and the 5th and 6th digits may identify the year that the survey took place; this composite string could represent the 11th survey to take place in 1999, from a specific USNS oceanographic survey ship.</t>
  </si>
  <si>
    <t>TextNonLex20</t>
  </si>
  <si>
    <t>OCS</t>
  </si>
  <si>
    <t>offshoreConstPriStruct</t>
  </si>
  <si>
    <t>Offshore Construction Primary Structure</t>
  </si>
  <si>
    <t>The type of primary structure of an offshore construction upon which various pieces of operation-specific equipment are affixed.</t>
  </si>
  <si>
    <t>OffshoreConstPriStructCode</t>
  </si>
  <si>
    <t>OSS</t>
  </si>
  <si>
    <t>offshoreConstSupStruct</t>
  </si>
  <si>
    <t>Offshore Construction Support Structure</t>
  </si>
  <si>
    <t>The means by which a offshore construction is supported above the water level.</t>
  </si>
  <si>
    <t>OffshoreConstSupStructCode</t>
  </si>
  <si>
    <t>OPM</t>
  </si>
  <si>
    <t>offshorePositioningMethod</t>
  </si>
  <si>
    <t>Offshore Positioning Method</t>
  </si>
  <si>
    <t>The method by which the position of an offshore construction is maintained.</t>
  </si>
  <si>
    <t>OffshorePositioningMethodCode</t>
  </si>
  <si>
    <t>ODA</t>
  </si>
  <si>
    <t>omnidirectionalDepartAuth</t>
  </si>
  <si>
    <t>Omnidirectional Departure Authorised</t>
  </si>
  <si>
    <t>An indication that a standard omnidirectional departure is authorised.</t>
  </si>
  <si>
    <t>The omnidirectional departure is a standard means of departing an aerodrome under instrument flight rule conditions. It is designed to assure that the aircraft has appropriate obstacle clearance at all times from the departure end of the runway to the first point along the predetermined flight plan. The basic procedure for this departure is that the aircraft is to fly the runway heading after takeoff until reaching an altitude of 120 metres (394 feet), and only after reaching this altitude can the aircraft initiate a turn towards the predetermined fligth plan.</t>
  </si>
  <si>
    <t>Diverse Departure</t>
  </si>
  <si>
    <t>ONE</t>
  </si>
  <si>
    <t>oneWay</t>
  </si>
  <si>
    <t>One-way</t>
  </si>
  <si>
    <t>An indication that a thoroughfare is intended to be used only in a single direction.</t>
  </si>
  <si>
    <t>For example, a metropolitan street grid may include streets designated for one-way use in order to improve traffic flow; usually there is a paired parallel street nearby designated for one-way use in the opposite direction. A thoroughfare is a public way, unobstructed and forming a route (for example: a road or a path) between two places.</t>
  </si>
  <si>
    <t>OPK</t>
  </si>
  <si>
    <t>openingThickness</t>
  </si>
  <si>
    <t>Opening Thickness</t>
  </si>
  <si>
    <t>The dimension of an opening measured perpendicular to the plane of the opening.</t>
  </si>
  <si>
    <t>For example, the thickness of a door frame. An opening may be on man-made or natural features. The opening thickness of a revolving door would be the diameter of the tube which surrounds the panels or wings of the door. The thickness of a cave opening would be measured between the exterior rock face and the interior surface of a chamber, passage, or other transitional feature.</t>
  </si>
  <si>
    <t>OPA</t>
  </si>
  <si>
    <t>operatingAgency</t>
  </si>
  <si>
    <t>Operating Agency</t>
  </si>
  <si>
    <t>The operating agency responsible for controlling air traffic within an airspace area of defined horizontal and vertical dimensions.</t>
  </si>
  <si>
    <t>OperatingAgencyCode</t>
  </si>
  <si>
    <t>OPT</t>
  </si>
  <si>
    <t>operatingCycle</t>
  </si>
  <si>
    <t>Operating Cycle</t>
  </si>
  <si>
    <t>The time(s) during which a feature is usable.</t>
  </si>
  <si>
    <t>OperatingCycleCode</t>
  </si>
  <si>
    <t>ORS</t>
  </si>
  <si>
    <t>operatingRestriction</t>
  </si>
  <si>
    <t>Operating Restriction</t>
  </si>
  <si>
    <t>The conditions (for example: time or weather) during which the use of a feature (for example: a facility, an aerodrome, a port, or a thoroughfare) is restricted.</t>
  </si>
  <si>
    <t>OperatingRestrictionCode</t>
  </si>
  <si>
    <t>OPS</t>
  </si>
  <si>
    <t>operational</t>
  </si>
  <si>
    <t>Operational</t>
  </si>
  <si>
    <t>An indication that a feature is operational.</t>
  </si>
  <si>
    <t>ORE</t>
  </si>
  <si>
    <t>operationalReadiness</t>
  </si>
  <si>
    <t>Operational Readiness Status</t>
  </si>
  <si>
    <t>The operational readiness status of a feature based on the types of operations supportable and the level of support that can be achieved.</t>
  </si>
  <si>
    <t>OperationalReadinessCode</t>
  </si>
  <si>
    <t>OEV</t>
  </si>
  <si>
    <t>operationsEndDateTime</t>
  </si>
  <si>
    <t>Operations End Date and Time</t>
  </si>
  <si>
    <t>The date and, optionally, time of the end of an event or operating period.</t>
  </si>
  <si>
    <t>OperationsEndDateTimeStrucText</t>
  </si>
  <si>
    <t>OSV</t>
  </si>
  <si>
    <t>operationsStartDateTime</t>
  </si>
  <si>
    <t>Operations Start Date and Time</t>
  </si>
  <si>
    <t>The date and, optionally, time of the start of an event or operating period.</t>
  </si>
  <si>
    <t>OperationsStartDateTimeStrucText</t>
  </si>
  <si>
    <t>OID</t>
  </si>
  <si>
    <t>operatorIdentifier</t>
  </si>
  <si>
    <t>Operator Identifier</t>
  </si>
  <si>
    <t>The identifier of the operator that defined, reviewed, and/or updated the digital representation of the feature or data set.</t>
  </si>
  <si>
    <t>KeyNonLex40</t>
  </si>
  <si>
    <t>OCO</t>
  </si>
  <si>
    <t>outboundCourse</t>
  </si>
  <si>
    <t>Outbound Course</t>
  </si>
  <si>
    <t>The specific heading along which an aircraft must fly when leaving an Air Traffic Service (ATS) route significant point while travelling along an enroute ATS route.</t>
  </si>
  <si>
    <t>OHC</t>
  </si>
  <si>
    <t>overheadClearance</t>
  </si>
  <si>
    <t>Overhead Clearance</t>
  </si>
  <si>
    <t>The least distance between the travelled way and any obstruction vertically above it.</t>
  </si>
  <si>
    <t>Reference STANAG 2253.</t>
  </si>
  <si>
    <t>OOC</t>
  </si>
  <si>
    <t>overheadObstructionType</t>
  </si>
  <si>
    <t>Overhead Obstruction Type</t>
  </si>
  <si>
    <t>The type of an overhead obstruction based on its shape, structure and/or intended use.</t>
  </si>
  <si>
    <t>OverheadObstructionTypeCode</t>
  </si>
  <si>
    <t>OOP</t>
  </si>
  <si>
    <t>ownerOrOperator</t>
  </si>
  <si>
    <t>Owner or Operator</t>
  </si>
  <si>
    <t>The name or similar designation of the owner or operator of a facility (for example: a warehouse, a store, or an aircraft hangar).</t>
  </si>
  <si>
    <t>For example, 'Fed Ex', 'NASA', 'General Electric', and 'Millionair'.</t>
  </si>
  <si>
    <t>NPL</t>
  </si>
  <si>
    <t>parallelLineCount</t>
  </si>
  <si>
    <t>Parallel Line Count</t>
  </si>
  <si>
    <t>The total number of nominally parallel lines within the feature.</t>
  </si>
  <si>
    <t>M41</t>
  </si>
  <si>
    <t>parentIdentifier</t>
  </si>
  <si>
    <t>Parent Identifier</t>
  </si>
  <si>
    <t>The identifier of the resource of which this resource is a subset (child).</t>
  </si>
  <si>
    <t>partialFeatureIndicator</t>
  </si>
  <si>
    <t>Partial Feature Indicator</t>
  </si>
  <si>
    <t>An indication that a feature instance delineates only a portion of the complete feature.</t>
  </si>
  <si>
    <t>May be used when delineating separate parts of a single feature. For example, a single road may be delineated as several distinct parts since each part has a unique local name as it passes through different municipalities.</t>
  </si>
  <si>
    <t>PSD</t>
  </si>
  <si>
    <t>passengerServiceDesc</t>
  </si>
  <si>
    <t>Passenger Service Description</t>
  </si>
  <si>
    <t>A textual description of the type and level of passenger services available at the aerodrome.</t>
  </si>
  <si>
    <t>PSY</t>
  </si>
  <si>
    <t>passengerServiceType</t>
  </si>
  <si>
    <t>Passenger Service Type</t>
  </si>
  <si>
    <t>The type(s) of services that are available to passengers at or in the vicinity of the aerodrome.</t>
  </si>
  <si>
    <t>PassengerServiceTypeCode</t>
  </si>
  <si>
    <t>PCN</t>
  </si>
  <si>
    <t>pavementClassNumber</t>
  </si>
  <si>
    <t>Pavement Classification Number (PCN)</t>
  </si>
  <si>
    <t>The bearing strength of a pavement for unrestricted operations.</t>
  </si>
  <si>
    <t>PCN, Pavement Load Rating (PLR), PCN Class</t>
  </si>
  <si>
    <t>PC1</t>
  </si>
  <si>
    <t>pavementTypeForPcnDeterm</t>
  </si>
  <si>
    <t>Pavement Type for PCN Determination</t>
  </si>
  <si>
    <t>The pavement behavior (for example: rigid or flexible) used for the Pavement Classification Number (PCN) determination, as a category.</t>
  </si>
  <si>
    <t>PCN Pavement Type</t>
  </si>
  <si>
    <t>PavementTypePCNCode</t>
  </si>
  <si>
    <t>PC4</t>
  </si>
  <si>
    <t>pcnEvaluationMethod</t>
  </si>
  <si>
    <t>PCN Evaluation Method</t>
  </si>
  <si>
    <t>The method used to rate a runway pavement.</t>
  </si>
  <si>
    <t>PcnEvaluationMethodCode</t>
  </si>
  <si>
    <t>PC3</t>
  </si>
  <si>
    <t>pcnMaxAllowTirePressCat</t>
  </si>
  <si>
    <t>PCN Maximum Allowable Tire Pressure Category</t>
  </si>
  <si>
    <t>The maximum allowable tire pressure category related to the Pavement Classification Number (PCN), as a category.</t>
  </si>
  <si>
    <t>PcnMaxAllowableTirePressureCode</t>
  </si>
  <si>
    <t>PC5</t>
  </si>
  <si>
    <t>pcnMaxAllowTirePressVal</t>
  </si>
  <si>
    <t>PCN Maximum Allowable Tire Pressure Value</t>
  </si>
  <si>
    <t>The value of the maximum allowable tire pressure related to the Pavement Classification Number (PCN).</t>
  </si>
  <si>
    <t>PC2</t>
  </si>
  <si>
    <t>pcnPavementSubStrengthCat</t>
  </si>
  <si>
    <t>PCN Pavement Subgrade Strength Category</t>
  </si>
  <si>
    <t>An categorized indication of the pavement subgrade strength related to the Pavement Classification Number (PCN).</t>
  </si>
  <si>
    <t>The pavement subgrade is the native material underneath a constructed pavement.</t>
  </si>
  <si>
    <t>PCN Pavement Category</t>
  </si>
  <si>
    <t>PcnPavementSubgradeStrengthCatCode</t>
  </si>
  <si>
    <t>PCU</t>
  </si>
  <si>
    <t>pedestrianCapacity</t>
  </si>
  <si>
    <t>Pedestrian Capacity</t>
  </si>
  <si>
    <t>The maximum number of pedestrians that a feature can accommodate.</t>
  </si>
  <si>
    <t>TRA</t>
  </si>
  <si>
    <t>pedestrianTraversable</t>
  </si>
  <si>
    <t>Pedestrian Traversable</t>
  </si>
  <si>
    <t>An indication that a feature is traversable on foot.</t>
  </si>
  <si>
    <t>PER</t>
  </si>
  <si>
    <t>periodOfLight</t>
  </si>
  <si>
    <t>Period of Light</t>
  </si>
  <si>
    <t>The time occupied by an entire cycle of intervals of light and eclipse.</t>
  </si>
  <si>
    <t>HSE</t>
  </si>
  <si>
    <t>periodMarineCurrentMonth</t>
  </si>
  <si>
    <t>Periodic Marine Current Month Interval</t>
  </si>
  <si>
    <t>The month interval of the presence of a marine current.</t>
  </si>
  <si>
    <t>For example, a marine current may be present during the months of March through June.</t>
  </si>
  <si>
    <t>PeriodMarineCurMonthIntStrucText</t>
  </si>
  <si>
    <t>PMI</t>
  </si>
  <si>
    <t>periodicMonthInterval</t>
  </si>
  <si>
    <t>Periodic Month Interval</t>
  </si>
  <si>
    <t>The month interval during which the phenomenon is usually present.</t>
  </si>
  <si>
    <t>For example, a marine current usually occurs during the months of March through June, or a buoy is normally deployed during the months of April through September.</t>
  </si>
  <si>
    <t>PeriodicMonthIntervalStrucText</t>
  </si>
  <si>
    <t>PSE</t>
  </si>
  <si>
    <t>periodRestrictMonth</t>
  </si>
  <si>
    <t>Periodic Restriction Month Interval</t>
  </si>
  <si>
    <t>The month interval in which seasonal restrictions (for example: due to climate) are present.</t>
  </si>
  <si>
    <t>For example, a port may be closed during the months of October through April due to ice blockage.</t>
  </si>
  <si>
    <t>PeriodRestrictMonthIntStrucText</t>
  </si>
  <si>
    <t>PRM</t>
  </si>
  <si>
    <t>permanent</t>
  </si>
  <si>
    <t>Permanent</t>
  </si>
  <si>
    <t>An indication that a feature is permanent.</t>
  </si>
  <si>
    <t>Temporary features last, or are meant to last, for a limited time only.</t>
  </si>
  <si>
    <t>PHW</t>
  </si>
  <si>
    <t>pH</t>
  </si>
  <si>
    <t>The logarithm of the reciprocal of hydrogen ion (H+) concentration in gram atoms per liter of an aqueous solution.</t>
  </si>
  <si>
    <t>The pH (potential of Hydrogen) scale provides an indication of the acidity or alkalinity of a water sample. The scale ranges from 0 to 14, where 7 is neutral, greater than 7 is more alkaline and less than 7 is more acidic. The measure is termed the 'pH unit'.</t>
  </si>
  <si>
    <t>PCF</t>
  </si>
  <si>
    <t>physicalCondition</t>
  </si>
  <si>
    <t>Physical Condition</t>
  </si>
  <si>
    <t>The physical condition of a man-made structure, as a whole, including the inside and/or outside of the structure and any contained and/or associated equipment.</t>
  </si>
  <si>
    <t>The physical condition applies to any phase of the life cycle of a man-made structure from construction to destruction. Examples of man-made structures include roads, canals, buildings, towers, aerodromes and facilities.</t>
  </si>
  <si>
    <t>PhysicalConditionCode</t>
  </si>
  <si>
    <t>PBP</t>
  </si>
  <si>
    <t>pilotBoardingMethod</t>
  </si>
  <si>
    <t>Pilot Boarding Method</t>
  </si>
  <si>
    <t>The method by which pilots are transferred to vessels that use pilot services.</t>
  </si>
  <si>
    <t>PilotBoardingMethodCode</t>
  </si>
  <si>
    <t>PBB</t>
  </si>
  <si>
    <t>pilotBoatBerth</t>
  </si>
  <si>
    <t>Pilot Boat Berth</t>
  </si>
  <si>
    <t>An indication that a berth is intended for the use of pilot boats.</t>
  </si>
  <si>
    <t>Pilot boats are used to transfer pilots to vessels that use pilot services.</t>
  </si>
  <si>
    <t>PCO</t>
  </si>
  <si>
    <t>pilotControlledLighting</t>
  </si>
  <si>
    <t>Pilot Controlled Lighting (PCL)</t>
  </si>
  <si>
    <t>An indication that radio control of lighting is available to provide airborne control of lights by keying the aircraft's microphone.</t>
  </si>
  <si>
    <t>PCL, PCL</t>
  </si>
  <si>
    <t>PLT</t>
  </si>
  <si>
    <t>pipelineType</t>
  </si>
  <si>
    <t>Pipeline Type</t>
  </si>
  <si>
    <t>The type of a pipeline or pipeline-associated equipment based on structure and/or intended use(s).</t>
  </si>
  <si>
    <t>PipelineTypeCode</t>
  </si>
  <si>
    <t>G01</t>
  </si>
  <si>
    <t>pointGeometry</t>
  </si>
  <si>
    <t>Point Geometry</t>
  </si>
  <si>
    <t>A 0-dimensional geometric primitive, representing a position.</t>
  </si>
  <si>
    <t>GmPoint</t>
  </si>
  <si>
    <t>E12</t>
  </si>
  <si>
    <t>polygon</t>
  </si>
  <si>
    <t>Polygon</t>
  </si>
  <si>
    <t>A sets of points defining the bounding polygon.</t>
  </si>
  <si>
    <t>GmPolygon</t>
  </si>
  <si>
    <t>G21</t>
  </si>
  <si>
    <t>polygonGeometry</t>
  </si>
  <si>
    <t>Polygon Geometry</t>
  </si>
  <si>
    <t>A geometric surface patch that is defined by a set of boundary curves and an underlying surface to which these curves adhere.</t>
  </si>
  <si>
    <t>The default is that the curves are coplanar and the polygon uses planar interpolation in its interior. A component of a geometric surface.</t>
  </si>
  <si>
    <t>G22</t>
  </si>
  <si>
    <t>polyhedralSurfaceGeometry</t>
  </si>
  <si>
    <t>Polyhedral Surface Geometry</t>
  </si>
  <si>
    <t>A set of geometric polygons connected along their common boundary curves.</t>
  </si>
  <si>
    <t>A type of geometric surface.</t>
  </si>
  <si>
    <t>GmPolyhedralSurface</t>
  </si>
  <si>
    <t>PPI</t>
  </si>
  <si>
    <t>popPlaceRelImportance</t>
  </si>
  <si>
    <t>Populated Place Relative Importance</t>
  </si>
  <si>
    <t>The relative importance of a populated place as used to determine cartographic presentation.</t>
  </si>
  <si>
    <t>Generally assigned on the basis of relative physical extent, population, and/or cultural, political or economic importance to the region.</t>
  </si>
  <si>
    <t>PopPlaceRelImportanceStrucText</t>
  </si>
  <si>
    <t>PPL</t>
  </si>
  <si>
    <t>population</t>
  </si>
  <si>
    <t>Population</t>
  </si>
  <si>
    <t>The number of people within an area (for example: an administrative or built-up area).</t>
  </si>
  <si>
    <t>RPA</t>
  </si>
  <si>
    <t>portAccess</t>
  </si>
  <si>
    <t>Port Access</t>
  </si>
  <si>
    <t>An indication that a waterbody feature, all or in part, is used to access a port.</t>
  </si>
  <si>
    <t>PEC</t>
  </si>
  <si>
    <t>portOfEntry</t>
  </si>
  <si>
    <t>Port of Entry</t>
  </si>
  <si>
    <t>An indication that a facility is a port of entry for customs and immigration purposes.</t>
  </si>
  <si>
    <t>AGW</t>
  </si>
  <si>
    <t>portableAggressorWeapon</t>
  </si>
  <si>
    <t>Portable Aggressor Weapon</t>
  </si>
  <si>
    <t>The type(s) of portable weapons displayed and/or employed by aggressors.</t>
  </si>
  <si>
    <t>PortableAggressorWeaponCode</t>
  </si>
  <si>
    <t>KVA</t>
  </si>
  <si>
    <t>powerLineMaximumVoltage</t>
  </si>
  <si>
    <t>Power Line Maximum Voltage</t>
  </si>
  <si>
    <t>The maximum voltage at which a power line is designed to operate.</t>
  </si>
  <si>
    <t>POS</t>
  </si>
  <si>
    <t>powerSource</t>
  </si>
  <si>
    <t>Power Source</t>
  </si>
  <si>
    <t>The energy source(s) employed to generate power for off-site distribution.</t>
  </si>
  <si>
    <t>PowerSourceCode</t>
  </si>
  <si>
    <t>WVA</t>
  </si>
  <si>
    <t>predominantAvWaterVel</t>
  </si>
  <si>
    <t>Predominant Average Water Velocity</t>
  </si>
  <si>
    <t>The average water velocity, exclusive of high water due to runoff or low water due to drought.</t>
  </si>
  <si>
    <t>PFD</t>
  </si>
  <si>
    <t>predominantFeatureDepth</t>
  </si>
  <si>
    <t>Predominant Feature Depth</t>
  </si>
  <si>
    <t>The predominant depth (the depth of at least 50 percent) of the feature.</t>
  </si>
  <si>
    <t>PFH</t>
  </si>
  <si>
    <t>predominantFeatureHeight</t>
  </si>
  <si>
    <t>Predominant Feature Height</t>
  </si>
  <si>
    <t>The predominant height (the height of at least 50 percent) of the feature measured from the lowest point of the base at ground or water level (downhill side/downstream side).</t>
  </si>
  <si>
    <t>PGW</t>
  </si>
  <si>
    <t>predominantGapWidth</t>
  </si>
  <si>
    <t>Predominant Gap Width</t>
  </si>
  <si>
    <t>The predominant width (the width of at least 50 percent) across the top of a gap in the terrain surface.</t>
  </si>
  <si>
    <t>For water-filled channels it is measured between the tops of the first accessible breaks in slope above mean water level on each bank.</t>
  </si>
  <si>
    <t>WDH</t>
  </si>
  <si>
    <t>predominantMaxWaterDepth</t>
  </si>
  <si>
    <t>Predominant Maximum Water Depth</t>
  </si>
  <si>
    <t>The average (seasonal) high water depth, exclusive of high water due to runoff or low water due to drought.</t>
  </si>
  <si>
    <t>WVH</t>
  </si>
  <si>
    <t>predominantMaxWaterVel</t>
  </si>
  <si>
    <t>Predominant Maximum Water Velocity</t>
  </si>
  <si>
    <t>The average maximum (seasonal high water) water velocity, exclusive of high water due to runoff or low water due to drought.</t>
  </si>
  <si>
    <t>WDL</t>
  </si>
  <si>
    <t>predominantMinWaterDepth</t>
  </si>
  <si>
    <t>Predominant Minimum Water Depth</t>
  </si>
  <si>
    <t>The average (seasonal) low water depth, exclusive of high water due to runoff or low water due to drought.</t>
  </si>
  <si>
    <t>WVL</t>
  </si>
  <si>
    <t>predominantMinWaterVel</t>
  </si>
  <si>
    <t>Predominant Minimum Water Velocity</t>
  </si>
  <si>
    <t>The average minimum (seasonal low water) water velocity, exclusive of high water due to runoff or low water due to drought.</t>
  </si>
  <si>
    <t>PSH</t>
  </si>
  <si>
    <t>predominantStructHeight</t>
  </si>
  <si>
    <t>Predominant Structure Height</t>
  </si>
  <si>
    <t>The predominant height (the height of at least 50 percent) of the structure(s).</t>
  </si>
  <si>
    <t>PVH</t>
  </si>
  <si>
    <t>predominantVegHeight</t>
  </si>
  <si>
    <t>Predominant Vegetation Height</t>
  </si>
  <si>
    <t>The predominant height (the height of at least 50 percent) of the vegetation.</t>
  </si>
  <si>
    <t>PWA</t>
  </si>
  <si>
    <t>predominantWaterDepth</t>
  </si>
  <si>
    <t>Predominant Water Depth</t>
  </si>
  <si>
    <t>The predominant water depth (the depth of at least 50 percent), determined along a bank-to-bank cross section.</t>
  </si>
  <si>
    <t>Usually biased toward the maximum depths within the limits of the feature in order to support estimation of trafficability.</t>
  </si>
  <si>
    <t>PWH</t>
  </si>
  <si>
    <t>predominantWaterBankHgt</t>
  </si>
  <si>
    <t>Predominant Waterbody Bank Height</t>
  </si>
  <si>
    <t>The predominant height (the height of at least 50 percent) of the bank, measured from mean water level to the first break in slope above the mean water level.</t>
  </si>
  <si>
    <t>PWS</t>
  </si>
  <si>
    <t>predominantWaterBankSlope</t>
  </si>
  <si>
    <t>Predominant Waterbody Bank Slope</t>
  </si>
  <si>
    <t>The predominant slope (the slope of at least 50 percent) of the bank, measured from mean water level to the first accessible break in slope above the mean water level.</t>
  </si>
  <si>
    <t>DTV</t>
  </si>
  <si>
    <t>presenceDateInterval</t>
  </si>
  <si>
    <t>Presence Date Interval</t>
  </si>
  <si>
    <t>The date interval of the presence of an object (for example: a buoy).</t>
  </si>
  <si>
    <t>PresenceDateIntervalStrucText</t>
  </si>
  <si>
    <t>PFR</t>
  </si>
  <si>
    <t>primaryFrequency</t>
  </si>
  <si>
    <t>Primary Frequency</t>
  </si>
  <si>
    <t>An indication that the radio frequency is the primary means of contacting the service or installation.</t>
  </si>
  <si>
    <t>ORC</t>
  </si>
  <si>
    <t>primaryOperatingRange</t>
  </si>
  <si>
    <t>Primary Operating Range</t>
  </si>
  <si>
    <t>The primary range of the NAVAID beyond which the capture of the signal is not completely assured.</t>
  </si>
  <si>
    <t>PSC</t>
  </si>
  <si>
    <t>primaryStructMatChar</t>
  </si>
  <si>
    <t>Primary Structural Material Characteristic</t>
  </si>
  <si>
    <t>The physical characteristic(s) (for example: particle size, morphology or consistency) of the primary type of material composing a feature.</t>
  </si>
  <si>
    <t>The basis for 'primary' may be, for example, compositional dominance or structural organization.</t>
  </si>
  <si>
    <t>PrimaryStructMatCharCode</t>
  </si>
  <si>
    <t>PRV</t>
  </si>
  <si>
    <t>privateInfoIndicator</t>
  </si>
  <si>
    <t>Private Information Indicator</t>
  </si>
  <si>
    <t>An indication that information is designated as private and not to be generally released.</t>
  </si>
  <si>
    <t>For example, the information may represent system internal processing data.</t>
  </si>
  <si>
    <t>PAH</t>
  </si>
  <si>
    <t>procedureAltitudeHeight</t>
  </si>
  <si>
    <t>Procedure Altitude or Height</t>
  </si>
  <si>
    <t>A specified altitude/height flown operationally at or above the minimum altitude/height and established to accommodate a stabilized descent at a prescribed descent gradient/angle in the intermediate/final approach segment.</t>
  </si>
  <si>
    <t>PES</t>
  </si>
  <si>
    <t>procedureDescription</t>
  </si>
  <si>
    <t>Procedure Description</t>
  </si>
  <si>
    <t>A textual description of a visual or instrument flight procedure, or segment thereof, which may include arrivals and departures.</t>
  </si>
  <si>
    <t>Information should include, but not be limited to routing, heading, altitude and contact information.</t>
  </si>
  <si>
    <t>Arrival Route Description, Departure Route Description, IAP Description, SID Description, STAR Description</t>
  </si>
  <si>
    <t>PDC</t>
  </si>
  <si>
    <t>procedureDesignCriteria</t>
  </si>
  <si>
    <t>Procedure Design Criteria</t>
  </si>
  <si>
    <t>The set of rules used to design and evaluate visual and/or instrument flight procedures.</t>
  </si>
  <si>
    <t>ProcedureDesignCriteriaCode</t>
  </si>
  <si>
    <t>PLL</t>
  </si>
  <si>
    <t>procedureLowerLimit</t>
  </si>
  <si>
    <t>Procedure Lower Limit</t>
  </si>
  <si>
    <t>The minimum allowed altitude for the flight procedure segment.</t>
  </si>
  <si>
    <t>PMT</t>
  </si>
  <si>
    <t>procedureMinimaType</t>
  </si>
  <si>
    <t>Procedure Minima Type</t>
  </si>
  <si>
    <t>The usage of the established minimum weather condition requirements for landing, based on whether the aerodrome is serving as an alternate to the original destination of the aircraft.</t>
  </si>
  <si>
    <t>ProcedureMinimaTypeCode</t>
  </si>
  <si>
    <t>PMS</t>
  </si>
  <si>
    <t>procMinimumSpeed</t>
  </si>
  <si>
    <t>Procedure Minimum Speed</t>
  </si>
  <si>
    <t>The minimum permitted speed of an aircraft when travelling along a specified flight procedure route or segment.</t>
  </si>
  <si>
    <t>RSP</t>
  </si>
  <si>
    <t>procRecommendedSpeed</t>
  </si>
  <si>
    <t>Procedure Recommended Speed</t>
  </si>
  <si>
    <t>The recommended speed of an aircraft for a specified flight procedure route or segment, as advocated by air traffic control or the procedure designer.</t>
  </si>
  <si>
    <t>PSA</t>
  </si>
  <si>
    <t>procedureSegmentAltitude</t>
  </si>
  <si>
    <t>Procedure Segment Altitude</t>
  </si>
  <si>
    <t>The specified altitude for use with any flight procedure segment.</t>
  </si>
  <si>
    <t>PCS</t>
  </si>
  <si>
    <t>procedureSegmentCourse</t>
  </si>
  <si>
    <t>Procedure Segment Course</t>
  </si>
  <si>
    <t>The radial, course or bearing from the starting point to the end point of the flight procedure segment.</t>
  </si>
  <si>
    <t>Course Angle, Track Angle</t>
  </si>
  <si>
    <t>PSL</t>
  </si>
  <si>
    <t>procedureSegmentLength</t>
  </si>
  <si>
    <t>Procedure Segment Length</t>
  </si>
  <si>
    <t>The longitudinal extent of a flight procedure segment.</t>
  </si>
  <si>
    <t>PTS</t>
  </si>
  <si>
    <t>procedureSegmentTime</t>
  </si>
  <si>
    <t>Procedure Segment Time</t>
  </si>
  <si>
    <t>The length of time the aircraft should maintain track on the flight procedure segment.</t>
  </si>
  <si>
    <t>ProcedureSegmentTimeStrucText</t>
  </si>
  <si>
    <t>SLP</t>
  </si>
  <si>
    <t>procedureSpeedLimit</t>
  </si>
  <si>
    <t>Procedure Speed Limit</t>
  </si>
  <si>
    <t>The maximum speed of the aircraft permitted for a particular flight procedure route or segment.</t>
  </si>
  <si>
    <t>PTR</t>
  </si>
  <si>
    <t>procedureTurnRequired</t>
  </si>
  <si>
    <t>Procedure Turn Required</t>
  </si>
  <si>
    <t>A Boolean indicating if a flight procedure turn is required at the end of the segment.</t>
  </si>
  <si>
    <t>A procedure turn is a manoeuvre in which a turn is made away from a designated track followed by a turn in the opposite direction to permit the aircraft to intercept and proceed along the reciprocal of the designated track. Note 1: Procedure turns are designated 'left' or 'right' according to the direction of the initial turn. Note 2: Procedure turns may be designated as being made either in level flight or while descending, according to the circumstances of each individual procedure.</t>
  </si>
  <si>
    <t>PUL</t>
  </si>
  <si>
    <t>procedureUpperLimit</t>
  </si>
  <si>
    <t>Procedure Upper Limit</t>
  </si>
  <si>
    <t>The maximum allowed altitude for the flight procedure segment.</t>
  </si>
  <si>
    <t>PRD</t>
  </si>
  <si>
    <t>processStepDateTime</t>
  </si>
  <si>
    <t>Process Step Date and Time</t>
  </si>
  <si>
    <t>The date and time, or range of date and time, on or over which a process step occurred.</t>
  </si>
  <si>
    <t>A process step is an event or transformation in the life of a dataset that is used to define, review and/or update the digital representation of a feature and/or attribute.</t>
  </si>
  <si>
    <t>ProcessStepDateTimeStrucText</t>
  </si>
  <si>
    <t>PRE</t>
  </si>
  <si>
    <t>processStepDescription</t>
  </si>
  <si>
    <t>Process Step Description</t>
  </si>
  <si>
    <t>A narrative or other textual description of a process step, including related processing parameters and/or tolerances.</t>
  </si>
  <si>
    <t>A process step is an event or transformation in the life of a dataset that is used to define, review and/or update the digital representation of a feature and/or attribute. No restriction is placed on the length of the description.</t>
  </si>
  <si>
    <t>PSP</t>
  </si>
  <si>
    <t>processStepProcessor</t>
  </si>
  <si>
    <t>Process Step Processor</t>
  </si>
  <si>
    <t>The identity of, and means of communication with, person(s) and/or organisation(s) associated with a process step.</t>
  </si>
  <si>
    <t>CI_ResponsibleParty</t>
  </si>
  <si>
    <t>PRR</t>
  </si>
  <si>
    <t>processStepRationale</t>
  </si>
  <si>
    <t>Process Step Rationale</t>
  </si>
  <si>
    <t>A narrative or other textual description of the requirement or purpose for a process step.</t>
  </si>
  <si>
    <t>A process step is an event or transformation in the life of a dataset that is used to define, review and/or update the digital representation of a feature and/or attribute. No restriction is placed on the length of the rationale.</t>
  </si>
  <si>
    <t>PPO</t>
  </si>
  <si>
    <t>product</t>
  </si>
  <si>
    <t>Product</t>
  </si>
  <si>
    <t>The principal product(s) resulting from a production, mining, or agricultural activity.</t>
  </si>
  <si>
    <t>If multiple products are specified then they are usually listed in descending order of importance.</t>
  </si>
  <si>
    <t>ProductCode</t>
  </si>
  <si>
    <t>PYC</t>
  </si>
  <si>
    <t>pylonConfiguration</t>
  </si>
  <si>
    <t>Pylon Configuration</t>
  </si>
  <si>
    <t>The configuration of a pylon or pole.</t>
  </si>
  <si>
    <t>PylonConfigurationCode</t>
  </si>
  <si>
    <t>PYM</t>
  </si>
  <si>
    <t>pylonMaterial</t>
  </si>
  <si>
    <t>Pylon Material</t>
  </si>
  <si>
    <t>The primary type of material composing a pylon.</t>
  </si>
  <si>
    <t>PylonMaterialCode</t>
  </si>
  <si>
    <t>RAY</t>
  </si>
  <si>
    <t>racingType</t>
  </si>
  <si>
    <t>Racing Type</t>
  </si>
  <si>
    <t>The type(s) of racing held at a site or facility.</t>
  </si>
  <si>
    <t>RacingTypeCode</t>
  </si>
  <si>
    <t>RAV</t>
  </si>
  <si>
    <t>racingVehicleType</t>
  </si>
  <si>
    <t>Racing Vehicle Type</t>
  </si>
  <si>
    <t>The type of a motor vehicle used in racing, based on its design and motive power.</t>
  </si>
  <si>
    <t>RacingVehicleTypeCode</t>
  </si>
  <si>
    <t>RAC</t>
  </si>
  <si>
    <t>radarAntennaConfiguration</t>
  </si>
  <si>
    <t>Radar Antenna Configuration</t>
  </si>
  <si>
    <t>The physical mounting and/or configuration of a radar antenna.</t>
  </si>
  <si>
    <t>RadarAntennaConfigurationCode</t>
  </si>
  <si>
    <t>RAM</t>
  </si>
  <si>
    <t>radarMonitoring</t>
  </si>
  <si>
    <t>Radar Monitoring</t>
  </si>
  <si>
    <t>An indication that radar monitoring is available via a specified communications service.</t>
  </si>
  <si>
    <t>REF</t>
  </si>
  <si>
    <t>radarReflectorPresent</t>
  </si>
  <si>
    <t>Radar Reflector Present</t>
  </si>
  <si>
    <t>An indication that an object has an associated radar reflector.</t>
  </si>
  <si>
    <t>RSI</t>
  </si>
  <si>
    <t>radarSignificance</t>
  </si>
  <si>
    <t>Radar Significance</t>
  </si>
  <si>
    <t>The predominant exposed surface material, categorized by its significance to radar-based sensors.</t>
  </si>
  <si>
    <t>RadarSignificanceCode</t>
  </si>
  <si>
    <t>RAS</t>
  </si>
  <si>
    <t>radarStationFunction</t>
  </si>
  <si>
    <t>Radar Station Function</t>
  </si>
  <si>
    <t>The primary purpose served by a radar station.</t>
  </si>
  <si>
    <t>RadarStationFunctionCode</t>
  </si>
  <si>
    <t>RCF</t>
  </si>
  <si>
    <t>radioCommChanFlightChecked</t>
  </si>
  <si>
    <t>Radio Communication Channel Flight Checked</t>
  </si>
  <si>
    <t>An indication that the communication channel has been checked in flight by the appropriate authority.</t>
  </si>
  <si>
    <t>SEL</t>
  </si>
  <si>
    <t>radioCommChanSelCallAvail</t>
  </si>
  <si>
    <t>Radio Communication Channel Selective Calling (SELCAL) Available</t>
  </si>
  <si>
    <t>An indication that selective calling (SELCAL) is available on the particular frequency.</t>
  </si>
  <si>
    <t>Selective calling is a system which permits the selective calling of individual aircraft over radio telephone channels linking a ground station with the aircraft.</t>
  </si>
  <si>
    <t>RCO</t>
  </si>
  <si>
    <t>radioCommDirection</t>
  </si>
  <si>
    <t>Radio Communication Direction</t>
  </si>
  <si>
    <t>The directionality of the communication channel.</t>
  </si>
  <si>
    <t>For example: uplink, downlink, or bidirectional.</t>
  </si>
  <si>
    <t>RadioCommDirectionCode</t>
  </si>
  <si>
    <t>RMC</t>
  </si>
  <si>
    <t>radioEmissionClass</t>
  </si>
  <si>
    <t>Radio Emission Class</t>
  </si>
  <si>
    <t>The class of a radio emission, as defined at the 1979 ITU World Administrative Radio Conference, where each type of radio emission is classified according to its bandwidth, method of modulation, the nature of the modulating signal, and type of information.</t>
  </si>
  <si>
    <t>A radio emission designation is of the form BBBB 123 45, where BBBB is the bandwidth of the signal, 1 is a letter indicating the type of modulation used, 2 is a digit representing the type of modulating signal, 3 is a letter corresponding to the type of information transmitted, 4 is a letter indicating the practical details of the transmitted information, and 5 is a letter that represents the method of multiplexing. The 4 and 5 fields are optional.</t>
  </si>
  <si>
    <t>RadioEmissionClassCode</t>
  </si>
  <si>
    <t>RNC</t>
  </si>
  <si>
    <t>radioNavServCoverageType</t>
  </si>
  <si>
    <t>Radio Navigation Service Coverage Type</t>
  </si>
  <si>
    <t>NAVAID Coverage Type</t>
  </si>
  <si>
    <t>RadioNavServCoverageTypeCode</t>
  </si>
  <si>
    <t>RNL</t>
  </si>
  <si>
    <t>radioNavServLimitationType</t>
  </si>
  <si>
    <t>Radio Navigation Service Limitation Type</t>
  </si>
  <si>
    <t>The type of factor which would detract expected performance of a navigational aid signal circular sector.</t>
  </si>
  <si>
    <t>NAVAID Limit Type</t>
  </si>
  <si>
    <t>RadioNavServLimitationTypeCode</t>
  </si>
  <si>
    <t>RWC</t>
  </si>
  <si>
    <t>railwayClass</t>
  </si>
  <si>
    <t>Railway Class</t>
  </si>
  <si>
    <t>The class of a railway based on its importance in the general transportation network.</t>
  </si>
  <si>
    <t>RailwayClassCode</t>
  </si>
  <si>
    <t>GAW</t>
  </si>
  <si>
    <t>railwayGauge</t>
  </si>
  <si>
    <t>Railway Gauge</t>
  </si>
  <si>
    <t>The distance between a single pair of rails of a railway, measured along the shortest distance from inside rail to inside rail.</t>
  </si>
  <si>
    <t>RGC</t>
  </si>
  <si>
    <t>railwayGaugeClass</t>
  </si>
  <si>
    <t>Railway Gauge Classification</t>
  </si>
  <si>
    <t>The classification of a railway based on the distance between a single pair of rails, measured along the shortest distance from inside rail to inside rail.</t>
  </si>
  <si>
    <t>RailwayGaugeClassCode</t>
  </si>
  <si>
    <t>RIR</t>
  </si>
  <si>
    <t>railwayInRoad</t>
  </si>
  <si>
    <t>Railway in Road</t>
  </si>
  <si>
    <t>An indication that a railway track is located within the bounds of a roadbed.</t>
  </si>
  <si>
    <t>For example, an infrequently used railway spur in a roadway or a carline running (regularly) in a roadway.</t>
  </si>
  <si>
    <t>RRA</t>
  </si>
  <si>
    <t>railwayPowerMethod</t>
  </si>
  <si>
    <t>Railway Power Method</t>
  </si>
  <si>
    <t>The method by which electrical power is distributed on a railway, if any.</t>
  </si>
  <si>
    <t>RailwayPowerMethodCode</t>
  </si>
  <si>
    <t>RRC</t>
  </si>
  <si>
    <t>railwayUse</t>
  </si>
  <si>
    <t>Railway Use</t>
  </si>
  <si>
    <t>The use(s) to which a railway is put as part of a transportation system.</t>
  </si>
  <si>
    <t>RailwayUseCode</t>
  </si>
  <si>
    <t>RNG</t>
  </si>
  <si>
    <t>rangeOfSignal</t>
  </si>
  <si>
    <t>Range of Signal</t>
  </si>
  <si>
    <t>The range from a navigational aid at which it normally can be detected.</t>
  </si>
  <si>
    <t>CLR</t>
  </si>
  <si>
    <t>rapidClass</t>
  </si>
  <si>
    <t>Rapid Class</t>
  </si>
  <si>
    <t>The relative difficulty of traversing a rapid based on the International Scale of River Difficulty.</t>
  </si>
  <si>
    <t>The scale was developed by American Whitewater, a river conservation group.</t>
  </si>
  <si>
    <t>RapidClassCode</t>
  </si>
  <si>
    <t>PRW</t>
  </si>
  <si>
    <t>rawMaterial</t>
  </si>
  <si>
    <t>Raw Material</t>
  </si>
  <si>
    <t>The principal 'raw', or input, material(s) involved in a production activity.</t>
  </si>
  <si>
    <t>If multiple 'raw' materials are specified then they are usually listed in descending order of importance.</t>
  </si>
  <si>
    <t>RawMaterialCode</t>
  </si>
  <si>
    <t>RCH</t>
  </si>
  <si>
    <t>recommendedChannel</t>
  </si>
  <si>
    <t>Recommended Channel</t>
  </si>
  <si>
    <t>An indication that a navigation channel, in a situation where there exist multiple channels, is the one recommended by local authorities for use by general maritime traffic.</t>
  </si>
  <si>
    <t>RCA</t>
  </si>
  <si>
    <t>redCrossAdminRegionType</t>
  </si>
  <si>
    <t>Red Cross Administrative Region Type</t>
  </si>
  <si>
    <t>The type of an American Red Cross administrative region as established by its Board of Governors.</t>
  </si>
  <si>
    <t>RedCrossAdminRegionTypeCode</t>
  </si>
  <si>
    <t>RLL</t>
  </si>
  <si>
    <t>rvsmLowerLimit</t>
  </si>
  <si>
    <t>Reduced Vertical Separation Minimum (RVSM) Lower Limit</t>
  </si>
  <si>
    <t>The altitude or flight level of the bottom of the Reduced Vertical Separation Minimum (RVSM) Airspace or RVSM portion of an airspace.</t>
  </si>
  <si>
    <t>RVS</t>
  </si>
  <si>
    <t>rvsmPointType</t>
  </si>
  <si>
    <t>Reduced Vertical Separation Minimum (RVSM) Point Type</t>
  </si>
  <si>
    <t>The type of end point of the Reduced Vertical Separation Minimum (RVSM) route segment.</t>
  </si>
  <si>
    <t>For example: an RVSM entry point, or an RVSM exit point.</t>
  </si>
  <si>
    <t>RvsmPointTypeCode</t>
  </si>
  <si>
    <t>RUL</t>
  </si>
  <si>
    <t>rvsmUpperLimit</t>
  </si>
  <si>
    <t>Reduced Vertical Separation Minimum (RVSM) Upper Limit</t>
  </si>
  <si>
    <t>The altitude or flight level of the top of the Reduced Vertical Separation Minimum (RVSM) Airspace or RVSM portion of an airspace.</t>
  </si>
  <si>
    <t>RFP</t>
  </si>
  <si>
    <t>refPathIdentifier</t>
  </si>
  <si>
    <t>Reference Path Identifier</t>
  </si>
  <si>
    <t>The unique designator of the final approach segment data block information.</t>
  </si>
  <si>
    <t>RefPathIdentifierStrucText</t>
  </si>
  <si>
    <t>RPD</t>
  </si>
  <si>
    <t>refPointDetermineMethod</t>
  </si>
  <si>
    <t>Reference Point Determination Method</t>
  </si>
  <si>
    <t>The method used to derive the reference point (RP) of an airport using operational runways.</t>
  </si>
  <si>
    <t>RefPointDetermineMethodCode</t>
  </si>
  <si>
    <t>RSD</t>
  </si>
  <si>
    <t>refStationDataSelector</t>
  </si>
  <si>
    <t>Reference Station Data Selector</t>
  </si>
  <si>
    <t>The unique designator of the ground based augmentation system ground subsystem.</t>
  </si>
  <si>
    <t>RefStationDataSelectorStrucText</t>
  </si>
  <si>
    <t>M31</t>
  </si>
  <si>
    <t>referenceSystemIdentifier</t>
  </si>
  <si>
    <t>Reference System Identifier</t>
  </si>
  <si>
    <t>An unambiguous identifier of a coordinate reference system.</t>
  </si>
  <si>
    <t>REW</t>
  </si>
  <si>
    <t>referenceWaterLevel</t>
  </si>
  <si>
    <t>Reference Water Level</t>
  </si>
  <si>
    <t>The reference water level from which temporal offsets in a time-series of measurements (for example: current speed or current direction) are determined.</t>
  </si>
  <si>
    <t>ReferenceWaterLevelCode</t>
  </si>
  <si>
    <t>RSY</t>
  </si>
  <si>
    <t>regulatorySignType</t>
  </si>
  <si>
    <t>Regulatory Sign Type</t>
  </si>
  <si>
    <t>The type of a sign placed by an authority charged with the regulation of traffic along a transportation route for the purpose of regulating the flow of traffic (for example: vessels, vehicles and/or pedestrians) and/or providing information pertinent to the control of that traffic.</t>
  </si>
  <si>
    <t>RegulatorySignTypeCode</t>
  </si>
  <si>
    <t>RTO</t>
  </si>
  <si>
    <t>rejectTakeOffDistAvailHeli</t>
  </si>
  <si>
    <t>Rejected Take-off Distance Available Helicopter (RTODAH)</t>
  </si>
  <si>
    <t>The length of the final approach and take-off area declared available and suitable for performance Class 1 helicopters to complete a rejected take-off.</t>
  </si>
  <si>
    <t>RTODAH</t>
  </si>
  <si>
    <t>RLE</t>
  </si>
  <si>
    <t>relativeLevel</t>
  </si>
  <si>
    <t>Relative Level</t>
  </si>
  <si>
    <t>The relationship of the elevation of the terrain surface of or at the base of the feature and that of the surrounding terrain.</t>
  </si>
  <si>
    <t>The terrain may be either dry or submerged (for example: a waterbody bottom).</t>
  </si>
  <si>
    <t>RelativeLevelCode</t>
  </si>
  <si>
    <t>REL</t>
  </si>
  <si>
    <t>religiousDesignation</t>
  </si>
  <si>
    <t>Religious Designation</t>
  </si>
  <si>
    <t>A designation denoting a religion or system of belief.</t>
  </si>
  <si>
    <t>ReligiousDesignationCode</t>
  </si>
  <si>
    <t>RFA</t>
  </si>
  <si>
    <t>religiousFacilityType</t>
  </si>
  <si>
    <t>Religious Facility Type</t>
  </si>
  <si>
    <t>The type of a facility, building, structure or site that is designed and designated to be used for religious activities, based on its structure and/or the principal activity for which it was designed.</t>
  </si>
  <si>
    <t>ReligiousFacilityTypeCode</t>
  </si>
  <si>
    <t>MIO</t>
  </si>
  <si>
    <t>remoteSensMineActuateMeth</t>
  </si>
  <si>
    <t>Remote Sensing Mine Actuation Method</t>
  </si>
  <si>
    <t>The method used to trigger a remote sensing (non-contact non-influence) explosive mine.</t>
  </si>
  <si>
    <t>RemoteSensMineActuateMethCode</t>
  </si>
  <si>
    <t>RSO</t>
  </si>
  <si>
    <t>reportSource</t>
  </si>
  <si>
    <t>Report Source</t>
  </si>
  <si>
    <t>An identification of the source of a report and a means of communication with person(s) and/or organisation(s) associated with that report.</t>
  </si>
  <si>
    <t>RNP</t>
  </si>
  <si>
    <t>requiredNavPerformanceType</t>
  </si>
  <si>
    <t>Required Navigation Performance (RNP) Type</t>
  </si>
  <si>
    <t>A containment value expressed as a distance from the intended position within which flights would be located for at least 95 percent of the total flying time.</t>
  </si>
  <si>
    <t>For example: RNP 4 represents a navigation accuracy of plus or minus 7.4 kilometres (4 nautical miles) on a 95 percent containment basis. RNP is a statement of the navigation performance necessary for operation within a defined airspace.</t>
  </si>
  <si>
    <t>RNP Type</t>
  </si>
  <si>
    <t>RVE</t>
  </si>
  <si>
    <t>reserveVessel</t>
  </si>
  <si>
    <t>Reserve Vessel</t>
  </si>
  <si>
    <t>An indication that a vessel is in reserve status and potentially could be made seaworthy through a reactivation process.</t>
  </si>
  <si>
    <t>For example, a reserve fleet is a collection of naval vessels that are fully equipped for fighting but are not currently needed. They may be modified, for instance by having rustprone areas sealed off or wrapped in plastic. Ships of the reserve fleet are usually moored in backwater areas near naval bases or shipyards, to speed the reactivation process.</t>
  </si>
  <si>
    <t>M63</t>
  </si>
  <si>
    <t>distance</t>
  </si>
  <si>
    <t>Resolution Distance</t>
  </si>
  <si>
    <t>The level of detail of the content of a resource expressed as a ground sample distance.</t>
  </si>
  <si>
    <t>M62</t>
  </si>
  <si>
    <t>Resolution Equivalent Scale</t>
  </si>
  <si>
    <t>The level of detail of the content of a resource expressed as the scale of a comparable hardcopy map or chart.</t>
  </si>
  <si>
    <t>EquivalentScaleStrucText</t>
  </si>
  <si>
    <t>M13</t>
  </si>
  <si>
    <t>abstract</t>
  </si>
  <si>
    <t>Resource Abstract</t>
  </si>
  <si>
    <t>A brief narrative summary of the content of a resource.</t>
  </si>
  <si>
    <t>M27</t>
  </si>
  <si>
    <t>accessConstraints</t>
  </si>
  <si>
    <t>Resource Access Constraint</t>
  </si>
  <si>
    <t>A legal constraint regarding access to the content of a resource.</t>
  </si>
  <si>
    <t>MD_RestrictionCode</t>
  </si>
  <si>
    <t>M26</t>
  </si>
  <si>
    <t>associationType</t>
  </si>
  <si>
    <t>Resource Association Type</t>
  </si>
  <si>
    <t>The basis (justification) for relating one resource to another.</t>
  </si>
  <si>
    <t>DS_AssociationTypeCode</t>
  </si>
  <si>
    <t>RY2</t>
  </si>
  <si>
    <t>resAtomicEnergyMarkings</t>
  </si>
  <si>
    <t>Resource Atomic Energy Markings</t>
  </si>
  <si>
    <t>One or more indicators identifying information controlled under the U.S. Atomic Energy Act.</t>
  </si>
  <si>
    <t>ResAtomicEnergyMarkingsStrucText</t>
  </si>
  <si>
    <t>M12</t>
  </si>
  <si>
    <t>citation</t>
  </si>
  <si>
    <t>Resource Citation</t>
  </si>
  <si>
    <t>A unique identifier of, and reference date for, the content of a resource.</t>
  </si>
  <si>
    <t>RS0</t>
  </si>
  <si>
    <t>resClassification</t>
  </si>
  <si>
    <t>Resource Classification</t>
  </si>
  <si>
    <t>The highest level of classification applicable to an information resource or portion within the domain of classified national security information.</t>
  </si>
  <si>
    <t>The Classification element is always used in conjunction with the Owner-Producer element. Taken together, the two elements specify the classification category and the type of classification (US, non-US, or Joint).</t>
  </si>
  <si>
    <t>ResClassificationCodeList</t>
  </si>
  <si>
    <t>RS1</t>
  </si>
  <si>
    <t>resClassificationReason</t>
  </si>
  <si>
    <t>Resource Classification Reason</t>
  </si>
  <si>
    <t>One or more reason indicators or explanatory text describing the basis for an original classification decision regarding an information resource.</t>
  </si>
  <si>
    <t>RS2</t>
  </si>
  <si>
    <t>resClassifiedBy</t>
  </si>
  <si>
    <t>Resource Classified By</t>
  </si>
  <si>
    <t>The identity, by name or personal identifier, and position title of the original classification authority for the information resource.</t>
  </si>
  <si>
    <t>RX9</t>
  </si>
  <si>
    <t>resCompilationReason</t>
  </si>
  <si>
    <t>Resource Compilation Reason</t>
  </si>
  <si>
    <t>The reason that a portion or resource is marked with a higher and/or more restrictive mark than its components would indicate.</t>
  </si>
  <si>
    <t>For example, this would document why 3 Unclassified bullet items form a Secret List. Without this reason being noted, such a document would be considered to be mismarked and over-classified.</t>
  </si>
  <si>
    <t>RCG</t>
  </si>
  <si>
    <t>resourceContentOrigin</t>
  </si>
  <si>
    <t>Resource Content Originator</t>
  </si>
  <si>
    <t>The organization responsible for originating (creating) the content of the resource.</t>
  </si>
  <si>
    <t>A resource is a set of instances of one or more modeling entities selected according to a single rationale (for example: a common production or publication process); for example, a set of modeling entities whose instances together constitute a 'water resources map'.</t>
  </si>
  <si>
    <t>ResourceContentOriginCodeList</t>
  </si>
  <si>
    <t>M44</t>
  </si>
  <si>
    <t>credit</t>
  </si>
  <si>
    <t>Resource Contribution Credit</t>
  </si>
  <si>
    <t>A statement recognizing those who contributed to the content of a resource.</t>
  </si>
  <si>
    <t>CUI</t>
  </si>
  <si>
    <t>resCuiCategory</t>
  </si>
  <si>
    <t>Resource Controlled Unclassified Information Category</t>
  </si>
  <si>
    <t>A categorical designation of the content of a resource that refers to unclassified information that does not meet the standards for National Security Classification under Executive Order 12958, as amended, but is (i) pertinent to the national interests of the United States or to the important interests of entities outside the Federal Government, and (ii) under law or policy requires protection from unauthorized disclosure, special handling safeguards, or prescribed limits on exchange or dissemination.</t>
  </si>
  <si>
    <t>The designation 'Controlled Unclassified Information' (CUI) replaces the former designation 'Sensitive But Unclassified' (SBU).</t>
  </si>
  <si>
    <t>ResCuiCategoryCode</t>
  </si>
  <si>
    <t>CUX</t>
  </si>
  <si>
    <t>resCuiSpecifiedDissem</t>
  </si>
  <si>
    <t>Resource Controlled Unclassified Information Specified Dissemination</t>
  </si>
  <si>
    <t>Explanatory text specifying additional instructions on what dissemination is permitted for resource material identified as Controlled Unclassified Information (CUI).</t>
  </si>
  <si>
    <t>RS3</t>
  </si>
  <si>
    <t>resDateExemptedSource</t>
  </si>
  <si>
    <t>Resource Date of Exempted Source</t>
  </si>
  <si>
    <t>A specific year, month, and day of publication or release of a resource source document, or the most recent resource source document, that was itself marked with a declassification exemption.</t>
  </si>
  <si>
    <t>This element is always used in conjunction with the Resource Type of Exempted Source element. It is no longer valid as of the release of ISM Version 7 and its use has been deprecated.</t>
  </si>
  <si>
    <t>ResDateExemptedSourceStrucText</t>
  </si>
  <si>
    <t>RS4</t>
  </si>
  <si>
    <t>resDeclassDate</t>
  </si>
  <si>
    <t>Resource Declassification Date</t>
  </si>
  <si>
    <t>A specific year, month, and day upon which the information resource shall be automatically declassified if not properly exempted from automatic declassification.</t>
  </si>
  <si>
    <t>ResDeclassDateStrucText</t>
  </si>
  <si>
    <t>RS5</t>
  </si>
  <si>
    <t>resDeclassEvent</t>
  </si>
  <si>
    <t>Resource Declassification Event</t>
  </si>
  <si>
    <t>A description of an event upon which the information resource shall be automatically declassified if not properly exempted from automatic declassification.</t>
  </si>
  <si>
    <t>RS6</t>
  </si>
  <si>
    <t>resDeclassException</t>
  </si>
  <si>
    <t>Resource Declassification Exception</t>
  </si>
  <si>
    <t>An exemption to the nominal 25-year point for automatic declassification of an information resource.</t>
  </si>
  <si>
    <t>This element may be used in conjunction with the Resource Declassification Date or Resource Declassification Event.</t>
  </si>
  <si>
    <t>ResDeclassExceptionCodeList</t>
  </si>
  <si>
    <t>RS8</t>
  </si>
  <si>
    <t>resDerivClassifiedBy</t>
  </si>
  <si>
    <t>Resource Derivatively Classified By</t>
  </si>
  <si>
    <t>The identity, by name or personal identifier, of the derivative classification authority of an information resource.</t>
  </si>
  <si>
    <t>RS9</t>
  </si>
  <si>
    <t>resDerivedFrom</t>
  </si>
  <si>
    <t>Resource Derived From</t>
  </si>
  <si>
    <t>A citation of the authoritative source(s) or reference to 'Multiple Sources' of the classification markings used in a classified information resource.</t>
  </si>
  <si>
    <t>RY0</t>
  </si>
  <si>
    <t>resDisplayOnlyTo</t>
  </si>
  <si>
    <t>Resource Display Only To</t>
  </si>
  <si>
    <t>One or more indicators identifying the country or countries and/or international organization(s) to which classified information may be displayed based on the determination of an originator in accordance with established foreign disclosure procedures.</t>
  </si>
  <si>
    <t>This element is used in conjunction with the Dissemination Controls element.</t>
  </si>
  <si>
    <t>RX0</t>
  </si>
  <si>
    <t>resDissemControls</t>
  </si>
  <si>
    <t>Resource Dissemination Controls</t>
  </si>
  <si>
    <t>One or more indicators identifying the expansion or limitation on the distribution of an information resource.</t>
  </si>
  <si>
    <t>ResDissemControlsStrucText</t>
  </si>
  <si>
    <t>M20</t>
  </si>
  <si>
    <t>extent</t>
  </si>
  <si>
    <t>Resource Extent</t>
  </si>
  <si>
    <t>The horizontal, vertical, and/or temporal coverage of the content of a resource.</t>
  </si>
  <si>
    <t>GeoExtentStrucText</t>
  </si>
  <si>
    <t>RX1</t>
  </si>
  <si>
    <t>resFgnGovInfoOpenSource</t>
  </si>
  <si>
    <t>Resource Foreign Government Information (Open Source)</t>
  </si>
  <si>
    <t>One or more indicators identifying resource information, which qualifies as foreign government information, for which the source(s) of the information resource is not concealed.</t>
  </si>
  <si>
    <t>ResFgnGovInfoOpenSourceStrucText</t>
  </si>
  <si>
    <t>RX2</t>
  </si>
  <si>
    <t>resFgnGovInfoProtSource</t>
  </si>
  <si>
    <t>Resource Foreign Government Information (Protected Source)</t>
  </si>
  <si>
    <t>A (usually) single indicator that an information resource qualifies as foreign government information for which the source(s) of the information must be concealed.</t>
  </si>
  <si>
    <t>Within protected internal organizational spaces this element may be used to maintain a record of the one or more indicators identifying resource information, which qualifies as foreign government information for which the source(s) of the resource information must be concealed.</t>
  </si>
  <si>
    <t>ResFgnGovInfoProtSourceStrucText</t>
  </si>
  <si>
    <t>M51</t>
  </si>
  <si>
    <t>handlingDescription</t>
  </si>
  <si>
    <t>Resource Handling Description</t>
  </si>
  <si>
    <t>Additional information about restrictions on handling the content of a resource.</t>
  </si>
  <si>
    <t>RX3</t>
  </si>
  <si>
    <t>resNonIntelComMarkings</t>
  </si>
  <si>
    <t>Resource Non-Intelligence Community Markings</t>
  </si>
  <si>
    <t>One or more indicators of the expansion or limitation on the distribution of an information resource or portion within the domain of information originating from non-intelligence components.</t>
  </si>
  <si>
    <t>ResNonIntelComMarkingsStrucText</t>
  </si>
  <si>
    <t>RY1</t>
  </si>
  <si>
    <t>resNonUSControls</t>
  </si>
  <si>
    <t>Resource Non-US Controls</t>
  </si>
  <si>
    <t>One or more indicators of the expansion or limitation on the distribution of an information resource or portion within the domain of information originating from non-US components.</t>
  </si>
  <si>
    <t>ResNonUSControlsStrucText</t>
  </si>
  <si>
    <t>M49</t>
  </si>
  <si>
    <t>otherConstraints</t>
  </si>
  <si>
    <t>Resource Other Constraints</t>
  </si>
  <si>
    <t>Other restrictions and/or legal prerequisites for accessing and using the content of a resource.</t>
  </si>
  <si>
    <t>RX4</t>
  </si>
  <si>
    <t>resOwnerProducer</t>
  </si>
  <si>
    <t>Resource Owner-Producer</t>
  </si>
  <si>
    <t>One or more indicators identifying the national government or international organization that have purview over the classification marking of an information resource or portion therein.</t>
  </si>
  <si>
    <t>This element is always used in conjunction with the Resource Classification element. When taken together, the two elements specify the classification category and the type of classification (US, non-US, or Joint).</t>
  </si>
  <si>
    <t>ResOwnerProducerStrucText</t>
  </si>
  <si>
    <t>M14</t>
  </si>
  <si>
    <t>pointOfContact</t>
  </si>
  <si>
    <t>Resource Point of Contact</t>
  </si>
  <si>
    <t>An identification of, and means of communication with, a person or organization associated with a resource.</t>
  </si>
  <si>
    <t>M43</t>
  </si>
  <si>
    <t>purpose</t>
  </si>
  <si>
    <t>Resource Purpose</t>
  </si>
  <si>
    <t>A summary of the intentions with which the content of a resource was developed.</t>
  </si>
  <si>
    <t>RX5</t>
  </si>
  <si>
    <t>resReleasableTo</t>
  </si>
  <si>
    <t>Resource Releasable To</t>
  </si>
  <si>
    <t>One or more indicators identifying the country or countries and/or international organization(s) to which classified resource information may be released based on the determination of an originator in accordance with established foreign disclosure procedures.</t>
  </si>
  <si>
    <t>This element is used in conjunction with the Resource Dissemination Controls element.</t>
  </si>
  <si>
    <t>ResReleasabilityStrucText</t>
  </si>
  <si>
    <t>RX7</t>
  </si>
  <si>
    <t>resSciControls</t>
  </si>
  <si>
    <t>Resource SCI Controls</t>
  </si>
  <si>
    <t>One or more indicators identifying sensitive compartmented information control system(s) applicable to the information resource.</t>
  </si>
  <si>
    <t>ResSciControlsStrucText</t>
  </si>
  <si>
    <t>M29</t>
  </si>
  <si>
    <t>classification</t>
  </si>
  <si>
    <t>Resource Security Classification</t>
  </si>
  <si>
    <t>The security classification marking of the content of a resource.</t>
  </si>
  <si>
    <t>MD_ClassificationCode</t>
  </si>
  <si>
    <t>M30</t>
  </si>
  <si>
    <t>classificationSystem</t>
  </si>
  <si>
    <t>Resource Security Classification System</t>
  </si>
  <si>
    <t>The name of the classification system of the security classification marking of the content of a resource.</t>
  </si>
  <si>
    <t>RX6</t>
  </si>
  <si>
    <t>resSpAccReqProgIdent</t>
  </si>
  <si>
    <t>Resource Special-Access-Required Program Identifier</t>
  </si>
  <si>
    <t>One or more indicators identifying the defense or intelligence programs for which special access is required for the information resource.</t>
  </si>
  <si>
    <t>ResSpAccReqProgIdentStrucText</t>
  </si>
  <si>
    <t>M45</t>
  </si>
  <si>
    <t>status</t>
  </si>
  <si>
    <t>Resource Status</t>
  </si>
  <si>
    <t>The status of the content of a resource.</t>
  </si>
  <si>
    <t>MD_ProgressCode</t>
  </si>
  <si>
    <t>RX8</t>
  </si>
  <si>
    <t>resTypeExemptedSource</t>
  </si>
  <si>
    <t>Resource Type of Exempted Source</t>
  </si>
  <si>
    <t>A declassification marking of a source document that causes the current, derivative information resource to be exempted from automatic declassification.</t>
  </si>
  <si>
    <t>This element is always used in conjunction with the Resource Date of Exempted Source element. It is no longer valid as of the release of ISM Version 7 and its use has been deprecated.</t>
  </si>
  <si>
    <t>ResTypeExemptedSourceCodeList</t>
  </si>
  <si>
    <t>M28</t>
  </si>
  <si>
    <t>useConstraints</t>
  </si>
  <si>
    <t>Resource Use Constraint</t>
  </si>
  <si>
    <t>A legal constraint regarding use of the content of a resource.</t>
  </si>
  <si>
    <t>M48</t>
  </si>
  <si>
    <t>useLimitation</t>
  </si>
  <si>
    <t>Resource Use Limitation</t>
  </si>
  <si>
    <t>A limitation affecting the fitness for use of the content of a resource.</t>
  </si>
  <si>
    <t>For example: 'not to be used for navigation'. A resource may consist of either a collection of data or the metadata that describes some collection of data.</t>
  </si>
  <si>
    <t>M50</t>
  </si>
  <si>
    <t>userNote</t>
  </si>
  <si>
    <t>Resource User Note</t>
  </si>
  <si>
    <t>An explanation of the application of legal constraints and/or other restrictions, and the legal prerequisites (if any) for obtaining and using the content of a resource.</t>
  </si>
  <si>
    <t>HCC</t>
  </si>
  <si>
    <t>restrictHorizClearance</t>
  </si>
  <si>
    <t>Restricted Horizontal Clearance</t>
  </si>
  <si>
    <t>An indication that horizontal clearance for vehicles on a land transportation route is restricted.</t>
  </si>
  <si>
    <t>Horizontal clearance affects the maximum width of loads that extend laterally beyond the wheels of a vehicle.</t>
  </si>
  <si>
    <t>OCC</t>
  </si>
  <si>
    <t>restrictOverheadClearance</t>
  </si>
  <si>
    <t>Restricted Overhead Clearance</t>
  </si>
  <si>
    <t>An indication that there is an overhead obstruction located less than 4.3 metres above a land transportation route.</t>
  </si>
  <si>
    <t>Vertical clearance affects the maximum height of vehicle loads. (Reference STANAG 2253)</t>
  </si>
  <si>
    <t>MA6</t>
  </si>
  <si>
    <t>reverseMagneticTrack</t>
  </si>
  <si>
    <t>Reverse Magnetic Track</t>
  </si>
  <si>
    <t>The projection on the Earth's surface of the reciprocal of the path of an aircraft, the direction of which path at any point is expressed in degrees from Magnetic North, as published by the appropriate authority.</t>
  </si>
  <si>
    <t>TR2</t>
  </si>
  <si>
    <t>reverseTrueTrack</t>
  </si>
  <si>
    <t>Reverse True Track</t>
  </si>
  <si>
    <t>The projection on the Earth's surface of the reciprocal of the path of an aircraft, the direction of which path at any point is expressed in degrees from True North, as published by the appropriate authority.</t>
  </si>
  <si>
    <t>RIP</t>
  </si>
  <si>
    <t>rigPresent</t>
  </si>
  <si>
    <t>Rig Present</t>
  </si>
  <si>
    <t>An indication that a rig is present.</t>
  </si>
  <si>
    <t>A rig is a superstructure fitted for drilling or lifting operations for extraction and/or exploitation of natural resources.</t>
  </si>
  <si>
    <t>BWR</t>
  </si>
  <si>
    <t>rightBelowWaterBankSlope</t>
  </si>
  <si>
    <t>Right Below Water Bank Slope</t>
  </si>
  <si>
    <t>The amount of downward inclination between the horizontal surface of the mean water level of a watercourse where it touches the right bank and the first break in underwater slope.</t>
  </si>
  <si>
    <t>The right bank is determined by facing downstream (in the direction of flow). The (percent) slope is determined as the change in depth divided by the horizontal distance over which the change takes place, multiplied by one hundred: ((h2-h1)/d)*100.</t>
  </si>
  <si>
    <t>ROR</t>
  </si>
  <si>
    <t>roadInterchangeRamp</t>
  </si>
  <si>
    <t>Road Interchange Ramp</t>
  </si>
  <si>
    <t>An indication that a road serves as a section of a road interchange, providing traffic access from one through road to another, but does not itself carry through traffic.</t>
  </si>
  <si>
    <t>Through roads normally are located on separate vertical levels, thus affording uninterrupted traffic flow, with at least one road being supported by a bridge and the other proceeding through an underpass. In the case of a rotary interchange on a single level there is no uninterrupted through route, therefore all traffic flows pass along road interchange ramps.</t>
  </si>
  <si>
    <t>Road Ramp</t>
  </si>
  <si>
    <t>RIT</t>
  </si>
  <si>
    <t>roadInterchangeType</t>
  </si>
  <si>
    <t>Road Interchange Type</t>
  </si>
  <si>
    <t>The type of physical arrangement of a road interchange.</t>
  </si>
  <si>
    <t>RoadInterchangeTypeCode</t>
  </si>
  <si>
    <t>WTC</t>
  </si>
  <si>
    <t>roadWeatherRestriction</t>
  </si>
  <si>
    <t>Road Weather Restriction</t>
  </si>
  <si>
    <t>The type of weather conditions under which a road is usable.</t>
  </si>
  <si>
    <t>RoadWeatherRestrictionCode</t>
  </si>
  <si>
    <t>RTY</t>
  </si>
  <si>
    <t>roadwayType</t>
  </si>
  <si>
    <t>Roadway Type</t>
  </si>
  <si>
    <t>The type of a roadway based on its design and/or location.</t>
  </si>
  <si>
    <t>RoadwayTypeCode</t>
  </si>
  <si>
    <t>RKF</t>
  </si>
  <si>
    <t>rockFormationStructure</t>
  </si>
  <si>
    <t>Rock Formation Structure</t>
  </si>
  <si>
    <t>The structure of a signficiant outcropping of exposed rock.</t>
  </si>
  <si>
    <t>RockFormationStructureCode</t>
  </si>
  <si>
    <t>DMR</t>
  </si>
  <si>
    <t>roofCover</t>
  </si>
  <si>
    <t>Roof Cover</t>
  </si>
  <si>
    <t>The portion of an area that contains structures having roofs or tops (for example: buildings and storage tanks).</t>
  </si>
  <si>
    <t>SSR</t>
  </si>
  <si>
    <t>roofShape</t>
  </si>
  <si>
    <t>Roof Shape</t>
  </si>
  <si>
    <t>The configuration(s) and/or appearance(s) of a roof.</t>
  </si>
  <si>
    <t>RoofShapeCode</t>
  </si>
  <si>
    <t>RFD</t>
  </si>
  <si>
    <t>roofed</t>
  </si>
  <si>
    <t>Roofed</t>
  </si>
  <si>
    <t>An indication that a feature is covered by a roof.</t>
  </si>
  <si>
    <t>The roof may be supported by spaced pillars with intervening openings or the sides may be completely closed (for example: by walls or windows) and thus afford substantial protection from the weather.</t>
  </si>
  <si>
    <t>RTN</t>
  </si>
  <si>
    <t>routeDesignation</t>
  </si>
  <si>
    <t>Route Designation</t>
  </si>
  <si>
    <t>The official designation assigned to a route.</t>
  </si>
  <si>
    <t>For example, 'I-95', 'A-1', 'E-6', or 'M-5'. The route designation may continue along ferry crossing or ice routes in order to provide continuity with the transportation network.</t>
  </si>
  <si>
    <t>ROI</t>
  </si>
  <si>
    <t>routeDesignationType</t>
  </si>
  <si>
    <t>Route Designation Type</t>
  </si>
  <si>
    <t>The type of designation(s) of a road network according to the nature of service that it is intended to provide, as designated by international, national and/or other administrative authorities.</t>
  </si>
  <si>
    <t>The type(s) of route designation may continue along ferry crossing or ice routes in order to provide continuity with the transportation network.</t>
  </si>
  <si>
    <t>RouteDesignationTypeCode</t>
  </si>
  <si>
    <t>RIN</t>
  </si>
  <si>
    <t>routeIdentification</t>
  </si>
  <si>
    <t>Route Identification</t>
  </si>
  <si>
    <t>The official type(s) and/or designation(s) assigned to a route.</t>
  </si>
  <si>
    <t>A road network may be identified in accordance with a specified typing scheme (for example: based the nature of service that it is intended to provide) and numbering scheme (for example: composed of a prefix indicating an administrative region and then a number).</t>
  </si>
  <si>
    <t>RouteIdentificationStrucText</t>
  </si>
  <si>
    <t>RTT</t>
  </si>
  <si>
    <t>routeIntendedUse</t>
  </si>
  <si>
    <t>Route Intended Use</t>
  </si>
  <si>
    <t>The intended use of a maritime route.</t>
  </si>
  <si>
    <t>Unless stated otherwise, routeing systems are recommended for use by all ships and may be made mandatory for all ships, certain categories of ships or ships carrying certain cargoes, or types and quantities of bunker fuel. Routeing systems are intended for use by day and by night in all weathers, in ice-free waters or under light ice conditions where no extraordinary manoeuvres or icebreaker assistance are required.</t>
  </si>
  <si>
    <t>RouteIntendedUseCode</t>
  </si>
  <si>
    <t>ROG</t>
  </si>
  <si>
    <t>routeInterchangeDesignation</t>
  </si>
  <si>
    <t>Route Interchange Designation</t>
  </si>
  <si>
    <t>The official designation assigned to a road interchange with respect to a route that passes through that interchange.</t>
  </si>
  <si>
    <t>For example, '5' or '32A'.</t>
  </si>
  <si>
    <t>RMW</t>
  </si>
  <si>
    <t>routeMedianWidth</t>
  </si>
  <si>
    <t>Route Median Width</t>
  </si>
  <si>
    <t>The width of a divider that separates adjacent route lanes or tracks in a land transportation route.</t>
  </si>
  <si>
    <t>The adjacent route lanes may carry traffic in opposing directions (for example: a divided highway or a dual track railway) or in the same direction (for example: a high-speed 'thru' lane and a local collector/distributor lane).</t>
  </si>
  <si>
    <t>WD1</t>
  </si>
  <si>
    <t>routeMinTravelledWayWidth</t>
  </si>
  <si>
    <t>Route Minimum Travelled Way Width</t>
  </si>
  <si>
    <t>The minimum width of the travelled way of a route.</t>
  </si>
  <si>
    <t>Excludes pavements and shoulders.</t>
  </si>
  <si>
    <t>ROC</t>
  </si>
  <si>
    <t>routeSurfaceComposition</t>
  </si>
  <si>
    <t>Route Surface Composition</t>
  </si>
  <si>
    <t>The composition(s) of a durable surface (for example: a pavement) intended to sustain ground traffic (for example: vehicular traffic or foot traffic).</t>
  </si>
  <si>
    <t>Depending on the traffic situation (for example: on a floor, in a courtyard, or on a road) different compositions may be used, however in general such surfaces are composed of pieces of a hard material fitted closely together (for example: cobble-stone or brick) or of an undivided hard layer (for example: concrete) so as to give a compact, uniform, and smooth surface.</t>
  </si>
  <si>
    <t>RouteSurfaceCompositionCode</t>
  </si>
  <si>
    <t>WD2</t>
  </si>
  <si>
    <t>routeTotalUsableWidth</t>
  </si>
  <si>
    <t>Route Total Usable Width</t>
  </si>
  <si>
    <t>The total usable width of the travelled way of a route.</t>
  </si>
  <si>
    <t>Includes pavements and shoulders.</t>
  </si>
  <si>
    <t>CON</t>
  </si>
  <si>
    <t>routeConstrictionType</t>
  </si>
  <si>
    <t>Route Width Constriction Type</t>
  </si>
  <si>
    <t>The type of a route width constriction based on the nature of the surrounding area.</t>
  </si>
  <si>
    <t>For example, reduction in road width to less than 4 metres is considered to be a constriction. Width restrictions cause vehicles and people to travel through narrow passages creating choke points.</t>
  </si>
  <si>
    <t>RouteConstrictionTypeCode</t>
  </si>
  <si>
    <t>EXP</t>
  </si>
  <si>
    <t>routeExpansionType</t>
  </si>
  <si>
    <t>Route Width Expansion Type</t>
  </si>
  <si>
    <t>The type of a route width expansion based on the nature of the expansion and/or surrounding area.</t>
  </si>
  <si>
    <t>RouteExpansionTypeCode</t>
  </si>
  <si>
    <t>RBS</t>
  </si>
  <si>
    <t>runwayBearingStrength</t>
  </si>
  <si>
    <t>Runway Bearing Strength</t>
  </si>
  <si>
    <t>The runway weight bearing capacity expressed in terms of the gross weight which is allowed for continuing operations.</t>
  </si>
  <si>
    <t>RCP</t>
  </si>
  <si>
    <t>runwayCentreLineLocRole</t>
  </si>
  <si>
    <t>Runway Centre-line Location Role</t>
  </si>
  <si>
    <t>The role of a location that is established along a runway direction centre-line based on its relationship to an intended use of the runway or runway-related equipment.</t>
  </si>
  <si>
    <t>RunwayCentreLineLocRoleCode</t>
  </si>
  <si>
    <t>RID</t>
  </si>
  <si>
    <t>runwayDesignator</t>
  </si>
  <si>
    <t>Runway Designator</t>
  </si>
  <si>
    <t>The designator of the runway that is used to uniquely identify it at an aerodrome.</t>
  </si>
  <si>
    <t>This may be used to identify either both directions of the runway (for example: '09/27' or '02R/20L') or one direction independently (for example: '27', '35L', '01R').</t>
  </si>
  <si>
    <t>RunwayDesignatorStrucText</t>
  </si>
  <si>
    <t>RDA</t>
  </si>
  <si>
    <t>runwayDisplacedArea</t>
  </si>
  <si>
    <t>Runway Displaced Area</t>
  </si>
  <si>
    <t>An indication that a runway element is bounded at one end by a displaced runway threshold and at the other by a runway end.</t>
  </si>
  <si>
    <t>A runway threshold may be displaced from the end of the runway for a variety of purposes, such as for a safety area from jet blast in the case of a runway blast area, or for an obstacle free approach area in the case of a displaced threshold area.</t>
  </si>
  <si>
    <t>RXD</t>
  </si>
  <si>
    <t>runwayExtenDist</t>
  </si>
  <si>
    <t>Runway Extensibility Distance</t>
  </si>
  <si>
    <t>The distance in which the runway may be increased in length should an operational requirement exist.</t>
  </si>
  <si>
    <t>MAH</t>
  </si>
  <si>
    <t>runwayMagHeading</t>
  </si>
  <si>
    <t>Runway Magnetic Heading</t>
  </si>
  <si>
    <t>The magnetic heading of a runway.</t>
  </si>
  <si>
    <t>RME</t>
  </si>
  <si>
    <t>runwayMidpointElevation</t>
  </si>
  <si>
    <t>Runway Midpoint Elevation</t>
  </si>
  <si>
    <t>The runway elevation midway between its endpoints.</t>
  </si>
  <si>
    <t>MDU</t>
  </si>
  <si>
    <t>runwayObservedLoading</t>
  </si>
  <si>
    <t>Runway Observed Loading</t>
  </si>
  <si>
    <t>A description of the heaviest aircraft observed utilizing a runway.</t>
  </si>
  <si>
    <t>ROL</t>
  </si>
  <si>
    <t>runwayOffsetLength</t>
  </si>
  <si>
    <t>Runway Offset Length</t>
  </si>
  <si>
    <t>A value specifying the longitudinal offset of the strip, when it is not symmetrically extended beyond the two runway ends.</t>
  </si>
  <si>
    <t>The longitudinal offset defines the distance along the centreline from the middle of the runway centreline towards the middle of the strip centreline. An offset in the direction defined from the threshold with the lower runway direction designation number towards the opposite runway threshold is indicated by a positive value. An offset in the opposite sense is indicated by a negative value. For Example: a runway oriented 09/27 has a strip that is extending 120 metres before the threshold of the runway direction 09 and only 100 metres before the threshold of the runway direction 27. The value of the longitudinal offset will be -10 metres.</t>
  </si>
  <si>
    <t>ROW</t>
  </si>
  <si>
    <t>runwayOffsetWidth</t>
  </si>
  <si>
    <t>Runway Offset Width</t>
  </si>
  <si>
    <t>A value specifying the lateral offset of the strip, when it is not symmetrically extended beyond the two runway edges.</t>
  </si>
  <si>
    <t>The lateral offset defines the distance from the runway centreline to the strip centreline in direction perpendicular to the runway centreline. An offset to the right, based on the direction defined from the threshold with the lower runway direction designation number towards the opposite runway threshold, is indicated by a positive value. An offset to the left is indicated by a negative value. For Example: a runway oriented 09/27 has a strip that is extending 150 metres to the right of the runway direction 09 and 300 metres to the left of the same runway direction. The value of the lateral offset will be -75 metres.</t>
  </si>
  <si>
    <t>TRH</t>
  </si>
  <si>
    <t>runwayTrueHeading</t>
  </si>
  <si>
    <t>Runway True Heading</t>
  </si>
  <si>
    <t>The true heading of a runway.</t>
  </si>
  <si>
    <t>RVR</t>
  </si>
  <si>
    <t>runwayVisualRange</t>
  </si>
  <si>
    <t>Runway Visual Range (RVR)</t>
  </si>
  <si>
    <t>An instrumentally derived value, based on standard calibrations, that represents the range over which the pilot of an aircraft on the centre line of a runway can see the runway surface markings or the lights delineating the runway or identifying its centre line.</t>
  </si>
  <si>
    <t>The runway visual range is based on the sighting of either high intensity runway lights or on the visual contrast of other targets, whichever yields the greater visual range.</t>
  </si>
  <si>
    <t>RVO</t>
  </si>
  <si>
    <t>runwayVisualRangeObsSite</t>
  </si>
  <si>
    <t>Runway Visual Range Observation Site</t>
  </si>
  <si>
    <t>The general position of the transmissometer along the runway direction for which the Runway Visual Range (RVR) reading is provided.</t>
  </si>
  <si>
    <t>RunwayVisualRangeObsSiteCode</t>
  </si>
  <si>
    <t>SHC</t>
  </si>
  <si>
    <t>safeHorizontalClearance</t>
  </si>
  <si>
    <t>Safe Horizontal Clearance</t>
  </si>
  <si>
    <t>Minimum safe horizontal distance between adjacent structures on either side of a navigable channel.</t>
  </si>
  <si>
    <t>SYD</t>
  </si>
  <si>
    <t>salinityDifference</t>
  </si>
  <si>
    <t>Salinity Difference</t>
  </si>
  <si>
    <t>The difference in salinity between two adjacent water masses.</t>
  </si>
  <si>
    <t>SDO</t>
  </si>
  <si>
    <t>sandDuneOrientation</t>
  </si>
  <si>
    <t>Sand Dune Orientation</t>
  </si>
  <si>
    <t>The characteristic direction of the steep slope face from the crest of a sand dune.</t>
  </si>
  <si>
    <t>Normally, the angular distance measured from true north (0 degrees) clockwise to the direction of the steep slope face in the downwind direction (0-360 degrees).</t>
  </si>
  <si>
    <t>SAD</t>
  </si>
  <si>
    <t>sandDuneStabilized</t>
  </si>
  <si>
    <t>Sand Dune Stabilized</t>
  </si>
  <si>
    <t>An indication that the height and location of a sand dune, or area of sand dunes, is unchanging.</t>
  </si>
  <si>
    <t>The dune(s) are usually vegetated and in consequence they are relatively unaffected by the scouring action of local winds.</t>
  </si>
  <si>
    <t>SDT</t>
  </si>
  <si>
    <t>sandDuneType</t>
  </si>
  <si>
    <t>Sand Dune Type</t>
  </si>
  <si>
    <t>The type of a sand dune based on its shape and/or structure.</t>
  </si>
  <si>
    <t>SandDuneTypeCode</t>
  </si>
  <si>
    <t>SBA</t>
  </si>
  <si>
    <t>satelliteBasedAugSystem</t>
  </si>
  <si>
    <t>Satellite Based Augmentation System</t>
  </si>
  <si>
    <t>SatelliteBasedAugSystemCode</t>
  </si>
  <si>
    <t>SVP</t>
  </si>
  <si>
    <t>sbasServiceProvider</t>
  </si>
  <si>
    <t>Satellite Based Augmentation System (SBAS) Service Provider</t>
  </si>
  <si>
    <t>The unique designator of the satellite based augmentation system service provider for the final approach segment data block.</t>
  </si>
  <si>
    <t>SbasServiceProviderStrucText</t>
  </si>
  <si>
    <t>SCL</t>
  </si>
  <si>
    <t>scaleDenominator</t>
  </si>
  <si>
    <t>Scale Denominator</t>
  </si>
  <si>
    <t>The modulus (denominator) of the nominal scale at which a feature or feature set was collected.</t>
  </si>
  <si>
    <t>The modulus of the scale is indicated, for example, the scale 1:25,000 is encoded as the integer value '25000'.</t>
  </si>
  <si>
    <t>D03</t>
  </si>
  <si>
    <t>Scope Extent</t>
  </si>
  <si>
    <t>Information about the horizontal, vertical and/or temporal extent of the data that is specified by the scope of a resource to which information (for example: data quality) applies.</t>
  </si>
  <si>
    <t>D02</t>
  </si>
  <si>
    <t>level</t>
  </si>
  <si>
    <t>Scope Level</t>
  </si>
  <si>
    <t>The hierarchical level of the data that is specified by the scope of a resource to which information (for example: data quality) applies.</t>
  </si>
  <si>
    <t>D04</t>
  </si>
  <si>
    <t>levelDescription</t>
  </si>
  <si>
    <t>Scope Level Description</t>
  </si>
  <si>
    <t>A detailed description of the level of the data specified by the scope of a resource to which information (for example: data quality) applies.</t>
  </si>
  <si>
    <t>ScopeDescriptionStrucText</t>
  </si>
  <si>
    <t>SCE</t>
  </si>
  <si>
    <t>screener</t>
  </si>
  <si>
    <t>Screener</t>
  </si>
  <si>
    <t>An indication that a tree is an obstacle to water-borne movement because it has fallen or is heavily leaning over a watercourse while still rooted on the shore and not fully submerged.</t>
  </si>
  <si>
    <t>Its trunk and branches may form an obstruction in the river much like a strainer.</t>
  </si>
  <si>
    <t>SXN</t>
  </si>
  <si>
    <t>season</t>
  </si>
  <si>
    <t>Season</t>
  </si>
  <si>
    <t>A division of the year according to some regularly recurrent phenomena, usually astronomical or climatic.</t>
  </si>
  <si>
    <t>SeasonCode</t>
  </si>
  <si>
    <t>SSE</t>
  </si>
  <si>
    <t>seasonalIceLimit</t>
  </si>
  <si>
    <t>Seasonal Ice Limit</t>
  </si>
  <si>
    <t>The month of the seasonal limit of the presence of ice that poses a hazard to maritime traffic.</t>
  </si>
  <si>
    <t>Used to specify the month for which an ice limit line is determined; hazardous ice may be present up to the polar side of the ice limit line.</t>
  </si>
  <si>
    <t>SeasonalIceLimitIntStrucText</t>
  </si>
  <si>
    <t>BR2</t>
  </si>
  <si>
    <t>secondBroadcastFrequency</t>
  </si>
  <si>
    <t>Second Broadcast Frequency</t>
  </si>
  <si>
    <t>The alternate or second transmission frequency of a radio communications device (for example: a television station, a radiobeacon).</t>
  </si>
  <si>
    <t>Used for additional, alternate, and/or backup transmissions.</t>
  </si>
  <si>
    <t>CA2</t>
  </si>
  <si>
    <t>secondaryControlAuthority</t>
  </si>
  <si>
    <t>Secondary Controlling Authority</t>
  </si>
  <si>
    <t>The secondary controlling authority responsible for a facility or site.</t>
  </si>
  <si>
    <t>SecondaryControlAuthorityCode</t>
  </si>
  <si>
    <t>FA2</t>
  </si>
  <si>
    <t>secondaryFaaIdentifier</t>
  </si>
  <si>
    <t>Secondary FAA Identifier</t>
  </si>
  <si>
    <t>Secondary identifier assigned by the U.S. Federal Aviation Administration, or host country, to an air facility.</t>
  </si>
  <si>
    <t>IK2</t>
  </si>
  <si>
    <t>secondaryIcaoIdentifier</t>
  </si>
  <si>
    <t>Secondary ICAO Identifier</t>
  </si>
  <si>
    <t>The secondary International Civil Aviation Organization location identifier that is sometimes assigned to an air facility.</t>
  </si>
  <si>
    <t>KeyNonLex254</t>
  </si>
  <si>
    <t>SPO</t>
  </si>
  <si>
    <t>secondaryPowerDescription</t>
  </si>
  <si>
    <t>Secondary Power Description</t>
  </si>
  <si>
    <t>A description of the availability of emergency power supply for the feature.</t>
  </si>
  <si>
    <t>The description may include power available and switch-over time.</t>
  </si>
  <si>
    <t>SAN</t>
  </si>
  <si>
    <t>secondOrderAdminDivName</t>
  </si>
  <si>
    <t>Second-order Administrative Division Name</t>
  </si>
  <si>
    <t>The full name that designates a subdivision of a principal administrative division of a geopolitical entity (for example: a State).</t>
  </si>
  <si>
    <t>For example, in the United States a principal administrative division is a 'state' and a subdivision of a state is a 'county'; in the 'state' of 'Maryland' lies the 'county' of 'Montgomery County'.</t>
  </si>
  <si>
    <t>SAX</t>
  </si>
  <si>
    <t>securityAttributesGroup</t>
  </si>
  <si>
    <t>Security Attributes Group</t>
  </si>
  <si>
    <t>A security classification and control marking in accordance with the (US) Controlled Access Program Coordination Office (CAPCO) guidance.</t>
  </si>
  <si>
    <t>The Intelligence Community (IC) Information Security Marking (ISM) XML Schema specifies a common set of XML attributes for implementing security-based metadata throughout the IC. The IC ISM XML Schema provides markup for the tokens that are used to format the CAPCO markings.</t>
  </si>
  <si>
    <t>SecurityAttributesGroupStrucText</t>
  </si>
  <si>
    <t>SCO</t>
  </si>
  <si>
    <t>sedimentColour</t>
  </si>
  <si>
    <t>Sediment Colour</t>
  </si>
  <si>
    <t>The general colour of a waterbody sediment based on the Geological Society of America (GSA) rock colour chart and the Munsell colour system.</t>
  </si>
  <si>
    <t>The Munsell system is based on a colour solid, or approximately a colour sphere, which has a neutral gray central axis grading from white at the top to black at the bottom. This property of lightness is called value. Around the circumference or equator of the solid are the ten major hues, each of which is divided into ten numbered divisions, so that 5 marks the middle of the hue, and 10 marks the boundary between one hue and the next. Thus, any particular hue can be designated by a number and a letter such as 5R or 10YR. Any single vertical section through the neutral gray axis and a particular hue constitutes a colour chart on which the colors grade in value from light at the top to dark at the bottom, and in chroma (degree of saturation) from gray at one edge to the most vivid colors out at the margin. Both value and chroma are numbered so any particular colour can be given a numerical designation representing hue, value, and chroma such as 5R 6/4 and 10YR 8/2. Colour names are based on the Inter-Society Color Council-National Bureau of Standards system of names.</t>
  </si>
  <si>
    <t>SedimentColourCode</t>
  </si>
  <si>
    <t>SEN</t>
  </si>
  <si>
    <t>segmentEndCondition</t>
  </si>
  <si>
    <t>Segment End Condition</t>
  </si>
  <si>
    <t>A specification of the event that allows identifying the end of the leg and the start of the next leg on the procedure.</t>
  </si>
  <si>
    <t>For example: reaching an altitude or outbound timing.</t>
  </si>
  <si>
    <t>End Condition Designator</t>
  </si>
  <si>
    <t>NCU</t>
  </si>
  <si>
    <t>sensorCalibrationPointUse</t>
  </si>
  <si>
    <t>Sensor Calibration Point Use</t>
  </si>
  <si>
    <t>The use of the calibration point, based on the type of sensor being calibrated.</t>
  </si>
  <si>
    <t>SensorCalibrationPointUseCode</t>
  </si>
  <si>
    <t>SEQ</t>
  </si>
  <si>
    <t>sequenceOfSignal</t>
  </si>
  <si>
    <t>Sequence of a Signal</t>
  </si>
  <si>
    <t>Specifies the sequence of times occupied by intervals of light and eclipse.</t>
  </si>
  <si>
    <t>SequenceOfSignalStrucText</t>
  </si>
  <si>
    <t>USP</t>
  </si>
  <si>
    <t>settlementPattern</t>
  </si>
  <si>
    <t>Settlement Pattern</t>
  </si>
  <si>
    <t>The pattern of settlement of an urban area based on the most frequently occurring geometric configuration (pattern) of streets and/or canals.</t>
  </si>
  <si>
    <t>SettlementPatternCode</t>
  </si>
  <si>
    <t>SBC</t>
  </si>
  <si>
    <t>shelterBelt</t>
  </si>
  <si>
    <t>Shelter Belt</t>
  </si>
  <si>
    <t>An indication that a feature (for example: a linear stand of trees) functions as a shelter belt, protecting other features (for example: roads, railways, cropland, and/or structures) from the effects of adverse weather.</t>
  </si>
  <si>
    <t>SHT</t>
  </si>
  <si>
    <t>shippingContainerType</t>
  </si>
  <si>
    <t>Shipping Container Type</t>
  </si>
  <si>
    <t>The type of a shipping container based on its structural characteristics and/or intended use.</t>
  </si>
  <si>
    <t>ShippingContainerTypeCode</t>
  </si>
  <si>
    <t>PWC</t>
  </si>
  <si>
    <t>shorelineConstructionType</t>
  </si>
  <si>
    <t>Shoreline Construction Type</t>
  </si>
  <si>
    <t>The type of a shoreline construction (for example: a pier, a wharf, or a quay).</t>
  </si>
  <si>
    <t>May be used as a means of subtyping Feature: 'Shoreline Construction'.</t>
  </si>
  <si>
    <t>ShorelineConstructionTypeCode</t>
  </si>
  <si>
    <t>SHD</t>
  </si>
  <si>
    <t>shorelineDelineated</t>
  </si>
  <si>
    <t>Shoreline Delineated</t>
  </si>
  <si>
    <t>An indication that the delineation of a shoreline is definite.</t>
  </si>
  <si>
    <t>The delineation of the shoreline along a beach is typically definite whereas along a mangrove swamp it is typically indefinite.</t>
  </si>
  <si>
    <t>SLR</t>
  </si>
  <si>
    <t>shorelineRampType</t>
  </si>
  <si>
    <t>Shoreline Ramp Type</t>
  </si>
  <si>
    <t>The type of a shoreline ramp based on its design and intended use.</t>
  </si>
  <si>
    <t>May be used as a means of subtyping Feature: 'Shoreline Ramp'.</t>
  </si>
  <si>
    <t>ShorelineRampTypeCode</t>
  </si>
  <si>
    <t>SLT</t>
  </si>
  <si>
    <t>shorelineType</t>
  </si>
  <si>
    <t>Shoreline Type</t>
  </si>
  <si>
    <t>The physical characteristics of a shoreline.</t>
  </si>
  <si>
    <t>ShorelineTypeCode</t>
  </si>
  <si>
    <t>SNA</t>
  </si>
  <si>
    <t>shortName</t>
  </si>
  <si>
    <t>A shortened form of a full name that could substitute for the full name and consists of the specific part of the full name.</t>
  </si>
  <si>
    <t>It usually includes the specific term(s) in the full name for the following types of features: geopolitical entities and their administrative divisions; specific geomorphologic forms (for example: islands, mountains, mountain passes, and rivers); specific places (for example: railway stations); and in general those full names that are in English (excepting those that are considered to be variants) or have been transliterated.</t>
  </si>
  <si>
    <t>SN1</t>
  </si>
  <si>
    <t>shortNameNoDiacritics</t>
  </si>
  <si>
    <t>Short Name without Diacritics</t>
  </si>
  <si>
    <t>A shortened form of a full name that could substitute for the full name and consists of the specific part of the full name, except that any diacritics and special characters have been replaced with their corresponding Roman characters.</t>
  </si>
  <si>
    <t>SHY</t>
  </si>
  <si>
    <t>shrubLandType</t>
  </si>
  <si>
    <t>Shrub Land Type</t>
  </si>
  <si>
    <t>The type of a tract incompletely covered by low-growing, uncultured, woody plants.</t>
  </si>
  <si>
    <t>ShrubLandTypeCode</t>
  </si>
  <si>
    <t>GRP</t>
  </si>
  <si>
    <t>signalGroupPattern</t>
  </si>
  <si>
    <t>Signal Group Pattern</t>
  </si>
  <si>
    <t>The number of signals, the combination of signals or the Morse character(s) within one period of full sequence of a repeating signal.</t>
  </si>
  <si>
    <t>SignalGroupPatternStrucText</t>
  </si>
  <si>
    <t>SLX</t>
  </si>
  <si>
    <t>signalLimitMaxRange</t>
  </si>
  <si>
    <t>Signal Limitation Maximum Range</t>
  </si>
  <si>
    <t>The distance from a radio navigational aid at which the radio signal becomes usable or reliable after a range of unusable signal.</t>
  </si>
  <si>
    <t>SLN</t>
  </si>
  <si>
    <t>signalLimitMinRange</t>
  </si>
  <si>
    <t>Signal Limitation Minimum Range</t>
  </si>
  <si>
    <t>The minimum distance from a radio navigational aid at which the radio signal becomes unusable or unreliable.</t>
  </si>
  <si>
    <t>SET</t>
  </si>
  <si>
    <t>significantEarthquake</t>
  </si>
  <si>
    <t>Significant Earthquake</t>
  </si>
  <si>
    <t>An indication that the earthquake satisfied one or more criteria: caused at least $1 million (1990 U.S. dollars) in damage; caused at least 10 deaths; was of Richter Scale magnitude 7.5 or greater; was of Modified Mercalli Scale intensity X ('Disastrous') or greater.</t>
  </si>
  <si>
    <t>The Richter Scale is a base-10 logarithmic scale quantifying the amount of seismic energy released by an earthquake. The Modified Mercalli (MM) Scale quantifies the effects of an earthquake on the Earth's surface, humans, objects of nature, and man-made structures on a scale of I through XII, with I ('Instrumental') indicating that it was not felt by many people unless in favourable conditions, and XII ('Catastrophic') one that causes almost complete destruction.</t>
  </si>
  <si>
    <t>SPU</t>
  </si>
  <si>
    <t>sigPointAssocInAirspace</t>
  </si>
  <si>
    <t>Significant Point Association Use in Airspace</t>
  </si>
  <si>
    <t>The manner in which a significant point is used in association to an airspace.</t>
  </si>
  <si>
    <t>For example: entry point or exit point.</t>
  </si>
  <si>
    <t xml:space="preserve">Significant Association Type </t>
  </si>
  <si>
    <t>SigPointAssocInAirspaceCode</t>
  </si>
  <si>
    <t>SPR</t>
  </si>
  <si>
    <t>sigPointRelLocToAirspace</t>
  </si>
  <si>
    <t>Significant Point Relative Location to Airspace</t>
  </si>
  <si>
    <t>The location of a significant point in relation to an airspace, as a category.</t>
  </si>
  <si>
    <t>For example: In, Out, or On Border.</t>
  </si>
  <si>
    <t>SigPointRelLocToAirspaceCode</t>
  </si>
  <si>
    <t>SIW</t>
  </si>
  <si>
    <t>singleIsolatedWheelLoad</t>
  </si>
  <si>
    <t>Single Isolated Wheel Load (SIWL)</t>
  </si>
  <si>
    <t>The maximum calculated load on each tire of a landing gear assembly that a movement area surface can support.</t>
  </si>
  <si>
    <t>The single isolated wheel load is computed by dividing the assembly load by the number of tires on the assembly. There may be a different value for each landing gear assembly on the aircraft.</t>
  </si>
  <si>
    <t>SIWL Weight</t>
  </si>
  <si>
    <t>SIX</t>
  </si>
  <si>
    <t>siwlTireInflationPressure</t>
  </si>
  <si>
    <t>Single Isolated Wheel Load (SIWL) Tire Inflation Pressure</t>
  </si>
  <si>
    <t>The maximum aircraft tire pressure that a movement area surface can support.</t>
  </si>
  <si>
    <t>SIWL Pressure</t>
  </si>
  <si>
    <t>SKM</t>
  </si>
  <si>
    <t>sinkingMethod</t>
  </si>
  <si>
    <t>Sinking Method</t>
  </si>
  <si>
    <t>The method, if known, by which a wrecked vessel was sunk.</t>
  </si>
  <si>
    <t>SinkingMethodCode</t>
  </si>
  <si>
    <t>SVA</t>
  </si>
  <si>
    <t>slavedVariation</t>
  </si>
  <si>
    <t>Slaved Variation</t>
  </si>
  <si>
    <t>A fixed value of magnetic declination applied within an aid to navigation to the true direction in order to obtain the reported magnetic directions for radials, courses and headings.</t>
  </si>
  <si>
    <t>The value is fixed for a period of time and therefore may differ from the true declination due to subsequent drift of the Earth's magnetic field.</t>
  </si>
  <si>
    <t>Slaved Declination</t>
  </si>
  <si>
    <t>SVD</t>
  </si>
  <si>
    <t>slavedVariationDateTime</t>
  </si>
  <si>
    <t>Slaved Variation Date and Time</t>
  </si>
  <si>
    <t>The date and, optionally, time in which the slaved variation was programmed into the radio navigation aid installation.</t>
  </si>
  <si>
    <t>SlavedVariationDateTimeStrucText</t>
  </si>
  <si>
    <t>HTD</t>
  </si>
  <si>
    <t>slopeOrientDown</t>
  </si>
  <si>
    <t>Slope Orientation Downhill</t>
  </si>
  <si>
    <t>The direction of maximum downhill surface slope of a feature.</t>
  </si>
  <si>
    <t>The direction is measured as an angle in a clockwise direction from true north (0 arc degrees). May be reported in whole arc degrees.</t>
  </si>
  <si>
    <t>SDC</t>
  </si>
  <si>
    <t>soilDepth</t>
  </si>
  <si>
    <t>Soil Depth</t>
  </si>
  <si>
    <t>The depth of the soil or unconsolidated surface material.</t>
  </si>
  <si>
    <t>The soil layer ranges from the top of the organic horizon 'O' to the bottom of the substratum 'C'.</t>
  </si>
  <si>
    <t>STP</t>
  </si>
  <si>
    <t>soilType</t>
  </si>
  <si>
    <t>Soil Type</t>
  </si>
  <si>
    <t>The soil type as specified by the Unified Soil Classification System (USCS).</t>
  </si>
  <si>
    <t>SoilTypeCode</t>
  </si>
  <si>
    <t>STG</t>
  </si>
  <si>
    <t>soilWetTrafficabilityType</t>
  </si>
  <si>
    <t>Soil Wet Trafficability Type</t>
  </si>
  <si>
    <t>The type of wet weather trafficability of a soil based on soil types specified by the Unified Soil Classification System (USCS).</t>
  </si>
  <si>
    <t>Derived from Attribute: 'Soil Type'.</t>
  </si>
  <si>
    <t>SoilWetTrafficabilityTypeCode</t>
  </si>
  <si>
    <t>SWC</t>
  </si>
  <si>
    <t>soilWetnessCondition</t>
  </si>
  <si>
    <t>Soil Wetness Condition</t>
  </si>
  <si>
    <t>General moisture content or condition of a soil.</t>
  </si>
  <si>
    <t>SoilWetnessConditionCode</t>
  </si>
  <si>
    <t>G04</t>
  </si>
  <si>
    <t>solidGeometry</t>
  </si>
  <si>
    <t>Solid Geometry</t>
  </si>
  <si>
    <t>A 3-dimensional geometric primitive, representing the continuous image of a region of Euclidean 3 space.</t>
  </si>
  <si>
    <t>GmSolid</t>
  </si>
  <si>
    <t>FAC</t>
  </si>
  <si>
    <t>solidMaritimeConstruction</t>
  </si>
  <si>
    <t>Solid Maritime Construction</t>
  </si>
  <si>
    <t>An indication that a marine construction (for example: a pier, wharf, or quay) is solid, thereby blocking the free circulation of water underneath the construction.</t>
  </si>
  <si>
    <t>The construction may be of concrete, masonry, wood, and/or other building materials. Open pile construction is used where the benefits of protection from currents and waves is not required.</t>
  </si>
  <si>
    <t>SCS</t>
  </si>
  <si>
    <t>sonarConfirmed</t>
  </si>
  <si>
    <t>Sonar-confirmed</t>
  </si>
  <si>
    <t>An indication that a contact or other object has been confirmed by sonar.</t>
  </si>
  <si>
    <t>SON</t>
  </si>
  <si>
    <t>sortName</t>
  </si>
  <si>
    <t>Sort Name</t>
  </si>
  <si>
    <t>A form of the full name that allows for easy sorting of full names into alpha-numeric sequence.</t>
  </si>
  <si>
    <t>It is maintained in all upper case with spaces, diacritics, and hyphens removed and numbers substituted with lower-case alphabetic characters.</t>
  </si>
  <si>
    <t>VDC</t>
  </si>
  <si>
    <t>soundingDatum</t>
  </si>
  <si>
    <t>Sounding Datum</t>
  </si>
  <si>
    <t>The tidal datum to which soundings and drying heights are referenced.</t>
  </si>
  <si>
    <t>It is usually taken to correspond to a low water stage of the tide.</t>
  </si>
  <si>
    <t>Chart Sounding Datum</t>
  </si>
  <si>
    <t>SoundingDatumCode</t>
  </si>
  <si>
    <t>VDR</t>
  </si>
  <si>
    <t>soundingDatumName</t>
  </si>
  <si>
    <t>Sounding Datum Name</t>
  </si>
  <si>
    <t>The name of the tidal datum to which soundings and drying heights are referenced.</t>
  </si>
  <si>
    <t>Used when the sounding datum is known but not specified using Attribute: 'Sounding Datum'.</t>
  </si>
  <si>
    <t>SOU</t>
  </si>
  <si>
    <t>soundingExposition</t>
  </si>
  <si>
    <t>Sounding Exposition</t>
  </si>
  <si>
    <t>The value of a sounding with respect to that of its surrounding depth area.</t>
  </si>
  <si>
    <t>SoundingExpositionCode</t>
  </si>
  <si>
    <t>SSI</t>
  </si>
  <si>
    <t>soundingSourceIdentifier</t>
  </si>
  <si>
    <t>Sounding Source Identifier</t>
  </si>
  <si>
    <t>The Bathymetric Document ID combined with the Sheet ID.</t>
  </si>
  <si>
    <t>SVC</t>
  </si>
  <si>
    <t>soundingVelCorrectMethod</t>
  </si>
  <si>
    <t>Sounding Velocity Correction Method</t>
  </si>
  <si>
    <t>The method of correction that has been used to correct a sounding velocity instrument reading to obtain the correct depth.</t>
  </si>
  <si>
    <t>SoundingVelCorrectMethodCode</t>
  </si>
  <si>
    <t>STC</t>
  </si>
  <si>
    <t>sourceCategory</t>
  </si>
  <si>
    <t>Source Category</t>
  </si>
  <si>
    <t>The type(s) of dataset(s) and associated process(es) that were used to define the digital representation of the feature or data set.</t>
  </si>
  <si>
    <t>SourceCategoryCode</t>
  </si>
  <si>
    <t>SDP</t>
  </si>
  <si>
    <t>sourceDescription</t>
  </si>
  <si>
    <t>Source Description</t>
  </si>
  <si>
    <t>A description of the data set that was used to define the digital representation of the feature or data set.</t>
  </si>
  <si>
    <t>No restriction is placed on the length of the description.</t>
  </si>
  <si>
    <t>E03</t>
  </si>
  <si>
    <t>southBoundLatitude</t>
  </si>
  <si>
    <t>Southern Bounding Latitude</t>
  </si>
  <si>
    <t>The southern-most coordinate of the limit of a geospatial extent.</t>
  </si>
  <si>
    <t>NOS</t>
  </si>
  <si>
    <t>spanCount</t>
  </si>
  <si>
    <t>Span Count</t>
  </si>
  <si>
    <t>The number of spans in a bridge.</t>
  </si>
  <si>
    <t>M15</t>
  </si>
  <si>
    <t>spatialRepresentationType</t>
  </si>
  <si>
    <t>Spatial Representation Type</t>
  </si>
  <si>
    <t>The digital representation used in the spatial content of a resource.</t>
  </si>
  <si>
    <t>MD_SpatialRepresentationTypeCode</t>
  </si>
  <si>
    <t>M16</t>
  </si>
  <si>
    <t>spatialResolution</t>
  </si>
  <si>
    <t>Spatial Resolution</t>
  </si>
  <si>
    <t>A numeric factor that provides a general understanding of the spatial content density of a resource.</t>
  </si>
  <si>
    <t>SpatialResStrucText</t>
  </si>
  <si>
    <t>SSD</t>
  </si>
  <si>
    <t>spatialSourceDateTime</t>
  </si>
  <si>
    <t>Spatial Source Date and Time</t>
  </si>
  <si>
    <t>The date and, optionally, time of collection of the data that was used to define the spatial representation of the digital feature or data set.</t>
  </si>
  <si>
    <t>SpatialSourceDateTimeStrucText</t>
  </si>
  <si>
    <t>SSN</t>
  </si>
  <si>
    <t>spatialSourceDesc</t>
  </si>
  <si>
    <t>Spatial Source Description</t>
  </si>
  <si>
    <t>A description of the data that was used to define the spatial representation of the digital feature or data set.</t>
  </si>
  <si>
    <t>SSY</t>
  </si>
  <si>
    <t>spatialSourceType</t>
  </si>
  <si>
    <t>Spatial Source Type</t>
  </si>
  <si>
    <t>The type(s) of data that were used to define the digital representation of the spatial component(s) of the feature or data set.</t>
  </si>
  <si>
    <t>In a 2-dimensional representation the spatial component(s) are expressed as the horizontal coordinate values of the feature geometry. In a 3-dimensional representation the vertical coordinate values may be determined using a separate source and process (for example: stereoscopic imagery), in which case the attribute: Vertical Source Category may be additionally used for greater specificity.</t>
  </si>
  <si>
    <t>SpatialSourceTypeCodeList</t>
  </si>
  <si>
    <t>AMB</t>
  </si>
  <si>
    <t>specialAdminUnit</t>
  </si>
  <si>
    <t>Special Administrative Unit</t>
  </si>
  <si>
    <t>The basis upon which an administratively subordinate division of a geopolitical entity (country) is established, other than for the purpose of governing as a unique subordinate division.</t>
  </si>
  <si>
    <t>Non-governance purposes for which an administrative division may be established include, for example: economic development, postal service, utility provision, or data collection.</t>
  </si>
  <si>
    <t>SpecialAdminUnitCode</t>
  </si>
  <si>
    <t>ADB</t>
  </si>
  <si>
    <t>specialAdminUnitDesc</t>
  </si>
  <si>
    <t>Special Administrative Unit Description</t>
  </si>
  <si>
    <t>A description of the unique administrative circumstances of an administrative region, if any.</t>
  </si>
  <si>
    <t>For example, the type(s) of activities that are administered and the nature of the control(s) exerted.</t>
  </si>
  <si>
    <t>SS2</t>
  </si>
  <si>
    <t>specialNavServiceType</t>
  </si>
  <si>
    <t>Special Navigation Service Type</t>
  </si>
  <si>
    <t>The type of service provided by the station equipment within the special navigation system chain.</t>
  </si>
  <si>
    <t>For example: Master, Red Slave (DECCA), or Slave (LORAN).</t>
  </si>
  <si>
    <t>SpecialNavServiceTypeCode</t>
  </si>
  <si>
    <t>SCI</t>
  </si>
  <si>
    <t>specialNavSystemChainIdent</t>
  </si>
  <si>
    <t>Special Navigation System Chain Identifier</t>
  </si>
  <si>
    <t>The unique identifier of a special navigation system chain of stations.</t>
  </si>
  <si>
    <t>SS1</t>
  </si>
  <si>
    <t>specialNavSystemType</t>
  </si>
  <si>
    <t>Special Navigation System Type</t>
  </si>
  <si>
    <t>The type of a worldwide land-based special navigation system.</t>
  </si>
  <si>
    <t>SpecialNavSystemTypeCode</t>
  </si>
  <si>
    <t>CMP</t>
  </si>
  <si>
    <t>specifiedComplianceType</t>
  </si>
  <si>
    <t>Specified Compliance Type</t>
  </si>
  <si>
    <t>The type of compliance of a feature to a requirement associated with its use.</t>
  </si>
  <si>
    <t>The nature of, and requirement for, specified compliance may be assigned by a controlling authority.</t>
  </si>
  <si>
    <t>SpecifiedComplianceTypeCode</t>
  </si>
  <si>
    <t>OTH</t>
  </si>
  <si>
    <t>specifiedDomainValues</t>
  </si>
  <si>
    <t>Specified Domain Value(s)</t>
  </si>
  <si>
    <t>One or more intended attribute domain values for one or more enumeration or codelist attributes that are not currently valid members of their respective attribute ranges.</t>
  </si>
  <si>
    <t>The actual attribute domain values may have been previously, or may become in the future, valid members of the attribute domain range.</t>
  </si>
  <si>
    <t>SpecifiedDomainValuesStrucText</t>
  </si>
  <si>
    <t>SPM</t>
  </si>
  <si>
    <t>speedLimitKph</t>
  </si>
  <si>
    <t>Speed Limit (KPH)</t>
  </si>
  <si>
    <t>The maximum vehicle speed legally permitted, expressed in kilometres per hour.</t>
  </si>
  <si>
    <t>SPD</t>
  </si>
  <si>
    <t>speedLimitMph</t>
  </si>
  <si>
    <t>Speed Limit (MPH)</t>
  </si>
  <si>
    <t>The maximum vehicle speed legally permitted, expressed in miles per hour.</t>
  </si>
  <si>
    <t>HGS</t>
  </si>
  <si>
    <t>spillwayHeight</t>
  </si>
  <si>
    <t>Spillway Height</t>
  </si>
  <si>
    <t>The vertical distance above ground or water level on the upstream side of the dam.</t>
  </si>
  <si>
    <t>SOP</t>
  </si>
  <si>
    <t>standardOperatingTimes</t>
  </si>
  <si>
    <t>Standard Operating Times</t>
  </si>
  <si>
    <t>A standard, community recognized categorization of a recurring timeframe in which a facility or service is available for use.</t>
  </si>
  <si>
    <t>StandardOperatingTimesCode</t>
  </si>
  <si>
    <t>SWW</t>
  </si>
  <si>
    <t>staticWaterLevel</t>
  </si>
  <si>
    <t>Static Water Level</t>
  </si>
  <si>
    <t>The natural level of the water table in a well, measured with respect to surface level when water is not being actively withdrawn.</t>
  </si>
  <si>
    <t>May be a positive value when an artesian aquifer is tapped and the resulting pressure is sufficient to raise the water in a connected tube above the surface level.</t>
  </si>
  <si>
    <t>DES</t>
  </si>
  <si>
    <t>stationDeclination</t>
  </si>
  <si>
    <t>Station Declination</t>
  </si>
  <si>
    <t>An alignment variation between the zero degree radial of a station and True North, determined at the time the station is calibrated.</t>
  </si>
  <si>
    <t>VOR and TACAN Declination</t>
  </si>
  <si>
    <t>SDD</t>
  </si>
  <si>
    <t>stationDeclinationDateTime</t>
  </si>
  <si>
    <t>Station Declination Date and Time</t>
  </si>
  <si>
    <t>The date and, optionally, time on which the station declination was measured.</t>
  </si>
  <si>
    <t>StationDeclinationDateTimeStrucText</t>
  </si>
  <si>
    <t>STN</t>
  </si>
  <si>
    <t>stationary</t>
  </si>
  <si>
    <t>Stationary</t>
  </si>
  <si>
    <t>The feature, observed intermittently over a period of time, appears to be stationary (not shifting in position from observation to observation).</t>
  </si>
  <si>
    <t>SGA</t>
  </si>
  <si>
    <t>statisticalGeoAreaType</t>
  </si>
  <si>
    <t>Statistical Geographic Area Type</t>
  </si>
  <si>
    <t>The type of a geographic area based on its statistically derived and/or aggregated properties.</t>
  </si>
  <si>
    <t>StatisticalGeoAreaTypeCode</t>
  </si>
  <si>
    <t>SDS</t>
  </si>
  <si>
    <t>stemDiameter</t>
  </si>
  <si>
    <t>Stem Diameter</t>
  </si>
  <si>
    <t>The average diameter of the tree trunks in an area, measured at a height of approximately 1.5 metres or 4.5 feet on the high side (if on a hillside) above the surface of the ground.</t>
  </si>
  <si>
    <t>Commonly referred to as the 'diameter at breast height' (dbh). For trees up to 2 metres high, the stem diameter is measured at the mid-point between the ground and the stem tip.</t>
  </si>
  <si>
    <t>SNR</t>
  </si>
  <si>
    <t>strainer</t>
  </si>
  <si>
    <t>Strainer</t>
  </si>
  <si>
    <t>An indication that an entity poses a hazard to water-borne movement by blocking the passage of larger objects whilst permitting the free flow of water to continue.</t>
  </si>
  <si>
    <t>These objects can be very dangerous, because the force of the water will pin an object or body against the strainer and then pile up, pushing it down under water. Strainers are formed by many different objects, for example: storm grates over tunnels, trees that have fallen into a river (a 'log jam'), bushes by the side of the river that are flooded during high water, and reinforcing bars from broken concrete.</t>
  </si>
  <si>
    <t>SSG</t>
  </si>
  <si>
    <t>streetSignType</t>
  </si>
  <si>
    <t>Street Sign Type</t>
  </si>
  <si>
    <t>The type of a street sign based on the nature of the information that it displays.</t>
  </si>
  <si>
    <t>StreetSignTypeCode</t>
  </si>
  <si>
    <t>MCC</t>
  </si>
  <si>
    <t>structMatType</t>
  </si>
  <si>
    <t>Structural Material Type</t>
  </si>
  <si>
    <t>The primary type(s) of material composing a feature, exclusive of the surface.</t>
  </si>
  <si>
    <t>PrimaryStructMatTypeCode</t>
  </si>
  <si>
    <t>SDQ</t>
  </si>
  <si>
    <t>structurallyDissected</t>
  </si>
  <si>
    <t>Structurally-dissected</t>
  </si>
  <si>
    <t>An indication that at least 50 percent of the terrain within an area is covered by a large number of vertical structures that are separated by ground-level passageways (for example: walkways, alleys, roads).</t>
  </si>
  <si>
    <t>A high concentration of vertical structures provides good cover and concealment, limits fields of observation and fire, and slows, diverts, or stops the movement of personnel or vehicles. Vertical structures are man-made features or objects, for example, buildings or non-building structures, such as, water towers, storage tanks, tombs, grave markers or memorial monuments.</t>
  </si>
  <si>
    <t>DMS</t>
  </si>
  <si>
    <t>structureDensity</t>
  </si>
  <si>
    <t>Structure Density</t>
  </si>
  <si>
    <t>The density of structures in an area.</t>
  </si>
  <si>
    <t>The number of structures in the area are counted and divided by the total area. Major wings may be counted as separate buildings provided there are significant changes in roof directions from the main building.</t>
  </si>
  <si>
    <t>SSC</t>
  </si>
  <si>
    <t>structureShape</t>
  </si>
  <si>
    <t>Structure Shape</t>
  </si>
  <si>
    <t>The geometric form, appearance, and/or configuration of the feature as a whole.</t>
  </si>
  <si>
    <t>StructureShapeCode</t>
  </si>
  <si>
    <t>SAS</t>
  </si>
  <si>
    <t>submarineAcousticSigType</t>
  </si>
  <si>
    <t>Submarine Acoustic Signal Type</t>
  </si>
  <si>
    <t>The type of an underwater acoustic signal based on method of generation, control, and/or intended use.</t>
  </si>
  <si>
    <t>SubmarineAcousticSigTypeCode</t>
  </si>
  <si>
    <t>NSO</t>
  </si>
  <si>
    <t>submarineLikeObject</t>
  </si>
  <si>
    <t>Submarine-like Object</t>
  </si>
  <si>
    <t>An indication that an object on the sea floor (for example: a wreck) could be mistakenly identified as an operable submarine when detected (for example: using acoustic or magnetic sensors).</t>
  </si>
  <si>
    <t>SBT</t>
  </si>
  <si>
    <t>substationType</t>
  </si>
  <si>
    <t>Substation Type</t>
  </si>
  <si>
    <t>The type of an electricity distribution substation based on its function(s).</t>
  </si>
  <si>
    <t>SubstationTypeCode</t>
  </si>
  <si>
    <t>SUL</t>
  </si>
  <si>
    <t>sulfateConcentration</t>
  </si>
  <si>
    <t>Sulfate Concentration</t>
  </si>
  <si>
    <t>The mass of sulfate ions per volume of solution.</t>
  </si>
  <si>
    <t>STR</t>
  </si>
  <si>
    <t>summerCanopyCover</t>
  </si>
  <si>
    <t>Summer Canopy Cover</t>
  </si>
  <si>
    <t>The fraction of canopy cover within a defined area during the summer season.</t>
  </si>
  <si>
    <t>SPT</t>
  </si>
  <si>
    <t>supported</t>
  </si>
  <si>
    <t>Supported</t>
  </si>
  <si>
    <t>An indication that a feature is physically supported by another feature.</t>
  </si>
  <si>
    <t>For example, a tower may be supported by a building, an aerial may be supported by a tower, or a pipeline may be supported by a trestle.</t>
  </si>
  <si>
    <t>SBB</t>
  </si>
  <si>
    <t>supportedByBridgeSpan</t>
  </si>
  <si>
    <t>Supported by Bridge Span</t>
  </si>
  <si>
    <t>The object is at least partially supported by, or passes across, a bridge span.</t>
  </si>
  <si>
    <t>For example, an aqueduct carried across a valley by one or more bridge spans.</t>
  </si>
  <si>
    <t>SDY</t>
  </si>
  <si>
    <t>surfaceDetectionStationType</t>
  </si>
  <si>
    <t>Surface Detection Station Type</t>
  </si>
  <si>
    <t>The type of an aerodrome surface detection station based on the nature of its sensing equipment.</t>
  </si>
  <si>
    <t>SurfaceDetectionStationTypeCode</t>
  </si>
  <si>
    <t>G03</t>
  </si>
  <si>
    <t>surfaceGeometry</t>
  </si>
  <si>
    <t>Surface Geometry</t>
  </si>
  <si>
    <t>A 2-dimensional geometric primitive, locally representing a continuous image of a region of a plane.</t>
  </si>
  <si>
    <t>Its subtypes include (but are not limited to): GM_PolyhedralSurface (which aggregates GM_Polygon).</t>
  </si>
  <si>
    <t>GmSurface</t>
  </si>
  <si>
    <t>SGC</t>
  </si>
  <si>
    <t>surfaceSlope</t>
  </si>
  <si>
    <t>Surface Slope</t>
  </si>
  <si>
    <t>The slope (rate of upward inclination of the surface from the horizontal) of the surface of a feature (for example: the terrain or a waterbody floor).</t>
  </si>
  <si>
    <t>The (percent) slope is determined as the change in height divided by the horizontal distance over which the change takes place, multiplied by one hundred: ((h2-h1)/d)*100. Generally the slope is determined along the primary alignment of a feature (its established direction of flow or use; for example: a road, a railway, a ridge line, and/or a bridge). In those cases where the primary alignment is essentially horizontal (for example, a beach, a watercourse bank, or a cut) the surface slope is typically determined at right angles to the primary alignment.</t>
  </si>
  <si>
    <t>SWM</t>
  </si>
  <si>
    <t>surfaceWaveMagnitude</t>
  </si>
  <si>
    <t>Surface-wave Magnitude</t>
  </si>
  <si>
    <t>The surface-wave magnitude of the earthquake as reported by the U.S. Geological Survey.</t>
  </si>
  <si>
    <t>A surface-wave is a seismic wave that is constrained to follow the natural wave guide of the Earth's uppermost layers. Its magnitude is quantified using a base-10 logarithmic scale based on the ratio of the amplitude of ground motion to its period, corrected by a factor that is a function of the distance from the point of measurement to the earthquake epicenter.</t>
  </si>
  <si>
    <t>SUR</t>
  </si>
  <si>
    <t>surveyCoverageCategory</t>
  </si>
  <si>
    <t>Survey Coverage Category</t>
  </si>
  <si>
    <t>A general evaluation of the coverage quality of a survey, as a category.</t>
  </si>
  <si>
    <t>See possibly accompanying Attribute: 'Position Quality Category' for additional survey-related information.</t>
  </si>
  <si>
    <t>SurveyCoverageCategoryCode</t>
  </si>
  <si>
    <t>HTE</t>
  </si>
  <si>
    <t>surveyDates</t>
  </si>
  <si>
    <t>Survey Dates</t>
  </si>
  <si>
    <t>The date(s) on which the feature was surveyed.</t>
  </si>
  <si>
    <t>SurveyDatesStrucText</t>
  </si>
  <si>
    <t>SUM</t>
  </si>
  <si>
    <t>surveyPointMark</t>
  </si>
  <si>
    <t>Survey Point Mark</t>
  </si>
  <si>
    <t>The nature of the mark established at a survey point.</t>
  </si>
  <si>
    <t>SurveyPointMarkCode</t>
  </si>
  <si>
    <t>SUY</t>
  </si>
  <si>
    <t>surveyPointType</t>
  </si>
  <si>
    <t>Survey Point Type</t>
  </si>
  <si>
    <t>The type of a survey point based on the purpose for which it is established.</t>
  </si>
  <si>
    <t>SurveyPointTypeCode</t>
  </si>
  <si>
    <t>SUH</t>
  </si>
  <si>
    <t>surveyTechnique</t>
  </si>
  <si>
    <t>Survey Technique</t>
  </si>
  <si>
    <t>The means by which a survey coordinate is developed.</t>
  </si>
  <si>
    <t>SurveyTechniqueCode</t>
  </si>
  <si>
    <t>SSP</t>
  </si>
  <si>
    <t>suspended</t>
  </si>
  <si>
    <t>Suspended</t>
  </si>
  <si>
    <t>An indication that a feature is suspended overhead.</t>
  </si>
  <si>
    <t>For example, a power transmission line is suspended between pylons and thus one may physically pass under it. Note that the power transmission line is also supported by the pylons and thus if the pylons were removed the power transmission line would fall.</t>
  </si>
  <si>
    <t>SVK</t>
  </si>
  <si>
    <t>suspiciousVesselCount</t>
  </si>
  <si>
    <t>Suspicious Vessel Count</t>
  </si>
  <si>
    <t>The number of suspicious vessels which approached a ship.</t>
  </si>
  <si>
    <t>MSC</t>
  </si>
  <si>
    <t>sweptMineCondition</t>
  </si>
  <si>
    <t>Swept Mine Condition</t>
  </si>
  <si>
    <t>The condition of a naval mine after being swept.</t>
  </si>
  <si>
    <t>SweptMineConditionCode</t>
  </si>
  <si>
    <t>TAC</t>
  </si>
  <si>
    <t>tacticalAirNavChannel</t>
  </si>
  <si>
    <t>Tactical Air Navigation Aid (TACAN) Channel</t>
  </si>
  <si>
    <t>The Tactical Air Navigation Aid (TACAN) frequency as specified in ICAO Annex 10, Chapter 3, Table A.</t>
  </si>
  <si>
    <t>TACAN operating channels shall be chosen from ICAO Annex 10 Chapter 3 Table A, of the 352 channels in which the channel numbers, frequencies, and pulse codes are assigned. They are specified by a number followed by a letter.</t>
  </si>
  <si>
    <t>TacticalAirNavChannelCode</t>
  </si>
  <si>
    <t>TOD</t>
  </si>
  <si>
    <t>takeOffDistAvailable</t>
  </si>
  <si>
    <t>Take-Off Distance Available (TODA)</t>
  </si>
  <si>
    <t>The length of the take-off run available plus the length of the clearway, if provided.</t>
  </si>
  <si>
    <t>A clearway is a defined rectangular area on the ground or water under the control of the appropriate authority, selected or prepared as a suitable area over which an aircraft may make a portion of its initial climb to a specified height.</t>
  </si>
  <si>
    <t>TODA</t>
  </si>
  <si>
    <t>TOH</t>
  </si>
  <si>
    <t>takeOffDistAvailCopter</t>
  </si>
  <si>
    <t>Take-Off Distance Available Helicopter (TODAH)</t>
  </si>
  <si>
    <t>The length of the final approach and take-off area plus the length of helicopter clearway (if provided) declared available and suitable for helicopters to complete the take-off.</t>
  </si>
  <si>
    <t>TODAH</t>
  </si>
  <si>
    <t>TOR</t>
  </si>
  <si>
    <t>takeOffRunAvailable</t>
  </si>
  <si>
    <t>Take-Off Run Available (TORA)</t>
  </si>
  <si>
    <t>The length of runway declared available and suitable for the ground run of an aircraft taking off.</t>
  </si>
  <si>
    <t>TORA</t>
  </si>
  <si>
    <t>DS1</t>
  </si>
  <si>
    <t>taxiwayDesignator</t>
  </si>
  <si>
    <t>Taxiway Designator</t>
  </si>
  <si>
    <t>The designator of a taxiway that is used to uniquely identify it at an aerodrome.</t>
  </si>
  <si>
    <t>A taxiway shall be identified by a designator comprising a letter, a set of letters, or a combination of a letter or letters followed by a number. The designator is intended to be unique within an appropriate scope (for example: an aerodrome or a military installation) and may be assigned based on a system of abbreviations and/or numbers (for example: 'T1' for Taxiway 1) or based on a naming scheme (for example: 'Alpha', 'Baker' or 'Charlie'), or simply a recognized name (for example: 'Warehouse B' or 'Hanger 11').</t>
  </si>
  <si>
    <t>TXR</t>
  </si>
  <si>
    <t>taxiwayRemarks</t>
  </si>
  <si>
    <t>Taxiway Remarks</t>
  </si>
  <si>
    <t>Remarks concerning the taxiway.</t>
  </si>
  <si>
    <t>TXP</t>
  </si>
  <si>
    <t>taxiwayType</t>
  </si>
  <si>
    <t>Taxiway Type</t>
  </si>
  <si>
    <t>The type of an aircraft taxiway based on its connectivity to other aerodrome ground surfaces.</t>
  </si>
  <si>
    <t>TaxiwayTypeCode</t>
  </si>
  <si>
    <t>TMR</t>
  </si>
  <si>
    <t>telecomManageRegionType</t>
  </si>
  <si>
    <t>Telecommunications Management Region Type</t>
  </si>
  <si>
    <t>The type of a telecommunications management region based on the nature of the management asserted (for example: assignment of blocks of telephone numbers and provision of services).</t>
  </si>
  <si>
    <t>TelecomManageRegionTypeCode</t>
  </si>
  <si>
    <t>TEL</t>
  </si>
  <si>
    <t>telescopeType</t>
  </si>
  <si>
    <t>Telescope Type</t>
  </si>
  <si>
    <t>The type of a telescope based on its design, structure and/or intended use.</t>
  </si>
  <si>
    <t>TelescopeTypeCode</t>
  </si>
  <si>
    <t>TEP</t>
  </si>
  <si>
    <t>temperature</t>
  </si>
  <si>
    <t>Temperature</t>
  </si>
  <si>
    <t>The thermal energy (heat) of a substance.</t>
  </si>
  <si>
    <t>E07</t>
  </si>
  <si>
    <t>The temporal limits of the extent of the content of a resource.</t>
  </si>
  <si>
    <t>TemporalGeoPrimStrucText</t>
  </si>
  <si>
    <t>TOF</t>
  </si>
  <si>
    <t>temporaryOceanFront</t>
  </si>
  <si>
    <t>Temporary Oceanographic Front</t>
  </si>
  <si>
    <t>An indication that the location of an oceanographic boundary will remain within the same general area for at least 1 day and up to several weeks.</t>
  </si>
  <si>
    <t>TAA</t>
  </si>
  <si>
    <t>terminalArriveAltAreaType</t>
  </si>
  <si>
    <t>Terminal Arrival Altitude (TAA) Area Type</t>
  </si>
  <si>
    <t>The type of Terminal Arrival Altitude (TAA) area which is contained by an arc defined by the extension of the initial legs and the intermediate segment course based upon the arrangement of an Area Navigation (RNAV) procedure.</t>
  </si>
  <si>
    <t>TAAs are associated with an RNAV procedure based upon the 'T' or 'Y' Arrangement. The Basic T approach segment configuration is the standard configuration for transition from the en route to the terminal environment. The standard arrangement consists of three TAAs: straight-in, right and left base.</t>
  </si>
  <si>
    <t>TerminalArriveAltAreaTypeCode</t>
  </si>
  <si>
    <t>TPD</t>
  </si>
  <si>
    <t>termInstProcDesig</t>
  </si>
  <si>
    <t>Terminal Instrument Procedure Designator</t>
  </si>
  <si>
    <t>A unique encoded designator for the terminal instrument procedure.</t>
  </si>
  <si>
    <t>The designator is used primarily by automated flight management systems as a primary key to search for, select, portray, and fly while on automatic pilot. This is also used to encode the full identifier into a short string of characters so it may be selected from an on-screen list of available procedures, without the need for the pilot to have to scroll through what at times can be a lengthly list of terminal instrument procedure identifications.</t>
  </si>
  <si>
    <t>TermInstProcDesigStrucText</t>
  </si>
  <si>
    <t>TPI</t>
  </si>
  <si>
    <t>termInstProcIdent</t>
  </si>
  <si>
    <t>Terminal Instrument Procedure Identification</t>
  </si>
  <si>
    <t>The official identification of the terminal instrument procedure as established in accordance with the appropriate naming convention.</t>
  </si>
  <si>
    <t>Examples of the naming convention are specified in Procedures for Air Navigation Services - Aircraft Operations (PANS-OPS) Doc. 8168, Vol. 2, Part 1, Section 4, Chapter 9.</t>
  </si>
  <si>
    <t>TermInstProcIdentStrucText</t>
  </si>
  <si>
    <t>TPT</t>
  </si>
  <si>
    <t>termInstProcTransitionId</t>
  </si>
  <si>
    <t>Terminal Instrument Procedure Transition Identification</t>
  </si>
  <si>
    <t>The official identification of the flight procedure transition as established in accordance with the appropriate naming convention.</t>
  </si>
  <si>
    <t>TermInstProcTransitionIdStrucText</t>
  </si>
  <si>
    <t>TFT</t>
  </si>
  <si>
    <t>terrainFaceType</t>
  </si>
  <si>
    <t>Terrain Face Type</t>
  </si>
  <si>
    <t>The type of a steep terrain face based on its morphology and/or relationship to the surrounding area.</t>
  </si>
  <si>
    <t>TerrainFaceTypeCode</t>
  </si>
  <si>
    <t>WD3</t>
  </si>
  <si>
    <t>terrainGapWidth</t>
  </si>
  <si>
    <t>Terrain Gap Width</t>
  </si>
  <si>
    <t>The minimum horizontal bridging distance necessary to cross a channel.</t>
  </si>
  <si>
    <t>The width is measured perpendicular to the direction of water flow from bank to bank, at the first usable break in slope on each side of the channel above mean high water. Usable banks are those accessible by vehicles; small unusable ledges and cliffs are not considered usable breaks in slopes.</t>
  </si>
  <si>
    <t>Military Gap Width</t>
  </si>
  <si>
    <t>SRD</t>
  </si>
  <si>
    <t>terrainMorphology</t>
  </si>
  <si>
    <t>Terrain Morphology</t>
  </si>
  <si>
    <t>The type of terrain morphology based on composition and/or configuration.</t>
  </si>
  <si>
    <t>Terrain morphology influences military operations such as mobility prediction, mining of construction materials, and identification of potential landing sites.</t>
  </si>
  <si>
    <t>TerrainMorphologyCode</t>
  </si>
  <si>
    <t>TSR</t>
  </si>
  <si>
    <t>terrainMorphologyDesc</t>
  </si>
  <si>
    <t>Terrain Morphology Description</t>
  </si>
  <si>
    <t>A description of any unique aspects of the terrain morphology.</t>
  </si>
  <si>
    <t>Used to expand on the use of Attribute: 'Terrain Morphology', especially when the required value is not one of the standard Terrain Morphology values.</t>
  </si>
  <si>
    <t>TSM</t>
  </si>
  <si>
    <t>terrainSurfaceMaterial</t>
  </si>
  <si>
    <t>Terrain Surface Material</t>
  </si>
  <si>
    <t>The type(s) of material that compose the surface layer of the terrain.</t>
  </si>
  <si>
    <t>TerrainSurfaceMaterialCode</t>
  </si>
  <si>
    <t>M40</t>
  </si>
  <si>
    <t>locale</t>
  </si>
  <si>
    <t>Text Locale</t>
  </si>
  <si>
    <t>The locale with respect to which a localized character string is expressed.</t>
  </si>
  <si>
    <t>Specified by a combination of language, potentially a country, and a character encoding (character set).</t>
  </si>
  <si>
    <t>THD</t>
  </si>
  <si>
    <t>thermalDifference</t>
  </si>
  <si>
    <t>Thermal Difference</t>
  </si>
  <si>
    <t>The difference in temperature between two adjacent water masses.</t>
  </si>
  <si>
    <t>M23</t>
  </si>
  <si>
    <t>thesaurusName</t>
  </si>
  <si>
    <t>Thesaurus Name</t>
  </si>
  <si>
    <t>The name of a formally registered thesaurus or a similar authoritative source of keywords.</t>
  </si>
  <si>
    <t>THI</t>
  </si>
  <si>
    <t>thickness</t>
  </si>
  <si>
    <t>Thickness</t>
  </si>
  <si>
    <t>The distance between the two opposite surfaces of an object, usually the distance of smallest measure.</t>
  </si>
  <si>
    <t>The third dimension of an object, distinct from length and width (breadth).</t>
  </si>
  <si>
    <t>TCW</t>
  </si>
  <si>
    <t>thresholdCourseWidth</t>
  </si>
  <si>
    <t>Threshold Course Width</t>
  </si>
  <si>
    <t>The width of the final approach course at the Landing Threshold Point (LTP).</t>
  </si>
  <si>
    <t>This width, in conjunction with the location of the Flight Path Alignment Point (FPAP) defines the sensitivity of the lateral deviations throughout the approach. The value ranges between 80.00 and143.75 metres, inclusive, in steps of 0.25 metre.</t>
  </si>
  <si>
    <t>TCH</t>
  </si>
  <si>
    <t>thresholdCrossingHeight</t>
  </si>
  <si>
    <t>Threshold Crossing Height (TCH)</t>
  </si>
  <si>
    <t>The height above the runway threshold at which the computed glide path crosses the threshold.</t>
  </si>
  <si>
    <t>Reference Datum Height (RDH), TCH</t>
  </si>
  <si>
    <t>THR</t>
  </si>
  <si>
    <t>throughRoute</t>
  </si>
  <si>
    <t>Through Route</t>
  </si>
  <si>
    <t>An indication that a ground transportation route (for example: road, cart track or trail) is the most direct way through (both into and then out of) a built-up area or populated place.</t>
  </si>
  <si>
    <t>Routes may branch off of the main through route providing an alternate through route out of the built-up area or populated place. The direct or alternate ways through a built-up area or populated place may consist of the quickest or shortest route. A through route may have devices (for example: traffic lights) to control traffic flow.</t>
  </si>
  <si>
    <t>TAF</t>
  </si>
  <si>
    <t>thrustAugmentFluidType</t>
  </si>
  <si>
    <t>Thrust Augmentation Fluid Type</t>
  </si>
  <si>
    <t>The type(s) of special power boost fluids available for injecting into the airflow of the aircraft engine to increase power output.</t>
  </si>
  <si>
    <t>Starting Fluid</t>
  </si>
  <si>
    <t>ThrustAugmentFluidTypeCode</t>
  </si>
  <si>
    <t>D40</t>
  </si>
  <si>
    <t>tidalCurDirect</t>
  </si>
  <si>
    <t>Tidal Current Direction</t>
  </si>
  <si>
    <t>The tidal current direction at the time of the tide reference level.</t>
  </si>
  <si>
    <t>Typically used together with Attribute: 'Reference Water Level' to specify the tide reference level.</t>
  </si>
  <si>
    <t>RealNonNeg359</t>
  </si>
  <si>
    <t>D41</t>
  </si>
  <si>
    <t>tidalCurDirect1HrAfter</t>
  </si>
  <si>
    <t>Tidal Current Direction 1 Hour After</t>
  </si>
  <si>
    <t>The tidal current direction 1 hour after the tide reference level.</t>
  </si>
  <si>
    <t>Typically used together with Attribute: 'Reference Water Level' to specify the tide reference level from which the time offset is specified.</t>
  </si>
  <si>
    <t>D39</t>
  </si>
  <si>
    <t>tidalCurDirect1HrBefore</t>
  </si>
  <si>
    <t>Tidal Current Direction 1 Hour Before</t>
  </si>
  <si>
    <t>The tidal current direction 1 hour before the tide reference level.</t>
  </si>
  <si>
    <t>D42</t>
  </si>
  <si>
    <t>tidalCurDirect2HrsAfter</t>
  </si>
  <si>
    <t>Tidal Current Direction 2 Hours After</t>
  </si>
  <si>
    <t>The tidal current direction 2 hours after the tide reference level.</t>
  </si>
  <si>
    <t>D38</t>
  </si>
  <si>
    <t>tidalCurDirect2HrsBefore</t>
  </si>
  <si>
    <t>Tidal Current Direction 2 Hours Before</t>
  </si>
  <si>
    <t>The tidal current direction 2 hours before the tide reference level.</t>
  </si>
  <si>
    <t>D43</t>
  </si>
  <si>
    <t>tidalCurDirect3HrsAfter</t>
  </si>
  <si>
    <t>Tidal Current Direction 3 Hours After</t>
  </si>
  <si>
    <t>The tidal current direction 3 hours after the tide reference level.</t>
  </si>
  <si>
    <t>D37</t>
  </si>
  <si>
    <t>tidalCurDirect3HrsBefore</t>
  </si>
  <si>
    <t>Tidal Current Direction 3 Hours Before</t>
  </si>
  <si>
    <t>The tidal current direction 3 hours before the tide reference level.</t>
  </si>
  <si>
    <t>D44</t>
  </si>
  <si>
    <t>tidalCurDirect4HrsAfter</t>
  </si>
  <si>
    <t>Tidal Current Direction 4 Hours After</t>
  </si>
  <si>
    <t>The tidal current direction 4 hours after the tide reference level.</t>
  </si>
  <si>
    <t>D36</t>
  </si>
  <si>
    <t>tidalCurDirect4HrsBefore</t>
  </si>
  <si>
    <t>Tidal Current Direction 4 Hours Before</t>
  </si>
  <si>
    <t>The tidal current direction 4 hours before the tide reference level.</t>
  </si>
  <si>
    <t>D45</t>
  </si>
  <si>
    <t>tidalCurDirect5HrsAfter</t>
  </si>
  <si>
    <t>Tidal Current Direction 5 Hours After</t>
  </si>
  <si>
    <t>The tidal current direction 5 hours after the tide reference level.</t>
  </si>
  <si>
    <t>D35</t>
  </si>
  <si>
    <t>tidalCurDirect5HrsBefore</t>
  </si>
  <si>
    <t>Tidal Current Direction 5 Hours Before</t>
  </si>
  <si>
    <t>The tidal current direction 5 hours before the tide reference level.</t>
  </si>
  <si>
    <t>D46</t>
  </si>
  <si>
    <t>tidalCurDirect6HrsAfter</t>
  </si>
  <si>
    <t>Tidal Current Direction 6 Hours After</t>
  </si>
  <si>
    <t>The tidal current direction 6 hours after the tide reference level.</t>
  </si>
  <si>
    <t>C40</t>
  </si>
  <si>
    <t>tidalCurSpeed</t>
  </si>
  <si>
    <t>Tidal Current Speed</t>
  </si>
  <si>
    <t>The tidal current speed at the time of the tide reference level.</t>
  </si>
  <si>
    <t>RealNonNegInterval</t>
  </si>
  <si>
    <t>C41</t>
  </si>
  <si>
    <t>tidalCurSpeed1HrAfter</t>
  </si>
  <si>
    <t>Tidal Current Speed 1 Hour After</t>
  </si>
  <si>
    <t>The tidal current speed 1 hour after the tide reference level.</t>
  </si>
  <si>
    <t>C39</t>
  </si>
  <si>
    <t>tidalCurSpeed1HrBefore</t>
  </si>
  <si>
    <t>Tidal Current Speed 1 Hour Before</t>
  </si>
  <si>
    <t>The tidal current speed 1 hour before the tide reference level.</t>
  </si>
  <si>
    <t>C42</t>
  </si>
  <si>
    <t>tidalCurSpeed2HrsAfter</t>
  </si>
  <si>
    <t>Tidal Current Speed 2 Hours After</t>
  </si>
  <si>
    <t>The tidal current speed 2 hours after the tide reference level.</t>
  </si>
  <si>
    <t>C38</t>
  </si>
  <si>
    <t>tidalCurSpeed2HrsBefore</t>
  </si>
  <si>
    <t>Tidal Current Speed 2 Hours Before</t>
  </si>
  <si>
    <t>The tidal current speed 2 hours before the tide reference level.</t>
  </si>
  <si>
    <t>C43</t>
  </si>
  <si>
    <t>tidalCurSpeed3HrsAfter</t>
  </si>
  <si>
    <t>Tidal Current Speed 3 Hours After</t>
  </si>
  <si>
    <t>The tidal current speed 3 hours after the tide reference level.</t>
  </si>
  <si>
    <t>C37</t>
  </si>
  <si>
    <t>tidalCurSpeed3HrsBefore</t>
  </si>
  <si>
    <t>Tidal Current Speed 3 Hours Before</t>
  </si>
  <si>
    <t>The tidal current speed 3 hours before the tide reference level.</t>
  </si>
  <si>
    <t>C44</t>
  </si>
  <si>
    <t>tidalCurSpeed4HrsAfter</t>
  </si>
  <si>
    <t>Tidal Current Speed 4 Hours After</t>
  </si>
  <si>
    <t>The tidal current speed 4 hours after the tide reference level.</t>
  </si>
  <si>
    <t>C36</t>
  </si>
  <si>
    <t>tidalCurSpeed4HrsBefore</t>
  </si>
  <si>
    <t>Tidal Current Speed 4 Hours Before</t>
  </si>
  <si>
    <t>The tidal current speed 4 hours before the tide reference level.</t>
  </si>
  <si>
    <t>C45</t>
  </si>
  <si>
    <t>tidalCurSpeed5HrsAfter</t>
  </si>
  <si>
    <t>Tidal Current Speed 5 Hours After</t>
  </si>
  <si>
    <t>The tidal current speed 5 hours after the tide reference level.</t>
  </si>
  <si>
    <t>C35</t>
  </si>
  <si>
    <t>tidalCurSpeed5HrsBefore</t>
  </si>
  <si>
    <t>Tidal Current Speed 5 Hours Before</t>
  </si>
  <si>
    <t>The tidal current speed 5 hours before the tide reference level.</t>
  </si>
  <si>
    <t>C46</t>
  </si>
  <si>
    <t>tidalCurSpeed6HrsAfter</t>
  </si>
  <si>
    <t>Tidal Current Speed 6 Hours After</t>
  </si>
  <si>
    <t>The tidal current speed 6 hours after the tide reference level.</t>
  </si>
  <si>
    <t>TID</t>
  </si>
  <si>
    <t>tideInfluenced</t>
  </si>
  <si>
    <t>Tide Influenced</t>
  </si>
  <si>
    <t>An indication that a waterbody is affected by the tide.</t>
  </si>
  <si>
    <t>TTY</t>
  </si>
  <si>
    <t>tombType</t>
  </si>
  <si>
    <t>Tomb Type</t>
  </si>
  <si>
    <t>The type of structure within which a corpse is entombed based on its method of construction, location, and/or occupancy.</t>
  </si>
  <si>
    <t>TombTypeCode</t>
  </si>
  <si>
    <t>TNG</t>
  </si>
  <si>
    <t>tonnage</t>
  </si>
  <si>
    <t>Tonnage</t>
  </si>
  <si>
    <t>Tonnage of a sunken or stranded wreck, a hulk, or other vessel.</t>
  </si>
  <si>
    <t>Reference STANAG 3715.</t>
  </si>
  <si>
    <t>M19</t>
  </si>
  <si>
    <t>topicCategory</t>
  </si>
  <si>
    <t>Topic Category</t>
  </si>
  <si>
    <t>A thematic topic keyword describing the content of a resource.</t>
  </si>
  <si>
    <t>MD_TopicCategoryCode</t>
  </si>
  <si>
    <t>TZP</t>
  </si>
  <si>
    <t>topmarkShape</t>
  </si>
  <si>
    <t>Topmark Shape</t>
  </si>
  <si>
    <t>The characteristic topmark or daymark shape attached to a maritime aid to navigation to aid identification.</t>
  </si>
  <si>
    <t>May be secured at the top of a buoy or beacon.</t>
  </si>
  <si>
    <t>TopmarkShapeCode</t>
  </si>
  <si>
    <t>TDS</t>
  </si>
  <si>
    <t>totalDissolvedSolids</t>
  </si>
  <si>
    <t>Total Dissolved Solids</t>
  </si>
  <si>
    <t>The total mass of dissolved inorganic chemical constituents per volume of solution.</t>
  </si>
  <si>
    <t>TLD</t>
  </si>
  <si>
    <t>touchdownLiftOffAreaDesig</t>
  </si>
  <si>
    <t>Touchdown and Lift-off Area (TLOF) Designator</t>
  </si>
  <si>
    <t>The designator of the Touchdown and Lift-off Area (TLOF) that is used to uniquely identify it at an aerodrome.</t>
  </si>
  <si>
    <t>TextNonLex16</t>
  </si>
  <si>
    <t>TZE</t>
  </si>
  <si>
    <t>touchdownZoneElevation</t>
  </si>
  <si>
    <t>Touchdown Zone (TDZ) Elevation</t>
  </si>
  <si>
    <t>The value of the highest elevation of the runway Touchdown Zone (TDZ).</t>
  </si>
  <si>
    <t>The Touchdown zone is the portion of a runway, beyond the threshold, intended as the first point of contact between landing aircraft and the runway. 1. For fixed wing aircraft the touchdown zone extends from the threshold for a longitudinal distance of 900 metres, except that on runways less than 1800 metres in length, the touchdown zone shall be shortened so that it does not extend beyond the midpoint of the runway. 2. For rotary-wing and vectored-thrust aircraft, the portion of the helipad or runway used for landing.</t>
  </si>
  <si>
    <t>TOA</t>
  </si>
  <si>
    <t>touristAttraction</t>
  </si>
  <si>
    <t>Tourist Attraction</t>
  </si>
  <si>
    <t>An indication that a feature is a regionally known landmark and/or place of interest where tourists visit, typically for its inherent or exhibited cultural value, historical significance, natural or architectural beauty, or amusement opportunities.</t>
  </si>
  <si>
    <t>TOS</t>
  </si>
  <si>
    <t>towerShape</t>
  </si>
  <si>
    <t>Tower Shape</t>
  </si>
  <si>
    <t>The general shape and/or structure of a tower.</t>
  </si>
  <si>
    <t>TowerShapeCode</t>
  </si>
  <si>
    <t>TTC</t>
  </si>
  <si>
    <t>towerType</t>
  </si>
  <si>
    <t>Tower Type</t>
  </si>
  <si>
    <t>The type of a tower based on its intended use(s).</t>
  </si>
  <si>
    <t>TowerTypeCode</t>
  </si>
  <si>
    <t>LTN</t>
  </si>
  <si>
    <t>trackOrLaneCount</t>
  </si>
  <si>
    <t>Track or Lane Count</t>
  </si>
  <si>
    <t>The total number of independent, parallel paths (for example: a railway track and/or a road lane) in both directions within a route.</t>
  </si>
  <si>
    <t>TRT</t>
  </si>
  <si>
    <t>trackType</t>
  </si>
  <si>
    <t>Track Type</t>
  </si>
  <si>
    <t>The type of function, configuration, and/or management of a railway track.</t>
  </si>
  <si>
    <t>TrackTypeCode</t>
  </si>
  <si>
    <t>TRF</t>
  </si>
  <si>
    <t>trafficFlow</t>
  </si>
  <si>
    <t>Traffic Flow</t>
  </si>
  <si>
    <t>The type of traffic flow on a maritime route based on direction, origin, and/or destination.</t>
  </si>
  <si>
    <t>TrafficFlowCode</t>
  </si>
  <si>
    <t>TMY</t>
  </si>
  <si>
    <t>trafficMonitorType</t>
  </si>
  <si>
    <t>Traffic Monitor Type</t>
  </si>
  <si>
    <t>The type(s) of device(s) used to collect information regarding vehicular and/or pedestrian traffic.</t>
  </si>
  <si>
    <t>Such devices can collect, and through automatic analysis derive, traffic information such as volume, speed, inter-vehicular gap and vehicle classification.</t>
  </si>
  <si>
    <t>TrafficMonitorTypeCode</t>
  </si>
  <si>
    <t>SRE</t>
  </si>
  <si>
    <t>trafficRestrictionType</t>
  </si>
  <si>
    <t>Traffic Restriction Type</t>
  </si>
  <si>
    <t>The reason for traffic restriction based on the nature of the route.</t>
  </si>
  <si>
    <t>TrafficRestrictionTypeCode</t>
  </si>
  <si>
    <t>TFN</t>
  </si>
  <si>
    <t>trainedAviatFirefighterCnt</t>
  </si>
  <si>
    <t>Trained Aviation Firefighter Count</t>
  </si>
  <si>
    <t>The number of firefighters that are specifically trained to combat the types of fires that may occur at an aerodrome.</t>
  </si>
  <si>
    <t>TNA</t>
  </si>
  <si>
    <t>transitionAltitude</t>
  </si>
  <si>
    <t>Transition Altitude</t>
  </si>
  <si>
    <t>The altitude at or below which the vertical position of an aircraft is controlled by reference to altitudes.</t>
  </si>
  <si>
    <t>TLV</t>
  </si>
  <si>
    <t>transitionLevel</t>
  </si>
  <si>
    <t>Transition Level</t>
  </si>
  <si>
    <t>The lowest flight level available for use above the transition altitude.</t>
  </si>
  <si>
    <t>TRM</t>
  </si>
  <si>
    <t>transliterationMethod</t>
  </si>
  <si>
    <t>Transliteration Method</t>
  </si>
  <si>
    <t>The method employed to transliterate a geographic name in non-Latin/non-Roman script into the corresponding Latin/Roman script.</t>
  </si>
  <si>
    <t>Transliteration is the process of transforming text from one script to another, usually based on phonetic equivalencies.</t>
  </si>
  <si>
    <t>TransliterationMethodStrucText</t>
  </si>
  <si>
    <t>DGC</t>
  </si>
  <si>
    <t>transportationBlockType</t>
  </si>
  <si>
    <t>Transportation Block Type</t>
  </si>
  <si>
    <t>The type of a transportation block based on its method of action.</t>
  </si>
  <si>
    <t>May be used as a means of subtyping Feature: 'Transportation Block'.</t>
  </si>
  <si>
    <t>TransportationBlockTypeCode</t>
  </si>
  <si>
    <t>TRP</t>
  </si>
  <si>
    <t>transRteProtStructType</t>
  </si>
  <si>
    <t>Transportation Route Protection Structure Type</t>
  </si>
  <si>
    <t>The type of a transportation route protection structure based on its configuration and/or intended purpose.</t>
  </si>
  <si>
    <t>TransRouteProtectShelterTypeCode</t>
  </si>
  <si>
    <t>TRS</t>
  </si>
  <si>
    <t>transportationSystemType</t>
  </si>
  <si>
    <t>Transportation System Type</t>
  </si>
  <si>
    <t>The type of a transportation system based on the type(s) of vehicles employed and/or the nature(s) of the objects transported.</t>
  </si>
  <si>
    <t>TransportationSystemTypeCode</t>
  </si>
  <si>
    <t>TSC</t>
  </si>
  <si>
    <t>treeSpacing</t>
  </si>
  <si>
    <t>Tree Spacing</t>
  </si>
  <si>
    <t>The average tree spacing between trees in a stand, determined from centre to centre of adjacent trees.</t>
  </si>
  <si>
    <t>THC</t>
  </si>
  <si>
    <t>tropicalHurricaneCategory</t>
  </si>
  <si>
    <t>Tropical Hurricane Category</t>
  </si>
  <si>
    <t>The category of a tropical hurricane based on its maximum sustained surface wind speed.</t>
  </si>
  <si>
    <t>TropicalHurricaneCategoryCode</t>
  </si>
  <si>
    <t>TBE</t>
  </si>
  <si>
    <t>trueBearing</t>
  </si>
  <si>
    <t>True Bearing</t>
  </si>
  <si>
    <t>The horizontal direction of an object or point measured clockwise from True North up to, but not including, 360 degrees.</t>
  </si>
  <si>
    <t>The Magnetic Bearing added to the Magnetic Variation equals the True Bearing.</t>
  </si>
  <si>
    <t>TBA</t>
  </si>
  <si>
    <t>trueBearingAcc</t>
  </si>
  <si>
    <t>True Bearing Accuracy</t>
  </si>
  <si>
    <t>The accuracy of the measured angle between the localizer beam and true north at the localizer antenna, as compared to the published accuracy.</t>
  </si>
  <si>
    <t>TR1</t>
  </si>
  <si>
    <t>trueTrack</t>
  </si>
  <si>
    <t>True Track</t>
  </si>
  <si>
    <t>The projection on the Earth's surface of the path of an aircraft, the direction of which path at any point is expressed in arc degrees from True North, as published by the appropriate authority.</t>
  </si>
  <si>
    <t>TAN</t>
  </si>
  <si>
    <t>tssAssocAidsToNavigation</t>
  </si>
  <si>
    <t>TSS-associated Aids to Navigation</t>
  </si>
  <si>
    <t>A description of marked navigational aids that are either associated with or supporting a maritime Traffic Separation Scheme (TSS).</t>
  </si>
  <si>
    <t>TND</t>
  </si>
  <si>
    <t>turnDirection</t>
  </si>
  <si>
    <t>Turn Direction</t>
  </si>
  <si>
    <t>The applicable direction of the aircraft turn.</t>
  </si>
  <si>
    <t>For example: left or right.</t>
  </si>
  <si>
    <t>TurnDirectionCode</t>
  </si>
  <si>
    <t>UCF</t>
  </si>
  <si>
    <t>usDodAircraftFuelContract</t>
  </si>
  <si>
    <t>U.S. Department of Defense Aircraft Fuelling Contract</t>
  </si>
  <si>
    <t>An indication that the fuel vendor for a specified fuel type holds a contract to provide fuel service to U.S. DoD aircraft.</t>
  </si>
  <si>
    <t>UHS</t>
  </si>
  <si>
    <t>uncoveringHeightKnown</t>
  </si>
  <si>
    <t>Uncovering Height Known</t>
  </si>
  <si>
    <t>An indication that information is known about the height to which a marine feature may be uncovered by the tide.</t>
  </si>
  <si>
    <t>UBC</t>
  </si>
  <si>
    <t>underbridgeClearance</t>
  </si>
  <si>
    <t>Underbridge Clearance</t>
  </si>
  <si>
    <t>Clearance below bridge, measured from the lowest surface level to the base of the lower of either a cross beam or the lowest bridge deck.</t>
  </si>
  <si>
    <t>UAO</t>
  </si>
  <si>
    <t>undergroundAccessOrient</t>
  </si>
  <si>
    <t>Underground Access Orientation</t>
  </si>
  <si>
    <t>The ground slope of the floor of the entrance at the point of access for an underground feature (for example: a cave, tunnel or underground extraction mine) as a category.</t>
  </si>
  <si>
    <t>UndergroundAccessOrientCode</t>
  </si>
  <si>
    <t>UMA</t>
  </si>
  <si>
    <t>undergroundMineAccess</t>
  </si>
  <si>
    <t>Underground Mine Access</t>
  </si>
  <si>
    <t>The means by which an underground mine is accessed from the surface.</t>
  </si>
  <si>
    <t>For example, by a tunnel or a shaft.</t>
  </si>
  <si>
    <t>UndergroundMineAccessCode</t>
  </si>
  <si>
    <t>USF</t>
  </si>
  <si>
    <t>undergndStorageFormType</t>
  </si>
  <si>
    <t>Underground Storage Formation Type</t>
  </si>
  <si>
    <t>The type of an underground storage formation based on its geologic structure.</t>
  </si>
  <si>
    <t>UndergndStorageFormTypeCode</t>
  </si>
  <si>
    <t>DMB</t>
  </si>
  <si>
    <t>undergrowthDensity</t>
  </si>
  <si>
    <t>Undergrowth Density</t>
  </si>
  <si>
    <t>The fraction of land within a defined area that is covered by undergrowth (for example: scrub, brush, and/or bush).</t>
  </si>
  <si>
    <t>UDQ</t>
  </si>
  <si>
    <t>underwaterDelineationQuality</t>
  </si>
  <si>
    <t>Underwater Delineation Quality</t>
  </si>
  <si>
    <t>The delineation quality of an underwater feature that is derived from overhead imagery (for example; airborne or satellite remote sensing imagery), as a category.</t>
  </si>
  <si>
    <t>Water column characteristics and other environmental factors (for example: water surface roughness or sun glint) will degrade the accuracy of the delineated extent of features.</t>
  </si>
  <si>
    <t>UnderwaterDelineationQualityCode</t>
  </si>
  <si>
    <t>LRC</t>
  </si>
  <si>
    <t>logisticsPlanReportCode</t>
  </si>
  <si>
    <t>Unified Command Logistics Planning and Reporting Code</t>
  </si>
  <si>
    <t>An encoded identifier, based on the U.S. Unified Command Plan, that is used to denote regions of the world in which logistics planning information may be categorised.</t>
  </si>
  <si>
    <t>Logistics planning and reporting codes generally follow the geographical boundaries outlined in the current version of the U.S. Unified Command Plan (UCP). See Chairman of the Joint Chiefs of Staff Manual (CJCSM) 3150.15B.</t>
  </si>
  <si>
    <t>LogisticsPlanReportCodeStrucText</t>
  </si>
  <si>
    <t>UFI</t>
  </si>
  <si>
    <t>uniqueEntityIdentifier</t>
  </si>
  <si>
    <t>Unique Entity Identifier</t>
  </si>
  <si>
    <t>The globally unique and persistent identifier of an entity (for example: feature or event) instance as specified by a Uniform Resource Name (URN) in accordance with the Internet Engineering Task Force (IETF) RFC2396 and RFC2141.</t>
  </si>
  <si>
    <t>It is based on the Uniform Resource Identifier (URI), a compact string of characters for identifying an abstract or physical resource. The term 'Uniform Resource Name' (URN) refers to the subset of URI that are required to remain globally unique and persistent even when the resource ceases to exist or becomes unavailable. The URN is drawn from one of a set of defined namespaces, each of which has its own set name structure and assignment procedures.</t>
  </si>
  <si>
    <t>UniqueFeatureIdentifierStrucText</t>
  </si>
  <si>
    <t>URI</t>
  </si>
  <si>
    <t>uniqueResourceIdentifier</t>
  </si>
  <si>
    <t>Unique Resource Identifier</t>
  </si>
  <si>
    <t>The globally unique and persistent identifier of a resource (for example: a dataset or a service) instance as specified by a Uniform Resource Identifier (URI) in accordance with the Internet Engineering Task Force (IETF) RFC2396.</t>
  </si>
  <si>
    <t>UniqueResourceIdentifierStrucText</t>
  </si>
  <si>
    <t>LNU</t>
  </si>
  <si>
    <t>usableLength</t>
  </si>
  <si>
    <t>Usable Length</t>
  </si>
  <si>
    <t>The interior length of a structure (for example: an aircraft bunker or a lock).</t>
  </si>
  <si>
    <t>The length is taken along the primary alignment of the structure. If the structure is irregular in shape the length is along its greatest horizontal dimension, else if the structure is regular in shape then a shape-specific rule may apply: for a rectangular structure, the length of the longer axis; for a round structure, the diameter.</t>
  </si>
  <si>
    <t>WDU</t>
  </si>
  <si>
    <t>usableWidth</t>
  </si>
  <si>
    <t>Usable Width</t>
  </si>
  <si>
    <t>The interior width of a structure.</t>
  </si>
  <si>
    <t>For example, an aircraft bunker or a lock.</t>
  </si>
  <si>
    <t>UTO</t>
  </si>
  <si>
    <t>utcOffset</t>
  </si>
  <si>
    <t>UTC Offset</t>
  </si>
  <si>
    <t>The number of hours to be added or subtracted from Coordinated Universal Time (UTC) to obtain local standard time.</t>
  </si>
  <si>
    <t>VEG</t>
  </si>
  <si>
    <t>vegetationCharacteristic</t>
  </si>
  <si>
    <t>Vegetation Characteristic</t>
  </si>
  <si>
    <t>The type of a vegetated area based on species, biome, physiography and/or structural organization.</t>
  </si>
  <si>
    <t>VegetationCharacteristicCode</t>
  </si>
  <si>
    <t>VDE</t>
  </si>
  <si>
    <t>vegetationDensityEval</t>
  </si>
  <si>
    <t>Vegetation Density Evaluation</t>
  </si>
  <si>
    <t>A subjective evaluation of the concentration of spatial coverage and/or density of vegetation (for example: along a waterbody bank).</t>
  </si>
  <si>
    <t>VGP</t>
  </si>
  <si>
    <t>vegetationPresent</t>
  </si>
  <si>
    <t>Vegetation Present</t>
  </si>
  <si>
    <t>An indication that an area contains vegetation.</t>
  </si>
  <si>
    <t>For example, a land area is occupied by scattered scrub or covered by grasses, or a waterbody area is occupied by clumps of reeds or covered by water hyacinth.</t>
  </si>
  <si>
    <t>VSP</t>
  </si>
  <si>
    <t>vegetationSpecies</t>
  </si>
  <si>
    <t>Vegetation Species</t>
  </si>
  <si>
    <t>The predominant species of a tract of vegetation.</t>
  </si>
  <si>
    <t>VegetationSpeciesCode</t>
  </si>
  <si>
    <t>VTI</t>
  </si>
  <si>
    <t>vegetationTrafficImpact</t>
  </si>
  <si>
    <t>Vegetation Trafficability Impact</t>
  </si>
  <si>
    <t>The degree of impact of vegetation on trafficability, based on the percent trafficability reduction from a smooth, vegetation-free terrain surface (zero percent reduction).</t>
  </si>
  <si>
    <t>Vegetation reduces trafficability by requiring that either it must be 'overridden' (for example: scrub by a battle tank) or bypassed (for example: orchard trees by an infantryman).</t>
  </si>
  <si>
    <t>VEC</t>
  </si>
  <si>
    <t>vehicleCapacity</t>
  </si>
  <si>
    <t>Vehicle Capacity</t>
  </si>
  <si>
    <t>The number of vehicles that a feature can accommodate.</t>
  </si>
  <si>
    <t>VMM</t>
  </si>
  <si>
    <t>vehicleMakeModel</t>
  </si>
  <si>
    <t>Vehicle Make and Model</t>
  </si>
  <si>
    <t>The marketing brand of a vehicle as established by its manufacturer.</t>
  </si>
  <si>
    <t>VST</t>
  </si>
  <si>
    <t>vehicleScaleCount</t>
  </si>
  <si>
    <t>Vehicle Scale Count</t>
  </si>
  <si>
    <t>The number of vehicle scales at a weigh station.</t>
  </si>
  <si>
    <t>A weigh station is a building and associated equipment that is used to inspect and weigh motor vehicles. It is located adjacent to a road and used to enforce a variety of motor vehicle safety regulations. Motor vehicles may be weighed by driving them onto a platform.</t>
  </si>
  <si>
    <t>VET</t>
  </si>
  <si>
    <t>vehicleType</t>
  </si>
  <si>
    <t>Vehicle Type</t>
  </si>
  <si>
    <t>The type of a vehicle based on its use and/or mode of propulsion.</t>
  </si>
  <si>
    <t>VehicleTypeCode</t>
  </si>
  <si>
    <t>VLI</t>
  </si>
  <si>
    <t>verticalAlarmLimit</t>
  </si>
  <si>
    <t>Vertical Alarm Limit</t>
  </si>
  <si>
    <t>Half the length of a segment on the vertical axis (perpendicular to the horizontal plane of WGS-84 ellipsoid), which represents the maximum acceptable magnitude of error introduced by the navigation system, and yet still be usable for precision approach operations.</t>
  </si>
  <si>
    <t>VCD</t>
  </si>
  <si>
    <t>verticalClearanceRef</t>
  </si>
  <si>
    <t>Vertical Clearance Reference</t>
  </si>
  <si>
    <t>The reference water level from which the safe vertical clearance is measured, if the clearance is measured from a body of water.</t>
  </si>
  <si>
    <t>VertClearRefCode</t>
  </si>
  <si>
    <t>VCR</t>
  </si>
  <si>
    <t>verticalClearanceRemark</t>
  </si>
  <si>
    <t>Vertical Clearance Remark</t>
  </si>
  <si>
    <t>Information pertaining to ensuring safe vertical clearance for vessels passing under potential overhead obstacles (for example: a bridge).</t>
  </si>
  <si>
    <t>For example, may state the local sounding datum or reference water level from which overhead clearance is specified on charts.</t>
  </si>
  <si>
    <t>VCS</t>
  </si>
  <si>
    <t>verticalClearanceSafe</t>
  </si>
  <si>
    <t>Vertical Clearance, Safe</t>
  </si>
  <si>
    <t>The safe vertical clearance of an object measured from the horizontal plane toward the object overhead.</t>
  </si>
  <si>
    <t>VCM</t>
  </si>
  <si>
    <t>verticalConstMaterial</t>
  </si>
  <si>
    <t>Vertical Construction Material</t>
  </si>
  <si>
    <t>The type(s) of material that compose the load-bearing structure and/or exterior facing of a vertical construction (for example: a building or non-building structure).</t>
  </si>
  <si>
    <t>VerticalConstMaterialCode</t>
  </si>
  <si>
    <t>VDT</t>
  </si>
  <si>
    <t>vertDatum</t>
  </si>
  <si>
    <t>verticalDatum</t>
  </si>
  <si>
    <t>Vertical Datum</t>
  </si>
  <si>
    <t>A reference surface with respect to which elevations and/or depths are specified.</t>
  </si>
  <si>
    <t>The values of elevation (or sometimes equivalently, height) and depth are determined along the direction of the reference surface normal.</t>
  </si>
  <si>
    <t>VerticalDatumCodeList</t>
  </si>
  <si>
    <t>VDN</t>
  </si>
  <si>
    <t>verticalDatumName</t>
  </si>
  <si>
    <t>Vertical Datum Name</t>
  </si>
  <si>
    <t>The set of reference points or a mathematical model of the Earth's surface (a datum) against which vertical position measurements are made as basis for measuring elevations.</t>
  </si>
  <si>
    <t>For example, 'AMSTERDAM GAUGE', 'NEWLYN', 'WGS84', 'MSL', 'AGL', etc. A datum is a mathematical model (for example: ellipsoid) or reference point, of the earth from a geometric, geodetic, and gravitational point of view built on the scientific and technological knowledge available at the moment.</t>
  </si>
  <si>
    <t>DRV</t>
  </si>
  <si>
    <t>verticalDistanceReference</t>
  </si>
  <si>
    <t>Vertical Distance Reference</t>
  </si>
  <si>
    <t>The reference system for determining a vertical distance.</t>
  </si>
  <si>
    <t>Two series of values exist: 1. real distance from either GND, MSL, or the WGS-84 ellipsoid; 2. pressure distance.</t>
  </si>
  <si>
    <t>VerticalDistanceReferenceCode</t>
  </si>
  <si>
    <t>E09</t>
  </si>
  <si>
    <t>maximumValue</t>
  </si>
  <si>
    <t>Vertical Extent Maximum Value</t>
  </si>
  <si>
    <t>The highest vertical limit of a geospatial extent.</t>
  </si>
  <si>
    <t>E08</t>
  </si>
  <si>
    <t>minimumValue</t>
  </si>
  <si>
    <t>Vertical Extent Minimum Value</t>
  </si>
  <si>
    <t>The lowest vertical limit of a geospatial extent.</t>
  </si>
  <si>
    <t>VLL</t>
  </si>
  <si>
    <t>verticalLowerLimit</t>
  </si>
  <si>
    <t>Vertical Lower Limit</t>
  </si>
  <si>
    <t>The altitude, height or flight level of the bottom of the airspace, air route, or holding pattern.</t>
  </si>
  <si>
    <t>VOI</t>
  </si>
  <si>
    <t>verticalObstructionIdent</t>
  </si>
  <si>
    <t>Vertical Obstruction Identifier</t>
  </si>
  <si>
    <t>A unique identification code that identifies a feature that is a vertical obstruction to low-level flight.</t>
  </si>
  <si>
    <t>Although parts of the identifier include digits it can also consist of non-numeric characters.</t>
  </si>
  <si>
    <t>VerticalObstructionIdentStrucText</t>
  </si>
  <si>
    <t>VLO</t>
  </si>
  <si>
    <t>verticalOverrideLimit</t>
  </si>
  <si>
    <t>Vertical Override Limit</t>
  </si>
  <si>
    <t>The numerical value of an altitude that may be assigned by Air Traffic Control (ATC) when different from the relevant published value.</t>
  </si>
  <si>
    <t>LOC</t>
  </si>
  <si>
    <t>verticalRelativeLocation</t>
  </si>
  <si>
    <t>Vertical Relative Location</t>
  </si>
  <si>
    <t>The relationship between the feature and the underlying ground (terrain) or waterbody bottom.</t>
  </si>
  <si>
    <t>VerticalRelativeLocationCode</t>
  </si>
  <si>
    <t>VSC</t>
  </si>
  <si>
    <t>verticalSourceCategory</t>
  </si>
  <si>
    <t>Vertical Source Category</t>
  </si>
  <si>
    <t>The type of dataset and associated process that was used to define the digital representation of the vertical coordinate values of the feature or data set.</t>
  </si>
  <si>
    <t>VerticalSourceCategoryCodeList</t>
  </si>
  <si>
    <t>VSD</t>
  </si>
  <si>
    <t>verticalSourceDateTime</t>
  </si>
  <si>
    <t>Vertical Source Date and Time</t>
  </si>
  <si>
    <t>The date and, optionally, time of collection of the data that was used to define the digital representation of the vertical coordinate values of the digital feature or data set.</t>
  </si>
  <si>
    <t>VertSourceDateTimeStrucText</t>
  </si>
  <si>
    <t>VSN</t>
  </si>
  <si>
    <t>verticalSourceDesc</t>
  </si>
  <si>
    <t>Vertical Source Description</t>
  </si>
  <si>
    <t>A description of the data that was used to define the digital representation of the vertical coordinate values of the digital feature or data set.</t>
  </si>
  <si>
    <t>VLU</t>
  </si>
  <si>
    <t>verticalUpperLimit</t>
  </si>
  <si>
    <t>Vertical Upper Limit</t>
  </si>
  <si>
    <t>The altitude, height or flight level of the top of the airspace, air route, or holding pattern.</t>
  </si>
  <si>
    <t>VBM</t>
  </si>
  <si>
    <t>vesselBoardingMethod</t>
  </si>
  <si>
    <t>Vessel Boarding Method</t>
  </si>
  <si>
    <t>The method by which a vessel was boarded.</t>
  </si>
  <si>
    <t>VesselBoardingMethodCode</t>
  </si>
  <si>
    <t>VEP</t>
  </si>
  <si>
    <t>vesselBoardingPoint</t>
  </si>
  <si>
    <t>Vessel Boarding Point</t>
  </si>
  <si>
    <t>The part of a vessel at which boarding was accomplished.</t>
  </si>
  <si>
    <t>VesselBoardingPointCode</t>
  </si>
  <si>
    <t>DCR</t>
  </si>
  <si>
    <t>vesselDraftCorrection</t>
  </si>
  <si>
    <t>Vessel Draft Correction</t>
  </si>
  <si>
    <t>An indication that a vessel draft correction has been applied.</t>
  </si>
  <si>
    <t>WKT</t>
  </si>
  <si>
    <t>vesselType</t>
  </si>
  <si>
    <t>Vessel Type</t>
  </si>
  <si>
    <t>The type of a vessel or vessel-like object based on size, shape, design, function and/or condition.</t>
  </si>
  <si>
    <t>May be used to characterize vessels that are functional, disused, hulks, or wrecked (reference STANAG 3715), as well as objects that may appear similar to a vessel from a distance.</t>
  </si>
  <si>
    <t>VesselTypeCode</t>
  </si>
  <si>
    <t>VTY</t>
  </si>
  <si>
    <t>vorBeaconType</t>
  </si>
  <si>
    <t>VHF Omnidirectional Radio Beacon (VOR) Type</t>
  </si>
  <si>
    <t>The type of VHF Omnidirectional Radio Beacon (VOR) based on its unique equipment.</t>
  </si>
  <si>
    <t>For example: conventional VOR or Doppler VOR.</t>
  </si>
  <si>
    <t>VorBeaconTypeCode</t>
  </si>
  <si>
    <t>VIA</t>
  </si>
  <si>
    <t>victimAbducteeCount</t>
  </si>
  <si>
    <t>Victim Abductee Count</t>
  </si>
  <si>
    <t>The number of victim individuals abducted as the result of an aggressive act.</t>
  </si>
  <si>
    <t>VIF</t>
  </si>
  <si>
    <t>victimFatalityCount</t>
  </si>
  <si>
    <t>Victim Fatality Count</t>
  </si>
  <si>
    <t>The number of victim individuals killed as the result of an aggressive act.</t>
  </si>
  <si>
    <t>VVN</t>
  </si>
  <si>
    <t>victimVesselName</t>
  </si>
  <si>
    <t>Victim Vessel Name</t>
  </si>
  <si>
    <t>The name of a vessel targeted by an aggressive act.</t>
  </si>
  <si>
    <t>VVO</t>
  </si>
  <si>
    <t>victimVesselOutcome</t>
  </si>
  <si>
    <t>Victim Vessel Outcome</t>
  </si>
  <si>
    <t>The physical consequences to a vessel resulting from an aggressive act.</t>
  </si>
  <si>
    <t>VictimVesselOutcomeCode</t>
  </si>
  <si>
    <t>VVS</t>
  </si>
  <si>
    <t>victimVesselStatus</t>
  </si>
  <si>
    <t>Victim Vessel Status</t>
  </si>
  <si>
    <t>The operational status of a vessel at the time it was targeted by an aggressive act.</t>
  </si>
  <si>
    <t>VictimVesselStatusCode</t>
  </si>
  <si>
    <t>VVT</t>
  </si>
  <si>
    <t>victimVesselType</t>
  </si>
  <si>
    <t>Victim Vessel Type</t>
  </si>
  <si>
    <t>The type of a vessel based on size, shape, design, function and/or condition.</t>
  </si>
  <si>
    <t>VictimVesselTypeCode</t>
  </si>
  <si>
    <t>VS2</t>
  </si>
  <si>
    <t>vasisApproachSlope</t>
  </si>
  <si>
    <t>Visual Approach Slope Indicator System (VASIS) Approach Slope</t>
  </si>
  <si>
    <t>A descent angle determined for visual vertical guidance during the final approach.</t>
  </si>
  <si>
    <t>VS3</t>
  </si>
  <si>
    <t>vasisNumberUnits</t>
  </si>
  <si>
    <t>Visual Approach Slope Indicator System (VASIS) Number of Units</t>
  </si>
  <si>
    <t>The number of units that compose the visual approach slope indicator system.</t>
  </si>
  <si>
    <t>VS1</t>
  </si>
  <si>
    <t>vasisType</t>
  </si>
  <si>
    <t>Visual Approach Slope Indicator System (VASIS) Type</t>
  </si>
  <si>
    <t>The type of visual approach slope guidance system installed based on the number, color, and/or position of various components.</t>
  </si>
  <si>
    <t>VasisTypeCode</t>
  </si>
  <si>
    <t>VCA</t>
  </si>
  <si>
    <t>voidCollectionReason</t>
  </si>
  <si>
    <t>Void Collection Reason</t>
  </si>
  <si>
    <t>The reason(s) that geospatial data was not collected.</t>
  </si>
  <si>
    <t>VoidCollectionReasonCode</t>
  </si>
  <si>
    <t>VCT</t>
  </si>
  <si>
    <t>voidCollectionType</t>
  </si>
  <si>
    <t>Void Collection Type</t>
  </si>
  <si>
    <t>The type(s) of geospatial data that were not collected.</t>
  </si>
  <si>
    <t>VoidCollectionTypeCode</t>
  </si>
  <si>
    <t>VOA</t>
  </si>
  <si>
    <t>volcanicActivity</t>
  </si>
  <si>
    <t>Volcanic Activity</t>
  </si>
  <si>
    <t>The current level of activity of a volcano.</t>
  </si>
  <si>
    <t>VolcanicActivityCode</t>
  </si>
  <si>
    <t>FOE</t>
  </si>
  <si>
    <t>volcanicEruptionFrequency</t>
  </si>
  <si>
    <t>Volcanic Eruption Frequency</t>
  </si>
  <si>
    <t>The average interval between eruptions of a volcano based on the historical and geologic record.</t>
  </si>
  <si>
    <t>VEI</t>
  </si>
  <si>
    <t>volcanicExplosivityIndex</t>
  </si>
  <si>
    <t>Volcanic Explosivity Index</t>
  </si>
  <si>
    <t>The relative size of an explosive eruption, based on ejecta volume, rate, height, duration and related factors.</t>
  </si>
  <si>
    <t>The volcanic explosivity index correlates with the magnitude and/or intensity and/or destructiveness and/or (less frequently) dispersive power, violence, and energy release rate of the volcanic eruption. The VEI scale ranges from 0 to 8, where 0 denotes an eruption with a minimum of plume formation.</t>
  </si>
  <si>
    <t>VolcanicExplosivityIndexCode</t>
  </si>
  <si>
    <t>VGT</t>
  </si>
  <si>
    <t>volcanoShape</t>
  </si>
  <si>
    <t>Volcano Shape</t>
  </si>
  <si>
    <t>The classification by shape of a volcano.</t>
  </si>
  <si>
    <t>VolcanoShapeCode</t>
  </si>
  <si>
    <t>VLM</t>
  </si>
  <si>
    <t>The volume of a feature.</t>
  </si>
  <si>
    <t>For example, the storage capacity of a water tower.</t>
  </si>
  <si>
    <t>WTI</t>
  </si>
  <si>
    <t>wallType</t>
  </si>
  <si>
    <t>Wall Type</t>
  </si>
  <si>
    <t>The type of a wall based on structure and/or function.</t>
  </si>
  <si>
    <t>WallTypeCode</t>
  </si>
  <si>
    <t>WAC</t>
  </si>
  <si>
    <t>waterConductivity</t>
  </si>
  <si>
    <t>Water Conductivity</t>
  </si>
  <si>
    <t>The electrical conductivity of water.</t>
  </si>
  <si>
    <t>Electrical conductivity is the ease with which an electric current flows through a conductor per unit length.</t>
  </si>
  <si>
    <t>WCU</t>
  </si>
  <si>
    <t>waterCurrentSpeed</t>
  </si>
  <si>
    <t>Water Current Speed</t>
  </si>
  <si>
    <t>The average speed of a water current (for example: a tidal stream or an ocean current).</t>
  </si>
  <si>
    <t>HAR</t>
  </si>
  <si>
    <t>waterHardness</t>
  </si>
  <si>
    <t>Water Hardness</t>
  </si>
  <si>
    <t>The 'hardness' of a sample of water as determined by the combined mass of calcium carbonate and magnesium carbonate per volume of solution.</t>
  </si>
  <si>
    <t>Calcium and magnesium enter water mainly through the weathering of rocks. 'Hard' water has a high mineral content (in contrast with 'soft' water).</t>
  </si>
  <si>
    <t>WLE</t>
  </si>
  <si>
    <t>waterLevelEffect</t>
  </si>
  <si>
    <t>Water Level Effect</t>
  </si>
  <si>
    <t>The relationship between the feature and surrounding (including covering and/or underlying) water.</t>
  </si>
  <si>
    <t>WaterLevelEffectCode</t>
  </si>
  <si>
    <t>YWQ</t>
  </si>
  <si>
    <t>waterPotability</t>
  </si>
  <si>
    <t>Water Potability</t>
  </si>
  <si>
    <t>The potability of water based on the type of treatment required before it is safe for human consumption.</t>
  </si>
  <si>
    <t>WaterPotabilityCode</t>
  </si>
  <si>
    <t>WRT</t>
  </si>
  <si>
    <t>waterRaceType</t>
  </si>
  <si>
    <t>Water Race Type</t>
  </si>
  <si>
    <t>The type of a water race based on its structure and/or intended purpose.</t>
  </si>
  <si>
    <t>WaterRaceTypeCode</t>
  </si>
  <si>
    <t>WTD</t>
  </si>
  <si>
    <t>waterTableDepth</t>
  </si>
  <si>
    <t>Water Table Depth</t>
  </si>
  <si>
    <t>The average depth of the zone of soil saturation except where bounded by an impermeable body in which no water table exists.</t>
  </si>
  <si>
    <t>WTT</t>
  </si>
  <si>
    <t>waterTurbulenceType</t>
  </si>
  <si>
    <t>Water Turbulence Type</t>
  </si>
  <si>
    <t>The type of a water disturbance caused by the interaction of any combination of waves, currents, eddies, tidal streams, wind, shoals, and obstructions.</t>
  </si>
  <si>
    <t>May be used as a means of subtyping Feature: 'Water Turbulence'.</t>
  </si>
  <si>
    <t>WaterTurbulenceTypeCode</t>
  </si>
  <si>
    <t>SCC</t>
  </si>
  <si>
    <t>waterType</t>
  </si>
  <si>
    <t>Water Type</t>
  </si>
  <si>
    <t>The type of available water based on its composition.</t>
  </si>
  <si>
    <t>WaterTypeCode</t>
  </si>
  <si>
    <t>WUR</t>
  </si>
  <si>
    <t>waterUse</t>
  </si>
  <si>
    <t>Water Use</t>
  </si>
  <si>
    <t>The use(s) for which water is withdrawn or consumed from a source.</t>
  </si>
  <si>
    <t>Uses include, for example: domestic purposes, industrial processing, and irrigation.</t>
  </si>
  <si>
    <t>WaterUseCode</t>
  </si>
  <si>
    <t>WAD</t>
  </si>
  <si>
    <t>waterWellConstructionDesc</t>
  </si>
  <si>
    <t>Water Well Construction Description</t>
  </si>
  <si>
    <t>A narrative or other textual description of the screening, casing, and/or finishing of a water well.</t>
  </si>
  <si>
    <t>A well screen is system of mesh screening or holes designed to allow water to enter a well or borehole without undue loss of flow while excluding sand, silt, and other geologic material. A well casing is a tubular structure placed in the drilled hole to maintain the physical opening from the underground water source to the surface, and also to insulate the passage of water from either loss or pollution in the intervening strata. The casing extends above the surface and protects against surface contaminants entering the water supply by its height and some form of covering.</t>
  </si>
  <si>
    <t>WBH</t>
  </si>
  <si>
    <t>waterbodyBankHeight</t>
  </si>
  <si>
    <t>Waterbody Bank Height</t>
  </si>
  <si>
    <t>The height of the waterbody bank above the average water level.</t>
  </si>
  <si>
    <t>WVC</t>
  </si>
  <si>
    <t>waterbodyBankVegCover</t>
  </si>
  <si>
    <t>Waterbody Bank Vegetation Cover</t>
  </si>
  <si>
    <t>The fraction of vegetation cover on the bank of a watercourse.</t>
  </si>
  <si>
    <t>HTC</t>
  </si>
  <si>
    <t>waterbodyBottomCharacter</t>
  </si>
  <si>
    <t>Waterbody Bottom Characteristics</t>
  </si>
  <si>
    <t>A description of the waterbody bottom characteristics (for example: consistency, color, and/or composition).</t>
  </si>
  <si>
    <t>WaterbodyBottomCharacterCode</t>
  </si>
  <si>
    <t>HTB</t>
  </si>
  <si>
    <t>waterbodyBottomMorphDesc</t>
  </si>
  <si>
    <t>Waterbody Bottom Morphology Description</t>
  </si>
  <si>
    <t>A description of any unique aspects of the waterbody bottom morphology.</t>
  </si>
  <si>
    <t>WBD</t>
  </si>
  <si>
    <t>waterbodyDepth</t>
  </si>
  <si>
    <t>Waterbody Depth</t>
  </si>
  <si>
    <t>The distance, measured vertically upward, from the bottom of an inland waterbody to a reference level datum.</t>
  </si>
  <si>
    <t>SEA</t>
  </si>
  <si>
    <t>waterbodyMorphology</t>
  </si>
  <si>
    <t>Waterbody Morphology</t>
  </si>
  <si>
    <t>The shape and/or configuration of a waterbody as a whole or in a localized area.</t>
  </si>
  <si>
    <t>Generally used to describe relatively large bodies of water, for example those that are characterized by tidal conditions, swells, and/or high heavy wave action, whether containing fresh or salt water.</t>
  </si>
  <si>
    <t>WaterbodyMorphologyCode</t>
  </si>
  <si>
    <t>OWO</t>
  </si>
  <si>
    <t>waterbodyOverheadObstruct</t>
  </si>
  <si>
    <t>Waterbody Overhead Obstruction</t>
  </si>
  <si>
    <t>An indication that an object is an overhead obstruction over a navigable waterbody.</t>
  </si>
  <si>
    <t>WCC</t>
  </si>
  <si>
    <t>watercourseChannelType</t>
  </si>
  <si>
    <t>Watercourse Channel Type</t>
  </si>
  <si>
    <t>The type of trough-like depression that is normally occupied by a watercourse.</t>
  </si>
  <si>
    <t>WatercourseChannelTypeCode</t>
  </si>
  <si>
    <t>WMT</t>
  </si>
  <si>
    <t>watercourseMorphology</t>
  </si>
  <si>
    <t>Watercourse Morphology</t>
  </si>
  <si>
    <t>The type of a watercourse based on its shape and/or configuration.</t>
  </si>
  <si>
    <t>WatercourseMorphologyCode</t>
  </si>
  <si>
    <t>WST</t>
  </si>
  <si>
    <t>watercourseSinkType</t>
  </si>
  <si>
    <t>Watercourse Sink Type</t>
  </si>
  <si>
    <t>The type of the sink of a watercourse.</t>
  </si>
  <si>
    <t>WatercourseSinkTypeCode</t>
  </si>
  <si>
    <t>WPL</t>
  </si>
  <si>
    <t>wayPointClass</t>
  </si>
  <si>
    <t>Way-point Class</t>
  </si>
  <si>
    <t>An indication of whether the way-point is considered named or un-named.</t>
  </si>
  <si>
    <t>One distinguishing factor between a named way-point and an un-named way-point is whether or not an aircraft can use the way-point as a location reference to air traffic control.</t>
  </si>
  <si>
    <t>WayPointClassCode</t>
  </si>
  <si>
    <t>wayPointType</t>
  </si>
  <si>
    <t>Way-point Type</t>
  </si>
  <si>
    <t>A characteristic describing the aircraft's flight path when navigating by or over a waypoint.</t>
  </si>
  <si>
    <t>WayPointTypeCode</t>
  </si>
  <si>
    <t>WPU</t>
  </si>
  <si>
    <t>wayPointUsage</t>
  </si>
  <si>
    <t>Way-point Usage</t>
  </si>
  <si>
    <t>The intended use of a way-point within the defined limits of an airspace.</t>
  </si>
  <si>
    <t>For example, a free-flight way-point or a special use airspace entry or exit point.</t>
  </si>
  <si>
    <t>WayPointUsageCode</t>
  </si>
  <si>
    <t>FRT</t>
  </si>
  <si>
    <t>weaponsRangeType</t>
  </si>
  <si>
    <t>Weapons Range Type</t>
  </si>
  <si>
    <t>The type of a weapons range based on its intended use(s).</t>
  </si>
  <si>
    <t>WeaponsRangeTypeCode</t>
  </si>
  <si>
    <t>WEQ</t>
  </si>
  <si>
    <t>wellEquipment</t>
  </si>
  <si>
    <t>Well Equipment</t>
  </si>
  <si>
    <t>The type(s) of equipment attached to or adjacent to a wellbore.</t>
  </si>
  <si>
    <t>A wellbore is the openhole or uncased portion of a well.</t>
  </si>
  <si>
    <t>WellEquipmentCode</t>
  </si>
  <si>
    <t>WFT</t>
  </si>
  <si>
    <t>wellType</t>
  </si>
  <si>
    <t>Well Type</t>
  </si>
  <si>
    <t>The type of a well, generally based on method of construction.</t>
  </si>
  <si>
    <t>WellTypeCode</t>
  </si>
  <si>
    <t>WUT</t>
  </si>
  <si>
    <t>wellUseType</t>
  </si>
  <si>
    <t>Well Use Type</t>
  </si>
  <si>
    <t>The type of a well based on its intended use (the types of liquids and/or gases that are intended to be extracted).</t>
  </si>
  <si>
    <t>WellUseTypeCode</t>
  </si>
  <si>
    <t>WIM</t>
  </si>
  <si>
    <t>wellboreInjectionMaterial</t>
  </si>
  <si>
    <t>Wellbore Injection Material</t>
  </si>
  <si>
    <t>The type(s) of material that are pumped down a wellbore.</t>
  </si>
  <si>
    <t>Steam, carbon dioxide, water, and other substances can be injected into an oil-producing stratum in order to maintain reservoir pressure, heat the oil or lower its viscosity, thus allowing it to flow to a producing well nearby. Waste water may be injected into the ground between impermeable layers of rocks to avoid polluting fresh water supplies, or carbon dioxide similarly sequestered.</t>
  </si>
  <si>
    <t>WellboreInjectionMaterialCode</t>
  </si>
  <si>
    <t>WBS</t>
  </si>
  <si>
    <t>wellboreStatus</t>
  </si>
  <si>
    <t>Wellbore Status</t>
  </si>
  <si>
    <t>The operational status of a wellbore.</t>
  </si>
  <si>
    <t>For example: active, shut-in, or plugged.</t>
  </si>
  <si>
    <t>WellboreStatusCode</t>
  </si>
  <si>
    <t>E05</t>
  </si>
  <si>
    <t>westBoundLongitude</t>
  </si>
  <si>
    <t>Western Bounding Longitude</t>
  </si>
  <si>
    <t>The western-most coordinate of the limit of a geospatial extent.</t>
  </si>
  <si>
    <t>WSF</t>
  </si>
  <si>
    <t>wetlandType</t>
  </si>
  <si>
    <t>Wetland Type</t>
  </si>
  <si>
    <t>The type of a wetland on its hydrologic character, morphology and/or dominant vegetation.</t>
  </si>
  <si>
    <t>WetlandTypeCode</t>
  </si>
  <si>
    <t>WIB</t>
  </si>
  <si>
    <t>wideBerth</t>
  </si>
  <si>
    <t>Wide Berth</t>
  </si>
  <si>
    <t>An indication that wide berth should be given to a marine feature by nearby vessels.</t>
  </si>
  <si>
    <t>For example, the surrounding area may constitute an underwater hazard due to submerged equipment or should not be disturbed due to ongoing scientific investigation.</t>
  </si>
  <si>
    <t>WID</t>
  </si>
  <si>
    <t>width</t>
  </si>
  <si>
    <t>Width</t>
  </si>
  <si>
    <t>The dimension of a feature taken perpendicular to its primary alignment of use and generally in the horizontal plane.</t>
  </si>
  <si>
    <t>The primary alignment of a feature is its established direction of flow or use (for example: a road, a power line right-of-way, a river, rapid, and/or a bridge). A feature-specific rule may apply. In the case of a bridge, the width is the distance perpendicular to the bridge centre-line and generally in the horizontal plane. In the case of a dam, the width is the distance perpendicular to (across the) the dam crest. If no such direction of flow or use exists then (1) if the feature is irregular in shape its width is taken perpendicular to the direction of its greatest horizontal dimension (see Attribute: 'Greatest Horizontal Extent'), else (2) if the feature is regular in shape then a shape-specific rule may apply: for a rectangular feature, the length of the shorter axis; for a round feature, the diameter.</t>
  </si>
  <si>
    <t>WD5</t>
  </si>
  <si>
    <t>widthAtTop</t>
  </si>
  <si>
    <t>Width at Top</t>
  </si>
  <si>
    <t>The width at the top of a feature.</t>
  </si>
  <si>
    <t>WT2</t>
  </si>
  <si>
    <t>widthOfSecondTravelledWay</t>
  </si>
  <si>
    <t>Width of Second Travelled Way</t>
  </si>
  <si>
    <t>The width of a second travelled way that is the lesser width of the two travelled ways in a divided highway.</t>
  </si>
  <si>
    <t>WNT</t>
  </si>
  <si>
    <t>windDirectIndicatorType</t>
  </si>
  <si>
    <t>Wind Direction Indicator Type</t>
  </si>
  <si>
    <t>The type visual indicator located at the aerodrome showing the wind direction.</t>
  </si>
  <si>
    <t>WindDirectIndicatorTypeCode</t>
  </si>
  <si>
    <t>WCL</t>
  </si>
  <si>
    <t>winterCanopyCover</t>
  </si>
  <si>
    <t>Winter Canopy Cover</t>
  </si>
  <si>
    <t>The fraction of canopy cover within a defined area during the winter season.</t>
  </si>
  <si>
    <t>WIT</t>
  </si>
  <si>
    <t>wirelessTelecomType</t>
  </si>
  <si>
    <t>Wireless Telecommunication Type</t>
  </si>
  <si>
    <t>The type of a wireless telecommunication service based on the mechanism(s) of transmission and/or the nature of the communication(s) supported.</t>
  </si>
  <si>
    <t>For example, radio broadcast or mobile phone service.</t>
  </si>
  <si>
    <t>WirelessTelecomTypeCode</t>
  </si>
  <si>
    <t>WA1</t>
  </si>
  <si>
    <t>worldAeroChartIdentifier</t>
  </si>
  <si>
    <t>World Aeronautical Chart Identifier</t>
  </si>
  <si>
    <t>An identifier that is used to determine the World Aeronautical Chart (WAC) number of the region in which a given geographic point is included.</t>
  </si>
  <si>
    <t>WorldAeroChartIdentifierStrucText</t>
  </si>
  <si>
    <t>PIA</t>
  </si>
  <si>
    <t>worldPort</t>
  </si>
  <si>
    <t>World Port</t>
  </si>
  <si>
    <t>An indication that a port is in the World Port Index.</t>
  </si>
  <si>
    <t>WPI</t>
  </si>
  <si>
    <t>worldPortIndexIdentifier</t>
  </si>
  <si>
    <t>World Port Index Identifier</t>
  </si>
  <si>
    <t>The unique identifier element in the NGA World Port Index (Publication 150).</t>
  </si>
  <si>
    <t>The World Port Index lists all of the major shipping ports in the world, giving all the information (for example: latitude and longitude, facilities information, tidal data, and customs information) that a ship captain might need to prepare for a visit.</t>
  </si>
  <si>
    <t>KeyNonLex5</t>
  </si>
  <si>
    <t>WKN</t>
  </si>
  <si>
    <t>wreckName</t>
  </si>
  <si>
    <t>Wreck Name</t>
  </si>
  <si>
    <t>The registered name of a wrecked or sunken vessel.</t>
  </si>
  <si>
    <t>WLO</t>
  </si>
  <si>
    <t>wreckHulkExposure</t>
  </si>
  <si>
    <t>Wreck or Hulk Exposure</t>
  </si>
  <si>
    <t>The portion of a wreck or hulk that is persistently showing above the water surface.</t>
  </si>
  <si>
    <t>WreckHulkExposureCode</t>
  </si>
  <si>
    <t>Absolute Horizontal Accuracy Evaluation Method Code</t>
  </si>
  <si>
    <t>A coded domain value denoting an absolute horizontal accuracy evaluation method.</t>
  </si>
  <si>
    <t>Enumeration</t>
  </si>
  <si>
    <t>Absolute Vertical Accuracy Evaluation Method Code</t>
  </si>
  <si>
    <t>A coded domain value denoting an absolute vertical accuracy evaluation method.</t>
  </si>
  <si>
    <t>Accessibility Status Code</t>
  </si>
  <si>
    <t>A coded domain value denoting an accessibility status.</t>
  </si>
  <si>
    <t>Accessible Utility Type Code</t>
  </si>
  <si>
    <t>A coded domain value denoting an accessible utility type.</t>
  </si>
  <si>
    <t>Accomodation Type Code</t>
  </si>
  <si>
    <t>A coded domain value denoting an accomodation type.</t>
  </si>
  <si>
    <t>Activity Duration Structured Text</t>
  </si>
  <si>
    <t>A structured text value specifying an activity duration.</t>
  </si>
  <si>
    <t>StructuredText</t>
  </si>
  <si>
    <t>The realization of this StructuredText datatype is implementation-dependent.</t>
  </si>
  <si>
    <t>Formatted in accordance with ISO 8601:2000, 5.5.4.2.1, Basic format, 'Representation of time-interval by duration only' as 'PnYnMnDTnHnMnS' (for example: 'P2Y10M15DT10H30M20S' for a time-interval with a duration of two years, 10 months, 15 days, 10 hours, 30 minutes and 20 seconds).</t>
  </si>
  <si>
    <t>The location of the responsible person and/or organisation.</t>
  </si>
  <si>
    <t>Complex</t>
  </si>
  <si>
    <t>deliveryPoint</t>
  </si>
  <si>
    <t>Delivery Point</t>
  </si>
  <si>
    <t>The address line(s) for the location.</t>
  </si>
  <si>
    <t>As described in ISO 11180, Annex A.</t>
  </si>
  <si>
    <t>sequence</t>
  </si>
  <si>
    <t>city</t>
  </si>
  <si>
    <t>City</t>
  </si>
  <si>
    <t>The city of the location.</t>
  </si>
  <si>
    <t>0..1</t>
  </si>
  <si>
    <t>administrativeArea</t>
  </si>
  <si>
    <t>Administrative Area</t>
  </si>
  <si>
    <t>The administrative area (for example: state or province) of the location.</t>
  </si>
  <si>
    <t>postalCode</t>
  </si>
  <si>
    <t>Postal Code</t>
  </si>
  <si>
    <t>The (US) ZIP or other postal code.</t>
  </si>
  <si>
    <t>Country</t>
  </si>
  <si>
    <t>The country of the physical address.</t>
  </si>
  <si>
    <t>May use ISO 3166-3 (or other parts).</t>
  </si>
  <si>
    <t>electronicMailAddress</t>
  </si>
  <si>
    <t>Electronic Mail Address</t>
  </si>
  <si>
    <t>The address(es) of the electronic mailbox(es) of the responsible person and/or organisation.</t>
  </si>
  <si>
    <t>set</t>
  </si>
  <si>
    <t>Administrative Division Code</t>
  </si>
  <si>
    <t>A coded domain value denoting an administrative division.</t>
  </si>
  <si>
    <t>Aerial Refuelling Receiver Channel Code</t>
  </si>
  <si>
    <t>A coded domain value denoting an aerial refuelling receiver channel.</t>
  </si>
  <si>
    <t>Aerial Refuelling Tanker Channel Code</t>
  </si>
  <si>
    <t>A coded domain value denoting an aerial refuelling tanker channel.</t>
  </si>
  <si>
    <t>Aerodrome Approach Lighting System Type Code</t>
  </si>
  <si>
    <t>A coded domain value denoting an aerodrome approach lighting system type.</t>
  </si>
  <si>
    <t>Aerodrome Co-Location Identifier Structured Text</t>
  </si>
  <si>
    <t>A structured text value specifying an aerodrome co-location identifier.</t>
  </si>
  <si>
    <t>Characters 1 and 2 indicate the ICAO region as stated in ICAO Doc7910, characters 3 and 4 are in the ranges A-Z and/or 0-9.</t>
  </si>
  <si>
    <t>Aerodrome Control Station Type Code</t>
  </si>
  <si>
    <t>A coded domain value denoting an aerodrome control station type.</t>
  </si>
  <si>
    <t>Aerodrome Fire Fighting Category Code</t>
  </si>
  <si>
    <t>A coded domain value denoting an aerodrome fire fighting category.</t>
  </si>
  <si>
    <t>Aerodrome Hot Spot Designator Structured Text</t>
  </si>
  <si>
    <t>A structured text value specifying an aerodrome hot spot designator</t>
  </si>
  <si>
    <t>A five-character alphanumeric identifier that is often, but not necessarily, in the form of the 2-character prefix 'HS' followed by a three-digit number.</t>
  </si>
  <si>
    <t>Aerodrome Identifier Key</t>
  </si>
  <si>
    <t>A key domain value specifying an aerodrome identifier.</t>
  </si>
  <si>
    <t>Key</t>
  </si>
  <si>
    <t>The realization of this Key datatype is implementation-dependent.</t>
  </si>
  <si>
    <t>A seven character code consisting of a two character country code as specified in the Digital Aeronautical Flight Information File (DAFIF) Appendix C, followed by a five digit number that is uniquely assigned within that country by the U.S. National Geospatial-Intelligence Agency (NGA) as part of the process of preparing DAFIF data.</t>
  </si>
  <si>
    <t>Aerodrome Movement Area Light System Type Code</t>
  </si>
  <si>
    <t>A coded domain value denoting an aerodrome movement area light system type.</t>
  </si>
  <si>
    <t>Aerodrome Movement Area Pavement Condition Code</t>
  </si>
  <si>
    <t>A coded domain value denoting an aerodrome movement area pavement condition.</t>
  </si>
  <si>
    <t>Aerodrome Movement Area Surface Category Code</t>
  </si>
  <si>
    <t>A coded domain value denoting an aerodrome movement area surface category.</t>
  </si>
  <si>
    <t>Aerodrome Movement Area Surface Composition Code</t>
  </si>
  <si>
    <t>A coded domain value denoting an aerodrome movement area surface composition.</t>
  </si>
  <si>
    <t>Aerodrome Movement Area Surface Preparation Method Code</t>
  </si>
  <si>
    <t>A coded domain value denoting an aerodrome movement area surface preparation method.</t>
  </si>
  <si>
    <t>Aerodrome Movement Area Type Code</t>
  </si>
  <si>
    <t>A coded domain value denoting an aerodrome movement area type.</t>
  </si>
  <si>
    <t>Aerodrome Pavement Functional Status Code</t>
  </si>
  <si>
    <t>A coded domain value denoting an aerodrome pavement functional status.</t>
  </si>
  <si>
    <t>Aerodrome Surface Status Code</t>
  </si>
  <si>
    <t>A coded domain value denoting an aerodrome surface status.</t>
  </si>
  <si>
    <t>Aerodrome Type Code</t>
  </si>
  <si>
    <t>A coded domain value denoting an aerodrome type.</t>
  </si>
  <si>
    <t>Aeronautical Advisory and Information Service Type Code</t>
  </si>
  <si>
    <t>A coded domain value denoting an aeronautical advisory and information service type.</t>
  </si>
  <si>
    <t>Aeronautical Beacon Type Code</t>
  </si>
  <si>
    <t>A coded domain value denoting an aeronautical beacon type.</t>
  </si>
  <si>
    <t>Aeronautical Communication Channel Mode Code</t>
  </si>
  <si>
    <t>A coded domain value denoting an aeronautical communication channel mode.</t>
  </si>
  <si>
    <t>Aeronautical Radio Navigation Service Identifier Structured Text</t>
  </si>
  <si>
    <t>A structured text value specifying an aeronautical radio navigation service identifier.</t>
  </si>
  <si>
    <t>Any character in the range A-Z.</t>
  </si>
  <si>
    <t>Aeronautical Responsible Authority Type Code</t>
  </si>
  <si>
    <t>A coded domain value denoting an aeronautical responsible authority type.</t>
  </si>
  <si>
    <t>Aeronautical Route Category Code</t>
  </si>
  <si>
    <t>A coded domain value denoting an aeronautical route category.</t>
  </si>
  <si>
    <t>Aeronautical Service Operational Status Code</t>
  </si>
  <si>
    <t>A coded domain value denoting an aeronautical service operational status.</t>
  </si>
  <si>
    <t>Aeronautical Service Ranking Code</t>
  </si>
  <si>
    <t>A coded domain value denoting an aeronautical service ranking.</t>
  </si>
  <si>
    <t>Aeronautical Unit Type Code</t>
  </si>
  <si>
    <t>A coded domain value denoting an aeronautical unit type.</t>
  </si>
  <si>
    <t>Aggregate</t>
  </si>
  <si>
    <t>The realization of this Complex datatype is implementation-dependent.</t>
  </si>
  <si>
    <t>Aggressor Affiliation Code</t>
  </si>
  <si>
    <t>A coded domain value denoting an aggressor affiliation.</t>
  </si>
  <si>
    <t>Air Refuelling Point Usage Code</t>
  </si>
  <si>
    <t>A coded domain value denoting an air refuelling point usage.</t>
  </si>
  <si>
    <t>Air Refuelling Procedure Direction Code</t>
  </si>
  <si>
    <t>A coded domain value denoting an air refuelling procedure direction.</t>
  </si>
  <si>
    <t>Air Refuelling Procedure Type Code</t>
  </si>
  <si>
    <t>A coded domain value denoting an air refuelling procedure type.</t>
  </si>
  <si>
    <t>Air Traffic Control (ATC) Required Report Type Code</t>
  </si>
  <si>
    <t>A coded domain value denoting an air traffic control required report type.</t>
  </si>
  <si>
    <t>Air Traffic Control Service Type Code</t>
  </si>
  <si>
    <t>A coded domain value denoting an air traffic control service type.</t>
  </si>
  <si>
    <t>Air Traffic Management Service Type Code</t>
  </si>
  <si>
    <t>A coded domain value denoting an air traffic management service type.</t>
  </si>
  <si>
    <t>Air Traffic Permitted Type Code</t>
  </si>
  <si>
    <t>A coded domain value denoting an air traffic permitted type.</t>
  </si>
  <si>
    <t>Air Traffic Service (ATS) Route Designator Suffix Code</t>
  </si>
  <si>
    <t>A coded domain value denoting an air traffic service (ATS) route designator suffix.</t>
  </si>
  <si>
    <t>Air Traffic Service (ATS) Route Location Designator Structured Text</t>
  </si>
  <si>
    <t>A structured text value specifying an air traffic service route location designator.</t>
  </si>
  <si>
    <t>The 2 letter pair ICAO nationality designation of the country of origin as specified in ICAO Doc7910, followed by a dash, then the 2 letter pair ICAO nationality designation of the country of destination as specified in ICAO doc.7910.</t>
  </si>
  <si>
    <t>Air Traffic Service (ATS) Route Segment Availability Code</t>
  </si>
  <si>
    <t>A coded domain value denoting an air traffic service route segment availability.</t>
  </si>
  <si>
    <t>Air Traffic Service (ATS) Route Segment Path Basis Code</t>
  </si>
  <si>
    <t>A coded domain value denoting an air traffic service route segment path basis.</t>
  </si>
  <si>
    <t>Air Traffic Service (ATS) Route Segment Usage Direction Code</t>
  </si>
  <si>
    <t>A coded domain value denoting an air traffic service route segment usage direction.</t>
  </si>
  <si>
    <t>Air Traffic Service (ATS) Route Type Code</t>
  </si>
  <si>
    <t>A coded domain value denoting an air traffic service route type.</t>
  </si>
  <si>
    <t>Airborne Identification Radar Beacon Code (APX) Structured Text</t>
  </si>
  <si>
    <t>A structured text value specifying an airborne identification radar beacon code.</t>
  </si>
  <si>
    <t>First digit allowable values: '2', '3', '4', '5', '6'; Second digit allowable values: '1'; OR No values entered in both positions.</t>
  </si>
  <si>
    <t>Airborne Navigation Radar Beacon Code (APN) Structured Text</t>
  </si>
  <si>
    <t>A structured text value specifying an airborne navigation radar beacon code.</t>
  </si>
  <si>
    <t>First digit allowable values: '1', '2', '3'; Second digit allowable values: '0', '1', '2', '3', '4'; Third digit allowable values - '0', '1', '2', '3', '4'; OR No values entered in all three positions.</t>
  </si>
  <si>
    <t>Aircraft Approach Category Code</t>
  </si>
  <si>
    <t>A coded domain value denoting an aircraft approach category.</t>
  </si>
  <si>
    <t>Aircraft De-Icing Fluid Type Code</t>
  </si>
  <si>
    <t>A coded domain value denoting an aircraft de-icing fluid type.</t>
  </si>
  <si>
    <t>Aircraft Fuel Service Unit Type Code</t>
  </si>
  <si>
    <t>A coded domain value denoting an aircraft fuel service unit type.</t>
  </si>
  <si>
    <t>Aircraft Fuel Transfer Infrastructure Code</t>
  </si>
  <si>
    <t>A coded domain value denoting an aircraft fuel transfer infrastructure.</t>
  </si>
  <si>
    <t>Aircraft Ground Service Type Code</t>
  </si>
  <si>
    <t>A coded domain value denoting an aircraft ground service type.</t>
  </si>
  <si>
    <t>Aircraft Speed Reference Code</t>
  </si>
  <si>
    <t>A coded domain value denoting an aircraft speed reference.</t>
  </si>
  <si>
    <t>Aircraft Stand Type Code</t>
  </si>
  <si>
    <t>A coded domain value denoting an aircraft stand type.</t>
  </si>
  <si>
    <t>Airfield Symbol Type Code</t>
  </si>
  <si>
    <t>A coded domain value denoting an airfield symbol type.</t>
  </si>
  <si>
    <t>Airfield Type Code</t>
  </si>
  <si>
    <t>A coded domain value denoting an airfield type.</t>
  </si>
  <si>
    <t>Airfield Use Code</t>
  </si>
  <si>
    <t>A coded domain value denoting an airfield use.</t>
  </si>
  <si>
    <t>Airport Communication Classification Code</t>
  </si>
  <si>
    <t>A coded domain value denoting an airport communication classification.</t>
  </si>
  <si>
    <t>Airspace Activity Code</t>
  </si>
  <si>
    <t>A coded domain value denoting an airspace activity.</t>
  </si>
  <si>
    <t>Airspace Class Code</t>
  </si>
  <si>
    <t>A coded domain value denoting an airspace class.</t>
  </si>
  <si>
    <t>Airspace Control Code</t>
  </si>
  <si>
    <t>A coded domain value denoting an airspace control.</t>
  </si>
  <si>
    <t>Airspace Type Code</t>
  </si>
  <si>
    <t>A coded domain value denoting an airspace type.</t>
  </si>
  <si>
    <t>Allowed Aircraft on Route Code</t>
  </si>
  <si>
    <t>A coded domain value denoting an allowed aircraft on route.</t>
  </si>
  <si>
    <t>Altitude Description Code</t>
  </si>
  <si>
    <t>A coded domain value denoting an altitude description.</t>
  </si>
  <si>
    <t>Amusement Attraction Type Code</t>
  </si>
  <si>
    <t>A coded domain value denoting an amusement attraction type.</t>
  </si>
  <si>
    <t>Anchorage Type Code</t>
  </si>
  <si>
    <t>A coded domain value denoting an anchorage type.</t>
  </si>
  <si>
    <t>Approach Capability Markings Code</t>
  </si>
  <si>
    <t>A coded domain value denoting an approach capability markings.</t>
  </si>
  <si>
    <t>Approach Performance Designator Structured Text</t>
  </si>
  <si>
    <t>A structured text value specifying an approach performance designator.</t>
  </si>
  <si>
    <t>A single digit value in the range '0' through '7'.</t>
  </si>
  <si>
    <t>Approach Prefix Code</t>
  </si>
  <si>
    <t>A coded domain value denoting an approach prefix.</t>
  </si>
  <si>
    <t>Approach Type Code</t>
  </si>
  <si>
    <t>A coded domain value denoting an approach type.</t>
  </si>
  <si>
    <t>Apron Type Code</t>
  </si>
  <si>
    <t>A coded domain value denoting an apron type.</t>
  </si>
  <si>
    <t>Apron Usage Code</t>
  </si>
  <si>
    <t>A coded domain value denoting an apron usage.</t>
  </si>
  <si>
    <t>Aquaculture Facility Type Code</t>
  </si>
  <si>
    <t>A coded domain value denoting an aquaculture facility type.</t>
  </si>
  <si>
    <t>Aquatic Vegetation Growth Habit Code</t>
  </si>
  <si>
    <t>A coded domain value denoting an aquatic vegetation growth habit.</t>
  </si>
  <si>
    <t>Aqueduct Type Code</t>
  </si>
  <si>
    <t>A coded domain value denoting an aqueduct type.</t>
  </si>
  <si>
    <t>Aquifer Composition Code</t>
  </si>
  <si>
    <t>A coded domain value denoting an aquifer composition.</t>
  </si>
  <si>
    <t>Aquifer Overburden Code</t>
  </si>
  <si>
    <t>A coded domain value denoting an aquifer overburden.</t>
  </si>
  <si>
    <t>Arc</t>
  </si>
  <si>
    <t>An arc of a circle defined by three points, starting at the first, passing through the second and terminating at the third.</t>
  </si>
  <si>
    <t>Arc String</t>
  </si>
  <si>
    <t>A sequence of arcs.</t>
  </si>
  <si>
    <t>Arresting System Command Code</t>
  </si>
  <si>
    <t>A coded domain value denoting an arresting system command.</t>
  </si>
  <si>
    <t>Arresting System Energy Absorber Type Code</t>
  </si>
  <si>
    <t>A coded domain value denoting an arresting system energy absorber type.</t>
  </si>
  <si>
    <t>Arresting System Engagement Device Type Code</t>
  </si>
  <si>
    <t>A coded domain value denoting an arresting system engagement device type.</t>
  </si>
  <si>
    <t>Arresting System Engagement Direction Code</t>
  </si>
  <si>
    <t>A coded domain value denoting an arresting system engagement direction.</t>
  </si>
  <si>
    <t>Automated Weather Station Type Code</t>
  </si>
  <si>
    <t>A coded domain value denoting an automated weather station type.</t>
  </si>
  <si>
    <t>Availability Category Code</t>
  </si>
  <si>
    <t>A coded domain value denoting an availability category.</t>
  </si>
  <si>
    <t>Available POL Code</t>
  </si>
  <si>
    <t>A coded domain value denoting an available POL.</t>
  </si>
  <si>
    <t>Available Vessel Service Code</t>
  </si>
  <si>
    <t>A coded domain value denoting an available vessel service.</t>
  </si>
  <si>
    <t>Aviation Fuel Type Code</t>
  </si>
  <si>
    <t>A coded domain value denoting an aviation fuel type.</t>
  </si>
  <si>
    <t>Aviation Hydraulic Fluid Type Code</t>
  </si>
  <si>
    <t>A coded domain value denoting an aviation hydraulic fluid type.</t>
  </si>
  <si>
    <t>Aviation Nitrogen Supply Type Code</t>
  </si>
  <si>
    <t>A coded domain value denoting an aviation nitrogen supply type.</t>
  </si>
  <si>
    <t>Aviation Oil Type Code</t>
  </si>
  <si>
    <t>A coded domain value denoting an aviation oil type.</t>
  </si>
  <si>
    <t>Aviation Oxygen Supply Type Code</t>
  </si>
  <si>
    <t>A coded domain value denoting an aviation oxygen supply type.</t>
  </si>
  <si>
    <t>Aviation Port of Entry Status Code</t>
  </si>
  <si>
    <t>A coded domain value denoting an aviation port of entry status.</t>
  </si>
  <si>
    <t>Backcourse Localizer Use Type Code</t>
  </si>
  <si>
    <t>A coded domain value denoting a backcourse localizer use type.</t>
  </si>
  <si>
    <t>Bank Orientation Code</t>
  </si>
  <si>
    <t>A coded domain value denoting a bank orientation.</t>
  </si>
  <si>
    <t>Bank Vegetation Character Code</t>
  </si>
  <si>
    <t>A coded domain value denoting a bank vegetation character.</t>
  </si>
  <si>
    <t>Barrier Top Type Code</t>
  </si>
  <si>
    <t>A coded domain value denoting a barrier top type.</t>
  </si>
  <si>
    <t>Basic Encyclopedia (BE) Number Key</t>
  </si>
  <si>
    <t>A key domain value that is a unique identifier of a feature as assigned in the Basic Encyclopedia.</t>
  </si>
  <si>
    <t>A ten or fifteen character code consisting of either four or six blocks of information as follows: Positions 1-4, a World Aeronautical Chart (WAC) Identifier; Position 5, a hyphen, '-', or an 'E', indicating that position 6 will contain values 0-9. Alternately, the fifth position may contain the first of a two-character system-assigned record originator code, in which case position 6 will then contain the second character of the system-assigned record originator code; Position 6, may contain the second character of the system-assigned record originator code, in which case the one-up-number series will then begin in position seven, and range from 0001-9999. If the one-up-number series begins in position 6, then this position will contain the first of a five-position one-up-number, and range from 00001-99999; Positions 7-10, a one-up-number series that depending on the content of position 5, the series may have either begun in position 6 and have a range of 00001-99999, or have begun in position 7 and have a range from 0001-9999. If an osuffix is available, Positions 11-12 will contain a system-assigned record originator alphanumeric code; Position 13-15 will contain a three-digit (001-999) one-up number.</t>
  </si>
  <si>
    <t>Basin Gate Type Code</t>
  </si>
  <si>
    <t>A coded domain value denoting a basin gate type.</t>
  </si>
  <si>
    <t>Bathymetric Measurement Quality Category Code</t>
  </si>
  <si>
    <t>A coded domain value denoting a bathymetric measurement quality category.</t>
  </si>
  <si>
    <t>Bathymetric Measurement Technique Code</t>
  </si>
  <si>
    <t>A coded domain value denoting a bathymetric measurement technique.</t>
  </si>
  <si>
    <t>Beach Configuration Code</t>
  </si>
  <si>
    <t>A coded domain value denoting a beach configuration.</t>
  </si>
  <si>
    <t>Beach Type Code</t>
  </si>
  <si>
    <t>A coded domain value denoting a beach type.</t>
  </si>
  <si>
    <t>Bearing and Reciprocal Category Structured Text</t>
  </si>
  <si>
    <t>A structured text value specifying a bearing and reciprocal category.</t>
  </si>
  <si>
    <t>Resolution of the bearing and reciprocal are to the nearest 0.1 arc degree, separated by a hyphen, for example:, '053.1-233.1'.</t>
  </si>
  <si>
    <t>BGN Administrative Level Code</t>
  </si>
  <si>
    <t>A coded domain value denoting a BGN administrative level.</t>
  </si>
  <si>
    <t>Bog Type Code</t>
  </si>
  <si>
    <t>A coded domain value denoting a bog type.</t>
  </si>
  <si>
    <t>Bollard Type Code</t>
  </si>
  <si>
    <t>A coded domain value denoting a bollard type.</t>
  </si>
  <si>
    <t>A Boolean domain value.</t>
  </si>
  <si>
    <t>The domain of values is { TRUE, FALSE }, representing the true and false values in a two-valued logic system.</t>
  </si>
  <si>
    <t>The realization of this Boolean datatype is implementation-dependent.</t>
  </si>
  <si>
    <t>BooleanReason</t>
  </si>
  <si>
    <t>Boolean with Reason</t>
  </si>
  <si>
    <t>A Boolean domain value accompanied by metadata specifying the reason that the value may be absent.</t>
  </si>
  <si>
    <t>value</t>
  </si>
  <si>
    <t>Boolean Value</t>
  </si>
  <si>
    <t>A Boolean value; a logical truth value.</t>
  </si>
  <si>
    <t>For example, TRUE or FALSE.</t>
  </si>
  <si>
    <t>reason</t>
  </si>
  <si>
    <t>Value Reason</t>
  </si>
  <si>
    <t>The condition due to which the attribute value may be missing or otherwise not fulfil the specification of the attribute value domain.</t>
  </si>
  <si>
    <t>For example, it may be the case that the attribute value is unknown or that it is known but due to policy considerations it cannot be given.</t>
  </si>
  <si>
    <t>VoidValueReasonCode</t>
  </si>
  <si>
    <t>Void Value Reason Code</t>
  </si>
  <si>
    <t>Border Crossing Type Code</t>
  </si>
  <si>
    <t>A coded domain category denoting a border crossing type.</t>
  </si>
  <si>
    <t>Borehole Type Code</t>
  </si>
  <si>
    <t>A coded domain category denoting a borehole type.</t>
  </si>
  <si>
    <t>Bottom Contact Status Code</t>
  </si>
  <si>
    <t>A coded domain value denoting a bottom contact status.</t>
  </si>
  <si>
    <t>Bottom Material Type Code</t>
  </si>
  <si>
    <t>A coded domain value denoting a bottom material type.</t>
  </si>
  <si>
    <t>Bottom Object Type Code</t>
  </si>
  <si>
    <t>A coded domain value denoting a bottom object type.</t>
  </si>
  <si>
    <t>Boundary Determination Method Code</t>
  </si>
  <si>
    <t>A coded domain value denoting a boundary determination method.</t>
  </si>
  <si>
    <t>Boundary Dispute Type Code</t>
  </si>
  <si>
    <t>A coded domain value denoting a boundary dispute type.</t>
  </si>
  <si>
    <t>Boundary Representation Policy Code</t>
  </si>
  <si>
    <t>A coded domain value denoting a boundary representation policy.</t>
  </si>
  <si>
    <t>Boundary Status Code</t>
  </si>
  <si>
    <t>A coded domain value denoting a boundary status.</t>
  </si>
  <si>
    <t>Branch Railway Type Code</t>
  </si>
  <si>
    <t>A coded domain value denoting a branch railway type.</t>
  </si>
  <si>
    <t>Bridge Information Reliability Code</t>
  </si>
  <si>
    <t>A coded domain value denoting a bridge information reliability.</t>
  </si>
  <si>
    <t>Bridge Opening Type Code</t>
  </si>
  <si>
    <t>A coded domain value denoting a bridge opening type.</t>
  </si>
  <si>
    <t>Bridge Structure Type Code</t>
  </si>
  <si>
    <t>A coded domain value denoting a bridge structure type.</t>
  </si>
  <si>
    <t>Building Superstructure Type Code</t>
  </si>
  <si>
    <t>A coded domain value denoting a building superstructure type.</t>
  </si>
  <si>
    <t>Building Type Code</t>
  </si>
  <si>
    <t>A coded domain value denoting a building type.</t>
  </si>
  <si>
    <t>Built-up Area Density Category Code</t>
  </si>
  <si>
    <t>A coded domain value denoting a built-up area density category.</t>
  </si>
  <si>
    <t>Buoy Shape Code</t>
  </si>
  <si>
    <t>A coded domain value denoting a buoy shape.</t>
  </si>
  <si>
    <t>Buoy Type Code</t>
  </si>
  <si>
    <t>A coded domain value denoting a buoy type.</t>
  </si>
  <si>
    <t>Buried Utility Type Code</t>
  </si>
  <si>
    <t>A coded domain value denoting a buried utility type.</t>
  </si>
  <si>
    <t>Bypass Condition Code</t>
  </si>
  <si>
    <t>A coded domain value denoting a bypass condition.</t>
  </si>
  <si>
    <t>By-product Code</t>
  </si>
  <si>
    <t>A coded domain value denoting a by-product.</t>
  </si>
  <si>
    <t>Cable Suspended Shape Code</t>
  </si>
  <si>
    <t>A coded domain value denoting a cable suspended shape.</t>
  </si>
  <si>
    <t>Cable Type Code</t>
  </si>
  <si>
    <t>A coded domain value denoting a cable type.</t>
  </si>
  <si>
    <t>Cableway Type Code</t>
  </si>
  <si>
    <t>A coded domain value denoting a cableway type.</t>
  </si>
  <si>
    <t>Cadastral Source Type Code</t>
  </si>
  <si>
    <t>A coded domain value denoting a cadastral source type.</t>
  </si>
  <si>
    <t>Camouflage Method Code</t>
  </si>
  <si>
    <t>A coded domain value denoting a camouflage method.</t>
  </si>
  <si>
    <t>Cave Type Code</t>
  </si>
  <si>
    <t>A coded domain value denoting a cave type.</t>
  </si>
  <si>
    <t>Cell Partition Scheme Codelist</t>
  </si>
  <si>
    <t>A codelist, each domain member of which denotes a cell partition scheme.</t>
  </si>
  <si>
    <t>The realization of this Enumeration datatype is implementation-dependent.</t>
  </si>
  <si>
    <t>An up to thirty-character lower camel-case alphanumeric code drawn from a codelist domain specified by the GEOINT Structure Implementation Profile (GSIP).</t>
  </si>
  <si>
    <t>Channel Type Code</t>
  </si>
  <si>
    <t>A coded domain value denoting a channel type.</t>
  </si>
  <si>
    <t>Character of Light Structured Text</t>
  </si>
  <si>
    <t>A structured text value specifying a character of light.</t>
  </si>
  <si>
    <t>For example: 'Q(6)+L F1, VQ G, L F1 (3+2)WR'.</t>
  </si>
  <si>
    <t>Character Set Codelist</t>
  </si>
  <si>
    <t>A codelist, each domain member of which denotes a character coding standard that may be individually used by the text of a resource.</t>
  </si>
  <si>
    <t>A lower camel-case alphanumeric code drawn from a codelist domain specified by ISO 19115:2003.</t>
  </si>
  <si>
    <t>Circling Procedure Identification Structured Text</t>
  </si>
  <si>
    <t>A structured text value specifying a circling procedure identification.</t>
  </si>
  <si>
    <t>A designation of the approach procedure equipment type (for example: 'VOR', 'TACAN', 'ILS', 'LOC/DME') followed by a dash ('-'), followed by a single character in the range A-Z.</t>
  </si>
  <si>
    <t>Citation</t>
  </si>
  <si>
    <t>A specification of a cited resource.</t>
  </si>
  <si>
    <t>title</t>
  </si>
  <si>
    <t>Title</t>
  </si>
  <si>
    <t>The name by which the cited resource is known.</t>
  </si>
  <si>
    <t>The resource title must be specified.</t>
  </si>
  <si>
    <t>alternateTitle</t>
  </si>
  <si>
    <t>Alternate Title</t>
  </si>
  <si>
    <t>Short name(s) or other language name(s) by which the cited information is known.</t>
  </si>
  <si>
    <t>For example, 'DCW' as an alternative title for 'Digital Chart of the World'.</t>
  </si>
  <si>
    <t>date</t>
  </si>
  <si>
    <t>Date</t>
  </si>
  <si>
    <t>Reference date(s) for the cited resource.</t>
  </si>
  <si>
    <t>At least one reference date must be specified.</t>
  </si>
  <si>
    <t>CI_Date</t>
  </si>
  <si>
    <t>Date and Type</t>
  </si>
  <si>
    <t>edition</t>
  </si>
  <si>
    <t>Edition</t>
  </si>
  <si>
    <t>The version or edition of the cited resource.</t>
  </si>
  <si>
    <t>editionDate</t>
  </si>
  <si>
    <t>Edition Date</t>
  </si>
  <si>
    <t>The date of the version or edition of the cited resource.</t>
  </si>
  <si>
    <t>Identifier</t>
  </si>
  <si>
    <t>Value(s) uniquely identifying the resource within a namespace.</t>
  </si>
  <si>
    <t>MD_Identifier</t>
  </si>
  <si>
    <t>citedResponsibleParty</t>
  </si>
  <si>
    <t>Cited Responsible Party</t>
  </si>
  <si>
    <t>Name and/or position information for person(s) and/or organisation(s) responsible for the resource.</t>
  </si>
  <si>
    <t>Responsible Party</t>
  </si>
  <si>
    <t>presentationForm</t>
  </si>
  <si>
    <t>Presentation Form</t>
  </si>
  <si>
    <t>The mode in which the resource is represented.</t>
  </si>
  <si>
    <t>CI_PresentationFormCode</t>
  </si>
  <si>
    <t>Resource Data Presentation Form Code</t>
  </si>
  <si>
    <t>series</t>
  </si>
  <si>
    <t>Information about the series, or aggregate resource, of which the resource (for example: a dataset) is a part.</t>
  </si>
  <si>
    <t>CI_Series</t>
  </si>
  <si>
    <t>Series Specification</t>
  </si>
  <si>
    <t>otherCitationDetails</t>
  </si>
  <si>
    <t>Other Citation Details</t>
  </si>
  <si>
    <t>Other information required to complete the citation that is not recorded elsewhere.</t>
  </si>
  <si>
    <t>collectiveTitle</t>
  </si>
  <si>
    <t>Collective Title</t>
  </si>
  <si>
    <t>A collective title with holdings note.</t>
  </si>
  <si>
    <t>The collective title identifies elements of a series collectively, combined with information about what volumes are available at the resource cited.</t>
  </si>
  <si>
    <t>isbn</t>
  </si>
  <si>
    <t>ISBN</t>
  </si>
  <si>
    <t>The International Standard Block Number (ISBN), if applicable.</t>
  </si>
  <si>
    <t>issn</t>
  </si>
  <si>
    <t>ISSN</t>
  </si>
  <si>
    <t>The International Standard Serial Number (ISSN), if applicable.</t>
  </si>
  <si>
    <t>Citation Structured Text</t>
  </si>
  <si>
    <t>A structured text value specifying a citation.</t>
  </si>
  <si>
    <t>Unlimited</t>
  </si>
  <si>
    <t>A value representing a citation, as specified by ISO 19115:2003, B.3.2.1 Line 359, CI_Citation.</t>
  </si>
  <si>
    <t>Classification Codelist</t>
  </si>
  <si>
    <t>A codelist, each domain member of which denotes a security classification level that may be individually applicable to the content of a resource.</t>
  </si>
  <si>
    <t>Coast Type Code</t>
  </si>
  <si>
    <t>A coded domain value denoting a coast type.</t>
  </si>
  <si>
    <t>Coastal Work Type Code</t>
  </si>
  <si>
    <t>A coded domain value denoting a coastal work type.</t>
  </si>
  <si>
    <t>Colour Pattern Code</t>
  </si>
  <si>
    <t>A coded domain value denoting a colour pattern.</t>
  </si>
  <si>
    <t>Commercial Shipping Activity Level Code</t>
  </si>
  <si>
    <t>A coded domain value denoting a commercial shipping activity level.</t>
  </si>
  <si>
    <t>Commissioned Status Code</t>
  </si>
  <si>
    <t>A coded domain value denoting a commissioned status.</t>
  </si>
  <si>
    <t>Communication Type Code</t>
  </si>
  <si>
    <t>A coded domain value denoting a communication type.</t>
  </si>
  <si>
    <t>Composite Curve</t>
  </si>
  <si>
    <t>A sequence of curves such that each curve (except the first) starts at the end point of the previous curve in the sequence.</t>
  </si>
  <si>
    <t>Composite Point</t>
  </si>
  <si>
    <t>A set of points consisting of a single point.</t>
  </si>
  <si>
    <t>Composite Solid</t>
  </si>
  <si>
    <t>A connected set of solids adjoining one another along shared boundary surfaces.</t>
  </si>
  <si>
    <t>Composite Surface</t>
  </si>
  <si>
    <t>A connected set of surfaces adjoining one another along shared boundary curves.</t>
  </si>
  <si>
    <t>Conservation Area Management Category Code</t>
  </si>
  <si>
    <t>A coded domain value denoting a conservation area management category.</t>
  </si>
  <si>
    <t>Conspicuous Air Category Code</t>
  </si>
  <si>
    <t>A coded domain value denoting a conspicuous air category.</t>
  </si>
  <si>
    <t>Conspicuous Ground Category Code</t>
  </si>
  <si>
    <t>A coded domain value denoting a conspicuous ground category.</t>
  </si>
  <si>
    <t>Conspicuous Sea Category Code</t>
  </si>
  <si>
    <t>A coded domain value denoting a conspicuous sea category.</t>
  </si>
  <si>
    <t>Contact</t>
  </si>
  <si>
    <t>Information required to enable contact with the responsible person and/or organisation.</t>
  </si>
  <si>
    <t>phone</t>
  </si>
  <si>
    <t>Phone</t>
  </si>
  <si>
    <t>Telephone numbers at which the person and/or organisation may be contacted.</t>
  </si>
  <si>
    <t>CI_Telephone</t>
  </si>
  <si>
    <t>Telephone</t>
  </si>
  <si>
    <t>Physical and email address at which the person and/or organisation may be contacted.</t>
  </si>
  <si>
    <t>onlineResource</t>
  </si>
  <si>
    <t>Online Resource</t>
  </si>
  <si>
    <t>Online information that can be used to contact the person and/or organisation.</t>
  </si>
  <si>
    <t>CI_OnlineResource</t>
  </si>
  <si>
    <t>hoursOfService</t>
  </si>
  <si>
    <t>Hours of Service</t>
  </si>
  <si>
    <t>The time period (including time zone) during which the person and/or organisation may be contacted.</t>
  </si>
  <si>
    <t>contactInstructions</t>
  </si>
  <si>
    <t>Contact Instructions</t>
  </si>
  <si>
    <t>Supplemental instructions on how or when to contact the person and/or organisation.</t>
  </si>
  <si>
    <t>Contact Mine Actuation Method Code</t>
  </si>
  <si>
    <t>A coded domain value denoting a contact mine actuation method.</t>
  </si>
  <si>
    <t>Contact Status Code</t>
  </si>
  <si>
    <t>A coded domain value denoting a contact status.</t>
  </si>
  <si>
    <t>Contaminant Category Code</t>
  </si>
  <si>
    <t>A coded domain value denoting a contaminant category.</t>
  </si>
  <si>
    <t>Contaminant Source Code</t>
  </si>
  <si>
    <t>A coded domain value denoting a contaminant source.</t>
  </si>
  <si>
    <t>Controlling Authority Code</t>
  </si>
  <si>
    <t>A coded domain value denoting a controlling authority.</t>
  </si>
  <si>
    <t>A count domain value.</t>
  </si>
  <si>
    <t>The domain of values is a cardinal number or an ordinal number. For example, 4 (as in the number of legs of a cow).</t>
  </si>
  <si>
    <t>The realization of this Count datatype is implementation-dependent.</t>
  </si>
  <si>
    <t>CountIntervalReason</t>
  </si>
  <si>
    <t>Count Interval with Reason</t>
  </si>
  <si>
    <t>A count-interval accompanied by metadata specifying the reason that the value may be absent.</t>
  </si>
  <si>
    <t>The domain of values is a cardinal number interval or an ordinal number interval.</t>
  </si>
  <si>
    <t>lowerValue</t>
  </si>
  <si>
    <t>Count Interval Lower-value</t>
  </si>
  <si>
    <t>The lower-value of a count-interval, the first member of a pair of counts that represent all of the numbers between the two and possibly including one and/or the other depending on the interval closure.</t>
  </si>
  <si>
    <t>For example, the value 7 as the excluded lower end of the interval: (7 ... 25].</t>
  </si>
  <si>
    <t>upperValue</t>
  </si>
  <si>
    <t>Count Interval Upper-value</t>
  </si>
  <si>
    <t>The upper-value of a count-interval, the second member of a pair of counts that represent all of the numbers between the two and possibly including one and/or the other depending on the interval closure.</t>
  </si>
  <si>
    <t>For example, the value 25 as the included upper end of the interval: (7 ... 25].</t>
  </si>
  <si>
    <t>closure</t>
  </si>
  <si>
    <t>Interval Closure</t>
  </si>
  <si>
    <t>The closure conditions of the two endpoints of the count-interval.</t>
  </si>
  <si>
    <t>For example, the bounded open interval (lowerValue, upperValue).</t>
  </si>
  <si>
    <t>IncCode</t>
  </si>
  <si>
    <t>Interval Closure Type Code</t>
  </si>
  <si>
    <t>CountReason</t>
  </si>
  <si>
    <t>Count with Reason</t>
  </si>
  <si>
    <t>A count domain value accompanied by metadata specifying the reason that the value may be absent.</t>
  </si>
  <si>
    <t>Count Value</t>
  </si>
  <si>
    <t>The value of a count; a positive whole number or zero.</t>
  </si>
  <si>
    <t>For example, the number of items in a set such as the beds in a hospital or the rooms in a house.</t>
  </si>
  <si>
    <t>Country Codelist</t>
  </si>
  <si>
    <t>A codelist, each domain member of which denotes a country.</t>
  </si>
  <si>
    <t>Course Type Code</t>
  </si>
  <si>
    <t>A coded domain value denoting a course type.</t>
  </si>
  <si>
    <t>Cover Closure Type Code</t>
  </si>
  <si>
    <t>A coded domain value denoting a cover closure type.</t>
  </si>
  <si>
    <t>Crane Mobility Type Code</t>
  </si>
  <si>
    <t>A coded domain value denoting a crane mobility type.</t>
  </si>
  <si>
    <t>Crane Type Code</t>
  </si>
  <si>
    <t>A coded domain value denoting a crane type.</t>
  </si>
  <si>
    <t>Creation Date and Time Structured Text</t>
  </si>
  <si>
    <t>A structured text value specifying a creation date and time.</t>
  </si>
  <si>
    <t>Formatted in accordance with ISO 8601:2000, 5.4.1, Combinations of date and time of day - Complete representation - Extended format, a calendar date and time representation, as a single data element comprising up to twenty characters, where [YYYY] represents a calendar year, [MM] the ordinal number of a calendar month within the calendar year, [DD] the ordinal number of a day within the calendar month, [hh] the ordinal number of an hour within the calendar day, [mm] the ordinal number of a minute within the hour, [ss] the ordinal number of a second within the minute, and an optional 'Z' when the time is according to Coordinated Universal Time (UTC), as 'YYYY-MM-DDThh:mm:ssZ' (for example: '1985-04-12T11:45:20Z' for 11 hours, 45 minutes and 20 seconds UTC on 12 April 1985). Representations with reduced precision may be used in accordance with 5.4.2 (for example: '1985-04-12' for 12 April 1985). Representations consistently using basic format (eliminating the hyphen '-' and the colon ':') may be used in accordance with 5.4.1 (for example: '19850412T114520Z').</t>
  </si>
  <si>
    <t>Crew Injuries Code</t>
  </si>
  <si>
    <t>A coded domain value denoting a crew injuries.</t>
  </si>
  <si>
    <t>Crop Species Code</t>
  </si>
  <si>
    <t>A coded domain value denoting a crop species.</t>
  </si>
  <si>
    <t>Cross-sectional Profile Code</t>
  </si>
  <si>
    <t>A coded domain value denoting a cross-sectional profile.</t>
  </si>
  <si>
    <t>Cross-sectional Shape Code</t>
  </si>
  <si>
    <t>A coded domain value denoting a cross-sectional shape.</t>
  </si>
  <si>
    <t>A coded domain value denoting a cruising level direction.</t>
  </si>
  <si>
    <t>Cultural Context Type Code</t>
  </si>
  <si>
    <t>A coded domain value denoting a cultural context type.</t>
  </si>
  <si>
    <t>Cultural Significance Code</t>
  </si>
  <si>
    <t>A coded domain value denoting a cultural significance.</t>
  </si>
  <si>
    <t>Culvert Type Code</t>
  </si>
  <si>
    <t>A coded domain value denoting a culvert type.</t>
  </si>
  <si>
    <t>Currency Date and Time Structured Text</t>
  </si>
  <si>
    <t>A structured text value specifying a currency date and, optionally, time.</t>
  </si>
  <si>
    <t>Current Type Category Code</t>
  </si>
  <si>
    <t>A coded domain value denoting a current type category.</t>
  </si>
  <si>
    <t>Curve</t>
  </si>
  <si>
    <t>Cyclic Redundancy Check Value Structured Text</t>
  </si>
  <si>
    <t>A structured text value specifying the result of a cyclic redundancy check.</t>
  </si>
  <si>
    <t>An eight character hexadecimal representation of the 32-bit CRC value. Hexadecimal is a numeral system with a radix of 16 that may be written using the characters '0' through '9' and 'A' through 'F'. Four (binary) bits are composed to form a single hexadecimal digit; a byte (8 bits) is then represented as two consecutive hexadecimal digits and four bytes (32 bits) are represented as eight consecutive hexadecimal digits. For example, the decimal number '79' whose binary representation is '01001111' is written as '4F' in hexadecimal (where '4' represents '0100' in binary, and 'F' represents '1111' in binary).</t>
  </si>
  <si>
    <t>Dam Face Type Code</t>
  </si>
  <si>
    <t>A coded domain value denoting a dam face type.</t>
  </si>
  <si>
    <t>Dam Type Code</t>
  </si>
  <si>
    <t>A coded domain value denoting a dam type.</t>
  </si>
  <si>
    <t>Data Medium Format Codelist</t>
  </si>
  <si>
    <t>A codelist, each domain member of which denotes a method used to write to a data transfer medium.</t>
  </si>
  <si>
    <t>Data Medium Name Codelist</t>
  </si>
  <si>
    <t>A codelist, each domain member of which denotes a data transfer medium type.</t>
  </si>
  <si>
    <t>Data Presentation Form Codelist</t>
  </si>
  <si>
    <t>A codelist, each domain member of which denotes a mode in which the data is represented (for example: as a digital map or a hardcopy document).</t>
  </si>
  <si>
    <t>Data Quality Scope Structured Text</t>
  </si>
  <si>
    <t>A structured text value specifying a data quality scope.</t>
  </si>
  <si>
    <t>A value representing a data quality scope, as specified by ISO/TS 19103: B2.4.5, Line 138, DQ_Scope.</t>
  </si>
  <si>
    <t>Data Transfer Medium Structured Text</t>
  </si>
  <si>
    <t>A structured text value specifying a data transfer medium.</t>
  </si>
  <si>
    <t>A value representing a data transfer medium, as specified by ISO 19115:2003, B.2.10.5 Line 291, MD_Medium.</t>
  </si>
  <si>
    <t>Dataset Initiative Codelist</t>
  </si>
  <si>
    <t>A codelist, each domain member of which denotes a type of initiative under which a dataset was produced.</t>
  </si>
  <si>
    <t>Date and Time of Sinking Structured Text</t>
  </si>
  <si>
    <t>A structured text value specifying a date and, optionally, time of sinking.</t>
  </si>
  <si>
    <t>A reference date and an event type used to describe it.</t>
  </si>
  <si>
    <t>A reference date for a resource.</t>
  </si>
  <si>
    <t>The reference date must be specified, and formatted in accordance with ISO 8601.</t>
  </si>
  <si>
    <t>dateType</t>
  </si>
  <si>
    <t>Date Type</t>
  </si>
  <si>
    <t>The type of event to which a date is referenced.</t>
  </si>
  <si>
    <t>The reference date type must be specified.</t>
  </si>
  <si>
    <t>CI_DateTypeCode</t>
  </si>
  <si>
    <t>Date Type Code</t>
  </si>
  <si>
    <t>Date Structured Text</t>
  </si>
  <si>
    <t>A structured text value specifying a date.</t>
  </si>
  <si>
    <t>A value representing a date, as specified by ISO/TS 19103:2005, Clause 6.5.2.8.</t>
  </si>
  <si>
    <t>A coded domain value denoting a date type.</t>
  </si>
  <si>
    <t>Date Type Codelist</t>
  </si>
  <si>
    <t>A codelist, each domain member of which denotes a type of event for which a date is specified.</t>
  </si>
  <si>
    <t>Daymark Shape Code</t>
  </si>
  <si>
    <t>A coded domain value denoting a daymark shape.</t>
  </si>
  <si>
    <t>Department of Defense (DOD) Unique Gravity Station Code Structured Text</t>
  </si>
  <si>
    <t>A structured text value specifying a U.S. Department of Defense gravity station code.</t>
  </si>
  <si>
    <t>A 5 digit number, the first 4 digits specifying the station number and last digit specifying the site number.</t>
  </si>
  <si>
    <t>Depth Exposition Code</t>
  </si>
  <si>
    <t>A coded domain value denoting a depth exposition.</t>
  </si>
  <si>
    <t>Derived Aerodrome Location Identifier Structured Text</t>
  </si>
  <si>
    <t>A structured text value specifying a derived aerodrome location identifier.</t>
  </si>
  <si>
    <t>Either the International Civil Aviation Organisation (ICAO) four letter location indicator or the International Air Transport Association (IATA) three letter code. If neither is available, then a local authority or provider generated code will be used. Recommended provider practice: This will contain a group of letters and numbers. The group of letters could be the 2 letter code of the State being responsible for the aerodrome and the last two could be an integer between 01 and 99 or characters A-Z.</t>
  </si>
  <si>
    <t>Designated Point Identifier Structured Text</t>
  </si>
  <si>
    <t>A structured text value specifying a designated point identifier.</t>
  </si>
  <si>
    <t>Composed of alpha-numeric characters in the ranges 0-9 and/or A-Z.</t>
  </si>
  <si>
    <t>Designated Point Type Code</t>
  </si>
  <si>
    <t>A coded domain value denoting a designated point type.</t>
  </si>
  <si>
    <t>DIA Manual Function Classification Structured Text</t>
  </si>
  <si>
    <t>A structured text value specifying a DIA manual function classification.</t>
  </si>
  <si>
    <t>A five character numeric code with each successive numeric character, reading from left to right, further specifying details regarding the function of the facility. The first position breaks down facilities into nine major groups. Subsequent numeric characters extend or delineate the concept further. A zero is used to generalize the function of the facility when the specific function can not be determined. For example, the value '23331' denotes 'Steel Production, Electric Furnace shops, Electroslag Remelt Furnace shops' whereas the value '23300' denotes the more generalized functional classification 'Steel Production'.</t>
  </si>
  <si>
    <t>Direction Basis Code</t>
  </si>
  <si>
    <t>A coded domain value denoting a direction basis.</t>
  </si>
  <si>
    <t>Directivity Code</t>
  </si>
  <si>
    <t>A coded domain value denoting a directivity.</t>
  </si>
  <si>
    <t>Display Sign Type Code</t>
  </si>
  <si>
    <t>A coded domain value denoting a display sign type.</t>
  </si>
  <si>
    <t>Distance Measuring Equipment (DME) Channel Code</t>
  </si>
  <si>
    <t>A coded domain value denoting a distance measuring equipment channel.</t>
  </si>
  <si>
    <t>Distance Measuring Equipment (DME) Type Code</t>
  </si>
  <si>
    <t>A coded domain value denoting a distance measuring equipment type.</t>
  </si>
  <si>
    <t>Ditch Function Code</t>
  </si>
  <si>
    <t>A coded domain value denoting a ditch function.</t>
  </si>
  <si>
    <t>Dock Type Code</t>
  </si>
  <si>
    <t>A coded domain value denoting a dock type.</t>
  </si>
  <si>
    <t>Door Structure Code</t>
  </si>
  <si>
    <t>A coded domain value denoting a door structure.</t>
  </si>
  <si>
    <t>Dumping Ground Type Code</t>
  </si>
  <si>
    <t>A coded domain value denoting a dumping ground type.</t>
  </si>
  <si>
    <t>Duplicate Procedure Identification Structured Text</t>
  </si>
  <si>
    <t>A structured text value specifying a duplicate procedure identification.</t>
  </si>
  <si>
    <t>Dynamic Magnetic Variation Date and Time Structured Text</t>
  </si>
  <si>
    <t>A structured text value specifying a dynamic magnetic variation date and time.</t>
  </si>
  <si>
    <t>Earthquake Magnitude Source Code</t>
  </si>
  <si>
    <t>A coded domain category denoting an earthquake magnitude source.</t>
  </si>
  <si>
    <t>Earthquake Magnitude Type Code</t>
  </si>
  <si>
    <t>A coded domain category denoting an earthquake magnitude type.</t>
  </si>
  <si>
    <t>Economic Reserve Basis Code</t>
  </si>
  <si>
    <t>A coded domain value denoting a economic reserve basis.</t>
  </si>
  <si>
    <t>Electric Power Management Region Type Code</t>
  </si>
  <si>
    <t>A coded domain category denoting an electric power management region type.</t>
  </si>
  <si>
    <t>Elevation Accuracy Category Code</t>
  </si>
  <si>
    <t>A coded domain value denoting an elevation accuracy category.</t>
  </si>
  <si>
    <t>ElevationIntervalDatumAccuracy</t>
  </si>
  <si>
    <t>Elevation Interval with Datum and Accuracy</t>
  </si>
  <si>
    <t>A real-interval domain value (referenced to a vertical datum) and statement of the accuracy of the value.</t>
  </si>
  <si>
    <t>The domain of values is a real number. For example, [900.0, 1000.0] (as in the elevation above the specified vertical datum).</t>
  </si>
  <si>
    <t>Real Interval Lower-value</t>
  </si>
  <si>
    <t>The lower-value of a real-interval, the first member of a pair of real numbers that represent all of the numbers between the two and possibly including one and/or the other depending on the interval closure.</t>
  </si>
  <si>
    <t>For example, the value 27.5 as the included lower end of the interval: [27.5 ... 150.0].</t>
  </si>
  <si>
    <t>Real Interval Upper-value</t>
  </si>
  <si>
    <t>The upper-value of a real-interval, the second member of a pair of real numbers that represent all of the numbers between the two and possibly including one and/or the other depending on the interval closure.</t>
  </si>
  <si>
    <t>For example, the value 15.71 as the excluded upper end of the interval: [-3.9 ... 15.71).</t>
  </si>
  <si>
    <t>The closure conditions of the two endpoints of the real number interval.</t>
  </si>
  <si>
    <t>For example, the right half-open unbounded interval (-infinity, upperValue).</t>
  </si>
  <si>
    <t>The vertical datum to which the elevation is referenced and with respect to which the vertical positional accuracy was determined.</t>
  </si>
  <si>
    <t>VerticalDatumCode</t>
  </si>
  <si>
    <t>Vertical Datum Code</t>
  </si>
  <si>
    <t>accuracy</t>
  </si>
  <si>
    <t>Accuracy</t>
  </si>
  <si>
    <t>Non-negative Real</t>
  </si>
  <si>
    <t>Elevation Surface Category Code</t>
  </si>
  <si>
    <t>A coded domain value denoting an elevation surface category.</t>
  </si>
  <si>
    <t>ElevationDatumAccuracy</t>
  </si>
  <si>
    <t>Elevation with Datum and Accuracy</t>
  </si>
  <si>
    <t>A real domain value (referenced to a vertical datum) and statement of the accuracy of the value.</t>
  </si>
  <si>
    <t>The domain of values is a real number. For example, 900.0 (as in the elevation above the specified vertical datum).</t>
  </si>
  <si>
    <t>Real Value</t>
  </si>
  <si>
    <t>The value of a real number; any number that is either rational (fractions) or irrational (numbers with non-recurring decimal representation).</t>
  </si>
  <si>
    <t>In computing, any number with a fractional (or decimal) part; for example, the value 3.14159265358979 . Real numbers are also called floating point numbers. The phrase 'real number' is often shortened to simply 'real'.</t>
  </si>
  <si>
    <t>Embankment Type Code</t>
  </si>
  <si>
    <t>A coded domain value denoting an embankment type.</t>
  </si>
  <si>
    <t>Emergency Planning Zone Type Code</t>
  </si>
  <si>
    <t>A coded domain category denoting an emergency planning zone type.</t>
  </si>
  <si>
    <t>Emergency Response Vehicle Type Code</t>
  </si>
  <si>
    <t>A coded domain value denoting an emergency response vehicle type.</t>
  </si>
  <si>
    <t>Engine Test Cell Type Code</t>
  </si>
  <si>
    <t>A coded domain value denoting an engine test cell type.</t>
  </si>
  <si>
    <t>Engineered Earthwork Type  Code</t>
  </si>
  <si>
    <t>A coded domain value denoting an engineered earthwork type.</t>
  </si>
  <si>
    <t>Enhanced Fujita Tornado Scale Code</t>
  </si>
  <si>
    <t>A coded domain category denoting an enhanced fujita tornado scale.</t>
  </si>
  <si>
    <t>Entity Identifier Type Code</t>
  </si>
  <si>
    <t>A coded domain value denoting an entity identifier type.</t>
  </si>
  <si>
    <t>Entrance and/or Exit Closure Method Code</t>
  </si>
  <si>
    <t>A coded domain value denoting an entrance and/or exit closure method.</t>
  </si>
  <si>
    <t>Entrance and/or Exit Type Code</t>
  </si>
  <si>
    <t>A coded domain value denoting an entrance and/or exit type.</t>
  </si>
  <si>
    <t>Equivalent Scale Category Codelist</t>
  </si>
  <si>
    <t>A codelist, each domain member of which denotes an equivalent scale category.</t>
  </si>
  <si>
    <t>Equivalent Scale Structured Text</t>
  </si>
  <si>
    <t>A structured text value specifying an equivalent scale.</t>
  </si>
  <si>
    <t>A value representing an equivalent scale, as specified by ISO 19115:2003, B.2.10.5 Line 391, MD_Medium.</t>
  </si>
  <si>
    <t>Evacuation Route Use Code</t>
  </si>
  <si>
    <t>A coded domain category denoting an evacuation route use.</t>
  </si>
  <si>
    <t>Event Date and Time Structured Text</t>
  </si>
  <si>
    <t>A structured text value specifying an event date and, optionally, time.</t>
  </si>
  <si>
    <t>Event Local Time Structured Text</t>
  </si>
  <si>
    <t>A structured text value specifying an event local time.</t>
  </si>
  <si>
    <t>Existence Certainty Category Code</t>
  </si>
  <si>
    <t>A coded domain value denoting an existence certainty category.</t>
  </si>
  <si>
    <t>Extraction Mine Type Code</t>
  </si>
  <si>
    <t>A coded domain value denoting an extraction mine type.</t>
  </si>
  <si>
    <t>Extraction Specification Codelist</t>
  </si>
  <si>
    <t>A codelist, each domain member of which denotes an extraction specification.</t>
  </si>
  <si>
    <t>Fabrication Facility Type Code</t>
  </si>
  <si>
    <t>A coded domain value denoting a fabrication facility type.</t>
  </si>
  <si>
    <t>Facility Operational Status Code</t>
  </si>
  <si>
    <t>A coded domain value denoting a facility operational status.</t>
  </si>
  <si>
    <t>Facility Type Code</t>
  </si>
  <si>
    <t>A coded domain value denoting a facility type.</t>
  </si>
  <si>
    <t>Farming Method Code</t>
  </si>
  <si>
    <t>A coded domain value denoting a farming method.</t>
  </si>
  <si>
    <t>Farming Pattern Code</t>
  </si>
  <si>
    <t>A coded domain value denoting a farming pattern.</t>
  </si>
  <si>
    <t>Feature Configuration Code</t>
  </si>
  <si>
    <t>A coded domain value denoting a feature configuration.</t>
  </si>
  <si>
    <t>Feature Extraction Process Code</t>
  </si>
  <si>
    <t>A coded domain value denoting a feature extraction process.</t>
  </si>
  <si>
    <t>Feature Function Code</t>
  </si>
  <si>
    <t>A coded domain value denoting a feature function(s).</t>
  </si>
  <si>
    <t>Fence Function Code</t>
  </si>
  <si>
    <t>A coded domain category denoting a fence function.</t>
  </si>
  <si>
    <t>Fence Type Code</t>
  </si>
  <si>
    <t>A coded domain value denoting a fence type.</t>
  </si>
  <si>
    <t>Ferry Crossing Type Code</t>
  </si>
  <si>
    <t>A coded domain value denoting a ferry crossing type.</t>
  </si>
  <si>
    <t>Final Approach Alignment Code</t>
  </si>
  <si>
    <t>A coded domain value denoting a final approach alignment.</t>
  </si>
  <si>
    <t>Final Approach Guidance System Code</t>
  </si>
  <si>
    <t>A coded domain value denoting a final approach guidance system.</t>
  </si>
  <si>
    <t>FIPS 10-4 Country Codelist (alpha2)</t>
  </si>
  <si>
    <t>A codelist, each domain member of which denotes a FIPS 10-4 country using a two character code.</t>
  </si>
  <si>
    <t>A two-character alphanumeric code that includes only the letters 'A' through 'Z'; punctuation marks are not allowed.</t>
  </si>
  <si>
    <t>FIPS 10-4 Principal Administrative Division Codelist (alpha4)</t>
  </si>
  <si>
    <t>A codelist, each domain member of which denotes a FIPS 10-4 principal administrative division.</t>
  </si>
  <si>
    <t>A four-character alphanumeric code that includes only the letters 'A' through 'Z' and digits '0' through '9'; punctuation marks are not allowed. The last two characters may be blank filled if principal administrative division information is either unknown or is not required.</t>
  </si>
  <si>
    <t>FIPS 10-4 Principal Administrative Division Extension Codelist (alpha2)</t>
  </si>
  <si>
    <t>A codelist, each domain member of which denotes a FIPS 10-4 principal administrative division using a two character extension code.</t>
  </si>
  <si>
    <t>A two-character alphanumeric code that includes only the letters 'A' through 'Z' and digits '0' through '9'; punctuation marks are not allowed.</t>
  </si>
  <si>
    <t>Fire Extinguishing Agent Type Code</t>
  </si>
  <si>
    <t>A coded domain value denoting a fire extinguishing agent type.</t>
  </si>
  <si>
    <t>First Detection Date and Time Structured Text</t>
  </si>
  <si>
    <t>A structured text value specifying a first detection date and time.</t>
  </si>
  <si>
    <t>Fishing Activity Level Code</t>
  </si>
  <si>
    <t>A coded domain value denoting a fishing activity level.</t>
  </si>
  <si>
    <t>Fishing Gear Type Code</t>
  </si>
  <si>
    <t>A coded domain value denoting a fishing gear type.</t>
  </si>
  <si>
    <t>Flight Rule Type Code</t>
  </si>
  <si>
    <t>A coded domain value denoting a flight rule type.</t>
  </si>
  <si>
    <t>Floating Barrier Type Code</t>
  </si>
  <si>
    <t>A coded domain value denoting a floating barrier type.</t>
  </si>
  <si>
    <t>Flood Control Structure Type Code</t>
  </si>
  <si>
    <t>A coded domain value denoting a flood control structure type.</t>
  </si>
  <si>
    <t>Fog Signal Type Code</t>
  </si>
  <si>
    <t>A coded domain value denoting a fog signal type.</t>
  </si>
  <si>
    <t>Foliage Type Code</t>
  </si>
  <si>
    <t>A coded domain value denoting a foliage type.</t>
  </si>
  <si>
    <t>Fortified Building Type Code</t>
  </si>
  <si>
    <t>A coded domain value denoting a fortified building type.</t>
  </si>
  <si>
    <t>Frequency Classification Code</t>
  </si>
  <si>
    <t>A coded domain value denoting a frequency classification.</t>
  </si>
  <si>
    <t>Frozen Cover Type Code</t>
  </si>
  <si>
    <t>A coded domain value denoting a frozen cover type.</t>
  </si>
  <si>
    <t>Fuel Storage Method Code</t>
  </si>
  <si>
    <t>A coded domain value denoting a fuel storage method.</t>
  </si>
  <si>
    <t>Fujita Tornado Scale Code</t>
  </si>
  <si>
    <t>A coded domain category denoting a fujita tornado scale.</t>
  </si>
  <si>
    <t>Gate Use Code</t>
  </si>
  <si>
    <t>A coded domain value denoting a gate use.</t>
  </si>
  <si>
    <t>Generic Name Structured Text</t>
  </si>
  <si>
    <t>A structured text value specifying a generic scoped and local name structure for a type or attribute name in the context of a namespace.</t>
  </si>
  <si>
    <t>A ScopedName contains a LocalName as head and a GenericName, which might be a LocalName or a ScopedName, as tail.</t>
  </si>
  <si>
    <t>A value representing a Generic Name, as specified by ISO/TS 19101:2005, 6.5.6.3 GenericName.</t>
  </si>
  <si>
    <t>Geodesic</t>
  </si>
  <si>
    <t>A pair of distinct points joined by a geodesic curve (defined from the ellipsoid or geoid model used by the coordinate reference system).</t>
  </si>
  <si>
    <t>Geodesic String</t>
  </si>
  <si>
    <t>A sequence of geodesic segments (defined from the ellipsoid or geoid model used by the coordinate reference system).</t>
  </si>
  <si>
    <t>GeodeticDatumCode</t>
  </si>
  <si>
    <t>Geodetic Datum Code</t>
  </si>
  <si>
    <t>A coded domain value denoting a geodetic datum.</t>
  </si>
  <si>
    <t>Geodetic Datum Codelist</t>
  </si>
  <si>
    <t>A codelist, each domain member of which denotes a geodetic datum.</t>
  </si>
  <si>
    <t>Geographic Name Class Structured Text</t>
  </si>
  <si>
    <t>A structured text value specifying a geographic name class.</t>
  </si>
  <si>
    <t>A single character from the set { 'A': Administrative region; 'H': Hydrographic (including ocean areas within the 12 nautical mile limit of sovereignty); 'L: Locality or area; 'P': Populated place; 'R': Streets, highways, roads, or railroad; 'S': Spot feature; 'T': Hypsographic; ''U': Undersea (located under an ocean outside the 12 nautical mile limit of sovereignty); 'V': Vegetation }.</t>
  </si>
  <si>
    <t>Geographic Name Designation Structured Text</t>
  </si>
  <si>
    <t>A structured text value specifying a geographic name designation.</t>
  </si>
  <si>
    <t>A two to five-character alphanumeric code that includes only the letters A through Z and digits 0 through 9.</t>
  </si>
  <si>
    <t>Geographic Name Type Code</t>
  </si>
  <si>
    <t>A coded domain value denoting a geographic name type.</t>
  </si>
  <si>
    <t>Geolocation Code Structured Text</t>
  </si>
  <si>
    <t>A structured text value specifying a geolocation code.</t>
  </si>
  <si>
    <t>Four alphanumeric characters where alphabetic characters range from 'A' to 'Z', numeric characters range from '0' to '9', and a limited set of punctuation characters may occasionally be employed: the period or decimal point ('.'); the comma (','); the colon (':'); the open and close parenthesis ('(' and ')'); and the hyphen, dash, or minus sign ('-').</t>
  </si>
  <si>
    <t>Geomorphic Type Code</t>
  </si>
  <si>
    <t>A coded domain value denoting a geomorphic type.</t>
  </si>
  <si>
    <t>Geoname Character Set Code</t>
  </si>
  <si>
    <t>A coded domain value denoting a geoname character set.</t>
  </si>
  <si>
    <t>Geopolitical Entity Type Code</t>
  </si>
  <si>
    <t>A coded domain value denoting a geopolitical entity type.</t>
  </si>
  <si>
    <t>Geopolitical Line Type Code</t>
  </si>
  <si>
    <t>A coded domain value denoting a geopolitical line type.</t>
  </si>
  <si>
    <t>Geospatial Extent Structured Text</t>
  </si>
  <si>
    <t>A structured text value specifying a geospatial extent.</t>
  </si>
  <si>
    <t>A value representing a geospatial extent, as specified by ISO 19115:2003, B.3.1.1 Line 334, EX_Extent.</t>
  </si>
  <si>
    <t>Geothermal Outlet Type Code</t>
  </si>
  <si>
    <t>A coded domain value denoting a geothermal outlet type.</t>
  </si>
  <si>
    <t>GIDI Feature Identifier Structured Text</t>
  </si>
  <si>
    <t>A structured text value specifying a GIDI feature identifier.</t>
  </si>
  <si>
    <t>In general the identifier follows the form of a UUID as '{01234567-89AB-CDEF-0123-456789ABCDEF}', however both packed representations ('01234567-89AB-CDEF-0123-456789ABCDEF' and '0123456789ABCDEF0123456789ABCDEF') and legacy representations ('CENTCOM-123-4567890') may exist.</t>
  </si>
  <si>
    <t>GNSS Constellation Code</t>
  </si>
  <si>
    <t>A coded domain value denoting a GNSS constellation.</t>
  </si>
  <si>
    <t>Grading Type Code</t>
  </si>
  <si>
    <t>A coded domain value denoting a grading type.</t>
  </si>
  <si>
    <t>Grid Variation Date and Time Structured Text</t>
  </si>
  <si>
    <t>A structured text value specifying a grid variation date and time.</t>
  </si>
  <si>
    <t>Hangar Type Category Code</t>
  </si>
  <si>
    <t>A coded domain value denoting a hangar type category.</t>
  </si>
  <si>
    <t>Harbour Facility Function Code</t>
  </si>
  <si>
    <t>A coded domain value denoting a harbour facility function.</t>
  </si>
  <si>
    <t>Hazard Shelter Intended Use Code</t>
  </si>
  <si>
    <t>A coded domain value denoting a hazard shelter intended use.</t>
  </si>
  <si>
    <t>Health Care Capability Code</t>
  </si>
  <si>
    <t>A coded domain category denoting a health care capability.</t>
  </si>
  <si>
    <t>Helicopter Performance Class Code</t>
  </si>
  <si>
    <t>A coded domain value denoting a helicopter performance class.</t>
  </si>
  <si>
    <t>Helipad Associated Facility Code</t>
  </si>
  <si>
    <t>A coded domain value denoting a helipad associated facility.</t>
  </si>
  <si>
    <t>High Water Month Interval Structured Text</t>
  </si>
  <si>
    <t>A structured text value specifying a high water month interval.</t>
  </si>
  <si>
    <t>Formatted in accordance with ISO 8601:2000, 5.2.1, Calendar date - month, as a single data element comprising five characters as two pairs of digits separated by a solidus ('/') where the first [MM] digit-pair represents the ordinal number of a calendar month within the calendar year, and the second [MM] digit-pair the ordinal number of a subsequent calendar month within the same or subsequent calendar year, as 'MM/MM' (for example: '03/09' for March through September). Either of the months may be left unspecified by the use of '--' (for example: '11/--' for November through an unspecified ending month).</t>
  </si>
  <si>
    <t>Historic Significance Code</t>
  </si>
  <si>
    <t>A coded domain value denoting a historic significance.</t>
  </si>
  <si>
    <t>HITS Test Zone Code</t>
  </si>
  <si>
    <t>A coded domain value denoting a HITS test zone.</t>
  </si>
  <si>
    <t>Holding Procedure Type Code</t>
  </si>
  <si>
    <t>A coded domain value denoting a holding procedure type.</t>
  </si>
  <si>
    <t>Horizontal Accuracy Category Code</t>
  </si>
  <si>
    <t>A coded domain value denoting a horizontal accuracy category.</t>
  </si>
  <si>
    <t>Horizontal Positional Accuracy with Reason</t>
  </si>
  <si>
    <t>The difference between the recorded horizontal coordinate value(s) of a feature and its true position referenced to the same geodetic datum expressed as a linear error at 90 percent probability for a single coordinate value or a circular error at 90 perce</t>
  </si>
  <si>
    <t>The domain of values is a real number. For example, 10.0 (as in the accuracy in metres).</t>
  </si>
  <si>
    <t>The geodetic datum to which the coordinate(s) are referenced and with respect to which the horizontal positional accuracy was determined.</t>
  </si>
  <si>
    <t>horizEvalMethod</t>
  </si>
  <si>
    <t>Evaluation Method</t>
  </si>
  <si>
    <t>The method by which the horizontal positional accuracy was determined.</t>
  </si>
  <si>
    <t>Hulk Type Code</t>
  </si>
  <si>
    <t>A coded domain value denoting a hulk type.</t>
  </si>
  <si>
    <t>Human Hazard Code</t>
  </si>
  <si>
    <t>A coded domain value denoting a human hazard.</t>
  </si>
  <si>
    <t>Humanitarian Relief Administrative Region Type Code</t>
  </si>
  <si>
    <t>A coded domain category denoting a humanitarian relief administrative region type.</t>
  </si>
  <si>
    <t>Hydrographic Base Sounding Datum Code</t>
  </si>
  <si>
    <t>A coded domain value denoting a hydrographic base sounding datum.</t>
  </si>
  <si>
    <t>Hydrographic NAVAID System Code</t>
  </si>
  <si>
    <t>A coded domain value denoting a hydrographic NAVAID system.</t>
  </si>
  <si>
    <t>Hydrologic Persistence Code</t>
  </si>
  <si>
    <t>A coded domain value denoting a hydrologic persistence.</t>
  </si>
  <si>
    <t>Hypsography Portrayal Type Code</t>
  </si>
  <si>
    <t>A coded domain value denoting a hypsography portrayal type.</t>
  </si>
  <si>
    <t>IATA Location Identifier Structured Text</t>
  </si>
  <si>
    <t>A structured text value specifying an IATA location identifier.</t>
  </si>
  <si>
    <t>ICAO Location Indicator Structured Text</t>
  </si>
  <si>
    <t>A structured text value specifying an ICAO location indicator.</t>
  </si>
  <si>
    <t>The 2 letter ICAO code of the State being responsible for the aerodrome in accordance with ICAO Doc7910, followed by either a two-digit integer between 01 and 99 or characters in the range A-Z.</t>
  </si>
  <si>
    <t>ICAO Path Terminator Type Code</t>
  </si>
  <si>
    <t>A coded domain value denoting an ICAO path terminator type.</t>
  </si>
  <si>
    <t>A value uniquely identifying an object within a namespace.</t>
  </si>
  <si>
    <t>Authority</t>
  </si>
  <si>
    <t>An alphanumeric value identifying an instance in the namespace.</t>
  </si>
  <si>
    <t>The code value must be specified.</t>
  </si>
  <si>
    <t>Identifier Structured Text</t>
  </si>
  <si>
    <t>A structured text value specifying an identifier.</t>
  </si>
  <si>
    <t>A value representing an identifier, as specified by ISO 19115:2003, B.2.7.3 Line 205, MD_Identifier.</t>
  </si>
  <si>
    <t>Image Rectification Method Code</t>
  </si>
  <si>
    <t>A coded domain value denoting an image rectification method.</t>
  </si>
  <si>
    <t>An index domain value.</t>
  </si>
  <si>
    <t>The domain of values is an integer that is used for identification. For example, 44762 (as in the number assigned to a prison inmate).</t>
  </si>
  <si>
    <t>The realization of this Index datatype is implementation-dependent.</t>
  </si>
  <si>
    <t>IndexReason</t>
  </si>
  <si>
    <t>Index with Reason</t>
  </si>
  <si>
    <t>An index domain value accompanied by metadata specifying the reason that the value may be absent.</t>
  </si>
  <si>
    <t>Index Value</t>
  </si>
  <si>
    <t>The value of an index, an integer that is used for identification.</t>
  </si>
  <si>
    <t>For example, an integer that identifies an array element.</t>
  </si>
  <si>
    <t>Influence Mine Actuation Method Code</t>
  </si>
  <si>
    <t>A coded domain value denoting an influence mine actuation method.</t>
  </si>
  <si>
    <t>Inland Water Type Code</t>
  </si>
  <si>
    <t>A coded domain value denoting an inland water type.</t>
  </si>
  <si>
    <t>Installation Type Code</t>
  </si>
  <si>
    <t>A coded domain value denoting an installation type.</t>
  </si>
  <si>
    <t>Instrument Approach Procedure (IAP) Fix Role Code</t>
  </si>
  <si>
    <t>A coded domain value denoting an instrument approach procedure fix role.</t>
  </si>
  <si>
    <t>Instrument Landing System (ILS) Facility Performance Category Code</t>
  </si>
  <si>
    <t>A coded domain value denoting an Instrument Landing System (ILS) facility performance category.</t>
  </si>
  <si>
    <t>Instrument Procedure Additional Equipment Code</t>
  </si>
  <si>
    <t>A coded domain value denoting an instrument procedure additional equipment.</t>
  </si>
  <si>
    <t>An integer domain value.</t>
  </si>
  <si>
    <t>The domain of values is an integer. For example, 6 (as in the length of a fathom in feet).</t>
  </si>
  <si>
    <t>The realization of this Integer datatype is implementation-dependent.</t>
  </si>
  <si>
    <t>IntegerIntervalReason</t>
  </si>
  <si>
    <t>Integer Interval with Reason</t>
  </si>
  <si>
    <t>An integer-interval accompanied by metadata specifying the reason that the value may be absent.</t>
  </si>
  <si>
    <t>The domain of values is an integer interval.</t>
  </si>
  <si>
    <t>Integer Interval Lower-value</t>
  </si>
  <si>
    <t>The lower-value of an integer-interval, the first member of a pair of integers that represent all of the numbers between the two and possibly including one and/or the other depending on the interval closure.</t>
  </si>
  <si>
    <t>For example, the value 13 as the included lower end of the interval: [-3 ... 15].</t>
  </si>
  <si>
    <t>Integer Interval Upper-value</t>
  </si>
  <si>
    <t>The upper-value of an integer-interval, the second member of a pair of integers that represent all of the numbers between the two and possibly including one and/or the other depending on the interval closure.</t>
  </si>
  <si>
    <t>For example, the value 15 as the included upper end of the interval: [-3 ... 15].</t>
  </si>
  <si>
    <t>The closure conditions of the two endpoints of the integer-interval.</t>
  </si>
  <si>
    <t>For example, the bounded interval [lowerValue, upperValue].</t>
  </si>
  <si>
    <t>IntegerReason</t>
  </si>
  <si>
    <t>Integer with Reason</t>
  </si>
  <si>
    <t>An integer domain value accompanied by metadata specifying the reason that the value may be absent.</t>
  </si>
  <si>
    <t>Integer Value</t>
  </si>
  <si>
    <t>The value of an integer; a whole number.</t>
  </si>
  <si>
    <t>A positive or negative whole number or zero: (..., -3, -2, -1, 0, 1, 2, 3, ...)</t>
  </si>
  <si>
    <t>Integer: 0 to 120</t>
  </si>
  <si>
    <t>An integer domain value that is restricted to fall in the range from zero to 120, inclusive.</t>
  </si>
  <si>
    <t>0</t>
  </si>
  <si>
    <t>120</t>
  </si>
  <si>
    <t>Integer: 0 to 359</t>
  </si>
  <si>
    <t>An integer domain value that is restricted to fall in the range from zero to 359, inclusive.</t>
  </si>
  <si>
    <t>359</t>
  </si>
  <si>
    <t>International Gravimetric Bureau (IGB) Unique Station Code Structured Text</t>
  </si>
  <si>
    <t>A structured text value specifying an International Gravimetric Bureau (IGB) unique station code.</t>
  </si>
  <si>
    <t>A 6 digit positive (non-zero) integer.</t>
  </si>
  <si>
    <t>Intersection Control Type Code</t>
  </si>
  <si>
    <t>A coded domain value denoting an intersection control type.</t>
  </si>
  <si>
    <t>The closure conditions of the two endpoints of a numeric interval.</t>
  </si>
  <si>
    <t>Interval endpoint notation uses the parenthesis to specify that the endpoint is excluded from the interval (the continuous interval extends to, but does not include, the endpoint) and the square bracket to specify that the endpoint is included in the interval (the continuous interval extends to and includes the endpoint). For example, the unbounded interval [lowerValue, +infinity) where the lower endpoint is included and there is no upper endpoint.</t>
  </si>
  <si>
    <t>Inundation Date and Time Structured Text</t>
  </si>
  <si>
    <t>A structured text value specifying an inundation date and, optionally, time.</t>
  </si>
  <si>
    <t>Inundation Type Code</t>
  </si>
  <si>
    <t>A coded domain value denoting an inundation type.</t>
  </si>
  <si>
    <t>Irrigation Method Code</t>
  </si>
  <si>
    <t>A coded domain value denoting an irrigation method.</t>
  </si>
  <si>
    <t>ISO 15924 Script Code Structured Text</t>
  </si>
  <si>
    <t>A structured text value specifying an ISO 15924 script code.</t>
  </si>
  <si>
    <t>The four-letter codes shall be written with an initial capital Latin letter and final small Latin letters (taken from the range Aaaa to Zzzz). This serves to help differentiate script codes from language codes and country codes: so, for example, 'Mong mon MON' or 'Mong mn MN' would refer to a book in the Mongolian script, in the Mongolian language, originating in Mongolia.</t>
  </si>
  <si>
    <t>ISO 3166-1 Country Codelist (alpha2)</t>
  </si>
  <si>
    <t>A codelist, each domain member of which denotes an ISO 3166-1 country using a two character code.</t>
  </si>
  <si>
    <t>A two-character alphanumeric code that includes only combinations, in upper case, of letters drawn from the 26-character Roman alphabet (ignoring diacritic signs) in the range 'AA' to 'ZZ'.</t>
  </si>
  <si>
    <t>ISO 3166-1 Country Codelist (alpha3)</t>
  </si>
  <si>
    <t>A codelist, each domain member of which denotes an ISO 3166-1 country using a three character code.</t>
  </si>
  <si>
    <t>A three-character alphanumeric code that includes only combinations, in upper case, of letters drawn from the 26-character Roman alphabet (ignoring diacritic signs) in the range 'AAA' to 'ZZZ'.</t>
  </si>
  <si>
    <t>ISO 3166-1 Country Codelist (numeric)</t>
  </si>
  <si>
    <t>A codelist, each domain member of which denotes an ISO 3166-1 country using a numeric code.</t>
  </si>
  <si>
    <t>A three-character numeric code that includes only combinations of three digits in the range '000' to '899'.</t>
  </si>
  <si>
    <t>ISO 3166-2 Country Subdivision Codelist (alpha5)</t>
  </si>
  <si>
    <t>A codelist, each domain member of which denotes an ISO 3166-2 country sub-division using a four, five, or six character code.</t>
  </si>
  <si>
    <t>A four, five or six-character alphanumeric code that includes only, in upper case, letters drawn from the 26-character Roman alphabet (ignoring diacritic signs), the digits 0 through 9, and the hyphen ('-'). The first two characters are the ISO 3166-1 country code, which is followed by a hyphen and then the country subdivision code. The country subdivision code consists of one, two or three alphabetical and/or numeric characters.</t>
  </si>
  <si>
    <t>ISO 3166-2 Country Subdivision Extension Codelist (alpha3)</t>
  </si>
  <si>
    <t>A codelist, each domain member of which denotes an ISO 3166-2 country sub-division using a one, two, or three character extension code.</t>
  </si>
  <si>
    <t>A one, two or three-character alphanumeric code that includes only the letters A through Z and digits 0 through 9.</t>
  </si>
  <si>
    <t>ISO 3166-3 Former Country Codelist (alpha4)</t>
  </si>
  <si>
    <t>A codelist, each domain member of which denotes an ISO 3166-3 former country using a four character code.</t>
  </si>
  <si>
    <t>A four-character alphanumeric code that includes only combinations, in upper case, of letters drawn from the 26-character Roman alphabet (ignoring diacritic signs). The first two characters are the withdrawn country code from ISO 3166-1, while the last two characters are either: the ISO 3166-1 country code that replaced it, the ISO 3166-1 code of the country that absorbed the country whose code is withdrawn, or the special code 'HH' to indicate that there is no single successor code.</t>
  </si>
  <si>
    <t>Jet Aircraft Starting Unit (JASU) Type Code</t>
  </si>
  <si>
    <t>A coded domain value denoting a jet aircraft starting unit type.</t>
  </si>
  <si>
    <t>JOG Sheet Number Structured Text</t>
  </si>
  <si>
    <t>A structured text value specifying a JOG sheet number.</t>
  </si>
  <si>
    <t>The JOG sheet number is the number of the basic IMW sheet within which it lies (which is designated by a 4-character alphanumeric code), together with dash ('-') and the number of the numerically designated position the JOG sheet occupies within the encompassing IMW sheet (for example: 'NO51-16'). See MIL-J-89100 'Joint Operations Graphics Series 1501A and 1501 (JOG Air/Ground)' for the method of determination. The IMW alphanumeric system designation system is based on 4 arc degree by 6 arc degree quadrangles. Latitudinally, the quadrangles are labeled with the letters 'A' through 'W' beginning at the Equator and moving away from the Equator in 4 arc degree increments. Latitudes above the Equator are preceded by 'N' (north) and those below the Equator are preceded by 'S' (south). Longitudinally they are numbered from 1 through 60 beginning at the 180 degree date line in the Pacific Ocean and moving around the world easterly in 6 arc degree increments.</t>
  </si>
  <si>
    <t>A key domain value that has no restrictions on lexicality or length.</t>
  </si>
  <si>
    <t>The domain of values is a character string that is used for identification. For example, 'AJ4362'.</t>
  </si>
  <si>
    <t>KeyReason</t>
  </si>
  <si>
    <t>Key with Reason</t>
  </si>
  <si>
    <t>A key domain value accompanied by metadata specifying the reason that the value may be absent.</t>
  </si>
  <si>
    <t>Key Value</t>
  </si>
  <si>
    <t>The value of a key, a character string that is used for identification.</t>
  </si>
  <si>
    <t>For example, the value '110-34-5678', a Social Security number.</t>
  </si>
  <si>
    <t>Key: Non-lexical; 18 characters</t>
  </si>
  <si>
    <t>A key domain value that contains only non-lexical characters and is 18 characters in maximum length.</t>
  </si>
  <si>
    <t>Key: Non-lexical; 24 characters</t>
  </si>
  <si>
    <t>A key domain value that contains only non-lexical characters and is 24 characters in maximum length.</t>
  </si>
  <si>
    <t>Key: Non-lexical; 254 characters</t>
  </si>
  <si>
    <t>A key domain value that contains only non-lexical characters and is 254 characters in maximum length.</t>
  </si>
  <si>
    <t>Key: Non-lexical; 40 characters</t>
  </si>
  <si>
    <t>A key domain value that contains only non-lexical characters and is 40 characters in maximum length.</t>
  </si>
  <si>
    <t>Key: Non-lexical; 5 characters</t>
  </si>
  <si>
    <t>A key domain value that contains only non-lexical characters and is 5 characters in maximum length.</t>
  </si>
  <si>
    <t>Key: Non-lexical; 80 characters</t>
  </si>
  <si>
    <t>A key domain value that contains only non-lexical characters and is 80 characters in maximum length.</t>
  </si>
  <si>
    <t>Keyword Type Codelist</t>
  </si>
  <si>
    <t>A codelist, each domain member of which denotes the method used to group a set of similar keywords.</t>
  </si>
  <si>
    <t>Land Morphology Code</t>
  </si>
  <si>
    <t>A coded domain value denoting a land morphology.</t>
  </si>
  <si>
    <t>Landslide Hazard Category Code</t>
  </si>
  <si>
    <t>A coded domain category denoting a landslide hazard category.</t>
  </si>
  <si>
    <t>Language Codelist</t>
  </si>
  <si>
    <t>A codelist, each domain member of which denotes a language.</t>
  </si>
  <si>
    <t>Language Dialect Structured Text</t>
  </si>
  <si>
    <t>A structured text value specifying a language dialect.</t>
  </si>
  <si>
    <t>Language Structured Text</t>
  </si>
  <si>
    <t>A structured text value specifying a language.</t>
  </si>
  <si>
    <t>Last Detection Date and Time Structured Text</t>
  </si>
  <si>
    <t>A structured text value specifying a last detection date and time.</t>
  </si>
  <si>
    <t>Last Recorded Eruption Date and Time Structured Text</t>
  </si>
  <si>
    <t>A structured text value specifying a last recorded eruption date and, optionally, time.</t>
  </si>
  <si>
    <t>Light System Intensity Code</t>
  </si>
  <si>
    <t>A coded domain value denoting a light system intensity.</t>
  </si>
  <si>
    <t>Light System Intensity Variability Code</t>
  </si>
  <si>
    <t>A coded domain value denoting a light system intensity variability.</t>
  </si>
  <si>
    <t>Light Visibility Code</t>
  </si>
  <si>
    <t>A coded domain value denoting a light visibility.</t>
  </si>
  <si>
    <t>Line Segment</t>
  </si>
  <si>
    <t>A pair of points joined by a straight (linearly interpolated in the coordinate reference system) line.</t>
  </si>
  <si>
    <t>Line String</t>
  </si>
  <si>
    <t>A sequence of straight (linearly interpolated in the coordinate reference system) line segments.</t>
  </si>
  <si>
    <t>Linear Feature Arrangement Code</t>
  </si>
  <si>
    <t>A coded domain value denoting a linear feature arrangement.</t>
  </si>
  <si>
    <t>Load Classification Number (LCN) Validity Code</t>
  </si>
  <si>
    <t>A coded domain value denoting a load classification number (LCN) validity.</t>
  </si>
  <si>
    <t>Location Referenced to Shoreline Code</t>
  </si>
  <si>
    <t>A coded domain value denoting a location referenced to shoreline.</t>
  </si>
  <si>
    <t>A coded domain value denoting a low visibility holding position category.</t>
  </si>
  <si>
    <t>Low Water Month Interval Structured Text</t>
  </si>
  <si>
    <t>A structured text value specifying a low water month interval.</t>
  </si>
  <si>
    <t>Magnetic Variation Date Structured Text</t>
  </si>
  <si>
    <t>A structured text value specifying a magnetic variation date.</t>
  </si>
  <si>
    <t>MMDDYYYY</t>
  </si>
  <si>
    <t>A structured text value specifying a maintenance date and time.</t>
  </si>
  <si>
    <t>Marine Biogeography Code</t>
  </si>
  <si>
    <t>A coded domain value denoting a marine biogeography.</t>
  </si>
  <si>
    <t>Marine Farm Enclosure Method Code</t>
  </si>
  <si>
    <t>A coded domain value denoting a marine farm enclosure method.</t>
  </si>
  <si>
    <t>Marine Species Code</t>
  </si>
  <si>
    <t>A coded domain value denoting a marine species.</t>
  </si>
  <si>
    <t>Marine Species Habitat Code</t>
  </si>
  <si>
    <t>A coded domain value denoting a marine species habitat.</t>
  </si>
  <si>
    <t>Maritime Aggressive Action Code</t>
  </si>
  <si>
    <t>A coded domain value denoting a maritime aggressive action.</t>
  </si>
  <si>
    <t>Maritime Aggressor Transport Code</t>
  </si>
  <si>
    <t>A coded domain value denoting a maritime aggressor transport.</t>
  </si>
  <si>
    <t>Maritime Area Restriction Code</t>
  </si>
  <si>
    <t>A coded domain value denoting a maritime area restriction.</t>
  </si>
  <si>
    <t>Maritime Bottom Characteristic Structured Text</t>
  </si>
  <si>
    <t>A structured text value specifying a maritime bottom characteristic.</t>
  </si>
  <si>
    <t>A value representing an array of { quality, color, material } triples, for example 'sticky, yellow, mud'.</t>
  </si>
  <si>
    <t>Maritime Caution Type Code</t>
  </si>
  <si>
    <t>A coded domain value denoting a maritime caution type.</t>
  </si>
  <si>
    <t>Maritime Geopolitical Limit Type Code</t>
  </si>
  <si>
    <t>A coded domain value denoting a maritime geopolitical limit type.</t>
  </si>
  <si>
    <t>Maritime Light Type Code</t>
  </si>
  <si>
    <t>A coded domain value denoting a maritime light type.</t>
  </si>
  <si>
    <t>Maritime Navigation Beacon Structure Type Code</t>
  </si>
  <si>
    <t>A coded domain value denoting a maritime navigation beacon structure type.</t>
  </si>
  <si>
    <t>Maritime Navigation Beacon Type Code</t>
  </si>
  <si>
    <t>A coded domain value denoting a maritime navigation beacon type.</t>
  </si>
  <si>
    <t>Maritime Navigation Line Features Code</t>
  </si>
  <si>
    <t>A coded domain value denoting a maritime navigation line features.</t>
  </si>
  <si>
    <t>Maritime Navigation Restriction Code</t>
  </si>
  <si>
    <t>A coded domain value denoting a maritime navigation restriction.</t>
  </si>
  <si>
    <t>Maritime Radiobeacon Type Code</t>
  </si>
  <si>
    <t>A coded domain value denoting a maritime radiobeacon type.</t>
  </si>
  <si>
    <t>Maritime Station Type Code</t>
  </si>
  <si>
    <t>A coded domain value denoting a maritime station type.</t>
  </si>
  <si>
    <t>Maritime Traffic Separation Scheme Component Code</t>
  </si>
  <si>
    <t>A coded domain value denoting a maritime traffic separation scheme component.</t>
  </si>
  <si>
    <t>Marker Radio Beacon Class Code</t>
  </si>
  <si>
    <t>A coded domain value denoting a marker radio beacon class.</t>
  </si>
  <si>
    <t>Marker Radio Beacon Type Code</t>
  </si>
  <si>
    <t>A coded domain value denoting a marker radio beacon type.</t>
  </si>
  <si>
    <t>Medical Facility Type Code</t>
  </si>
  <si>
    <t>A coded domain category denoting a medical facility type.</t>
  </si>
  <si>
    <t>Memorandum Type Code</t>
  </si>
  <si>
    <t>A coded domain value denoting a memorandum type.</t>
  </si>
  <si>
    <t>Message Date Time Active Structured Text</t>
  </si>
  <si>
    <t>A structured text value specifying a message date, and optionally time, active.</t>
  </si>
  <si>
    <t>MGRS Location Structured Text</t>
  </si>
  <si>
    <t>A structured text value specifying an MGRS location.</t>
  </si>
  <si>
    <t>The world is generally divided into 6 arc degree by 8 arc degree geographic areas, each of which is given a unique identification, termed the 'Grid Zone Designation', encoded by a 3 character alphanumeric value (for example: '13H'). These areas are covered by a pattern of 100,000-metre squares, with each square identified by a 2-character alphabetic value (for example: 'AA') that is unique within the grid zone. Within a square the location is designated by a 5-digit metre-based offset eastwards followed by a 5-digit metre-based offset northwards, from the southwest corner of the square (for example: '0015502350'). The location within the square may be truncated to lesser precision, resulting in either a 10-digit offset (full 1 metre precision) or an 8-digit, 6-digit, 4-digit, or 2-digit (10 kilometre precision) offset. See DMA Technical Manual 8358.1 'Datums, Ellipsoids, Grids, and Grid Reference Systems' for the method of calculation.</t>
  </si>
  <si>
    <t>Microwave Landing System (MLS) Channel Code</t>
  </si>
  <si>
    <t>A coded domain value denoting a microwave landing system channel.</t>
  </si>
  <si>
    <t>Microwave Landing System (MLS) Unit Association Type Code</t>
  </si>
  <si>
    <t>A coded domain value denoting a microwave landing system unit association type.</t>
  </si>
  <si>
    <t>Military Route Use Code</t>
  </si>
  <si>
    <t>A coded domain value denoting a military route use.</t>
  </si>
  <si>
    <t>Military Service Branch Code</t>
  </si>
  <si>
    <t>A coded domain value denoting a military service branch.</t>
  </si>
  <si>
    <t>Mine Acoustic Sensitivity Code</t>
  </si>
  <si>
    <t>A coded domain value denoting a mine acoustic sensitivity.</t>
  </si>
  <si>
    <t>Mine Allegiance Code</t>
  </si>
  <si>
    <t>A coded domain value denoting a mine allegiance.</t>
  </si>
  <si>
    <t>Mine Anti-Hunting Capability Code</t>
  </si>
  <si>
    <t>A coded domain value denoting a mine anti-hunting capability.</t>
  </si>
  <si>
    <t>Mine Anti-Recovery Capability Code</t>
  </si>
  <si>
    <t>A coded domain value denoting a mine anti-recovery capability.</t>
  </si>
  <si>
    <t>Mine Anti-Sweep Wire Capability Code</t>
  </si>
  <si>
    <t>A coded domain value denoting a mine anti-sweep wire capability.</t>
  </si>
  <si>
    <t>Mine Autonomy Type Code</t>
  </si>
  <si>
    <t>A coded domain value denoting a mine autonomy type.</t>
  </si>
  <si>
    <t>Mine Cableless Control Method Code</t>
  </si>
  <si>
    <t>A coded domain value denoting a mine cableless control method.</t>
  </si>
  <si>
    <t>Mine Control Method Code</t>
  </si>
  <si>
    <t>A coded domain value denoting a mine control method.</t>
  </si>
  <si>
    <t>Mine Magnetic Sensitivity Code</t>
  </si>
  <si>
    <t>A coded domain value denoting a mine magnetic sensitivity.</t>
  </si>
  <si>
    <t>Mine Self-Actuation Method Code</t>
  </si>
  <si>
    <t>A coded domain value denoting a mine self-actuation method.</t>
  </si>
  <si>
    <t>Mine Special Capability Code</t>
  </si>
  <si>
    <t>A coded domain value denoting a mine special capability.</t>
  </si>
  <si>
    <t>Minehunting Status Code</t>
  </si>
  <si>
    <t>A coded domain value denoting a minehunting status.</t>
  </si>
  <si>
    <t>Minimum Climb Gradient Structured Text</t>
  </si>
  <si>
    <t>A structured text value specifying a minimum climb gradient.</t>
  </si>
  <si>
    <t>Either a two digit numeric percentage, '01''to '99', or up to four digits ('0' to '9') with no leading zeros followed by '/NM'. If the digits are not followed by '/NM' then the value is assumed to be a percentage slope (rise/run).</t>
  </si>
  <si>
    <t>Missile Site Type Code</t>
  </si>
  <si>
    <t>A coded domain value denoting a missile site type.</t>
  </si>
  <si>
    <t>Modification Date and Time Structured Text</t>
  </si>
  <si>
    <t>A structured text value specifying a modification date and time.</t>
  </si>
  <si>
    <t>Modified Mercalli Intensity Code</t>
  </si>
  <si>
    <t>A coded domain category denoting a modified mercalli intensity.</t>
  </si>
  <si>
    <t>Monitoring Method Code</t>
  </si>
  <si>
    <t>A coded domain value denoting a monitoring method.</t>
  </si>
  <si>
    <t>Mooring and/or Warping Facility Type Code</t>
  </si>
  <si>
    <t>A coded domain value denoting a mooring and/or warping facility type.</t>
  </si>
  <si>
    <t>Mooring Type Code</t>
  </si>
  <si>
    <t>A coded domain value denoting a mooring type.</t>
  </si>
  <si>
    <t>Multi-curve</t>
  </si>
  <si>
    <t>Multiple Light Ranges Structured Text</t>
  </si>
  <si>
    <t>A structured text value specifying a multiple light ranges.</t>
  </si>
  <si>
    <t>The numbers are separated by a slash (/) if only two visibilities exist, or by a dash ('-') separating the greatest and least visibilities if three or more exist.</t>
  </si>
  <si>
    <t>Multi-point</t>
  </si>
  <si>
    <t>Multi-solid</t>
  </si>
  <si>
    <t>Multi-surface</t>
  </si>
  <si>
    <t>Name Effective Date and Time Structured Text</t>
  </si>
  <si>
    <t>A structured text value specifying a name effective date and time.</t>
  </si>
  <si>
    <t>Name Termination Date and Time Structured Text</t>
  </si>
  <si>
    <t>A structured text value specifying a name termination date and time.</t>
  </si>
  <si>
    <t>Named Location Type Code</t>
  </si>
  <si>
    <t>A coded domain value denoting a named location type.</t>
  </si>
  <si>
    <t>National Monument or Icon Category Code</t>
  </si>
  <si>
    <t>A coded domain category denoting a national monument or icon category.</t>
  </si>
  <si>
    <t>Natural Pool Type Code</t>
  </si>
  <si>
    <t>A coded domain value denoting a natural pool type.</t>
  </si>
  <si>
    <t>NAVAID Class Code</t>
  </si>
  <si>
    <t>A coded domain value denoting a NAVAID class.</t>
  </si>
  <si>
    <t>Naval Firing and/or Practice Type Code</t>
  </si>
  <si>
    <t>A coded domain value denoting a naval firing and/or practice type.</t>
  </si>
  <si>
    <t>Naval Mine Intended Use Code</t>
  </si>
  <si>
    <t>A coded domain value denoting a naval mine intended use.</t>
  </si>
  <si>
    <t>Naval Mine Positioning Code</t>
  </si>
  <si>
    <t>A coded domain value denoting a naval mine positioning.</t>
  </si>
  <si>
    <t>Naval Operations Type Code</t>
  </si>
  <si>
    <t>A coded domain value denoting a naval operations type.</t>
  </si>
  <si>
    <t>Navigability Information Code</t>
  </si>
  <si>
    <t>A coded domain value denoting a navigability information.</t>
  </si>
  <si>
    <t>Navigation Aid Point Angular Indication Structured Text</t>
  </si>
  <si>
    <t>A structured text value specifying a navigation aid point angular indication.</t>
  </si>
  <si>
    <t>The first three characters are either 'RDL' (Radial) or 'BRG' (Bearing), followed by a space, followed by a 3 digit angular value measured from True North in the range '000'-'359', followed by a space, followed by a three character navigation aid identifier. For example: 'RDL 237 FFM' or 'BRG 040 SIB'.</t>
  </si>
  <si>
    <t>Navigation Aid Point Distance Indication Structured Text</t>
  </si>
  <si>
    <t>A structured text value specifying a navigation aid point distance indication.</t>
  </si>
  <si>
    <t>An up to three digit numeric value with no leading zeros, followed by a space, followed by a designation of the unit of measure as one of: 'NM' (Nautical Mile), 'KM' (Kilometre), or 'SM' (Statute Mile), followed by a space, followed by the three character navigation aid identifier. For example: '37 NM FFM'.</t>
  </si>
  <si>
    <t>Navigation Light Characteristic Code</t>
  </si>
  <si>
    <t>A coded domain value denoting a navigation light characteristic.</t>
  </si>
  <si>
    <t>Navigation Mark Colour Code</t>
  </si>
  <si>
    <t>A coded domain value denoting a navigation mark colour.</t>
  </si>
  <si>
    <t>Navigation Service Checkpoint Type Code</t>
  </si>
  <si>
    <t>A coded domain value denoting a navigation service checkpoint type.</t>
  </si>
  <si>
    <t>Navigation System Type Code</t>
  </si>
  <si>
    <t>A coded domain value denoting a navigation system type.</t>
  </si>
  <si>
    <t>Nomadic Seasonal Location Code</t>
  </si>
  <si>
    <t>A coded domain value denoting a nomadic seasonal location.</t>
  </si>
  <si>
    <t>Non-building Structure Type Code</t>
  </si>
  <si>
    <t>A coded domain value denoting a non-building structure type.</t>
  </si>
  <si>
    <t>Non-negative Integer</t>
  </si>
  <si>
    <t>An integer domain value that is restricted to be non-negative.</t>
  </si>
  <si>
    <t>A real domain value that is restricted to be non-negative.</t>
  </si>
  <si>
    <t>The realization of this Real datatype is implementation-dependent.</t>
  </si>
  <si>
    <t>Non-negative Real Interval</t>
  </si>
  <si>
    <t>A real-interval domain value that is restricted to be non-negative.</t>
  </si>
  <si>
    <t>A structured text value specifying a non-spatial source date and time.</t>
  </si>
  <si>
    <t>Non-spatial Source Type Codelist</t>
  </si>
  <si>
    <t>A codelist, each domain member of which denotes a non-spatial source type.</t>
  </si>
  <si>
    <t>Non-submarine Contact Reporting Agency Type Code</t>
  </si>
  <si>
    <t>A coded domain value denoting a non-submarine contact reporting agency type.</t>
  </si>
  <si>
    <t>North Reference Type Code</t>
  </si>
  <si>
    <t>A coded domain value denoting a north reference type.</t>
  </si>
  <si>
    <t>Object Existence Certainty Category Code</t>
  </si>
  <si>
    <t>A coded domain value denoting an object existance certainty category.</t>
  </si>
  <si>
    <t>Oceanographic Front Indicator Code</t>
  </si>
  <si>
    <t>A coded domain value denoting na oceanographic front indicator.</t>
  </si>
  <si>
    <t>Oceanographic Front Type Code</t>
  </si>
  <si>
    <t>A coded domain value denoting an oceanographic front type.</t>
  </si>
  <si>
    <t>Offshore Construction Primary Structure Code</t>
  </si>
  <si>
    <t>A coded domain value denoting an offshore construction primary structure.</t>
  </si>
  <si>
    <t>Offshore Construction Support Structure Code</t>
  </si>
  <si>
    <t>A coded domain value denoting an offshore construction support structure.</t>
  </si>
  <si>
    <t>Offshore Positioning Method Code</t>
  </si>
  <si>
    <t>A coded domain value denoting an offshore positioning method.</t>
  </si>
  <si>
    <t>CI_OnlineFunctionCode</t>
  </si>
  <si>
    <t>Online Function Codelist</t>
  </si>
  <si>
    <t>A codelist, each domain member of which denotes a function performed by an online resource.</t>
  </si>
  <si>
    <t>Information about online sources from which the dataset, specification, or community profile name and extended metadata elements can be obtained.</t>
  </si>
  <si>
    <t>linkage</t>
  </si>
  <si>
    <t>Linkage</t>
  </si>
  <si>
    <t>The location (address) for online access using a Uniform Resource Locator (URL) address or similar addressing scheme.</t>
  </si>
  <si>
    <t>For example: http://www.statkart.no/isotc211. The linkage must be specified.</t>
  </si>
  <si>
    <t>protocol</t>
  </si>
  <si>
    <t>Protocol</t>
  </si>
  <si>
    <t>The connection protocol to be used.</t>
  </si>
  <si>
    <t>For example: Hypertext Transport Protocol (HTTP).</t>
  </si>
  <si>
    <t>applicationProfile</t>
  </si>
  <si>
    <t>Application Profile</t>
  </si>
  <si>
    <t>The name of an application profile that can be used with the online resource.</t>
  </si>
  <si>
    <t>The name of the online resource.</t>
  </si>
  <si>
    <t>A detailed text description of what the online resource is and/or does.</t>
  </si>
  <si>
    <t>function</t>
  </si>
  <si>
    <t>Function</t>
  </si>
  <si>
    <t>The function performed by the online resource.</t>
  </si>
  <si>
    <t>Resource Online Function Code</t>
  </si>
  <si>
    <t>Online Resource Structured Text</t>
  </si>
  <si>
    <t>A structured text value specifying an online resource.</t>
  </si>
  <si>
    <t>A value representing an online resource, as specified by ISO 19115:2003, B.3.2.5, CI_OnlineResource.</t>
  </si>
  <si>
    <t>Operating Agency Code</t>
  </si>
  <si>
    <t>A coded domain value denoting an operating agency.</t>
  </si>
  <si>
    <t>Operating Cycle Code</t>
  </si>
  <si>
    <t>A coded domain value denoting an operating cycle.</t>
  </si>
  <si>
    <t>Operating Restriction Code</t>
  </si>
  <si>
    <t>A coded domain value denoting an operating restriction.</t>
  </si>
  <si>
    <t>Operational Readiness Status Code</t>
  </si>
  <si>
    <t>A coded domain value denoting an operational readiness status.</t>
  </si>
  <si>
    <t>Operations End Date and Time Structured Text</t>
  </si>
  <si>
    <t>A structured text value specifying an operations end date and time.</t>
  </si>
  <si>
    <t>Operations Start Date and Time Structured Text</t>
  </si>
  <si>
    <t>A structured text value specifying an operations start date and time.</t>
  </si>
  <si>
    <t>Overhead Obstruction Type Code</t>
  </si>
  <si>
    <t>A coded domain value denoting an overhead obstruction type.</t>
  </si>
  <si>
    <t>Passenger Service Type Code</t>
  </si>
  <si>
    <t>A coded domain value denoting a passenger service type.</t>
  </si>
  <si>
    <t>Pavement Type for PCN Determination Code</t>
  </si>
  <si>
    <t>A coded domain value denoting a pavement type for PCN determination.</t>
  </si>
  <si>
    <t>PCN Evaluation Method Code</t>
  </si>
  <si>
    <t>A coded domain value denoting a PCN evaluation method.</t>
  </si>
  <si>
    <t>PCN Maximum Allowable Tire Pressure Category Code</t>
  </si>
  <si>
    <t>A coded domain value denoting a PCN maximum allowable tire pressure category.</t>
  </si>
  <si>
    <t>PCN Pavement Subgrade Strength Category Code</t>
  </si>
  <si>
    <t>A coded domain value denoting a PCN pavement subgrade strength category.</t>
  </si>
  <si>
    <t>Periodic Marine Current Month Interval Structured Text</t>
  </si>
  <si>
    <t>A structured text value specifying a periodic marine current month interval.</t>
  </si>
  <si>
    <t>Periodic Month Interval Structured Text</t>
  </si>
  <si>
    <t>A structured text value specifying a periodic month interval.</t>
  </si>
  <si>
    <t>Periodic Restriction Month Interval Structured Text</t>
  </si>
  <si>
    <t>A structured text value specifying a periodic restriction month interval.</t>
  </si>
  <si>
    <t>Physical Condition Code</t>
  </si>
  <si>
    <t>A coded domain value denoting a physical condition.</t>
  </si>
  <si>
    <t>Pilot Boarding Method Code</t>
  </si>
  <si>
    <t>A coded domain value denoting a pilot boarding method.</t>
  </si>
  <si>
    <t>Pipeline Type Code</t>
  </si>
  <si>
    <t>A coded domain value denoting a pipeline type.</t>
  </si>
  <si>
    <t>Point</t>
  </si>
  <si>
    <t>A surface patch that is defined by a set of boundary curves and an underlying surface to which these curves adhere.</t>
  </si>
  <si>
    <t>Polyhedral Surface</t>
  </si>
  <si>
    <t>A set of polygons connected along their common boundary curves.</t>
  </si>
  <si>
    <t>Populated Place Relative Importance Structured Text</t>
  </si>
  <si>
    <t>A structured text value specifying a populated place relative importance.</t>
  </si>
  <si>
    <t>A single digit in { 1, 2, 3, 4, 5 } where a 1 on the scale indicates relatively high importance and a 5 on the scale indicates relatively low importance.</t>
  </si>
  <si>
    <t>Portable Aggressor Weapon Code</t>
  </si>
  <si>
    <t>A coded domain value denoting a portable aggressor weapon.</t>
  </si>
  <si>
    <t>Positive Integer</t>
  </si>
  <si>
    <t>An integer domain value that is restricted to be strictly positive (strictly greater than zero).</t>
  </si>
  <si>
    <t>Zero is excluded.</t>
  </si>
  <si>
    <t>Power Source Code</t>
  </si>
  <si>
    <t>A coded domain value denoting a power source.</t>
  </si>
  <si>
    <t>Presence Date Interval Structured Text</t>
  </si>
  <si>
    <t>A structured text value specifying a presence date interval.</t>
  </si>
  <si>
    <t>Formatted in accordance with ISO 8601:2000, 5.5, Time-intervals, as a single data element comprising up to seventeen characters, where the first [YYYY] represents a calendar year, [MM] the ordinal number of a calendar month within the calendar year, and [DD] the ordinal number of a day within the calendar month of the start of the time interval, followed by a solidus '/', followed by the second [YYYY] representing a calendar year, [MM] the ordinal number of a calendar month within the calendar year, and [DD] the ordinal number of a day within the calendar month of the end of the time interval as 'YYYYMMDD/YYYYMMDD' (for example: '19850412/19871007' for 12 April 1985 through 7 October 1987). Either of the dates may be left unspecified by the use of '--------' (for example: '19861201/--------' for 1 December 1986 through an unspecified ending date). Other truncated date representations in accordance with ISO 8601:2000 may be used.</t>
  </si>
  <si>
    <t>Primary Structural Material Characteristic Code</t>
  </si>
  <si>
    <t>A coded domain value denoting a primary structural material characteristic.</t>
  </si>
  <si>
    <t>Primary Structural Material Type Code</t>
  </si>
  <si>
    <t>A coded domain value denoting a primary structural material type.</t>
  </si>
  <si>
    <t>Procedure Design Criteria Code</t>
  </si>
  <si>
    <t>A coded domain value denoting a procedure design criteria.</t>
  </si>
  <si>
    <t>Procedure Minima Type Code</t>
  </si>
  <si>
    <t>A coded domain value denoting a procedure minima type.</t>
  </si>
  <si>
    <t>Procedure Segment Time Structured Text</t>
  </si>
  <si>
    <t>A structured text value specifying a procedure segment time.</t>
  </si>
  <si>
    <t>The first two digits ('0' to '9') specify a number of minutes and the last two digits ('00' to '59') specify a number of seconds, with the conuts of minutes and seconds separated by a colon (':').</t>
  </si>
  <si>
    <t>Process Step Date and Time Structured Text</t>
  </si>
  <si>
    <t>A structured text value specifying a process step date and time.</t>
  </si>
  <si>
    <t>For a single date and time, formatted in accordance with ISO 8601:2000, 5.4.1, Combinations of date and time of day - Complete representation - Extended format, a calendar date and time representation, as a single data element comprising up to twenty characters, where [YYYY] represents a calendar year, [MM] the ordinal number of a calendar month within the calendar year, [DD] the ordinal number of a day within the calendar month, [hh] the ordinal number of an hour within the calendar day, [mm] the ordinal number of a minute within the hour, [ss] the ordinal number of a second within the minute, and an optional 'Z' when the time is according to Coordinated Universal Time (UTC), as 'YYYY-MM-DDThh:mm:ssZ' (for example: '1985-04-12T11:45:20Z' for 11 hours, 45 minutes and 20 seconds UTC on 12 April 1985). Representations with reduced precision may be used in accordance with 5.4.2 (for example: '1985-04-12' for 12 April 1985). Representations consistently using basic format (eliminating the hyphen '-' and the colon ':') may be used in accordance with 5.4.1 (for example: '19850412T114520Z'). For a range of date and time, formatted in accordance with ISO 8601:2000, 5.5.4.1, Representation of time-intervals identified by start and end - Extended format, as a single data element comprising up to forty-one characters, using an expression in accordance with 5.5.2 combining any two date and time of the day representations as defined in 5.4.1, as 'YYYY-MM-DDThh:mm:ssZ/YYYY-MM-DDThh:mm:ssZ' (for example: '1985-04-12T11:45:20Z/1985-07-01T08:23:50Z' for 11 hours, 45 minutes and 20 seconds UTC on 12 April 1985 through 8 hours, 23 minutes and 50 seconds UTC on 1 July 1985). Representations with reduced precision may be used in accordance with 5.4.2 (for example: '1985-04-12/1985-07-01' for 12 April 1985 through 1 July 1985). Representations consistently using basic format (eliminating the hyphen '-' and the colon ':') may be used in accordance with 5.4.1 (for example: '19850412/19850701'). Either of the dates may be left unspecified by the use of '--------' (for example: '19850412/--------' for 12 April 1985 through an unspecified ending date).</t>
  </si>
  <si>
    <t>Product Code</t>
  </si>
  <si>
    <t>A coded domain value denoting a product.</t>
  </si>
  <si>
    <t>Pylon Configuration Code</t>
  </si>
  <si>
    <t>A coded domain value denoting a pylon configuration.</t>
  </si>
  <si>
    <t>Pylon Material Code</t>
  </si>
  <si>
    <t>A coded domain value denoting a pylon material.</t>
  </si>
  <si>
    <t>Racing Type Code</t>
  </si>
  <si>
    <t>A coded domain category denoting a racing type.</t>
  </si>
  <si>
    <t>Racing Vehicle Type Code</t>
  </si>
  <si>
    <t>A coded domain category denoting a racing vehicle type.</t>
  </si>
  <si>
    <t>Radar Antenna Configuration Code</t>
  </si>
  <si>
    <t>A coded domain value denoting a radar antenna configuration.</t>
  </si>
  <si>
    <t>Radar Significance Code</t>
  </si>
  <si>
    <t>A coded domain value denoting a radar significance.</t>
  </si>
  <si>
    <t>Radar Station Function Code</t>
  </si>
  <si>
    <t>A coded domain value denoting a radar station function.</t>
  </si>
  <si>
    <t>Radio Communication Direction Code</t>
  </si>
  <si>
    <t>A coded domain value denoting a radio communication direction.</t>
  </si>
  <si>
    <t>Radio Emission Class Code</t>
  </si>
  <si>
    <t>A coded domain value denoting a radio emission class.</t>
  </si>
  <si>
    <t>Radio Navigation Service Coverage Type Code</t>
  </si>
  <si>
    <t>A coded domain value denoting a radio navigation service coverage type.</t>
  </si>
  <si>
    <t>Radio Navigation Service Limitation Type Code</t>
  </si>
  <si>
    <t>A coded domain value denoting a radio navigation service limitation type.</t>
  </si>
  <si>
    <t>Railway Class Code</t>
  </si>
  <si>
    <t>A coded domain value denoting a railway class.</t>
  </si>
  <si>
    <t>Railway Gauge Classification Code</t>
  </si>
  <si>
    <t>A coded domain value denoting a railway gauge classification.</t>
  </si>
  <si>
    <t>Railway Power Method Code</t>
  </si>
  <si>
    <t>A coded domain value denoting a railway power method.</t>
  </si>
  <si>
    <t>Railway Use Code</t>
  </si>
  <si>
    <t>A coded domain value denoting a railway use.</t>
  </si>
  <si>
    <t>Rapid Class Code</t>
  </si>
  <si>
    <t>A coded domain value denoting a rapid class.</t>
  </si>
  <si>
    <t>Raw Material Code</t>
  </si>
  <si>
    <t>A coded domain value denoting a raw material.</t>
  </si>
  <si>
    <t>A real domain value.</t>
  </si>
  <si>
    <t>The domain of values is a real number. For example, 98.6 (as in the normal human body temperature in degrees Fahrenheit).</t>
  </si>
  <si>
    <t>Real Interval</t>
  </si>
  <si>
    <t>A real-interval domain value.</t>
  </si>
  <si>
    <t>The domain of values is a real number interval.</t>
  </si>
  <si>
    <t>RealIntervalReason</t>
  </si>
  <si>
    <t>Real Interval with Reason</t>
  </si>
  <si>
    <t>A real-interval domain value accompanied by metadata specifying the reason that the value may be absent.</t>
  </si>
  <si>
    <t>Real Interval: 0 to 100</t>
  </si>
  <si>
    <t>A real-interval domain value that is restricted to be completely contained in the range from 0 to 100, inclusive.</t>
  </si>
  <si>
    <t>100</t>
  </si>
  <si>
    <t>Real Interval: 0 to 360</t>
  </si>
  <si>
    <t>A real-interval domain value that is restricted to be completely contained in the range from 0 to 360, inclusive.</t>
  </si>
  <si>
    <t>360</t>
  </si>
  <si>
    <t>RealReason</t>
  </si>
  <si>
    <t>Real with Reason</t>
  </si>
  <si>
    <t>A real domain value accompanied by metadata specifying the reason that the value may be absent.</t>
  </si>
  <si>
    <t>Real: 0 to 359</t>
  </si>
  <si>
    <t>A real domain value that is restricted to fall in the range from 0 to 359, inclusive.</t>
  </si>
  <si>
    <t>Real: 0 to 359.9</t>
  </si>
  <si>
    <t>A real domain value that is restricted to fall in the range from 0 to 359.9, inclusive.</t>
  </si>
  <si>
    <t>359.9</t>
  </si>
  <si>
    <t>Real: 0 to 360</t>
  </si>
  <si>
    <t>A real domain value that is restricted to fall in the range from 0 to 360, inclusive.</t>
  </si>
  <si>
    <t>Real: 0.00 to 4.99</t>
  </si>
  <si>
    <t>A real domain value that is restricted to fall in the range from 0.00 to 4.99, inclusive.</t>
  </si>
  <si>
    <t>0.00</t>
  </si>
  <si>
    <t>4.99</t>
  </si>
  <si>
    <t>Real: -180 to 180</t>
  </si>
  <si>
    <t>A real domain value that is restricted to fall in the range from -180 to 180, inclusive.</t>
  </si>
  <si>
    <t>-180</t>
  </si>
  <si>
    <t>180</t>
  </si>
  <si>
    <t>Red Cross Administrative Region Type Code</t>
  </si>
  <si>
    <t>A coded domain category denoting a red cross administrative region type.</t>
  </si>
  <si>
    <t>Reduced Vertical Separation Minimum (RVSM) Point Type Code</t>
  </si>
  <si>
    <t>A coded domain value denoting a reduced vertical separation minimum point type.</t>
  </si>
  <si>
    <t>Reference Path Identifier Structured Text</t>
  </si>
  <si>
    <t>A structured text value specifying a reference path identifier.</t>
  </si>
  <si>
    <t>A four character string composed of alpha-numeric characters in the range 'A' to 'Z' and '0' to '9', where the leading character of the designator references the system providing the service (for example: 'W' for WAAS, 'E' for EGNOS, and 'M' for MSAS); this is followed by the two-digit runway number. The last character is assigned starting with the letter 'A' to designate the first procedure for the runway; successive letters, excluding the three letters 'C', 'L', and 'R', designate each additional procedure for the runway. For example, an aerodrome has 3 parallel runways where the left and right runways have both a straight-in procedure and an offset procedure, while the centre runway has a straight-in procedure only. The following (extreme) examples would be applicable: 'W09A' and 'W09B' would designate the two unique final approach segment data blocks to Rwy '09L'; 'W09D' would designate the final approach segment data block for Rwy '09C'; and 'W09E' and 'W09F' would designate the final approach segment data blocks for Rwy '09R'.</t>
  </si>
  <si>
    <t>Reference Point Determination Method Code</t>
  </si>
  <si>
    <t>A coded domain value denoting a reference point determination method.</t>
  </si>
  <si>
    <t>Reference Station Data Selector Structured Text</t>
  </si>
  <si>
    <t>A structured text value specifying a reference station data selector.</t>
  </si>
  <si>
    <t>A two digit value in the range '00' through '48'.</t>
  </si>
  <si>
    <t>Reference System Identifier Structured Text</t>
  </si>
  <si>
    <t>A structured text value specifying a reference system identifier.</t>
  </si>
  <si>
    <t>A value representing a reference system identifier, as specified by ISO 19115:2003, B.2.7.3 Line 208, RS_Identifier.</t>
  </si>
  <si>
    <t>Reference Water Level Code</t>
  </si>
  <si>
    <t>A coded domain value denoting a reference water level.</t>
  </si>
  <si>
    <t>Regulatory Sign Type Code</t>
  </si>
  <si>
    <t>A coded domain value denoting a regulatory sign type.</t>
  </si>
  <si>
    <t>Relative Level Code</t>
  </si>
  <si>
    <t>A coded domain value denoting a relative level.</t>
  </si>
  <si>
    <t>Religious Designation Code</t>
  </si>
  <si>
    <t>A coded domain value denoting a religious designation.</t>
  </si>
  <si>
    <t>Religious Facility Type Code</t>
  </si>
  <si>
    <t>A coded domain value denoting a religious facility type.</t>
  </si>
  <si>
    <t>Remote Sensing Mine Actuation Method Code</t>
  </si>
  <si>
    <t>A coded domain value denoting a remote sensing mine actuation method.</t>
  </si>
  <si>
    <t>Resource Association Type Codelist</t>
  </si>
  <si>
    <t>A codelist, each domain member of which denotes the basis (justification) for relating one resource to another.</t>
  </si>
  <si>
    <t>Resource Atomic Energy Markings Structured Text</t>
  </si>
  <si>
    <t>One or more indicators identifying information controlled under the U.S.Atomic Energy Act.</t>
  </si>
  <si>
    <t>A character string consisting of an ordered list of space-separated codelist values. The codelist domain is specified by the (US) Intelligence Community implementation profile for information security markings.</t>
  </si>
  <si>
    <t>Resource Classification Codelist</t>
  </si>
  <si>
    <t>A codelist, each domain member of which denotes a security classification that is applicable to an information resource.</t>
  </si>
  <si>
    <t>A one or two-character alphabetic code drawn from a codelist domain specified by the (US) Intelligence Community implementation profile for information security markings.</t>
  </si>
  <si>
    <t>Resource Content Originator Codelist</t>
  </si>
  <si>
    <t>A codelist, each domain member of which denotes a resource content originator.</t>
  </si>
  <si>
    <t>Resource Controlled Unclassified Information Category Code</t>
  </si>
  <si>
    <t>A coded domain value denoting a resource CUI category.</t>
  </si>
  <si>
    <t>A coded domain value denoting a resource data presentation form.</t>
  </si>
  <si>
    <t>Resource Date of Exempted Source Structured Text</t>
  </si>
  <si>
    <t>A structured text value specifying the resource date of exempted source.</t>
  </si>
  <si>
    <t>Formatted in accordance with ISO 8601:2000, a calendar date representation, as a single data element comprising ten characters, where [YYYY] represents a calendar year, [MM] the ordinal number of a calendar month within the calendar year, and [DD] the ordinal number of a day within the calendar month, where the three components are separated by the hyphen '-' character (for example: '1985-04-12').</t>
  </si>
  <si>
    <t>Resource Declassification Date Structured Text</t>
  </si>
  <si>
    <t>A structured text value specifying a resource declassification date.</t>
  </si>
  <si>
    <t>Resource Declassification Exception Codelist</t>
  </si>
  <si>
    <t>A codelist, each domain member of which denotes a declassification exception that is applicable to an information resource.</t>
  </si>
  <si>
    <t>A four- to ten-character alphanumeric code drawn from a codelist domain specified by the (US) Intelligence Community implementation profile for information security markings.</t>
  </si>
  <si>
    <t>Resource Dissemination Controls Structured Text</t>
  </si>
  <si>
    <t>A structured text consisting of a sequence of values that are individually drawn from a codelist, each domain member of which denotes a dissemination control that is applicable to an information resource.</t>
  </si>
  <si>
    <t>Resource Foreign Government Information (Open Source) Structured Text</t>
  </si>
  <si>
    <t>A structured text consisting of a sequence of values that are individually drawn from a codelist, each domain member of which denotes a foreign government information (open source) that is applicable to an information resource.</t>
  </si>
  <si>
    <t>Resource Foreign Government Information (Protected Source) Structured Text</t>
  </si>
  <si>
    <t>A structured text consisting of a sequence of values that are individually drawn from a codelist, each domain member of which denotes a foreign government information (protected source) that is applicable to an information resource.</t>
  </si>
  <si>
    <t>Resource Non-Intelligence Community Markings Structured Text</t>
  </si>
  <si>
    <t>A structured text consisting of a sequence of values that are individually drawn from a codelist, each domain member of which denotes a non-intelligence community marking that is applicable to an information resource.</t>
  </si>
  <si>
    <t>Resource Non-US Controls Structured Text</t>
  </si>
  <si>
    <t>A coded domain value denoting a resource online function.</t>
  </si>
  <si>
    <t>Resource Owner-Producer Structured Text</t>
  </si>
  <si>
    <t>A structured text consisting of a sequence of values that are individually drawn from a codelist, each domain member of which denotes an owner-producer that is applicable to an information resource.</t>
  </si>
  <si>
    <t>Resource Progress Codelist</t>
  </si>
  <si>
    <t>A codelist, each domain member of which denotes a status of the dataset or progress of a review.</t>
  </si>
  <si>
    <t>Resource Releasability To Structured Text</t>
  </si>
  <si>
    <t>A structured text consisting of a sequence of values that are individually drawn from a codelist, each domain member of which denotes a releasability-to that is applicable to an information resource.</t>
  </si>
  <si>
    <t>CI_RoleCode</t>
  </si>
  <si>
    <t>Resource Role Code</t>
  </si>
  <si>
    <t>A coded domain value denoting a resource role.</t>
  </si>
  <si>
    <t>Resource Role Codelist</t>
  </si>
  <si>
    <t>A codelist, each domain member of which denotes a function performed by the party responsible for a resource.</t>
  </si>
  <si>
    <t>Resource SCI Controls Structured Text</t>
  </si>
  <si>
    <t>A structured text consisting of a sequence of values that are individually drawn from a codelist, each domain member of which denotes an SCI control that is applicable to an information resource.</t>
  </si>
  <si>
    <t>Resource Special-Access-Required Program Identifier Structured Text</t>
  </si>
  <si>
    <t>A structured text consisting of a sequence of values that are individually drawn from a codelist, each domain member of which denotes an identifier of a special-access-required program that is applicable to an information resource.</t>
  </si>
  <si>
    <t>Resource Type of Exempted Source Codelist</t>
  </si>
  <si>
    <t>A codelist, each domain member of which denotes a type of exempted source that is applicable to an information resource.</t>
  </si>
  <si>
    <t>A two- to four-character alphanumeric code drawn from a codelist domain specified by the (US) Intelligence Community implementation profile for information security markings.</t>
  </si>
  <si>
    <t>Identification of, and means of communication with, person(s) and/or organisation(s) associated with a dataset.</t>
  </si>
  <si>
    <t>individualName</t>
  </si>
  <si>
    <t>Individual Name</t>
  </si>
  <si>
    <t>The name of the responsible person.</t>
  </si>
  <si>
    <t>Constructed as: surname, given name, and then title separated by a delimiter. Should be documented if both the organization and position names are not.</t>
  </si>
  <si>
    <t>organisationName</t>
  </si>
  <si>
    <t>Organisation Name</t>
  </si>
  <si>
    <t>The name of the responsible organisation.</t>
  </si>
  <si>
    <t>Should be documented if both the individual and position names are not.</t>
  </si>
  <si>
    <t>positionName</t>
  </si>
  <si>
    <t>Position Name</t>
  </si>
  <si>
    <t>The role or position of the responsible person.</t>
  </si>
  <si>
    <t>Should be documented if both the individual and organization names are not.</t>
  </si>
  <si>
    <t>The address of the responsible party.</t>
  </si>
  <si>
    <t>role</t>
  </si>
  <si>
    <t>Role</t>
  </si>
  <si>
    <t>The function performed by the responsible party.</t>
  </si>
  <si>
    <t>The responsible party role must be specified.</t>
  </si>
  <si>
    <t>Responsible Party Structured Text</t>
  </si>
  <si>
    <t>A structured text value specifying a responsible party.</t>
  </si>
  <si>
    <t>A value representing a responsible party, as specified by ISO 19115:2003, B.3.2.1 Line 374, CI_ResponsibleParty.</t>
  </si>
  <si>
    <t>Restriction Codelist</t>
  </si>
  <si>
    <t>A codelist, each domain member of which denotes a limitation placed upon the access to, or use of, a resource.</t>
  </si>
  <si>
    <t>Road Interchange Type Code</t>
  </si>
  <si>
    <t>A coded domain value denoting a road interchange type.</t>
  </si>
  <si>
    <t>Road Weather Restriction Code</t>
  </si>
  <si>
    <t>A coded domain value denoting a road weather restriction.</t>
  </si>
  <si>
    <t>Roadway Type Code</t>
  </si>
  <si>
    <t>A coded domain value denoting a roadway type.</t>
  </si>
  <si>
    <t>Rock Formation Structure Code</t>
  </si>
  <si>
    <t>A coded domain value denoting a rock formation structure.</t>
  </si>
  <si>
    <t>Roof Shape Code</t>
  </si>
  <si>
    <t>A coded domain value denoting a roof shape.</t>
  </si>
  <si>
    <t>Route Constriction Type Code</t>
  </si>
  <si>
    <t>A coded domain value denoting a route constriction type.</t>
  </si>
  <si>
    <t>Route Designation Type Code</t>
  </si>
  <si>
    <t>A coded domain value denoting a route designation type.</t>
  </si>
  <si>
    <t>Route Expansion Type Code</t>
  </si>
  <si>
    <t>A coded domain value denoting a route expansion type.</t>
  </si>
  <si>
    <t>Route Identification Structured Text</t>
  </si>
  <si>
    <t>A structured text value specifying a route identification.</t>
  </si>
  <si>
    <t>A value representing a route designation, a route designation type, and optional additional information.</t>
  </si>
  <si>
    <t>Route Intended Use Code</t>
  </si>
  <si>
    <t>A coded domain value denoting a route intended use.</t>
  </si>
  <si>
    <t>Route Surface Composition Code</t>
  </si>
  <si>
    <t>A coded domain value denoting a route surface composition.</t>
  </si>
  <si>
    <t>Runway Centre-line Location Role Code</t>
  </si>
  <si>
    <t>A coded domain value denoting a runway centre-line location role.</t>
  </si>
  <si>
    <t>Runway Designator Structured Text</t>
  </si>
  <si>
    <t>A structured text value specifying a runway designator.</t>
  </si>
  <si>
    <t>The structure is composed of the two digit runway identifier with suffix of 'L' (left), 'R' (right), 'C' (center) and if denoting both directions separated by a back slash ('\').</t>
  </si>
  <si>
    <t>RunwayIdentifierStrucText</t>
  </si>
  <si>
    <t>Runway Identifier Structured Text</t>
  </si>
  <si>
    <t>A structured text value specifying a runway identifier.</t>
  </si>
  <si>
    <t>A two-digit identifier ranging from 01-36, derived from the runway heading, rounded to the nearest ten degrees and divided by ten. For parallel runways a third character is added to differentiate between left (L), right (R), centre (C), or STOL (S) runway positions.</t>
  </si>
  <si>
    <t>Runway Visual Range Observation Site Code</t>
  </si>
  <si>
    <t>A coded domain value denoting a runway visual range observation site.</t>
  </si>
  <si>
    <t>Sand Dune Type Code</t>
  </si>
  <si>
    <t>A coded domain value denoting a sand dune type.</t>
  </si>
  <si>
    <t>Satellite Based Augmentation System (SBAS) Service Provider  Structured Text</t>
  </si>
  <si>
    <t>A structured text value specifying a Satellite Based Augmentation System (SBAS) service provider.</t>
  </si>
  <si>
    <t>A two digit value in the range '00' through '15'.</t>
  </si>
  <si>
    <t>Satellite Based Augmentation System Code</t>
  </si>
  <si>
    <t>A coded domain value denoting a satellite based augmentation system.</t>
  </si>
  <si>
    <t>Scope Codelist</t>
  </si>
  <si>
    <t>A codelist, each domain member of which denotes a grouping of information within a resource.</t>
  </si>
  <si>
    <t>Scope Description Structured Text</t>
  </si>
  <si>
    <t>A structured text value specifying a detailed description of the level of the data specified by the scope of a resource to which information (for example: data quality) applies.</t>
  </si>
  <si>
    <t>A value representing a scope description, as specified by ISO 19115:2003, B.2.5.2, Row 149, MD_ScopeDescription.</t>
  </si>
  <si>
    <t>Season Code</t>
  </si>
  <si>
    <t>A coded domain value denoting a season.</t>
  </si>
  <si>
    <t>Seasonal Ice Limit Interval Structured Text</t>
  </si>
  <si>
    <t>A structured text value specifying a seasonal ice limit.</t>
  </si>
  <si>
    <t>Secondary Controlling Authority Code</t>
  </si>
  <si>
    <t>A coded domain value denoting a secondary controlling authority.</t>
  </si>
  <si>
    <t>Security Attributes Group Structured Text</t>
  </si>
  <si>
    <t>A structured text value specifying an ICISM security attributes group.</t>
  </si>
  <si>
    <t>A value representing a security attributes group, as specified by IC ISM Version 2.1, 2008-08-19.</t>
  </si>
  <si>
    <t>Sediment Colour Code</t>
  </si>
  <si>
    <t>A coded domain value denoting a sediment colour.</t>
  </si>
  <si>
    <t>Sensor Calibration Point Use Code</t>
  </si>
  <si>
    <t>A coded domain value denoting a sensor calibration point use.</t>
  </si>
  <si>
    <t>Sequence of Signal Structured Text</t>
  </si>
  <si>
    <t>A structured text value specifying a sequence of signal.</t>
  </si>
  <si>
    <t>Information about the series, or aggregate dataset, to which a dataset belongs.</t>
  </si>
  <si>
    <t>The name of the series, or aggregate dataset, of which the dataset is a part.</t>
  </si>
  <si>
    <t>issueIdentification</t>
  </si>
  <si>
    <t>Issue Identification</t>
  </si>
  <si>
    <t>Information identifying the issue of the series.</t>
  </si>
  <si>
    <t>page</t>
  </si>
  <si>
    <t>Page</t>
  </si>
  <si>
    <t>The page(s) or portion(s) of the series (for example: a publication) on which the dataset (for example: an article) appears.</t>
  </si>
  <si>
    <t>Settlement Pattern Code</t>
  </si>
  <si>
    <t>A coded domain value denoting a settlement pattern.</t>
  </si>
  <si>
    <t>Shipping Container Type Code</t>
  </si>
  <si>
    <t>A coded domain value denoting a shipping container type.</t>
  </si>
  <si>
    <t>Shoreline Construction Type Code</t>
  </si>
  <si>
    <t>A coded domain value denoting a shoreline construction type.</t>
  </si>
  <si>
    <t>Shoreline Ramp Type Code</t>
  </si>
  <si>
    <t>A coded domain value denoting a shoreline ramp type.</t>
  </si>
  <si>
    <t>Shoreline Type Code</t>
  </si>
  <si>
    <t>A coded domain value denoting a shoreline type.</t>
  </si>
  <si>
    <t>Shrub Land Type Code</t>
  </si>
  <si>
    <t>A coded domain value denoting a shrub land type.</t>
  </si>
  <si>
    <t>Signal Group Pattern Structured Text</t>
  </si>
  <si>
    <t>A structured text value specifying a signal group pattern.</t>
  </si>
  <si>
    <t>The signal group of a light is encoded using curved brackets to separate the individual groups. A group of signals may be a single number, a chain of numbers separated by '+', a sequence of up to 4 letters or a letter and a number. Where no specific signal group is given for one of the light characteristics, this should be shown by an empty pair of brackets. A fixed light has no signal group. For example, for a Very Quick (6) and Long Flashing light the encoding is '(6)(1)' whereas as for a Fixed and Flashing light the encoding is '()(1)'.</t>
  </si>
  <si>
    <t>Significant Point Association Use in Airspace Code</t>
  </si>
  <si>
    <t>A coded domain value denoting a significant point association use in airspace.</t>
  </si>
  <si>
    <t>Significant Point Relative Location to Airspace Code</t>
  </si>
  <si>
    <t>A coded domain value denoting a significant point relative location to airspace.</t>
  </si>
  <si>
    <t>Sinking Method Code</t>
  </si>
  <si>
    <t>A coded domain value denoting a sinking method.</t>
  </si>
  <si>
    <t>Slaved Variation Date and Time Structured Text</t>
  </si>
  <si>
    <t>A structured text value specifying a slaved variation date and time.</t>
  </si>
  <si>
    <t>Soil Type Code</t>
  </si>
  <si>
    <t>A coded domain value denoting a soil type.</t>
  </si>
  <si>
    <t>Soil Wet Trafficability Type Code</t>
  </si>
  <si>
    <t>A coded domain value denoting a soil wet trafficability type.</t>
  </si>
  <si>
    <t>Soil Wetness Condition Code</t>
  </si>
  <si>
    <t>A coded domain value denoting a soil wetness condition.</t>
  </si>
  <si>
    <t>Solid</t>
  </si>
  <si>
    <t>Sounding Datum Code</t>
  </si>
  <si>
    <t>A coded domain value denoting a sounding datum.</t>
  </si>
  <si>
    <t>Sounding Exposition Code</t>
  </si>
  <si>
    <t>A coded domain value denoting a sounding exposition.</t>
  </si>
  <si>
    <t>Sounding Velocity Correction Method Code</t>
  </si>
  <si>
    <t>A coded domain value denoting a sounding velocity correction method.</t>
  </si>
  <si>
    <t>Source Category Code</t>
  </si>
  <si>
    <t>A coded domain value denoting a source category.</t>
  </si>
  <si>
    <t>Spatial Representation Type Codelist</t>
  </si>
  <si>
    <t>A codelist, each domain member of which denotes a method used to represent geospatial information in a resource.</t>
  </si>
  <si>
    <t>Spatial Resolution Structured Text</t>
  </si>
  <si>
    <t>A structured text value specifying a spatial resolution.</t>
  </si>
  <si>
    <t>A value representing a spatial resolution, as specified by ISO 19115:2003, B2.2.5 Line 59, MD_Resolution.</t>
  </si>
  <si>
    <t>A structured text value specifying a spatial source date and time.</t>
  </si>
  <si>
    <t>Spatial Source Type Codelist</t>
  </si>
  <si>
    <t>A codelist, each domain member of which denotes a spatial source type.</t>
  </si>
  <si>
    <t>Special Administrative Unit Code</t>
  </si>
  <si>
    <t>A coded domain value denoting a special administrative unit.</t>
  </si>
  <si>
    <t>Special Navigation Service Type Code</t>
  </si>
  <si>
    <t>A coded domain value denoting a special navigation service type.</t>
  </si>
  <si>
    <t>Special Navigation System Type Code</t>
  </si>
  <si>
    <t>A coded domain value denoting a special navigation system type.</t>
  </si>
  <si>
    <t>Specified Compliance Type Code</t>
  </si>
  <si>
    <t>A coded domain value denoting a specified compliance type.</t>
  </si>
  <si>
    <t>Specified Domain Value(s) Structured Text</t>
  </si>
  <si>
    <t>A structured text value specifying a set of pairs of attribute and listed domain value.</t>
  </si>
  <si>
    <t>A string containing zero or more parenthesis-enclosed ( '(' and ')' ) substrings separated by spaces (' '). Each substring consists of a domain value code followed by a colon ':' followed by the preferred name or description for the missing domain value. The domain value name or description may contain any character except the right-parenthesis ( ')' ). The ordering of the substrings is not significant. Each referenced attribute must be of type 'enumeration' or 'codelist'. For example, either of the strings '(cropSpecies:Kumquat) (cropSpecies:Okra) (farmingMethod:Organic Techniques)' or '(CSP:Kumquat) (CSP:Okra) (FMM:Organic Techniques)' could be used in the case that it is intended that two domain values be assigned to the 'Crop Species' attribute and one domain value be assigned to the 'Farming Method' attribute.</t>
  </si>
  <si>
    <t>Standard Operating Times Code</t>
  </si>
  <si>
    <t>A coded domain value denoting a standard operating times.</t>
  </si>
  <si>
    <t>Station Declination Date and Time Structured Text</t>
  </si>
  <si>
    <t>A structured text value specifying a station declination date and time.</t>
  </si>
  <si>
    <t>Statistical Geographic Area Type Code</t>
  </si>
  <si>
    <t>A coded domain category denoting a statistical geographic area type.</t>
  </si>
  <si>
    <t>Stolen Item Code</t>
  </si>
  <si>
    <t>A coded domain value denoting a stolen item.</t>
  </si>
  <si>
    <t>Street Sign Type Code</t>
  </si>
  <si>
    <t>A coded domain value denoting a street sign type.</t>
  </si>
  <si>
    <t>Structure Shape Code</t>
  </si>
  <si>
    <t>A coded domain value denoting a structure shape.</t>
  </si>
  <si>
    <t>Structured Text</t>
  </si>
  <si>
    <t>A structured-text domain value that has no restrictions on lexicality or length.</t>
  </si>
  <si>
    <t>The domain of values is a character string whose format and/or values adhere to a structure specified by an associated scheme. For example, 'PTH-323' (an automobile license plate number as assigned by a specific department of motor vehicles).</t>
  </si>
  <si>
    <t>StructuredTextReason</t>
  </si>
  <si>
    <t>Structured Text with Reason</t>
  </si>
  <si>
    <t>A structured-text domain value accompanied by metadata specifying the reason that the value may be absent.</t>
  </si>
  <si>
    <t>Structured Text Value</t>
  </si>
  <si>
    <t>A character string value, whose format and/or values adhere to a structure specified by an associated scheme.</t>
  </si>
  <si>
    <t>For example, the 8-character string '19901205', indicating the date 5 December 1990 according to the scheme 'CCYYMMDD'.</t>
  </si>
  <si>
    <t>Submarine Acoustic Signal Type Code</t>
  </si>
  <si>
    <t>A coded domain value denoting a submarine acoustic signal type.</t>
  </si>
  <si>
    <t>Substation Type Code</t>
  </si>
  <si>
    <t>A coded domain value denoting a substation type.</t>
  </si>
  <si>
    <t>Surface</t>
  </si>
  <si>
    <t>Surface Detection Station Type Code</t>
  </si>
  <si>
    <t>A coded domain value denoting a surface detection station type.</t>
  </si>
  <si>
    <t>Survey Coverage Category Code</t>
  </si>
  <si>
    <t>A coded domain value denoting a survey coverage category.</t>
  </si>
  <si>
    <t>Survey Dates Structured Text</t>
  </si>
  <si>
    <t>A structured text value specifying a survey dates.</t>
  </si>
  <si>
    <t>Formatted as YYYYMMDD. If there are multiple dates, the dates will be separated by semicolons.</t>
  </si>
  <si>
    <t>Survey Point Mark Code</t>
  </si>
  <si>
    <t>A coded domain value denoting a survey point mark type.</t>
  </si>
  <si>
    <t>Survey Point Type Code</t>
  </si>
  <si>
    <t>A coded domain value denoting a survey point type.</t>
  </si>
  <si>
    <t>Survey Technique Code</t>
  </si>
  <si>
    <t>A coded domain value denoting a survey technique.</t>
  </si>
  <si>
    <t>Swept Mine Condition Code</t>
  </si>
  <si>
    <t>A coded domain value denoting a swept mine condition.</t>
  </si>
  <si>
    <t>Tactical Air Navigation Aid (TACAN) Channel Code</t>
  </si>
  <si>
    <t>A coded domain value denoting a tactical air navigation aid channel.</t>
  </si>
  <si>
    <t>Taxiway Type Code</t>
  </si>
  <si>
    <t>A coded domain value denoting a taxiway type.</t>
  </si>
  <si>
    <t>Telecommunications Management Region Type Code</t>
  </si>
  <si>
    <t>A coded domain category denoting a telecommunications management region type.</t>
  </si>
  <si>
    <t>Telephone number(s) for contacting the responsible person and/or organisation.</t>
  </si>
  <si>
    <t>voice</t>
  </si>
  <si>
    <t>Voice Number</t>
  </si>
  <si>
    <t>The telephone number(s) by which individuals can speak to the responsible person and/or organisation.</t>
  </si>
  <si>
    <t>facsimile</t>
  </si>
  <si>
    <t>Facsimile Number</t>
  </si>
  <si>
    <t>The facsimile machine telephone number(s) for the responsible person and/or organisation.</t>
  </si>
  <si>
    <t>Telescope Type Code</t>
  </si>
  <si>
    <t>A coded domain value denoting a telescope type.</t>
  </si>
  <si>
    <t>Temporal Geometric Primitive Structured Text</t>
  </si>
  <si>
    <t>A structured text value specifying a temporal geometric primitive.</t>
  </si>
  <si>
    <t>A value representing a temporal geometric primitive, as specified by ISO 19108:2002, Clause 5.2.2.</t>
  </si>
  <si>
    <t>Terminal Arrival Altitude (TAA) Area Type Code</t>
  </si>
  <si>
    <t>A coded domain value denoting a terminal arrival altitude area type.</t>
  </si>
  <si>
    <t>Terminal Instrument Procedure Designator Structured Text</t>
  </si>
  <si>
    <t>A structured text value specifying a terminal instrument procedure designator.</t>
  </si>
  <si>
    <t>Six alphanumeric characters where alphabetic characters range from 'A' to 'Z' and numeric characters range from '0' to '9'. In the case of a Standard Instrument Arrival (STAR) or Standard Instrument Departure (SID) procedure the identifier consists of a 5 character component followed by a single character consisting of either a space (' ') or a letter from 'A' to 'Z' or digit from '0' to '9' used to discriminate cases of multiple procedure identifiers at an aerodrome that would otherwise be identical. In the case of a Standard Instrument Arrival (STAR) the identifier consists of the flight management system encoded designator (for example: 'GILMOR SIX ARRIVAL' becomes 'GQE6'). In all cases 'runway' is abbreviated as 'RW' (for example 'RWY 34' becomes 'RW34'). If no encoded designator is provided by the appropriate authority then the full terminal instrument procedure identification is used as the identifier if five or less characters in length (the result being right-padded to 5 characters using the space (' ')), else the full identification is truncated from right-to-left to 5 characters, retaining the suffix character (discriminating cases of multiple otherwise-identical procedure identifiers) as the sixth character if indicated. In the case of an approach procedure the identifier consists of up to 5 characters followed by a single character consisting of a space (' '). The first character is the segment type (for example: 'I' = ILS, 'V' = VOR, 'N' = NDB) followed by the identifier of the primary runway served by the procedure (a two digit identifier with a suffix of 'L' (left), 'R' (right), 'C' (center)) followed by a space (' '). For example: 'ILS Runway 7L' becomes 'I07L  ' (note spaces). In the case of a circling approach, the type of primary navigational aid followed by the circling identification character is used. For example: 'VOR-A' becomes 'VVORA ' (note space).</t>
  </si>
  <si>
    <t>Terminal Instrument Procedure Identification Structured Text</t>
  </si>
  <si>
    <t>A structured text value specifying a terminal instrument procedure identification.</t>
  </si>
  <si>
    <t>Twenty-one alphanumeric characters where alphabetic characters range from 'A' to 'Z', numeric characters range from '0' to '9', and the hyphen, dash, or minus sign ('-') is included. The full name is constructed by: (a) eliminating words or abbreviations such as 'departure' and 'arrivals'; (b) eliminating city names and names of airports or heliports; and (c) numbers are converted to integers (for example: 'three' becomes '3').</t>
  </si>
  <si>
    <t>Terminal Instrument Procedure Transition Identification Structured Text</t>
  </si>
  <si>
    <t>A structured text value specifying a transition identification.</t>
  </si>
  <si>
    <t>A five character string composed of alpha-numeric characters in the range '0' to '9' and 'A' to 'Z', plus the space character (' ') which may only be used to pad the rightmost portion of the string in the case that the transition identification uses fewer than five characters. For example: 'RW09', 'BF   ' (note spaces), 'TOXEV', 'REXAR', 'YXX01', and 'ALL  ' (note spaces).</t>
  </si>
  <si>
    <t>Terrain Face Type Code</t>
  </si>
  <si>
    <t>A coded domain value denoting a terrain face type.</t>
  </si>
  <si>
    <t>Terrain Morphology Code</t>
  </si>
  <si>
    <t>A coded domain value denoting a terrain morphology.</t>
  </si>
  <si>
    <t>Terrain Surface Material Code</t>
  </si>
  <si>
    <t>A coded domain value denoting a terrain surface material.</t>
  </si>
  <si>
    <t>A text domain value that has no restrictions on lexicality or length.</t>
  </si>
  <si>
    <t>The domain of values is a character string. For example: Golden Gate Bridge.</t>
  </si>
  <si>
    <t>The realization of this Text datatype is implementation-dependent.</t>
  </si>
  <si>
    <t>TextReason</t>
  </si>
  <si>
    <t>Text with Reason</t>
  </si>
  <si>
    <t>A text domain value accompanied by metadata specifying the reason that the value may be absent.</t>
  </si>
  <si>
    <t>Text Value</t>
  </si>
  <si>
    <t>A character string value.</t>
  </si>
  <si>
    <t>For example, the 5-character string 'Paris'.</t>
  </si>
  <si>
    <t>Text: Lexical; 128 characters</t>
  </si>
  <si>
    <t>A text domain value that may contain lexical characters and is 128 characters in maximum length.</t>
  </si>
  <si>
    <t>Text: Lexical; 20 characters</t>
  </si>
  <si>
    <t>A text domain value that may contain lexical characters and is 20 characters in maximum length.</t>
  </si>
  <si>
    <t>Text: Lexical; 200 characters</t>
  </si>
  <si>
    <t>A text domain value that may contain lexical characters and is 200 characters in maximum length.</t>
  </si>
  <si>
    <t>Text: Lexical; 24 characters</t>
  </si>
  <si>
    <t>A text domain value that may contain lexical characters and is 24 characters in maximum length.</t>
  </si>
  <si>
    <t>TextLex254</t>
  </si>
  <si>
    <t>Text: Lexical; 254 characters</t>
  </si>
  <si>
    <t>A text domain value that may contain lexical characters and is 254 characters in maximum length.</t>
  </si>
  <si>
    <t>Text: Lexical; 4095 characters</t>
  </si>
  <si>
    <t>A text domain value that may contain lexical characters and is 4095 characters in maximum length.</t>
  </si>
  <si>
    <t>Text: Lexical; 80 characters</t>
  </si>
  <si>
    <t>A text domain value that may contain lexical characters and is 80 characters in maximum length.</t>
  </si>
  <si>
    <t>Text: Lexical; unconstrained</t>
  </si>
  <si>
    <t>A text domain value that may contain lexical characters and is unconstrained in length.</t>
  </si>
  <si>
    <t>Text: Non-lexical; 10 characters</t>
  </si>
  <si>
    <t>A text domain value that contains only non-lexical characters and is 10 characters in maximum length.</t>
  </si>
  <si>
    <t>Text: Non-lexical; 128 characters</t>
  </si>
  <si>
    <t>A text domain value that contains only non-lexical characters and is 128 characters in maximum length.</t>
  </si>
  <si>
    <t>Text: Non-lexical; 16 characters</t>
  </si>
  <si>
    <t>A text domain value that contains only non-lexical characters and is 16 characters in maximum length.</t>
  </si>
  <si>
    <t>Text: Non-lexical; 20 characters</t>
  </si>
  <si>
    <t>A text domain value that contains only non-lexical characters and is 20 characters in maximum length.</t>
  </si>
  <si>
    <t>Text: Non-lexical; 200 characters</t>
  </si>
  <si>
    <t>A text domain value that contains only non-lexical characters and is 200 characters in maximum length.</t>
  </si>
  <si>
    <t>Text: Non-lexical; 22 characters</t>
  </si>
  <si>
    <t>A text domain value that contains only non-lexical characters and is 22 characters in maximum length.</t>
  </si>
  <si>
    <t>Text: Non-lexical; 255 characters</t>
  </si>
  <si>
    <t>A text domain value that contains only non-lexical characters and is 255 characters in maximum length.</t>
  </si>
  <si>
    <t>Text: Non-lexical; 38 characters</t>
  </si>
  <si>
    <t>A text domain value that contains only non-lexical characters and is 38 characters in maximum length.</t>
  </si>
  <si>
    <t>Text: Non-lexical; 4 characters</t>
  </si>
  <si>
    <t>A text domain value that contains only non-lexical characters and is 4 characters in maximum length.</t>
  </si>
  <si>
    <t>Text: Non-lexical; 50 characters</t>
  </si>
  <si>
    <t>A text domain value that contains only non-lexical characters and is 50 characters in maximum length.</t>
  </si>
  <si>
    <t>Text: Non-lexical; 60 characters</t>
  </si>
  <si>
    <t>A text domain value that contains only non-lexical characters and is 60 characters in maximum length.</t>
  </si>
  <si>
    <t>Text: Non-lexical; 80 characters</t>
  </si>
  <si>
    <t>A text domain value that contains only non-lexical characters and is 80 characters in maximum length.</t>
  </si>
  <si>
    <t>Text: Non-lexical; unconstrained</t>
  </si>
  <si>
    <t>A text domain value that contains only non-lexical characters and is unconstrained in length.</t>
  </si>
  <si>
    <t>Thrust Augmentation Fluid Type Code</t>
  </si>
  <si>
    <t>A coded domain value denoting a thrust augmentation fluid type.</t>
  </si>
  <si>
    <t>Tomb Type Code</t>
  </si>
  <si>
    <t>A coded domain value denoting a tomb type.</t>
  </si>
  <si>
    <t>Topic Category Code</t>
  </si>
  <si>
    <t>A coded domain value denoting a high-level geographic data thematic classification that assists in the grouping and search of available geospatial data sets.</t>
  </si>
  <si>
    <t>May be used to group keywords as well. The listed examples are not exhaustive. It is understood there are overlaps between general categories and the user is encouraged to select the one most appropriate.</t>
  </si>
  <si>
    <t>Topmark Shape Code</t>
  </si>
  <si>
    <t>A coded domain value denoting a topmark shape.</t>
  </si>
  <si>
    <t>Tower Shape Code</t>
  </si>
  <si>
    <t>A coded domain value denoting a tower shape.</t>
  </si>
  <si>
    <t>Tower Type Code</t>
  </si>
  <si>
    <t>A coded domain value denoting a tower type.</t>
  </si>
  <si>
    <t>Track Type Code</t>
  </si>
  <si>
    <t>A coded domain value denoting a track type.</t>
  </si>
  <si>
    <t>Traffic Flow Code</t>
  </si>
  <si>
    <t>A coded domain value denoting a traffic flow.</t>
  </si>
  <si>
    <t>Traffic Monitor Type Code</t>
  </si>
  <si>
    <t>A coded domain category denoting a traffic monitor type.</t>
  </si>
  <si>
    <t>Traffic Restriction Type Code</t>
  </si>
  <si>
    <t>A coded domain value denoting a traffic restriction type.</t>
  </si>
  <si>
    <t>Transliteration Method Structured Text</t>
  </si>
  <si>
    <t>A structured text value specifying a transliteration method.</t>
  </si>
  <si>
    <t>An up to 14 character string composed from: the ISO 639-2 three character language code of the original value, a three to seven character code designating the transliteration method (usually based on the organisation responsible for its creation) and finally a four character code identifying the version of the method (based on the year in which it was introduced).</t>
  </si>
  <si>
    <t>Transportation Block Type Code</t>
  </si>
  <si>
    <t>A coded domain value denoting a transportation block type.</t>
  </si>
  <si>
    <t>Transportation Route Protection Shelter Type Code</t>
  </si>
  <si>
    <t>A coded domain value denoting a transportation route protection shelter type.</t>
  </si>
  <si>
    <t>Transportation System Type Code</t>
  </si>
  <si>
    <t>A coded domain value denoting a transportation system type.</t>
  </si>
  <si>
    <t>Tropical Hurricane Category Code</t>
  </si>
  <si>
    <t>A coded domain category denoting a tropical hurricane category.</t>
  </si>
  <si>
    <t>Turn Direction Code</t>
  </si>
  <si>
    <t>A coded domain value denoting a turn direction.</t>
  </si>
  <si>
    <t>Underground Access Orientation Code</t>
  </si>
  <si>
    <t>A coded domain value denoting an underground access orientation.</t>
  </si>
  <si>
    <t>Underground Mine Access Code</t>
  </si>
  <si>
    <t>A coded domain value denoting an underground mine access.</t>
  </si>
  <si>
    <t>Underground Storage Formation Type Code</t>
  </si>
  <si>
    <t>A coded domain category denoting an underground storage formation type.</t>
  </si>
  <si>
    <t>Underwater Delineation Quality Code</t>
  </si>
  <si>
    <t>A coded domain value denoting an underwater delineation quality.</t>
  </si>
  <si>
    <t>Unified Command Logistics Planning and Reporting Code Structured Text</t>
  </si>
  <si>
    <t>A structured text value specifying a unified command logistics planning and reporting code.</t>
  </si>
  <si>
    <t>Two alphanumeric characters where alphabetic characters range from 'A' to 'Z', numeric characters range from '0' to '9', and a limited set of punctuation characters may occasionally be employed: the period or decimal point ('.'); the comma (','); the colon (':'); the open and close parenthesis ('(' and ')'); and the hyphen, dash, or minus sign ('-'). For example: '1Z' for USCENTCOM.</t>
  </si>
  <si>
    <t>Unique Feature Identifier Structured Text</t>
  </si>
  <si>
    <t>A structured text value specifying a unique feature identifier.</t>
  </si>
  <si>
    <t>Structured in accordance with IETF RFC2141 (URN Syntax); the namespace is managed by the NGA National Center for Geospatial Intelligence Standards (NCGIS).</t>
  </si>
  <si>
    <t>Unique Resource Identifier Structured Text</t>
  </si>
  <si>
    <t>A structured text value specifying a unique resource identifier.</t>
  </si>
  <si>
    <t>Structured in accordance with IETF RFC2396 (URI Generic Syntax); the namespace is managed by the NGA National Center for Geospatial Intelligence Standards (NCGIS).</t>
  </si>
  <si>
    <t>Vegetation Characteristic Code</t>
  </si>
  <si>
    <t>A coded domain value denoting a vegetation characteristic.</t>
  </si>
  <si>
    <t>Vegetation Species Code</t>
  </si>
  <si>
    <t>A coded domain value denoting a vegetation species.</t>
  </si>
  <si>
    <t>Vehicle Type Code</t>
  </si>
  <si>
    <t>A coded domain value denoting a vehicle type.</t>
  </si>
  <si>
    <t>Vertical Clearance Reference Code</t>
  </si>
  <si>
    <t>A coded domain value denoting a vertical clearance reference.</t>
  </si>
  <si>
    <t>Vertical Construction Material Code</t>
  </si>
  <si>
    <t>A coded domain value denoting a vertical construction material.</t>
  </si>
  <si>
    <t>A coded domain value denoting a vertical datum.</t>
  </si>
  <si>
    <t>Vertical Datum Codelist</t>
  </si>
  <si>
    <t>A codelist, each domain member of which denotes a vertical datum.</t>
  </si>
  <si>
    <t>Vertical Distance Reference Code</t>
  </si>
  <si>
    <t>A coded domain value denoting a vertical distance reference.</t>
  </si>
  <si>
    <t>Vertical Obstruction Identifier Structured Text</t>
  </si>
  <si>
    <t>A structured text value specifying a vertical obstruction identifier.</t>
  </si>
  <si>
    <t>An eleven character code consisting of four blocks of information as follows: Positions 1-2, the FIPS 10-4 two-character Country Code; Positions 3-6, a World Aeronautical Chart (WAC) Identifier; Positions 7-10, a Unique Obstruction Identification consisting of a four-digit (0001-9999) number; Position 11, an alphanumeric Producer Code.</t>
  </si>
  <si>
    <t>VertPosAccuracyReason</t>
  </si>
  <si>
    <t>Vertical Positional Accuracy with Reason</t>
  </si>
  <si>
    <t>The difference between the recorded vertical value of a feature and its true position referenced to the same vertical datum expressed as a linear error at 90 percent probability, accompanied by metadata specifying the reason that the value may be absent.</t>
  </si>
  <si>
    <t>vertEvalMethod</t>
  </si>
  <si>
    <t>The method by which the vertical positional accuracy was determined.</t>
  </si>
  <si>
    <t>Vertical Relative Location Code</t>
  </si>
  <si>
    <t>A coded domain value denoting a vertical relative location.</t>
  </si>
  <si>
    <t>Vertical Source Category Codelist</t>
  </si>
  <si>
    <t>A codelist, each domain member of which denotes a vertical source category.</t>
  </si>
  <si>
    <t>A structured text value specifying a vertical source date and time.</t>
  </si>
  <si>
    <t>Vessel Boarding Method Code</t>
  </si>
  <si>
    <t>A coded domain value denoting a vessel boarding method.</t>
  </si>
  <si>
    <t>Vessel Boarding Point Code</t>
  </si>
  <si>
    <t>A coded domain value denoting a vessel boarding point.</t>
  </si>
  <si>
    <t>Vessel Type Code</t>
  </si>
  <si>
    <t>A coded domain value denoting a vessel type.</t>
  </si>
  <si>
    <t>VHF Omnidirectional Radio Beacon (VOR) Type Code</t>
  </si>
  <si>
    <t>A coded domain value denoting a VHF omnidirectional radio beacon type.</t>
  </si>
  <si>
    <t>Victim Vessel Outcome Code</t>
  </si>
  <si>
    <t>A coded domain value denoting a victim vessel outcome.</t>
  </si>
  <si>
    <t>Victim Vessel Status Code</t>
  </si>
  <si>
    <t>A coded domain value denoting a victim vessel status.</t>
  </si>
  <si>
    <t>Victim Vessel Type Code</t>
  </si>
  <si>
    <t>A coded domain value denoting a victim vessel type.</t>
  </si>
  <si>
    <t>Visual Approach Slope Indicator System (VASIS) Type Code</t>
  </si>
  <si>
    <t>A coded domain value denoting a visual approach slope indicator system type.</t>
  </si>
  <si>
    <t>Void Collection Reason Code</t>
  </si>
  <si>
    <t>A coded domain value denoting a void collection reason.</t>
  </si>
  <si>
    <t>Void Collection Type Code</t>
  </si>
  <si>
    <t>A coded domain value denoting a void collection type.</t>
  </si>
  <si>
    <t>VoidNumValueReasonCode</t>
  </si>
  <si>
    <t>Void Numeric Value Reason Code</t>
  </si>
  <si>
    <t>A coded domain value denoting a void numeric value reason.</t>
  </si>
  <si>
    <t>VoidNumValueReasonCodeList</t>
  </si>
  <si>
    <t>Void Numeric Value Reason Codelist</t>
  </si>
  <si>
    <t>A codelist, each domain member of which denotes a condition due to which the attribute numeric value may be missing or otherwise not fulfil the specification of the attribute value domain.</t>
  </si>
  <si>
    <t>A coded domain value denoting a void value reason.</t>
  </si>
  <si>
    <t>VoidValueReasonCodeList</t>
  </si>
  <si>
    <t>Void Value Reason Codelist</t>
  </si>
  <si>
    <t>A codelist, each domain member of which denotes a condition due to which the attribute value may be missing or otherwise not fulfil the specification of the attribute value domain.</t>
  </si>
  <si>
    <t>Volcanic Activity Code</t>
  </si>
  <si>
    <t>A coded domain value denoting a volcanic activity.</t>
  </si>
  <si>
    <t>Volcanic Explosivity Index Code</t>
  </si>
  <si>
    <t>A coded domain category denoting a volcanic explosivity index.</t>
  </si>
  <si>
    <t>Volcano Shape Code</t>
  </si>
  <si>
    <t>A coded domain value denoting a volcano shape.</t>
  </si>
  <si>
    <t>Wall Type Code</t>
  </si>
  <si>
    <t>A coded domain value denoting a wall type.</t>
  </si>
  <si>
    <t>Water Level Effect Code</t>
  </si>
  <si>
    <t>A coded domain value denoting a water level effect.</t>
  </si>
  <si>
    <t>Water Potability Code</t>
  </si>
  <si>
    <t>A coded domain value denoting a water potability.</t>
  </si>
  <si>
    <t>Water Race Type Code</t>
  </si>
  <si>
    <t>A coded domain value denoting a water race type.</t>
  </si>
  <si>
    <t>Water Turbulence Type Code</t>
  </si>
  <si>
    <t>A coded domain value denoting a water turbulence type.</t>
  </si>
  <si>
    <t>Water Type Code</t>
  </si>
  <si>
    <t>A coded domain value denoting a water type.</t>
  </si>
  <si>
    <t>Water Use Code</t>
  </si>
  <si>
    <t>A coded domain value denoting a water use.</t>
  </si>
  <si>
    <t>Waterbody Bottom Characteristics Code</t>
  </si>
  <si>
    <t>A coded domain value denoting a waterbody bottom characteristics.</t>
  </si>
  <si>
    <t>Waterbody Morphology Code</t>
  </si>
  <si>
    <t>A coded domain value denoting a waterbody morphology.</t>
  </si>
  <si>
    <t>Watercourse Channel Type Code</t>
  </si>
  <si>
    <t>A coded domain value denoting a watercourse channel type.</t>
  </si>
  <si>
    <t>Watercourse Morphology Code</t>
  </si>
  <si>
    <t>A coded domain value denoting a watercourse morphology.</t>
  </si>
  <si>
    <t>Watercourse Sink Type Code</t>
  </si>
  <si>
    <t>A coded domain value denoting a watercourse sink type.</t>
  </si>
  <si>
    <t>Way-point Class Code</t>
  </si>
  <si>
    <t>A coded domain value denoting a way-point class.</t>
  </si>
  <si>
    <t>Way-point Type Code</t>
  </si>
  <si>
    <t>A coded domain value denoting a way-point type.</t>
  </si>
  <si>
    <t>Way-point Usage Code</t>
  </si>
  <si>
    <t>A coded domain value denoting a way-point usage.</t>
  </si>
  <si>
    <t>Weapons Range Type Code</t>
  </si>
  <si>
    <t>A coded domain value denoting a weapons range type.</t>
  </si>
  <si>
    <t>Well Equipment Code</t>
  </si>
  <si>
    <t>A coded domain value denoting a well equipment.</t>
  </si>
  <si>
    <t>Well Type Code</t>
  </si>
  <si>
    <t>A coded domain value denoting a well type.</t>
  </si>
  <si>
    <t>Well Use Type Code</t>
  </si>
  <si>
    <t>A coded domain value denoting a well use type.</t>
  </si>
  <si>
    <t>Wellbore Injection Material Code</t>
  </si>
  <si>
    <t>A coded domain category denoting a wellbore injection material.</t>
  </si>
  <si>
    <t>Wellbore Status Code</t>
  </si>
  <si>
    <t>A coded domain category denoting a wellbore status.</t>
  </si>
  <si>
    <t>Wetland Type Code</t>
  </si>
  <si>
    <t>A coded domain value denoting a wetland type.</t>
  </si>
  <si>
    <t>Wind Direction Indicator Type Code</t>
  </si>
  <si>
    <t>A coded domain value denoting a wind direction indicator type.</t>
  </si>
  <si>
    <t>Wireless Telecommunication Type Code</t>
  </si>
  <si>
    <t>A coded domain value denoting a wireless telecommunication type.</t>
  </si>
  <si>
    <t>World Aeronautical Chart Identifier Structured Text</t>
  </si>
  <si>
    <t>A structured text value specifying a World Aeronautical Chart (WAC) identifier.</t>
  </si>
  <si>
    <t>A four-character alphanumeric code consisting of either a 4-digit numeric value in the range 0000 through 1851, or one of the two-character values: '1A','1B', '1C', '1D', '1E', or '1F'.</t>
  </si>
  <si>
    <t>Wreck or Hulk Exposure Code</t>
  </si>
  <si>
    <t>A coded domain value denoting a wreck or hulk exposure.</t>
  </si>
  <si>
    <t>analystEstimate</t>
  </si>
  <si>
    <t>Analyst Estimate</t>
  </si>
  <si>
    <t>Estimate based on analyst familiarity.</t>
  </si>
  <si>
    <t>digitalProductWithoutMeth</t>
  </si>
  <si>
    <t>Digital Product without Method</t>
  </si>
  <si>
    <t>Digital product, no evaluation method available.</t>
  </si>
  <si>
    <t>errorBudgetEvaluation</t>
  </si>
  <si>
    <t>Error Budget Evaluation</t>
  </si>
  <si>
    <t>Error budget evaluation (production data).</t>
  </si>
  <si>
    <t>evaluationDeferred</t>
  </si>
  <si>
    <t>Evaluation Deferred</t>
  </si>
  <si>
    <t>Evaluation deferred (no measurement).</t>
  </si>
  <si>
    <t>extrapolation</t>
  </si>
  <si>
    <t>Extrapolation</t>
  </si>
  <si>
    <t>Extrapolation.</t>
  </si>
  <si>
    <t>geodeticSurveyAdequate</t>
  </si>
  <si>
    <t>Geodetic Survey Adequate</t>
  </si>
  <si>
    <t>Geodetic survey control - adequate sample.</t>
  </si>
  <si>
    <t>geodeticSurveySmall</t>
  </si>
  <si>
    <t>Geodetic Survey Small</t>
  </si>
  <si>
    <t>Geodetic survey control - small sample.</t>
  </si>
  <si>
    <t>insufficientControl</t>
  </si>
  <si>
    <t>Insufficient Control</t>
  </si>
  <si>
    <t>Insufficient control presently available to perform metric evaluation - assumed adequate sample.</t>
  </si>
  <si>
    <t>insufficientGraticule</t>
  </si>
  <si>
    <t>Insufficient Graticule</t>
  </si>
  <si>
    <t>Insufficient graticule for metric evaluation - assumed small sample.</t>
  </si>
  <si>
    <t>insufficientIdentFeatures</t>
  </si>
  <si>
    <t>Insufficient Identifiable Features</t>
  </si>
  <si>
    <t>Insufficient identifiable map features for metric evaluation - assumed adequate sample.</t>
  </si>
  <si>
    <t>oldEvaluation</t>
  </si>
  <si>
    <t>Old Evaluation</t>
  </si>
  <si>
    <t>Very old evaluation of unknown origin.</t>
  </si>
  <si>
    <t>photogrammAdequate</t>
  </si>
  <si>
    <t>Photogrammetric Adequate</t>
  </si>
  <si>
    <t>Photogrammetric control - adequate sample.</t>
  </si>
  <si>
    <t>photogrammGdasAdequate</t>
  </si>
  <si>
    <t>Photogrammetric GDAS Adequate</t>
  </si>
  <si>
    <t>Photogrammetric control (GDAS II) - adequate sample.</t>
  </si>
  <si>
    <t>The Geodetic Data Assessment System (GDAS) was a US system used to evaluate the accuracy of hardcopy products; it has been retired.</t>
  </si>
  <si>
    <t>photogrammGdasSmall</t>
  </si>
  <si>
    <t>Photogrammetric GDAS Small</t>
  </si>
  <si>
    <t>Photogrammetric control (GDAS II) - small sample.</t>
  </si>
  <si>
    <t>photogrammNonGdasAdequate</t>
  </si>
  <si>
    <t>Photogrammetric non-GDAS Adequate</t>
  </si>
  <si>
    <t>Photogrammetric control (IEC, FPE) - adequate sample.</t>
  </si>
  <si>
    <t>photogrammNonGdasSmall</t>
  </si>
  <si>
    <t>Photogrammetric non-GDAS Small</t>
  </si>
  <si>
    <t>Photogrammetric control (IEC, FPE) - small sample.</t>
  </si>
  <si>
    <t>photogrammSmall</t>
  </si>
  <si>
    <t>Photogrammetric Small</t>
  </si>
  <si>
    <t>Photogrammetric control - small sample.</t>
  </si>
  <si>
    <t>photogrammWithBias</t>
  </si>
  <si>
    <t>Photogrammetric with Bias</t>
  </si>
  <si>
    <t>Photogrammetric control, however only old statistics are available and unable to convert to 'Photogrammetric GDASII Adequate' (ANA) due to significant bias.</t>
  </si>
  <si>
    <t>postProductionSampling</t>
  </si>
  <si>
    <t>Post-Production Sampling</t>
  </si>
  <si>
    <t>Results from a large sampling of post-production evaluations that are similar in compilation or specification.</t>
  </si>
  <si>
    <t>productSpecification</t>
  </si>
  <si>
    <t>Product Specification</t>
  </si>
  <si>
    <t>Product specification accuracy value - assumed adequate sample.</t>
  </si>
  <si>
    <t>scaleTooSmall</t>
  </si>
  <si>
    <t>Scale Too Small</t>
  </si>
  <si>
    <t>Scale too small (less than 1:300,000) to perform metric evaluation on GDAS systems - assumed adequate sample.</t>
  </si>
  <si>
    <t>sourceAccuracy</t>
  </si>
  <si>
    <t>Source Accuracy</t>
  </si>
  <si>
    <t>Accuracy evaluation printed on the map sheet or the evaluation was derived from source accuracy.</t>
  </si>
  <si>
    <t>unableToPerformEvaluation</t>
  </si>
  <si>
    <t>Unable to Perform Evaluation</t>
  </si>
  <si>
    <t>Unable to perform metric evaluation for reasons other than 'Scale Too Small' (EZM), 'Insufficient Graticule' (EZG), 'Insufficient Identifiable Features' (AZF), or 'Insufficient Control' (AZE) - assumed adequate sample.</t>
  </si>
  <si>
    <t>closed</t>
  </si>
  <si>
    <t>Closed</t>
  </si>
  <si>
    <t>Access is officially prohibited.</t>
  </si>
  <si>
    <t>May be covered and/or blocked by a physical barrier.</t>
  </si>
  <si>
    <t>limited</t>
  </si>
  <si>
    <t>Limited</t>
  </si>
  <si>
    <t>A limitation on access, but not function, has been imposed.</t>
  </si>
  <si>
    <t>Not necessarily enforced by a physical barrier.</t>
  </si>
  <si>
    <t>locked</t>
  </si>
  <si>
    <t>Locked</t>
  </si>
  <si>
    <t>Access is prevented by a physical barrier, requiring special means to pass (for example: a key).</t>
  </si>
  <si>
    <t>lockedClosed</t>
  </si>
  <si>
    <t>Locked Closed</t>
  </si>
  <si>
    <t>Access is officially prohibited and is restricted by a physical barrier, requiring special means to pass (for example: a key).</t>
  </si>
  <si>
    <t>lockedOpen</t>
  </si>
  <si>
    <t>Locked Open</t>
  </si>
  <si>
    <t>Access is officially allowed although restricted by a physical barrier that is currently open, requiring special means to close and prevent future passage (for example: a key).</t>
  </si>
  <si>
    <t>open</t>
  </si>
  <si>
    <t>Open</t>
  </si>
  <si>
    <t>Access is officially allowed.</t>
  </si>
  <si>
    <t>May be covered and/or blocked by a physical barrier that is temporarily passable.</t>
  </si>
  <si>
    <t>restricted</t>
  </si>
  <si>
    <t>Restricted</t>
  </si>
  <si>
    <t>Access is officially allowed although a limitation on function has been imposed.</t>
  </si>
  <si>
    <t>cableTelevision</t>
  </si>
  <si>
    <t>Cable Television</t>
  </si>
  <si>
    <t>An electrical cable that transmits television signals.</t>
  </si>
  <si>
    <t>coolingFluidCirculation</t>
  </si>
  <si>
    <t>Cooling Fluid Circulation</t>
  </si>
  <si>
    <t>A pipe that carries coolant or refrigerant that is circulated to remove heat.</t>
  </si>
  <si>
    <t>digitalFibreOpticSystem</t>
  </si>
  <si>
    <t>Digital Fibre-optic System</t>
  </si>
  <si>
    <t>A cable that transmits digital signals using optical fibres.</t>
  </si>
  <si>
    <t>electricPowerDistribution</t>
  </si>
  <si>
    <t>Electric Power Distribution</t>
  </si>
  <si>
    <t>A heavy electrical cable that distributes electrical power.</t>
  </si>
  <si>
    <t>heatingFluidCirculation</t>
  </si>
  <si>
    <t>Heating Fluid Circulation</t>
  </si>
  <si>
    <t>A pipe that carries steam and/or hot water that is circulated to transfer heat.</t>
  </si>
  <si>
    <t>naturalGasDistribution</t>
  </si>
  <si>
    <t>Natural Gas Distribution</t>
  </si>
  <si>
    <t>A pipe used to distribute natural gas.</t>
  </si>
  <si>
    <t>It may also carry other gaseous products used as a source of energy (for example: gases produced from petroleum cracking).</t>
  </si>
  <si>
    <t>sewage</t>
  </si>
  <si>
    <t>Sewage</t>
  </si>
  <si>
    <t>A pipe conveying waste, especially excremental, matter to a sewage treatment facility.</t>
  </si>
  <si>
    <t>stormSewer</t>
  </si>
  <si>
    <t>Storm Sewer</t>
  </si>
  <si>
    <t>A pipe that carries off and discharges storm water from buildings and/or built-up areas.</t>
  </si>
  <si>
    <t>streetLight</t>
  </si>
  <si>
    <t>An electrical cable that is used to energize and/or control street lighting.</t>
  </si>
  <si>
    <t>telegraph</t>
  </si>
  <si>
    <t>Telegraph</t>
  </si>
  <si>
    <t>An electrical cable that transmits telegraph signals.</t>
  </si>
  <si>
    <t>telephone</t>
  </si>
  <si>
    <t>An electrical cable that transmits telephone signals.</t>
  </si>
  <si>
    <t>Such cables may also multiplex and carry analog signals for purposes other than voice communication (for example: the use of computer modems).</t>
  </si>
  <si>
    <t>trafficLight</t>
  </si>
  <si>
    <t>An electrical cable that is used to energize and/or control traffic lights.</t>
  </si>
  <si>
    <t>waterDistribution</t>
  </si>
  <si>
    <t>Water Distribution</t>
  </si>
  <si>
    <t>A pipe that carries water from a point of preparation (for example: treatment to remove particulates or impurities) to a point of use (for example: a home or business).</t>
  </si>
  <si>
    <t>resident</t>
  </si>
  <si>
    <t>Resident</t>
  </si>
  <si>
    <t>The personnel are permanently-assigned occupants.</t>
  </si>
  <si>
    <t>Such assignment normally also applies to the installation that the barrack serves.</t>
  </si>
  <si>
    <t>transient</t>
  </si>
  <si>
    <t>Transient</t>
  </si>
  <si>
    <t>The personnel are only temporarily-assigned occupants.</t>
  </si>
  <si>
    <t>Temporary assignment may occur while awaiting a residency assignment or while personnel visit the installation that the barrack serves.</t>
  </si>
  <si>
    <t>interSupranational</t>
  </si>
  <si>
    <t>International or Supranational</t>
  </si>
  <si>
    <t>An administrative division established by international (for example: the United Nations) or supranational (for example: the European Union) agreement.</t>
  </si>
  <si>
    <t>local</t>
  </si>
  <si>
    <t>Local</t>
  </si>
  <si>
    <t>A secondary administrative division of a State.</t>
  </si>
  <si>
    <t>For example, a (US) county or (FR) arrondissement.</t>
  </si>
  <si>
    <t>municipal</t>
  </si>
  <si>
    <t>Municipal</t>
  </si>
  <si>
    <t>A local self-government or corporate government of a city or town.</t>
  </si>
  <si>
    <t>For example, (UK) London or (US) New York City.</t>
  </si>
  <si>
    <t>national</t>
  </si>
  <si>
    <t>National</t>
  </si>
  <si>
    <t>The principal division of the Earth into areas controlled and administered by individual States.</t>
  </si>
  <si>
    <t>For example, the Republic of Slovenia, South Africa, or the Vatican.</t>
  </si>
  <si>
    <t>sublocal</t>
  </si>
  <si>
    <t>Sublocal</t>
  </si>
  <si>
    <t>A locally established administrative division of a region.</t>
  </si>
  <si>
    <t>For example, a (US) township, (US) magisterial district or (FR) commune.</t>
  </si>
  <si>
    <t>subnational</t>
  </si>
  <si>
    <t>Subnational</t>
  </si>
  <si>
    <t>A principal administrative division of a State.</t>
  </si>
  <si>
    <t>For example, a (US) state, (UK) county, (CA) province, (FR) departement, (CH) canton, or (GE) laender.</t>
  </si>
  <si>
    <t>chan100X</t>
  </si>
  <si>
    <t>Channel 100X</t>
  </si>
  <si>
    <t>The Tactical Air Navigation System (TACAN) channel of '100X' is assigned to the aircraft that is receiving fuel during air Refuel operations.</t>
  </si>
  <si>
    <t>See ICAO Annex 10, Chapter 3, Table A.</t>
  </si>
  <si>
    <t>chan100Y</t>
  </si>
  <si>
    <t>Channel 100Y</t>
  </si>
  <si>
    <t>The Tactical Air Navigation System (TACAN) channel of '100Y' is assigned to the aircraft that is receiving fuel during air Refuel operations.</t>
  </si>
  <si>
    <t>chan100Z</t>
  </si>
  <si>
    <t>Channel 100Z</t>
  </si>
  <si>
    <t>The Tactical Air Navigation System (TACAN) channel of '100Z' is assigned to the aircraft that is receiving fuel during air Refuel operations.</t>
  </si>
  <si>
    <t>chan101X</t>
  </si>
  <si>
    <t>Channel 101X</t>
  </si>
  <si>
    <t>The Tactical Air Navigation System (TACAN) channel of '101X' is assigned to the aircraft that is receiving fuel during air Refuel operations.</t>
  </si>
  <si>
    <t>chan101Y</t>
  </si>
  <si>
    <t>Channel 101Y</t>
  </si>
  <si>
    <t>The Tactical Air Navigation System (TACAN) channel of '101Y' is assigned to the aircraft that is receiving fuel during air Refuel operations.</t>
  </si>
  <si>
    <t>chan101Z</t>
  </si>
  <si>
    <t>Channel 101Z</t>
  </si>
  <si>
    <t>The Tactical Air Navigation System (TACAN) channel of '101Z' is assigned to the aircraft that is receiving fuel during air Refuel operations.</t>
  </si>
  <si>
    <t>chan102X</t>
  </si>
  <si>
    <t>Channel 102X</t>
  </si>
  <si>
    <t>The Tactical Air Navigation System (TACAN) channel of '102X' is assigned to the aircraft that is receiving fuel during air Refuel operations.</t>
  </si>
  <si>
    <t>chan102Y</t>
  </si>
  <si>
    <t>Channel 102Y</t>
  </si>
  <si>
    <t>The Tactical Air Navigation System (TACAN) channel of '102Y' is assigned to the aircraft that is receiving fuel during air Refuel operations.</t>
  </si>
  <si>
    <t>chan102Z</t>
  </si>
  <si>
    <t>Channel 102Z</t>
  </si>
  <si>
    <t>The Tactical Air Navigation System (TACAN) channel of '102Z' is assigned to the aircraft that is receiving fuel during air Refuel operations.</t>
  </si>
  <si>
    <t>chan103X</t>
  </si>
  <si>
    <t>Channel 103X</t>
  </si>
  <si>
    <t>The Tactical Air Navigation System (TACAN) channel of '103X' is assigned to the aircraft that is receiving fuel during air Refuel operations.</t>
  </si>
  <si>
    <t>chan103Y</t>
  </si>
  <si>
    <t>Channel 103Y</t>
  </si>
  <si>
    <t>The Tactical Air Navigation System (TACAN) channel of '103Y' is assigned to the aircraft that is receiving fuel during air Refuel operations.</t>
  </si>
  <si>
    <t>chan103Z</t>
  </si>
  <si>
    <t>Channel 103Z</t>
  </si>
  <si>
    <t>The Tactical Air Navigation System (TACAN) channel of '103Z' is assigned to the aircraft that is receiving fuel during air Refuel operations.</t>
  </si>
  <si>
    <t>chan104X</t>
  </si>
  <si>
    <t>Channel 104X</t>
  </si>
  <si>
    <t>The Tactical Air Navigation System (TACAN) channel of '104X' is assigned to the aircraft that is receiving fuel during air Refuel operations.</t>
  </si>
  <si>
    <t>chan104Y</t>
  </si>
  <si>
    <t>Channel 104Y</t>
  </si>
  <si>
    <t>The Tactical Air Navigation System (TACAN) channel of '104Y' is assigned to the aircraft that is receiving fuel during air Refuel operations.</t>
  </si>
  <si>
    <t>chan104Z</t>
  </si>
  <si>
    <t>Channel 104Z</t>
  </si>
  <si>
    <t>The Tactical Air Navigation System (TACAN) channel of '104Z' is assigned to the aircraft that is receiving fuel during air Refuel operations.</t>
  </si>
  <si>
    <t>chan105X</t>
  </si>
  <si>
    <t>Channel 105X</t>
  </si>
  <si>
    <t>The Tactical Air Navigation System (TACAN) channel of '105X' is assigned to the aircraft that is receiving fuel during air Refuel operations.</t>
  </si>
  <si>
    <t>chan105Y</t>
  </si>
  <si>
    <t>Channel 105Y</t>
  </si>
  <si>
    <t>The Tactical Air Navigation System (TACAN) channel of '105Y' is assigned to the aircraft that is receiving fuel during air Refuel operations.</t>
  </si>
  <si>
    <t>chan105Z</t>
  </si>
  <si>
    <t>Channel 105Z</t>
  </si>
  <si>
    <t>The Tactical Air Navigation System (TACAN) channel of '105Z' is assigned to the aircraft that is receiving fuel during air Refuel operations.</t>
  </si>
  <si>
    <t>chan106X</t>
  </si>
  <si>
    <t>Channel 106X</t>
  </si>
  <si>
    <t>The Tactical Air Navigation System (TACAN) channel of '106X' is assigned to the aircraft that is receiving fuel during air Refuel operations.</t>
  </si>
  <si>
    <t>chan106Y</t>
  </si>
  <si>
    <t>Channel 106Y</t>
  </si>
  <si>
    <t>The Tactical Air Navigation System (TACAN) channel of '106Y' is assigned to the aircraft that is receiving fuel during air Refuel operations.</t>
  </si>
  <si>
    <t>chan106Z</t>
  </si>
  <si>
    <t>Channel 106Z</t>
  </si>
  <si>
    <t>The Tactical Air Navigation System (TACAN) channel of '106Z' is assigned to the aircraft that is receiving fuel during air Refuel operations.</t>
  </si>
  <si>
    <t>chan107X</t>
  </si>
  <si>
    <t>Channel 107X</t>
  </si>
  <si>
    <t>The Tactical Air Navigation System (TACAN) channel of '107X' is assigned to the aircraft that is receiving fuel during air Refuel operations.</t>
  </si>
  <si>
    <t>chan107Y</t>
  </si>
  <si>
    <t>Channel 107Y</t>
  </si>
  <si>
    <t>The Tactical Air Navigation System (TACAN) channel of '107Y' is assigned to the aircraft that is receiving fuel during air Refuel operations.</t>
  </si>
  <si>
    <t>chan107Z</t>
  </si>
  <si>
    <t>Channel 107Z</t>
  </si>
  <si>
    <t>The Tactical Air Navigation System (TACAN) channel of '107Z' is assigned to the aircraft that is receiving fuel during air Refuel operations.</t>
  </si>
  <si>
    <t>chan108X</t>
  </si>
  <si>
    <t>Channel 108X</t>
  </si>
  <si>
    <t>The Tactical Air Navigation System (TACAN) channel of '108X' is assigned to the aircraft that is receiving fuel during air Refuel operations.</t>
  </si>
  <si>
    <t>chan108Y</t>
  </si>
  <si>
    <t>Channel 108Y</t>
  </si>
  <si>
    <t>The Tactical Air Navigation System (TACAN) channel of '108Y' is assigned to the aircraft that is receiving fuel during air Refuel operations.</t>
  </si>
  <si>
    <t>chan108Z</t>
  </si>
  <si>
    <t>Channel 108Z</t>
  </si>
  <si>
    <t>The Tactical Air Navigation System (TACAN) channel of '108Z' is assigned to the aircraft that is receiving fuel during air Refuel operations.</t>
  </si>
  <si>
    <t>chan109X</t>
  </si>
  <si>
    <t>Channel 109X</t>
  </si>
  <si>
    <t>The Tactical Air Navigation System (TACAN) channel of '109X' is assigned to the aircraft that is receiving fuel during air Refuel operations.</t>
  </si>
  <si>
    <t>chan109Y</t>
  </si>
  <si>
    <t>Channel 109Y</t>
  </si>
  <si>
    <t>The Tactical Air Navigation System (TACAN) channel of '109Y' is assigned to the aircraft that is receiving fuel during air Refuel operations.</t>
  </si>
  <si>
    <t>chan109Z</t>
  </si>
  <si>
    <t>Channel 109Z</t>
  </si>
  <si>
    <t>The Tactical Air Navigation System (TACAN) channel of '109Z' is assigned to the aircraft that is receiving fuel during air Refuel operations.</t>
  </si>
  <si>
    <t>chan010X</t>
  </si>
  <si>
    <t>Channel 10X</t>
  </si>
  <si>
    <t>The Tactical Air Navigation System (TACAN) channel of '10X' is assigned to the aircraft that is receiving fuel during air Refuel operations.</t>
  </si>
  <si>
    <t>chan010Y</t>
  </si>
  <si>
    <t>Channel 10Y</t>
  </si>
  <si>
    <t>The Tactical Air Navigation System (TACAN) channel of '10Y' is assigned to the aircraft that is receiving fuel during air Refuel operations.</t>
  </si>
  <si>
    <t>chan110X</t>
  </si>
  <si>
    <t>Channel 110X</t>
  </si>
  <si>
    <t>The Tactical Air Navigation System (TACAN) channel of '110X' is assigned to the aircraft that is receiving fuel during air Refuel operations.</t>
  </si>
  <si>
    <t>chan110Y</t>
  </si>
  <si>
    <t>Channel 110Y</t>
  </si>
  <si>
    <t>The Tactical Air Navigation System (TACAN) channel of '110Y' is assigned to the aircraft that is receiving fuel during air Refuel operations.</t>
  </si>
  <si>
    <t>chan110Z</t>
  </si>
  <si>
    <t>Channel 110Z</t>
  </si>
  <si>
    <t>The Tactical Air Navigation System (TACAN) channel of '110Z' is assigned to the aircraft that is receiving fuel during air Refuel operations.</t>
  </si>
  <si>
    <t>chan111X</t>
  </si>
  <si>
    <t>Channel 111X</t>
  </si>
  <si>
    <t>The Tactical Air Navigation System (TACAN) channel of '111X' is assigned to the aircraft that is receiving fuel during air Refuel operations.</t>
  </si>
  <si>
    <t>chan111Y</t>
  </si>
  <si>
    <t>Channel 111Y</t>
  </si>
  <si>
    <t>The Tactical Air Navigation System (TACAN) channel of '111Y' is assigned to the aircraft that is receiving fuel during air Refuel operations.</t>
  </si>
  <si>
    <t>chan111Z</t>
  </si>
  <si>
    <t>Channel 111Z</t>
  </si>
  <si>
    <t>The Tactical Air Navigation System (TACAN) channel of '111Z' is assigned to the aircraft that is receiving fuel during air Refuel operations.</t>
  </si>
  <si>
    <t>chan112X</t>
  </si>
  <si>
    <t>Channel 112X</t>
  </si>
  <si>
    <t>The Tactical Air Navigation System (TACAN) channel of '112X' is assigned to the aircraft that is receiving fuel during air Refuel operations.</t>
  </si>
  <si>
    <t>chan112Y</t>
  </si>
  <si>
    <t>Channel 112Y</t>
  </si>
  <si>
    <t>The Tactical Air Navigation System (TACAN) channel of '112Y' is assigned to the aircraft that is receiving fuel during air Refuel operations.</t>
  </si>
  <si>
    <t>chan112Z</t>
  </si>
  <si>
    <t>Channel 112Z</t>
  </si>
  <si>
    <t>The Tactical Air Navigation System (TACAN) channel of '112Z' is assigned to the aircraft that is receiving fuel during air Refuel operations.</t>
  </si>
  <si>
    <t>chan113X</t>
  </si>
  <si>
    <t>Channel 113X</t>
  </si>
  <si>
    <t>The Tactical Air Navigation System (TACAN) channel of '113X' is assigned to the aircraft that is receiving fuel during air Refuel operations.</t>
  </si>
  <si>
    <t>chan113Y</t>
  </si>
  <si>
    <t>Channel 113Y</t>
  </si>
  <si>
    <t>The Tactical Air Navigation System (TACAN) channel of '113Y' is assigned to the aircraft that is receiving fuel during air Refuel operations.</t>
  </si>
  <si>
    <t>chan113Z</t>
  </si>
  <si>
    <t>Channel 113Z</t>
  </si>
  <si>
    <t>The Tactical Air Navigation System (TACAN) channel of '113Z' is assigned to the aircraft that is receiving fuel during air Refuel operations.</t>
  </si>
  <si>
    <t>chan114X</t>
  </si>
  <si>
    <t>Channel 114X</t>
  </si>
  <si>
    <t>The Tactical Air Navigation System (TACAN) channel of '114X' is assigned to the aircraft that is receiving fuel during air Refuel operations.</t>
  </si>
  <si>
    <t>chan114Y</t>
  </si>
  <si>
    <t>Channel 114Y</t>
  </si>
  <si>
    <t>The Tactical Air Navigation System (TACAN) channel of '114Y' is assigned to the aircraft that is receiving fuel during air Refuel operations.</t>
  </si>
  <si>
    <t>chan114Z</t>
  </si>
  <si>
    <t>Channel 114Z</t>
  </si>
  <si>
    <t>The Tactical Air Navigation System (TACAN) channel of '114Z' is assigned to the aircraft that is receiving fuel during air Refuel operations.</t>
  </si>
  <si>
    <t>chan115X</t>
  </si>
  <si>
    <t>Channel 115X</t>
  </si>
  <si>
    <t>The Tactical Air Navigation System (TACAN) channel of '115X' is assigned to the aircraft that is receiving fuel during air Refuel operations.</t>
  </si>
  <si>
    <t>chan115Y</t>
  </si>
  <si>
    <t>Channel 115Y</t>
  </si>
  <si>
    <t>The Tactical Air Navigation System (TACAN) channel of '115Y' is assigned to the aircraft that is receiving fuel during air Refuel operations.</t>
  </si>
  <si>
    <t>chan115Z</t>
  </si>
  <si>
    <t>Channel 115Z</t>
  </si>
  <si>
    <t>The Tactical Air Navigation System (TACAN) channel of '115Z' is assigned to the aircraft that is receiving fuel during air Refuel operations.</t>
  </si>
  <si>
    <t>chan116X</t>
  </si>
  <si>
    <t>Channel 116X</t>
  </si>
  <si>
    <t>The Tactical Air Navigation System (TACAN) channel of '116X' is assigned to the aircraft that is receiving fuel during air Refuel operations.</t>
  </si>
  <si>
    <t>chan116Y</t>
  </si>
  <si>
    <t>Channel 116Y</t>
  </si>
  <si>
    <t>The Tactical Air Navigation System (TACAN) channel of '116Y' is assigned to the aircraft that is receiving fuel during air Refuel operations.</t>
  </si>
  <si>
    <t>chan116Z</t>
  </si>
  <si>
    <t>Channel 116Z</t>
  </si>
  <si>
    <t>The Tactical Air Navigation System (TACAN) channel of '116Z' is assigned to the aircraft that is receiving fuel during air Refuel operations.</t>
  </si>
  <si>
    <t>chan117X</t>
  </si>
  <si>
    <t>Channel 117X</t>
  </si>
  <si>
    <t>The Tactical Air Navigation System (TACAN) channel of '117X' is assigned to the aircraft that is receiving fuel during air Refuel operations.</t>
  </si>
  <si>
    <t>chan117Y</t>
  </si>
  <si>
    <t>Channel 117Y</t>
  </si>
  <si>
    <t>The Tactical Air Navigation System (TACAN) channel of '117Y' is assigned to the aircraft that is receiving fuel during air Refuel operations.</t>
  </si>
  <si>
    <t>chan117Z</t>
  </si>
  <si>
    <t>Channel 117Z</t>
  </si>
  <si>
    <t>The Tactical Air Navigation System (TACAN) channel of '117Z' is assigned to the aircraft that is receiving fuel during air Refuel operations.</t>
  </si>
  <si>
    <t>chan118X</t>
  </si>
  <si>
    <t>Channel 118X</t>
  </si>
  <si>
    <t>The Tactical Air Navigation System (TACAN) channel of '118X' is assigned to the aircraft that is receiving fuel during air Refuel operations.</t>
  </si>
  <si>
    <t>chan118Y</t>
  </si>
  <si>
    <t>Channel 118Y</t>
  </si>
  <si>
    <t>The Tactical Air Navigation System (TACAN) channel of '118Y' is assigned to the aircraft that is receiving fuel during air Refuel operations.</t>
  </si>
  <si>
    <t>chan118Z</t>
  </si>
  <si>
    <t>Channel 118Z</t>
  </si>
  <si>
    <t>The Tactical Air Navigation System (TACAN) channel of '118Z' is assigned to the aircraft that is receiving fuel during air Refuel operations.</t>
  </si>
  <si>
    <t>chan119X</t>
  </si>
  <si>
    <t>Channel 119X</t>
  </si>
  <si>
    <t>The Tactical Air Navigation System (TACAN) channel of '119X' is assigned to the aircraft that is receiving fuel during air Refuel operations.</t>
  </si>
  <si>
    <t>chan119Y</t>
  </si>
  <si>
    <t>Channel 119Y</t>
  </si>
  <si>
    <t>The Tactical Air Navigation System (TACAN) channel of '119Y' is assigned to the aircraft that is receiving fuel during air Refuel operations.</t>
  </si>
  <si>
    <t>chan119Z</t>
  </si>
  <si>
    <t>Channel 119Z</t>
  </si>
  <si>
    <t>The Tactical Air Navigation System (TACAN) channel of '119Z' is assigned to the aircraft that is receiving fuel during air Refuel operations.</t>
  </si>
  <si>
    <t>chan011X</t>
  </si>
  <si>
    <t>Channel 11X</t>
  </si>
  <si>
    <t>The Tactical Air Navigation System (TACAN) channel of '11X' is assigned to the aircraft that is receiving fuel during air Refuel operations.</t>
  </si>
  <si>
    <t>chan011Y</t>
  </si>
  <si>
    <t>Channel 11Y</t>
  </si>
  <si>
    <t>The Tactical Air Navigation System (TACAN) channel of '11Y' is assigned to the aircraft that is receiving fuel during air Refuel operations.</t>
  </si>
  <si>
    <t>chan120X</t>
  </si>
  <si>
    <t>Channel 120X</t>
  </si>
  <si>
    <t>The Tactical Air Navigation System (TACAN) channel of '120X' is assigned to the aircraft that is receiving fuel during air Refuel operations.</t>
  </si>
  <si>
    <t>chan120Y</t>
  </si>
  <si>
    <t>Channel 120Y</t>
  </si>
  <si>
    <t>The Tactical Air Navigation System (TACAN) channel of '120Y' is assigned to the aircraft that is receiving fuel during air Refuel operations.</t>
  </si>
  <si>
    <t>chan121X</t>
  </si>
  <si>
    <t>Channel 121X</t>
  </si>
  <si>
    <t>The Tactical Air Navigation System (TACAN) channel of '121X' is assigned to the aircraft that is receiving fuel during air Refuel operations.</t>
  </si>
  <si>
    <t>chan121Y</t>
  </si>
  <si>
    <t>Channel 121Y</t>
  </si>
  <si>
    <t>The Tactical Air Navigation System (TACAN) channel of '121Y' is assigned to the aircraft that is receiving fuel during air Refuel operations.</t>
  </si>
  <si>
    <t>chan122X</t>
  </si>
  <si>
    <t>Channel 122X</t>
  </si>
  <si>
    <t>The Tactical Air Navigation System (TACAN) channel of '122X' is assigned to the aircraft that is receiving fuel during air Refuel operations.</t>
  </si>
  <si>
    <t>chan122Y</t>
  </si>
  <si>
    <t>Channel 122Y</t>
  </si>
  <si>
    <t>The Tactical Air Navigation System (TACAN) channel of '122Y' is assigned to the aircraft that is receiving fuel during air Refuel operations.</t>
  </si>
  <si>
    <t>chan123X</t>
  </si>
  <si>
    <t>Channel 123X</t>
  </si>
  <si>
    <t>The Tactical Air Navigation System (TACAN) channel of '123X' is assigned to the aircraft that is receiving fuel during air Refuel operations.</t>
  </si>
  <si>
    <t>chan123Y</t>
  </si>
  <si>
    <t>Channel 123Y</t>
  </si>
  <si>
    <t>The Tactical Air Navigation System (TACAN) channel of '123Y' is assigned to the aircraft that is receiving fuel during air Refuel operations.</t>
  </si>
  <si>
    <t>chan124X</t>
  </si>
  <si>
    <t>Channel 124X</t>
  </si>
  <si>
    <t>The Tactical Air Navigation System (TACAN) channel of '124X' is assigned to the aircraft that is receiving fuel during air Refuel operations.</t>
  </si>
  <si>
    <t>chan124Y</t>
  </si>
  <si>
    <t>Channel 124Y</t>
  </si>
  <si>
    <t>The Tactical Air Navigation System (TACAN) channel of '124Y' is assigned to the aircraft that is receiving fuel during air Refuel operations.</t>
  </si>
  <si>
    <t>chan125X</t>
  </si>
  <si>
    <t>Channel 125X</t>
  </si>
  <si>
    <t>The Tactical Air Navigation System (TACAN) channel of '125X' is assigned to the aircraft that is receiving fuel during air Refuel operations.</t>
  </si>
  <si>
    <t>chan125Y</t>
  </si>
  <si>
    <t>Channel 125Y</t>
  </si>
  <si>
    <t>The Tactical Air Navigation System (TACAN) channel of '125Y' is assigned to the aircraft that is receiving fuel during air Refuel operations.</t>
  </si>
  <si>
    <t>chan126X</t>
  </si>
  <si>
    <t>Channel 126X</t>
  </si>
  <si>
    <t>The Tactical Air Navigation System (TACAN) channel of '126X' is assigned to the aircraft that is receiving fuel during air Refuel operations.</t>
  </si>
  <si>
    <t>chan126Y</t>
  </si>
  <si>
    <t>Channel 126Y</t>
  </si>
  <si>
    <t>The Tactical Air Navigation System (TACAN) channel of '126Y' is assigned to the aircraft that is receiving fuel during air Refuel operations.</t>
  </si>
  <si>
    <t>chan012X</t>
  </si>
  <si>
    <t>Channel 12X</t>
  </si>
  <si>
    <t>The Tactical Air Navigation System (TACAN) channel of '12X' is assigned to the aircraft that is receiving fuel during air Refuel operations.</t>
  </si>
  <si>
    <t>chan012Y</t>
  </si>
  <si>
    <t>Channel 12Y</t>
  </si>
  <si>
    <t>The Tactical Air Navigation System (TACAN) channel of '12Y' is assigned to the aircraft that is receiving fuel during air Refuel operations.</t>
  </si>
  <si>
    <t>chan013X</t>
  </si>
  <si>
    <t>Channel 13X</t>
  </si>
  <si>
    <t>The Tactical Air Navigation System (TACAN) channel of '13X' is assigned to the aircraft that is receiving fuel during air Refuel operations.</t>
  </si>
  <si>
    <t>chan013Y</t>
  </si>
  <si>
    <t>Channel 13Y</t>
  </si>
  <si>
    <t>The Tactical Air Navigation System (TACAN) channel of '13Y' is assigned to the aircraft that is receiving fuel during air Refuel operations.</t>
  </si>
  <si>
    <t>chan014X</t>
  </si>
  <si>
    <t>Channel 14X</t>
  </si>
  <si>
    <t>The Tactical Air Navigation System (TACAN) channel of '14X' is assigned to the aircraft that is receiving fuel during air Refuel operations.</t>
  </si>
  <si>
    <t>chan014Y</t>
  </si>
  <si>
    <t>Channel 14Y</t>
  </si>
  <si>
    <t>The Tactical Air Navigation System (TACAN) channel of '14Y' is assigned to the aircraft that is receiving fuel during air Refuel operations.</t>
  </si>
  <si>
    <t>chan015X</t>
  </si>
  <si>
    <t>Channel 15X</t>
  </si>
  <si>
    <t>The Tactical Air Navigation System (TACAN) channel of '15X' is assigned to the aircraft that is receiving fuel during air Refuel operations.</t>
  </si>
  <si>
    <t>chan015Y</t>
  </si>
  <si>
    <t>Channel 15Y</t>
  </si>
  <si>
    <t>The Tactical Air Navigation System (TACAN) channel of '15Y' is assigned to the aircraft that is receiving fuel during air Refuel operations.</t>
  </si>
  <si>
    <t>chan016X</t>
  </si>
  <si>
    <t>Channel 16X</t>
  </si>
  <si>
    <t>The Tactical Air Navigation System (TACAN) channel of '16X' is assigned to the aircraft that is receiving fuel during air Refuel operations.</t>
  </si>
  <si>
    <t>chan016Y</t>
  </si>
  <si>
    <t>Channel 16Y</t>
  </si>
  <si>
    <t>The Tactical Air Navigation System (TACAN) channel of '16Y' is assigned to the aircraft that is receiving fuel during air Refuel operations.</t>
  </si>
  <si>
    <t>chan017X</t>
  </si>
  <si>
    <t>Channel 17X</t>
  </si>
  <si>
    <t>The Tactical Air Navigation System (TACAN) channel of '17X' is assigned to the aircraft that is receiving fuel during air Refuel operations.</t>
  </si>
  <si>
    <t>chan017Y</t>
  </si>
  <si>
    <t>Channel 17Y</t>
  </si>
  <si>
    <t>The Tactical Air Navigation System (TACAN) channel of '17Y' is assigned to the aircraft that is receiving fuel during air Refuel operations.</t>
  </si>
  <si>
    <t>chan017Z</t>
  </si>
  <si>
    <t>Channel 17Z</t>
  </si>
  <si>
    <t>The Tactical Air Navigation System (TACAN) channel of '17Z' is assigned to the aircraft that is receiving fuel during air Refuel operations.</t>
  </si>
  <si>
    <t>chan018W</t>
  </si>
  <si>
    <t>Channel 18W</t>
  </si>
  <si>
    <t>The Tactical Air Navigation System (TACAN) channel of '18W' is assigned to the aircraft that is receiving fuel during air Refuel operations.</t>
  </si>
  <si>
    <t>chan018X</t>
  </si>
  <si>
    <t>Channel 18X</t>
  </si>
  <si>
    <t>The Tactical Air Navigation System (TACAN) channel of '18X' is assigned to the aircraft that is receiving fuel during air Refuel operations.</t>
  </si>
  <si>
    <t>chan018Y</t>
  </si>
  <si>
    <t>Channel 18Y</t>
  </si>
  <si>
    <t>The Tactical Air Navigation System (TACAN) channel of '18Y' is assigned to the aircraft that is receiving fuel during air Refuel operations.</t>
  </si>
  <si>
    <t>chan018Z</t>
  </si>
  <si>
    <t>Channel 18Z</t>
  </si>
  <si>
    <t>The Tactical Air Navigation System (TACAN) channel of '18Z' is assigned to the aircraft that is receiving fuel during air Refuel operations.</t>
  </si>
  <si>
    <t>chan019X</t>
  </si>
  <si>
    <t>Channel 19X</t>
  </si>
  <si>
    <t>The Tactical Air Navigation System (TACAN) channel of '19X' is assigned to the aircraft that is receiving fuel during air Refuel operations.</t>
  </si>
  <si>
    <t>chan019Y</t>
  </si>
  <si>
    <t>Channel 19Y</t>
  </si>
  <si>
    <t>The Tactical Air Navigation System (TACAN) channel of '19Y' is assigned to the aircraft that is receiving fuel during air Refuel operations.</t>
  </si>
  <si>
    <t>chan019Z</t>
  </si>
  <si>
    <t>Channel 19Z</t>
  </si>
  <si>
    <t>The Tactical Air Navigation System (TACAN) channel of '19Z' is assigned to the aircraft that is receiving fuel during air Refuel operations.</t>
  </si>
  <si>
    <t>chan001X</t>
  </si>
  <si>
    <t>Channel 1X</t>
  </si>
  <si>
    <t>The Tactical Air Navigation System (TACAN) channel of '1X' is assigned to the aircraft that is receiving fuel during air Refuel operations.</t>
  </si>
  <si>
    <t>chan001Y</t>
  </si>
  <si>
    <t>Channel 1Y</t>
  </si>
  <si>
    <t>The Tactical Air Navigation System (TACAN) channel of '1Y' is assigned to the aircraft that is receiving fuel during air Refuel operations.</t>
  </si>
  <si>
    <t>chan020W</t>
  </si>
  <si>
    <t>Channel 20W</t>
  </si>
  <si>
    <t>The Tactical Air Navigation System (TACAN) channel of '20W' is assigned to the aircraft that is receiving fuel during air Refuel operations.</t>
  </si>
  <si>
    <t>chan020X</t>
  </si>
  <si>
    <t>Channel 20X</t>
  </si>
  <si>
    <t>The Tactical Air Navigation System (TACAN) channel of '20X' is assigned to the aircraft that is receiving fuel during air Refuel operations.</t>
  </si>
  <si>
    <t>chan020Y</t>
  </si>
  <si>
    <t>Channel 20Y</t>
  </si>
  <si>
    <t>The Tactical Air Navigation System (TACAN) channel of '20Y' is assigned to the aircraft that is receiving fuel during air Refuel operations.</t>
  </si>
  <si>
    <t>chan020Z</t>
  </si>
  <si>
    <t>Channel 20Z</t>
  </si>
  <si>
    <t>The Tactical Air Navigation System (TACAN) channel of '20Z' is assigned to the aircraft that is receiving fuel during air Refuel operations.</t>
  </si>
  <si>
    <t>chan021X</t>
  </si>
  <si>
    <t>Channel 21X</t>
  </si>
  <si>
    <t>The Tactical Air Navigation System (TACAN) channel of '21X' is assigned to the aircraft that is receiving fuel during air Refuel operations.</t>
  </si>
  <si>
    <t>chan021Y</t>
  </si>
  <si>
    <t>Channel 21Y</t>
  </si>
  <si>
    <t>The Tactical Air Navigation System (TACAN) channel of '21Y' is assigned to the aircraft that is receiving fuel during air Refuel operations.</t>
  </si>
  <si>
    <t>chan021Z</t>
  </si>
  <si>
    <t>Channel 21Z</t>
  </si>
  <si>
    <t>The Tactical Air Navigation System (TACAN) channel of '21Z' is assigned to the aircraft that is receiving fuel during air Refuel operations.</t>
  </si>
  <si>
    <t>chan022W</t>
  </si>
  <si>
    <t>Channel 22W</t>
  </si>
  <si>
    <t>The Tactical Air Navigation System (TACAN) channel of '22W' is assigned to the aircraft that is receiving fuel during air Refuel operations.</t>
  </si>
  <si>
    <t>chan022X</t>
  </si>
  <si>
    <t>Channel 22X</t>
  </si>
  <si>
    <t>The Tactical Air Navigation System (TACAN) channel of '22X' is assigned to the aircraft that is receiving fuel during air Refuel operations.</t>
  </si>
  <si>
    <t>chan022Y</t>
  </si>
  <si>
    <t>Channel 22Y</t>
  </si>
  <si>
    <t>The Tactical Air Navigation System (TACAN) channel of '22Y' is assigned to the aircraft that is receiving fuel during air Refuel operations.</t>
  </si>
  <si>
    <t>chan022Z</t>
  </si>
  <si>
    <t>Channel 22Z</t>
  </si>
  <si>
    <t>The Tactical Air Navigation System (TACAN) channel of '22Z' is assigned to the aircraft that is receiving fuel during air Refuel operations.</t>
  </si>
  <si>
    <t>chan023X</t>
  </si>
  <si>
    <t>Channel 23X</t>
  </si>
  <si>
    <t>The Tactical Air Navigation System (TACAN) channel of '23X' is assigned to the aircraft that is receiving fuel during air Refuel operations.</t>
  </si>
  <si>
    <t>chan023Y</t>
  </si>
  <si>
    <t>Channel 23Y</t>
  </si>
  <si>
    <t>The Tactical Air Navigation System (TACAN) channel of '23Y' is assigned to the aircraft that is receiving fuel during air Refuel operations.</t>
  </si>
  <si>
    <t>chan023Z</t>
  </si>
  <si>
    <t>Channel 23Z</t>
  </si>
  <si>
    <t>The Tactical Air Navigation System (TACAN) channel of '23Z' is assigned to the aircraft that is receiving fuel during air Refuel operations.</t>
  </si>
  <si>
    <t>chan024W</t>
  </si>
  <si>
    <t>Channel 24W</t>
  </si>
  <si>
    <t>The Tactical Air Navigation System (TACAN) channel of '24W' is assigned to the aircraft that is receiving fuel during air Refuel operations.</t>
  </si>
  <si>
    <t>chan024X</t>
  </si>
  <si>
    <t>Channel 24X</t>
  </si>
  <si>
    <t>The Tactical Air Navigation System (TACAN) channel of '24X' is assigned to the aircraft that is receiving fuel during air Refuel operations.</t>
  </si>
  <si>
    <t>chan024Y</t>
  </si>
  <si>
    <t>Channel 24Y</t>
  </si>
  <si>
    <t>The Tactical Air Navigation System (TACAN) channel of '24Y' is assigned to the aircraft that is receiving fuel during air Refuel operations.</t>
  </si>
  <si>
    <t>chan024Z</t>
  </si>
  <si>
    <t>Channel 24Z</t>
  </si>
  <si>
    <t>The Tactical Air Navigation System (TACAN) channel of '24Z' is assigned to the aircraft that is receiving fuel during air Refuel operations.</t>
  </si>
  <si>
    <t>chan025X</t>
  </si>
  <si>
    <t>Channel 25X</t>
  </si>
  <si>
    <t>The Tactical Air Navigation System (TACAN) channel of '25X' is assigned to the aircraft that is receiving fuel during air Refuel operations.</t>
  </si>
  <si>
    <t>chan025Y</t>
  </si>
  <si>
    <t>Channel 25Y</t>
  </si>
  <si>
    <t>The Tactical Air Navigation System (TACAN) channel of '25Y' is assigned to the aircraft that is receiving fuel during air Refuel operations.</t>
  </si>
  <si>
    <t>chan025Z</t>
  </si>
  <si>
    <t>Channel 25Z</t>
  </si>
  <si>
    <t>The Tactical Air Navigation System (TACAN) channel of '25Z' is assigned to the aircraft that is receiving fuel during air Refuel operations.</t>
  </si>
  <si>
    <t>chan026W</t>
  </si>
  <si>
    <t>Channel 26W</t>
  </si>
  <si>
    <t>The Tactical Air Navigation System (TACAN) channel of '26W' is assigned to the aircraft that is receiving fuel during air Refuel operations.</t>
  </si>
  <si>
    <t>chan026X</t>
  </si>
  <si>
    <t>Channel 26X</t>
  </si>
  <si>
    <t>The Tactical Air Navigation System (TACAN) channel of '26X' is assigned to the aircraft that is receiving fuel during air Refuel operations.</t>
  </si>
  <si>
    <t>chan026Y</t>
  </si>
  <si>
    <t>Channel 26Y</t>
  </si>
  <si>
    <t>The Tactical Air Navigation System (TACAN) channel of '26Y' is assigned to the aircraft that is receiving fuel during air Refuel operations.</t>
  </si>
  <si>
    <t>chan026Z</t>
  </si>
  <si>
    <t>Channel 26Z</t>
  </si>
  <si>
    <t>The Tactical Air Navigation System (TACAN) channel of '26Z' is assigned to the aircraft that is receiving fuel during air Refuel operations.</t>
  </si>
  <si>
    <t>chan027X</t>
  </si>
  <si>
    <t>Channel 27X</t>
  </si>
  <si>
    <t>The Tactical Air Navigation System (TACAN) channel of '27X' is assigned to the aircraft that is receiving fuel during air Refuel operations.</t>
  </si>
  <si>
    <t>chan027Y</t>
  </si>
  <si>
    <t>Channel 27Y</t>
  </si>
  <si>
    <t>The Tactical Air Navigation System (TACAN) channel of '27Y' is assigned to the aircraft that is receiving fuel during air Refuel operations.</t>
  </si>
  <si>
    <t>chan027Z</t>
  </si>
  <si>
    <t>Channel 27Z</t>
  </si>
  <si>
    <t>The Tactical Air Navigation System (TACAN) channel of '27Z' is assigned to the aircraft that is receiving fuel during air Refuel operations.</t>
  </si>
  <si>
    <t>chan028W</t>
  </si>
  <si>
    <t>Channel 28W</t>
  </si>
  <si>
    <t>The Tactical Air Navigation System (TACAN) channel of '28W' is assigned to the aircraft that is receiving fuel during air Refuel operations.</t>
  </si>
  <si>
    <t>chan028X</t>
  </si>
  <si>
    <t>Channel 28X</t>
  </si>
  <si>
    <t>The Tactical Air Navigation System (TACAN) channel of '28X' is assigned to the aircraft that is receiving fuel during air Refuel operations.</t>
  </si>
  <si>
    <t>chan028Y</t>
  </si>
  <si>
    <t>Channel 28Y</t>
  </si>
  <si>
    <t>The Tactical Air Navigation System (TACAN) channel of '28Y' is assigned to the aircraft that is receiving fuel during air Refuel operations.</t>
  </si>
  <si>
    <t>chan028Z</t>
  </si>
  <si>
    <t>Channel 28Z</t>
  </si>
  <si>
    <t>The Tactical Air Navigation System (TACAN) channel of '28Z' is assigned to the aircraft that is receiving fuel during air Refuel operations.</t>
  </si>
  <si>
    <t>chan029X</t>
  </si>
  <si>
    <t>Channel 29X</t>
  </si>
  <si>
    <t>The Tactical Air Navigation System (TACAN) channel of '29X' is assigned to the aircraft that is receiving fuel during air Refuel operations.</t>
  </si>
  <si>
    <t>chan029Y</t>
  </si>
  <si>
    <t>Channel 29Y</t>
  </si>
  <si>
    <t>The Tactical Air Navigation System (TACAN) channel of '29Y' is assigned to the aircraft that is receiving fuel during air Refuel operations.</t>
  </si>
  <si>
    <t>chan029Z</t>
  </si>
  <si>
    <t>Channel 29Z</t>
  </si>
  <si>
    <t>The Tactical Air Navigation System (TACAN) channel of '29Z' is assigned to the aircraft that is receiving fuel during air Refuel operations.</t>
  </si>
  <si>
    <t>chan002X</t>
  </si>
  <si>
    <t>Channel 2X</t>
  </si>
  <si>
    <t>The Tactical Air Navigation System (TACAN) channel of '2X' is assigned to the aircraft that is receiving fuel during air Refuel operations.</t>
  </si>
  <si>
    <t>chan002Y</t>
  </si>
  <si>
    <t>Channel 2Y</t>
  </si>
  <si>
    <t>The Tactical Air Navigation System (TACAN) channel of '2Y' is assigned to the aircraft that is receiving fuel during air Refuel operations.</t>
  </si>
  <si>
    <t>chan030W</t>
  </si>
  <si>
    <t>Channel 30W</t>
  </si>
  <si>
    <t>The Tactical Air Navigation System (TACAN) channel of '30W' is assigned to the aircraft that is receiving fuel during air Refuel operations.</t>
  </si>
  <si>
    <t>chan030X</t>
  </si>
  <si>
    <t>Channel 30X</t>
  </si>
  <si>
    <t>The Tactical Air Navigation System (TACAN) channel of '30X' is assigned to the aircraft that is receiving fuel during air Refuel operations.</t>
  </si>
  <si>
    <t>chan030Y</t>
  </si>
  <si>
    <t>Channel 30Y</t>
  </si>
  <si>
    <t>The Tactical Air Navigation System (TACAN) channel of '30Y' is assigned to the aircraft that is receiving fuel during air Refuel operations.</t>
  </si>
  <si>
    <t>chan030Z</t>
  </si>
  <si>
    <t>Channel 30Z</t>
  </si>
  <si>
    <t>The Tactical Air Navigation System (TACAN) channel of '30Z' is assigned to the aircraft that is receiving fuel during air Refuel operations.</t>
  </si>
  <si>
    <t>chan031X</t>
  </si>
  <si>
    <t>Channel 31X</t>
  </si>
  <si>
    <t>The Tactical Air Navigation System (TACAN) channel of '31X' is assigned to the aircraft that is receiving fuel during air Refuel operations.</t>
  </si>
  <si>
    <t>chan031Y</t>
  </si>
  <si>
    <t>Channel 31Y</t>
  </si>
  <si>
    <t>The Tactical Air Navigation System (TACAN) channel of '31Y' is assigned to the aircraft that is receiving fuel during air Refuel operations.</t>
  </si>
  <si>
    <t>chan031Z</t>
  </si>
  <si>
    <t>Channel 31Z</t>
  </si>
  <si>
    <t>The Tactical Air Navigation System (TACAN) channel of '31Z' is assigned to the aircraft that is receiving fuel during air Refuel operations.</t>
  </si>
  <si>
    <t>chan032W</t>
  </si>
  <si>
    <t>Channel 32W</t>
  </si>
  <si>
    <t>The Tactical Air Navigation System (TACAN) channel of '32W' is assigned to the aircraft that is receiving fuel during air Refuel operations.</t>
  </si>
  <si>
    <t>chan032X</t>
  </si>
  <si>
    <t>Channel 32X</t>
  </si>
  <si>
    <t>The Tactical Air Navigation System (TACAN) channel of '32X' is assigned to the aircraft that is receiving fuel during air Refuel operations.</t>
  </si>
  <si>
    <t>chan032Y</t>
  </si>
  <si>
    <t>Channel 32Y</t>
  </si>
  <si>
    <t>The Tactical Air Navigation System (TACAN) channel of '32Y' is assigned to the aircraft that is receiving fuel during air Refuel operations.</t>
  </si>
  <si>
    <t>chan032Z</t>
  </si>
  <si>
    <t>Channel 32Z</t>
  </si>
  <si>
    <t>The Tactical Air Navigation System (TACAN) channel of '32Z' is assigned to the aircraft that is receiving fuel during air Refuel operations.</t>
  </si>
  <si>
    <t>chan033X</t>
  </si>
  <si>
    <t>Channel 33X</t>
  </si>
  <si>
    <t>The Tactical Air Navigation System (TACAN) channel of '33X' is assigned to the aircraft that is receiving fuel during air Refuel operations.</t>
  </si>
  <si>
    <t>chan033Y</t>
  </si>
  <si>
    <t>Channel 33Y</t>
  </si>
  <si>
    <t>The Tactical Air Navigation System (TACAN) channel of '33Y' is assigned to the aircraft that is receiving fuel during air Refuel operations.</t>
  </si>
  <si>
    <t>chan033Z</t>
  </si>
  <si>
    <t>Channel 33Z</t>
  </si>
  <si>
    <t>The Tactical Air Navigation System (TACAN) channel of '33Z' is assigned to the aircraft that is receiving fuel during air Refuel operations.</t>
  </si>
  <si>
    <t>chan034W</t>
  </si>
  <si>
    <t>Channel 34W</t>
  </si>
  <si>
    <t>The Tactical Air Navigation System (TACAN) channel of '34W' is assigned to the aircraft that is receiving fuel during air Refuel operations.</t>
  </si>
  <si>
    <t>chan034X</t>
  </si>
  <si>
    <t>Channel 34X</t>
  </si>
  <si>
    <t>The Tactical Air Navigation System (TACAN) channel of '34X' is assigned to the aircraft that is receiving fuel during air Refuel operations.</t>
  </si>
  <si>
    <t>chan034Y</t>
  </si>
  <si>
    <t>Channel 34Y</t>
  </si>
  <si>
    <t>The Tactical Air Navigation System (TACAN) channel of '34Y' is assigned to the aircraft that is receiving fuel during air Refuel operations.</t>
  </si>
  <si>
    <t>chan034Z</t>
  </si>
  <si>
    <t>Channel 34Z</t>
  </si>
  <si>
    <t>The Tactical Air Navigation System (TACAN) channel of '34Z' is assigned to the aircraft that is receiving fuel during air Refuel operations.</t>
  </si>
  <si>
    <t>chan035X</t>
  </si>
  <si>
    <t>Channel 35X</t>
  </si>
  <si>
    <t>The Tactical Air Navigation System (TACAN) channel of '35X' is assigned to the aircraft that is receiving fuel during air Refuel operations.</t>
  </si>
  <si>
    <t>chan035Y</t>
  </si>
  <si>
    <t>Channel 35Y</t>
  </si>
  <si>
    <t>The Tactical Air Navigation System (TACAN) channel of '35Y' is assigned to the aircraft that is receiving fuel during air Refuel operations.</t>
  </si>
  <si>
    <t>chan035Z</t>
  </si>
  <si>
    <t>Channel 35Z</t>
  </si>
  <si>
    <t>The Tactical Air Navigation System (TACAN) channel of '35Z' is assigned to the aircraft that is receiving fuel during air Refuel operations.</t>
  </si>
  <si>
    <t>chan036W</t>
  </si>
  <si>
    <t>Channel 36W</t>
  </si>
  <si>
    <t>The Tactical Air Navigation System (TACAN) channel of '36W' is assigned to the aircraft that is receiving fuel during air Refuel operations.</t>
  </si>
  <si>
    <t>chan036X</t>
  </si>
  <si>
    <t>Channel 36X</t>
  </si>
  <si>
    <t>The Tactical Air Navigation System (TACAN) channel of '36X' is assigned to the aircraft that is receiving fuel during air Refuel operations.</t>
  </si>
  <si>
    <t>chan036Y</t>
  </si>
  <si>
    <t>Channel 36Y</t>
  </si>
  <si>
    <t>The Tactical Air Navigation System (TACAN) channel of '36Y' is assigned to the aircraft that is receiving fuel during air Refuel operations.</t>
  </si>
  <si>
    <t>chan036Z</t>
  </si>
  <si>
    <t>Channel 36Z</t>
  </si>
  <si>
    <t>The Tactical Air Navigation System (TACAN) channel of '36Z' is assigned to the aircraft that is receiving fuel during air Refuel operations.</t>
  </si>
  <si>
    <t>chan037X</t>
  </si>
  <si>
    <t>Channel 37X</t>
  </si>
  <si>
    <t>The Tactical Air Navigation System (TACAN) channel of '37X' is assigned to the aircraft that is receiving fuel during air Refuel operations.</t>
  </si>
  <si>
    <t>chan037Y</t>
  </si>
  <si>
    <t>Channel 37Y</t>
  </si>
  <si>
    <t>The Tactical Air Navigation System (TACAN) channel of '37Y' is assigned to the aircraft that is receiving fuel during air Refuel operations.</t>
  </si>
  <si>
    <t>chan037Z</t>
  </si>
  <si>
    <t>Channel 37Z</t>
  </si>
  <si>
    <t>The Tactical Air Navigation System (TACAN) channel of '37Z' is assigned to the aircraft that is receiving fuel during air Refuel operations.</t>
  </si>
  <si>
    <t>chan038W</t>
  </si>
  <si>
    <t>Channel 38W</t>
  </si>
  <si>
    <t>The Tactical Air Navigation System (TACAN) channel of '38W' is assigned to the aircraft that is receiving fuel during air Refuel operations.</t>
  </si>
  <si>
    <t>chan038X</t>
  </si>
  <si>
    <t>Channel 38X</t>
  </si>
  <si>
    <t>The Tactical Air Navigation System (TACAN) channel of '38X' is assigned to the aircraft that is receiving fuel during air Refuel operations.</t>
  </si>
  <si>
    <t>chan038Y</t>
  </si>
  <si>
    <t>Channel 38Y</t>
  </si>
  <si>
    <t>The Tactical Air Navigation System (TACAN) channel of '38Y' is assigned to the aircraft that is receiving fuel during air Refuel operations.</t>
  </si>
  <si>
    <t>chan038Z</t>
  </si>
  <si>
    <t>Channel 38Z</t>
  </si>
  <si>
    <t>The Tactical Air Navigation System (TACAN) channel of '38Z' is assigned to the aircraft that is receiving fuel during air Refuel operations.</t>
  </si>
  <si>
    <t>chan039X</t>
  </si>
  <si>
    <t>Channel 39X</t>
  </si>
  <si>
    <t>The Tactical Air Navigation System (TACAN) channel of '39X' is assigned to the aircraft that is receiving fuel during air Refuel operations.</t>
  </si>
  <si>
    <t>chan039Y</t>
  </si>
  <si>
    <t>Channel 39Y</t>
  </si>
  <si>
    <t>The Tactical Air Navigation System (TACAN) channel of '39Y' is assigned to the aircraft that is receiving fuel during air Refuel operations.</t>
  </si>
  <si>
    <t>chan039Z</t>
  </si>
  <si>
    <t>Channel 39Z</t>
  </si>
  <si>
    <t>The Tactical Air Navigation System (TACAN) channel of '39Z' is assigned to the aircraft that is receiving fuel during air Refuel operations.</t>
  </si>
  <si>
    <t>chan003X</t>
  </si>
  <si>
    <t>Channel 3X</t>
  </si>
  <si>
    <t>The Tactical Air Navigation System (TACAN) channel of '3X' is assigned to the aircraft that is receiving fuel during air Refuel operations.</t>
  </si>
  <si>
    <t>chan003Y</t>
  </si>
  <si>
    <t>Channel 3Y</t>
  </si>
  <si>
    <t>The Tactical Air Navigation System (TACAN) channel of '3Y' is assigned to the aircraft that is receiving fuel during air Refuel operations.</t>
  </si>
  <si>
    <t>chan040W</t>
  </si>
  <si>
    <t>Channel 40W</t>
  </si>
  <si>
    <t>The Tactical Air Navigation System (TACAN) channel of '40W' is assigned to the aircraft that is receiving fuel during air Refuel operations.</t>
  </si>
  <si>
    <t>chan040X</t>
  </si>
  <si>
    <t>Channel 40X</t>
  </si>
  <si>
    <t>The Tactical Air Navigation System (TACAN) channel of '40X' is assigned to the aircraft that is receiving fuel during air Refuel operations.</t>
  </si>
  <si>
    <t>chan040Y</t>
  </si>
  <si>
    <t>Channel 40Y</t>
  </si>
  <si>
    <t>The Tactical Air Navigation System (TACAN) channel of '40Y' is assigned to the aircraft that is receiving fuel during air Refuel operations.</t>
  </si>
  <si>
    <t>chan040Z</t>
  </si>
  <si>
    <t>Channel 40Z</t>
  </si>
  <si>
    <t>The Tactical Air Navigation System (TACAN) channel of '40Z' is assigned to the aircraft that is receiving fuel during air Refuel operations.</t>
  </si>
  <si>
    <t>chan041X</t>
  </si>
  <si>
    <t>Channel 41X</t>
  </si>
  <si>
    <t>The Tactical Air Navigation System (TACAN) channel of '41X' is assigned to the aircraft that is receiving fuel during air Refuel operations.</t>
  </si>
  <si>
    <t>chan041Y</t>
  </si>
  <si>
    <t>Channel 41Y</t>
  </si>
  <si>
    <t>The Tactical Air Navigation System (TACAN) channel of '41Y' is assigned to the aircraft that is receiving fuel during air Refuel operations.</t>
  </si>
  <si>
    <t>chan041Z</t>
  </si>
  <si>
    <t>Channel 41Z</t>
  </si>
  <si>
    <t>The Tactical Air Navigation System (TACAN) channel of '41Z' is assigned to the aircraft that is receiving fuel during air Refuel operations.</t>
  </si>
  <si>
    <t>chan042W</t>
  </si>
  <si>
    <t>Channel 42W</t>
  </si>
  <si>
    <t>The Tactical Air Navigation System (TACAN) channel of '42W' is assigned to the aircraft that is receiving fuel during air Refuel operations.</t>
  </si>
  <si>
    <t>chan042X</t>
  </si>
  <si>
    <t>Channel 42X</t>
  </si>
  <si>
    <t>The Tactical Air Navigation System (TACAN) channel of '42X' is assigned to the aircraft that is receiving fuel during air Refuel operations.</t>
  </si>
  <si>
    <t>chan042Y</t>
  </si>
  <si>
    <t>Channel 42Y</t>
  </si>
  <si>
    <t>The Tactical Air Navigation System (TACAN) channel of '42Y' is assigned to the aircraft that is receiving fuel during air Refuel operations.</t>
  </si>
  <si>
    <t>chan042Z</t>
  </si>
  <si>
    <t>Channel 42Z</t>
  </si>
  <si>
    <t>The Tactical Air Navigation System (TACAN) channel of '42Z' is assigned to the aircraft that is receiving fuel during air Refuel operations.</t>
  </si>
  <si>
    <t>chan043X</t>
  </si>
  <si>
    <t>Channel 43X</t>
  </si>
  <si>
    <t>The Tactical Air Navigation System (TACAN) channel of '43X' is assigned to the aircraft that is receiving fuel during air Refuel operations.</t>
  </si>
  <si>
    <t>chan043Y</t>
  </si>
  <si>
    <t>Channel 43Y</t>
  </si>
  <si>
    <t>The Tactical Air Navigation System (TACAN) channel of '43Y' is assigned to the aircraft that is receiving fuel during air Refuel operations.</t>
  </si>
  <si>
    <t>chan043Z</t>
  </si>
  <si>
    <t>Channel 43Z</t>
  </si>
  <si>
    <t>The Tactical Air Navigation System (TACAN) channel of '43Z' is assigned to the aircraft that is receiving fuel during air Refuel operations.</t>
  </si>
  <si>
    <t>chan044W</t>
  </si>
  <si>
    <t>Channel 44W</t>
  </si>
  <si>
    <t>The Tactical Air Navigation System (TACAN) channel of '44W' is assigned to the aircraft that is receiving fuel during air Refuel operations.</t>
  </si>
  <si>
    <t>chan044X</t>
  </si>
  <si>
    <t>Channel 44X</t>
  </si>
  <si>
    <t>The Tactical Air Navigation System (TACAN) channel of '44X' is assigned to the aircraft that is receiving fuel during air Refuel operations.</t>
  </si>
  <si>
    <t>chan044Y</t>
  </si>
  <si>
    <t>Channel 44Y</t>
  </si>
  <si>
    <t>The Tactical Air Navigation System (TACAN) channel of '44Y' is assigned to the aircraft that is receiving fuel during air Refuel operations.</t>
  </si>
  <si>
    <t>chan044Z</t>
  </si>
  <si>
    <t>Channel 44Z</t>
  </si>
  <si>
    <t>The Tactical Air Navigation System (TACAN) channel of '44Z' is assigned to the aircraft that is receiving fuel during air Refuel operations.</t>
  </si>
  <si>
    <t>chan045X</t>
  </si>
  <si>
    <t>Channel 45X</t>
  </si>
  <si>
    <t>The Tactical Air Navigation System (TACAN) channel of '45X' is assigned to the aircraft that is receiving fuel during air Refuel operations.</t>
  </si>
  <si>
    <t>chan045Y</t>
  </si>
  <si>
    <t>Channel 45Y</t>
  </si>
  <si>
    <t>The Tactical Air Navigation System (TACAN) channel of '45Y' is assigned to the aircraft that is receiving fuel during air Refuel operations.</t>
  </si>
  <si>
    <t>chan045Z</t>
  </si>
  <si>
    <t>Channel 45Z</t>
  </si>
  <si>
    <t>The Tactical Air Navigation System (TACAN) channel of '45Z' is assigned to the aircraft that is receiving fuel during air Refuel operations.</t>
  </si>
  <si>
    <t>chan046W</t>
  </si>
  <si>
    <t>Channel 46W</t>
  </si>
  <si>
    <t>The Tactical Air Navigation System (TACAN) channel of '46W' is assigned to the aircraft that is receiving fuel during air Refuel operations.</t>
  </si>
  <si>
    <t>chan046X</t>
  </si>
  <si>
    <t>Channel 46X</t>
  </si>
  <si>
    <t>The Tactical Air Navigation System (TACAN) channel of '46X' is assigned to the aircraft that is receiving fuel during air Refuel operations.</t>
  </si>
  <si>
    <t>chan046Y</t>
  </si>
  <si>
    <t>Channel 46Y</t>
  </si>
  <si>
    <t>The Tactical Air Navigation System (TACAN) channel of '46Y' is assigned to the aircraft that is receiving fuel during air Refuel operations.</t>
  </si>
  <si>
    <t>chan046Z</t>
  </si>
  <si>
    <t>Channel 46Z</t>
  </si>
  <si>
    <t>The Tactical Air Navigation System (TACAN) channel of '46Z' is assigned to the aircraft that is receiving fuel during air Refuel operations.</t>
  </si>
  <si>
    <t>chan047X</t>
  </si>
  <si>
    <t>Channel 47X</t>
  </si>
  <si>
    <t>The Tactical Air Navigation System (TACAN) channel of '47X' is assigned to the aircraft that is receiving fuel during air Refuel operations.</t>
  </si>
  <si>
    <t>chan047Y</t>
  </si>
  <si>
    <t>Channel 47Y</t>
  </si>
  <si>
    <t>The Tactical Air Navigation System (TACAN) channel of '47Y' is assigned to the aircraft that is receiving fuel during air Refuel operations.</t>
  </si>
  <si>
    <t>chan047Z</t>
  </si>
  <si>
    <t>Channel 47Z</t>
  </si>
  <si>
    <t>The Tactical Air Navigation System (TACAN) channel of '47Z' is assigned to the aircraft that is receiving fuel during air Refuel operations.</t>
  </si>
  <si>
    <t>chan048W</t>
  </si>
  <si>
    <t>Channel 48W</t>
  </si>
  <si>
    <t>The Tactical Air Navigation System (TACAN) channel of '48W' is assigned to the aircraft that is receiving fuel during air Refuel operations.</t>
  </si>
  <si>
    <t>chan048X</t>
  </si>
  <si>
    <t>Channel 48X</t>
  </si>
  <si>
    <t>The Tactical Air Navigation System (TACAN) channel of '48X' is assigned to the aircraft that is receiving fuel during air Refuel operations.</t>
  </si>
  <si>
    <t>chan048Y</t>
  </si>
  <si>
    <t>Channel 48Y</t>
  </si>
  <si>
    <t>The Tactical Air Navigation System (TACAN) channel of '48Y' is assigned to the aircraft that is receiving fuel during air Refuel operations.</t>
  </si>
  <si>
    <t>chan048Z</t>
  </si>
  <si>
    <t>Channel 48Z</t>
  </si>
  <si>
    <t>The Tactical Air Navigation System (TACAN) channel of '48Z' is assigned to the aircraft that is receiving fuel during air Refuel operations.</t>
  </si>
  <si>
    <t>chan049X</t>
  </si>
  <si>
    <t>Channel 49X</t>
  </si>
  <si>
    <t>The Tactical Air Navigation System (TACAN) channel of '49X' is assigned to the aircraft that is receiving fuel during air Refuel operations.</t>
  </si>
  <si>
    <t>chan049Y</t>
  </si>
  <si>
    <t>Channel 49Y</t>
  </si>
  <si>
    <t>The Tactical Air Navigation System (TACAN) channel of '49Y' is assigned to the aircraft that is receiving fuel during air Refuel operations.</t>
  </si>
  <si>
    <t>chan049Z</t>
  </si>
  <si>
    <t>Channel 49Z</t>
  </si>
  <si>
    <t>The Tactical Air Navigation System (TACAN) channel of '49Z' is assigned to the aircraft that is receiving fuel during air Refuel operations.</t>
  </si>
  <si>
    <t>chan004X</t>
  </si>
  <si>
    <t>Channel 4X</t>
  </si>
  <si>
    <t>The Tactical Air Navigation System (TACAN) channel of '4X' is assigned to the aircraft that is receiving fuel during air Refuel operations.</t>
  </si>
  <si>
    <t>chan004Y</t>
  </si>
  <si>
    <t>Channel 4Y</t>
  </si>
  <si>
    <t>The Tactical Air Navigation System (TACAN) channel of '4Y' is assigned to the aircraft that is receiving fuel during air Refuel operations.</t>
  </si>
  <si>
    <t>chan050W</t>
  </si>
  <si>
    <t>Channel 50W</t>
  </si>
  <si>
    <t>The Tactical Air Navigation System (TACAN) channel of '50W' is assigned to the aircraft that is receiving fuel during air Refuel operations.</t>
  </si>
  <si>
    <t>chan050X</t>
  </si>
  <si>
    <t>Channel 50X</t>
  </si>
  <si>
    <t>The Tactical Air Navigation System (TACAN) channel of '50X' is assigned to the aircraft that is receiving fuel during air Refuel operations.</t>
  </si>
  <si>
    <t>chan050Y</t>
  </si>
  <si>
    <t>Channel 50Y</t>
  </si>
  <si>
    <t>The Tactical Air Navigation System (TACAN) channel of '50Y' is assigned to the aircraft that is receiving fuel during air Refuel operations.</t>
  </si>
  <si>
    <t>chan050Z</t>
  </si>
  <si>
    <t>Channel 50Z</t>
  </si>
  <si>
    <t>The Tactical Air Navigation System (TACAN) channel of '50Z' is assigned to the aircraft that is receiving fuel during air Refuel operations.</t>
  </si>
  <si>
    <t>chan051X</t>
  </si>
  <si>
    <t>Channel 51X</t>
  </si>
  <si>
    <t>The Tactical Air Navigation System (TACAN) channel of '51X' is assigned to the aircraft that is receiving fuel during air Refuel operations.</t>
  </si>
  <si>
    <t>chan051Y</t>
  </si>
  <si>
    <t>Channel 51Y</t>
  </si>
  <si>
    <t>The Tactical Air Navigation System (TACAN) channel of '51Y' is assigned to the aircraft that is receiving fuel during air Refuel operations.</t>
  </si>
  <si>
    <t>chan051Z</t>
  </si>
  <si>
    <t>Channel 51Z</t>
  </si>
  <si>
    <t>The Tactical Air Navigation System (TACAN) channel of '51Z' is assigned to the aircraft that is receiving fuel during air Refuel operations.</t>
  </si>
  <si>
    <t>chan052W</t>
  </si>
  <si>
    <t>Channel 52W</t>
  </si>
  <si>
    <t>The Tactical Air Navigation System (TACAN) channel of '52W' is assigned to the aircraft that is receiving fuel during air Refuel operations.</t>
  </si>
  <si>
    <t>chan052X</t>
  </si>
  <si>
    <t>Channel 52X</t>
  </si>
  <si>
    <t>The Tactical Air Navigation System (TACAN) channel of '52X' is assigned to the aircraft that is receiving fuel during air Refuel operations.</t>
  </si>
  <si>
    <t>chan052Y</t>
  </si>
  <si>
    <t>Channel 52Y</t>
  </si>
  <si>
    <t>The Tactical Air Navigation System (TACAN) channel of '52Y' is assigned to the aircraft that is receiving fuel during air Refuel operations.</t>
  </si>
  <si>
    <t>chan052Z</t>
  </si>
  <si>
    <t>Channel 52Z</t>
  </si>
  <si>
    <t>The Tactical Air Navigation System (TACAN) channel of '52Z' is assigned to the aircraft that is receiving fuel during air Refuel operations.</t>
  </si>
  <si>
    <t>chan053X</t>
  </si>
  <si>
    <t>Channel 53X</t>
  </si>
  <si>
    <t>The Tactical Air Navigation System (TACAN) channel of '53X' is assigned to the aircraft that is receiving fuel during air Refuel operations.</t>
  </si>
  <si>
    <t>chan053Y</t>
  </si>
  <si>
    <t>Channel 53Y</t>
  </si>
  <si>
    <t>The Tactical Air Navigation System (TACAN) channel of '53Y' is assigned to the aircraft that is receiving fuel during air Refuel operations.</t>
  </si>
  <si>
    <t>chan053Z</t>
  </si>
  <si>
    <t>Channel 53Z</t>
  </si>
  <si>
    <t>The Tactical Air Navigation System (TACAN) channel of '53Z' is assigned to the aircraft that is receiving fuel during air Refuel operations.</t>
  </si>
  <si>
    <t>chan054W</t>
  </si>
  <si>
    <t>Channel 54W</t>
  </si>
  <si>
    <t>The Tactical Air Navigation System (TACAN) channel of '54W' is assigned to the aircraft that is receiving fuel during air Refuel operations.</t>
  </si>
  <si>
    <t>chan054X</t>
  </si>
  <si>
    <t>Channel 54X</t>
  </si>
  <si>
    <t>The Tactical Air Navigation System (TACAN) channel of '54X' is assigned to the aircraft that is receiving fuel during air Refuel operations.</t>
  </si>
  <si>
    <t>chan054Y</t>
  </si>
  <si>
    <t>Channel 54Y</t>
  </si>
  <si>
    <t>The Tactical Air Navigation System (TACAN) channel of '54Y' is assigned to the aircraft that is receiving fuel during air Refuel operations.</t>
  </si>
  <si>
    <t>chan054Z</t>
  </si>
  <si>
    <t>Channel 54Z</t>
  </si>
  <si>
    <t>The Tactical Air Navigation System (TACAN) channel of '54Z' is assigned to the aircraft that is receiving fuel during air Refuel operations.</t>
  </si>
  <si>
    <t>chan055X</t>
  </si>
  <si>
    <t>Channel 55X</t>
  </si>
  <si>
    <t>The Tactical Air Navigation System (TACAN) channel of '55X' is assigned to the aircraft that is receiving fuel during air Refuel operations.</t>
  </si>
  <si>
    <t>chan055Y</t>
  </si>
  <si>
    <t>Channel 55Y</t>
  </si>
  <si>
    <t>The Tactical Air Navigation System (TACAN) channel of '55Y' is assigned to the aircraft that is receiving fuel during air Refuel operations.</t>
  </si>
  <si>
    <t>chan055Z</t>
  </si>
  <si>
    <t>Channel 55Z</t>
  </si>
  <si>
    <t>The Tactical Air Navigation System (TACAN) channel of '55Z' is assigned to the aircraft that is receiving fuel during air Refuel operations.</t>
  </si>
  <si>
    <t>chan056W</t>
  </si>
  <si>
    <t>Channel 56W</t>
  </si>
  <si>
    <t>The Tactical Air Navigation System (TACAN) channel of '56W' is assigned to the aircraft that is receiving fuel during air Refuel operations.</t>
  </si>
  <si>
    <t>chan056X</t>
  </si>
  <si>
    <t>Channel 56X</t>
  </si>
  <si>
    <t>The Tactical Air Navigation System (TACAN) channel of '56X' is assigned to the aircraft that is receiving fuel during air Refuel operations.</t>
  </si>
  <si>
    <t>chan056Y</t>
  </si>
  <si>
    <t>Channel 56Y</t>
  </si>
  <si>
    <t>The Tactical Air Navigation System (TACAN) channel of '56Y' is assigned to the aircraft that is receiving fuel during air Refuel operations.</t>
  </si>
  <si>
    <t>chan056Z</t>
  </si>
  <si>
    <t>Channel 56Z</t>
  </si>
  <si>
    <t>The Tactical Air Navigation System (TACAN) channel of '56Z' is assigned to the aircraft that is receiving fuel during air Refuel operations.</t>
  </si>
  <si>
    <t>chan057X</t>
  </si>
  <si>
    <t>Channel 57X</t>
  </si>
  <si>
    <t>The Tactical Air Navigation System (TACAN) channel of '57X' is assigned to the aircraft that is receiving fuel during air Refuel operations.</t>
  </si>
  <si>
    <t>chan057Y</t>
  </si>
  <si>
    <t>Channel 57Y</t>
  </si>
  <si>
    <t>The Tactical Air Navigation System (TACAN) channel of '57Y' is assigned to the aircraft that is receiving fuel during air Refuel operations.</t>
  </si>
  <si>
    <t>chan058X</t>
  </si>
  <si>
    <t>Channel 58X</t>
  </si>
  <si>
    <t>The Tactical Air Navigation System (TACAN) channel of '58X' is assigned to the aircraft that is receiving fuel during air Refuel operations.</t>
  </si>
  <si>
    <t>chan058Y</t>
  </si>
  <si>
    <t>Channel 58Y</t>
  </si>
  <si>
    <t>The Tactical Air Navigation System (TACAN) channel of '58Y' is assigned to the aircraft that is receiving fuel during air Refuel operations.</t>
  </si>
  <si>
    <t>chan059X</t>
  </si>
  <si>
    <t>Channel 59X</t>
  </si>
  <si>
    <t>The Tactical Air Navigation System (TACAN) channel of '59X' is assigned to the aircraft that is receiving fuel during air Refuel operations.</t>
  </si>
  <si>
    <t>chan059Y</t>
  </si>
  <si>
    <t>Channel 59Y</t>
  </si>
  <si>
    <t>The Tactical Air Navigation System (TACAN) channel of '59Y' is assigned to the aircraft that is receiving fuel during air Refuel operations.</t>
  </si>
  <si>
    <t>chan005X</t>
  </si>
  <si>
    <t>Channel 5X</t>
  </si>
  <si>
    <t>The Tactical Air Navigation System (TACAN) channel of '5X' is assigned to the aircraft that is receiving fuel during air Refuel operations.</t>
  </si>
  <si>
    <t>chan005Y</t>
  </si>
  <si>
    <t>Channel 5Y</t>
  </si>
  <si>
    <t>The Tactical Air Navigation System (TACAN) channel of '5Y' is assigned to the aircraft that is receiving fuel during air Refuel operations.</t>
  </si>
  <si>
    <t>chan060X</t>
  </si>
  <si>
    <t>Channel 60X</t>
  </si>
  <si>
    <t>The Tactical Air Navigation System (TACAN) channel of '60X' is assigned to the aircraft that is receiving fuel during air Refuel operations.</t>
  </si>
  <si>
    <t>chan060Y</t>
  </si>
  <si>
    <t>Channel 60Y</t>
  </si>
  <si>
    <t>The Tactical Air Navigation System (TACAN) channel of '60Y' is assigned to the aircraft that is receiving fuel during air Refuel operations.</t>
  </si>
  <si>
    <t>chan061X</t>
  </si>
  <si>
    <t>Channel 61X</t>
  </si>
  <si>
    <t>The Tactical Air Navigation System (TACAN) channel of '61X' is assigned to the aircraft that is receiving fuel during air Refuel operations.</t>
  </si>
  <si>
    <t>chan061Y</t>
  </si>
  <si>
    <t>Channel 61Y</t>
  </si>
  <si>
    <t>The Tactical Air Navigation System (TACAN) channel of '61Y' is assigned to the aircraft that is receiving fuel during air Refuel operations.</t>
  </si>
  <si>
    <t>chan062X</t>
  </si>
  <si>
    <t>Channel 62X</t>
  </si>
  <si>
    <t>The Tactical Air Navigation System (TACAN) channel of '62X' is assigned to the aircraft that is receiving fuel during air Refuel operations.</t>
  </si>
  <si>
    <t>chan062Y</t>
  </si>
  <si>
    <t>Channel 62Y</t>
  </si>
  <si>
    <t>The Tactical Air Navigation System (TACAN) channel of '62Y' is assigned to the aircraft that is receiving fuel during air Refuel operations.</t>
  </si>
  <si>
    <t>chan063X</t>
  </si>
  <si>
    <t>Channel 63X</t>
  </si>
  <si>
    <t>The Tactical Air Navigation System (TACAN) channel of '63X' is assigned to the aircraft that is receiving fuel during air Refuel operations.</t>
  </si>
  <si>
    <t>chan063Y</t>
  </si>
  <si>
    <t>Channel 63Y</t>
  </si>
  <si>
    <t>The Tactical Air Navigation System (TACAN) channel of '63Y' is assigned to the aircraft that is receiving fuel during air Refuel operations.</t>
  </si>
  <si>
    <t>chan064X</t>
  </si>
  <si>
    <t>Channel 64X</t>
  </si>
  <si>
    <t>The Tactical Air Navigation System (TACAN) channel of '64X' is assigned to the aircraft that is receiving fuel during air Refuel operations.</t>
  </si>
  <si>
    <t>chan064Y</t>
  </si>
  <si>
    <t>Channel 64Y</t>
  </si>
  <si>
    <t>The Tactical Air Navigation System (TACAN) channel of '64Y' is assigned to the aircraft that is receiving fuel during air Refuel operations.</t>
  </si>
  <si>
    <t>chan065X</t>
  </si>
  <si>
    <t>Channel 65X</t>
  </si>
  <si>
    <t>The Tactical Air Navigation System (TACAN) channel of '65X' is assigned to the aircraft that is receiving fuel during air Refuel operations.</t>
  </si>
  <si>
    <t>chan065Y</t>
  </si>
  <si>
    <t>Channel 65Y</t>
  </si>
  <si>
    <t>The Tactical Air Navigation System (TACAN) channel of '65Y' is assigned to the aircraft that is receiving fuel during air Refuel operations.</t>
  </si>
  <si>
    <t>chan066X</t>
  </si>
  <si>
    <t>Channel 66X</t>
  </si>
  <si>
    <t>The Tactical Air Navigation System (TACAN) channel of '66X' is assigned to the aircraft that is receiving fuel during air Refuel operations.</t>
  </si>
  <si>
    <t>chan066Y</t>
  </si>
  <si>
    <t>Channel 66Y</t>
  </si>
  <si>
    <t>The Tactical Air Navigation System (TACAN) channel of '66Y' is assigned to the aircraft that is receiving fuel during air Refuel operations.</t>
  </si>
  <si>
    <t>chan067X</t>
  </si>
  <si>
    <t>Channel 67X</t>
  </si>
  <si>
    <t>The Tactical Air Navigation System (TACAN) channel of '67X' is assigned to the aircraft that is receiving fuel during air Refuel operations.</t>
  </si>
  <si>
    <t>chan067Y</t>
  </si>
  <si>
    <t>Channel 67Y</t>
  </si>
  <si>
    <t>The Tactical Air Navigation System (TACAN) channel of '67Y' is assigned to the aircraft that is receiving fuel during air Refuel operations.</t>
  </si>
  <si>
    <t>chan068X</t>
  </si>
  <si>
    <t>Channel 68X</t>
  </si>
  <si>
    <t>The Tactical Air Navigation System (TACAN) channel of '68X' is assigned to the aircraft that is receiving fuel during air Refuel operations.</t>
  </si>
  <si>
    <t>chan068Y</t>
  </si>
  <si>
    <t>Channel 68Y</t>
  </si>
  <si>
    <t>The Tactical Air Navigation System (TACAN) channel of '68Y' is assigned to the aircraft that is receiving fuel during air Refuel operations.</t>
  </si>
  <si>
    <t>chan069X</t>
  </si>
  <si>
    <t>Channel 69X</t>
  </si>
  <si>
    <t>The Tactical Air Navigation System (TACAN) channel of '69X' is assigned to the aircraft that is receiving fuel during air Refuel operations.</t>
  </si>
  <si>
    <t>chan069Y</t>
  </si>
  <si>
    <t>Channel 69Y</t>
  </si>
  <si>
    <t>The Tactical Air Navigation System (TACAN) channel of '69Y' is assigned to the aircraft that is receiving fuel during air Refuel operations.</t>
  </si>
  <si>
    <t>chan006X</t>
  </si>
  <si>
    <t>Channel 6X</t>
  </si>
  <si>
    <t>The Tactical Air Navigation System (TACAN) channel of '6X' is assigned to the aircraft that is receiving fuel during air Refuel operations.</t>
  </si>
  <si>
    <t>chan006Y</t>
  </si>
  <si>
    <t>Channel 6Y</t>
  </si>
  <si>
    <t>The Tactical Air Navigation System (TACAN) channel of '6Y' is assigned to the aircraft that is receiving fuel during air Refuel operations.</t>
  </si>
  <si>
    <t>chan070X</t>
  </si>
  <si>
    <t>Channel 70X</t>
  </si>
  <si>
    <t>The Tactical Air Navigation System (TACAN) channel of '70X' is assigned to the aircraft that is receiving fuel during air Refuel operations.</t>
  </si>
  <si>
    <t>chan070Y</t>
  </si>
  <si>
    <t>Channel 70Y</t>
  </si>
  <si>
    <t>The Tactical Air Navigation System (TACAN) channel of '70Y' is assigned to the aircraft that is receiving fuel during air Refuel operations.</t>
  </si>
  <si>
    <t>chan071X</t>
  </si>
  <si>
    <t>Channel 71X</t>
  </si>
  <si>
    <t>The Tactical Air Navigation System (TACAN) channel of '71X' is assigned to the aircraft that is receiving fuel during air Refuel operations.</t>
  </si>
  <si>
    <t>chan071Y</t>
  </si>
  <si>
    <t>Channel 71Y</t>
  </si>
  <si>
    <t>The Tactical Air Navigation System (TACAN) channel of '71Y' is assigned to the aircraft that is receiving fuel during air Refuel operations.</t>
  </si>
  <si>
    <t>chan072X</t>
  </si>
  <si>
    <t>Channel 72X</t>
  </si>
  <si>
    <t>The Tactical Air Navigation System (TACAN) channel of '72X' is assigned to the aircraft that is receiving fuel during air Refuel operations.</t>
  </si>
  <si>
    <t>chan072Y</t>
  </si>
  <si>
    <t>Channel 72Y</t>
  </si>
  <si>
    <t>The Tactical Air Navigation System (TACAN) channel of '72Y' is assigned to the aircraft that is receiving fuel during air Refuel operations.</t>
  </si>
  <si>
    <t>chan073X</t>
  </si>
  <si>
    <t>Channel 73X</t>
  </si>
  <si>
    <t>The Tactical Air Navigation System (TACAN) channel of '73X' is assigned to the aircraft that is receiving fuel during air Refuel operations.</t>
  </si>
  <si>
    <t>chan073Y</t>
  </si>
  <si>
    <t>Channel 73Y</t>
  </si>
  <si>
    <t>The Tactical Air Navigation System (TACAN) channel of '73Y' is assigned to the aircraft that is receiving fuel during air Refuel operations.</t>
  </si>
  <si>
    <t>chan074X</t>
  </si>
  <si>
    <t>Channel 74X</t>
  </si>
  <si>
    <t>The Tactical Air Navigation System (TACAN) channel of '74X' is assigned to the aircraft that is receiving fuel during air Refuel operations.</t>
  </si>
  <si>
    <t>chan074Y</t>
  </si>
  <si>
    <t>Channel 74Y</t>
  </si>
  <si>
    <t>The Tactical Air Navigation System (TACAN) channel of '74Y' is assigned to the aircraft that is receiving fuel during air Refuel operations.</t>
  </si>
  <si>
    <t>chan075X</t>
  </si>
  <si>
    <t>Channel 75X</t>
  </si>
  <si>
    <t>The Tactical Air Navigation System (TACAN) channel of '75X' is assigned to the aircraft that is receiving fuel during air Refuel operations.</t>
  </si>
  <si>
    <t>chan075Y</t>
  </si>
  <si>
    <t>Channel 75Y</t>
  </si>
  <si>
    <t>The Tactical Air Navigation System (TACAN) channel of '75Y' is assigned to the aircraft that is receiving fuel during air Refuel operations.</t>
  </si>
  <si>
    <t>chan076X</t>
  </si>
  <si>
    <t>Channel 76X</t>
  </si>
  <si>
    <t>The Tactical Air Navigation System (TACAN) channel of '76X' is assigned to the aircraft that is receiving fuel during air Refuel operations.</t>
  </si>
  <si>
    <t>chan076Y</t>
  </si>
  <si>
    <t>Channel 76Y</t>
  </si>
  <si>
    <t>The Tactical Air Navigation System (TACAN) channel of '76Y' is assigned to the aircraft that is receiving fuel during air Refuel operations.</t>
  </si>
  <si>
    <t>chan077X</t>
  </si>
  <si>
    <t>Channel 77X</t>
  </si>
  <si>
    <t>The Tactical Air Navigation System (TACAN) channel of '77X' is assigned to the aircraft that is receiving fuel during air Refuel operations.</t>
  </si>
  <si>
    <t>chan077Y</t>
  </si>
  <si>
    <t>Channel 77Y</t>
  </si>
  <si>
    <t>The Tactical Air Navigation System (TACAN) channel of '77Y' is assigned to the aircraft that is receiving fuel during air Refuel operations.</t>
  </si>
  <si>
    <t>chan078X</t>
  </si>
  <si>
    <t>Channel 78X</t>
  </si>
  <si>
    <t>The Tactical Air Navigation System (TACAN) channel of '78X' is assigned to the aircraft that is receiving fuel during air Refuel operations.</t>
  </si>
  <si>
    <t>chan078Y</t>
  </si>
  <si>
    <t>Channel 78Y</t>
  </si>
  <si>
    <t>The Tactical Air Navigation System (TACAN) channel of '78Y' is assigned to the aircraft that is receiving fuel during air Refuel operations.</t>
  </si>
  <si>
    <t>chan079X</t>
  </si>
  <si>
    <t>Channel 79X</t>
  </si>
  <si>
    <t>The Tactical Air Navigation System (TACAN) channel of '79X' is assigned to the aircraft that is receiving fuel during air Refuel operations.</t>
  </si>
  <si>
    <t>chan079Y</t>
  </si>
  <si>
    <t>Channel 79Y</t>
  </si>
  <si>
    <t>The Tactical Air Navigation System (TACAN) channel of '79Y' is assigned to the aircraft that is receiving fuel during air Refuel operations.</t>
  </si>
  <si>
    <t>chan007X</t>
  </si>
  <si>
    <t>Channel 7X</t>
  </si>
  <si>
    <t>The Tactical Air Navigation System (TACAN) channel of '7X' is assigned to the aircraft that is receiving fuel during air Refuel operations.</t>
  </si>
  <si>
    <t>chan007Y</t>
  </si>
  <si>
    <t>Channel 7Y</t>
  </si>
  <si>
    <t>The Tactical Air Navigation System (TACAN) channel of '7Y' is assigned to the aircraft that is receiving fuel during air Refuel operations.</t>
  </si>
  <si>
    <t>chan080X</t>
  </si>
  <si>
    <t>Channel 80X</t>
  </si>
  <si>
    <t>The Tactical Air Navigation System (TACAN) channel of '80X' is assigned to the aircraft that is receiving fuel during air Refuel operations.</t>
  </si>
  <si>
    <t>chan080Y</t>
  </si>
  <si>
    <t>Channel 80Y</t>
  </si>
  <si>
    <t>The Tactical Air Navigation System (TACAN) channel of '80Y' is assigned to the aircraft that is receiving fuel during air Refuel operations.</t>
  </si>
  <si>
    <t>chan080Z</t>
  </si>
  <si>
    <t>Channel 80Z</t>
  </si>
  <si>
    <t>The Tactical Air Navigation System (TACAN) channel of '80Z' is assigned to the aircraft that is receiving fuel during air Refuel operations.</t>
  </si>
  <si>
    <t>chan081X</t>
  </si>
  <si>
    <t>Channel 81X</t>
  </si>
  <si>
    <t>The Tactical Air Navigation System (TACAN) channel of '81X' is assigned to the aircraft that is receiving fuel during air Refuel operations.</t>
  </si>
  <si>
    <t>chan081Y</t>
  </si>
  <si>
    <t>Channel 81Y</t>
  </si>
  <si>
    <t>The Tactical Air Navigation System (TACAN) channel of '81Y' is assigned to the aircraft that is receiving fuel during air Refuel operations.</t>
  </si>
  <si>
    <t>chan081Z</t>
  </si>
  <si>
    <t>Channel 81Z</t>
  </si>
  <si>
    <t>The Tactical Air Navigation System (TACAN) channel of '81Z' is assigned to the aircraft that is receiving fuel during air Refuel operations.</t>
  </si>
  <si>
    <t>chan082X</t>
  </si>
  <si>
    <t>Channel 82X</t>
  </si>
  <si>
    <t>The Tactical Air Navigation System (TACAN) channel of '82X' is assigned to the aircraft that is receiving fuel during air Refuel operations.</t>
  </si>
  <si>
    <t>chan082Y</t>
  </si>
  <si>
    <t>Channel 82Y</t>
  </si>
  <si>
    <t>The Tactical Air Navigation System (TACAN) channel of '82Y' is assigned to the aircraft that is receiving fuel during air Refuel operations.</t>
  </si>
  <si>
    <t>chan082Z</t>
  </si>
  <si>
    <t>Channel 82Z</t>
  </si>
  <si>
    <t>The Tactical Air Navigation System (TACAN) channel of '82Z' is assigned to the aircraft that is receiving fuel during air Refuel operations.</t>
  </si>
  <si>
    <t>chan083X</t>
  </si>
  <si>
    <t>Channel 83X</t>
  </si>
  <si>
    <t>The Tactical Air Navigation System (TACAN) channel of '83X' is assigned to the aircraft that is receiving fuel during air Refuel operations.</t>
  </si>
  <si>
    <t>chan083Y</t>
  </si>
  <si>
    <t>Channel 83Y</t>
  </si>
  <si>
    <t>The Tactical Air Navigation System (TACAN) channel of '83Y' is assigned to the aircraft that is receiving fuel during air Refuel operations.</t>
  </si>
  <si>
    <t>chan083Z</t>
  </si>
  <si>
    <t>Channel 83Z</t>
  </si>
  <si>
    <t>The Tactical Air Navigation System (TACAN) channel of '83Z' is assigned to the aircraft that is receiving fuel during air Refuel operations.</t>
  </si>
  <si>
    <t>chan084X</t>
  </si>
  <si>
    <t>Channel 84X</t>
  </si>
  <si>
    <t>The Tactical Air Navigation System (TACAN) channel of '84X' is assigned to the aircraft that is receiving fuel during air Refuel operations.</t>
  </si>
  <si>
    <t>chan084Y</t>
  </si>
  <si>
    <t>Channel 84Y</t>
  </si>
  <si>
    <t>The Tactical Air Navigation System (TACAN) channel of '84Y' is assigned to the aircraft that is receiving fuel during air Refuel operations.</t>
  </si>
  <si>
    <t>chan084Z</t>
  </si>
  <si>
    <t>Channel 84Z</t>
  </si>
  <si>
    <t>The Tactical Air Navigation System (TACAN) channel of '84Z' is assigned to the aircraft that is receiving fuel during air Refuel operations.</t>
  </si>
  <si>
    <t>chan085X</t>
  </si>
  <si>
    <t>Channel 85X</t>
  </si>
  <si>
    <t>The Tactical Air Navigation System (TACAN) channel of '85X' is assigned to the aircraft that is receiving fuel during air Refuel operations.</t>
  </si>
  <si>
    <t>chan085Y</t>
  </si>
  <si>
    <t>Channel 85Y</t>
  </si>
  <si>
    <t>The Tactical Air Navigation System (TACAN) channel of '85Y' is assigned to the aircraft that is receiving fuel during air Refuel operations.</t>
  </si>
  <si>
    <t>chan085Z</t>
  </si>
  <si>
    <t>Channel 85Z</t>
  </si>
  <si>
    <t>The Tactical Air Navigation System (TACAN) channel of '85Z' is assigned to the aircraft that is receiving fuel during air Refuel operations.</t>
  </si>
  <si>
    <t>chan086X</t>
  </si>
  <si>
    <t>Channel 86X</t>
  </si>
  <si>
    <t>The Tactical Air Navigation System (TACAN) channel of '86X' is assigned to the aircraft that is receiving fuel during air Refuel operations.</t>
  </si>
  <si>
    <t>chan086Y</t>
  </si>
  <si>
    <t>Channel 86Y</t>
  </si>
  <si>
    <t>The Tactical Air Navigation System (TACAN) channel of '86Y' is assigned to the aircraft that is receiving fuel during air Refuel operations.</t>
  </si>
  <si>
    <t>chan086Z</t>
  </si>
  <si>
    <t>Channel 86Z</t>
  </si>
  <si>
    <t>The Tactical Air Navigation System (TACAN) channel of '86Z' is assigned to the aircraft that is receiving fuel during air Refuel operations.</t>
  </si>
  <si>
    <t>chan087X</t>
  </si>
  <si>
    <t>Channel 87X</t>
  </si>
  <si>
    <t>The Tactical Air Navigation System (TACAN) channel of '87X' is assigned to the aircraft that is receiving fuel during air Refuel operations.</t>
  </si>
  <si>
    <t>chan087Y</t>
  </si>
  <si>
    <t>Channel 87Y</t>
  </si>
  <si>
    <t>The Tactical Air Navigation System (TACAN) channel of '87Y' is assigned to the aircraft that is receiving fuel during air Refuel operations.</t>
  </si>
  <si>
    <t>chan087Z</t>
  </si>
  <si>
    <t>Channel 87Z</t>
  </si>
  <si>
    <t>The Tactical Air Navigation System (TACAN) channel of '87Z' is assigned to the aircraft that is receiving fuel during air Refuel operations.</t>
  </si>
  <si>
    <t>chan088X</t>
  </si>
  <si>
    <t>Channel 88X</t>
  </si>
  <si>
    <t>The Tactical Air Navigation System (TACAN) channel of '88X' is assigned to the aircraft that is receiving fuel during air Refuel operations.</t>
  </si>
  <si>
    <t>chan088Y</t>
  </si>
  <si>
    <t>Channel 88Y</t>
  </si>
  <si>
    <t>The Tactical Air Navigation System (TACAN) channel of '88Y' is assigned to the aircraft that is receiving fuel during air Refuel operations.</t>
  </si>
  <si>
    <t>chan088Z</t>
  </si>
  <si>
    <t>Channel 88Z</t>
  </si>
  <si>
    <t>The Tactical Air Navigation System (TACAN) channel of '88Z' is assigned to the aircraft that is receiving fuel during air Refuel operations.</t>
  </si>
  <si>
    <t>chan089X</t>
  </si>
  <si>
    <t>Channel 89X</t>
  </si>
  <si>
    <t>The Tactical Air Navigation System (TACAN) channel of '89X' is assigned to the aircraft that is receiving fuel during air Refuel operations.</t>
  </si>
  <si>
    <t>chan089Y</t>
  </si>
  <si>
    <t>Channel 89Y</t>
  </si>
  <si>
    <t>The Tactical Air Navigation System (TACAN) channel of '89Y' is assigned to the aircraft that is receiving fuel during air Refuel operations.</t>
  </si>
  <si>
    <t>chan089Z</t>
  </si>
  <si>
    <t>Channel 89Z</t>
  </si>
  <si>
    <t>The Tactical Air Navigation System (TACAN) channel of '89Z' is assigned to the aircraft that is receiving fuel during air Refuel operations.</t>
  </si>
  <si>
    <t>chan008X</t>
  </si>
  <si>
    <t>Channel 8X</t>
  </si>
  <si>
    <t>The Tactical Air Navigation System (TACAN) channel of '8X' is assigned to the aircraft that is receiving fuel during air Refuel operations.</t>
  </si>
  <si>
    <t>chan008Y</t>
  </si>
  <si>
    <t>Channel 8Y</t>
  </si>
  <si>
    <t>The Tactical Air Navigation System (TACAN) channel of '8Y' is assigned to the aircraft that is receiving fuel during air Refuel operations.</t>
  </si>
  <si>
    <t>chan090X</t>
  </si>
  <si>
    <t>Channel 90X</t>
  </si>
  <si>
    <t>The Tactical Air Navigation System (TACAN) channel of '90X' is assigned to the aircraft that is receiving fuel during air Refuel operations.</t>
  </si>
  <si>
    <t>chan090Y</t>
  </si>
  <si>
    <t>Channel 90Y</t>
  </si>
  <si>
    <t>The Tactical Air Navigation System (TACAN) channel of '90Y' is assigned to the aircraft that is receiving fuel during air Refuel operations.</t>
  </si>
  <si>
    <t>chan090Z</t>
  </si>
  <si>
    <t>Channel 90Z</t>
  </si>
  <si>
    <t>The Tactical Air Navigation System (TACAN) channel of '90Z' is assigned to the aircraft that is receiving fuel during air Refuel operations.</t>
  </si>
  <si>
    <t>chan091X</t>
  </si>
  <si>
    <t>Channel 91X</t>
  </si>
  <si>
    <t>The Tactical Air Navigation System (TACAN) channel of '91X' is assigned to the aircraft that is receiving fuel during air Refuel operations.</t>
  </si>
  <si>
    <t>chan091Y</t>
  </si>
  <si>
    <t>Channel 91Y</t>
  </si>
  <si>
    <t>The Tactical Air Navigation System (TACAN) channel of '91Y' is assigned to the aircraft that is receiving fuel during air Refuel operations.</t>
  </si>
  <si>
    <t>chan091Z</t>
  </si>
  <si>
    <t>Channel 91Z</t>
  </si>
  <si>
    <t>The Tactical Air Navigation System (TACAN) channel of '91Z' is assigned to the aircraft that is receiving fuel during air Refuel operations.</t>
  </si>
  <si>
    <t>chan092X</t>
  </si>
  <si>
    <t>Channel 92X</t>
  </si>
  <si>
    <t>The Tactical Air Navigation System (TACAN) channel of '92X' is assigned to the aircraft that is receiving fuel during air Refuel operations.</t>
  </si>
  <si>
    <t>chan092Y</t>
  </si>
  <si>
    <t>Channel 92Y</t>
  </si>
  <si>
    <t>The Tactical Air Navigation System (TACAN) channel of '92Y' is assigned to the aircraft that is receiving fuel during air Refuel operations.</t>
  </si>
  <si>
    <t>chan092Z</t>
  </si>
  <si>
    <t>Channel 92Z</t>
  </si>
  <si>
    <t>The Tactical Air Navigation System (TACAN) channel of '92Z' is assigned to the aircraft that is receiving fuel during air Refuel operations.</t>
  </si>
  <si>
    <t>chan093X</t>
  </si>
  <si>
    <t>Channel 93X</t>
  </si>
  <si>
    <t>The Tactical Air Navigation System (TACAN) channel of '93X' is assigned to the aircraft that is receiving fuel during air Refuel operations.</t>
  </si>
  <si>
    <t>chan093Y</t>
  </si>
  <si>
    <t>Channel 93Y</t>
  </si>
  <si>
    <t>The Tactical Air Navigation System (TACAN) channel of '93Y' is assigned to the aircraft that is receiving fuel during air Refuel operations.</t>
  </si>
  <si>
    <t>chan093Z</t>
  </si>
  <si>
    <t>Channel 93Z</t>
  </si>
  <si>
    <t>The Tactical Air Navigation System (TACAN) channel of '93Z' is assigned to the aircraft that is receiving fuel during air Refuel operations.</t>
  </si>
  <si>
    <t>chan094X</t>
  </si>
  <si>
    <t>Channel 94X</t>
  </si>
  <si>
    <t>The Tactical Air Navigation System (TACAN) channel of '94X' is assigned to the aircraft that is receiving fuel during air Refuel operations.</t>
  </si>
  <si>
    <t>chan094Y</t>
  </si>
  <si>
    <t>Channel 94Y</t>
  </si>
  <si>
    <t>The Tactical Air Navigation System (TACAN) channel of '94Y' is assigned to the aircraft that is receiving fuel during air Refuel operations.</t>
  </si>
  <si>
    <t>chan094Z</t>
  </si>
  <si>
    <t>Channel 94Z</t>
  </si>
  <si>
    <t>The Tactical Air Navigation System (TACAN) channel of '94Z' is assigned to the aircraft that is receiving fuel during air Refuel operations.</t>
  </si>
  <si>
    <t>chan095X</t>
  </si>
  <si>
    <t>Channel 95X</t>
  </si>
  <si>
    <t>The Tactical Air Navigation System (TACAN) channel of '95X' is assigned to the aircraft that is receiving fuel during air Refuel operations.</t>
  </si>
  <si>
    <t>chan095Y</t>
  </si>
  <si>
    <t>Channel 95Y</t>
  </si>
  <si>
    <t>The Tactical Air Navigation System (TACAN) channel of '95Y' is assigned to the aircraft that is receiving fuel during air Refuel operations.</t>
  </si>
  <si>
    <t>chan095Z</t>
  </si>
  <si>
    <t>Channel 95Z</t>
  </si>
  <si>
    <t>The Tactical Air Navigation System (TACAN) channel of '95Z' is assigned to the aircraft that is receiving fuel during air Refuel operations.</t>
  </si>
  <si>
    <t>chan096X</t>
  </si>
  <si>
    <t>Channel 96X</t>
  </si>
  <si>
    <t>The Tactical Air Navigation System (TACAN) channel of '96X' is assigned to the aircraft that is receiving fuel during air Refuel operations.</t>
  </si>
  <si>
    <t>chan096Y</t>
  </si>
  <si>
    <t>Channel 96Y</t>
  </si>
  <si>
    <t>The Tactical Air Navigation System (TACAN) channel of '96Y' is assigned to the aircraft that is receiving fuel during air Refuel operations.</t>
  </si>
  <si>
    <t>chan096Z</t>
  </si>
  <si>
    <t>Channel 96Z</t>
  </si>
  <si>
    <t>The Tactical Air Navigation System (TACAN) channel of '96Z' is assigned to the aircraft that is receiving fuel during air Refuel operations.</t>
  </si>
  <si>
    <t>chan097X</t>
  </si>
  <si>
    <t>Channel 97X</t>
  </si>
  <si>
    <t>The Tactical Air Navigation System (TACAN) channel of '97X' is assigned to the aircraft that is receiving fuel during air Refuel operations.</t>
  </si>
  <si>
    <t>chan097Y</t>
  </si>
  <si>
    <t>Channel 97Y</t>
  </si>
  <si>
    <t>The Tactical Air Navigation System (TACAN) channel of '97Y' is assigned to the aircraft that is receiving fuel during air Refuel operations.</t>
  </si>
  <si>
    <t>chan097Z</t>
  </si>
  <si>
    <t>Channel 97Z</t>
  </si>
  <si>
    <t>The Tactical Air Navigation System (TACAN) channel of '97Z' is assigned to the aircraft that is receiving fuel during air Refuel operations.</t>
  </si>
  <si>
    <t>chan098X</t>
  </si>
  <si>
    <t>Channel 98X</t>
  </si>
  <si>
    <t>The Tactical Air Navigation System (TACAN) channel of '98X' is assigned to the aircraft that is receiving fuel during air Refuel operations.</t>
  </si>
  <si>
    <t>chan098Y</t>
  </si>
  <si>
    <t>Channel 98Y</t>
  </si>
  <si>
    <t>The Tactical Air Navigation System (TACAN) channel of '98Y' is assigned to the aircraft that is receiving fuel during air Refuel operations.</t>
  </si>
  <si>
    <t>chan098Z</t>
  </si>
  <si>
    <t>Channel 98Z</t>
  </si>
  <si>
    <t>The Tactical Air Navigation System (TACAN) channel of '98Z' is assigned to the aircraft that is receiving fuel during air Refuel operations.</t>
  </si>
  <si>
    <t>chan099X</t>
  </si>
  <si>
    <t>Channel 99X</t>
  </si>
  <si>
    <t>The Tactical Air Navigation System (TACAN) channel of '99X' is assigned to the aircraft that is receiving fuel during air Refuel operations.</t>
  </si>
  <si>
    <t>chan099Y</t>
  </si>
  <si>
    <t>Channel 99Y</t>
  </si>
  <si>
    <t>The Tactical Air Navigation System (TACAN) channel of '99Y' is assigned to the aircraft that is receiving fuel during air Refuel operations.</t>
  </si>
  <si>
    <t>chan099Z</t>
  </si>
  <si>
    <t>Channel 99Z</t>
  </si>
  <si>
    <t>The Tactical Air Navigation System (TACAN) channel of '99Z' is assigned to the aircraft that is receiving fuel during air Refuel operations.</t>
  </si>
  <si>
    <t>chan009X</t>
  </si>
  <si>
    <t>Channel 9X</t>
  </si>
  <si>
    <t>The Tactical Air Navigation System (TACAN) channel of '9X' is assigned to the aircraft that is receiving fuel during air Refuel operations.</t>
  </si>
  <si>
    <t>chan009Y</t>
  </si>
  <si>
    <t>Channel 9Y</t>
  </si>
  <si>
    <t>The Tactical Air Navigation System (TACAN) channel of '9Y' is assigned to the aircraft that is receiving fuel during air Refuel operations.</t>
  </si>
  <si>
    <t>The Tactical Air Navigation System (TACAN) channel of '100X' is assigned to the aircraft that is supplying fuel during air Refuel operations.</t>
  </si>
  <si>
    <t>The Tactical Air Navigation System (TACAN) channel of '100Y' is assigned to the aircraft that is supplying fuel during air Refuel operations.</t>
  </si>
  <si>
    <t>The Tactical Air Navigation System (TACAN) channel of '100Z' is assigned to the aircraft that is supplying fuel during air Refuel operations.</t>
  </si>
  <si>
    <t>The Tactical Air Navigation System (TACAN) channel of '101X' is assigned to the aircraft that is supplying fuel during air Refuel operations.</t>
  </si>
  <si>
    <t>The Tactical Air Navigation System (TACAN) channel of '101Y' is assigned to the aircraft that is supplying fuel during air Refuel operations.</t>
  </si>
  <si>
    <t>The Tactical Air Navigation System (TACAN) channel of '101Z' is assigned to the aircraft that is supplying fuel during air Refuel operations.</t>
  </si>
  <si>
    <t>The Tactical Air Navigation System (TACAN) channel of '102X' is assigned to the aircraft that is supplying fuel during air Refuel operations.</t>
  </si>
  <si>
    <t>The Tactical Air Navigation System (TACAN) channel of '102Y' is assigned to the aircraft that is supplying fuel during air Refuel operations.</t>
  </si>
  <si>
    <t>The Tactical Air Navigation System (TACAN) channel of '102Z' is assigned to the aircraft that is supplying fuel during air Refuel operations.</t>
  </si>
  <si>
    <t>The Tactical Air Navigation System (TACAN) channel of '103X' is assigned to the aircraft that is supplying fuel during air Refuel operations.</t>
  </si>
  <si>
    <t>The Tactical Air Navigation System (TACAN) channel of '103Y' is assigned to the aircraft that is supplying fuel during air Refuel operations.</t>
  </si>
  <si>
    <t>The Tactical Air Navigation System (TACAN) channel of '103Z' is assigned to the aircraft that is supplying fuel during air Refuel operations.</t>
  </si>
  <si>
    <t>The Tactical Air Navigation System (TACAN) channel of '104X' is assigned to the aircraft that is supplying fuel during air Refuel operations.</t>
  </si>
  <si>
    <t>The Tactical Air Navigation System (TACAN) channel of '104Y' is assigned to the aircraft that is supplying fuel during air Refuel operations.</t>
  </si>
  <si>
    <t>The Tactical Air Navigation System (TACAN) channel of '104Z' is assigned to the aircraft that is supplying fuel during air Refuel operations.</t>
  </si>
  <si>
    <t>The Tactical Air Navigation System (TACAN) channel of '105X' is assigned to the aircraft that is supplying fuel during air Refuel operations.</t>
  </si>
  <si>
    <t>The Tactical Air Navigation System (TACAN) channel of '105Y' is assigned to the aircraft that is supplying fuel during air Refuel operations.</t>
  </si>
  <si>
    <t>The Tactical Air Navigation System (TACAN) channel of '105Z' is assigned to the aircraft that is supplying fuel during air Refuel operations.</t>
  </si>
  <si>
    <t>The Tactical Air Navigation System (TACAN) channel of '106X' is assigned to the aircraft that is supplying fuel during air Refuel operations.</t>
  </si>
  <si>
    <t>The Tactical Air Navigation System (TACAN) channel of '106Y' is assigned to the aircraft that is supplying fuel during air Refuel operations.</t>
  </si>
  <si>
    <t>The Tactical Air Navigation System (TACAN) channel of '106Z' is assigned to the aircraft that is supplying fuel during air Refuel operations.</t>
  </si>
  <si>
    <t>The Tactical Air Navigation System (TACAN) channel of '107X' is assigned to the aircraft that is supplying fuel during air Refuel operations.</t>
  </si>
  <si>
    <t>The Tactical Air Navigation System (TACAN) channel of '107Y' is assigned to the aircraft that is supplying fuel during air Refuel operations.</t>
  </si>
  <si>
    <t>The Tactical Air Navigation System (TACAN) channel of '107Z' is assigned to the aircraft that is supplying fuel during air Refuel operations.</t>
  </si>
  <si>
    <t>The Tactical Air Navigation System (TACAN) channel of '108X' is assigned to the aircraft that is supplying fuel during air Refuel operations.</t>
  </si>
  <si>
    <t>The Tactical Air Navigation System (TACAN) channel of '108Y' is assigned to the aircraft that is supplying fuel during air Refuel operations.</t>
  </si>
  <si>
    <t>The Tactical Air Navigation System (TACAN) channel of '108Z' is assigned to the aircraft that is supplying fuel during air Refuel operations.</t>
  </si>
  <si>
    <t>The Tactical Air Navigation System (TACAN) channel of '109X' is assigned to the aircraft that is supplying fuel during air Refuel operations.</t>
  </si>
  <si>
    <t>The Tactical Air Navigation System (TACAN) channel of '109Y' is assigned to the aircraft that is supplying fuel during air Refuel operations.</t>
  </si>
  <si>
    <t>The Tactical Air Navigation System (TACAN) channel of '109Z' is assigned to the aircraft that is supplying fuel during air Refuel operations.</t>
  </si>
  <si>
    <t>The Tactical Air Navigation System (TACAN) channel of '10X' is assigned to the aircraft that is supplying fuel during air Refuel operations.</t>
  </si>
  <si>
    <t>The Tactical Air Navigation System (TACAN) channel of '10Y' is assigned to the aircraft that is supplying fuel during air Refuel operations.</t>
  </si>
  <si>
    <t>The Tactical Air Navigation System (TACAN) channel of '110X' is assigned to the aircraft that is supplying fuel during air Refuel operations.</t>
  </si>
  <si>
    <t>The Tactical Air Navigation System (TACAN) channel of '110Y' is assigned to the aircraft that is supplying fuel during air Refuel operations.</t>
  </si>
  <si>
    <t>The Tactical Air Navigation System (TACAN) channel of '110Z' is assigned to the aircraft that is supplying fuel during air Refuel operations.</t>
  </si>
  <si>
    <t>The Tactical Air Navigation System (TACAN) channel of '111X' is assigned to the aircraft that is supplying fuel during air Refuel operations.</t>
  </si>
  <si>
    <t>The Tactical Air Navigation System (TACAN) channel of '111Y' is assigned to the aircraft that is supplying fuel during air Refuel operations.</t>
  </si>
  <si>
    <t>The Tactical Air Navigation System (TACAN) channel of '111Z' is assigned to the aircraft that is supplying fuel during air Refuel operations.</t>
  </si>
  <si>
    <t>The Tactical Air Navigation System (TACAN) channel of '112X' is assigned to the aircraft that is supplying fuel during air Refuel operations.</t>
  </si>
  <si>
    <t>The Tactical Air Navigation System (TACAN) channel of '112Y' is assigned to the aircraft that is supplying fuel during air Refuel operations.</t>
  </si>
  <si>
    <t>The Tactical Air Navigation System (TACAN) channel of '112Z' is assigned to the aircraft that is supplying fuel during air Refuel operations.</t>
  </si>
  <si>
    <t>The Tactical Air Navigation System (TACAN) channel of '113X' is assigned to the aircraft that is supplying fuel during air Refuel operations.</t>
  </si>
  <si>
    <t>The Tactical Air Navigation System (TACAN) channel of '113Y' is assigned to the aircraft that is supplying fuel during air Refuel operations.</t>
  </si>
  <si>
    <t>The Tactical Air Navigation System (TACAN) channel of '113Z' is assigned to the aircraft that is supplying fuel during air Refuel operations.</t>
  </si>
  <si>
    <t>The Tactical Air Navigation System (TACAN) channel of '114X' is assigned to the aircraft that is supplying fuel during air Refuel operations.</t>
  </si>
  <si>
    <t>The Tactical Air Navigation System (TACAN) channel of '114Y' is assigned to the aircraft that is supplying fuel during air Refuel operations.</t>
  </si>
  <si>
    <t>The Tactical Air Navigation System (TACAN) channel of '114Z' is assigned to the aircraft that is supplying fuel during air Refuel operations.</t>
  </si>
  <si>
    <t>The Tactical Air Navigation System (TACAN) channel of '115X' is assigned to the aircraft that is supplying fuel during air Refuel operations.</t>
  </si>
  <si>
    <t>The Tactical Air Navigation System (TACAN) channel of '115Y' is assigned to the aircraft that is supplying fuel during air Refuel operations.</t>
  </si>
  <si>
    <t>The Tactical Air Navigation System (TACAN) channel of '115Z' is assigned to the aircraft that is supplying fuel during air Refuel operations.</t>
  </si>
  <si>
    <t>The Tactical Air Navigation System (TACAN) channel of '116X' is assigned to the aircraft that is supplying fuel during air Refuel operations.</t>
  </si>
  <si>
    <t>The Tactical Air Navigation System (TACAN) channel of '116Y' is assigned to the aircraft that is supplying fuel during air Refuel operations.</t>
  </si>
  <si>
    <t>The Tactical Air Navigation System (TACAN) channel of '116Z' is assigned to the aircraft that is supplying fuel during air Refuel operations.</t>
  </si>
  <si>
    <t>The Tactical Air Navigation System (TACAN) channel of '117X' is assigned to the aircraft that is supplying fuel during air Refuel operations.</t>
  </si>
  <si>
    <t>The Tactical Air Navigation System (TACAN) channel of '117Y' is assigned to the aircraft that is supplying fuel during air Refuel operations.</t>
  </si>
  <si>
    <t>The Tactical Air Navigation System (TACAN) channel of '117Z' is assigned to the aircraft that is supplying fuel during air Refuel operations.</t>
  </si>
  <si>
    <t>The Tactical Air Navigation System (TACAN) channel of '118X' is assigned to the aircraft that is supplying fuel during air Refuel operations.</t>
  </si>
  <si>
    <t>The Tactical Air Navigation System (TACAN) channel of '118Y' is assigned to the aircraft that is supplying fuel during air Refuel operations.</t>
  </si>
  <si>
    <t>The Tactical Air Navigation System (TACAN) channel of '118Z' is assigned to the aircraft that is supplying fuel during air Refuel operations.</t>
  </si>
  <si>
    <t>The Tactical Air Navigation System (TACAN) channel of '119X' is assigned to the aircraft that is supplying fuel during air Refuel operations.</t>
  </si>
  <si>
    <t>The Tactical Air Navigation System (TACAN) channel of '119Y' is assigned to the aircraft that is supplying fuel during air Refuel operations.</t>
  </si>
  <si>
    <t>The Tactical Air Navigation System (TACAN) channel of '119Z' is assigned to the aircraft that is supplying fuel during air Refuel operations.</t>
  </si>
  <si>
    <t>The Tactical Air Navigation System (TACAN) channel of '11X' is assigned to the aircraft that is supplying fuel during air Refuel operations.</t>
  </si>
  <si>
    <t>The Tactical Air Navigation System (TACAN) channel of '11Y' is assigned to the aircraft that is supplying fuel during air Refuel operations.</t>
  </si>
  <si>
    <t>The Tactical Air Navigation System (TACAN) channel of '120X' is assigned to the aircraft that is supplying fuel during air Refuel operations.</t>
  </si>
  <si>
    <t>The Tactical Air Navigation System (TACAN) channel of '120Y' is assigned to the aircraft that is supplying fuel during air Refuel operations.</t>
  </si>
  <si>
    <t>The Tactical Air Navigation System (TACAN) channel of '121X' is assigned to the aircraft that is supplying fuel during air Refuel operations.</t>
  </si>
  <si>
    <t>The Tactical Air Navigation System (TACAN) channel of '121Y' is assigned to the aircraft that is supplying fuel during air Refuel operations.</t>
  </si>
  <si>
    <t>The Tactical Air Navigation System (TACAN) channel of '122X' is assigned to the aircraft that is supplying fuel during air Refuel operations.</t>
  </si>
  <si>
    <t>The Tactical Air Navigation System (TACAN) channel of '122Y' is assigned to the aircraft that is supplying fuel during air Refuel operations.</t>
  </si>
  <si>
    <t>The Tactical Air Navigation System (TACAN) channel of '123X' is assigned to the aircraft that is supplying fuel during air Refuel operations.</t>
  </si>
  <si>
    <t>The Tactical Air Navigation System (TACAN) channel of '123Y' is assigned to the aircraft that is supplying fuel during air Refuel operations.</t>
  </si>
  <si>
    <t>The Tactical Air Navigation System (TACAN) channel of '124X' is assigned to the aircraft that is supplying fuel during air Refuel operations.</t>
  </si>
  <si>
    <t>The Tactical Air Navigation System (TACAN) channel of '124Y' is assigned to the aircraft that is supplying fuel during air Refuel operations.</t>
  </si>
  <si>
    <t>The Tactical Air Navigation System (TACAN) channel of '125X' is assigned to the aircraft that is supplying fuel during air Refuel operations.</t>
  </si>
  <si>
    <t>The Tactical Air Navigation System (TACAN) channel of '125Y' is assigned to the aircraft that is supplying fuel during air Refuel operations.</t>
  </si>
  <si>
    <t>The Tactical Air Navigation System (TACAN) channel of '126X' is assigned to the aircraft that is supplying fuel during air Refuel operations.</t>
  </si>
  <si>
    <t>The Tactical Air Navigation System (TACAN) channel of '126Y' is assigned to the aircraft that is supplying fuel during air Refuel operations.</t>
  </si>
  <si>
    <t>The Tactical Air Navigation System (TACAN) channel of '12X' is assigned to the aircraft that is supplying fuel during air Refuel operations.</t>
  </si>
  <si>
    <t>The Tactical Air Navigation System (TACAN) channel of '12Y' is assigned to the aircraft that is supplying fuel during air Refuel operations.</t>
  </si>
  <si>
    <t>The Tactical Air Navigation System (TACAN) channel of '13X' is assigned to the aircraft that is supplying fuel during air Refuel operations.</t>
  </si>
  <si>
    <t>The Tactical Air Navigation System (TACAN) channel of '13Y' is assigned to the aircraft that is supplying fuel during air Refuel operations.</t>
  </si>
  <si>
    <t>The Tactical Air Navigation System (TACAN) channel of '14X' is assigned to the aircraft that is supplying fuel during air Refuel operations.</t>
  </si>
  <si>
    <t>The Tactical Air Navigation System (TACAN) channel of '14Y' is assigned to the aircraft that is supplying fuel during air Refuel operations.</t>
  </si>
  <si>
    <t>The Tactical Air Navigation System (TACAN) channel of '15X' is assigned to the aircraft that is supplying fuel during air Refuel operations.</t>
  </si>
  <si>
    <t>The Tactical Air Navigation System (TACAN) channel of '15Y' is assigned to the aircraft that is supplying fuel during air Refuel operations.</t>
  </si>
  <si>
    <t>The Tactical Air Navigation System (TACAN) channel of '16X' is assigned to the aircraft that is supplying fuel during air Refuel operations.</t>
  </si>
  <si>
    <t>The Tactical Air Navigation System (TACAN) channel of '16Y' is assigned to the aircraft that is supplying fuel during air Refuel operations.</t>
  </si>
  <si>
    <t>The Tactical Air Navigation System (TACAN) channel of '17X' is assigned to the aircraft that is supplying fuel during air Refuel operations.</t>
  </si>
  <si>
    <t>The Tactical Air Navigation System (TACAN) channel of '17Y' is assigned to the aircraft that is supplying fuel during air Refuel operations.</t>
  </si>
  <si>
    <t>The Tactical Air Navigation System (TACAN) channel of '17Z' is assigned to the aircraft that is supplying fuel during air Refuel operations.</t>
  </si>
  <si>
    <t>The Tactical Air Navigation System (TACAN) channel of '18W' is assigned to the aircraft that is supplying fuel during air Refuel operations.</t>
  </si>
  <si>
    <t>The Tactical Air Navigation System (TACAN) channel of '18X' is assigned to the aircraft that is supplying fuel during air Refuel operations.</t>
  </si>
  <si>
    <t>The Tactical Air Navigation System (TACAN) channel of '18Y' is assigned to the aircraft that is supplying fuel during air Refuel operations.</t>
  </si>
  <si>
    <t>The Tactical Air Navigation System (TACAN) channel of '18Z' is assigned to the aircraft that is supplying fuel during air Refuel operations.</t>
  </si>
  <si>
    <t>The Tactical Air Navigation System (TACAN) channel of '19X' is assigned to the aircraft that is supplying fuel during air Refuel operations.</t>
  </si>
  <si>
    <t>The Tactical Air Navigation System (TACAN) channel of '19Y' is assigned to the aircraft that is supplying fuel during air Refuel operations.</t>
  </si>
  <si>
    <t>The Tactical Air Navigation System (TACAN) channel of '19Z' is assigned to the aircraft that is supplying fuel during air Refuel operations.</t>
  </si>
  <si>
    <t>The Tactical Air Navigation System (TACAN) channel of '1X' is assigned to the aircraft that is supplying fuel during air Refuel operations.</t>
  </si>
  <si>
    <t>The Tactical Air Navigation System (TACAN) channel of '1Y' is assigned to the aircraft that is supplying fuel during air Refuel operations.</t>
  </si>
  <si>
    <t>The Tactical Air Navigation System (TACAN) channel of '20W' is assigned to the aircraft that is supplying fuel during air Refuel operations.</t>
  </si>
  <si>
    <t>The Tactical Air Navigation System (TACAN) channel of '20X' is assigned to the aircraft that is supplying fuel during air Refuel operations.</t>
  </si>
  <si>
    <t>The Tactical Air Navigation System (TACAN) channel of '20Y' is assigned to the aircraft that is supplying fuel during air Refuel operations.</t>
  </si>
  <si>
    <t>The Tactical Air Navigation System (TACAN) channel of '20Z' is assigned to the aircraft that is supplying fuel during air Refuel operations.</t>
  </si>
  <si>
    <t>The Tactical Air Navigation System (TACAN) channel of '21X' is assigned to the aircraft that is supplying fuel during air Refuel operations.</t>
  </si>
  <si>
    <t>The Tactical Air Navigation System (TACAN) channel of '21Y' is assigned to the aircraft that is supplying fuel during air Refuel operations.</t>
  </si>
  <si>
    <t>The Tactical Air Navigation System (TACAN) channel of '21Z' is assigned to the aircraft that is supplying fuel during air Refuel operations.</t>
  </si>
  <si>
    <t>The Tactical Air Navigation System (TACAN) channel of '22W' is assigned to the aircraft that is supplying fuel during air Refuel operations.</t>
  </si>
  <si>
    <t>The Tactical Air Navigation System (TACAN) channel of '22X' is assigned to the aircraft that is supplying fuel during air Refuel operations.</t>
  </si>
  <si>
    <t>The Tactical Air Navigation System (TACAN) channel of '22Y' is assigned to the aircraft that is supplying fuel during air Refuel operations.</t>
  </si>
  <si>
    <t>The Tactical Air Navigation System (TACAN) channel of '22Z' is assigned to the aircraft that is supplying fuel during air Refuel operations.</t>
  </si>
  <si>
    <t>The Tactical Air Navigation System (TACAN) channel of '23X' is assigned to the aircraft that is supplying fuel during air Refuel operations.</t>
  </si>
  <si>
    <t>The Tactical Air Navigation System (TACAN) channel of '23Y' is assigned to the aircraft that is supplying fuel during air Refuel operations.</t>
  </si>
  <si>
    <t>The Tactical Air Navigation System (TACAN) channel of '23Z' is assigned to the aircraft that is supplying fuel during air Refuel operations.</t>
  </si>
  <si>
    <t>The Tactical Air Navigation System (TACAN) channel of '24W' is assigned to the aircraft that is supplying fuel during air Refuel operations.</t>
  </si>
  <si>
    <t>The Tactical Air Navigation System (TACAN) channel of '24X' is assigned to the aircraft that is supplying fuel during air Refuel operations.</t>
  </si>
  <si>
    <t>The Tactical Air Navigation System (TACAN) channel of '24Y' is assigned to the aircraft that is supplying fuel during air Refuel operations.</t>
  </si>
  <si>
    <t>The Tactical Air Navigation System (TACAN) channel of '24Z' is assigned to the aircraft that is supplying fuel during air Refuel operations.</t>
  </si>
  <si>
    <t>The Tactical Air Navigation System (TACAN) channel of '25X' is assigned to the aircraft that is supplying fuel during air Refuel operations.</t>
  </si>
  <si>
    <t>The Tactical Air Navigation System (TACAN) channel of '25Y' is assigned to the aircraft that is supplying fuel during air Refuel operations.</t>
  </si>
  <si>
    <t>The Tactical Air Navigation System (TACAN) channel of '25Z' is assigned to the aircraft that is supplying fuel during air Refuel operations.</t>
  </si>
  <si>
    <t>The Tactical Air Navigation System (TACAN) channel of '26W' is assigned to the aircraft that is supplying fuel during air Refuel operations.</t>
  </si>
  <si>
    <t>The Tactical Air Navigation System (TACAN) channel of '26X' is assigned to the aircraft that is supplying fuel during air Refuel operations.</t>
  </si>
  <si>
    <t>The Tactical Air Navigation System (TACAN) channel of '26Y' is assigned to the aircraft that is supplying fuel during air Refuel operations.</t>
  </si>
  <si>
    <t>The Tactical Air Navigation System (TACAN) channel of '26Z' is assigned to the aircraft that is supplying fuel during air Refuel operations.</t>
  </si>
  <si>
    <t>The Tactical Air Navigation System (TACAN) channel of '27X' is assigned to the aircraft that is supplying fuel during air Refuel operations.</t>
  </si>
  <si>
    <t>The Tactical Air Navigation System (TACAN) channel of '27Y' is assigned to the aircraft that is supplying fuel during air Refuel operations.</t>
  </si>
  <si>
    <t>The Tactical Air Navigation System (TACAN) channel of '27Z' is assigned to the aircraft that is supplying fuel during air Refuel operations.</t>
  </si>
  <si>
    <t>The Tactical Air Navigation System (TACAN) channel of '28W' is assigned to the aircraft that is supplying fuel during air Refuel operations.</t>
  </si>
  <si>
    <t>The Tactical Air Navigation System (TACAN) channel of '28X' is assigned to the aircraft that is supplying fuel during air Refuel operations.</t>
  </si>
  <si>
    <t>The Tactical Air Navigation System (TACAN) channel of '28Y' is assigned to the aircraft that is supplying fuel during air Refuel operations.</t>
  </si>
  <si>
    <t>The Tactical Air Navigation System (TACAN) channel of '28Z' is assigned to the aircraft that is supplying fuel during air Refuel operations.</t>
  </si>
  <si>
    <t>The Tactical Air Navigation System (TACAN) channel of '29X' is assigned to the aircraft that is supplying fuel during air Refuel operations.</t>
  </si>
  <si>
    <t>The Tactical Air Navigation System (TACAN) channel of '29Y' is assigned to the aircraft that is supplying fuel during air Refuel operations.</t>
  </si>
  <si>
    <t>The Tactical Air Navigation System (TACAN) channel of '29Z' is assigned to the aircraft that is supplying fuel during air Refuel operations.</t>
  </si>
  <si>
    <t>The Tactical Air Navigation System (TACAN) channel of '2X' is assigned to the aircraft that is supplying fuel during air Refuel operations.</t>
  </si>
  <si>
    <t>The Tactical Air Navigation System (TACAN) channel of '2Y' is assigned to the aircraft that is supplying fuel during air Refuel operations.</t>
  </si>
  <si>
    <t>The Tactical Air Navigation System (TACAN) channel of '30W' is assigned to the aircraft that is supplying fuel during air Refuel operations.</t>
  </si>
  <si>
    <t>The Tactical Air Navigation System (TACAN) channel of '30X' is assigned to the aircraft that is supplying fuel during air Refuel operations.</t>
  </si>
  <si>
    <t>The Tactical Air Navigation System (TACAN) channel of '30Y' is assigned to the aircraft that is supplying fuel during air Refuel operations.</t>
  </si>
  <si>
    <t>The Tactical Air Navigation System (TACAN) channel of '30Z' is assigned to the aircraft that is supplying fuel during air Refuel operations.</t>
  </si>
  <si>
    <t>The Tactical Air Navigation System (TACAN) channel of '31X' is assigned to the aircraft that is supplying fuel during air Refuel operations.</t>
  </si>
  <si>
    <t>The Tactical Air Navigation System (TACAN) channel of '31Y' is assigned to the aircraft that is supplying fuel during air Refuel operations.</t>
  </si>
  <si>
    <t>The Tactical Air Navigation System (TACAN) channel of '31Z' is assigned to the aircraft that is supplying fuel during air Refuel operations.</t>
  </si>
  <si>
    <t>The Tactical Air Navigation System (TACAN) channel of '32W' is assigned to the aircraft that is supplying fuel during air Refuel operations.</t>
  </si>
  <si>
    <t>The Tactical Air Navigation System (TACAN) channel of '32X' is assigned to the aircraft that is supplying fuel during air Refuel operations.</t>
  </si>
  <si>
    <t>The Tactical Air Navigation System (TACAN) channel of '32Y' is assigned to the aircraft that is supplying fuel during air Refuel operations.</t>
  </si>
  <si>
    <t>The Tactical Air Navigation System (TACAN) channel of '32Z' is assigned to the aircraft that is supplying fuel during air Refuel operations.</t>
  </si>
  <si>
    <t>The Tactical Air Navigation System (TACAN) channel of '33X' is assigned to the aircraft that is supplying fuel during air Refuel operations.</t>
  </si>
  <si>
    <t>The Tactical Air Navigation System (TACAN) channel of '33Y' is assigned to the aircraft that is supplying fuel during air Refuel operations.</t>
  </si>
  <si>
    <t>The Tactical Air Navigation System (TACAN) channel of '33Z' is assigned to the aircraft that is supplying fuel during air Refuel operations.</t>
  </si>
  <si>
    <t>The Tactical Air Navigation System (TACAN) channel of '34W' is assigned to the aircraft that is supplying fuel during air Refuel operations.</t>
  </si>
  <si>
    <t>The Tactical Air Navigation System (TACAN) channel of '34X' is assigned to the aircraft that is supplying fuel during air Refuel operations.</t>
  </si>
  <si>
    <t>The Tactical Air Navigation System (TACAN) channel of '34Y' is assigned to the aircraft that is supplying fuel during air Refuel operations.</t>
  </si>
  <si>
    <t>The Tactical Air Navigation System (TACAN) channel of '34Z' is assigned to the aircraft that is supplying fuel during air Refuel operations.</t>
  </si>
  <si>
    <t>The Tactical Air Navigation System (TACAN) channel of '35X' is assigned to the aircraft that is supplying fuel during air Refuel operations.</t>
  </si>
  <si>
    <t>The Tactical Air Navigation System (TACAN) channel of '35Y' is assigned to the aircraft that is supplying fuel during air Refuel operations.</t>
  </si>
  <si>
    <t>The Tactical Air Navigation System (TACAN) channel of '35Z' is assigned to the aircraft that is supplying fuel during air Refuel operations.</t>
  </si>
  <si>
    <t>The Tactical Air Navigation System (TACAN) channel of '36W' is assigned to the aircraft that is supplying fuel during air Refuel operations.</t>
  </si>
  <si>
    <t>The Tactical Air Navigation System (TACAN) channel of '36X' is assigned to the aircraft that is supplying fuel during air Refuel operations.</t>
  </si>
  <si>
    <t>The Tactical Air Navigation System (TACAN) channel of '36Y' is assigned to the aircraft that is supplying fuel during air Refuel operations.</t>
  </si>
  <si>
    <t>The Tactical Air Navigation System (TACAN) channel of '36Z' is assigned to the aircraft that is supplying fuel during air Refuel operations.</t>
  </si>
  <si>
    <t>The Tactical Air Navigation System (TACAN) channel of '37X' is assigned to the aircraft that is supplying fuel during air Refuel operations.</t>
  </si>
  <si>
    <t>The Tactical Air Navigation System (TACAN) channel of '37Y' is assigned to the aircraft that is supplying fuel during air Refuel operations.</t>
  </si>
  <si>
    <t>The Tactical Air Navigation System (TACAN) channel of '37Z' is assigned to the aircraft that is supplying fuel during air Refuel operations.</t>
  </si>
  <si>
    <t>The Tactical Air Navigation System (TACAN) channel of '38W' is assigned to the aircraft that is supplying fuel during air Refuel operations.</t>
  </si>
  <si>
    <t>The Tactical Air Navigation System (TACAN) channel of '38X' is assigned to the aircraft that is supplying fuel during air Refuel operations.</t>
  </si>
  <si>
    <t>The Tactical Air Navigation System (TACAN) channel of '38Y' is assigned to the aircraft that is supplying fuel during air Refuel operations.</t>
  </si>
  <si>
    <t>The Tactical Air Navigation System (TACAN) channel of '38Z' is assigned to the aircraft that is supplying fuel during air Refuel operations.</t>
  </si>
  <si>
    <t>The Tactical Air Navigation System (TACAN) channel of '39X' is assigned to the aircraft that is supplying fuel during air Refuel operations.</t>
  </si>
  <si>
    <t>The Tactical Air Navigation System (TACAN) channel of '39Y' is assigned to the aircraft that is supplying fuel during air Refuel operations.</t>
  </si>
  <si>
    <t>The Tactical Air Navigation System (TACAN) channel of '39Z' is assigned to the aircraft that is supplying fuel during air Refuel operations.</t>
  </si>
  <si>
    <t>The Tactical Air Navigation System (TACAN) channel of '3X' is assigned to the aircraft that is supplying fuel during air Refuel operations.</t>
  </si>
  <si>
    <t>The Tactical Air Navigation System (TACAN) channel of '3Y' is assigned to the aircraft that is supplying fuel during air Refuel operations.</t>
  </si>
  <si>
    <t>The Tactical Air Navigation System (TACAN) channel of '40W' is assigned to the aircraft that is supplying fuel during air Refuel operations.</t>
  </si>
  <si>
    <t>The Tactical Air Navigation System (TACAN) channel of '40X' is assigned to the aircraft that is supplying fuel during air Refuel operations.</t>
  </si>
  <si>
    <t>The Tactical Air Navigation System (TACAN) channel of '40Y' is assigned to the aircraft that is supplying fuel during air Refuel operations.</t>
  </si>
  <si>
    <t>The Tactical Air Navigation System (TACAN) channel of '40Z' is assigned to the aircraft that is supplying fuel during air Refuel operations.</t>
  </si>
  <si>
    <t>The Tactical Air Navigation System (TACAN) channel of '41X' is assigned to the aircraft that is supplying fuel during air Refuel operations.</t>
  </si>
  <si>
    <t>The Tactical Air Navigation System (TACAN) channel of '41Y' is assigned to the aircraft that is supplying fuel during air Refuel operations.</t>
  </si>
  <si>
    <t>The Tactical Air Navigation System (TACAN) channel of '41Z' is assigned to the aircraft that is supplying fuel during air Refuel operations.</t>
  </si>
  <si>
    <t>The Tactical Air Navigation System (TACAN) channel of '42W' is assigned to the aircraft that is supplying fuel during air Refuel operations.</t>
  </si>
  <si>
    <t>The Tactical Air Navigation System (TACAN) channel of '42X' is assigned to the aircraft that is supplying fuel during air Refuel operations.</t>
  </si>
  <si>
    <t>The Tactical Air Navigation System (TACAN) channel of '42Y' is assigned to the aircraft that is supplying fuel during air Refuel operations.</t>
  </si>
  <si>
    <t>The Tactical Air Navigation System (TACAN) channel of '42Z' is assigned to the aircraft that is supplying fuel during air Refuel operations.</t>
  </si>
  <si>
    <t>The Tactical Air Navigation System (TACAN) channel of '43X' is assigned to the aircraft that is supplying fuel during air Refuel operations.</t>
  </si>
  <si>
    <t>The Tactical Air Navigation System (TACAN) channel of '43Y' is assigned to the aircraft that is supplying fuel during air Refuel operations.</t>
  </si>
  <si>
    <t>The Tactical Air Navigation System (TACAN) channel of '43Z' is assigned to the aircraft that is supplying fuel during air Refuel operations.</t>
  </si>
  <si>
    <t>The Tactical Air Navigation System (TACAN) channel of '44W' is assigned to the aircraft that is supplying fuel during air Refuel operations.</t>
  </si>
  <si>
    <t>The Tactical Air Navigation System (TACAN) channel of '44X' is assigned to the aircraft that is supplying fuel during air Refuel operations.</t>
  </si>
  <si>
    <t>The Tactical Air Navigation System (TACAN) channel of '44Y' is assigned to the aircraft that is supplying fuel during air Refuel operations.</t>
  </si>
  <si>
    <t>The Tactical Air Navigation System (TACAN) channel of '44Z' is assigned to the aircraft that is supplying fuel during air Refuel operations.</t>
  </si>
  <si>
    <t>The Tactical Air Navigation System (TACAN) channel of '45X' is assigned to the aircraft that is supplying fuel during air Refuel operations.</t>
  </si>
  <si>
    <t>The Tactical Air Navigation System (TACAN) channel of '45Y' is assigned to the aircraft that is supplying fuel during air Refuel operations.</t>
  </si>
  <si>
    <t>The Tactical Air Navigation System (TACAN) channel of '45Z' is assigned to the aircraft that is supplying fuel during air Refuel operations.</t>
  </si>
  <si>
    <t>The Tactical Air Navigation System (TACAN) channel of '46W' is assigned to the aircraft that is supplying fuel during air Refuel operations.</t>
  </si>
  <si>
    <t>The Tactical Air Navigation System (TACAN) channel of '46X' is assigned to the aircraft that is supplying fuel during air Refuel operations.</t>
  </si>
  <si>
    <t>The Tactical Air Navigation System (TACAN) channel of '46Y' is assigned to the aircraft that is supplying fuel during air Refuel operations.</t>
  </si>
  <si>
    <t>The Tactical Air Navigation System (TACAN) channel of '46Z' is assigned to the aircraft that is supplying fuel during air Refuel operations.</t>
  </si>
  <si>
    <t>The Tactical Air Navigation System (TACAN) channel of '47X' is assigned to the aircraft that is supplying fuel during air Refuel operations.</t>
  </si>
  <si>
    <t>The Tactical Air Navigation System (TACAN) channel of '47Y' is assigned to the aircraft that is supplying fuel during air Refuel operations.</t>
  </si>
  <si>
    <t>The Tactical Air Navigation System (TACAN) channel of '47Z' is assigned to the aircraft that is supplying fuel during air Refuel operations.</t>
  </si>
  <si>
    <t>The Tactical Air Navigation System (TACAN) channel of '48W' is assigned to the aircraft that is supplying fuel during air Refuel operations.</t>
  </si>
  <si>
    <t>The Tactical Air Navigation System (TACAN) channel of '48X' is assigned to the aircraft that is supplying fuel during air Refuel operations.</t>
  </si>
  <si>
    <t>The Tactical Air Navigation System (TACAN) channel of '48Y' is assigned to the aircraft that is supplying fuel during air Refuel operations.</t>
  </si>
  <si>
    <t>The Tactical Air Navigation System (TACAN) channel of '48Z' is assigned to the aircraft that is supplying fuel during air Refuel operations.</t>
  </si>
  <si>
    <t>The Tactical Air Navigation System (TACAN) channel of '49X' is assigned to the aircraft that is supplying fuel during air Refuel operations.</t>
  </si>
  <si>
    <t>The Tactical Air Navigation System (TACAN) channel of '49Y' is assigned to the aircraft that is supplying fuel during air Refuel operations.</t>
  </si>
  <si>
    <t>The Tactical Air Navigation System (TACAN) channel of '49Z' is assigned to the aircraft that is supplying fuel during air Refuel operations.</t>
  </si>
  <si>
    <t>The Tactical Air Navigation System (TACAN) channel of '4X' is assigned to the aircraft that is supplying fuel during air Refuel operations.</t>
  </si>
  <si>
    <t>The Tactical Air Navigation System (TACAN) channel of '4Y' is assigned to the aircraft that is supplying fuel during air Refuel operations.</t>
  </si>
  <si>
    <t>The Tactical Air Navigation System (TACAN) channel of '50W' is assigned to the aircraft that is supplying fuel during air Refuel operations.</t>
  </si>
  <si>
    <t>The Tactical Air Navigation System (TACAN) channel of '50X' is assigned to the aircraft that is supplying fuel during air Refuel operations.</t>
  </si>
  <si>
    <t>The Tactical Air Navigation System (TACAN) channel of '50Y' is assigned to the aircraft that is supplying fuel during air Refuel operations.</t>
  </si>
  <si>
    <t>The Tactical Air Navigation System (TACAN) channel of '50Z' is assigned to the aircraft that is supplying fuel during air Refuel operations.</t>
  </si>
  <si>
    <t>The Tactical Air Navigation System (TACAN) channel of '51X' is assigned to the aircraft that is supplying fuel during air Refuel operations.</t>
  </si>
  <si>
    <t>The Tactical Air Navigation System (TACAN) channel of '51Y' is assigned to the aircraft that is supplying fuel during air Refuel operations.</t>
  </si>
  <si>
    <t>The Tactical Air Navigation System (TACAN) channel of '51Z' is assigned to the aircraft that is supplying fuel during air Refuel operations.</t>
  </si>
  <si>
    <t>The Tactical Air Navigation System (TACAN) channel of '52W' is assigned to the aircraft that is supplying fuel during air Refuel operations.</t>
  </si>
  <si>
    <t>The Tactical Air Navigation System (TACAN) channel of '52X' is assigned to the aircraft that is supplying fuel during air Refuel operations.</t>
  </si>
  <si>
    <t>The Tactical Air Navigation System (TACAN) channel of '52Y' is assigned to the aircraft that is supplying fuel during air Refuel operations.</t>
  </si>
  <si>
    <t>The Tactical Air Navigation System (TACAN) channel of '52Z' is assigned to the aircraft that is supplying fuel during air Refuel operations.</t>
  </si>
  <si>
    <t>The Tactical Air Navigation System (TACAN) channel of '53X' is assigned to the aircraft that is supplying fuel during air Refuel operations.</t>
  </si>
  <si>
    <t>The Tactical Air Navigation System (TACAN) channel of '53Y' is assigned to the aircraft that is supplying fuel during air Refuel operations.</t>
  </si>
  <si>
    <t>The Tactical Air Navigation System (TACAN) channel of '53Z' is assigned to the aircraft that is supplying fuel during air Refuel operations.</t>
  </si>
  <si>
    <t>The Tactical Air Navigation System (TACAN) channel of '54W' is assigned to the aircraft that is supplying fuel during air Refuel operations.</t>
  </si>
  <si>
    <t>The Tactical Air Navigation System (TACAN) channel of '54X' is assigned to the aircraft that is supplying fuel during air Refuel operations.</t>
  </si>
  <si>
    <t>The Tactical Air Navigation System (TACAN) channel of '54Y' is assigned to the aircraft that is supplying fuel during air Refuel operations.</t>
  </si>
  <si>
    <t>The Tactical Air Navigation System (TACAN) channel of '54Z' is assigned to the aircraft that is supplying fuel during air Refuel operations.</t>
  </si>
  <si>
    <t>The Tactical Air Navigation System (TACAN) channel of '55X' is assigned to the aircraft that is supplying fuel during air Refuel operations.</t>
  </si>
  <si>
    <t>The Tactical Air Navigation System (TACAN) channel of '55Y' is assigned to the aircraft that is supplying fuel during air Refuel operations.</t>
  </si>
  <si>
    <t>The Tactical Air Navigation System (TACAN) channel of '55Z' is assigned to the aircraft that is supplying fuel during air Refuel operations.</t>
  </si>
  <si>
    <t>The Tactical Air Navigation System (TACAN) channel of '56W' is assigned to the aircraft that is supplying fuel during air Refuel operations.</t>
  </si>
  <si>
    <t>The Tactical Air Navigation System (TACAN) channel of '56X' is assigned to the aircraft that is supplying fuel during air Refuel operations.</t>
  </si>
  <si>
    <t>The Tactical Air Navigation System (TACAN) channel of '56Y' is assigned to the aircraft that is supplying fuel during air Refuel operations.</t>
  </si>
  <si>
    <t>The Tactical Air Navigation System (TACAN) channel of '56Z' is assigned to the aircraft that is supplying fuel during air Refuel operations.</t>
  </si>
  <si>
    <t>The Tactical Air Navigation System (TACAN) channel of '57X' is assigned to the aircraft that is supplying fuel during air Refuel operations.</t>
  </si>
  <si>
    <t>The Tactical Air Navigation System (TACAN) channel of '57Y' is assigned to the aircraft that is supplying fuel during air Refuel operations.</t>
  </si>
  <si>
    <t>The Tactical Air Navigation System (TACAN) channel of '58X' is assigned to the aircraft that is supplying fuel during air Refuel operations.</t>
  </si>
  <si>
    <t>The Tactical Air Navigation System (TACAN) channel of '58Y' is assigned to the aircraft that is supplying fuel during air Refuel operations.</t>
  </si>
  <si>
    <t>The Tactical Air Navigation System (TACAN) channel of '59X' is assigned to the aircraft that is supplying fuel during air Refuel operations.</t>
  </si>
  <si>
    <t>The Tactical Air Navigation System (TACAN) channel of '59Y' is assigned to the aircraft that is supplying fuel during air Refuel operations.</t>
  </si>
  <si>
    <t>The Tactical Air Navigation System (TACAN) channel of '5X' is assigned to the aircraft that is supplying fuel during air Refuel operations.</t>
  </si>
  <si>
    <t>The Tactical Air Navigation System (TACAN) channel of '5Y' is assigned to the aircraft that is supplying fuel during air Refuel operations.</t>
  </si>
  <si>
    <t>The Tactical Air Navigation System (TACAN) channel of '60X' is assigned to the aircraft that is supplying fuel during air Refuel operations.</t>
  </si>
  <si>
    <t>The Tactical Air Navigation System (TACAN) channel of '60Y' is assigned to the aircraft that is supplying fuel during air Refuel operations.</t>
  </si>
  <si>
    <t>The Tactical Air Navigation System (TACAN) channel of '61X' is assigned to the aircraft that is supplying fuel during air Refuel operations.</t>
  </si>
  <si>
    <t>The Tactical Air Navigation System (TACAN) channel of '61Y' is assigned to the aircraft that is supplying fuel during air Refuel operations.</t>
  </si>
  <si>
    <t>The Tactical Air Navigation System (TACAN) channel of '62X' is assigned to the aircraft that is supplying fuel during air Refuel operations.</t>
  </si>
  <si>
    <t>The Tactical Air Navigation System (TACAN) channel of '62Y' is assigned to the aircraft that is supplying fuel during air Refuel operations.</t>
  </si>
  <si>
    <t>The Tactical Air Navigation System (TACAN) channel of '63X' is assigned to the aircraft that is supplying fuel during air Refuel operations.</t>
  </si>
  <si>
    <t>The Tactical Air Navigation System (TACAN) channel of '63Y' is assigned to the aircraft that is supplying fuel during air Refuel operations.</t>
  </si>
  <si>
    <t>The Tactical Air Navigation System (TACAN) channel of '64X' is assigned to the aircraft that is supplying fuel during air Refuel operations.</t>
  </si>
  <si>
    <t>The Tactical Air Navigation System (TACAN) channel of '64Y' is assigned to the aircraft that is supplying fuel during air Refuel operations.</t>
  </si>
  <si>
    <t>The Tactical Air Navigation System (TACAN) channel of '65X' is assigned to the aircraft that is supplying fuel during air Refuel operations.</t>
  </si>
  <si>
    <t>The Tactical Air Navigation System (TACAN) channel of '65Y' is assigned to the aircraft that is supplying fuel during air Refuel operations.</t>
  </si>
  <si>
    <t>The Tactical Air Navigation System (TACAN) channel of '66X' is assigned to the aircraft that is supplying fuel during air Refuel operations.</t>
  </si>
  <si>
    <t>The Tactical Air Navigation System (TACAN) channel of '66Y' is assigned to the aircraft that is supplying fuel during air Refuel operations.</t>
  </si>
  <si>
    <t>The Tactical Air Navigation System (TACAN) channel of '67X' is assigned to the aircraft that is supplying fuel during air Refuel operations.</t>
  </si>
  <si>
    <t>The Tactical Air Navigation System (TACAN) channel of '67Y' is assigned to the aircraft that is supplying fuel during air Refuel operations.</t>
  </si>
  <si>
    <t>The Tactical Air Navigation System (TACAN) channel of '68X' is assigned to the aircraft that is supplying fuel during air Refuel operations.</t>
  </si>
  <si>
    <t>The Tactical Air Navigation System (TACAN) channel of '68Y' is assigned to the aircraft that is supplying fuel during air Refuel operations.</t>
  </si>
  <si>
    <t>The Tactical Air Navigation System (TACAN) channel of '69X' is assigned to the aircraft that is supplying fuel during air Refuel operations.</t>
  </si>
  <si>
    <t>The Tactical Air Navigation System (TACAN) channel of '69Y' is assigned to the aircraft that is supplying fuel during air Refuel operations.</t>
  </si>
  <si>
    <t>The Tactical Air Navigation System (TACAN) channel of '6X' is assigned to the aircraft that is supplying fuel during air Refuel operations.</t>
  </si>
  <si>
    <t>The Tactical Air Navigation System (TACAN) channel of '6Y' is assigned to the aircraft that is supplying fuel during air Refuel operations.</t>
  </si>
  <si>
    <t>The Tactical Air Navigation System (TACAN) channel of '70X' is assigned to the aircraft that is supplying fuel during air Refuel operations.</t>
  </si>
  <si>
    <t>The Tactical Air Navigation System (TACAN) channel of '70Y' is assigned to the aircraft that is supplying fuel during air Refuel operations.</t>
  </si>
  <si>
    <t>The Tactical Air Navigation System (TACAN) channel of '71X' is assigned to the aircraft that is supplying fuel during air Refuel operations.</t>
  </si>
  <si>
    <t>The Tactical Air Navigation System (TACAN) channel of '71Y' is assigned to the aircraft that is supplying fuel during air Refuel operations.</t>
  </si>
  <si>
    <t>The Tactical Air Navigation System (TACAN) channel of '72X' is assigned to the aircraft that is supplying fuel during air Refuel operations.</t>
  </si>
  <si>
    <t>The Tactical Air Navigation System (TACAN) channel of '72Y' is assigned to the aircraft that is supplying fuel during air Refuel operations.</t>
  </si>
  <si>
    <t>The Tactical Air Navigation System (TACAN) channel of '73X' is assigned to the aircraft that is supplying fuel during air Refuel operations.</t>
  </si>
  <si>
    <t>The Tactical Air Navigation System (TACAN) channel of '73Y' is assigned to the aircraft that is supplying fuel during air Refuel operations.</t>
  </si>
  <si>
    <t>The Tactical Air Navigation System (TACAN) channel of '74X' is assigned to the aircraft that is supplying fuel during air Refuel operations.</t>
  </si>
  <si>
    <t>The Tactical Air Navigation System (TACAN) channel of '74Y' is assigned to the aircraft that is supplying fuel during air Refuel operations.</t>
  </si>
  <si>
    <t>The Tactical Air Navigation System (TACAN) channel of '75X' is assigned to the aircraft that is supplying fuel during air Refuel operations.</t>
  </si>
  <si>
    <t>The Tactical Air Navigation System (TACAN) channel of '75Y' is assigned to the aircraft that is supplying fuel during air Refuel operations.</t>
  </si>
  <si>
    <t>The Tactical Air Navigation System (TACAN) channel of '76X' is assigned to the aircraft that is supplying fuel during air Refuel operations.</t>
  </si>
  <si>
    <t>The Tactical Air Navigation System (TACAN) channel of '76Y' is assigned to the aircraft that is supplying fuel during air Refuel operations.</t>
  </si>
  <si>
    <t>The Tactical Air Navigation System (TACAN) channel of '77X' is assigned to the aircraft that is supplying fuel during air Refuel operations.</t>
  </si>
  <si>
    <t>The Tactical Air Navigation System (TACAN) channel of '77Y' is assigned to the aircraft that is supplying fuel during air Refuel operations.</t>
  </si>
  <si>
    <t>The Tactical Air Navigation System (TACAN) channel of '78X' is assigned to the aircraft that is supplying fuel during air Refuel operations.</t>
  </si>
  <si>
    <t>The Tactical Air Navigation System (TACAN) channel of '78Y' is assigned to the aircraft that is supplying fuel during air Refuel operations.</t>
  </si>
  <si>
    <t>The Tactical Air Navigation System (TACAN) channel of '79X' is assigned to the aircraft that is supplying fuel during air Refuel operations.</t>
  </si>
  <si>
    <t>The Tactical Air Navigation System (TACAN) channel of '79Y' is assigned to the aircraft that is supplying fuel during air Refuel operations.</t>
  </si>
  <si>
    <t>The Tactical Air Navigation System (TACAN) channel of '7X' is assigned to the aircraft that is supplying fuel during air Refuel operations.</t>
  </si>
  <si>
    <t>The Tactical Air Navigation System (TACAN) channel of '7Y' is assigned to the aircraft that is supplying fuel during air Refuel operations.</t>
  </si>
  <si>
    <t>The Tactical Air Navigation System (TACAN) channel of '80X' is assigned to the aircraft that is supplying fuel during air Refuel operations.</t>
  </si>
  <si>
    <t>The Tactical Air Navigation System (TACAN) channel of '80Y' is assigned to the aircraft that is supplying fuel during air Refuel operations.</t>
  </si>
  <si>
    <t>The Tactical Air Navigation System (TACAN) channel of '80Z' is assigned to the aircraft that is supplying fuel during air Refuel operations.</t>
  </si>
  <si>
    <t>The Tactical Air Navigation System (TACAN) channel of '81X' is assigned to the aircraft that is supplying fuel during air Refuel operations.</t>
  </si>
  <si>
    <t>The Tactical Air Navigation System (TACAN) channel of '81Y' is assigned to the aircraft that is supplying fuel during air Refuel operations.</t>
  </si>
  <si>
    <t>The Tactical Air Navigation System (TACAN) channel of '81Z' is assigned to the aircraft that is supplying fuel during air Refuel operations.</t>
  </si>
  <si>
    <t>The Tactical Air Navigation System (TACAN) channel of '82X' is assigned to the aircraft that is supplying fuel during air Refuel operations.</t>
  </si>
  <si>
    <t>The Tactical Air Navigation System (TACAN) channel of '82Y' is assigned to the aircraft that is supplying fuel during air Refuel operations.</t>
  </si>
  <si>
    <t>The Tactical Air Navigation System (TACAN) channel of '82Z' is assigned to the aircraft that is supplying fuel during air Refuel operations.</t>
  </si>
  <si>
    <t>The Tactical Air Navigation System (TACAN) channel of '83X' is assigned to the aircraft that is supplying fuel during air Refuel operations.</t>
  </si>
  <si>
    <t>The Tactical Air Navigation System (TACAN) channel of '83Y' is assigned to the aircraft that is supplying fuel during air Refuel operations.</t>
  </si>
  <si>
    <t>The Tactical Air Navigation System (TACAN) channel of '83Z' is assigned to the aircraft that is supplying fuel during air Refuel operations.</t>
  </si>
  <si>
    <t>The Tactical Air Navigation System (TACAN) channel of '84X' is assigned to the aircraft that is supplying fuel during air Refuel operations.</t>
  </si>
  <si>
    <t>The Tactical Air Navigation System (TACAN) channel of '84Y' is assigned to the aircraft that is supplying fuel during air Refuel operations.</t>
  </si>
  <si>
    <t>The Tactical Air Navigation System (TACAN) channel of '84Z' is assigned to the aircraft that is supplying fuel during air Refuel operations.</t>
  </si>
  <si>
    <t>The Tactical Air Navigation System (TACAN) channel of '85X' is assigned to the aircraft that is supplying fuel during air Refuel operations.</t>
  </si>
  <si>
    <t>The Tactical Air Navigation System (TACAN) channel of '85Y' is assigned to the aircraft that is supplying fuel during air Refuel operations.</t>
  </si>
  <si>
    <t>The Tactical Air Navigation System (TACAN) channel of '85Z' is assigned to the aircraft that is supplying fuel during air Refuel operations.</t>
  </si>
  <si>
    <t>The Tactical Air Navigation System (TACAN) channel of '86X' is assigned to the aircraft that is supplying fuel during air Refuel operations.</t>
  </si>
  <si>
    <t>The Tactical Air Navigation System (TACAN) channel of '86Y' is assigned to the aircraft that is supplying fuel during air Refuel operations.</t>
  </si>
  <si>
    <t>The Tactical Air Navigation System (TACAN) channel of '86Z' is assigned to the aircraft that is supplying fuel during air Refuel operations.</t>
  </si>
  <si>
    <t>The Tactical Air Navigation System (TACAN) channel of '87X' is assigned to the aircraft that is supplying fuel during air Refuel operations.</t>
  </si>
  <si>
    <t>The Tactical Air Navigation System (TACAN) channel of '87Y' is assigned to the aircraft that is supplying fuel during air Refuel operations.</t>
  </si>
  <si>
    <t>The Tactical Air Navigation System (TACAN) channel of '87Z' is assigned to the aircraft that is supplying fuel during air Refuel operations.</t>
  </si>
  <si>
    <t>The Tactical Air Navigation System (TACAN) channel of '88X' is assigned to the aircraft that is supplying fuel during air Refuel operations.</t>
  </si>
  <si>
    <t>The Tactical Air Navigation System (TACAN) channel of '88Y' is assigned to the aircraft that is supplying fuel during air Refuel operations.</t>
  </si>
  <si>
    <t>The Tactical Air Navigation System (TACAN) channel of '88Z' is assigned to the aircraft that is supplying fuel during air Refuel operations.</t>
  </si>
  <si>
    <t>The Tactical Air Navigation System (TACAN) channel of '89X' is assigned to the aircraft that is supplying fuel during air Refuel operations.</t>
  </si>
  <si>
    <t>The Tactical Air Navigation System (TACAN) channel of '89Y' is assigned to the aircraft that is supplying fuel during air Refuel operations.</t>
  </si>
  <si>
    <t>The Tactical Air Navigation System (TACAN) channel of '89Z' is assigned to the aircraft that is supplying fuel during air Refuel operations.</t>
  </si>
  <si>
    <t>The Tactical Air Navigation System (TACAN) channel of '8X' is assigned to the aircraft that is supplying fuel during air Refuel operations.</t>
  </si>
  <si>
    <t>The Tactical Air Navigation System (TACAN) channel of '8Y' is assigned to the aircraft that is supplying fuel during air Refuel operations.</t>
  </si>
  <si>
    <t>The Tactical Air Navigation System (TACAN) channel of '90X' is assigned to the aircraft that is supplying fuel during air Refuel operations.</t>
  </si>
  <si>
    <t>The Tactical Air Navigation System (TACAN) channel of '90Y' is assigned to the aircraft that is supplying fuel during air Refuel operations.</t>
  </si>
  <si>
    <t>The Tactical Air Navigation System (TACAN) channel of '90Z' is assigned to the aircraft that is supplying fuel during air Refuel operations.</t>
  </si>
  <si>
    <t>The Tactical Air Navigation System (TACAN) channel of '91X' is assigned to the aircraft that is supplying fuel during air Refuel operations.</t>
  </si>
  <si>
    <t>The Tactical Air Navigation System (TACAN) channel of '91Y' is assigned to the aircraft that is supplying fuel during air Refuel operations.</t>
  </si>
  <si>
    <t>The Tactical Air Navigation System (TACAN) channel of '91Z' is assigned to the aircraft that is supplying fuel during air Refuel operations.</t>
  </si>
  <si>
    <t>The Tactical Air Navigation System (TACAN) channel of '92X' is assigned to the aircraft that is supplying fuel during air Refuel operations.</t>
  </si>
  <si>
    <t>The Tactical Air Navigation System (TACAN) channel of '92Y' is assigned to the aircraft that is supplying fuel during air Refuel operations.</t>
  </si>
  <si>
    <t>The Tactical Air Navigation System (TACAN) channel of '92Z' is assigned to the aircraft that is supplying fuel during air Refuel operations.</t>
  </si>
  <si>
    <t>The Tactical Air Navigation System (TACAN) channel of '93X' is assigned to the aircraft that is supplying fuel during air Refuel operations.</t>
  </si>
  <si>
    <t>The Tactical Air Navigation System (TACAN) channel of '93Y' is assigned to the aircraft that is supplying fuel during air Refuel operations.</t>
  </si>
  <si>
    <t>The Tactical Air Navigation System (TACAN) channel of '93Z' is assigned to the aircraft that is supplying fuel during air Refuel operations.</t>
  </si>
  <si>
    <t>The Tactical Air Navigation System (TACAN) channel of '94X' is assigned to the aircraft that is supplying fuel during air Refuel operations.</t>
  </si>
  <si>
    <t>The Tactical Air Navigation System (TACAN) channel of '94Y' is assigned to the aircraft that is supplying fuel during air Refuel operations.</t>
  </si>
  <si>
    <t>The Tactical Air Navigation System (TACAN) channel of '94Z' is assigned to the aircraft that is supplying fuel during air Refuel operations.</t>
  </si>
  <si>
    <t>The Tactical Air Navigation System (TACAN) channel of '95X' is assigned to the aircraft that is supplying fuel during air Refuel operations.</t>
  </si>
  <si>
    <t>The Tactical Air Navigation System (TACAN) channel of '95Y' is assigned to the aircraft that is supplying fuel during air Refuel operations.</t>
  </si>
  <si>
    <t>The Tactical Air Navigation System (TACAN) channel of '95Z' is assigned to the aircraft that is supplying fuel during air Refuel operations.</t>
  </si>
  <si>
    <t>The Tactical Air Navigation System (TACAN) channel of '96X' is assigned to the aircraft that is supplying fuel during air Refuel operations.</t>
  </si>
  <si>
    <t>The Tactical Air Navigation System (TACAN) channel of '96Y' is assigned to the aircraft that is supplying fuel during air Refuel operations.</t>
  </si>
  <si>
    <t>The Tactical Air Navigation System (TACAN) channel of '96Z' is assigned to the aircraft that is supplying fuel during air Refuel operations.</t>
  </si>
  <si>
    <t>The Tactical Air Navigation System (TACAN) channel of '97X' is assigned to the aircraft that is supplying fuel during air Refuel operations.</t>
  </si>
  <si>
    <t>The Tactical Air Navigation System (TACAN) channel of '97Y' is assigned to the aircraft that is supplying fuel during air Refuel operations.</t>
  </si>
  <si>
    <t>The Tactical Air Navigation System (TACAN) channel of '97Z' is assigned to the aircraft that is supplying fuel during air Refuel operations.</t>
  </si>
  <si>
    <t>The Tactical Air Navigation System (TACAN) channel of '98X' is assigned to the aircraft that is supplying fuel during air Refuel operations.</t>
  </si>
  <si>
    <t>The Tactical Air Navigation System (TACAN) channel of '98Y' is assigned to the aircraft that is supplying fuel during air Refuel operations.</t>
  </si>
  <si>
    <t>The Tactical Air Navigation System (TACAN) channel of '98Z' is assigned to the aircraft that is supplying fuel during air Refuel operations.</t>
  </si>
  <si>
    <t>The Tactical Air Navigation System (TACAN) channel of '99X' is assigned to the aircraft that is supplying fuel during air Refuel operations.</t>
  </si>
  <si>
    <t>The Tactical Air Navigation System (TACAN) channel of '99Y' is assigned to the aircraft that is supplying fuel during air Refuel operations.</t>
  </si>
  <si>
    <t>The Tactical Air Navigation System (TACAN) channel of '99Z' is assigned to the aircraft that is supplying fuel during air Refuel operations.</t>
  </si>
  <si>
    <t>The Tactical Air Navigation System (TACAN) channel of '9X' is assigned to the aircraft that is supplying fuel during air Refuel operations.</t>
  </si>
  <si>
    <t>The Tactical Air Navigation System (TACAN) channel of '9Y' is assigned to the aircraft that is supplying fuel during air Refuel operations.</t>
  </si>
  <si>
    <t>airForceOverrun</t>
  </si>
  <si>
    <t>Air Force Overrun</t>
  </si>
  <si>
    <t>An overrun lighting system used by the U.S. Air Force consisting of red side row lights, three on the left and one on the right, terminated by a bar of green lights.</t>
  </si>
  <si>
    <t>alsfType1</t>
  </si>
  <si>
    <t>Approach Lighting with Sequenced Flashing Lights (ALSF) Category 1</t>
  </si>
  <si>
    <t>A high-intensity approach lighting system including sequenced flashing lights in a Precision Approach ILS Category I configuration.</t>
  </si>
  <si>
    <t>The variable intensity approach lights extend a total of 720 metres (2400 feet), and possibly up to 900 metres (3000 feet) when permitted by the terrain, from the runway threshold.</t>
  </si>
  <si>
    <t>alsfType2</t>
  </si>
  <si>
    <t>Approach Lighting with Sequenced Flashing Lights (ALSF) Category 2</t>
  </si>
  <si>
    <t>A high-intensity approach lighting system including sequenced flashing lights in a Precision Approach ILS Category II configuration.</t>
  </si>
  <si>
    <t>The variable intensity approach lights extend a total of 720 metres (2400 feet), and possibly up to 900 metres (3000 feet) when permitted by the terrain, from the runway threshold. This approach lighting system may operate as a Short Simplified Approach Lighting (SSAL) System with Runway Alignment Indicator Lights (RAIL) when weather conditions permit by selectively disabling a subset of lights (for example: white main bars and/or red side row bars) in the pattern.</t>
  </si>
  <si>
    <t>calvertBritish</t>
  </si>
  <si>
    <t>Calvert I (British)</t>
  </si>
  <si>
    <t>An approach lighting system consisting of six bars of white variable intensity lights spaced 150 metres (500 feet) apart for 900 metres (3000 feet) commencing at 150 metres (500 feet) from the runway threshold and accompanied by single lights along the extended runway centreline for the initial 300 metres (1000 feet) from the runway threshold and then double lights along the extended runway centreline for the second 300 metres (1000 feet) and then triple lights along the extended runway centreline for the final 300 metres (1000 feet).</t>
  </si>
  <si>
    <t>The variable intensity approach lights extend a total of 900 metres (3000 feet) from the runway threshold. Note that sequenced flashing lights may be present.</t>
  </si>
  <si>
    <t>cross</t>
  </si>
  <si>
    <t>Cross</t>
  </si>
  <si>
    <t>An approach lighting system consisting of a single bar of white lights accompanied by single white lights along the extended runway centreline.</t>
  </si>
  <si>
    <t>formerNatoStandard</t>
  </si>
  <si>
    <t>Former NATO Standard</t>
  </si>
  <si>
    <t>The former NATO standard approach lighting system consisting of five bars of white variable intensity lights spaced 150 metres (500 feet) apart for 750 metres (2500 feet) commencing at 150 metres (600 feet) from the runway threshold and accompanied by single lights along the extended runway centreline between 300 and 450 metres (1000 and 1500 feet) from the runway threshold and then double lights along the extended runway centreline for the final 450 metres (1500 feet), with the initial 300 metres (1000 feet) being free of centreline lights and bars as the white bars are laterally displaced and accompanied by red side rows (double on the left; single on the right).</t>
  </si>
  <si>
    <t>The variable intensity approach lights extend a total of 900 metres (3000 feet) from the runway threshold. Note that sequenced flashing lights may not be present.</t>
  </si>
  <si>
    <t>hialCategory1</t>
  </si>
  <si>
    <t>High Intensity Approach Lighting (HIAL) System Category I</t>
  </si>
  <si>
    <t>A high-intensity approach lighting system in an ILS Category I configuration.</t>
  </si>
  <si>
    <t>This system consists of bars of five white variable intensity lights spaced at intervals of 30 metres (100 feet) commencing 90 metres (300 feet) from the runway threshold and extending for a distance of 900 metres (3000 feet) when permitted by the terrain.</t>
  </si>
  <si>
    <t>HIAL Category 1</t>
  </si>
  <si>
    <t>hialCategory2</t>
  </si>
  <si>
    <t>High Intensity Approach Lighting (HIAL) System Category II</t>
  </si>
  <si>
    <t>A high-intensity approach lighting system in an ILS Category II configuration.</t>
  </si>
  <si>
    <t>This system consists of bars of five white variable intensity lights spaced at intervals of 30 metres (100 feet) commencing 30 metres (100 feet) from the runway threshold and extending for a distance of 720 metres (2400 feet).</t>
  </si>
  <si>
    <t>HIAL Category 2</t>
  </si>
  <si>
    <t>leadInLightSystem</t>
  </si>
  <si>
    <t>Lead-in-light System</t>
  </si>
  <si>
    <t>A lead-in lighting system consisting of one or more series of flashing lights installed at or near ground level that provides positive visual guidance along an approach path, either curving or straight, where special problems exist with hazardous terrain, obstructions, or noise abatement procedures.</t>
  </si>
  <si>
    <t>leftSingleRow</t>
  </si>
  <si>
    <t>Left Single Row</t>
  </si>
  <si>
    <t>A low-intensity approach lighting system consisting of single aviation yellow fixed intensity lights spaced at 90 metre (300 foot) intervals commencing 90 metres (300 feet) from the runway threshold and aligned left of the extended runway centerline.</t>
  </si>
  <si>
    <t>lowApproachLightSystem</t>
  </si>
  <si>
    <t>Low-intensity Approach Lighting System</t>
  </si>
  <si>
    <t>A low-intensity approach lighting system consisting of twin aviation yellow fixed intensity light units spaced at 60 metre (200 foot) intervals commencing 60 metres (200 feet) from the runway threshold and extending back for a distance of 900 metres (3000 feet), terrain permitting.</t>
  </si>
  <si>
    <t>This system is provided on non-precision approach runways.</t>
  </si>
  <si>
    <t>mediumApproachLightSystem</t>
  </si>
  <si>
    <t>Medium-intensity Approach Lighting System (MALS)</t>
  </si>
  <si>
    <t>A medium-intensity approach lighting system consisting of seven bars of white variable intensity lights spaced 60 metres (200 feet) apart for 420 metres (1400 feet) commencing at 60 metres (200 feet) from the runway threshold.</t>
  </si>
  <si>
    <t>The variable intensity approach lights extend a total of 420 metres (1400 feet) from the runway threshold.</t>
  </si>
  <si>
    <t>malsWithRunwayAlignInd</t>
  </si>
  <si>
    <t>Medium-intensity Approach Lighting System (MALS) with Runway Alignment Indicator Lights (RAIL)</t>
  </si>
  <si>
    <t>A medium-intensity approach lighting system consisting of seven bars of white variable intensity lights spaced 60 metres (200 feet) apart for 420 metres (1400 feet) commencing at 60 metres (200 feet) from the runway threshold and which is preceeded by Runway Alignment Indicator Lights (RAIL).</t>
  </si>
  <si>
    <t>The variable intensity approach lights extend a total of 720 metres (2400 feet) from the runway threshold.</t>
  </si>
  <si>
    <t>malsWithSeqFlashingLights</t>
  </si>
  <si>
    <t>Medium-intensity Approach Lighting System (MALS) with Sequenced Flashing Lights</t>
  </si>
  <si>
    <t>A medium-intensity approach lighting system consisting of seven bars of white variable intensity lights spaced 60 metres (200 feet) apart for 420 metres (1400 feet) commencing at 60 metres (200 feet) from the runway threshold, where the three bars farthest away from the runway threshold also contain a sequenced flashing light unit.</t>
  </si>
  <si>
    <t>narrowMultiCross</t>
  </si>
  <si>
    <t>Narrow Multi-cross</t>
  </si>
  <si>
    <t>An approach lighting system consisting of a series of bars of white lights accompanied by single white lights along the extended runway centreline, with a bar of green lights located at the runway threshold.</t>
  </si>
  <si>
    <t>natoStandard</t>
  </si>
  <si>
    <t>NATO Standard</t>
  </si>
  <si>
    <t>The NATO standard approach lighting system consisting of five bars of white variable intensity lights spaced 150 metres (500 feet) apart for 750 metres (2500 feet) commencing at 150 metres (500 feet) from the runway threshold and accompanied by single lights along the extended runway centreline for the initial 450 metres (1500 feet) from the runway threshold and then double lights along the extended runway centreline for the final 450 metres (1500 feet).</t>
  </si>
  <si>
    <t>omniApproachLightSystem</t>
  </si>
  <si>
    <t>Omnidirectional Approach Lighting System (ODALS)</t>
  </si>
  <si>
    <t>An approach lighting system consisting of seven omnidirectional flashing lights located in the approach area of a nonprecision runway.</t>
  </si>
  <si>
    <t>Five lights are located on the runway centerline extended with the first light located 90 metres (300 feet) from the runway threshold and extending at equal intervals up to 450 metres (1500 feet) from the runway threshold. The other two lights are located, one on each side of the runway runway threshold, at a lateral distance of 40 feet from the runway edge, or 75 feet from the runway edge when installed on a runway equipped with a VASI.</t>
  </si>
  <si>
    <t>runwayAlignmentIndicator</t>
  </si>
  <si>
    <t>Runway Alignment Indicator Lights (RAIL)</t>
  </si>
  <si>
    <t>An approach lighting system including sequenced flashing lights that are located along the extended runway centreline.</t>
  </si>
  <si>
    <t>Runway alignment indicator lights are installed only in combination with other lighting systems (for example: that indicate distance from the runway threshold).</t>
  </si>
  <si>
    <t>shortApproachLightSystem</t>
  </si>
  <si>
    <t>Short Approach Lighting System (SALS)</t>
  </si>
  <si>
    <t>A high-intensity approach lighting system that is similar to the ALSF Category 1 but extends only 1500 feet from the runway threshold and does not include sequential flashing lights.</t>
  </si>
  <si>
    <t>salsWithSeqFlashingLights</t>
  </si>
  <si>
    <t>Short Approach Lighting System (SALS) with Sequenced Flashing Lights</t>
  </si>
  <si>
    <t>A high-intensity approach lighting system that is similar to the ALSF Category 1 but extends only 1500 feet from the runway threshold.</t>
  </si>
  <si>
    <t>ssalWithRunwayAlignInd</t>
  </si>
  <si>
    <t>Short Simplified Approach Lighting (SSAL) System with Runway Alignment Indicator Lights (RAIL)</t>
  </si>
  <si>
    <t>A high-intensity approach lighting system that is similar to the ALSF Category 2 but excludes the red side row bars and has a reduced number of white main bars.</t>
  </si>
  <si>
    <t>singleRowCentreline</t>
  </si>
  <si>
    <t>Single Row Centreline</t>
  </si>
  <si>
    <t>A simple approach lighting system consisting of single white lights located along the extended runway centreline with a bar of green lights located at the runway threshold.</t>
  </si>
  <si>
    <t>twoParallelRow</t>
  </si>
  <si>
    <t>Two Parallel Row</t>
  </si>
  <si>
    <t>An approach lighting system consisting of two series of red side row lights, a single light to each side, spaced at intervals of 30 metres (100 feet) commencing 30 metres (100 feet) from the runway threshold and extending for a distance of 720 metres (2400 feet), with a bar of green lights located at the runway threshold.</t>
  </si>
  <si>
    <t>primary</t>
  </si>
  <si>
    <t>Primary</t>
  </si>
  <si>
    <t>An aerodrome control station whose position is tied to the National Spatial Reference System (NSRS).</t>
  </si>
  <si>
    <t>The existence of a Primary Aerodrome Control Station (PACS) must be declared by the applicable National Geodetic Survey.</t>
  </si>
  <si>
    <t>secondary</t>
  </si>
  <si>
    <t>Secondary</t>
  </si>
  <si>
    <t>An aerodrome control station whose position is tied to the Primary Airport Control Station (PACS).</t>
  </si>
  <si>
    <t>The existence of a Secondary Aerodrome Control Station (SACS) must be declared by the applicable National Geodetic Survey.</t>
  </si>
  <si>
    <t>aircraftRescueFireCat1</t>
  </si>
  <si>
    <t>(Aircraft) Rescue and Fire Category 1</t>
  </si>
  <si>
    <t>0 up to, but not including, 9 metres over-all length and 2 metres maximum fuselage width.</t>
  </si>
  <si>
    <t>aircraftRescueFireCat10</t>
  </si>
  <si>
    <t>(Aircraft) Rescue and Fire Category 10</t>
  </si>
  <si>
    <t>76 metres up to, but not including, 90 metres over-all length and 8 metres maximum fuselage width.</t>
  </si>
  <si>
    <t>aircraftRescueFireCat2</t>
  </si>
  <si>
    <t>(Aircraft) Rescue and Fire Category 2</t>
  </si>
  <si>
    <t>9 metres up to, but not including, 12 metres over-all length and 2 metres maximum fuselage width.</t>
  </si>
  <si>
    <t>aircraftRescueFireCat3</t>
  </si>
  <si>
    <t>(Aircraft) Rescue and Fire Category 3</t>
  </si>
  <si>
    <t>12 metres up to, but not including, 18 metres over-all length and 3 metres maximum fuselage width.</t>
  </si>
  <si>
    <t>aircraftRescueFireCat4</t>
  </si>
  <si>
    <t>(Aircraft) Rescue and Fire Category 4</t>
  </si>
  <si>
    <t>18 metres up to, but not including, 24 metres over-all length and 4 metres maximum fuselage width.</t>
  </si>
  <si>
    <t>aircraftRescueFireCat5</t>
  </si>
  <si>
    <t>(Aircraft) Rescue and Fire Category 5</t>
  </si>
  <si>
    <t>24 metres up to, but not including, 28 metres over-all length and 4 metres maximum fuselage width.</t>
  </si>
  <si>
    <t>aircraftRescueFireCat6</t>
  </si>
  <si>
    <t>(Aircraft) Rescue and Fire Category 6</t>
  </si>
  <si>
    <t>28 metres up to, but not including, 39 metres over-all length and 5 metres maximum fuselage width.</t>
  </si>
  <si>
    <t>aircraftRescueFireCat7</t>
  </si>
  <si>
    <t>(Aircraft) Rescue and Fire Category 7</t>
  </si>
  <si>
    <t>39 metres up to, but not including, 49 metres over-all length and 5 metres maximum fuselage width.</t>
  </si>
  <si>
    <t>aircraftRescueFireCat8</t>
  </si>
  <si>
    <t>(Aircraft) Rescue and Fire Category 8</t>
  </si>
  <si>
    <t>49 metres up to, but not including, 61 metres over-all length and 7 metres maximum fuselage width.</t>
  </si>
  <si>
    <t>aircraftRescueFireCat9</t>
  </si>
  <si>
    <t>(Aircraft) Rescue and Fire Category 9</t>
  </si>
  <si>
    <t>61 metres up to, but not including, 76 metres over-all length and 7 metres maximum fuselage width.</t>
  </si>
  <si>
    <t>helicopterRescueFireCat1</t>
  </si>
  <si>
    <t>(Helicopter) Rescue and Fire Category 1</t>
  </si>
  <si>
    <t>Up to, but not including, 15 metres in length.</t>
  </si>
  <si>
    <t>helicopterRescueFireCat2</t>
  </si>
  <si>
    <t>(Helicopter) Rescue and Fire Category 2</t>
  </si>
  <si>
    <t>From 15 metres up to, but not including, 24 metres in length.</t>
  </si>
  <si>
    <t>helicopterRescueFireCat3</t>
  </si>
  <si>
    <t>(Helicopter) Rescue and Fire Category 3</t>
  </si>
  <si>
    <t>From 24 metres up to, but not including, 35 metres in length.</t>
  </si>
  <si>
    <t>aircraftStandManeuver</t>
  </si>
  <si>
    <t>Aircraft Stand Maneuvering Guidance</t>
  </si>
  <si>
    <t>Aircraft stand manoeuvring guidance lights facilitate the positioning of an aircraft on an aircraft stand, on a paved apron, or on a de-icing/anti-icing facility intended for use in poor visibility conditions.</t>
  </si>
  <si>
    <t>apronFlood</t>
  </si>
  <si>
    <t>Apron Flood</t>
  </si>
  <si>
    <t>Apron floodlights provide adequate illumination on all apron service areas.</t>
  </si>
  <si>
    <t>deicingAreaExit</t>
  </si>
  <si>
    <t>Deicing Area Exit</t>
  </si>
  <si>
    <t>De-icing/anti-icing area exit lights should be provided at the exit boundary of a remote de-icing/anti-icing area adjoining a taxiway.</t>
  </si>
  <si>
    <t>De-icing/anti-icing facility exit lights shall consist of in-pavement fixed unidirectional lights spaced at intervals of 6 metres showing yellow in the direction of the approach to the exit boundary with a light distribution similar to taxiway centre line lights.</t>
  </si>
  <si>
    <t>finalApproachTakeOffArea</t>
  </si>
  <si>
    <t>Final Approach and Take-off Area</t>
  </si>
  <si>
    <t>Lights placed along the edge identifying the final approach and take-off area.</t>
  </si>
  <si>
    <t>Final approach and take-off area lights shall be fixed omnidirectional lights showing white. Where the intensity of the lights is to be varied the lights shall show variable white.</t>
  </si>
  <si>
    <t>intermediateHolding</t>
  </si>
  <si>
    <t>Intermediate Holding</t>
  </si>
  <si>
    <t>A light designating a position intended for traffic control at which taxiing aircraft and vehicles shall stop and hold until further cleared to proceed, when so instructed by the aerodrome control tower.</t>
  </si>
  <si>
    <t xml:space="preserve"> Intermediate holding position lights shall consist of three fixed unidirectional lights showing yellow in the direction of approach to the intermediate holding position with a light distribution similar to taxiway centre line lights if provided. The lights shall be disposed symmetrically about and at right angle to the taxiway centre line, with individual lights spaced 1.5 metres apart.</t>
  </si>
  <si>
    <t>landandHoldShort</t>
  </si>
  <si>
    <t>Land and Hold Short</t>
  </si>
  <si>
    <t>Land and hold short lights are used to indicate the hold short point on certain runways which are approved for Land and Hold Short Operations (LAHSO).</t>
  </si>
  <si>
    <t>Land and hold short lights consist of a row of pulsing white lights installed across the runway at the hold short point. Where installed, the lights will be on anytime LAHSO is in effect. These lights will be off when LAHSO is not in effect.</t>
  </si>
  <si>
    <t>rapidExitTaxiwayIndicator</t>
  </si>
  <si>
    <t>Rapid Exit Taxiway Indicator</t>
  </si>
  <si>
    <t>Rapid exit taxiway indicator lights (RETILs) provide pilots with distance-to-go information to the nearest rapid exit taxiway on the runway, to enhance situational awareness in low visibility conditions and enable pilots to apply braking action for more efficient roll-out and runway exit speeds.</t>
  </si>
  <si>
    <t>Rapid exit taxiway indicator lights shall be fixed unidirectional yellow lights, aligned so as to be visible to the pilot of a landing aircraft in the direction of approach to the runway.</t>
  </si>
  <si>
    <t>roadHoldingPosition</t>
  </si>
  <si>
    <t>Road Holding Position</t>
  </si>
  <si>
    <t>A road holding position light designates a position at which vehicles may be required to hold.</t>
  </si>
  <si>
    <t>The road-holding position light shall comprise of either a controllable red (stop)/green (go) traffic light or a flashing-red light.</t>
  </si>
  <si>
    <t>runwayCenterline</t>
  </si>
  <si>
    <t>Runway Centerline</t>
  </si>
  <si>
    <t>Runway centerline lights define the centerline of a runway, and are installed on some precision approach runways to facilitate landing and Take-off under adverse visibility conditions.</t>
  </si>
  <si>
    <t>Runway centre line lights shall be fixed lights showing variable white from the threshold to the point 900 metres from the runway end; alternate red and variable white from 900 metres to 300 metres from the runway end; and red from 300 metres to the runway end, except that for runways less than 1 800 metres in length, the alternate red and variable white lights shall extend from the mid-point of the runway usable for landing to 300 metres from the runway end.</t>
  </si>
  <si>
    <t>runwayEdge</t>
  </si>
  <si>
    <t>Runway Edge</t>
  </si>
  <si>
    <t>Runway edge lights are used to outline the edges of runways during periods of darkness or restricted visibility conditions.</t>
  </si>
  <si>
    <t>These light systems are classified according to the intensity or brightness they are capable of producing: they are the High Intensity Runway Lights (HIRL), Medium Intensity Runway Lights (MIRL), and the Low Intensity Runway Lights (LIRL). The HIRL and MIRL systems have variable intensity controls, whereas the LIRLs normally have one intensity setting.</t>
  </si>
  <si>
    <t>runwayEnd</t>
  </si>
  <si>
    <t>Runway End</t>
  </si>
  <si>
    <t>Runway end lights are used to outline the landing end of the runway during periods of darkness or restricted visibility conditions.</t>
  </si>
  <si>
    <t>Runway end lights shall be fixed unidirectional lights showing red in the direction of the runway. The intensity and beam spread of the lights shall be adequate for the conditions of visibility and ambient light in which use of the runway is intended.</t>
  </si>
  <si>
    <t>runwayEndIdentifierLight</t>
  </si>
  <si>
    <t>Runway End Identifier Light (REIL)</t>
  </si>
  <si>
    <t>REILs are installed at many airfields to provide rapid and positive identification of the approach end of a particular runway.</t>
  </si>
  <si>
    <t>The system consists of a pair of synchronized flashing lights located laterally on each side of the runway threshold. REILs may be either omnidirectional or unidirectional facing the approach area. They are effective for Identification of a runway surrounded by a preponderance of other lighting; Identification of a runway which lacks contrast with surrounding terrain; Identification of a runway during reduced visibility. REILs are flashing white lights with a flash frequency between 60 and 120 per minute.</t>
  </si>
  <si>
    <t>runwayGuard</t>
  </si>
  <si>
    <t>Runway Guard</t>
  </si>
  <si>
    <t>Runway guard lights provide warning to pilots and drivers of vehicles when they are operating on taxiways, that they are about to enter an active runway.</t>
  </si>
  <si>
    <t>There are two standard configurations of runway guard lights. Configuration A is a pair of unidirectional flashing yellow lights located at each side of the taxiway at a distance from the runway centre line. Configuration B are unidirectional flashing yellow lights spaced at intervals of 3 metres located across the taxiway at a distance from the runway centre line.</t>
  </si>
  <si>
    <t>runwayTurnPad</t>
  </si>
  <si>
    <t>Runway turn pad lights provide continuous guidance on a runway turn pad intended for use in runway visual range conditions less than a value of 350 m, to enable an aeroplane to complete a 180-degree turn and align with the runway centre line.</t>
  </si>
  <si>
    <t>Runway turn pad lights shall be unidirectional fixed lights showing green with beam dimensions such that the light is visible only from aircraft on or approaching the runway turn pad.</t>
  </si>
  <si>
    <t>stopbars</t>
  </si>
  <si>
    <t>Stopbars</t>
  </si>
  <si>
    <t>Stop bar lights are used to confirm the ATC clearance to enter or cross the active runway in low visibility conditions.</t>
  </si>
  <si>
    <t>A stop bar consists of a row of red, unidirectional, steady−burning in-pavement lights installed across the entire taxiway at the runway holding position, and elevated steady−burning red lights on each side.</t>
  </si>
  <si>
    <t>stopwayEdge</t>
  </si>
  <si>
    <t>Stopway Edge</t>
  </si>
  <si>
    <t>Stopway edge lights are used to outline the edges of the stopway during periods of darkness or restricted visibility conditions.</t>
  </si>
  <si>
    <t>Stopway lights shall be placed along the full length of the stopway and shall be in two parallel rows that are equidistant from the centre line and coincident with the rows of the runway edge lights. Stopway lights shall also be provided across the end of a stopway on a line at right angles to the stopway axis as near to the end of the stopway as possible and, in any case, not more than 3 metres outside the end.</t>
  </si>
  <si>
    <t>taxiwayCenterline</t>
  </si>
  <si>
    <t>Taxiway Centerline</t>
  </si>
  <si>
    <t>Taxiway centerline lights define the centerline of the taxiway and are used to facilitate ground traffic under low visibility conditions.</t>
  </si>
  <si>
    <t>They are located along the taxiway centerline in a straight line on straight portions, on the centerline of curved portions, and along designated taxiing paths in portions of runways, ramp, and apron areas. Taxiway centerline lights are steady burning and emit green light.</t>
  </si>
  <si>
    <t>taxiwayEdge</t>
  </si>
  <si>
    <t>Taxiway Edge</t>
  </si>
  <si>
    <t>Taxiway edge lights are used to outline the edges of taxiways during periods of darkness or restricted visibility conditions.</t>
  </si>
  <si>
    <t>These fixtures emit blue light.</t>
  </si>
  <si>
    <t>taxiwayExitCenterLights</t>
  </si>
  <si>
    <t>Taxiway Exit Centerline Lights</t>
  </si>
  <si>
    <t>Taxiway exit centerline lights identify a track on a runway where an aircraft may make a smooth transition from the runway environment to an adjacent taxiway.</t>
  </si>
  <si>
    <t>The lights are spaced at longitudinal intervals of not more than 15 metres, except that, where runway centre line lights are not provided, a greater interval not exceeding 30 metres may be used. The lights alternate green and white.</t>
  </si>
  <si>
    <t>threshold</t>
  </si>
  <si>
    <t>Threshold</t>
  </si>
  <si>
    <t>A group of lights identifying the beginning of the landing surface of the runway.</t>
  </si>
  <si>
    <t>Runway threshold lights are variable intensity red and green units in the form of wing bars along each side of the runway centerline, except that for Category II and higher runways, the red and green lights extend along the full width of the runway. Green shows in the approach direction and red shows in the opposite. When a threshold is at the extremity of a runway, the threshold lights shall be placed in a row at right angles to the runway axis as near to the extremity of the runway as possible and, in any case, not more than 3 metres outside the extremity. When a threshold is displaced from the extremity of a runway, threshold lights shall be placed in a row at right angles to the runway axis at the displaced threshold.</t>
  </si>
  <si>
    <t>touchdownAndLiftOffArea</t>
  </si>
  <si>
    <t>Touchdown and Lift-off Area</t>
  </si>
  <si>
    <t>Lights placed to identify the designated Touchdown and Lift-Off area.</t>
  </si>
  <si>
    <t>Touchdown and lift-off area perimeter lights shall be placed along the edge of the area designated for use as the touchdown and lift-off area or within a distance of 1.5 metres from the edge. Where the touchdown and lift-off area is a circle the lights shall be: a) located on straight lines in a pattern which will provide information to pilots on drift displacement; and b) where a) is not practicable, evenly spaced around the perimeter of the touchdown and lift-off area at the appropriate interval except that over a sector of 45 degrees the lights shall be spaced at half spacing.</t>
  </si>
  <si>
    <t>touchdownZone</t>
  </si>
  <si>
    <t>Touchdown Zone</t>
  </si>
  <si>
    <t>Touchdown Zone lights define the touchdown zone of a runway, and are installed on some precision approach runways to facilitate landing and Take-off under adverse visibility conditions.</t>
  </si>
  <si>
    <t>Touchdown zone lights shall extend from the threshold for a longitudinal distance of 900 metres, except that on runways less than 1800 metres in length, the system shall be shortened so that it does not extend beyond the midpoint of the runway. The pattern shall be formed by pairs of barrettes symmetrically located about the runway centre line. The lateral spacing between the innermost lights of a pair of barrettes shall be equal to the lateral spacing selected for the touchdown zone marking. The longitudinal spacing between pairs of barrettes shall be either 30 metres or 60 metres.</t>
  </si>
  <si>
    <t>visualDockingGuidance</t>
  </si>
  <si>
    <t>Visual Docking Guidance</t>
  </si>
  <si>
    <t>A visual docking guidance system indicates, by a visual aid, the precise positioning of an aircraft on an aircraft stand when other alternative means, such as marshallers, are not practicable.</t>
  </si>
  <si>
    <t>damaged</t>
  </si>
  <si>
    <t>Damaged</t>
  </si>
  <si>
    <t>The movement area has been damaged in part causing non-specific degradation in function.</t>
  </si>
  <si>
    <t>destroyed</t>
  </si>
  <si>
    <t>Destroyed</t>
  </si>
  <si>
    <t>The movement area has been destroyed, resulting in total loss of function.</t>
  </si>
  <si>
    <t>deteriorated</t>
  </si>
  <si>
    <t>Deteriorated</t>
  </si>
  <si>
    <t>The movement surface has significant rough, broken, or rutted areas due to neglect over a period of time, but may remain operational.</t>
  </si>
  <si>
    <t>A deteriorated surface may have characteristic such as vegetation growing through cracks.</t>
  </si>
  <si>
    <t>fair</t>
  </si>
  <si>
    <t>Fair</t>
  </si>
  <si>
    <t>The movement area shows visible signs of deterioration and/or damage and is fully functional.</t>
  </si>
  <si>
    <t>good</t>
  </si>
  <si>
    <t>Good</t>
  </si>
  <si>
    <t>The movement area shows minimal to no signs of deterioration and/or damage and is fully functional.</t>
  </si>
  <si>
    <t>ruined</t>
  </si>
  <si>
    <t>Ruined</t>
  </si>
  <si>
    <t>The movement area has deteriorated to the point of becoming a permanent hazard to aircraft operations.</t>
  </si>
  <si>
    <t>underConstruction</t>
  </si>
  <si>
    <t>Under Construction</t>
  </si>
  <si>
    <t>Construction or maintenance work is in progress and constitutes a danger to aircraft and/or aircraft navigation on the movement area.</t>
  </si>
  <si>
    <t>completelyPaved</t>
  </si>
  <si>
    <t>Completely Paved</t>
  </si>
  <si>
    <t>The subgrade has been prepared for load-bearing and the surface has been paved using durable materials.</t>
  </si>
  <si>
    <t>Intended to be a permanent surface that is highly resistant to the effects of weathering and traffic.</t>
  </si>
  <si>
    <t>mostlyPaved</t>
  </si>
  <si>
    <t>Mostly Paved</t>
  </si>
  <si>
    <t>The surface is paved for at least 50 percent of its length.</t>
  </si>
  <si>
    <t>partiallyPaved</t>
  </si>
  <si>
    <t>Partially Paved</t>
  </si>
  <si>
    <t>The surface is paved, but for less than 50 percent of its length.</t>
  </si>
  <si>
    <t>unpaved</t>
  </si>
  <si>
    <t>Unpaved</t>
  </si>
  <si>
    <t>The surface has been prepared (for example: by grading or rolling) but has not been paved.</t>
  </si>
  <si>
    <t>Generally considered to be only temporary in nature as unless regularly maintained the surface relatively rapidly degrades as a result of weathering and traffic. Non-local materials (for example: gravel or landing mats) may be used to improve the load-bearing and wear characteristics of the surface.</t>
  </si>
  <si>
    <t>unprepared</t>
  </si>
  <si>
    <t>Unprepared</t>
  </si>
  <si>
    <t>The naturally occurring surface is used without any preparation.</t>
  </si>
  <si>
    <t>For example: no grading or rolling.</t>
  </si>
  <si>
    <t>asphalt</t>
  </si>
  <si>
    <t>Asphalt</t>
  </si>
  <si>
    <t>A surface composed of various mixtures of sand, gravel, crushed rock, and/or recycled paving bound together by asphalt, a black or brownish-black, solid or viscous, bituminous pitch that may be of natural origin but is most commonly produced from petroleum.</t>
  </si>
  <si>
    <t>Depending on the formulation, known variously as 'asphaltic concrete', 'tar macadam', 'bitumen-bound macadam' or simply 'asphalt'. In some situations the pavement perimeter (edges and/or ends) may consist of solely of concrete (for example: around a runway).</t>
  </si>
  <si>
    <t>asphaltOverConcrete</t>
  </si>
  <si>
    <t>Asphalt Over Concrete</t>
  </si>
  <si>
    <t>A surface composed of asphalt applied over a concrete underlayment.</t>
  </si>
  <si>
    <t>bituminousMix</t>
  </si>
  <si>
    <t>Bituminous Mix</t>
  </si>
  <si>
    <t>A surface composed of the original surface material mixed in place with a bituminous binder (for example: tar or asphalt).</t>
  </si>
  <si>
    <t>Often referred to as 'earth cement'. Prepared by digging up the surface, mixing the material with bitumen or oil binder, and surfacing with the resulting mixture. Bitumen is the family name for either tar (derived from coal) or asphalt (derived from petroleum).</t>
  </si>
  <si>
    <t>brick</t>
  </si>
  <si>
    <t>Brick</t>
  </si>
  <si>
    <t>A surface composed of masonry units packed closely together on a firm subgrade, with or without mortar.</t>
  </si>
  <si>
    <t>clay</t>
  </si>
  <si>
    <t>Clay</t>
  </si>
  <si>
    <t>A surface composed of clay, packed over a firm subgrade, that has hardened over a period of time.</t>
  </si>
  <si>
    <t>concrete</t>
  </si>
  <si>
    <t>Concrete</t>
  </si>
  <si>
    <t>A surface composed of a mixture of broken stone or gravel, sand, cement, and water, that forms a stonelike mass on hardening.</t>
  </si>
  <si>
    <t>May include an internal steel mesh to improve resistance to cracking and minimize subsequent separation of the pieces. The joints between adjacent pavement slabs may incorporate steel pins to prevent vertical misalignment of the adjacent slabs over time.</t>
  </si>
  <si>
    <t>coral</t>
  </si>
  <si>
    <t>Coral</t>
  </si>
  <si>
    <t>A surface composed of crushed coral that has been graded and rolled to produce a firm regular surface.</t>
  </si>
  <si>
    <t>Sometimes mixed with sand and/or clay.</t>
  </si>
  <si>
    <t>earthen</t>
  </si>
  <si>
    <t>Earthen</t>
  </si>
  <si>
    <t>A surface composed of the existing earth material(s).</t>
  </si>
  <si>
    <t>May be grass-covered or bare.</t>
  </si>
  <si>
    <t>gravel</t>
  </si>
  <si>
    <t>Gravel</t>
  </si>
  <si>
    <t>A surface composed of small water-worn or crushed stones compacted to produce a firm regular surface.</t>
  </si>
  <si>
    <t>ice</t>
  </si>
  <si>
    <t>Ice</t>
  </si>
  <si>
    <t>A cleared area of a frozen watercourse.</t>
  </si>
  <si>
    <t>Usually marked and intended to support regular traffic.</t>
  </si>
  <si>
    <t>landingMat</t>
  </si>
  <si>
    <t>Landing Mat</t>
  </si>
  <si>
    <t>A surface composed of prefabricated, portable mats so designed that any number of planks (sections) may be fastened together to form a stable landing surface.</t>
  </si>
  <si>
    <t>Usually made of aluminum (for example: US Air Force AM-2 aluminum matting) with a non-skid coating applied. May also be used for beach landings, heliports, bridge decking, heavy duty roads, and other similar applications such as flooring for relocatable shelters, tents, and hangers.</t>
  </si>
  <si>
    <t>laterite</t>
  </si>
  <si>
    <t>Laterite</t>
  </si>
  <si>
    <t>A surface composed of a clayey (usually red) soil that hardens on exposure to the air, packed over a firm subgrade.</t>
  </si>
  <si>
    <t>Laterite is characterized by a high proportion of sesquioxides, especially of aluminum and iron, and a low proportion of bases and silica. It is formed by chemical weathering in tropical and subtropical regions. Also loosely any of various other reddish or iron-rich surface materials in the tropics and sub-tropics.</t>
  </si>
  <si>
    <t>macadam</t>
  </si>
  <si>
    <t>Macadam</t>
  </si>
  <si>
    <t>A surface composed of broken rock or ironstone slag of varying size and shape that is packed through repeated rolling and water-bound.</t>
  </si>
  <si>
    <t>The range of sizes and shapes results in a relatively firm interlocking of the materials.</t>
  </si>
  <si>
    <t>Tarmacadam</t>
  </si>
  <si>
    <t>membrane</t>
  </si>
  <si>
    <t>Membrane</t>
  </si>
  <si>
    <t>A surface covered by spread rolls of protective laminate, providing waterproofing and dustproofing on soils that have adequate strength for airfield traffic areas.</t>
  </si>
  <si>
    <t>Usually rubber-based, but may be plastic (for example: nylon) or other coated fibre material.</t>
  </si>
  <si>
    <t>nonBituminousMix</t>
  </si>
  <si>
    <t>Non-bituminous Mix</t>
  </si>
  <si>
    <t>A surface composed of the original surface material mixed in place with a non-bituminous binder (for example: portland cement).</t>
  </si>
  <si>
    <t>piercedSteelPlanking</t>
  </si>
  <si>
    <t>Pierced Steel Planking</t>
  </si>
  <si>
    <t>A surface composed of pierced steel sheets, nominally 15 inches by 10 feet in size, that have been clipped together edgewise to form a continuous mat.</t>
  </si>
  <si>
    <t>Used to best effect on stabilized subgrade, resulting in a semi-permanent runway.</t>
  </si>
  <si>
    <t>Marston Mat</t>
  </si>
  <si>
    <t>sand</t>
  </si>
  <si>
    <t>Sand</t>
  </si>
  <si>
    <t>A surface composed of sand that has been graded, rolled, and/or oiled.</t>
  </si>
  <si>
    <t>snow</t>
  </si>
  <si>
    <t>Snow</t>
  </si>
  <si>
    <t>A surface composed of packed snow, usually resulting from multiple snowfalls, that may have additionally been rolled to ensure the absence of voids or cavities.</t>
  </si>
  <si>
    <t>stone</t>
  </si>
  <si>
    <t>Stone</t>
  </si>
  <si>
    <t>A surface composed of rock or similar mineral substances (other than metal) of generally regular form and size, usually artificially shaped.</t>
  </si>
  <si>
    <t>water</t>
  </si>
  <si>
    <t>Water</t>
  </si>
  <si>
    <t>A body of water that is kept clear for use as a seaplane run.</t>
  </si>
  <si>
    <t>wood</t>
  </si>
  <si>
    <t>Wood</t>
  </si>
  <si>
    <t>A surface composed of wood logs, beams, or planks.</t>
  </si>
  <si>
    <t>aggregateSealCoat</t>
  </si>
  <si>
    <t>Aggregate Seal Coat</t>
  </si>
  <si>
    <t>The paved surface is seal coated to bring aggregate particles into contact with vehicle tires to improve skid resistance.</t>
  </si>
  <si>
    <t>graded</t>
  </si>
  <si>
    <t>Graded</t>
  </si>
  <si>
    <t>The movement area has been leveled to result in a smooth surface.</t>
  </si>
  <si>
    <t>May include a slight grade to promote drainage.</t>
  </si>
  <si>
    <t>grass</t>
  </si>
  <si>
    <t>Grass</t>
  </si>
  <si>
    <t>The surface is covered with grass.</t>
  </si>
  <si>
    <t>grooved</t>
  </si>
  <si>
    <t>Grooved</t>
  </si>
  <si>
    <t>The paved surface is grooved to promote drainage and traction.</t>
  </si>
  <si>
    <t>Accomplished by, for example, cutting or the emplacement of plastic strips that are later removed.</t>
  </si>
  <si>
    <t>oiled</t>
  </si>
  <si>
    <t>Oiled</t>
  </si>
  <si>
    <t>The surface is coated with a light layer of oil to reduce dust formation.</t>
  </si>
  <si>
    <t>Usually accomplished by spraying.</t>
  </si>
  <si>
    <t>porousFrictionCourse</t>
  </si>
  <si>
    <t>Porous Friction Course</t>
  </si>
  <si>
    <t>The paved surface is covered by a material designed to improve drainage and reduce slippage.</t>
  </si>
  <si>
    <t>For example, Porous European Mix (PEM), a porous asphaltic concrete formulated with 20-24 percent air voids used as an open graded friction course (OGFC).</t>
  </si>
  <si>
    <t>rolled</t>
  </si>
  <si>
    <t>Rolled</t>
  </si>
  <si>
    <t>The surface is prepared with heavy rollers to result in a firm, packed surface without local dips or swales.</t>
  </si>
  <si>
    <t>rubberizedSealCoat</t>
  </si>
  <si>
    <t>Rubberized Seal Coat</t>
  </si>
  <si>
    <t>The paved surface is seal coated using an asphalt-rubber binder.</t>
  </si>
  <si>
    <t>Sometimes termed a 'stress-absorbing membrane' (SAM). May be based on the use of recycled scrap tire rubber.</t>
  </si>
  <si>
    <t>apron</t>
  </si>
  <si>
    <t>A defined area at an aerodrome or heliport intended for aircraft parking.</t>
  </si>
  <si>
    <t>Used, for example, to accommodate loading or unloading passengers, mail or cargo, fuelling, parking and/or maintenance.</t>
  </si>
  <si>
    <t>helipad</t>
  </si>
  <si>
    <t>runway</t>
  </si>
  <si>
    <t>runwayElement</t>
  </si>
  <si>
    <t>runwayIntersection</t>
  </si>
  <si>
    <t>The runway intersection is the common area of intersecting runways.</t>
  </si>
  <si>
    <t>taxiway</t>
  </si>
  <si>
    <t>taxiwayElement</t>
  </si>
  <si>
    <t>excellent</t>
  </si>
  <si>
    <t>Excellent</t>
  </si>
  <si>
    <t>The surface is capable of supporting extended aircraft operations with minimal maintenance.</t>
  </si>
  <si>
    <t>The surface is newly constructed, less than 5 years old, and is capable of supporting extended aircraft operations by the heaviest (highest Load Classification Number (LCN) or Aircraft Classification Number (ACN)) aircraft that is rated to use the facility, with minimal need for maintenance.</t>
  </si>
  <si>
    <t>The condition is adequate for limited aircraft operations.</t>
  </si>
  <si>
    <t>It is capable of supporting 30 days of limited operations by the heaviest (highest Load Classification Number (LCN) or Aircraft Classification Number (ACN)) aircraft that can use the facility.</t>
  </si>
  <si>
    <t>fairEstimated</t>
  </si>
  <si>
    <t>Fair Estimated</t>
  </si>
  <si>
    <t>It is estimated (in lieu of reported information) that the condition is adequate for limited aircraft operations.</t>
  </si>
  <si>
    <t>It is estimated to be capable of supporting 30 days of limited operations by the heaviest (highest Load Classification Number (LCN) or Aircraft Classification Number (ACN)) aircraft that can use the facility.</t>
  </si>
  <si>
    <t>The condition is adequate for sustained aircraft operations.</t>
  </si>
  <si>
    <t>It will support 30 days of sustained operations by the heaviest (highest Load Classification Number (LCN) or Aircraft Classification Number (ACN)) aircraft that can use the facility.</t>
  </si>
  <si>
    <t>goodEstimated</t>
  </si>
  <si>
    <t>Good Estimated</t>
  </si>
  <si>
    <t>It is estimated (in lieu of reported information) that the condition is adequate for sustained aircraft operations.</t>
  </si>
  <si>
    <t>It is estimated that it will support 30 days of sustained operations by the heaviest (highest Load Classification Number (LCN) or Aircraft Classification Number (ACN)) aircraft that can use the facility.</t>
  </si>
  <si>
    <t>poor</t>
  </si>
  <si>
    <t>Poor</t>
  </si>
  <si>
    <t>The condition is sufficient for only emergency aircraft operations.</t>
  </si>
  <si>
    <t>It will support only emergency or occasional operations by the heaviest (highest Load Classification Number (LCN) or Aircraft Classification Number (ACN)) aircraft that can use the facility.</t>
  </si>
  <si>
    <t>poorEstimated</t>
  </si>
  <si>
    <t>Poor Estimated</t>
  </si>
  <si>
    <t>It is estimated (in lieu of reported information) that the condition is sufficient for only emergency aircraft operations.</t>
  </si>
  <si>
    <t>It is estimated that it will support only emergency or occasional operations by the heaviest (highest Load Classification Number (LCN) or Aircraft Classification Number (ACN)) aircraft that can use the facility.</t>
  </si>
  <si>
    <t>The surface is under construction and is therefore not capable of supporting aircraft operations.</t>
  </si>
  <si>
    <t>unserviceable</t>
  </si>
  <si>
    <t>Unserviceable</t>
  </si>
  <si>
    <t>The surface is in such a state of deterioration or disrepair that it is completely unusable and cannot be safely used for any type of aircraft operations.</t>
  </si>
  <si>
    <t>Access is officially permitted.</t>
  </si>
  <si>
    <t>parkedDisabledAircraft</t>
  </si>
  <si>
    <t>Parked or Disabled Aircraft</t>
  </si>
  <si>
    <t>Aircraft may be parked on the movement surface limiting operations.</t>
  </si>
  <si>
    <t>workInProgress</t>
  </si>
  <si>
    <t>Work in Progress</t>
  </si>
  <si>
    <t>heliport</t>
  </si>
  <si>
    <t>landAerodrome</t>
  </si>
  <si>
    <t>waterAerodrome</t>
  </si>
  <si>
    <t>aerodromeFlightInfoServ</t>
  </si>
  <si>
    <t>Aerodrome Flight Information Service</t>
  </si>
  <si>
    <t>A unit providing pilots of aircraft with details of other known traffic taking off, landing and flying in the vicinity of the aerodrome where, despite not being busy enough for full Air Traffic Control, the traffic is such that some form of service is necessary.</t>
  </si>
  <si>
    <t>AFIS</t>
  </si>
  <si>
    <t>aeronauticalInfoService</t>
  </si>
  <si>
    <t>Aeronautical Information Service</t>
  </si>
  <si>
    <t>A service established within the defined area of coverage responsible for the provision of aeronautical information/data necessary for the safety, regularity and efficiency of air navigation.</t>
  </si>
  <si>
    <t>AIS</t>
  </si>
  <si>
    <t>airmetService</t>
  </si>
  <si>
    <t>AIRMET Service</t>
  </si>
  <si>
    <t>Information issued by a meteorological watch office concerning the occurrence or expected occurrence of specified en-route weather phenomena which may affect the safety of low-level aircraft operations and which was not already included in the forecast issued for low-level flights in the flight information region concerned or sub-area thereof.</t>
  </si>
  <si>
    <t>altimeterService</t>
  </si>
  <si>
    <t>Altimeter Service</t>
  </si>
  <si>
    <t>A service providing altimeter setting information.</t>
  </si>
  <si>
    <t>autoSurfaceObsSystem</t>
  </si>
  <si>
    <t>Automated Surface Observation System (ASOS)</t>
  </si>
  <si>
    <t>An automated weather sensor platforms that collect weather data at airports and disseminate the weather information via radio and/or landline.</t>
  </si>
  <si>
    <t>Information provided includes, altimeter, wind, temperature/dew point, visibility, clouds/ceiling, as well as precipitation and density altitude.</t>
  </si>
  <si>
    <t>ASOS</t>
  </si>
  <si>
    <t>autoTerminalInfoService</t>
  </si>
  <si>
    <t>Automated Terminal Information Service</t>
  </si>
  <si>
    <t>The automatic provision of current, routine information to arriving and departing aircraft throughout 24 hours or a specified portion thereof.</t>
  </si>
  <si>
    <t>ATIS</t>
  </si>
  <si>
    <t>autoWeatherObsService</t>
  </si>
  <si>
    <t>Automated Weather Observation Service (AWOS)</t>
  </si>
  <si>
    <t>Information provided includes: altimeter, wind, temperature/dew point, visibility, clouds/ceiling, as well as density altitude. AWOS does not provide precipitation information.</t>
  </si>
  <si>
    <t>AWOS</t>
  </si>
  <si>
    <t>autoWeatherSensorSystem</t>
  </si>
  <si>
    <t>Automated Weather Sensor System (AWSS)</t>
  </si>
  <si>
    <t>The Automated Weather Sensor System (AWSS) is a follow on program providing identical information as the Automated Surface Observation System (ASOS).</t>
  </si>
  <si>
    <t>AWSS</t>
  </si>
  <si>
    <t>automaticFlightInfoServ</t>
  </si>
  <si>
    <t>Automatic Flight Information Service</t>
  </si>
  <si>
    <t>The continuous broadcast of recorded non-control information at airports in Alaska where a FSS provides local airport advisory service.</t>
  </si>
  <si>
    <t>The AFI broadcast automates the repetitive transmission of essential but routine information such as weather, wind, altimeter, favored runway, breaking action, airport NOTAMs, and other applicable information. The information is continuously broadcast over a discrete VHF radio frequency (usually the ASOS frequency).</t>
  </si>
  <si>
    <t>briefingService</t>
  </si>
  <si>
    <t>Briefing Service</t>
  </si>
  <si>
    <t>Pre-flight and post-flight briefing service.</t>
  </si>
  <si>
    <t>enRouteFlightAdvisoryServ</t>
  </si>
  <si>
    <t>En-route Flight Advisory Service</t>
  </si>
  <si>
    <t>A service specifically designed to provide, upon pilot request, timely weather information pertinent to his/her type of flight, intended route of flight, and altitude.</t>
  </si>
  <si>
    <t>EFAS</t>
  </si>
  <si>
    <t>flightInfoService</t>
  </si>
  <si>
    <t>Flight Information Service</t>
  </si>
  <si>
    <t>A service provided for the purpose of giving advice and information useful for the safe and efficient conduct of flights.</t>
  </si>
  <si>
    <t>FIS</t>
  </si>
  <si>
    <t>hfOperationFlightInfoServ</t>
  </si>
  <si>
    <t>HF Operational Flight Information Service (OFIS)</t>
  </si>
  <si>
    <t>The service provided for the broadcast on the high frequency (HF) band, of meteorological information and operational information concerning navigation aids and aerodromes in an integrated form.</t>
  </si>
  <si>
    <t>OFIS HF</t>
  </si>
  <si>
    <t>highAltWeatherObsSystem</t>
  </si>
  <si>
    <t>High Altitude Weather Observation System</t>
  </si>
  <si>
    <t>A continuous recorded hazardous in-flight weather forecasts broadcasted to airborne aircraft.</t>
  </si>
  <si>
    <t>HIWAS</t>
  </si>
  <si>
    <t>infoService</t>
  </si>
  <si>
    <t>INFO Service</t>
  </si>
  <si>
    <t>Limited ad-hoc information provision, about a specific activity at a particular location.</t>
  </si>
  <si>
    <t>meteorologicalService</t>
  </si>
  <si>
    <t>Meteorological Service</t>
  </si>
  <si>
    <t>Facilities and services that provide aviation with meteorological forecasts, briefs, and observations as well as SIGMET information, VOLMET broadcasting material and any other meteorological data provided by states for aeronautical use.</t>
  </si>
  <si>
    <t>METAR</t>
  </si>
  <si>
    <t>notamService</t>
  </si>
  <si>
    <t>NOTAM Service</t>
  </si>
  <si>
    <t>The provision of notices distributed by means of telecommunication containing information concerning the establishment, condition or change in any aeronautical facility, service, procedure or hazard, the timely knowledge of which is essential to personnel concerned with flight operations.</t>
  </si>
  <si>
    <t>sigmetService</t>
  </si>
  <si>
    <t>SIGMET Service</t>
  </si>
  <si>
    <t>Information issued by a meteorological watch office concerning the occurrence or expected occurrence of specified en-route weather phenomena which may affect the safety of aircraft operations.</t>
  </si>
  <si>
    <t>transcribedWxBroadcastServ</t>
  </si>
  <si>
    <t>Transcribed Weather Broadcast Service</t>
  </si>
  <si>
    <t>A continuous recording of meteorological and aeronautical information that is broadcast on L/MF and VOR facilities for pilots.</t>
  </si>
  <si>
    <t>TWEB</t>
  </si>
  <si>
    <t>vhfOperationFlightInfoServ</t>
  </si>
  <si>
    <t>VHF Operational Flight Information Service (OFIS)</t>
  </si>
  <si>
    <t>The service provided for the broadcast on the very high frequency (VHF) band, of meteorological information and operational information concerning navigation aids and aerodromes in an integrated form.</t>
  </si>
  <si>
    <t>OFIS VHF</t>
  </si>
  <si>
    <t>volmetService</t>
  </si>
  <si>
    <t>VOLMET Service</t>
  </si>
  <si>
    <t>A service providing routine broadcasts containing, as appropriate, current aerodrome weather reports, aerodrome forecasts and SIGMET messages for aircraft in flight.</t>
  </si>
  <si>
    <t>controlTowerSignalBeacon</t>
  </si>
  <si>
    <t>Control Tower Signaling Beacon</t>
  </si>
  <si>
    <t>A handheld directional light signaling device which emits a brilliant narrow beam of white, green, or red light as selected by the tower controller.</t>
  </si>
  <si>
    <t>The color and type of light transmitted can be used to approve or disapprove anticipated pilot actions where radio communication is not available. The light gun is used for controlling traffic operating in the vicinity of the airport and on the airport movement area.</t>
  </si>
  <si>
    <t>Light Gun</t>
  </si>
  <si>
    <t>generalAeronauticalBeacon</t>
  </si>
  <si>
    <t>General Aeronautical Beacon</t>
  </si>
  <si>
    <t>An aeronautical ground light visible at all azimuths, either continuously or intermittently, to designate a particular point on the surface of the earth.</t>
  </si>
  <si>
    <t>hazardBeacon</t>
  </si>
  <si>
    <t>Hazard Beacon</t>
  </si>
  <si>
    <t>An aeronautical beacon used to designate a danger to air navigation.</t>
  </si>
  <si>
    <t>identificationBeacon</t>
  </si>
  <si>
    <t>Identification Beacon</t>
  </si>
  <si>
    <t>A beacon emitting a coded lighted signal by means of which a particular point of reference can be visually identified.</t>
  </si>
  <si>
    <t>An identification beacon shall show flashing green at a land aerodrome and flashing-yellow at a water aerodrome. The identification characters shall be transmitted in the International Morse Code.</t>
  </si>
  <si>
    <t>lightedHeliport</t>
  </si>
  <si>
    <t>Lighted Heliport</t>
  </si>
  <si>
    <t>A beacon indicating the location of a heliport.</t>
  </si>
  <si>
    <t>US FAA has established sequence of green, yellow, and white flashing lights.</t>
  </si>
  <si>
    <t>lightedLandAerodrome</t>
  </si>
  <si>
    <t>Lighted Land Aerodrome</t>
  </si>
  <si>
    <t>A beacon indicating the location of a land aerodrome.</t>
  </si>
  <si>
    <t>ICAO specified the beacon is flashing green.</t>
  </si>
  <si>
    <t>lightedWaterAerodrome</t>
  </si>
  <si>
    <t>Lighted Water Aerodrome</t>
  </si>
  <si>
    <t>A beacon indicating the location of a water aerodrome.</t>
  </si>
  <si>
    <t>ICAO specified the beacon is flashing yellow.</t>
  </si>
  <si>
    <t>marineBeacon</t>
  </si>
  <si>
    <t>Marine Beacon</t>
  </si>
  <si>
    <t>A beacon whose primary purpose is to be used for maritime navigation, but can be seen from the air.</t>
  </si>
  <si>
    <t>militaryAerodrome</t>
  </si>
  <si>
    <t>Military Aerodrome</t>
  </si>
  <si>
    <t>A beacon indicating the location of a military aerodrome.</t>
  </si>
  <si>
    <t>responderBeacon</t>
  </si>
  <si>
    <t>Responder Beacon</t>
  </si>
  <si>
    <t>A responder beacon.</t>
  </si>
  <si>
    <t>channelSpacing8r33</t>
  </si>
  <si>
    <t>8.33 Channel Spacing</t>
  </si>
  <si>
    <t>Reduced frequency separation requirement of 8.33 kHz.</t>
  </si>
  <si>
    <t>adsB</t>
  </si>
  <si>
    <t>ADS-B</t>
  </si>
  <si>
    <t>Automatic Dependent Surveillance - Broadcast: standard mode.</t>
  </si>
  <si>
    <t>adsB_with_VDL</t>
  </si>
  <si>
    <t>ADS-B with VDL</t>
  </si>
  <si>
    <t>Automatic Dependent Surveillance - Broadcast: extended mode, using VDL 4.</t>
  </si>
  <si>
    <t>amss</t>
  </si>
  <si>
    <t>AMSS</t>
  </si>
  <si>
    <t>Aeronautical Mobile Satellite Service, currently used by ACARS.</t>
  </si>
  <si>
    <t>hf</t>
  </si>
  <si>
    <t>HF</t>
  </si>
  <si>
    <t>High Frequency radio voice channel.</t>
  </si>
  <si>
    <t>hfdl</t>
  </si>
  <si>
    <t>HFDL</t>
  </si>
  <si>
    <t>High Frequency Data Link.</t>
  </si>
  <si>
    <t>uhf</t>
  </si>
  <si>
    <t>UHF</t>
  </si>
  <si>
    <t>Ultra-High Frequency radio voice channel.</t>
  </si>
  <si>
    <t>vdl1</t>
  </si>
  <si>
    <t>VDL1</t>
  </si>
  <si>
    <t>Legacy VHF data link protocol employing CSMA.</t>
  </si>
  <si>
    <t>vdl2</t>
  </si>
  <si>
    <t>VDL2</t>
  </si>
  <si>
    <t>VHF data link protocol employing CSMA but much more efficient than VDL1.</t>
  </si>
  <si>
    <t>vdl4</t>
  </si>
  <si>
    <t>VDL4</t>
  </si>
  <si>
    <t>VHF data link protocol using TDMA; being considered for use by ADS-B.</t>
  </si>
  <si>
    <t>vhf</t>
  </si>
  <si>
    <t>VHF</t>
  </si>
  <si>
    <t>Very High Frequency radio voice channel.</t>
  </si>
  <si>
    <t>airspaceDelegation</t>
  </si>
  <si>
    <t>Airspace Delegation</t>
  </si>
  <si>
    <t>An authority is assigned or entrusted with the responsibility for that airspace.</t>
  </si>
  <si>
    <t>airspaceOwnership</t>
  </si>
  <si>
    <t>Airspace Ownership</t>
  </si>
  <si>
    <t>An authority has the legal right of possession and proprietorship over a defined airspace.</t>
  </si>
  <si>
    <t>aisAuthority</t>
  </si>
  <si>
    <t>AIS Authority</t>
  </si>
  <si>
    <t>The organization is responsible for the provision of aeronautical information or data necessary for the safety, regularity and efficiency of air navigation.</t>
  </si>
  <si>
    <t>otherResponsibleAuthority</t>
  </si>
  <si>
    <t>Other Responsible Authority</t>
  </si>
  <si>
    <t>A responsible authority not included in the existing Responsible Authority Type list.</t>
  </si>
  <si>
    <t>both</t>
  </si>
  <si>
    <t>Both</t>
  </si>
  <si>
    <t>Used for both low and high altitude enroute control.</t>
  </si>
  <si>
    <t>high</t>
  </si>
  <si>
    <t>High</t>
  </si>
  <si>
    <t>Used for high altitude enroute control.</t>
  </si>
  <si>
    <t>low</t>
  </si>
  <si>
    <t>Low</t>
  </si>
  <si>
    <t>Used for low altitude enroute control.</t>
  </si>
  <si>
    <t>conditional</t>
  </si>
  <si>
    <t>Conditional</t>
  </si>
  <si>
    <t>Operative subject to published limitations or conditions.</t>
  </si>
  <si>
    <t>displaced</t>
  </si>
  <si>
    <t>Displaced</t>
  </si>
  <si>
    <t>The service or equipment has been relocated.</t>
  </si>
  <si>
    <t>falseIndicationDefinite</t>
  </si>
  <si>
    <t>False Indication Definite</t>
  </si>
  <si>
    <t>Giving false indication, do not use.</t>
  </si>
  <si>
    <t>falseIndicationPossible</t>
  </si>
  <si>
    <t>False Indication Possible</t>
  </si>
  <si>
    <t>False indication possible, use with caution.</t>
  </si>
  <si>
    <t>inConstruction</t>
  </si>
  <si>
    <t>In Construction</t>
  </si>
  <si>
    <t>The equipment is under construction.</t>
  </si>
  <si>
    <t>intermittent</t>
  </si>
  <si>
    <t>Intermittent</t>
  </si>
  <si>
    <t>Operations are intended to be continuous but may be interrupted.</t>
  </si>
  <si>
    <t>interrupt</t>
  </si>
  <si>
    <t>Interrupt</t>
  </si>
  <si>
    <t>Expect interruptions of the signal.</t>
  </si>
  <si>
    <t>irregular</t>
  </si>
  <si>
    <t>Irregular</t>
  </si>
  <si>
    <t>Operations may occur sporadically.</t>
  </si>
  <si>
    <t>D</t>
  </si>
  <si>
    <t>navaidDmeOutOfService</t>
  </si>
  <si>
    <t>NAVAID DME Out-of-service</t>
  </si>
  <si>
    <t>The Distance Measuring Equipment (DME) component of the Navigational Aid (NAVAID) service is out-of-service.</t>
  </si>
  <si>
    <t>A NAVAID that is out-of-service may be transmitting but does not meet operational specifications.</t>
  </si>
  <si>
    <t>navaidFreqOutOfService</t>
  </si>
  <si>
    <t>NAVAID Frequency Out-of-service</t>
  </si>
  <si>
    <t>The frequency component of the Navigational Aid (NAVAID) service is out-of-service.</t>
  </si>
  <si>
    <t>navaidPartialService</t>
  </si>
  <si>
    <t>NAVAID Partial Service</t>
  </si>
  <si>
    <t>The Navigational Aid (NAVAID) service is operating with limited capabilities.</t>
  </si>
  <si>
    <t>The nature of the limitation is such that the NAVAID does not meet operational specifications.</t>
  </si>
  <si>
    <t>onTest</t>
  </si>
  <si>
    <t>On-Test</t>
  </si>
  <si>
    <t>Undergoing testing, do not use.</t>
  </si>
  <si>
    <t>Signals may be transmitted, but are not reliable.</t>
  </si>
  <si>
    <t>Operating normally.</t>
  </si>
  <si>
    <t>Not available.</t>
  </si>
  <si>
    <t>withdrawn</t>
  </si>
  <si>
    <t>Withdrawn</t>
  </si>
  <si>
    <t>The service or equipment has been decommissioned and/or removed.</t>
  </si>
  <si>
    <t>alternate</t>
  </si>
  <si>
    <t>Alternate</t>
  </si>
  <si>
    <t>The service may be used in lieu of the primary or secondary service.</t>
  </si>
  <si>
    <t>emergency</t>
  </si>
  <si>
    <t>Emergency</t>
  </si>
  <si>
    <t>The service is designated for emergency use.</t>
  </si>
  <si>
    <t>The service is protected due to the importance of information being exchanged.</t>
  </si>
  <si>
    <t>Is designated as the principal provider of the service.</t>
  </si>
  <si>
    <t>Is designated as the contingency provider of the primary service.</t>
  </si>
  <si>
    <t>advisoryCentre</t>
  </si>
  <si>
    <t>Advisory Centre</t>
  </si>
  <si>
    <t>A unit providing a service within advisory airspace to ensure separation, in so far as practical, between aircraft which are operating on IFR flight plans.</t>
  </si>
  <si>
    <t>ADVC</t>
  </si>
  <si>
    <t>aerodromeAisUnit</t>
  </si>
  <si>
    <t>Aerodrome Aeronautical Information Service (AIS) Unit</t>
  </si>
  <si>
    <t>A unit established at an aerodrome to provide aeronautical information/data for preflight planning.</t>
  </si>
  <si>
    <t>aerodromeControlTower</t>
  </si>
  <si>
    <t>Aerodrome Control Tower</t>
  </si>
  <si>
    <t>A unit established to provide air traffic control service to aerodrome traffic.</t>
  </si>
  <si>
    <t>TWR</t>
  </si>
  <si>
    <t>aerodromeMetOffice</t>
  </si>
  <si>
    <t>Aerodrome Meteorological Office</t>
  </si>
  <si>
    <t>An office, located at an aerodrome, designated to provide meteorological service for international air navigation.</t>
  </si>
  <si>
    <t>aeroInfoServicesHeadOffice</t>
  </si>
  <si>
    <t>Aeronautical Information Services Headquarters Office</t>
  </si>
  <si>
    <t>An office responsible for the provision of aeronautical information services within a defined area of coverage normally comprising a State or group of States.</t>
  </si>
  <si>
    <t>AOF</t>
  </si>
  <si>
    <t>airRouteTraffControlCentre</t>
  </si>
  <si>
    <t>Air Route Traffic Control Centre</t>
  </si>
  <si>
    <t>A facility established to provide Air Traffic Control service to aircraft operating on IFR flight plans within controlled airspace and principally during the enroute phase of flight.</t>
  </si>
  <si>
    <t>CNTR, ARTCC</t>
  </si>
  <si>
    <t>airTrafficControlCentre</t>
  </si>
  <si>
    <t>Air Traffic Control Centre</t>
  </si>
  <si>
    <t>A unit combining the functions of an area control centre and a flight information centre.</t>
  </si>
  <si>
    <t>ATCC</t>
  </si>
  <si>
    <t>airTrafficFlowManagement</t>
  </si>
  <si>
    <t>Air Traffic Flow Management Unit</t>
  </si>
  <si>
    <t>A unit providing services with the objective of contributing to a safe, orderly and expeditious flow of air traffic by ensuring that ATC capacity is utilized to the maximum extent possible, and that the traffic volume is compatible with the capacities declared by the appropriate ATS authority.</t>
  </si>
  <si>
    <t>ATFMU</t>
  </si>
  <si>
    <t>airTrafficManagementUnit</t>
  </si>
  <si>
    <t>Air Traffic Management Unit</t>
  </si>
  <si>
    <t>A unit established to aggregate the airborne functions and ground-based functions (air traffic services, airspace management and air traffic flow management) required to ensure the safe and efficient movement of aircraft during all phases of operations.</t>
  </si>
  <si>
    <t>ATMU</t>
  </si>
  <si>
    <t>airTrafficServicesReporting</t>
  </si>
  <si>
    <t>Air Traffic Services Reporting Office</t>
  </si>
  <si>
    <t>A unit established for the purpose of receiving reports concerning air traffic services and flight plans submitted before departure.</t>
  </si>
  <si>
    <t>An air traffic services reporting office may be established as a separate unit or combined with an existing unit, such as another air traffic services unit, or a unit of the aeronautical information service.</t>
  </si>
  <si>
    <t>Aerodrome Reporting Office, ARO</t>
  </si>
  <si>
    <t>airTrafficServicesUnit</t>
  </si>
  <si>
    <t>Air Traffic Services Unit</t>
  </si>
  <si>
    <t>A generic term meaning variously, air traffic control unit, flight information centre or air traffic services reporting office.</t>
  </si>
  <si>
    <t>ATSU</t>
  </si>
  <si>
    <t>airliftCommandPost</t>
  </si>
  <si>
    <t>Airlift Command Post</t>
  </si>
  <si>
    <t>A command post used in specialised airlift operations.</t>
  </si>
  <si>
    <t>They may be centrally located or at a deployed location.</t>
  </si>
  <si>
    <t>ACP, ALCE</t>
  </si>
  <si>
    <t>alertingPost</t>
  </si>
  <si>
    <t>Alerting Post</t>
  </si>
  <si>
    <t>Any facility intended to serve as an intermediary between a person reporting an emergency and a rescue coordination centre or rescue subcentre.</t>
  </si>
  <si>
    <t>ALPS</t>
  </si>
  <si>
    <t>approachControlUnit</t>
  </si>
  <si>
    <t>Approach Control Unit</t>
  </si>
  <si>
    <t>A unit established to provide air traffic control service to controlled flights arriving at, or departing from, one or more aerodromes.</t>
  </si>
  <si>
    <t>APP</t>
  </si>
  <si>
    <t>areaControlCentre</t>
  </si>
  <si>
    <t>Area Control Centre</t>
  </si>
  <si>
    <t>A unit established to provide air traffic control service to controlled flights in control areas under its jurisdiction.</t>
  </si>
  <si>
    <t>arrivalsApproachControl</t>
  </si>
  <si>
    <t>Arrivals Approach Control Office</t>
  </si>
  <si>
    <t>A facility providing Air Traffic Control service for arriving IFR and, under certain conditions, VFR aircraft.</t>
  </si>
  <si>
    <t>Arrivial Control, APP/ARR</t>
  </si>
  <si>
    <t>autoDependSurveillanceUnit</t>
  </si>
  <si>
    <t>Automatic Dependent Surveillance Unit</t>
  </si>
  <si>
    <t>A unit providing ADS support to equipped aircraft.</t>
  </si>
  <si>
    <t>ADSU</t>
  </si>
  <si>
    <t>commandPost</t>
  </si>
  <si>
    <t>Command Post</t>
  </si>
  <si>
    <t>A military office designated for preflight planning and aircraft dispatch at an aerodrome.</t>
  </si>
  <si>
    <t>A command post is also responsible for the orderly operations of the air base.</t>
  </si>
  <si>
    <t>POST, MILOPS, Base Ops, Wing Ops</t>
  </si>
  <si>
    <t>commercialBroadcastStation</t>
  </si>
  <si>
    <t>Commercial Broadcasting Station</t>
  </si>
  <si>
    <t>A unit providing commercial service through broadcast transmissions such as radio and television.</t>
  </si>
  <si>
    <t>BS</t>
  </si>
  <si>
    <t>departuresApproachControl</t>
  </si>
  <si>
    <t>Departures Approach Control Office</t>
  </si>
  <si>
    <t>A facility providing Air Traffic Control service for departing IFR and, under certain conditions, VFR aircraft.</t>
  </si>
  <si>
    <t>APP/DEP, Departure Control</t>
  </si>
  <si>
    <t>flightInformationCentre</t>
  </si>
  <si>
    <t>Flight Information Centre</t>
  </si>
  <si>
    <t>A unit established to provide flight information service and alerting service.</t>
  </si>
  <si>
    <t>flightServiceStation</t>
  </si>
  <si>
    <t>Flight Service Station</t>
  </si>
  <si>
    <t>Air traffic facilities which provide pilot briefing, enroute communications and VFR Search And Rescue service, assist lost aircraft and aircraft in emergency situations, relay Air Traffic Control clearances, originate Notices to Airman, broadcast aviation weather and National Airspace System (NAS) information, receive and process IFR flight plans, and monitor NAVAIDS.</t>
  </si>
  <si>
    <t>FSS</t>
  </si>
  <si>
    <t>generalCommunicationsUnit</t>
  </si>
  <si>
    <t>General Communications Unit</t>
  </si>
  <si>
    <t>A unit providing miscellaneous communication services.</t>
  </si>
  <si>
    <t>COM</t>
  </si>
  <si>
    <t>internationalNotamOffice</t>
  </si>
  <si>
    <t>International NOTAM Office</t>
  </si>
  <si>
    <t>An office designated by a State for the exchange of Notices to Airman (NOTAM) internationally.</t>
  </si>
  <si>
    <t>A NOTAM is a notice distributed by means of telecommunication containing information concerning the establishment, condition or change in any aeronautical facility, service, procedure or hazard, the timely knowledge of which is essential to personnel concerned with flight operations.</t>
  </si>
  <si>
    <t>NOF, MILNOF</t>
  </si>
  <si>
    <t>meteorologicalOffice</t>
  </si>
  <si>
    <t>Meteorological Office</t>
  </si>
  <si>
    <t>An office designated to provide meteorological service for international air navigation.</t>
  </si>
  <si>
    <t>oceanicControlCentre</t>
  </si>
  <si>
    <t>Oceanic Control Centre</t>
  </si>
  <si>
    <t>The unit providing Air Traffic Control (ATC) services given to the area of International Airspace which lies above oceanic airspace.</t>
  </si>
  <si>
    <t>OAC</t>
  </si>
  <si>
    <t>radarApproachControlFac</t>
  </si>
  <si>
    <t>Radar Approach Control Facility</t>
  </si>
  <si>
    <t>A terminal ATC facility that uses radar and non-radar capabilities to provide approach control services to aircraft arriving, departing, or transiting airspace controlled by the facility.</t>
  </si>
  <si>
    <t>regionalAreaForecastCentre</t>
  </si>
  <si>
    <t>Regional Area Forecast Centre</t>
  </si>
  <si>
    <t>A meteorological centre designated to prepare and supply area forecasts for flights departing from aerodromes within its service area and to supply grid-point data in digital form for up to world-wide coverage.</t>
  </si>
  <si>
    <t>RAFC</t>
  </si>
  <si>
    <t>rescueCoOrdinationCentre</t>
  </si>
  <si>
    <t>Rescue Co-ordination Centre</t>
  </si>
  <si>
    <t>A unit responsible for promoting efficient organization of search and rescue services and for coordinating the conduct of search and rescue operations within a search and rescue region.</t>
  </si>
  <si>
    <t>rescueSubCentre</t>
  </si>
  <si>
    <t>Rescue Sub-centre</t>
  </si>
  <si>
    <t>A unit subordinate to a rescue coordination centre, established to complement the latter according to particular provisions of the responsible authorities.</t>
  </si>
  <si>
    <t>RSC</t>
  </si>
  <si>
    <t>surfaceMovementRadarOffice</t>
  </si>
  <si>
    <t>Surface Movement Radar Office</t>
  </si>
  <si>
    <t>A unit providing ground movement radar services for aircraft.</t>
  </si>
  <si>
    <t>SMR</t>
  </si>
  <si>
    <t>tempReservedAirspaceMonitor</t>
  </si>
  <si>
    <t>Temporary Reserved Airspace Monitoring Unit</t>
  </si>
  <si>
    <t>A unit providing air traffic service within a temporary reserved airspace to participating and non-participating aircraft when the airspace is active.</t>
  </si>
  <si>
    <t>TRAMON</t>
  </si>
  <si>
    <t>uhfDirectionFindingStation</t>
  </si>
  <si>
    <t>UHF Direction Finding Station</t>
  </si>
  <si>
    <t>A unit providing direction finding services over a ultra high frequency band radio, whose headings will lead the aircraft to a predetermined point such as the DF station or an airport.</t>
  </si>
  <si>
    <t>UDF</t>
  </si>
  <si>
    <t>upperAreaControlCentre</t>
  </si>
  <si>
    <t>Upper Area Control Centre</t>
  </si>
  <si>
    <t>A unit established to provide air traffic control service to controlled flights in upper control areas under its jurisdiction.</t>
  </si>
  <si>
    <t>UAC</t>
  </si>
  <si>
    <t>upperInformationCentre</t>
  </si>
  <si>
    <t>Upper Information Centre</t>
  </si>
  <si>
    <t>A unit established to provide flight information service and alerting service for upper airspace levels.</t>
  </si>
  <si>
    <t>UIC</t>
  </si>
  <si>
    <t>vhfDirectionFindingStation</t>
  </si>
  <si>
    <t>VHF Direction Finding Station</t>
  </si>
  <si>
    <t>A unit providing direction finding services over a very high frequency band radio, whose headings will lead the aircraft to a predetermined point such as the DF station or an airport.</t>
  </si>
  <si>
    <t>VDF</t>
  </si>
  <si>
    <t>worldAreaForecastCentre</t>
  </si>
  <si>
    <t>World Area Forecast Centre</t>
  </si>
  <si>
    <t>A meteorological centre designated to prepare and issue significant weather forecasts and upper-air forecasts in digital form on a global basis direct to States by appropriate means as part of the aeronautical fixed service.</t>
  </si>
  <si>
    <t>WAFC</t>
  </si>
  <si>
    <t>criminalSyndicate</t>
  </si>
  <si>
    <t>Criminal Syndicate</t>
  </si>
  <si>
    <t>An affiliation of gangsters in charge of organized criminal activities.</t>
  </si>
  <si>
    <t>localGang</t>
  </si>
  <si>
    <t>Local Gang</t>
  </si>
  <si>
    <t>An association of criminals that is loosely structured and of local scope.</t>
  </si>
  <si>
    <t>military</t>
  </si>
  <si>
    <t>Military</t>
  </si>
  <si>
    <t>An armed force formed by a government and trained exclusively for the purpose of warfare.</t>
  </si>
  <si>
    <t>anchorPattern</t>
  </si>
  <si>
    <t>Anchor Pattern</t>
  </si>
  <si>
    <t>A geographic position or radio navigation fix which determines the segment length of an air refuelling anchor pattern.</t>
  </si>
  <si>
    <t>anchorPoint</t>
  </si>
  <si>
    <t>Anchor Point</t>
  </si>
  <si>
    <t>A geographic position or radio navigation fix upon which an air refuelling anchor pattern is orientated.</t>
  </si>
  <si>
    <t>controlPoint</t>
  </si>
  <si>
    <t>Control Point</t>
  </si>
  <si>
    <t>A geographic position or radio navigation fix where a rendezvous between the tanker and receiver is completed prior to refuelling.</t>
  </si>
  <si>
    <t>This may also be a point where the tanker enters the air refuelling anchor pattern or air refuelling track.</t>
  </si>
  <si>
    <t>controlPointNato</t>
  </si>
  <si>
    <t>Control Point [NATO]</t>
  </si>
  <si>
    <t>The planned geographic point over which the receiver(s) arrive in the observation/pre-contact position with respect to the assigned tanker.</t>
  </si>
  <si>
    <t>entryPoint</t>
  </si>
  <si>
    <t>Entry Point</t>
  </si>
  <si>
    <t>A geographic position or radio navigation fix where tanker or receiver aircraft may enter the air refuelling anchor pattern area without the assistance of radar.</t>
  </si>
  <si>
    <t>exitPoint</t>
  </si>
  <si>
    <t>Exit Point</t>
  </si>
  <si>
    <t>The geographic position or radio navigation fix where the tanker and receiver aircraft may depart the air refuelling anchor pattern after refuelling is completed, or the point at which the air refuelling track terminates.</t>
  </si>
  <si>
    <t>initialPoint</t>
  </si>
  <si>
    <t>Initial Point</t>
  </si>
  <si>
    <t>The geographic position or radio navigation fix at which the receiver enters the air refuelling track or anchor, initiates radio contact with the tanker and begins manoeuvre to rendezvous.</t>
  </si>
  <si>
    <t>An initial point is located prior to the air refuelling control point along the flight path.</t>
  </si>
  <si>
    <t>ARIP</t>
  </si>
  <si>
    <t>navigationCheckPoint</t>
  </si>
  <si>
    <t>Navigation Check Point</t>
  </si>
  <si>
    <t>A geographic position or radio navigation fix intended to provide a means for adequate navigation for refuelling aircraft and for departure from the track subsequent to refuelling.</t>
  </si>
  <si>
    <t>rendezvousPoint</t>
  </si>
  <si>
    <t>Rendezvous Point</t>
  </si>
  <si>
    <t>A geographic position or radio navigation fix where tanker and receiver are planned to be joined in formation.</t>
  </si>
  <si>
    <t>turningPoint</t>
  </si>
  <si>
    <t>Turning Point</t>
  </si>
  <si>
    <t>A point on an air refuelling anchor pattern at which a turn is completed opposite the anchor point or anchor pattern point.</t>
  </si>
  <si>
    <t>east</t>
  </si>
  <si>
    <t>East</t>
  </si>
  <si>
    <t>The geographic octant centered on East.</t>
  </si>
  <si>
    <t>north</t>
  </si>
  <si>
    <t>North</t>
  </si>
  <si>
    <t>The geographic octant centered on North.</t>
  </si>
  <si>
    <t>northeast</t>
  </si>
  <si>
    <t>Northeast</t>
  </si>
  <si>
    <t>The geographic octant centered on Northeast.</t>
  </si>
  <si>
    <t>northwest</t>
  </si>
  <si>
    <t>Northwest</t>
  </si>
  <si>
    <t>The geographic octant centered on Northwest.</t>
  </si>
  <si>
    <t>south</t>
  </si>
  <si>
    <t>South</t>
  </si>
  <si>
    <t>The geographic octant centered on South.</t>
  </si>
  <si>
    <t>southeast</t>
  </si>
  <si>
    <t>Southeast</t>
  </si>
  <si>
    <t>The geographic octant centered on Southeast.</t>
  </si>
  <si>
    <t>southwest</t>
  </si>
  <si>
    <t>Southwest</t>
  </si>
  <si>
    <t>The geographic octant centered on Southwest.</t>
  </si>
  <si>
    <t>west</t>
  </si>
  <si>
    <t>West</t>
  </si>
  <si>
    <t>The geographic octant centered on West.</t>
  </si>
  <si>
    <t>Aerial Refuelling Procedure with the shape of both a track and an anchor pattern.</t>
  </si>
  <si>
    <t>track</t>
  </si>
  <si>
    <t>compulsory</t>
  </si>
  <si>
    <t>Compulsory</t>
  </si>
  <si>
    <t>Points on which a report is required to Air Traffic Control when not in radar coverage.</t>
  </si>
  <si>
    <t>noReport</t>
  </si>
  <si>
    <t>No Report</t>
  </si>
  <si>
    <t>Points on which a report is never required to Air Traffic Control.</t>
  </si>
  <si>
    <t>onRequest</t>
  </si>
  <si>
    <t>On Request</t>
  </si>
  <si>
    <t>Points on which a report is not required to Air Traffic Control, unless requested.</t>
  </si>
  <si>
    <t>advSurfMoveGuidControlSys</t>
  </si>
  <si>
    <t>Advanced Surface Movement Guidance and Control System</t>
  </si>
  <si>
    <t>A system providing routing, guidance and surveillance for the control of aircraft and vehicles to maintain the declared surface movement rate under all weather conditions within the aerodrome visibility operational level (AVOL) while maintaining the required level of safety.</t>
  </si>
  <si>
    <t>aerodromeControlService</t>
  </si>
  <si>
    <t>Aerodrome Control Service</t>
  </si>
  <si>
    <t>Air traffic control service for aerodrome traffic.</t>
  </si>
  <si>
    <t>airTrafficAdvisoryService</t>
  </si>
  <si>
    <t>Air Traffic Advisory Service</t>
  </si>
  <si>
    <t>A service provided within advisory airspace to ensure separation, in so far as practical, between aircraft which are operating on IFR flight plans.</t>
  </si>
  <si>
    <t>ADVS</t>
  </si>
  <si>
    <t>airportAdvisoryService</t>
  </si>
  <si>
    <t>Airport Advisory Service</t>
  </si>
  <si>
    <t>A service provided at airports without an operating control tower that have certified automated weather reporting via voice capability.</t>
  </si>
  <si>
    <t>ASS</t>
  </si>
  <si>
    <t>alertingService</t>
  </si>
  <si>
    <t>Alerting Service</t>
  </si>
  <si>
    <t>A service provided to notify appropriate organizations regarding aircraft in need of search and rescue aid, and assist such organizations as required.</t>
  </si>
  <si>
    <t>approachControlService</t>
  </si>
  <si>
    <t>Approach Control Service</t>
  </si>
  <si>
    <t>Air traffic control service for arriving or departing controlled flights.</t>
  </si>
  <si>
    <t>areaControlService</t>
  </si>
  <si>
    <t>Area Control Service</t>
  </si>
  <si>
    <t>Air traffic control service for controlled flights in control areas.</t>
  </si>
  <si>
    <t>ARTCC, Center, ACS, ACC</t>
  </si>
  <si>
    <t>arrivalControlService</t>
  </si>
  <si>
    <t>Arrival Control Service</t>
  </si>
  <si>
    <t>Air traffic control service for only arriving controlled flights.</t>
  </si>
  <si>
    <t>commonTraffAdviseFreqServ</t>
  </si>
  <si>
    <t>Common Traffic Advisory Frequency Service (CTAF)</t>
  </si>
  <si>
    <t>A frequency designed for the purpose of carrying out airport advisory practices while operating to or from an airport without an operating control tower.</t>
  </si>
  <si>
    <t>The CTAF may be a UNICOM, Multicom, FSS, or tower frequency and is identified in appropriate aeronautical publications.</t>
  </si>
  <si>
    <t>departureControlService</t>
  </si>
  <si>
    <t>Departure Control Service</t>
  </si>
  <si>
    <t>Air traffic control service for only departing controlled flights.</t>
  </si>
  <si>
    <t>lowAltitudeRadarService</t>
  </si>
  <si>
    <t>Low Altitude Radar Service (LARS)</t>
  </si>
  <si>
    <t>A radar advisory service supplied to aircraft flying at low altitude outside controlled airspace in order to facilitate safe navigation and separation from other aircraft and protected airspace.</t>
  </si>
  <si>
    <t>LARS makes use of existing civil and military radar units to provide integrated coverage within radar and radio range of the units. LARS is not available in all countries; where LARS is available, complete coverage may not be available.</t>
  </si>
  <si>
    <t>LARS</t>
  </si>
  <si>
    <t>oceanicAreaControlService</t>
  </si>
  <si>
    <t>Oceanic Area Control Service</t>
  </si>
  <si>
    <t>Air traffic control service for controlled flights in areas over oceans.</t>
  </si>
  <si>
    <t>OACS</t>
  </si>
  <si>
    <t>terminalControlService</t>
  </si>
  <si>
    <t>Terminal Control Service</t>
  </si>
  <si>
    <t>A control service provided by area control centres (ACC) and terminal control units (TCU) to aircraft operating within specified control areas.</t>
  </si>
  <si>
    <t>terminalRadarService</t>
  </si>
  <si>
    <t>Terminal Radar Service</t>
  </si>
  <si>
    <t>A US national program instituted to extend the terminal radar services provided instrument flight rules (IFR) aircraft to visual flight rules (VFR) aircraft.</t>
  </si>
  <si>
    <t>The program is divided into four types service referred to as: basic radar service, terminal radar service area (TRSA) service, Class B service, and Class C service.</t>
  </si>
  <si>
    <t>upperAreaControlService</t>
  </si>
  <si>
    <t>Upper Area Control Service</t>
  </si>
  <si>
    <t>Air traffic control service for flights in upper control areas.</t>
  </si>
  <si>
    <t>airTrafficFlowManageServ</t>
  </si>
  <si>
    <t>Air Traffic Flow Management Service</t>
  </si>
  <si>
    <t>A service established with the objective of contributing to a safe, orderly and expeditious flow of air traffic by ensuring that ATC capacity is utilized to the maximum extent possible and that the traffic volume is compatible with the capacities declared by the appropriate ATS authority.</t>
  </si>
  <si>
    <t>ATFM</t>
  </si>
  <si>
    <t>clearance</t>
  </si>
  <si>
    <t>Clearance</t>
  </si>
  <si>
    <t>A service providing permissions (for example: entry, landing, overflying, exit) for a given location.</t>
  </si>
  <si>
    <t>flightPlanningService</t>
  </si>
  <si>
    <t>Flight Planning Service</t>
  </si>
  <si>
    <t>A service that provides flight plan acceptance and distribution to the ATC units concerned.</t>
  </si>
  <si>
    <t>flightPlanningValidServ</t>
  </si>
  <si>
    <t>Flight Planning Validation Service</t>
  </si>
  <si>
    <t>A service that provides flight plan validation before acceptance and distribution to the ATC units concerned.</t>
  </si>
  <si>
    <t>scheduling</t>
  </si>
  <si>
    <t>Scheduling</t>
  </si>
  <si>
    <t>Scheduling and slot allocation service for aerodrome and flight routes.</t>
  </si>
  <si>
    <t>civil</t>
  </si>
  <si>
    <t>Civil</t>
  </si>
  <si>
    <t>A flight not conducted by the military.</t>
  </si>
  <si>
    <t>instrumentFlightRules</t>
  </si>
  <si>
    <t>Instrument Flight Rules (IFR)</t>
  </si>
  <si>
    <t>A flight conducted in accordance with the instrument flight rules.</t>
  </si>
  <si>
    <t>international</t>
  </si>
  <si>
    <t>International</t>
  </si>
  <si>
    <t>A flight that departs from one country and arrives in another country.</t>
  </si>
  <si>
    <t>A flight conducted by Armed Forces of a nation or State.</t>
  </si>
  <si>
    <t>A flight that begins and ends in the same country.</t>
  </si>
  <si>
    <t>Domestic</t>
  </si>
  <si>
    <t>nonScheduled</t>
  </si>
  <si>
    <t>Non-scheduled</t>
  </si>
  <si>
    <t>Charter or Special flights not published in a regular timetable.</t>
  </si>
  <si>
    <t>private</t>
  </si>
  <si>
    <t>Private</t>
  </si>
  <si>
    <t>A flight operated by an individual or corporation, rather than a State or a public body.</t>
  </si>
  <si>
    <t>scheduled</t>
  </si>
  <si>
    <t>Scheduled</t>
  </si>
  <si>
    <t>A flight that takes place in accordance with an airlines published regular timetable, as opposed to a charter flight or special flight.</t>
  </si>
  <si>
    <t>visualFlightRules</t>
  </si>
  <si>
    <t>Visual Flight Rules (VFR)</t>
  </si>
  <si>
    <t>A flight conducted in accordance with the visual flight rules.</t>
  </si>
  <si>
    <t>fAdvisoryOnly</t>
  </si>
  <si>
    <t>F: Advisory Only</t>
  </si>
  <si>
    <t>A portion of the Air Traffic Service (ATS) route where the only available service to the aircraft is advisory service.</t>
  </si>
  <si>
    <t>gFlightInformationOnly</t>
  </si>
  <si>
    <t>G: Flight Information Only</t>
  </si>
  <si>
    <t>A portion of the Air Traffic Service (ATS) oute where the only available service to the aircraft is flight information service.</t>
  </si>
  <si>
    <t>yTurnTolerance22p5NM</t>
  </si>
  <si>
    <t>Y: Turn Tolerance 22.5 Nautical Miles</t>
  </si>
  <si>
    <t>A portion of the Air Traffic Service (ATS) route where all turns between 30 and 90 arc degrees shall be made within a defined tolerance of 22.5 nautical miles between the straight line segments.</t>
  </si>
  <si>
    <t>This ATS route suffix is only used on routes with a required navigational performance of 1 and at or above flight level 200.</t>
  </si>
  <si>
    <t>zTurnTolerance15NM</t>
  </si>
  <si>
    <t>Z: Turn Tolerance 15 Nautical Miles</t>
  </si>
  <si>
    <t>A portion of the Air Traffic Service (ATS) route where all turns between 30 and 90 arc degrees shall be made within a defined tolerance of 15 nautical miles between the straight line segments.</t>
  </si>
  <si>
    <t>This ATS route suffix is only used on routes with a required navigational performance of 1 and at or below flight level 190.</t>
  </si>
  <si>
    <t>The airway is used as an alternate airway for backup purposes.</t>
  </si>
  <si>
    <t>Route segment is not available for use.</t>
  </si>
  <si>
    <t>conditionalRouteType1</t>
  </si>
  <si>
    <t>Conditional Route Type 1</t>
  </si>
  <si>
    <t>Permanently plannable Conditional Route (CDR) during the times published in AIPs.</t>
  </si>
  <si>
    <t>Available most of the times, not available on specific conditions (for example: activation of a military training zone).</t>
  </si>
  <si>
    <t>conditionalRouteType2</t>
  </si>
  <si>
    <t>Conditional Route Type 2</t>
  </si>
  <si>
    <t>Non-permanently plannable Conditional Route (CDR).</t>
  </si>
  <si>
    <t>Available on specific conditions such as facilitating traffic flow and increasing ATC capacity.</t>
  </si>
  <si>
    <t>conditionalRouteType3</t>
  </si>
  <si>
    <t>Conditional Route Type 3</t>
  </si>
  <si>
    <t>Not plannable Conditional Route (CDR).</t>
  </si>
  <si>
    <t>Available on short notice, useable only on ATC instructions.</t>
  </si>
  <si>
    <t>The route segment is always available for use.</t>
  </si>
  <si>
    <t>seasonal</t>
  </si>
  <si>
    <t>Seasonal</t>
  </si>
  <si>
    <t>The airway is used on a seasonal basis.</t>
  </si>
  <si>
    <t>specialUse</t>
  </si>
  <si>
    <t>Special Use</t>
  </si>
  <si>
    <t>A special condition exists and should be explained in a free text annotation.</t>
  </si>
  <si>
    <t>This value is needed as long as 'special' types of routes exist. For example: routes which are closed during some time periods, but still may be used for landings on a specified aerodrome; flights that may be performed below the minimum level of the route in special circumstances.</t>
  </si>
  <si>
    <t>timetable</t>
  </si>
  <si>
    <t>Timetable</t>
  </si>
  <si>
    <t>The route segment should be flown only according to its own timetable.</t>
  </si>
  <si>
    <t>arcByEdge</t>
  </si>
  <si>
    <t>Arc by Edge</t>
  </si>
  <si>
    <t>A three point arc.</t>
  </si>
  <si>
    <t>clockwiseArc</t>
  </si>
  <si>
    <t>Clockwise Arc</t>
  </si>
  <si>
    <t>An arc designed in a clockwise direction.</t>
  </si>
  <si>
    <t>counterClockwiseArc</t>
  </si>
  <si>
    <t>Counter Clockwise Arc</t>
  </si>
  <si>
    <t>An arc designed in a counter-clockwise direction.</t>
  </si>
  <si>
    <t>geodesic</t>
  </si>
  <si>
    <t>The shortest path between any two points on a mathematically defined ellipsoidal surface.</t>
  </si>
  <si>
    <t>geoBorderVertices</t>
  </si>
  <si>
    <t>Geographical Border Vertices</t>
  </si>
  <si>
    <t>The path that follows the border of a state.</t>
  </si>
  <si>
    <t>greatCircle</t>
  </si>
  <si>
    <t>Great Circle</t>
  </si>
  <si>
    <t>The shortest path between any two points on the surface of a sphere.</t>
  </si>
  <si>
    <t>rhumbline</t>
  </si>
  <si>
    <t>Rhumbline</t>
  </si>
  <si>
    <t>A rhumbline is a line following a constant angle of the compass (that is, a line of constant direction).</t>
  </si>
  <si>
    <t>backward</t>
  </si>
  <si>
    <t>Backward</t>
  </si>
  <si>
    <t>The direction from the end point to the start point.</t>
  </si>
  <si>
    <t>Route segment usage can be both forward and backward.</t>
  </si>
  <si>
    <t>forward</t>
  </si>
  <si>
    <t>Forward</t>
  </si>
  <si>
    <t>The direction from the start point to the end point.</t>
  </si>
  <si>
    <t>advisoryRoute</t>
  </si>
  <si>
    <t>Advisory Route</t>
  </si>
  <si>
    <t>An ATS designated route along which air traffic advisory service is available.</t>
  </si>
  <si>
    <t>areaNavigationRoute</t>
  </si>
  <si>
    <t>Area Navigation Route (RNAV)</t>
  </si>
  <si>
    <t>An ATS route established for the use of aircraft capable of employing area navigation.</t>
  </si>
  <si>
    <t>Area Navigation is a method of navigation which permits aircraft operation on any desired flight path within the coverage of station-referenced navigation aids or within the limits of the capability of self-contained aids, or a combination of these.</t>
  </si>
  <si>
    <t>conventionalRoute</t>
  </si>
  <si>
    <t>Conventional Route</t>
  </si>
  <si>
    <t>An ATS route defined by conventional radio navigational aids (non area navigation).</t>
  </si>
  <si>
    <t>Examples of conventional radio navigation aids include: VOR, NDB, and TACAN.</t>
  </si>
  <si>
    <t>corridorRoute</t>
  </si>
  <si>
    <t>Corridor Route</t>
  </si>
  <si>
    <t>An ATS route providing the main routings through critical areas which will be accessible to aircraft regardless of point of departure but at the same time will prevent aircraft criss-crossing the main routes and/or airspace.</t>
  </si>
  <si>
    <t>direct</t>
  </si>
  <si>
    <t>Direct</t>
  </si>
  <si>
    <t>A charted track allowing direct flight between two navigational aids, fixes, point or any combination thereof.</t>
  </si>
  <si>
    <t>helicopterRoute</t>
  </si>
  <si>
    <t>Helicopter Route</t>
  </si>
  <si>
    <t>A low level route established for use primarily by helicopters.</t>
  </si>
  <si>
    <t>Kopter Route, Copter Route</t>
  </si>
  <si>
    <t>militaryRoute</t>
  </si>
  <si>
    <t>Military Route</t>
  </si>
  <si>
    <t>A route designated primarily for military purposes.</t>
  </si>
  <si>
    <t>visualRoute</t>
  </si>
  <si>
    <t>Visual Route</t>
  </si>
  <si>
    <t>A route that has been established for use by aircraft operating in accordance with the Visual Flight Rules (VFR).</t>
  </si>
  <si>
    <t>categoryA</t>
  </si>
  <si>
    <t>Category A</t>
  </si>
  <si>
    <t>Less than 169 kilometres/hour (91 knots) Indicated Air Speed (IAS).</t>
  </si>
  <si>
    <t>categoryB</t>
  </si>
  <si>
    <t>Category B</t>
  </si>
  <si>
    <t>169 kilometres/hour (91 knots) or more but less than 224 kilometres/hour (121 knots) Indicated Air Speed (IAS).</t>
  </si>
  <si>
    <t>categoryC</t>
  </si>
  <si>
    <t>Category C</t>
  </si>
  <si>
    <t>224 kilometres/hour (121 knots) or more but less than 261 kilometres/hour (141 knots) Indicated Air Speed (IAS).</t>
  </si>
  <si>
    <t>categoryD</t>
  </si>
  <si>
    <t>Category D</t>
  </si>
  <si>
    <t>261 kilometres/hour (141 knots) or more but less than 307 kilometres/hour (166 knots) Indicated Air Speed (IAS).</t>
  </si>
  <si>
    <t>categoryE</t>
  </si>
  <si>
    <t>Category E</t>
  </si>
  <si>
    <t>307 kilometres/hour (166 knots) Indicated Air Speed (IAS) or more.</t>
  </si>
  <si>
    <t>ICAO specifies an upper limit of 390 kilometres/hour (211 knots) Indicated Air Speed (IAS).</t>
  </si>
  <si>
    <t>categoryH</t>
  </si>
  <si>
    <t>Category H</t>
  </si>
  <si>
    <t>Helicopter only.</t>
  </si>
  <si>
    <t>The stall speed method of calculating aircraft category does not apply.</t>
  </si>
  <si>
    <t>milA_8243</t>
  </si>
  <si>
    <t>MIL-A-8243</t>
  </si>
  <si>
    <t>Anti-Icing/De-Icing/Defrosting fluid.</t>
  </si>
  <si>
    <t>pressurizedAir</t>
  </si>
  <si>
    <t>Pressurized Air</t>
  </si>
  <si>
    <t>Air compressors rated 3000 psi or higher used to blow contaminants off aircraft surfaces.</t>
  </si>
  <si>
    <t>s_1745</t>
  </si>
  <si>
    <t>S-1745</t>
  </si>
  <si>
    <t>Inhibitor, icing, fuel system.</t>
  </si>
  <si>
    <t>s_745</t>
  </si>
  <si>
    <t>S-745</t>
  </si>
  <si>
    <t>Deicing/Defrosting Fluid.</t>
  </si>
  <si>
    <t>s_747</t>
  </si>
  <si>
    <t>S-747</t>
  </si>
  <si>
    <t>Methanol, reagent grade.</t>
  </si>
  <si>
    <t>tl_6850_0010</t>
  </si>
  <si>
    <t>TL 6850-0010</t>
  </si>
  <si>
    <t>Anti-freeze Aircraft Engine.</t>
  </si>
  <si>
    <t>tl_6850_0043</t>
  </si>
  <si>
    <t>TL 6850-0043</t>
  </si>
  <si>
    <t>De-icing and Anti-icing Fluid (Type II).</t>
  </si>
  <si>
    <t>ma1</t>
  </si>
  <si>
    <t>A stationary unit, located at a designated refuelling position on an aerodrome surface, in which fuel is pumped into the aircraft via a hose and nozzle.</t>
  </si>
  <si>
    <t>A stationary fuelling unit has a filtering mechanism in which contaminants such as water are separated from fuel.</t>
  </si>
  <si>
    <t>mh</t>
  </si>
  <si>
    <t>MH2</t>
  </si>
  <si>
    <t>A trailer which has a fuel tank and dispenser, designed to be towed to the aircraft for purposes of refuelling.</t>
  </si>
  <si>
    <t>t4</t>
  </si>
  <si>
    <t>T4</t>
  </si>
  <si>
    <t>A hose cart or truck which is used to connect a stationary fueling port to an aircraft.</t>
  </si>
  <si>
    <t>overWing</t>
  </si>
  <si>
    <t>Over-wing</t>
  </si>
  <si>
    <t>Infrastructure and/or equipment are available to enable refuelling of aircraft whose fuel tank access is located on the top side of the wing.</t>
  </si>
  <si>
    <t>overWingDrums</t>
  </si>
  <si>
    <t>Over-wing from drums</t>
  </si>
  <si>
    <t>A standard fuel drum or set of fuel drums and associated infrastructure and/or equipment are available to refuel an aircraft whose fuel tank access is located on the top side of the wing.</t>
  </si>
  <si>
    <t>underWing</t>
  </si>
  <si>
    <t>Under-wing</t>
  </si>
  <si>
    <t>Infrastructure and/or equipment are available to enable refuelling of aircraft whose fuel tank access is located on the underside of the wing.</t>
  </si>
  <si>
    <t>aircraftDeIcing</t>
  </si>
  <si>
    <t>Aircraft De-icing</t>
  </si>
  <si>
    <t>The availability of services and fluids to remove ice, snow, slush or frost from aircraft surfaces.</t>
  </si>
  <si>
    <t>aircraftHandling</t>
  </si>
  <si>
    <t>Aircraft Handling</t>
  </si>
  <si>
    <t>The availability of services to organize and provide ground support for aircraft and flight crew.</t>
  </si>
  <si>
    <t>For example: catering, aircraft cleaning, ground transportation, and lavatory service.</t>
  </si>
  <si>
    <t>aircraftHangaring</t>
  </si>
  <si>
    <t>Aircraft Hangaring</t>
  </si>
  <si>
    <t>The availability of shelter and/or indoor storage for aircraft.</t>
  </si>
  <si>
    <t>aircraftMaintenance</t>
  </si>
  <si>
    <t>Aircraft Maintenance</t>
  </si>
  <si>
    <t>The availability of services of routine maintenance and inspection of aircraft.</t>
  </si>
  <si>
    <t>aircraftRemoval</t>
  </si>
  <si>
    <t>Aircraft Removal</t>
  </si>
  <si>
    <t>The availability of services for the removal of disabled or damaged aircraft.</t>
  </si>
  <si>
    <t>aircraftRepair</t>
  </si>
  <si>
    <t>Aircraft Repair</t>
  </si>
  <si>
    <t>The availability of services to perform repairs to aircraft.</t>
  </si>
  <si>
    <t>cargoHandling</t>
  </si>
  <si>
    <t>Cargo Handling</t>
  </si>
  <si>
    <t>The availability of services to organize and provide ground support for aircraft cargo.</t>
  </si>
  <si>
    <t>security</t>
  </si>
  <si>
    <t>Security</t>
  </si>
  <si>
    <t>The availability of services to guard against acts of unlawful interference at the aerodrome.</t>
  </si>
  <si>
    <t>calibratedAirspeed</t>
  </si>
  <si>
    <t>Calibrated Airspeed</t>
  </si>
  <si>
    <t>The calibrated airspeed is equal to the airspeed indicator reading corrected for position and instrument error.</t>
  </si>
  <si>
    <t>equivalentAirspeed</t>
  </si>
  <si>
    <t>Equivalent Airspeed</t>
  </si>
  <si>
    <t>The airspeed at sea level that would produce the same incompressible dynamic pressure as the true airspeed at the altitude at which the aircraft is flying.</t>
  </si>
  <si>
    <t>groundSpeed</t>
  </si>
  <si>
    <t>Ground Speed</t>
  </si>
  <si>
    <t>The speed of an aircraft relative to the surface of the earth.</t>
  </si>
  <si>
    <t>indicatedAirspeed</t>
  </si>
  <si>
    <t>Indicated Airspeed</t>
  </si>
  <si>
    <t>The speed of an aircraft as shown on its pitot static airspeed indicator calibrated to reflect standard atmosphere adiabatic compressible flow at sea level uncorrected for airspeed system errors.</t>
  </si>
  <si>
    <t>trueAirspeed</t>
  </si>
  <si>
    <t>True Airspeed</t>
  </si>
  <si>
    <t>The speed of the aircraft relative to undisturbed air.</t>
  </si>
  <si>
    <t>angledNoseIn</t>
  </si>
  <si>
    <t>Angled Nose-in</t>
  </si>
  <si>
    <t>Angled nose-in parking position.</t>
  </si>
  <si>
    <t>angledNoseOut</t>
  </si>
  <si>
    <t>Angled Nose-out</t>
  </si>
  <si>
    <t>Angled nose-out parking position.</t>
  </si>
  <si>
    <t>Isolated parking position.</t>
  </si>
  <si>
    <t>noseIn</t>
  </si>
  <si>
    <t>Nose-in</t>
  </si>
  <si>
    <t>Nose-in parking position.</t>
  </si>
  <si>
    <t>parallel</t>
  </si>
  <si>
    <t>Parallel</t>
  </si>
  <si>
    <t>Parallel (to building) parking position.</t>
  </si>
  <si>
    <t>remote</t>
  </si>
  <si>
    <t>Remote</t>
  </si>
  <si>
    <t>Remote parking position.</t>
  </si>
  <si>
    <t>activeCivilian</t>
  </si>
  <si>
    <t>A - Active Civilian</t>
  </si>
  <si>
    <t>An active civil airfield controlled and operated by civil authorities primarily for use by civil aircraft, although the military may have landing privileges and/or contract rights. At a minimum, the following facilities and services must be available: Control tower or a similar air traffic control service, permanent or temporary lighting, POL, and facilities for organizational maintenance or better.</t>
  </si>
  <si>
    <t>The air traffic control service can be provided by a facility such as a Flight Service Station (FSS) which issues clearances and advisories when there is no tower or the tower is not in operation. The FSS can also have a Remote Communication Outlet (RCO) or can be collocated with a UNICOM Aeronautical Advisory Station.</t>
  </si>
  <si>
    <t>activeJointCivMilHeli</t>
  </si>
  <si>
    <t>Active Joint (Civilian/Military) Heliport</t>
  </si>
  <si>
    <t>An active joint (Civil and Military) heliport jointly controlled, used and/or operated by both civil and military agencies. The military agencies must be permanent, operational, flight line tenants with or without helicopters stationed on the heliport. Minimum facilities and services are the same as for active civil (J) heliports.</t>
  </si>
  <si>
    <t>If both military and civil ICAO identifiers are assigned to the heliport, the heliport will be considered a joint use heliport.</t>
  </si>
  <si>
    <t>activeJointCivMil</t>
  </si>
  <si>
    <t>B - Active Joint (Civilian/Military)</t>
  </si>
  <si>
    <t>An active joint (Civil and Military) airfield jointly controlled, used and/or operated by both civil and military agencies. The military agencies must be permanent, operational, flight line tenants with or without aircraft stationed on the airfield. Minimum facilities and services are the same as for active civil (A) airfields.</t>
  </si>
  <si>
    <t>If both military and civil ICAO identifiers are assigned to the airfield, the airfield will be considered a joint use airfield.</t>
  </si>
  <si>
    <t>activeMilitary</t>
  </si>
  <si>
    <t>C - Active Military</t>
  </si>
  <si>
    <t>An active military airfield controlled and operated by military authorities primarily for use by military aircraft, although civil aircraft may have landing privileges and/or contracts rights. Minimum facilities and services are the same as for active civil (A) airfields.</t>
  </si>
  <si>
    <t>activeLessMinFac</t>
  </si>
  <si>
    <t>D - Active (with less than the minimum facilities)</t>
  </si>
  <si>
    <t>An active airfield with less than the minimum facilities required for A, B, or C airfields and having either soft or hard surface runways.</t>
  </si>
  <si>
    <t>Airfields under construction with no runway yet usable are included in this category. For the United States, the FAA term 'Inactive' will be incorporated into this category.</t>
  </si>
  <si>
    <t>abandonedClosedNotUsable</t>
  </si>
  <si>
    <t>E - Abandoned or Closed (with usable runways or landing areas)</t>
  </si>
  <si>
    <t>An airfield that has usable runways or landing areas, but which is abandoned or closed on a permanent, indefinite, or temporary basis.</t>
  </si>
  <si>
    <t>For the United States the FAA term 'Closed' will be incorporated into this category.</t>
  </si>
  <si>
    <t>highwayStrip</t>
  </si>
  <si>
    <t>F - Highway Strip</t>
  </si>
  <si>
    <t>A road segment designed, maintained, and used for the take-off and landing of aircraft.</t>
  </si>
  <si>
    <t>Preparations can include barriers to stop vehicle traffic, runway markings on the roadway, lighting and possibly other facilities.</t>
  </si>
  <si>
    <t>unusableLandingOrTakeOff</t>
  </si>
  <si>
    <t>G - Unusable for landing or take-off</t>
  </si>
  <si>
    <t>An airfield (or former airfield) that is visible from the air but is unusable for landing or take-off, regardless of the runway or landing area length or surface, due to the deterioration of the runways and/or landing areas and/or other hazardous conditions.</t>
  </si>
  <si>
    <t>activeMilitaryHeliport</t>
  </si>
  <si>
    <t>H - Active Military Heliport</t>
  </si>
  <si>
    <t>An active military heliport with the same minimum facilities as an 'A' airfield, including former airfields which are now used solely for helicopter operations.</t>
  </si>
  <si>
    <t>activeCivilHeliport</t>
  </si>
  <si>
    <t>J - Active Civil Heliport</t>
  </si>
  <si>
    <t>An active civil heliport with the same minimum facilities as an 'A' airfield, including former airfields which are now used solely for helicopter operations.</t>
  </si>
  <si>
    <t>activeMilHeliLessMinFac</t>
  </si>
  <si>
    <t>K - Active Military Heliport (with less than minimum facilities)</t>
  </si>
  <si>
    <t>An active military heliport with less than the minimum facilities required of an 'A' airfield, including former airfields which are now used solely for helicopter operations.</t>
  </si>
  <si>
    <t>activeCivHeliLessMinFac</t>
  </si>
  <si>
    <t>L - Active Civil Heliport (with less than minimum facilities)</t>
  </si>
  <si>
    <t>Active civil heliport with less than the minimum facilities required of an 'A' airfield, including former airfields which are now used solely for helicopter operations.</t>
  </si>
  <si>
    <t>decoy</t>
  </si>
  <si>
    <t>X - Decoy</t>
  </si>
  <si>
    <t>A decoy airfield or heliport that is not capable of supporting any aircraft operations but is designed to resemble a usable airfield or heliport from the air.</t>
  </si>
  <si>
    <t>major</t>
  </si>
  <si>
    <t>Major</t>
  </si>
  <si>
    <t>Runways are greater than or equal to 910 metres in length and hard-surfaced.</t>
  </si>
  <si>
    <t>minor</t>
  </si>
  <si>
    <t>Minor</t>
  </si>
  <si>
    <t>Runways are either less than 910 metres in length or are soft-surfaced.</t>
  </si>
  <si>
    <t>minorAndHard</t>
  </si>
  <si>
    <t>Minor and Hard</t>
  </si>
  <si>
    <t>Runways are less than 910 metres in length and hard-surfaced.</t>
  </si>
  <si>
    <t>minorSoft</t>
  </si>
  <si>
    <t>Minor and Soft</t>
  </si>
  <si>
    <t>Runways are soft-surfaced.</t>
  </si>
  <si>
    <t>An aerodrome that has been reserved for emergency purposes, such as landing of distressed aircraft, landing of hazardous aircraft, or military operations during time of exercise or conflict.</t>
  </si>
  <si>
    <t>generalAviatAircraftOper</t>
  </si>
  <si>
    <t>General Aviation Aircraft Operating Only</t>
  </si>
  <si>
    <t>An aerodrome that has the necessary equipment for the takeoff, landing, maintenance, and storage needs of general aviation (sometimes referred to as 'light') aircraft.</t>
  </si>
  <si>
    <t>gliderSite</t>
  </si>
  <si>
    <t>Glider Site</t>
  </si>
  <si>
    <t>An aerodrome that has the necessary equipment for the launch, landing, maintenance, and storage of manned gliders.</t>
  </si>
  <si>
    <t>hangGliderSite</t>
  </si>
  <si>
    <t>Hang Glider Site</t>
  </si>
  <si>
    <t>An aerodrome that is specifically designed to accommodate the special takeoff, landing, maintenance, and storage needs of hang glider type aircraft.</t>
  </si>
  <si>
    <t>majorAirfield</t>
  </si>
  <si>
    <t>Major Airfield</t>
  </si>
  <si>
    <t>An aerodrome that has the facilities, equipment, and services to support the operations of large commercial aircraft.</t>
  </si>
  <si>
    <t>minorAirfield</t>
  </si>
  <si>
    <t>Minor Airfield</t>
  </si>
  <si>
    <t>An aerodrome that has the facilities, equipment, and services to support the operations of mid-sized regional type aircraft or general aviation aircraft.</t>
  </si>
  <si>
    <t>parascendingSite</t>
  </si>
  <si>
    <t>Parascending Site</t>
  </si>
  <si>
    <t>An aerodrome that is specifically designed to accommodate the special takeoff, landing, maintenance, and storage needs of parasailing aircraft or individuals engaged in parascending sport.</t>
  </si>
  <si>
    <t>searchRescue</t>
  </si>
  <si>
    <t>Search and Rescue Airfield</t>
  </si>
  <si>
    <t>An airfield that is equipped with search and rescue aircraft and facilities.</t>
  </si>
  <si>
    <t>ultralightSite</t>
  </si>
  <si>
    <t>Ultralight Site</t>
  </si>
  <si>
    <t>An aerodrome specifically designed to accommodate the special takeoff, landing, maintenance, and storage needs of a microlight- or ultralight-class aircraft.</t>
  </si>
  <si>
    <t>winchLaunchHangGliderSite</t>
  </si>
  <si>
    <t>Winch Launched Hang Glider Site</t>
  </si>
  <si>
    <t>An aerodrome that has the necessary equipment for the launch, landing, maintenance, and storage of hang gliders that are launched by a winch.</t>
  </si>
  <si>
    <t>uhfEmergencyFreq243r0</t>
  </si>
  <si>
    <t>UHF Emergency Frequency 243.0</t>
  </si>
  <si>
    <t>The UHF communications frequency that is internationally recognised as being reserved for emergency communications for aircraft in distress.</t>
  </si>
  <si>
    <t>vhfUhfEmergencyFreq</t>
  </si>
  <si>
    <t>VHF and UHF Emergency Frequency</t>
  </si>
  <si>
    <t>A non-standard VHF or UHF communications frequency that is recognised by the appropriate authority as being reserved ffor emergency communications for aircraft in distress.</t>
  </si>
  <si>
    <t>vhfEmergencyFreq121r5</t>
  </si>
  <si>
    <t>VHF Emergency Frequency 121.5</t>
  </si>
  <si>
    <t>The VHF communications frequency that is internationally recognised as being reserved for emergency communications for aircraft in distress.</t>
  </si>
  <si>
    <t>channelSpacingEquip8r33</t>
  </si>
  <si>
    <t>8.33 Channel Spacing Equipment</t>
  </si>
  <si>
    <t>Airspace which is dependent upon every participant having 8.33 VHF voice receivers channel spacing equipment.</t>
  </si>
  <si>
    <t>A type of procedure/service.</t>
  </si>
  <si>
    <t>8.33 Channel Equipment Required</t>
  </si>
  <si>
    <t>accidentInvestigation</t>
  </si>
  <si>
    <t>Accident Investigation</t>
  </si>
  <si>
    <t>Airspace needing a protective status due to an investigation of a flight catastrophe.</t>
  </si>
  <si>
    <t>A type of protection.</t>
  </si>
  <si>
    <t>Accident Investigation Area</t>
  </si>
  <si>
    <t>aerialGunnery</t>
  </si>
  <si>
    <t>Aerial Gunnery</t>
  </si>
  <si>
    <t>The delivery of air to air or air to ground weapons for the destruction of a target.</t>
  </si>
  <si>
    <t>A type of military activity (usually).</t>
  </si>
  <si>
    <t>aerialSporting</t>
  </si>
  <si>
    <t>Aerial Sporting</t>
  </si>
  <si>
    <t>The competition or practice by an individual or a group to achieve the best aerial performance.</t>
  </si>
  <si>
    <t>A type of special air traffic. This could be an air race or aerobatic training or competition.</t>
  </si>
  <si>
    <t>aerialWork</t>
  </si>
  <si>
    <t>Aerial Work</t>
  </si>
  <si>
    <t>Operations in which an aircraft is used for specialized services.</t>
  </si>
  <si>
    <t>A type of special air traffic. For example, services such as: agriculture, construction, photography, surveying, observation and patrol, search and rescue, and aerial advertisement.</t>
  </si>
  <si>
    <t>aerobatics</t>
  </si>
  <si>
    <t>Aerobatics</t>
  </si>
  <si>
    <t>The usage of unusual or artful flying maneuvers for recreation, competition, or entertainment.</t>
  </si>
  <si>
    <t>A type of special air traffic.</t>
  </si>
  <si>
    <t>Acrobatic Flights, Acrobatics</t>
  </si>
  <si>
    <t>aerodromeTraffic</t>
  </si>
  <si>
    <t>Aerodrome Traffic</t>
  </si>
  <si>
    <t>All traffic on the manouevring area of an aerodrome and all aircraft flying in the vicinity of an aerodrome.</t>
  </si>
  <si>
    <t>airCombatOrExercises</t>
  </si>
  <si>
    <t>Air Combat or Exercises</t>
  </si>
  <si>
    <t>Intercepting and destroying of hostile aircraft or conducting similar training activities.</t>
  </si>
  <si>
    <t>airRefuelling</t>
  </si>
  <si>
    <t>Air Refuelling</t>
  </si>
  <si>
    <t>Transfer of fuel between aircraft in the air.</t>
  </si>
  <si>
    <t>Refueling</t>
  </si>
  <si>
    <t>airShow</t>
  </si>
  <si>
    <t>Air Show</t>
  </si>
  <si>
    <t>A show at which aircraft are on view and featuring aerial displays.</t>
  </si>
  <si>
    <t>airTrafficServices</t>
  </si>
  <si>
    <t>Air Traffic Services</t>
  </si>
  <si>
    <t>Custom specific flight information service, alerting service, air traffic advisory service, air traffic control service, area control service, approach control service, or airport control service is provided.</t>
  </si>
  <si>
    <t>A type of procedure/service. This could be a service in the air or on the ground.</t>
  </si>
  <si>
    <t>antiHailRocketFiring</t>
  </si>
  <si>
    <t>Anti-hail Rocket Firing</t>
  </si>
  <si>
    <t>The use of small rockets to protect crops by seeding clouds with small particles that prevent hailstorms from forming.</t>
  </si>
  <si>
    <t>A type of hazard.</t>
  </si>
  <si>
    <t>artilleryFiring</t>
  </si>
  <si>
    <t>Artillery Firing</t>
  </si>
  <si>
    <t>The discharge of a projectile into the air for the destruction of a target.</t>
  </si>
  <si>
    <t>birdHazard</t>
  </si>
  <si>
    <t>Bird Hazard</t>
  </si>
  <si>
    <t>High concentration of birds.</t>
  </si>
  <si>
    <t>birdMigration</t>
  </si>
  <si>
    <t>Bird Migration</t>
  </si>
  <si>
    <t>A high number of bird species as they fly instinctual routes based on breeding or diverse environmental urges.</t>
  </si>
  <si>
    <t>A type of hazard. For example, large scale movements of migrating birds occur during various months in the European-Mediterranean and UK areas. There are also large concentrations of nesting, breeding, and wintering birds, often numbering in the millions, that may create a hazard to air traffic.</t>
  </si>
  <si>
    <t>blastingOperations</t>
  </si>
  <si>
    <t>Blasting Operations</t>
  </si>
  <si>
    <t>Controlled use of explosives to excavate or remove rock.</t>
  </si>
  <si>
    <t>chemicalPlant</t>
  </si>
  <si>
    <t>Chemical Plant</t>
  </si>
  <si>
    <t>A facility utilizing a chemical process for manufacturing.</t>
  </si>
  <si>
    <t>A type of industrial hazard.</t>
  </si>
  <si>
    <t>climbOutJetAircraft</t>
  </si>
  <si>
    <t>Climb-out for Jet Aircraft</t>
  </si>
  <si>
    <t>Climb-out of jet aircraft via predefined and common tracks.</t>
  </si>
  <si>
    <t>Climb-out Sector for Jet Aircraft</t>
  </si>
  <si>
    <t>droppings</t>
  </si>
  <si>
    <t>Droppings</t>
  </si>
  <si>
    <t>The dropping of troops, supplies, and/or bombs, from an aircraft.</t>
  </si>
  <si>
    <t>fireworks</t>
  </si>
  <si>
    <t>Fireworks</t>
  </si>
  <si>
    <t>Launching of pyrotechnic devices.</t>
  </si>
  <si>
    <t>flightGuidedMissiles</t>
  </si>
  <si>
    <t>Flight of Guided Missiles</t>
  </si>
  <si>
    <t>The launch, transit, and targeting of guided missiles.</t>
  </si>
  <si>
    <t>A type of military activity (usually). A guided missile is an unmanned self-propelled vehicle whose trajectory or course, while in flight, is controlled.</t>
  </si>
  <si>
    <t>gasFieldOrGasolineVapor</t>
  </si>
  <si>
    <t>Gas Field or Gasoline Vaporization</t>
  </si>
  <si>
    <t>Pumping natural gas from the ground or converting gasoline into vapour.</t>
  </si>
  <si>
    <t>gliding</t>
  </si>
  <si>
    <t>Gliding</t>
  </si>
  <si>
    <t>Flying a non-power-driven heavier-than-air aircraft.</t>
  </si>
  <si>
    <t>A type of special air traffic. A glider derives its lift in flight chiefly from aerodynamic reactions on surfaces which remain fixed under given conditions of flight.</t>
  </si>
  <si>
    <t>hangGliding</t>
  </si>
  <si>
    <t>Hang-gliding</t>
  </si>
  <si>
    <t>Recreational and competitive flying sport using a small glider from which the operator is suspended in a frame and which is controlled by movements of the body.</t>
  </si>
  <si>
    <t>heavyFireSuppressionWork</t>
  </si>
  <si>
    <t>Heavy Fire Suppression Work</t>
  </si>
  <si>
    <t>Intense fire fighting activity involving chemical agents being laid down from fire fighting aircraft.</t>
  </si>
  <si>
    <t>helicopterGyroTraffic</t>
  </si>
  <si>
    <t>Helicopter/Gyrocopter Traffic</t>
  </si>
  <si>
    <t>Helicopter or gyrocopter operations.</t>
  </si>
  <si>
    <t>highIntensityLights</t>
  </si>
  <si>
    <t>High Intensity Lights</t>
  </si>
  <si>
    <t>Non-navigational lights with high visibility potential.</t>
  </si>
  <si>
    <t>highIntensityRadioTrans</t>
  </si>
  <si>
    <t>High Intensity Radio Transmission (HIRTA)</t>
  </si>
  <si>
    <t>Electromagnetic fields produced by high intensity radio transmission.</t>
  </si>
  <si>
    <t>highlyPopulatedArea</t>
  </si>
  <si>
    <t>Highly Populated Area</t>
  </si>
  <si>
    <t>An area with a high concentration of inhabitants.</t>
  </si>
  <si>
    <t>hotAirBalloons</t>
  </si>
  <si>
    <t>Hot Air Balloons</t>
  </si>
  <si>
    <t>Flight activity involving a bag called the envelope that is capable of containing heated air, with a gondola or basket suspended beneath.</t>
  </si>
  <si>
    <t>laserUsage</t>
  </si>
  <si>
    <t>Laser Usage</t>
  </si>
  <si>
    <t>The emission of photons in a coherent beam by an optical source.</t>
  </si>
  <si>
    <t>A type of hazard. For example: a laser light show. Laser stands for Light Amplification by Stimulated Emission of Radiation.</t>
  </si>
  <si>
    <t>Laser Light Activity</t>
  </si>
  <si>
    <t>militaryOperations</t>
  </si>
  <si>
    <t>Military Operations</t>
  </si>
  <si>
    <t>The execution of operations by the military.</t>
  </si>
  <si>
    <t>naturalReserve</t>
  </si>
  <si>
    <t>Natural Reserve</t>
  </si>
  <si>
    <t>Wildlife, flora, fauna or features of geological or other special interest which is reserved and managed for conservation.</t>
  </si>
  <si>
    <t>A type of protection. This is given a protective status. This could provide special opportunities for study or research. For example: a national park.</t>
  </si>
  <si>
    <t>navalFiringAndOrPractice</t>
  </si>
  <si>
    <t>Naval Firing and/or Practice</t>
  </si>
  <si>
    <t>Naval forces (for example: vessels or aircraft) conduct firing and/or munitions exercises.</t>
  </si>
  <si>
    <t>Ship Exercise</t>
  </si>
  <si>
    <t>noiseAbatement</t>
  </si>
  <si>
    <t>Noise Abatement</t>
  </si>
  <si>
    <t>Airspace in which special procedures or other precautionary measures are established for reducing noise.</t>
  </si>
  <si>
    <t>nuclearEnergyPlant</t>
  </si>
  <si>
    <t>Nuclear Energy Plant</t>
  </si>
  <si>
    <t>An installation which provides power derived from fission or fusion of atomic nuclei.</t>
  </si>
  <si>
    <t>Nuclear Energy Plant/Activity</t>
  </si>
  <si>
    <t>oilField</t>
  </si>
  <si>
    <t>Oil Field</t>
  </si>
  <si>
    <t>An area in which oil occurs in quantities worthy of exploitation.</t>
  </si>
  <si>
    <t>parachuteJumping</t>
  </si>
  <si>
    <t>Parachute Jumping</t>
  </si>
  <si>
    <t>Exiting a flying aircraft by an individual using a parachute.</t>
  </si>
  <si>
    <t>A type of special air traffic. A parachute is a soft fabric device used to slow the motion through the atmosphere by generating drag.</t>
  </si>
  <si>
    <t>paragliding</t>
  </si>
  <si>
    <t>Paragliding</t>
  </si>
  <si>
    <t>Recreational and competitive flying sport using a free-flying, foot launched aircraft.</t>
  </si>
  <si>
    <t>A type of special air traffic. When paragliding, the pilot sits in a harness suspended below a fabric wing, whose shape is formed by the pressure of air entering vents in the front of the wing. It is known in some countries as parapenting.</t>
  </si>
  <si>
    <t>petrochemicalRefinery</t>
  </si>
  <si>
    <t>Petrochemical Refinery</t>
  </si>
  <si>
    <t>A facility where petroleum and/or petroleum products are refined.</t>
  </si>
  <si>
    <t>Oil Refinery</t>
  </si>
  <si>
    <t>president</t>
  </si>
  <si>
    <t>President</t>
  </si>
  <si>
    <t>The presence of an individual with status of head of state.</t>
  </si>
  <si>
    <t>radiosonde</t>
  </si>
  <si>
    <t>Radiosonde</t>
  </si>
  <si>
    <t>The lifting of devices through the atmosphere, which are tied to a helium or hydrogen filled balloon.</t>
  </si>
  <si>
    <t>A type of special air traffic. For example: radio probes and meteorological balloons.</t>
  </si>
  <si>
    <t>Radiosonde, Meteorological Balloon, Ascent of Radio Probe</t>
  </si>
  <si>
    <t>rnavEquipment</t>
  </si>
  <si>
    <t>RNAV Equipment</t>
  </si>
  <si>
    <t>Every aircraft must have Area Navigation (RNAV) equipment.</t>
  </si>
  <si>
    <t>RNAV Equipment Required</t>
  </si>
  <si>
    <t>rvsmEquipment</t>
  </si>
  <si>
    <t>RVSM Equipment</t>
  </si>
  <si>
    <t>Every aircraft must have Reduced Vertical Separation Minimum (RVSM) equipment.</t>
  </si>
  <si>
    <t>RVSM Equipment Required</t>
  </si>
  <si>
    <t>seasonalCropDusting</t>
  </si>
  <si>
    <t>Seasonal Crop Dusting</t>
  </si>
  <si>
    <t>Spraying crops with fertilizers, pesticides, and fungicides from an agricultural aircraft.</t>
  </si>
  <si>
    <t>sensitiveFauna</t>
  </si>
  <si>
    <t>Sensitive Fauna</t>
  </si>
  <si>
    <t>The animals or animal life of a given area, habitat, or epoch which is easily and dangerously aroused by excessive aerial noise such as from an aircraft.</t>
  </si>
  <si>
    <t>A type of protection. For example: mink farms, turkey farms, and zoos.</t>
  </si>
  <si>
    <t>shootingFromGround</t>
  </si>
  <si>
    <t>Shooting from Ground</t>
  </si>
  <si>
    <t>The discharge of a gun or bow to propel arrows, bullets, etc swiftly or violently direct and sharply in specified directions.</t>
  </si>
  <si>
    <t>A type of military activity (usually). For example: a shooting range or hunting area.</t>
  </si>
  <si>
    <t>spaceFlightOperations</t>
  </si>
  <si>
    <t>Space Flight Operations</t>
  </si>
  <si>
    <t>Vertical launch for space flight operations.</t>
  </si>
  <si>
    <t>specialEquipment</t>
  </si>
  <si>
    <t>Special Equipment</t>
  </si>
  <si>
    <t>Operations requiring the aircraft to use special equipment.</t>
  </si>
  <si>
    <t>specialProcedure</t>
  </si>
  <si>
    <t>Special Procedure</t>
  </si>
  <si>
    <t>Special procedures established for use by operational personnel in execution of their flight.</t>
  </si>
  <si>
    <t>A type of procedure/service. An overhead approach is an example of a special procedure.</t>
  </si>
  <si>
    <t>targetTowing</t>
  </si>
  <si>
    <t>Target Towing</t>
  </si>
  <si>
    <t>Drawing or pulling through the air a target for aerial shooting practice.</t>
  </si>
  <si>
    <t>technicalActivity</t>
  </si>
  <si>
    <t>Technical Activity</t>
  </si>
  <si>
    <t>Generic technical activity affecting air traffic.</t>
  </si>
  <si>
    <t>training</t>
  </si>
  <si>
    <t>Training</t>
  </si>
  <si>
    <t>Flights conducted for the purpose of training.</t>
  </si>
  <si>
    <t>ultraLightFlights</t>
  </si>
  <si>
    <t>Ultra Light Flights</t>
  </si>
  <si>
    <t>Operations of lightweight, slow-flying aircraft.</t>
  </si>
  <si>
    <t>underwaterExplosions</t>
  </si>
  <si>
    <t>Underwater Explosions</t>
  </si>
  <si>
    <t>The action or an act of forcing out or emitting something suddenly underwater.</t>
  </si>
  <si>
    <t>A type of hazard. Usually involving violence and noise.</t>
  </si>
  <si>
    <t>unmannedAerialVehicles</t>
  </si>
  <si>
    <t>Unmanned Aerial Vehicles</t>
  </si>
  <si>
    <t>The operation of a powered, aerial vehicle that does not carry a human operator.</t>
  </si>
  <si>
    <t>A type of special air traffic. An Unmanned Aerial Vehicle uses aerodynamic forces to provide vehicle lift, can fly autonomously or be piloted remotely, can be expendable or recoverable, and can carry a lethal or non-lethal payload.</t>
  </si>
  <si>
    <t>Unmanned Aerial Vehicle</t>
  </si>
  <si>
    <t>vipPublicFigure</t>
  </si>
  <si>
    <t>VIP: Public Figure</t>
  </si>
  <si>
    <t>The presence of an individual of renowned status and considered as a very important person.</t>
  </si>
  <si>
    <t>vipVicePresident</t>
  </si>
  <si>
    <t>VIP: Vice President</t>
  </si>
  <si>
    <t>The presence of an individual with status of Vice-Head of State.</t>
  </si>
  <si>
    <t>classA</t>
  </si>
  <si>
    <t>Class A</t>
  </si>
  <si>
    <t>IFR flights only are permitted, all flights are provided with air traffic control service and are separated from each other.</t>
  </si>
  <si>
    <t>classB</t>
  </si>
  <si>
    <t>Class B</t>
  </si>
  <si>
    <t>IFR and VFR flights are permitted, all flights are provided with air traffic control service and are separated from each other.</t>
  </si>
  <si>
    <t>classC</t>
  </si>
  <si>
    <t>Class C</t>
  </si>
  <si>
    <t>IFR and VFR flights are permitted, all flights are provided with air traffic control service and IFR flights are separated from other IFR flights and from VFR flights.</t>
  </si>
  <si>
    <t>VFR flights are separated from IFR flights and receive traffic information in respect of other VFR flights.</t>
  </si>
  <si>
    <t>classD</t>
  </si>
  <si>
    <t>Class D</t>
  </si>
  <si>
    <t>IFR and VFR flights are permitted and all flights are provided with air traffic control service, IFR flights are separated from other IFR flights and receive traffic information in respect of VFR flights, VFR flights receive traffic information in respect of all other flights.</t>
  </si>
  <si>
    <t>classE</t>
  </si>
  <si>
    <t>Class E</t>
  </si>
  <si>
    <t>IFR and VFR flights are permitted, IFR flights are provided with air traffic control service and are separated from other IFR flights.</t>
  </si>
  <si>
    <t>All flights receive traffic information as far as is practical. Class E shall not be used for control zones.</t>
  </si>
  <si>
    <t>classF</t>
  </si>
  <si>
    <t>Class F</t>
  </si>
  <si>
    <t>IFR and VFR flights are permitted, all participating IFR flights receive an air traffic advisory service and all flights receive flight information service if requested.</t>
  </si>
  <si>
    <t>Where air traffic advisory service is implemented, this is considered normally as a temporary measure only until such time as it can be replaced by air traffic control.</t>
  </si>
  <si>
    <t>classG</t>
  </si>
  <si>
    <t>Class G</t>
  </si>
  <si>
    <t>IFR and VFR flights are permitted and receive flight information service if requested.</t>
  </si>
  <si>
    <t>bothCivilMilitaryControl</t>
  </si>
  <si>
    <t>Both Civil and Military Control</t>
  </si>
  <si>
    <t>Both Military and Civilian organizations provide air traffic services within the designated airspace.</t>
  </si>
  <si>
    <t>civilControl</t>
  </si>
  <si>
    <t>Civil Control</t>
  </si>
  <si>
    <t>A Civilian organization provides air traffic services within the designated airspace.</t>
  </si>
  <si>
    <t>militaryControl</t>
  </si>
  <si>
    <t>Military Control</t>
  </si>
  <si>
    <t>The Military provides air traffic services within the designated airspace.</t>
  </si>
  <si>
    <t>advisoryArea</t>
  </si>
  <si>
    <t>Advisory Area</t>
  </si>
  <si>
    <t>An area of defined dimensions within which air traffic advisory service is available.</t>
  </si>
  <si>
    <t>Air traffic control service provides a much more complete service than air traffic advisory service; advisory areas and routes are therefore not established within controlled airspace, but air traffic advisory service may be provided below and above. Recognized by ICAO.</t>
  </si>
  <si>
    <t>aerodromeTrafficZone</t>
  </si>
  <si>
    <t>Aerodrome Traffic Zone</t>
  </si>
  <si>
    <t>An airspace of defined dimensions established around an aerodrome for the protection of aerodrome traffic.</t>
  </si>
  <si>
    <t>Recognized by ICAO.</t>
  </si>
  <si>
    <t>airDefenseIdentZone</t>
  </si>
  <si>
    <t>Air Defense Identification Zone</t>
  </si>
  <si>
    <t>Special designated airspace of defined dimensions within which aircraft are required to comply with special identification and/or reporting procedures additional to those related to the provision of air traffic services (ATS).</t>
  </si>
  <si>
    <t>airway</t>
  </si>
  <si>
    <t>Airway</t>
  </si>
  <si>
    <t>A control area or portion thereof established in the form of a corridor.</t>
  </si>
  <si>
    <t>NATO specifies that is must be marked with Radio Navigational Aids. Recognized by ICAO.</t>
  </si>
  <si>
    <t>alertArea</t>
  </si>
  <si>
    <t>Alert Area</t>
  </si>
  <si>
    <t>Airspace which may contain a high volume of pilot training activities or unusual type of aerial activity, neither of which is hazardous to aircraft.</t>
  </si>
  <si>
    <t>Mainly used in contiguous United States and its territories. Not recognized by ICAO.</t>
  </si>
  <si>
    <t>altimeterSettingRegion</t>
  </si>
  <si>
    <t>Altimeter Setting Region</t>
  </si>
  <si>
    <t>An airspace of defined dimensions within which standardized altimeter setting procedures apply.</t>
  </si>
  <si>
    <t>For example: during flight the altimeter shall be set to the current altimeter setting of the nearest station along the route of flight. Not recognized by ICAO.</t>
  </si>
  <si>
    <t>amcManageableDangerArea</t>
  </si>
  <si>
    <t>AMC Manageable Danger Area</t>
  </si>
  <si>
    <t>A danger area which is managed and allocated the day before operations of the Temporary Segregated Area.</t>
  </si>
  <si>
    <t>Mainly used in Europe under the Flexible Use of Airspace (FUA) concept. Not recognized by ICAO.</t>
  </si>
  <si>
    <t>amcManageableRestrictArea</t>
  </si>
  <si>
    <t>AMC Manageable Restricted Area</t>
  </si>
  <si>
    <t>A restricted area which is managed and allocated the day before operations of the Temporary Segregated Area.</t>
  </si>
  <si>
    <t>Area Minimum Altitude</t>
  </si>
  <si>
    <t>The lowest altitude to be used under instrument meteorological conditions (IMC) which will provide a minimum vertical clearance of 300 metres (1000 feet) or in designated mountainous terrain 600 metres (2000 feet) above all obstacles located in the area specified.</t>
  </si>
  <si>
    <t>Published by many States as rectangles of 1 x 1 degree on the ENR 6 charts. Note that in the exact calculation 984 feet can be used as an equivalent to 300 metres. Recognized by ICAO.</t>
  </si>
  <si>
    <t>controlArea</t>
  </si>
  <si>
    <t>Control Area</t>
  </si>
  <si>
    <t>A controlled airspace extending upwards from a specified limit above the earth.</t>
  </si>
  <si>
    <t>controlSector</t>
  </si>
  <si>
    <t>Control Sector</t>
  </si>
  <si>
    <t>A subdivision of a designated control area within which responsibility is assigned to one controller or to a small group of controllers.</t>
  </si>
  <si>
    <t>controlZone</t>
  </si>
  <si>
    <t>Control Zone</t>
  </si>
  <si>
    <t>A controlled airspace extending upwards from the surface of the earth to a specified upper limit.</t>
  </si>
  <si>
    <t>crossBorderArea</t>
  </si>
  <si>
    <t>Cross Border Area</t>
  </si>
  <si>
    <t>An airspace of defined dimensions, above the land areas or territorial waters of more than one state.</t>
  </si>
  <si>
    <t>dangerArea</t>
  </si>
  <si>
    <t>Danger Area</t>
  </si>
  <si>
    <t>An airspace of defined dimensions within which activities dangerous to the flight of aircraft may exist at specified times.</t>
  </si>
  <si>
    <t>flightInformationRegion</t>
  </si>
  <si>
    <t>Flight Information Region</t>
  </si>
  <si>
    <t>An airspace of defined dimensions within which flight information service and alerting service are provided.</t>
  </si>
  <si>
    <t>Might, for example, be used if service provided by more than one unit. Recognized by ICAO.</t>
  </si>
  <si>
    <t>frenchPeripheralZone</t>
  </si>
  <si>
    <t>French Peripheral Zone</t>
  </si>
  <si>
    <t>A classification boundary before crossing which all French or foreign aircraft entering French airspace must be identified, for which purpose they must establish radio contact with the appropriate traffic coordination and control centre.</t>
  </si>
  <si>
    <t>Crossing the peripheral classification line should be carried out at a minimum flight altitude of 1500 feet. Specific to French airspace. Not recognized by ICAO.</t>
  </si>
  <si>
    <t>germanDeconflictionLine</t>
  </si>
  <si>
    <t>German Deconfliction Line</t>
  </si>
  <si>
    <t>Flights with the intention to land, exercises and flights carrying dangerous goods on board of military aircraft of foreign armed forces east of the deconfliction line are subject to authorization by Federal Ministry.</t>
  </si>
  <si>
    <t>Specific to German Airspace. Not recognized by ICAO.</t>
  </si>
  <si>
    <t>germanLowFlyAreas250Feet</t>
  </si>
  <si>
    <t>German Low Flying Areas (250 feet)</t>
  </si>
  <si>
    <t>The Low Flying Areas are special training areas used for air-to-ground attack exercises.</t>
  </si>
  <si>
    <t>germanNightLowFlyingSys</t>
  </si>
  <si>
    <t>German Night Low Flying System</t>
  </si>
  <si>
    <t>The night low flying system is situated exclusively in Class E controlled airspace with a lower limit of 1000 feet GND and a width of 5 nautical miles for all routes within the Federal Republic of Germany.</t>
  </si>
  <si>
    <t>It is used by jet combat aircraft, transport and liaison aircraft for night low level (terrain following) flights. Specific to German Airspace. Not recognized by ICAO.</t>
  </si>
  <si>
    <t>lowerTrafficArea</t>
  </si>
  <si>
    <t>Lower Traffic Area</t>
  </si>
  <si>
    <t>Control area established inside a flight information region, consisting of a fixed lower boundary and the lower boundary of the upper control region.</t>
  </si>
  <si>
    <t>For example: Flight information regions for Brest, Bordeaux, Marseille, Paris, and Reims above the highest of either FL115 or 3000 Feet AGL (900 metres), with some exceptions. Specific to French AIP. Not recognized by ICAO.</t>
  </si>
  <si>
    <t>milAerodromeTrafficZone</t>
  </si>
  <si>
    <t>Military Aerodrome Traffic Zone</t>
  </si>
  <si>
    <t>An airspace of defined dimensions established around an military aerodrome for the protection of aerodrome traffic.</t>
  </si>
  <si>
    <t>Not recognized by ICAO.</t>
  </si>
  <si>
    <t>militaryOperationsArea</t>
  </si>
  <si>
    <t>Military Operations Area (MOA)</t>
  </si>
  <si>
    <t>Airspace of defined vertical and lateral limits established for the purpose of separating certain military training operations from civilian air traffic.</t>
  </si>
  <si>
    <t>Whenever a Military Operations Area (MOA) is being used, non-participating Instrument Flight Rules (IFR) traffic may be cleared through a MOA if IFR separation can be provided by Air Traffic Control (ATC).</t>
  </si>
  <si>
    <t>milTerminalControlArea</t>
  </si>
  <si>
    <t>Military Terminal Control Area</t>
  </si>
  <si>
    <t>A control area normally established at the confluence of ATS routes in the vicinity of one or more major military aerodromes.</t>
  </si>
  <si>
    <t>noFlyArea</t>
  </si>
  <si>
    <t>No-fly Area</t>
  </si>
  <si>
    <t>An airspace with defined dimensions in which flight of any type of aircraft is prohibited.</t>
  </si>
  <si>
    <t>No-fly areas are usually set up in a military context, somewhat like a demilitarized zone in the sky, and usually prohibit military aircraft of a belligerent nation from operating in the region.</t>
  </si>
  <si>
    <t>oceanicControlArea</t>
  </si>
  <si>
    <t>Oceanic Control Area</t>
  </si>
  <si>
    <t>A Control Area extending upwards in the upper airspace.</t>
  </si>
  <si>
    <t>prohibitedArea</t>
  </si>
  <si>
    <t>Prohibited Area</t>
  </si>
  <si>
    <t>An airspace of defined dimensions, above the land areas or territorial waters of a State, within which the flight of aircraft is prohibited.</t>
  </si>
  <si>
    <t>reducedCoOrdinationArea</t>
  </si>
  <si>
    <t>Reduced Co-ordination Area</t>
  </si>
  <si>
    <t>An Airspace of defined dimensions within which GAT is permitted to fly 'off-route' without requiring GAT controllers to initiate co-ordination with OAT controllers.</t>
  </si>
  <si>
    <t>restrictedArea</t>
  </si>
  <si>
    <t>Restricted Area</t>
  </si>
  <si>
    <t>An airspace of defined dimensions, above the land areas or territorial waters of a State, within which the flight of aircraft is restricted in accordance with certain specified conditions.</t>
  </si>
  <si>
    <t>Also an area in which there are special restrictive measures employed to prevent or minimize interference between friendly forces, or which is under military jurisdiction in which special security measures are employed to prevent unauthorized entry. Recognized by ICAO.</t>
  </si>
  <si>
    <t>specialRulesZone</t>
  </si>
  <si>
    <t>Special Rules Zone</t>
  </si>
  <si>
    <t>In order to protect certain kinds of air traffic or special air activities, specified areas may be designated as a special rules zone with further regulations.</t>
  </si>
  <si>
    <t>The execution of a flight within an SRZ with non-participating aircraft is prohibited during activities. Specific to German Airspace. Not recognized by ICAO.</t>
  </si>
  <si>
    <t>standardPressureRegion</t>
  </si>
  <si>
    <t>Standard Pressure Region</t>
  </si>
  <si>
    <t>An airspace of defined dimensions within which the standard pressure altimeter setting applies.</t>
  </si>
  <si>
    <t>Standard Pressure setting is 29.92 inches Hg or 1013.2 hectoPascals (hPa). Not recognized by ICAO.</t>
  </si>
  <si>
    <t>temporaryReservedArea</t>
  </si>
  <si>
    <t>Temporary Reserved Area</t>
  </si>
  <si>
    <t>An airspace of pre-defined dimensions within which activities require the reservation of airspace during a predetermined period of time.</t>
  </si>
  <si>
    <t>Specific to the Flexible Use of Airspace concept in Europe. Not recognized by ICAO.</t>
  </si>
  <si>
    <t>temporarySegregatedArea</t>
  </si>
  <si>
    <t>Temporary Segregated Area</t>
  </si>
  <si>
    <t>An airspace of pre-defined dimensions within which activities require the reservation of airspace for the exclusive use of specific users during a predetermined period of time.</t>
  </si>
  <si>
    <t>Mainly used in Europe under the Flexible Use of Airspace concept. Not recognized by ICAO.</t>
  </si>
  <si>
    <t>terminalControlArea</t>
  </si>
  <si>
    <t>Terminal Control Area</t>
  </si>
  <si>
    <t>A control area normally established at the confluence of ATS routes in the vicinity of one or more major aerodromes.</t>
  </si>
  <si>
    <t>upperAdvisoryArea</t>
  </si>
  <si>
    <t>Upper Advisory Area</t>
  </si>
  <si>
    <t>An area of defined dimensions in upper airspace within which air traffic advisory service is available.</t>
  </si>
  <si>
    <t>upperControlArea</t>
  </si>
  <si>
    <t>Upper Control Area</t>
  </si>
  <si>
    <t>upperFlightInfoRegion</t>
  </si>
  <si>
    <t>Upper Flight Information Region</t>
  </si>
  <si>
    <t>An upper airspace of defined dimensions within which flight information service and alerting service are provided.</t>
  </si>
  <si>
    <t>Each state determines the definition for upper airspace. Not recognized by ICAO.</t>
  </si>
  <si>
    <t>warningArea</t>
  </si>
  <si>
    <t>Warning Area</t>
  </si>
  <si>
    <t>A non-regulatory airspace of defined dimensions designated over international waters that contains activity which may be hazardous to aircraft not participating in the activity.</t>
  </si>
  <si>
    <t>helicopterPropeller</t>
  </si>
  <si>
    <t>Helicopter and Propeller</t>
  </si>
  <si>
    <t>Both propeller aircraft and helicopter aircraft are allowed to operate on the route segment.</t>
  </si>
  <si>
    <t>helicopterPerformanceClass</t>
  </si>
  <si>
    <t>Only helicopter aircraft are allowed to operate on the route segment.</t>
  </si>
  <si>
    <t>jet</t>
  </si>
  <si>
    <t>Jet</t>
  </si>
  <si>
    <t>Only jet aircraft are allowed to operate on the route segment.</t>
  </si>
  <si>
    <t>jetPropeller</t>
  </si>
  <si>
    <t>Jet and Propeller</t>
  </si>
  <si>
    <t>Both jet aircraft and propeller aircraft are allowed to operate on the route segment.</t>
  </si>
  <si>
    <t>jetPropellerHelicopter</t>
  </si>
  <si>
    <t>Jet, Propeller and Helicopter</t>
  </si>
  <si>
    <t>Jet aircraft, propeller aircraft as well as helicopter aircraft are allowed to operate on the route segment.</t>
  </si>
  <si>
    <t>propeller</t>
  </si>
  <si>
    <t>Propeller</t>
  </si>
  <si>
    <t>Only propeller aircraft are allowed to operate on the route segment.</t>
  </si>
  <si>
    <t>asAssigned</t>
  </si>
  <si>
    <t>As Assigned</t>
  </si>
  <si>
    <t>Aircraft shall be flown at an altitude/flight level determined by Air Traffic Control.</t>
  </si>
  <si>
    <t>atOrAbove</t>
  </si>
  <si>
    <t>At or Above</t>
  </si>
  <si>
    <t>Aircraft shall be flown at the specified altitude/flight level or higher.</t>
  </si>
  <si>
    <t>atOrBelow</t>
  </si>
  <si>
    <t>At or Below</t>
  </si>
  <si>
    <t>Aircraft shall be flown at the specified altitude/flight level or lower.</t>
  </si>
  <si>
    <t>between</t>
  </si>
  <si>
    <t>Between</t>
  </si>
  <si>
    <t>Aircraft shall be flown between the lower and the upper specified altitudes/flight levels.</t>
  </si>
  <si>
    <t>Altitude Window</t>
  </si>
  <si>
    <t>expected</t>
  </si>
  <si>
    <t>Expected</t>
  </si>
  <si>
    <t>Aircraft should be flown at the specified altitude/flight level, unless otherwise instructed by air traffic control.</t>
  </si>
  <si>
    <t>mandatory</t>
  </si>
  <si>
    <t>Mandatory</t>
  </si>
  <si>
    <t>Aircraft must be flown only at the specified altitude/flight level.</t>
  </si>
  <si>
    <t>recommended</t>
  </si>
  <si>
    <t>Recommended</t>
  </si>
  <si>
    <t>Aircraft should be flown at the specified altitude/flight level.</t>
  </si>
  <si>
    <t>artificialMountain</t>
  </si>
  <si>
    <t>Artificial Mountain</t>
  </si>
  <si>
    <t>Having the general form of a mountain (for example: conical and peaked, but smaller) and occupied by amusement attractions.</t>
  </si>
  <si>
    <t>ferrisWheel</t>
  </si>
  <si>
    <t>Ferris Wheel</t>
  </si>
  <si>
    <t>A giant, vertical revolving wheel with passenger cars on its periphery.</t>
  </si>
  <si>
    <t>rollerCoaster</t>
  </si>
  <si>
    <t>Roller-coaster</t>
  </si>
  <si>
    <t>A switchback railway that goes up and down and/or changes direction repeatedly and/or suddenly.</t>
  </si>
  <si>
    <t>spherical</t>
  </si>
  <si>
    <t>Spherical</t>
  </si>
  <si>
    <t>Having the form of a sphere and occupied by amusement attractions.</t>
  </si>
  <si>
    <t>For example, Epcot Center.</t>
  </si>
  <si>
    <t>verticalRide</t>
  </si>
  <si>
    <t>Vertical Ride</t>
  </si>
  <si>
    <t>Amusement rides with passenger cars or apparatus that travel up, down, around or between one or more tall fixed vertical structures.</t>
  </si>
  <si>
    <t>For example, drop towers, pendulum rides, bungee jump and reverse bungee rides.</t>
  </si>
  <si>
    <t>waterAttraction</t>
  </si>
  <si>
    <t>Water Attraction</t>
  </si>
  <si>
    <t>An amusement ride or activity normally located in an amusement park or water park that involves water as an essential part of the amusement.</t>
  </si>
  <si>
    <t>For example, water slides, splash pads, spraygrounds (water playgrounds), lazy rivers, or other recreational bathing environments. Parks in more current states of development may also be equipped with some type of artificial surfing or bodyboarding environment such as a wave pool or a FlowRider(R).</t>
  </si>
  <si>
    <t>anchorageBerth</t>
  </si>
  <si>
    <t>Anchorage Berth</t>
  </si>
  <si>
    <t>A designated area of water where a single vessel may anchor.</t>
  </si>
  <si>
    <t>In general the anchorage berth is defined by the centre point and a swinging circle.</t>
  </si>
  <si>
    <t>anchorageUpTo24Hours</t>
  </si>
  <si>
    <t>Anchorage for up to 24 hours</t>
  </si>
  <si>
    <t>An area in which vessels anchor or may anchor for periods of up to 24 hours.</t>
  </si>
  <si>
    <t>deepWaterAnchorage</t>
  </si>
  <si>
    <t>Deep Water Anchorage</t>
  </si>
  <si>
    <t>An area in which vessels of deep draught anchor or may anchor.</t>
  </si>
  <si>
    <t>Deep Draft Anchorage</t>
  </si>
  <si>
    <t>explosivesAnchorage</t>
  </si>
  <si>
    <t>Explosives Anchorage</t>
  </si>
  <si>
    <t>An area set apart for anchored ships discharging or receiving explosives.</t>
  </si>
  <si>
    <t>navalReserveAnchorage</t>
  </si>
  <si>
    <t>Naval Reserve Anchorage</t>
  </si>
  <si>
    <t>An anchorage for a reserve fleet.</t>
  </si>
  <si>
    <t>A reserve fleet is a collection of naval vessels that are fully equipped for fighting but are not currently needed. They may be modified, for instance by having rust prone areas sealed off or wrapped in plastic. Ships of the reserve fleet are usually moored in backwater areas near naval bases or shipyards, to speed the reactivation process.</t>
  </si>
  <si>
    <t>quarantineAnchorage</t>
  </si>
  <si>
    <t>Quarantine Anchorage</t>
  </si>
  <si>
    <t>An area where a vessel anchors when satisfying quarantine regulations.</t>
  </si>
  <si>
    <t>reservedAnchorage</t>
  </si>
  <si>
    <t>Reserved Anchorage</t>
  </si>
  <si>
    <t>A specified area designated by an appropriate authority within which vessels anchor or may anchor in accordance with certain specified conditions.</t>
  </si>
  <si>
    <t>seaplaneAnchorage</t>
  </si>
  <si>
    <t>Seaplane Anchorage</t>
  </si>
  <si>
    <t>An area in which seaplanes anchor or may anchor.</t>
  </si>
  <si>
    <t>smallCraftAnchorage</t>
  </si>
  <si>
    <t>Small Craft Anchorage</t>
  </si>
  <si>
    <t>An area in which yachts and/or small boats anchor or may anchor.</t>
  </si>
  <si>
    <t>Marina</t>
  </si>
  <si>
    <t>smallCraftMooringArea</t>
  </si>
  <si>
    <t>Small Craft Mooring Area</t>
  </si>
  <si>
    <t>An area in which yachts and small boats moor.</t>
  </si>
  <si>
    <t>tankerAnchorage</t>
  </si>
  <si>
    <t>Tanker Anchorage</t>
  </si>
  <si>
    <t>An area in which tankers anchor or may anchor.</t>
  </si>
  <si>
    <t>timeLimited</t>
  </si>
  <si>
    <t>Time Limited</t>
  </si>
  <si>
    <t>An area in which vessels may anchor for a period of time not to exceed a specific limit.</t>
  </si>
  <si>
    <t>Restricted in duration or to a specific period of time.</t>
  </si>
  <si>
    <t>unrestrictedAnchorage</t>
  </si>
  <si>
    <t>Unrestricted Anchorage</t>
  </si>
  <si>
    <t>An area in which vessels anchor or may anchor without restriction.</t>
  </si>
  <si>
    <t>nonPrecision</t>
  </si>
  <si>
    <t>Non-precision</t>
  </si>
  <si>
    <t>The runway has the minimum markings required to support non-precision Instrument Flight Rules (IFR) operations.</t>
  </si>
  <si>
    <t>These minimum requirements are the Runway Designation, Centerline, Threshold, and Aiming Point markings.</t>
  </si>
  <si>
    <t>precision</t>
  </si>
  <si>
    <t>Precision</t>
  </si>
  <si>
    <t>The runway has the minimum markings required to support precision Instrument Flight Rules (IFR) operations.</t>
  </si>
  <si>
    <t>These minimum requirements are the Runway Designation, Centerline, Threshold, Aiming Point, and Touchdown Zone markings.</t>
  </si>
  <si>
    <t>visual</t>
  </si>
  <si>
    <t>Visual</t>
  </si>
  <si>
    <t>The runway has the minimum markings required to support Visual Flight Rules (VFR) operations.</t>
  </si>
  <si>
    <t>These minimum requirements are the Runway Designation and Centerline markings.</t>
  </si>
  <si>
    <t>converging</t>
  </si>
  <si>
    <t>CONVERGING</t>
  </si>
  <si>
    <t>A prefix indicating a procedure with parallel or joining ILS courses operating simultaneously.</t>
  </si>
  <si>
    <t>copter</t>
  </si>
  <si>
    <t>COPTER</t>
  </si>
  <si>
    <t>A prefix indicating a procedure specifically designed for helicopters.</t>
  </si>
  <si>
    <t>hi</t>
  </si>
  <si>
    <t>HI</t>
  </si>
  <si>
    <t>A prefix indicating an approach procedure with a high altitude initial segment such as a high altitude teardrop penetration.</t>
  </si>
  <si>
    <t>Usually requested by Military. Normally C, D and E Minimums only.</t>
  </si>
  <si>
    <t>airRouteSurveillanceRadar</t>
  </si>
  <si>
    <t>Air Route Surveillance Radar (ARSR)</t>
  </si>
  <si>
    <t>The Instrument Approach Procedure (IAP) depends on the use of Air Route Surveillance Radar (ARSR).</t>
  </si>
  <si>
    <t>airborneRadarApproach</t>
  </si>
  <si>
    <t>Airborne Radar Approach (ARA)</t>
  </si>
  <si>
    <t>The Instrument Approach Procedure (IAP) depends on the use of (precision, on-board) Airborne Radar Approach (ARA) equipment.</t>
  </si>
  <si>
    <t>airportSurveillanceRadar</t>
  </si>
  <si>
    <t>Airport Surveillance Radar (ASR)</t>
  </si>
  <si>
    <t>The Instrument Approach Procedure (IAP) depends on the use of Airport Surveillance Radar (ASR).</t>
  </si>
  <si>
    <t>areaNavigation</t>
  </si>
  <si>
    <t>Area Navigation (RNAV)</t>
  </si>
  <si>
    <t>The Instrument Approach Procedure (IAP) depends on the use of Area Navigation (RNAV) equipment.</t>
  </si>
  <si>
    <t>rnavToInstLandingSys</t>
  </si>
  <si>
    <t>Area Navigation (RNAV) to Instrument Landing System (ILS)</t>
  </si>
  <si>
    <t>The Instrument Approach Procedure (IAP) depends on the use of Area Navigation (RNAV) equipment followed by Instrument Landing System (ILS) equipment.</t>
  </si>
  <si>
    <t>distanceMeasuringEquipment</t>
  </si>
  <si>
    <t>The Instrument Approach Procedure (IAP) depends on the use of Distance Measuring Equipment (DME).</t>
  </si>
  <si>
    <t>dmeWithDistMeasuringEquip</t>
  </si>
  <si>
    <t>Distance Measuring Equipment (DME) with Distance Measuring Equipment (DME)</t>
  </si>
  <si>
    <t>The Instrument Approach Procedure (IAP) depends on the use of Distance Measuring Equipment (DME) with Distance Measuring Equipment (DME) located at an additional location.</t>
  </si>
  <si>
    <t>globalNavSatelliteSystem</t>
  </si>
  <si>
    <t>The Instrument Approach Procedure (IAP) depends on the use of Global Navigation Satellite System (GNSS) receiver equipment.</t>
  </si>
  <si>
    <t>globalPositioningSystem</t>
  </si>
  <si>
    <t>Global Positioning System (GPS)</t>
  </si>
  <si>
    <t>The Instrument Approach Procedure (IAP) depends on the use of Global Positioning System (GPS) receiver equipment.</t>
  </si>
  <si>
    <t>instrumentGuidanceSystem</t>
  </si>
  <si>
    <t>Instrument Guidance System (IGS)</t>
  </si>
  <si>
    <t>The Instrument Approach Procedure (IAP) depends on the use of Instrument Guidance System (IGS) equipment.</t>
  </si>
  <si>
    <t>instrumentLandingSystem</t>
  </si>
  <si>
    <t>The Instrument Approach Procedure (IAP) depends on the use of Instrument Landing System (ILS) equipment.</t>
  </si>
  <si>
    <t>ilsUsingPrecRunwayMonitor</t>
  </si>
  <si>
    <t>Instrument Landing System (ILS) using a Precision Runway Monitor (PRM)</t>
  </si>
  <si>
    <t>The Instrument Approach Procedure (IAP) depends on the use of an Instrument Landing System (ILS) using a Precision Runway Monitor (PRM).</t>
  </si>
  <si>
    <t>ilsWithDistMeasuringEquip</t>
  </si>
  <si>
    <t>Instrument Landing System (ILS) with Distance Measuring Equipment (DME)</t>
  </si>
  <si>
    <t>The Instrument Approach Procedure (IAP) depends on the use of an Instrument Landing System (ILS) with Distance Measuring Equipment (DME).</t>
  </si>
  <si>
    <t>localizer</t>
  </si>
  <si>
    <t>Localizer</t>
  </si>
  <si>
    <t>The Instrument Approach Procedure (IAP) depends on the use of Localizer equipment.</t>
  </si>
  <si>
    <t>localizerBackCourse</t>
  </si>
  <si>
    <t>Localizer Back Course</t>
  </si>
  <si>
    <t>The Instrument Approach Procedure (IAP) depends on the use of Localizer Back Course equipment.</t>
  </si>
  <si>
    <t>localizerWithDme</t>
  </si>
  <si>
    <t>Localizer with Distance Measuring Equipment (DME)</t>
  </si>
  <si>
    <t>The Instrument Approach Procedure (IAP) depends on the use of a Localizer with Distance Measuring Equipment (DME).</t>
  </si>
  <si>
    <t>localizerWithDmeBackCourse</t>
  </si>
  <si>
    <t>Localizer with Distance Measuring Equipment (DME) Back Course</t>
  </si>
  <si>
    <t>The Instrument Approach Procedure (IAP) depends on the use of a Localizer Back Course with Distance Measuring Equipment (DME).</t>
  </si>
  <si>
    <t>localizerTypeDirectionAid</t>
  </si>
  <si>
    <t>The Instrument Approach Procedure (IAP) depends on the use of Localizer Type Directional Aid (LDA) equipment.</t>
  </si>
  <si>
    <t>ldaWithDistMeasuringEquip</t>
  </si>
  <si>
    <t>Localizer-type Directional Aid (LDA) with Distance Measuring Equipment (DME)</t>
  </si>
  <si>
    <t>The Instrument Approach Procedure (IAP) depends on the use of a Localizer Type Directional Aid (LDA) with Distance Measuring Equipment (DME).</t>
  </si>
  <si>
    <t>microwaveLandingSystem</t>
  </si>
  <si>
    <t>The Instrument Approach Procedure (IAP) depends on the use of Microwave Landing System (MLS) equipment.</t>
  </si>
  <si>
    <t>mlsWithDistMeasuringEquip</t>
  </si>
  <si>
    <t>Microwave Landing System (MLS) with Distance Measuring Equipment (DME)</t>
  </si>
  <si>
    <t>The Instrument Approach Procedure (IAP) depends on the use of a Microwave Landing System (MLS) with Distance Measuring Equipment (DME).</t>
  </si>
  <si>
    <t>nonDirectionalBeacon</t>
  </si>
  <si>
    <t>Non-Directional Beacon (NDB)</t>
  </si>
  <si>
    <t>The Instrument Approach Procedure (IAP) depends on the use of Non-Directional Beacon (NDB) equipment.</t>
  </si>
  <si>
    <t>ndbWithDistMeasuringEquip</t>
  </si>
  <si>
    <t>Non-Directional Beacon (NDB) with Distance Measuring Equipment (DME)</t>
  </si>
  <si>
    <t>The Instrument Approach Procedure (IAP) depends on the use of a Non-Directional Beacon (NDB) with Distance Measuring Equipment (DME).</t>
  </si>
  <si>
    <t>precisionApproachRadar</t>
  </si>
  <si>
    <t>The Instrument Approach Procedure (IAP) depends on the use of Precision Approach Radar (PAR).</t>
  </si>
  <si>
    <t>requiredNavPerformance</t>
  </si>
  <si>
    <t>Required Navigation Performance (RNP)</t>
  </si>
  <si>
    <t>The Instrument Approach Procedure (IAP) depends on the use of Required Navigation Performance (RNP) capabilities.</t>
  </si>
  <si>
    <t>The Instrument Approach Procedure (IAP) depends on the use of Satellite Based Augmentation System (SBAS) equipment.</t>
  </si>
  <si>
    <t>simplifiedDirectionalFac</t>
  </si>
  <si>
    <t>The Instrument Approach Procedure (IAP) depends on the use of Simplified Directional Facility (SDF) equipment.</t>
  </si>
  <si>
    <t>specAircraftCrewApproval</t>
  </si>
  <si>
    <t>Special Aircraft and Aircrew Approval Required (SAAAR)</t>
  </si>
  <si>
    <t>The Instrument Approach Procedure (IAP) depends on the use of Required Navigation Performance (RNP) Special Aircraft and Aircrew Approval Required (SAAAR) capabilities.</t>
  </si>
  <si>
    <t>transponderLandingSystem</t>
  </si>
  <si>
    <t>Transponder Landing System (TLS)</t>
  </si>
  <si>
    <t>The Instrument Approach Procedure (IAP) depends on the use of Transponder Landing System (TLS) equipment.</t>
  </si>
  <si>
    <t>uhfTacticalAirNavBeacon</t>
  </si>
  <si>
    <t>UHF Tactical Air Navigation (TACAN) Beacon</t>
  </si>
  <si>
    <t>The Instrument Approach Procedure (IAP) depends on the use of UHF Tactical Air Navigation (TACAN) Beacon equipment.</t>
  </si>
  <si>
    <t>vhfOmnidirectionalRadio</t>
  </si>
  <si>
    <t>VHF Omnidirectional Radio (VOR)</t>
  </si>
  <si>
    <t>The Instrument Approach Procedure (IAP) depends on the use of VHF Omnidirectional Radio (VOR) equipment.</t>
  </si>
  <si>
    <t>vorWithDistMeasuringEquip</t>
  </si>
  <si>
    <t>VHF Omnidirectional Radio (VOR) with Distance Measuring Equipment (DME)</t>
  </si>
  <si>
    <t>The Instrument Approach Procedure (IAP) depends on the use of a VHF Omnidirectional Radio (VOR) with Distance Measuring Equipment (DME).</t>
  </si>
  <si>
    <t>vorWithTacanBeacon</t>
  </si>
  <si>
    <t>VHF Omnidirectional Radio (VOR) with UHF Tactical Air Navigation (TACAN) Beacon</t>
  </si>
  <si>
    <t>The Instrument Approach Procedure (IAP) depends on the use of a VHF Omnidirectional Radio (VOR) with UHF Tactical Air Navigation (TACAN) Beacon equipment.</t>
  </si>
  <si>
    <t>The Instrument Approach Procedure (IAP) depends on the use of Visual procedures.</t>
  </si>
  <si>
    <t>cargo</t>
  </si>
  <si>
    <t>Cargo</t>
  </si>
  <si>
    <t>An area designed for aircraft maneuvering and parking that is adjacent or readily accessible to cargo facilities.</t>
  </si>
  <si>
    <t>dispersal</t>
  </si>
  <si>
    <t>Dispersal</t>
  </si>
  <si>
    <t>An area for a single military aircraft designed to isolate the damage suffered by one aircraft from spreading to the others during an attack.</t>
  </si>
  <si>
    <t>Usually found in a group but separated from others by distance and often revetted. They are found arrayed along a loop taxiway that is connected to the runway(s).</t>
  </si>
  <si>
    <t>generalAviation</t>
  </si>
  <si>
    <t>General Aviation</t>
  </si>
  <si>
    <t>An area designed for aircraft maneuvering and parking that is adjacent or readily accessible to facilities that support corporate or personal flying operations.</t>
  </si>
  <si>
    <t>holding</t>
  </si>
  <si>
    <t>Holding</t>
  </si>
  <si>
    <t>A defined area where aircraft can be held, or bypassed, to facilitate efficient surface movement of aircraft.</t>
  </si>
  <si>
    <t>An area designed for aircraft maneuvering and parking that is adjacent or readily accessible to facilities that support military operations.</t>
  </si>
  <si>
    <t>passenger</t>
  </si>
  <si>
    <t>Passenger</t>
  </si>
  <si>
    <t>An area designed for aircraft maneuvering and parking that is adjacent or readily accessible to passenger terminal facilities.</t>
  </si>
  <si>
    <t>remoteParking</t>
  </si>
  <si>
    <t>Remote Parking</t>
  </si>
  <si>
    <t>An area removed from the passenger or cargo terminal where aircraft may park as to not disturb normal aerodrome operations.</t>
  </si>
  <si>
    <t>servicesHangar</t>
  </si>
  <si>
    <t>Services and/or Hangar</t>
  </si>
  <si>
    <t>An uncovered area adjacent to a hangar on which aircraft maintenance can be performed, or an area on which aircraft move into and out of a hangar.</t>
  </si>
  <si>
    <t>alert</t>
  </si>
  <si>
    <t>Alert</t>
  </si>
  <si>
    <t>An military apron usually collocated with a taxiway with rapid access to a runway end, used by combat-ready aircraft prepared to take off on short notice.</t>
  </si>
  <si>
    <t>compassRose</t>
  </si>
  <si>
    <t>Compass Rose</t>
  </si>
  <si>
    <t>A painted compass rose on the surface of an apron, used as reference to calibrate on-board aircraft compasses.</t>
  </si>
  <si>
    <t>decontamination</t>
  </si>
  <si>
    <t>Decontamination</t>
  </si>
  <si>
    <t>A designated site where a Chemical, Biological, Radiological or Nuclear (CBRN) contaminated aircraft, checked at landing, is sent to be decontaminated by special teams.</t>
  </si>
  <si>
    <t>deIcingAntiIcing</t>
  </si>
  <si>
    <t>De-icing and/or Anti-icing</t>
  </si>
  <si>
    <t>An apron where frost, ice or snow is removed (de-icing) from the aircraft to provide clean surfaces, and/or where clean surfaces of the aircraft receive protection (anti-icing) preventing the formation of frost or ice and accumulation of snow or slush for a limited period of time.</t>
  </si>
  <si>
    <t>engineRunUp</t>
  </si>
  <si>
    <t>Engine Run Up</t>
  </si>
  <si>
    <t>An apron where aircraft engines are occasionally pre-flight tested at high RPM.</t>
  </si>
  <si>
    <t>May be equipped with one or more blast deflectors.</t>
  </si>
  <si>
    <t>firingIn</t>
  </si>
  <si>
    <t>Firing-In</t>
  </si>
  <si>
    <t>Designed for the use of a single military fighter aircraft for zeroing-in and aligning forward-firing weapons, located in a protected area opposite a tall, wide earthen targeting wall.</t>
  </si>
  <si>
    <t>fuelling</t>
  </si>
  <si>
    <t>Fuelling</t>
  </si>
  <si>
    <t>An apron that is used for either or both the loading or unloading of fuel.</t>
  </si>
  <si>
    <t>hotRefuelling</t>
  </si>
  <si>
    <t>Hot Refuelling</t>
  </si>
  <si>
    <t>An apron that is used for the loading of fuel while the aircraft engines are running.</t>
  </si>
  <si>
    <t>insAlignment</t>
  </si>
  <si>
    <t>INS Alignment</t>
  </si>
  <si>
    <t>A designated location where the automated Inertial Navigation System (INS) instruments of aircraft are reset before taking-off.</t>
  </si>
  <si>
    <t>loadingUnloading</t>
  </si>
  <si>
    <t>Loading and/or Unloading</t>
  </si>
  <si>
    <t>An apron that is used for either or both the loading or unloading passengers or cargo.</t>
  </si>
  <si>
    <t>maintenance</t>
  </si>
  <si>
    <t>Maintenance</t>
  </si>
  <si>
    <t>An apron where aircraft maintenance is performed.</t>
  </si>
  <si>
    <t>It is often attended by special purpose vehicles.</t>
  </si>
  <si>
    <t>parking</t>
  </si>
  <si>
    <t>Parking</t>
  </si>
  <si>
    <t>An apron used for parking of aircraft.</t>
  </si>
  <si>
    <t>An apron where space has been set aside for use by visiting aircraft.</t>
  </si>
  <si>
    <t>weaponLoading</t>
  </si>
  <si>
    <t>Weapon Loading</t>
  </si>
  <si>
    <t>An apron that is used for either or both the loading or unloading of aircraft weaponry.</t>
  </si>
  <si>
    <t>fishFarm</t>
  </si>
  <si>
    <t>Fish Farm</t>
  </si>
  <si>
    <t>A facility involved in the raising of fish commercially in tanks or landlocked enclosures, usually for food.</t>
  </si>
  <si>
    <t>fishHatchery</t>
  </si>
  <si>
    <t>Fish Hatchery</t>
  </si>
  <si>
    <t>A facility that raises and then releases juvenile fish into the wild to support recreational fishing, or to supplement the natural numbers of a species.</t>
  </si>
  <si>
    <t>freshwaterPrawnFarm</t>
  </si>
  <si>
    <t>Freshwater Prawn Farm</t>
  </si>
  <si>
    <t>An aquaculture business designed to raise and produce freshwater prawn or shrimp for human consumption.</t>
  </si>
  <si>
    <t>kelpFarm</t>
  </si>
  <si>
    <t>Kelp Farm</t>
  </si>
  <si>
    <t>The harvesting of the top few feet of natural kelp beds by boats with mowers.</t>
  </si>
  <si>
    <t>marineCulture</t>
  </si>
  <si>
    <t>Marine Culture</t>
  </si>
  <si>
    <t>The cultivation of marine organisms for food and other products in either the open ocean, in an enclosed section of the ocean, or in tanks, ponds or raceways that are filled with seawater (for example: the farming of marine fish, prawns, or oysters in saltwater ponds).</t>
  </si>
  <si>
    <t>seaRanch</t>
  </si>
  <si>
    <t>Sea Ranch</t>
  </si>
  <si>
    <t>A process for free ranching marine fish or sea ranching.</t>
  </si>
  <si>
    <t>The principle is based on behavioral conditioning and the migratory nature of certain species of marine fish. Fish hatchlings are initially raised in a closely knitted net in a harbor, during which time an underwater horn is sounded before each feeding. When the young fish are old enough they are freed from the net to mature in the open sea. During spawning season, about 80 percent of these fish return to their birthplace. The fish are harvested by sounding the horn and then raising the net.</t>
  </si>
  <si>
    <t>shrimpFarm</t>
  </si>
  <si>
    <t>Shrimp Farm</t>
  </si>
  <si>
    <t>An aquaculture business for the cultivation of marine shrimp for human consumption.</t>
  </si>
  <si>
    <t>emergent</t>
  </si>
  <si>
    <t>Emergent</t>
  </si>
  <si>
    <t>Aquatic vegetation that is rooted in the sediments and either extends above the water surface for a short height or floats on the surface of the water.</t>
  </si>
  <si>
    <t>Includes water lilies, grasses, sedges, and rushes.</t>
  </si>
  <si>
    <t>freeFloating</t>
  </si>
  <si>
    <t>Free-floating</t>
  </si>
  <si>
    <t>Aquatic vegetation that is not rooted and floats with local currents.</t>
  </si>
  <si>
    <t>Algae that can accumulate in still waters, coastally, within coves and/or along frontal boundaries.</t>
  </si>
  <si>
    <t>submerged</t>
  </si>
  <si>
    <t>Submerged</t>
  </si>
  <si>
    <t>Aquatic vegetation that grows completely under the surface of the water.</t>
  </si>
  <si>
    <t>Includes sea grass and large (macro) algae such as kelp. Parts of the plant may expose at low water levels, but the plant will begin to die if the normal water level is not soon restored.</t>
  </si>
  <si>
    <t>waterlogged</t>
  </si>
  <si>
    <t>Waterlogged</t>
  </si>
  <si>
    <t>Aquatic vegetation that occurs in waterlogged soils and has specialized roots for stabilization and oxygen.</t>
  </si>
  <si>
    <t>Includes mangroves, cypress, and shrubs. Normally located in areas sheltered from high-energy waves.</t>
  </si>
  <si>
    <t>qanat</t>
  </si>
  <si>
    <t>Qanat</t>
  </si>
  <si>
    <t>An artificial gently sloping underground channel or tunnel connected to the surface by qanat shafts.</t>
  </si>
  <si>
    <t>A qanat aqueduct generally starts in the mountains and uses gravity to bring water to a village below.</t>
  </si>
  <si>
    <t>surface</t>
  </si>
  <si>
    <t>A lined but usually uncovered surface-level channel.</t>
  </si>
  <si>
    <t>In order to allow for gravity-driven flow it may be raised on an embankment, supported by a bridge, and/or pass through a terrain cut.</t>
  </si>
  <si>
    <t>underground</t>
  </si>
  <si>
    <t>Underground</t>
  </si>
  <si>
    <t>An artificial gently sloping underground channel or tunnel.</t>
  </si>
  <si>
    <t>Usually lined to prevent or reduce water loss.</t>
  </si>
  <si>
    <t>underwater</t>
  </si>
  <si>
    <t>Underwater</t>
  </si>
  <si>
    <t>A pipe located on a waterbody bottom.</t>
  </si>
  <si>
    <t>May be either buried or lie relatively unprotected on the waterbody bottom.</t>
  </si>
  <si>
    <t>basalt</t>
  </si>
  <si>
    <t>Basalt</t>
  </si>
  <si>
    <t>A dark-colored fine-grained extrusive or intrusive igneous rock composed largely of plagioclase feldspar and pyroxene.</t>
  </si>
  <si>
    <t>boulders</t>
  </si>
  <si>
    <t>Boulders</t>
  </si>
  <si>
    <t>Loose rock (sediment) larger than 256 millimetres (10 inches).</t>
  </si>
  <si>
    <t>A clastic mineral particle of any composition that has a grain size smaller than 1/256 millimetres.</t>
  </si>
  <si>
    <t>Descriptive of a broad category of hydrous silicate minerals in which the silica tetrahedrons are arranged into sheets. Clastic rocks are composed of fragments, or clasts, of pre-existing rock.</t>
  </si>
  <si>
    <t>conglomerate</t>
  </si>
  <si>
    <t>Conglomerate</t>
  </si>
  <si>
    <t>A clastic sedimentary rock that contains large (greater than 2.0 millimetres in diameter) rounded or semirounded rock particles.</t>
  </si>
  <si>
    <t>The space between the rock particles are generally filled with smaller particles and/or chemical cement that bind the rock together.</t>
  </si>
  <si>
    <t>dolomite</t>
  </si>
  <si>
    <t>Dolomite</t>
  </si>
  <si>
    <t>A sedimentary rock type of compact limestone consisting of calcium magnesium carbonate in the form of the mineral dolomite.</t>
  </si>
  <si>
    <t>granite</t>
  </si>
  <si>
    <t>Granite</t>
  </si>
  <si>
    <t>A coarse-grained, intrusive igneous rock composed primarily of light colored minerals such as quartz, orthoclase, sodium plagioclase and muscovite mica.</t>
  </si>
  <si>
    <t>Clastic sedimentary particles of any composition that are greater than 2.0 millimetres in diameter and less than 256 millimetres.</t>
  </si>
  <si>
    <t>Clastic rocks are composed of fragments, or clasts, of pre-existing rock.</t>
  </si>
  <si>
    <t>igneousRock</t>
  </si>
  <si>
    <t>Igneous Rock</t>
  </si>
  <si>
    <t>Rock formed by the solidification of molten rock material below the Earth's surface or rock formed at the Earth's surface as a result of the partial melting of rocks within the mantle and crust.</t>
  </si>
  <si>
    <t>When formed below the Earth's surface it is called intrusive igneous rocks. When formed at the Earth's surface it is called extrusive igneous rocks.</t>
  </si>
  <si>
    <t>karst</t>
  </si>
  <si>
    <t>Karst</t>
  </si>
  <si>
    <t>A landscape, normally underlain by limestone, dolomite or gypsum, where the topography is primarily formed by the dissolving of rock by water, and in which the bedrock may be characterized by voids and cavities.</t>
  </si>
  <si>
    <t>Karst areas have numerous depressions and/or valleys caused by the collapse of the underlying bedrock. Karst topography is characterized by sinkholes, sinking streams, closed depressions, subterranean drainage, and caves.</t>
  </si>
  <si>
    <t>limestone</t>
  </si>
  <si>
    <t>Limestone</t>
  </si>
  <si>
    <t>A sedimentary rock that contains at least 50 percent calcium carbonate in the form of calcite by weight.</t>
  </si>
  <si>
    <t>Limestone is usually formed from shells of once-living organisms or other organic processes, but may also form by inorganic precipitation.</t>
  </si>
  <si>
    <t>marl</t>
  </si>
  <si>
    <t>Marl</t>
  </si>
  <si>
    <t>A calcium carbonate or lime-rich mud or mudstone which contains variable amounts of clays and aragonite.</t>
  </si>
  <si>
    <t>It is formed by precipitation in lake or marine settings. High calcium carbonate content tends to make dried marl earthy and crumbly.</t>
  </si>
  <si>
    <t>metamorphicRock</t>
  </si>
  <si>
    <t>Metamorphic Rock</t>
  </si>
  <si>
    <t xml:space="preserve"> Existing rocks that have been altered by heat and pressure or by contact with molten magma.</t>
  </si>
  <si>
    <t xml:space="preserve"> Examples include quartzite and marble.</t>
  </si>
  <si>
    <t>mud</t>
  </si>
  <si>
    <t>Mud</t>
  </si>
  <si>
    <t>A sedimentary material consisting of a mixture of clay and/or silt with water to form a plastic mass with a grain size preponderantly below 0.06 millimetres diameter.</t>
  </si>
  <si>
    <t>Mud is deposited in low-energy environments in lakes, estuaries and lagoons. It may also be deposited in deep-sea environments.</t>
  </si>
  <si>
    <t>A sedimentary material, finer than gravel and coarser than silt, with grains between 1/16 and 2.0 millimetres in diameter.</t>
  </si>
  <si>
    <t>schist</t>
  </si>
  <si>
    <t>Schist</t>
  </si>
  <si>
    <t>A metamorphic rock containing abundant particles of mica, characterized by strong foliation, and originating from a metamorphism in which directed pressure plays a significant role.</t>
  </si>
  <si>
    <t>semiConsolidatedVolcanicAsh</t>
  </si>
  <si>
    <t>Semi-consolidated and Consolidated Volcanic Ash</t>
  </si>
  <si>
    <t>Fine particles of volcanic rock and glass blown into the atmosphere by volcanic eruptions, which have settled to form semi-consolidated to consolidated layers, for example tuff, but may include agglomerate, pyroclastic breccia, lapillistone, and lapilli tuff.</t>
  </si>
  <si>
    <t>Volcanic ash includes tiny jagged pieces of rock and glass that are hard, mildly corrosive, conduct electricity when wet, and does not dissolve in water.</t>
  </si>
  <si>
    <t>unconsolidated</t>
  </si>
  <si>
    <t>Unconsolidated</t>
  </si>
  <si>
    <t>Sediment that has not been lithified.</t>
  </si>
  <si>
    <t>Lithification is the process in which sediments compact under pressure, expel connate fluids, and gradually become solid rock.</t>
  </si>
  <si>
    <t>volcanicRock</t>
  </si>
  <si>
    <t>Volcanic Rock</t>
  </si>
  <si>
    <t>Rock formed by the solidification of molten rock material at or near the Earth's surface.</t>
  </si>
  <si>
    <t>Extrusive Igneous Rock</t>
  </si>
  <si>
    <t>argentinianAirForce</t>
  </si>
  <si>
    <t>Argentinian Air Force</t>
  </si>
  <si>
    <t>[no definition specified]</t>
  </si>
  <si>
    <t>australianDeptOfSupply</t>
  </si>
  <si>
    <t>Australian Department of Supply</t>
  </si>
  <si>
    <t>austrianAirForce</t>
  </si>
  <si>
    <t>Austrian Air Force</t>
  </si>
  <si>
    <t>bangladeshDeptCivAviation</t>
  </si>
  <si>
    <t>Bangladesh Department of Civilian Aviation</t>
  </si>
  <si>
    <t>belgiumAirForce</t>
  </si>
  <si>
    <t>Belgium Air Force</t>
  </si>
  <si>
    <t>brazilianAirForce</t>
  </si>
  <si>
    <t>Brazilian Air Force</t>
  </si>
  <si>
    <t>canadianArmedForces</t>
  </si>
  <si>
    <t>Canadian Armed Forces</t>
  </si>
  <si>
    <t>chileanAirForce</t>
  </si>
  <si>
    <t>Chilean Air Force</t>
  </si>
  <si>
    <t>chineseAirForce</t>
  </si>
  <si>
    <t>Chinese Air Force (Republic of China)</t>
  </si>
  <si>
    <t>civilian</t>
  </si>
  <si>
    <t>Civilian</t>
  </si>
  <si>
    <t>colombianAirForce</t>
  </si>
  <si>
    <t>Colombian Air Force</t>
  </si>
  <si>
    <t>finnishDefenseForces</t>
  </si>
  <si>
    <t>Finnish Defense Forces</t>
  </si>
  <si>
    <t>frenchAirForce</t>
  </si>
  <si>
    <t>French Air Force</t>
  </si>
  <si>
    <t>frenchNavy</t>
  </si>
  <si>
    <t>French Navy</t>
  </si>
  <si>
    <t>germanAirForce</t>
  </si>
  <si>
    <t>German Air Force</t>
  </si>
  <si>
    <t>germanNavy</t>
  </si>
  <si>
    <t>German Navy</t>
  </si>
  <si>
    <t>hellenicAirForceCommand</t>
  </si>
  <si>
    <t>Hellenic Air Force Command</t>
  </si>
  <si>
    <t>indianAirForce</t>
  </si>
  <si>
    <t>Indian Air Force</t>
  </si>
  <si>
    <t>indonesianAirForce</t>
  </si>
  <si>
    <t>Indonesian Air Force</t>
  </si>
  <si>
    <t>iranianAirForce</t>
  </si>
  <si>
    <t>Iranian Air Force</t>
  </si>
  <si>
    <t>israeliAirForce</t>
  </si>
  <si>
    <t>Israeli Air Force</t>
  </si>
  <si>
    <t>italianAirForce</t>
  </si>
  <si>
    <t>Italian Air Force</t>
  </si>
  <si>
    <t>japanAirSelfDefenseForce</t>
  </si>
  <si>
    <t>Japan Air Self Defense Force</t>
  </si>
  <si>
    <t>japanCivilAviationBureau</t>
  </si>
  <si>
    <t>Japan Civil Aviation Bureau</t>
  </si>
  <si>
    <t>japanGndSelfDefenseForce</t>
  </si>
  <si>
    <t>Japan Ground Self Defense Force</t>
  </si>
  <si>
    <t>japanMarSelfDefenseForce</t>
  </si>
  <si>
    <t>Japan Maritime Self Defense Force</t>
  </si>
  <si>
    <t>libyanAirForce</t>
  </si>
  <si>
    <t>Libyan Air Force</t>
  </si>
  <si>
    <t>mexicanAirForce</t>
  </si>
  <si>
    <t>Mexican Air Force</t>
  </si>
  <si>
    <t>omanAirForce</t>
  </si>
  <si>
    <t>Oman Air Force</t>
  </si>
  <si>
    <t>pacificAirForces</t>
  </si>
  <si>
    <t>Pacific Air Forces</t>
  </si>
  <si>
    <t>pakistaniAirForce</t>
  </si>
  <si>
    <t>Pakistani Air Force</t>
  </si>
  <si>
    <t>peruvianAirForce</t>
  </si>
  <si>
    <t>Peruvian Air Force</t>
  </si>
  <si>
    <t>philippineAirForce</t>
  </si>
  <si>
    <t>Philippine Air Force</t>
  </si>
  <si>
    <t>portugueseAirForce</t>
  </si>
  <si>
    <t>Portuguese Air Force</t>
  </si>
  <si>
    <t>republicOfKoreaAirForce</t>
  </si>
  <si>
    <t>Republic of Korea Air Force</t>
  </si>
  <si>
    <t>royalAirForce</t>
  </si>
  <si>
    <t>Royal Air Force</t>
  </si>
  <si>
    <t>royalAustralianAirForce</t>
  </si>
  <si>
    <t>Royal Australian Air Force</t>
  </si>
  <si>
    <t>royalAustralianNavy</t>
  </si>
  <si>
    <t>Royal Australian Navy</t>
  </si>
  <si>
    <t>royalDanishAirForce</t>
  </si>
  <si>
    <t>Royal Danish Air Force</t>
  </si>
  <si>
    <t>royalJordanianAirForce</t>
  </si>
  <si>
    <t>Royal Jordanian Air Force</t>
  </si>
  <si>
    <t>royalMalaysianAirForce</t>
  </si>
  <si>
    <t>Royal Malaysian Air Force</t>
  </si>
  <si>
    <t>royalNavyUnitedKingdom</t>
  </si>
  <si>
    <t>Royal Navy, United Kingdom</t>
  </si>
  <si>
    <t>royalNetherlandsAirForce</t>
  </si>
  <si>
    <t>Royal Netherlands Air Force</t>
  </si>
  <si>
    <t>royalNetherlandsNavy</t>
  </si>
  <si>
    <t>Royal Netherlands Navy</t>
  </si>
  <si>
    <t>royalNewZealandAirForce</t>
  </si>
  <si>
    <t>Royal New Zealand Air Force</t>
  </si>
  <si>
    <t>royalNorwegianAirForce</t>
  </si>
  <si>
    <t>Royal Norwegian Air Force</t>
  </si>
  <si>
    <t>royalSaudiArabianAirForce</t>
  </si>
  <si>
    <t>Royal Saudi Arabian Air Force</t>
  </si>
  <si>
    <t>royalSwedishAirForce</t>
  </si>
  <si>
    <t>Royal Swedish Air Force</t>
  </si>
  <si>
    <t>royalThaiAirForce</t>
  </si>
  <si>
    <t>Royal Thai Air Force</t>
  </si>
  <si>
    <t>singaporeArmedForces</t>
  </si>
  <si>
    <t>Singapore Armed Forces</t>
  </si>
  <si>
    <t>southAfricanAirForce</t>
  </si>
  <si>
    <t>South African Air Force</t>
  </si>
  <si>
    <t>spanishAirForce</t>
  </si>
  <si>
    <t>Spanish Air Force</t>
  </si>
  <si>
    <t>swissAirForce</t>
  </si>
  <si>
    <t>Swiss Air Force</t>
  </si>
  <si>
    <t>turkishAirForce</t>
  </si>
  <si>
    <t>Turkish Air Force</t>
  </si>
  <si>
    <t>usAirForceAirCombatCmd</t>
  </si>
  <si>
    <t>U.S. Air Force Air Combat Command (ACC)</t>
  </si>
  <si>
    <t>usAirForceEducTrainCmd</t>
  </si>
  <si>
    <t>U.S. Air Force Air Education and Training Command (AETC)</t>
  </si>
  <si>
    <t>usAirForceAirMobilityCmd</t>
  </si>
  <si>
    <t>U.S. Air Force Air Mobility Command (AMC)</t>
  </si>
  <si>
    <t>usAirForceElecSecurityCmd</t>
  </si>
  <si>
    <t>U.S. Air Force Electronic Security Command (ESC)</t>
  </si>
  <si>
    <t>usAirForceEurope</t>
  </si>
  <si>
    <t>U.S. Air Force Europe (USAFE)</t>
  </si>
  <si>
    <t>usAirForceMaterialCmd</t>
  </si>
  <si>
    <t>U.S. Air Force Material Command (AFMC)</t>
  </si>
  <si>
    <t>usAirForceReserve</t>
  </si>
  <si>
    <t>U.S. Air Force Reserve</t>
  </si>
  <si>
    <t>usAirForceSpaceCmd</t>
  </si>
  <si>
    <t>U.S. Air Force Space Command (AFSPC)</t>
  </si>
  <si>
    <t>usAirNationalGuard</t>
  </si>
  <si>
    <t>U.S. Air National Guard (ANG)</t>
  </si>
  <si>
    <t>usNavyMarineCorps</t>
  </si>
  <si>
    <t>U.S. Navy - Marine Corps</t>
  </si>
  <si>
    <t>usNavyNavalAirAtlantic</t>
  </si>
  <si>
    <t>U.S. Navy - Naval Air Atlantic</t>
  </si>
  <si>
    <t>usNavyNavalAirPacific</t>
  </si>
  <si>
    <t>U.S. Navy - Naval Air Pacific</t>
  </si>
  <si>
    <t>usNavyNavalAirTraining</t>
  </si>
  <si>
    <t>U.S. Navy - Naval Air Training</t>
  </si>
  <si>
    <t>usNavyNavalForcesEurope</t>
  </si>
  <si>
    <t>U.S. Navy - Naval Forces Europe</t>
  </si>
  <si>
    <t>usNavyNavalMaterial</t>
  </si>
  <si>
    <t>U.S. Navy - Naval Material</t>
  </si>
  <si>
    <t>rotary1300</t>
  </si>
  <si>
    <t>1300 Rotary Brake</t>
  </si>
  <si>
    <t>1300 rotary hydraulic water brake.</t>
  </si>
  <si>
    <t>May be used with any type of engagement device.</t>
  </si>
  <si>
    <t>BA</t>
  </si>
  <si>
    <t>rotary2800</t>
  </si>
  <si>
    <t>2800 Rotary Brake</t>
  </si>
  <si>
    <t>2800 rotary hydraulic water brake.</t>
  </si>
  <si>
    <t>BB</t>
  </si>
  <si>
    <t>rotary34B_1A</t>
  </si>
  <si>
    <t>34B-1A Rotary Brake</t>
  </si>
  <si>
    <t>34B-1A rotary hydraulic water brake.</t>
  </si>
  <si>
    <t>AA</t>
  </si>
  <si>
    <t>rotary34B_1B</t>
  </si>
  <si>
    <t>34B-1B Rotary Brake</t>
  </si>
  <si>
    <t>34B-1B rotary hydraulic water brake.</t>
  </si>
  <si>
    <t>AB</t>
  </si>
  <si>
    <t>rotary34B_1C</t>
  </si>
  <si>
    <t>34B-1C Rotary Brake</t>
  </si>
  <si>
    <t>34B-1C rotary hydraulic water brake.</t>
  </si>
  <si>
    <t>AC</t>
  </si>
  <si>
    <t>rotary34D_1F</t>
  </si>
  <si>
    <t>34D-1F Rotary Brake</t>
  </si>
  <si>
    <t>34D-1F rotary hydraulic water brake.</t>
  </si>
  <si>
    <t>AL</t>
  </si>
  <si>
    <t>rotary44B_2C</t>
  </si>
  <si>
    <t>44B-2C Rotary Brake</t>
  </si>
  <si>
    <t>44B-2C rotary hydraulic water brake.</t>
  </si>
  <si>
    <t>AD</t>
  </si>
  <si>
    <t>rotary44B_2D</t>
  </si>
  <si>
    <t>44B-2D Rotary Brake</t>
  </si>
  <si>
    <t>44B-2D rotary hydraulic water brake.</t>
  </si>
  <si>
    <t>AE</t>
  </si>
  <si>
    <t>rotary44B_2E</t>
  </si>
  <si>
    <t>44B-2E Rotary Brake</t>
  </si>
  <si>
    <t>44B-2E rotary hydraulic water brake.</t>
  </si>
  <si>
    <t>AF</t>
  </si>
  <si>
    <t>rotary44B_2F</t>
  </si>
  <si>
    <t>44B-2F Rotary Brake</t>
  </si>
  <si>
    <t>44B-2F rotary hydraulic water brake.</t>
  </si>
  <si>
    <t>AG</t>
  </si>
  <si>
    <t>rotary44B_2H</t>
  </si>
  <si>
    <t>44B-2H Rotary Brake</t>
  </si>
  <si>
    <t>44B-2H rotary hydraulic water brake.</t>
  </si>
  <si>
    <t>AH</t>
  </si>
  <si>
    <t>rotary44B_2I</t>
  </si>
  <si>
    <t>44B-2I Rotary Brake</t>
  </si>
  <si>
    <t>44B-2I rotary hydraulic water brake.</t>
  </si>
  <si>
    <t>AJ</t>
  </si>
  <si>
    <t>rotary44B_2L</t>
  </si>
  <si>
    <t>44B-2L Rotary Brake</t>
  </si>
  <si>
    <t>44B-2L rotary hydraulic water brake.</t>
  </si>
  <si>
    <t>AI</t>
  </si>
  <si>
    <t>rotary44B_3A</t>
  </si>
  <si>
    <t>44B-3A Rotary Brake</t>
  </si>
  <si>
    <t>44B-3A rotary hydraulic water brake.</t>
  </si>
  <si>
    <t>AN</t>
  </si>
  <si>
    <t>rotary44B_3H</t>
  </si>
  <si>
    <t>44B-3H Rotary Brake</t>
  </si>
  <si>
    <t>44B-3H rotary hydraulic water brake.</t>
  </si>
  <si>
    <t>AO</t>
  </si>
  <si>
    <t>rotary44B_3L</t>
  </si>
  <si>
    <t>44B-3L Rotary Brake</t>
  </si>
  <si>
    <t>44B-3L rotary hydraulic water brake.</t>
  </si>
  <si>
    <t>AK</t>
  </si>
  <si>
    <t>rotary44B_4C</t>
  </si>
  <si>
    <t>44B-4C Rotary Brake</t>
  </si>
  <si>
    <t>44B-4C rotary hydraulic water brake.</t>
  </si>
  <si>
    <t>AP</t>
  </si>
  <si>
    <t>rotary44B_4E</t>
  </si>
  <si>
    <t>44B-4E Rotary Brake</t>
  </si>
  <si>
    <t>44B-4E rotary hydraulic water brake.</t>
  </si>
  <si>
    <t>AQ</t>
  </si>
  <si>
    <t>rotary44B_4H</t>
  </si>
  <si>
    <t>44B-4H Rotary Brake</t>
  </si>
  <si>
    <t>44B-4H rotary hydraulic water brake.</t>
  </si>
  <si>
    <t>AR</t>
  </si>
  <si>
    <t>rotary500S</t>
  </si>
  <si>
    <t>500S Rotary Brake</t>
  </si>
  <si>
    <t>500S rotary friction brake that may carry a nameplate showing 'Bliss', 'Esco', or 'Gulf+Western' (the 'G+W' logo).</t>
  </si>
  <si>
    <t>AS</t>
  </si>
  <si>
    <t>rotary500S_4</t>
  </si>
  <si>
    <t>500S-4 Rotary Brake</t>
  </si>
  <si>
    <t>500S-4 rotary friction brake that may carry a nameplate showing 'Bliss', 'Esco', or 'Gulf+Western' (the 'G+W' logo).</t>
  </si>
  <si>
    <t>AT</t>
  </si>
  <si>
    <t>rotary500S_6</t>
  </si>
  <si>
    <t>500S-6 Rotary Brake</t>
  </si>
  <si>
    <t>500S-6 rotary friction brake that may carry a nameplate showing 'Bliss', 'Esco', or 'Gulf+Western' (the 'G+W' logo).</t>
  </si>
  <si>
    <t>AU</t>
  </si>
  <si>
    <t>rotary500S_8</t>
  </si>
  <si>
    <t>500S-8 Rotary Brake</t>
  </si>
  <si>
    <t>500S-8 rotary friction brake that may carry a nameplate showing 'Bliss', 'Esco', or 'Gulf+Western' (the 'G+W' logo).</t>
  </si>
  <si>
    <t>AW</t>
  </si>
  <si>
    <t>rotaryTrans500S_8</t>
  </si>
  <si>
    <t>500S-8 Transportable Rotary Brake</t>
  </si>
  <si>
    <t>500S-8 rotary friction brake transportable arresting gear that may carry a nameplate showing 'Bliss', 'Esco', or 'Gulf+Western' (the 'G+W' logo).</t>
  </si>
  <si>
    <t>AV</t>
  </si>
  <si>
    <t>rotaryAAE_64</t>
  </si>
  <si>
    <t>AAE-64 Rotary Brake</t>
  </si>
  <si>
    <t>AAE-64 rotary hydraulic water brake.</t>
  </si>
  <si>
    <t>BC</t>
  </si>
  <si>
    <t>rotaryBAK_12A</t>
  </si>
  <si>
    <t>BAK-12A Rotary Brake</t>
  </si>
  <si>
    <t>BAK-12A rotary friction brake (950 foot run-out; 40,000 pound capacity).</t>
  </si>
  <si>
    <t>BK</t>
  </si>
  <si>
    <t>rotaryBAK_12B</t>
  </si>
  <si>
    <t>BAK-12B Rotary Brake</t>
  </si>
  <si>
    <t>BAK-12B rotary friction brake (1,200 foot run-out; 50,000 pound capacity).</t>
  </si>
  <si>
    <t>BL</t>
  </si>
  <si>
    <t>rotaryBAK_13</t>
  </si>
  <si>
    <t>BAK-13 Rotary Brake</t>
  </si>
  <si>
    <t>BAK-13 rotary hydraulic water brake.</t>
  </si>
  <si>
    <t>BG</t>
  </si>
  <si>
    <t>linearBAK_6</t>
  </si>
  <si>
    <t>BAK-6 Linear Brake</t>
  </si>
  <si>
    <t>BAK-6 linear hydraulic (water squeezer) brake.</t>
  </si>
  <si>
    <t>Used only with a hook engagement device.</t>
  </si>
  <si>
    <t>BD</t>
  </si>
  <si>
    <t>rotaryBAK_9</t>
  </si>
  <si>
    <t>BAK-9 Rotary Brake</t>
  </si>
  <si>
    <t>BAK-9 rotary friction brake.</t>
  </si>
  <si>
    <t>BE</t>
  </si>
  <si>
    <t>diskBEFAB_12_3</t>
  </si>
  <si>
    <t>BEFAB 12:3 Disk Brake</t>
  </si>
  <si>
    <t>BEFAB 12:3 pneumatic disc brake, also known as SAFEBAR or SAFELAND 12:3.</t>
  </si>
  <si>
    <t>BJ</t>
  </si>
  <si>
    <t>diskBEFAB_20_4</t>
  </si>
  <si>
    <t>BEFAB 20:4 Disk Brake</t>
  </si>
  <si>
    <t>BEFAB 20:4 pneumatic disc brake, also known as SAFEBAR or SAFELAND 20:4.</t>
  </si>
  <si>
    <t>BN</t>
  </si>
  <si>
    <t>diskBEFAB_21_2</t>
  </si>
  <si>
    <t>BEFAB 21:2 Disk Brake</t>
  </si>
  <si>
    <t>BEFAB 21:2 pneumatic disc brake, also known as SAFEBAR or SAFELAND 21:2.</t>
  </si>
  <si>
    <t>BO</t>
  </si>
  <si>
    <t>diskBEFAB_24_4</t>
  </si>
  <si>
    <t>BEFAB 24:4 Disk Brake</t>
  </si>
  <si>
    <t>BEFAB 24:4 pneumatic disc brake, also known as SAFEBAR or SAFELAND 24:4.</t>
  </si>
  <si>
    <t>BP</t>
  </si>
  <si>
    <t>diskBEFAB_56_2</t>
  </si>
  <si>
    <t>BEFAB 56:2 Disk Brake</t>
  </si>
  <si>
    <t>BEFAB 56:2 pneumatic disc brake, also known as SAFEBAR or SAFELAND 56:2.</t>
  </si>
  <si>
    <t>BQ</t>
  </si>
  <si>
    <t>diskBEFAB_6_3</t>
  </si>
  <si>
    <t>BEFAB 6:3 Disk Brake</t>
  </si>
  <si>
    <t>BEFAB 6:3 pneumatic disc brake, also known as SAFEBAR or SAFELAND 6:2.</t>
  </si>
  <si>
    <t>BH</t>
  </si>
  <si>
    <t>diskBEFAB_60_2</t>
  </si>
  <si>
    <t>BEFAB 60:2 Disk Brake</t>
  </si>
  <si>
    <t>BEFAB 60:2 pneumatic disc brake, also known as SAFEBAR or SAFELAND 60:2.</t>
  </si>
  <si>
    <t>BR</t>
  </si>
  <si>
    <t>diskBEFAB_8_3</t>
  </si>
  <si>
    <t>BEFAB 8:3 Disk Brake</t>
  </si>
  <si>
    <t>BEFAB 8:3 pneumatic disc brake, also known as SAFEBAR or SAFELAND 8:3.</t>
  </si>
  <si>
    <t>BI</t>
  </si>
  <si>
    <t>chainCHAG</t>
  </si>
  <si>
    <t>CHAG Chain Brake</t>
  </si>
  <si>
    <t>CHAG chain brake.</t>
  </si>
  <si>
    <t>rotaryDualBAK_12</t>
  </si>
  <si>
    <t>Dual BAK-12 Rotary Brake</t>
  </si>
  <si>
    <t>Dual BAK-12 rotary friction brake.</t>
  </si>
  <si>
    <t>rotaryE15</t>
  </si>
  <si>
    <t>E15 Rotary Brake</t>
  </si>
  <si>
    <t>E15 rotary friction brake.</t>
  </si>
  <si>
    <t>rotaryE27</t>
  </si>
  <si>
    <t>E27 Rotary Brake</t>
  </si>
  <si>
    <t>E27 rotary friction brake.</t>
  </si>
  <si>
    <t>rotaryE28</t>
  </si>
  <si>
    <t>E28 Rotary Brake</t>
  </si>
  <si>
    <t>E28 rotary hydraulic water brake.</t>
  </si>
  <si>
    <t>chainE5</t>
  </si>
  <si>
    <t>E5 Chain Brake</t>
  </si>
  <si>
    <t>E5 chain brake.</t>
  </si>
  <si>
    <t>chainE5_1</t>
  </si>
  <si>
    <t>E5-1 Chain Brake</t>
  </si>
  <si>
    <t>E5-1 chain brake.</t>
  </si>
  <si>
    <t>chainE5_2</t>
  </si>
  <si>
    <t>E5-2 Chain Brake</t>
  </si>
  <si>
    <t>E5-2 chain brake.</t>
  </si>
  <si>
    <t>chainE5_3</t>
  </si>
  <si>
    <t>E5-3 Chain Brake</t>
  </si>
  <si>
    <t>E5-3 chain brake.</t>
  </si>
  <si>
    <t>chainE6</t>
  </si>
  <si>
    <t>E6 Chain Brake</t>
  </si>
  <si>
    <t>E6 chain brake.</t>
  </si>
  <si>
    <t>engMatArrestSystem</t>
  </si>
  <si>
    <t>Engineered Materials Arresting System (EMAS)</t>
  </si>
  <si>
    <t>High-energy-absorbing material located in the runway overrun that is designed to crush under the weight of an aircraft as the material exerts deceleration forces on the aircraft landing gear.</t>
  </si>
  <si>
    <t>rotaryChainJetStop</t>
  </si>
  <si>
    <t>JET STOP Rotary Chain Gear</t>
  </si>
  <si>
    <t>JET STOP rotary friction chain gear.</t>
  </si>
  <si>
    <t>mobileRotaryM21</t>
  </si>
  <si>
    <t>M21 Mobile Rotary Brake</t>
  </si>
  <si>
    <t>A mobile rotary hydraulic water brake.</t>
  </si>
  <si>
    <t>mobileRotaryMAAS</t>
  </si>
  <si>
    <t>MAAS Mobile Rotary Brake</t>
  </si>
  <si>
    <t>MAAS, a trailer-mounted rotary friction BAK-12.</t>
  </si>
  <si>
    <t>Used by the USAF only with a hook engagement device, but may be used with any engagement by others.</t>
  </si>
  <si>
    <t>Portarrest, MAAS Mobile Rotary Brake</t>
  </si>
  <si>
    <t>mobileRotaryMAG_I</t>
  </si>
  <si>
    <t>MAG I Mobile Rotary Brake</t>
  </si>
  <si>
    <t>MAG I rotary hydraulic mobile arresting gear.</t>
  </si>
  <si>
    <t>mobileRotaryMAG_II</t>
  </si>
  <si>
    <t>MAG II Mobile Rotary Brake</t>
  </si>
  <si>
    <t>MAG II rotary hydraulic mobile arresting gear.</t>
  </si>
  <si>
    <t>mobileRotaryMAG_III</t>
  </si>
  <si>
    <t>MAG III Mobile Rotary Brake</t>
  </si>
  <si>
    <t>MAG III rotary hydraulic mobile arresting gear.</t>
  </si>
  <si>
    <t>mobileRotaryMAG_IV</t>
  </si>
  <si>
    <t>MAG IV Mobile Rotary Brake</t>
  </si>
  <si>
    <t>MAG IV rotary hydraulic mobile arresting gear.</t>
  </si>
  <si>
    <t>mobileRotaryMAG_IX</t>
  </si>
  <si>
    <t>MAG IX Mobile Rotary Brake</t>
  </si>
  <si>
    <t>MAG IX rotary hydraulic mobile arresting gear.</t>
  </si>
  <si>
    <t>Used only with a net engagement device.</t>
  </si>
  <si>
    <t>mobileRotaryMAG_VI</t>
  </si>
  <si>
    <t>MAG VI Mobile Rotary Brake</t>
  </si>
  <si>
    <t>MAG VI rotary hydraulic mobile arresting gear.</t>
  </si>
  <si>
    <t>mobileRotaryMAG_VII</t>
  </si>
  <si>
    <t>MAG VII Mobile Rotary Brake</t>
  </si>
  <si>
    <t>MAG VII rotary hydraulic mobile arresting gear.</t>
  </si>
  <si>
    <t>mobileRotaryMAG_VIII</t>
  </si>
  <si>
    <t>MAG VIII Mobile Rotary Brake</t>
  </si>
  <si>
    <t>MAG VIII rotary hydraulic mobile arresting gear.</t>
  </si>
  <si>
    <t>mobileRotaryMAG_X</t>
  </si>
  <si>
    <t>MAG X Mobile Rotary Brake</t>
  </si>
  <si>
    <t>MAG X rotary hydraulic mobile arresting gear.</t>
  </si>
  <si>
    <t>textileMB_100</t>
  </si>
  <si>
    <t>MB-100 Textile Brake</t>
  </si>
  <si>
    <t>MB-100 textile brake (bidirectional).</t>
  </si>
  <si>
    <t>textileMB_60</t>
  </si>
  <si>
    <t>MB-60 Textile Brake</t>
  </si>
  <si>
    <t>MB-60 textile brake (unidirectional).</t>
  </si>
  <si>
    <t>mobileRotaryHydraulicWater</t>
  </si>
  <si>
    <t>Mobile Rotary Hydraulic Water Brake, Type Unspecified</t>
  </si>
  <si>
    <t>An unspecified type of mobile rotary hydraulic water brake.</t>
  </si>
  <si>
    <t>rotaryPUAG_MK_21</t>
  </si>
  <si>
    <t>PUAG MK-21 Rotary Brake</t>
  </si>
  <si>
    <t>PUAG MK-21 rotary hydraulic water brake.</t>
  </si>
  <si>
    <t>diskRAF_MK_12A</t>
  </si>
  <si>
    <t>RAF MK-12A Disk Brake</t>
  </si>
  <si>
    <t>RAF MK-12A pneumatic disc brake.</t>
  </si>
  <si>
    <t>diskRAF_MK_6</t>
  </si>
  <si>
    <t>RAF MK-6 Disk Brake</t>
  </si>
  <si>
    <t>RAF MK-6 pneumatic disc brake.</t>
  </si>
  <si>
    <t>rafPortableArrestingGear</t>
  </si>
  <si>
    <t>RAF Portable Arresting Gear</t>
  </si>
  <si>
    <t>Portable aircraft arresting gear (British).</t>
  </si>
  <si>
    <t>diskRafTypeA_BEFAB_6_3</t>
  </si>
  <si>
    <t>RAF Type A BEFAB 6:3 Disk Brake</t>
  </si>
  <si>
    <t>RAF Type A BEFAB 6:3 pneumatic disc brake.</t>
  </si>
  <si>
    <t>diskRafTypeB_BEFAB_12_3</t>
  </si>
  <si>
    <t>RAF Type B BEFAB 12:3 Disk Brake</t>
  </si>
  <si>
    <t>RAF Type B BEFAB 12:3 pneumatic disc brake.</t>
  </si>
  <si>
    <t>rotaryRHAG_MK_1</t>
  </si>
  <si>
    <t>RHAG MK-1 Rotary Brake</t>
  </si>
  <si>
    <t>RHAG MK-1 rotary hydraulic water brake.</t>
  </si>
  <si>
    <t>rotaryHydraulicWater</t>
  </si>
  <si>
    <t>Rotary Hydraulic Water Brake, Type Unspecified</t>
  </si>
  <si>
    <t>An unspecified type of static rotary hydraulic water brake.</t>
  </si>
  <si>
    <t>barrierDiskSafeland</t>
  </si>
  <si>
    <t>Safeland Barrier Disk Brake</t>
  </si>
  <si>
    <t>Safeland Barrier pneumatic disc brake.</t>
  </si>
  <si>
    <t>linearSPRAG_MK_1</t>
  </si>
  <si>
    <t>SPRAG MK-1 Linear Brake</t>
  </si>
  <si>
    <t>SPRAG MK-1 linear hydraulic (water squeezer) brake.</t>
  </si>
  <si>
    <t>barricadeNet61QSII</t>
  </si>
  <si>
    <t>61QSII Barricade Net</t>
  </si>
  <si>
    <t>A barricade net system.</t>
  </si>
  <si>
    <t>netWithHook62NI</t>
  </si>
  <si>
    <t>62NI Net with Hook</t>
  </si>
  <si>
    <t>A net barrier with hook cable interconnect.</t>
  </si>
  <si>
    <t>hook63PI</t>
  </si>
  <si>
    <t>63PI Hook</t>
  </si>
  <si>
    <t>A dual cable interconnect for hook engagements.</t>
  </si>
  <si>
    <t>netA30</t>
  </si>
  <si>
    <t>A30 Net</t>
  </si>
  <si>
    <t>A 30-element net (F30) manufactured by AERAZUR.</t>
  </si>
  <si>
    <t>netA40</t>
  </si>
  <si>
    <t>A40 Net</t>
  </si>
  <si>
    <t>A 40-element net (F40) manufactured by AERAZUR.</t>
  </si>
  <si>
    <t>strutBAK_11</t>
  </si>
  <si>
    <t>BAK-11 Strut</t>
  </si>
  <si>
    <t>A main strut engaging device.</t>
  </si>
  <si>
    <t>hookBAK_14</t>
  </si>
  <si>
    <t>BAK-14 Hook</t>
  </si>
  <si>
    <t>A retractable hook cable engaging device that may be used bi-directionally.</t>
  </si>
  <si>
    <t>The cable takes 5 seconds to be raised.</t>
  </si>
  <si>
    <t>stanchionNetBAK_15</t>
  </si>
  <si>
    <t>BAK-15 Stanchion and Net</t>
  </si>
  <si>
    <t>A 61QSIIM stanchion and net barricade system.</t>
  </si>
  <si>
    <t>withHookBAK_15</t>
  </si>
  <si>
    <t>BAK-15 with Hook</t>
  </si>
  <si>
    <t>A web barrier interconnected with hook pickup cable.</t>
  </si>
  <si>
    <t>hookCable</t>
  </si>
  <si>
    <t>Hook Cable</t>
  </si>
  <si>
    <t>An unspecified type of hook cable (tail hook) engagement.</t>
  </si>
  <si>
    <t>hpNet</t>
  </si>
  <si>
    <t>HP-NET</t>
  </si>
  <si>
    <t>A high performance net manufactured by ADEC.</t>
  </si>
  <si>
    <t>jayBar</t>
  </si>
  <si>
    <t>J-BAR</t>
  </si>
  <si>
    <t>A generic 'barrier' (non-hook cable) engagements.</t>
  </si>
  <si>
    <t>jetBarrier</t>
  </si>
  <si>
    <t>Jet Barrier</t>
  </si>
  <si>
    <t>An unspecified barrier used to stop aircraft.</t>
  </si>
  <si>
    <t>netMA_1</t>
  </si>
  <si>
    <t>MA-1 Net</t>
  </si>
  <si>
    <t>A main gear cable engagement net barrier (early MA-1A).</t>
  </si>
  <si>
    <t>netMA_1a</t>
  </si>
  <si>
    <t>MA-1A Net</t>
  </si>
  <si>
    <t>A main gear cable engagement net barrier.</t>
  </si>
  <si>
    <t>withHookCableMA_1a</t>
  </si>
  <si>
    <t>MA-1A with Hook Cable</t>
  </si>
  <si>
    <t>An MA-1A main gear cable engagement net barrier with interconnected hook cable.</t>
  </si>
  <si>
    <t>net</t>
  </si>
  <si>
    <t>Net</t>
  </si>
  <si>
    <t>An unspecified type of net engagement.</t>
  </si>
  <si>
    <t>hookTypeH</t>
  </si>
  <si>
    <t>Type H Hook</t>
  </si>
  <si>
    <t>The cable takes 1.5 seconds to be raised.</t>
  </si>
  <si>
    <t>The arresting gear is usable by aircraft approaching either end of the runway.</t>
  </si>
  <si>
    <t>highEnd</t>
  </si>
  <si>
    <t>High End</t>
  </si>
  <si>
    <t>The arresting gear is usable only by aircraft approaching the runway from the high end identifier.</t>
  </si>
  <si>
    <t>Runway identifiers are '01' - '18' (low end) and '19' - '36' (high end).</t>
  </si>
  <si>
    <t>lowEnd</t>
  </si>
  <si>
    <t>Low End</t>
  </si>
  <si>
    <t>The arresting gear is usable only by aircraft approaching the runway from the low end identifier.</t>
  </si>
  <si>
    <t>transmissometer</t>
  </si>
  <si>
    <t>Transmissometer</t>
  </si>
  <si>
    <t>An apparatus used to determine visibility by measuring the transmission of light through the atmosphere.</t>
  </si>
  <si>
    <t>It is the measurement source for determining runway visual range (RVR) and runway visibility value (RVV).</t>
  </si>
  <si>
    <t>confirmedAvailable</t>
  </si>
  <si>
    <t>Confirmed Available</t>
  </si>
  <si>
    <t>The product, service, feature, or facility is confirmed to be available.</t>
  </si>
  <si>
    <t>notAvailable</t>
  </si>
  <si>
    <t>Not Available</t>
  </si>
  <si>
    <t>The product, service, feature, or facility is confirmed to be unavailable.</t>
  </si>
  <si>
    <t>unconfirmedAvailable</t>
  </si>
  <si>
    <t>UnconfirmedAvailable</t>
  </si>
  <si>
    <t>The product, service, feature, or facility may be available, but this has not been confirmed.</t>
  </si>
  <si>
    <t>aviationFuel</t>
  </si>
  <si>
    <t>Aviation Fuel</t>
  </si>
  <si>
    <t>Refined petroleum as used as a fuel in aviation vehicles.</t>
  </si>
  <si>
    <t>For example, JP-4, JP-5, JP-7 and JP-8.</t>
  </si>
  <si>
    <t>biodiesel</t>
  </si>
  <si>
    <t>Biodiesel</t>
  </si>
  <si>
    <t>A fuel made from vegetable oils (for example: soybean or canola), animal fats, and/or recycled grease, and intended for use in diesel engines.</t>
  </si>
  <si>
    <t>For U.S. Energy Information Administration reporting, biodiesel is a fuel composed of mono-alkyl esters of long chain fatty acids derived from vegetable oils or animal fats, and meeting the requirements of American Society for Testing and Materials (ASTM) D6751. Biodiesel is registered with the EPA as both a fuel and a fuel additive. Its designation as B100 indicates it is unblended (100 percent) biodiesel. It can serve as a substitute for petroleum-derived diesel or distillate fuel. Biodiesel Blend is a fuel that combines pure biodiesel stock with petroleum-based diesel.</t>
  </si>
  <si>
    <t>biodieselBlend</t>
  </si>
  <si>
    <t>Biodiesel Blend</t>
  </si>
  <si>
    <t>A fuel blended from biodiesel and petroleum-based diesel fuel, and intended for use in diesel engines.</t>
  </si>
  <si>
    <t>Biodiesel Blend is designated BXX, where XX represents the volume percentage of biodiesel fuel in the blend. The blending ratio typically varies from 2 percent biodiesel (B2) up to 99.9 percent biodiesel (B99.9), with unblended biodiesel referred to as B100. Blending may occur at the point of biodiesel production, at an intermediate storage or distribution facility, or at the point-of-sale (for example: a motor vehicle station).</t>
  </si>
  <si>
    <t>butane</t>
  </si>
  <si>
    <t>Butane</t>
  </si>
  <si>
    <t>A gaseous alkane, C4H10 (of which there are two isomers), used especially in liquefied form as a fuel.</t>
  </si>
  <si>
    <t>coal</t>
  </si>
  <si>
    <t>Coal</t>
  </si>
  <si>
    <t>A hard opaque black or blackish mineral, mainly carbonized plant matter, found in seams or strata at or below the Earth's surface.</t>
  </si>
  <si>
    <t>Used as fuel and in manufacture (for example: to produce gas and/or tar).</t>
  </si>
  <si>
    <t>compressedNaturalGas</t>
  </si>
  <si>
    <t>Compressed Natural Gas (CNG)</t>
  </si>
  <si>
    <t>Natural gas compressed into high-pressure cylinders and used as an environmentally friendly fuel.</t>
  </si>
  <si>
    <t>Natural gas occurs naturally underground, consisting chiefly of methane and is often found associated with petroleum.</t>
  </si>
  <si>
    <t>dieselOil</t>
  </si>
  <si>
    <t>Diesel Oil</t>
  </si>
  <si>
    <t>A petroleum fraction used as fuel in diesel engines.</t>
  </si>
  <si>
    <t>Diesel Fuel</t>
  </si>
  <si>
    <t>ethanol</t>
  </si>
  <si>
    <t>Ethanol</t>
  </si>
  <si>
    <t>A colourless volatile flammable liquid alcohol, C2H5OH, used as a solvent, antifreeze and fuel.</t>
  </si>
  <si>
    <t>Produced by the fermentation of hexose sugars.</t>
  </si>
  <si>
    <t>Ethyl Alcohol</t>
  </si>
  <si>
    <t>ethanol85</t>
  </si>
  <si>
    <t>Ethanol 85 Percent</t>
  </si>
  <si>
    <t>A mixed biofuel consisting of 85 percent ethanol and 15 percent unleaded gasoline, commonly known as 'E85'.</t>
  </si>
  <si>
    <t>It can be used to run automobiles known as flexible fuel vehicles (FFV). Using E85 in non-FFV vehicles can cause corrosion of vehicle parts, because these parts are not  incompatible with high concentrations of ethanol.</t>
  </si>
  <si>
    <t>hydrogen</t>
  </si>
  <si>
    <t>Hydrogen</t>
  </si>
  <si>
    <t>A colorless odorless highly flammable diatomic gas that may be used as an alternative fuel for transportation.</t>
  </si>
  <si>
    <t>Using a fuel cell, hydrogen may be used to generate electricity to power electrically-driven wheels, or it may be directly combusted.</t>
  </si>
  <si>
    <t>hythane</t>
  </si>
  <si>
    <t>Hythane</t>
  </si>
  <si>
    <t>Hythane (Hydrogen Compressed Natural Gas (HCNG)) is a mixture of natural gas (methane) and hydrogen.</t>
  </si>
  <si>
    <t>Hythane is usually 5-7 percent hydrogen by energy.</t>
  </si>
  <si>
    <t>E85</t>
  </si>
  <si>
    <t>kerosene</t>
  </si>
  <si>
    <t>Kerosene</t>
  </si>
  <si>
    <t>A petroleum distillate containing liquid hydrocarbons which boils in the range 150 to 300 degrees Centigrade.</t>
  </si>
  <si>
    <t>It is used as a fuel for tractors and jet engines, and in domestic heaters.</t>
  </si>
  <si>
    <t>liquefiedNaturalGas</t>
  </si>
  <si>
    <t>Liquefied Natural Gas (LNG)</t>
  </si>
  <si>
    <t>Natural gas that has been liquefied for ease of transport by cooling the gas to -162 degrees Centigrade.</t>
  </si>
  <si>
    <t>It is stored in a vacuum bottle-type container at very low temperatures and under moderate pressure. Natural gas has 600 times the volume of LNG.</t>
  </si>
  <si>
    <t>Hydrogen Compressed Natural Gas, HCNG</t>
  </si>
  <si>
    <t>liquefiedPetroleumGas</t>
  </si>
  <si>
    <t>Liquefied Petroleum Gas (LPG)</t>
  </si>
  <si>
    <t>A mixture of propane and butane, usually with propylene and butylenes present in small concentration and a powerful odorant, ethyl mercaptan, added so that leaks can be detected easily.</t>
  </si>
  <si>
    <t>It becomes liquid at room temperature at 6 bar pressure, so it is supplied in pressurised steel bottles. The liquefied gas has an expansion ratio of about 250:1. Used as a fuel in heating appliances and vehicles. LPG is manufactured during the refining of crude oil, or extracted from oil or gas streams as they emerge from the ground.</t>
  </si>
  <si>
    <t>lubricants</t>
  </si>
  <si>
    <t>Lubricants</t>
  </si>
  <si>
    <t>A substance, usually an oil, used to lubricate machinery.</t>
  </si>
  <si>
    <t>methane</t>
  </si>
  <si>
    <t>Methane</t>
  </si>
  <si>
    <t>A colourless odourless flammable gas, CH4, the simplest of the alkanes.</t>
  </si>
  <si>
    <t>It occurs in natural gas, coal gas, and decaying organic matter, and forms an explosive mixture with air.</t>
  </si>
  <si>
    <t>noPolAvailable</t>
  </si>
  <si>
    <t>No POL Available</t>
  </si>
  <si>
    <t>No petroleum, oil, or lubricants are available.</t>
  </si>
  <si>
    <t>oil</t>
  </si>
  <si>
    <t>Oil</t>
  </si>
  <si>
    <t>Any of numerous liquids with a smooth sticky feel that are immiscible with water (but miscible with organic solvents), flammable, and chemically neutral.</t>
  </si>
  <si>
    <t>petrol</t>
  </si>
  <si>
    <t>Petrol</t>
  </si>
  <si>
    <t>Refined petroleum as used as a fuel in motor vehicles.</t>
  </si>
  <si>
    <t>Gasoline</t>
  </si>
  <si>
    <t>propane</t>
  </si>
  <si>
    <t>Propane</t>
  </si>
  <si>
    <t>A colorless gas, C3H8, derived from natural gas and petroleum and widely used as a fuel.</t>
  </si>
  <si>
    <t>Commonly transported and dispensed in liquefied form, especially in pressurized hand-carry tanks for use as a fuel for outdoor cooking in barbecues and portable stoves. The standard steel container holds 18 litre (4.73 U.S. gallon) and is often termed a 'barbecue tank'. Due to its low boiling point, liquefied propane vaporizes as soon as it is released from its pressurized container. Note that Liquefied Petroleum Gas (LPG) sold as an automotive fuel is a combination of propane and butane, often with propylene and/or butylenes, plus an odorant.</t>
  </si>
  <si>
    <t>specialFuel</t>
  </si>
  <si>
    <t>Special Fuel</t>
  </si>
  <si>
    <t>A fuel infrequently used and not widely available.</t>
  </si>
  <si>
    <t>For example, hydrogen (compressed or liquid) and rocket propellants (such as hydrazine, nitrogen tetraoxide, RP-1 (CH1.97) or UDMH).</t>
  </si>
  <si>
    <t>The transparent, colourless, tasteless, odourless, liquid compound of hydrogen and oxygen (formula H2O).</t>
  </si>
  <si>
    <t>Typically intended for cleaning or steam generation and not necessarily potable.</t>
  </si>
  <si>
    <t>boatHoist</t>
  </si>
  <si>
    <t>Boat Hoist</t>
  </si>
  <si>
    <t>A hoist for lifting boats out of the water.</t>
  </si>
  <si>
    <t>boatPark</t>
  </si>
  <si>
    <t>Boat Park</t>
  </si>
  <si>
    <t>A place on shore where boats and/or trailers may be parked.</t>
  </si>
  <si>
    <t>boatYard</t>
  </si>
  <si>
    <t>Boat Yard</t>
  </si>
  <si>
    <t>A place on shore where boats may be built, stored and repaired.</t>
  </si>
  <si>
    <t>bottleGas</t>
  </si>
  <si>
    <t>Bottle Gas</t>
  </si>
  <si>
    <t>A place where bottled gas is available.</t>
  </si>
  <si>
    <t>May include liquefied petroleum gas (LPG).</t>
  </si>
  <si>
    <t>campingSite</t>
  </si>
  <si>
    <t>Camping Site</t>
  </si>
  <si>
    <t>A place where visitors may pitch tents and camp.</t>
  </si>
  <si>
    <t>carPark</t>
  </si>
  <si>
    <t>Car Park</t>
  </si>
  <si>
    <t>A place where cars may be parked.</t>
  </si>
  <si>
    <t>caravanSite</t>
  </si>
  <si>
    <t>Caravan Site</t>
  </si>
  <si>
    <t>A place where caravans may be parked or where caravan accommodation is provided.</t>
  </si>
  <si>
    <t>chandler</t>
  </si>
  <si>
    <t>Chandler</t>
  </si>
  <si>
    <t>A dealer in supplies and equipment for ships.</t>
  </si>
  <si>
    <t>drinkingWater</t>
  </si>
  <si>
    <t>Drinking Water</t>
  </si>
  <si>
    <t>Water that is suitable for human consumption.</t>
  </si>
  <si>
    <t>electricity</t>
  </si>
  <si>
    <t>Electricity</t>
  </si>
  <si>
    <t>A place where a connection to an electrical supply is available.</t>
  </si>
  <si>
    <t>emergencyTelephone</t>
  </si>
  <si>
    <t>Emergency Telephone</t>
  </si>
  <si>
    <t>A place where a telephone is available for emergency use only.</t>
  </si>
  <si>
    <t>fuelStation</t>
  </si>
  <si>
    <t>Fuel Station</t>
  </si>
  <si>
    <t>A place where fuel is available.</t>
  </si>
  <si>
    <t>hotel</t>
  </si>
  <si>
    <t>Hotel</t>
  </si>
  <si>
    <t>An establishment, especially of a comfortable or luxurious kind, where paying visitors are provided with accommodation, meals and other services.</t>
  </si>
  <si>
    <t>launderette</t>
  </si>
  <si>
    <t>Launderette</t>
  </si>
  <si>
    <t>A place where there are facilities for washing clothes.</t>
  </si>
  <si>
    <t>mechanicsWorkshop</t>
  </si>
  <si>
    <t>Mechanics Workshop</t>
  </si>
  <si>
    <t>A place where mechanical repairs can be undertaken to engines or other equipment.</t>
  </si>
  <si>
    <t>noneAvailable</t>
  </si>
  <si>
    <t>None Available</t>
  </si>
  <si>
    <t>No facilities are available.</t>
  </si>
  <si>
    <t>pharmacy</t>
  </si>
  <si>
    <t>Pharmacy</t>
  </si>
  <si>
    <t>A place where medical drugs are dispensed.</t>
  </si>
  <si>
    <t>physician</t>
  </si>
  <si>
    <t>Physician</t>
  </si>
  <si>
    <t>A place where a physician is available to provide medical attention.</t>
  </si>
  <si>
    <t>picnicArea</t>
  </si>
  <si>
    <t>Picnic Area</t>
  </si>
  <si>
    <t>A place where people may go to eat a picnic.</t>
  </si>
  <si>
    <t>postBox</t>
  </si>
  <si>
    <t>Post Box</t>
  </si>
  <si>
    <t>A place where mail may be posted.</t>
  </si>
  <si>
    <t>provisions</t>
  </si>
  <si>
    <t>Provisions</t>
  </si>
  <si>
    <t>A place where food and other such supplies are available.</t>
  </si>
  <si>
    <t>publicTelephone</t>
  </si>
  <si>
    <t>Public Telephone</t>
  </si>
  <si>
    <t>A place where a telephone is available for public use.</t>
  </si>
  <si>
    <t>publicToilets</t>
  </si>
  <si>
    <t>Public Toilets</t>
  </si>
  <si>
    <t>A place where toilets are available for public use.</t>
  </si>
  <si>
    <t>rampMarine</t>
  </si>
  <si>
    <t>Ramp (Marine)</t>
  </si>
  <si>
    <t>A sloping structure that can either be used, as a landing place, at variable water levels, for small vessels (for example: landing ships and ferry boats), or for hauling a cradle carrying a small vessel.</t>
  </si>
  <si>
    <t>The cradle may travel on rails.</t>
  </si>
  <si>
    <t>refuseBin</t>
  </si>
  <si>
    <t>Refuse Bin</t>
  </si>
  <si>
    <t>A place where refuse may be dumped.</t>
  </si>
  <si>
    <t>restaurant</t>
  </si>
  <si>
    <t>Restaurant</t>
  </si>
  <si>
    <t>A commercial establishment serving food.</t>
  </si>
  <si>
    <t>sailmaker</t>
  </si>
  <si>
    <t>Sailmaker</t>
  </si>
  <si>
    <t>A place where sails are made or may be taken for repair.</t>
  </si>
  <si>
    <t>scrubbingBerth</t>
  </si>
  <si>
    <t>Scrubbing Berth</t>
  </si>
  <si>
    <t>A place where vessels may berth for the purpose of careening.</t>
  </si>
  <si>
    <t>securityService</t>
  </si>
  <si>
    <t>Security Service</t>
  </si>
  <si>
    <t>A place patrolled by a security service or where secure lockup is available.</t>
  </si>
  <si>
    <t>seweragePumpOutStation</t>
  </si>
  <si>
    <t>Sewerage Pump-out Station</t>
  </si>
  <si>
    <t>A place where sewerage may be pumped off a vessel.</t>
  </si>
  <si>
    <t>showers</t>
  </si>
  <si>
    <t>Showers</t>
  </si>
  <si>
    <t>A place where showers are available.</t>
  </si>
  <si>
    <t>visitorsBerth</t>
  </si>
  <si>
    <t>Visitors Berth</t>
  </si>
  <si>
    <t>A berth is set aside for the use of visiting vessels.</t>
  </si>
  <si>
    <t>visitorsMooring</t>
  </si>
  <si>
    <t>Visitors Mooring</t>
  </si>
  <si>
    <t>A mooring is set aside for the use of visiting vessels.</t>
  </si>
  <si>
    <t>yachtClub</t>
  </si>
  <si>
    <t>Yacht-club</t>
  </si>
  <si>
    <t>A facility for owners and/or sailors of yachts.</t>
  </si>
  <si>
    <t>a</t>
  </si>
  <si>
    <t>A</t>
  </si>
  <si>
    <t>Jet A aviation fuel.</t>
  </si>
  <si>
    <t>a1</t>
  </si>
  <si>
    <t>A1</t>
  </si>
  <si>
    <t>Jet A1 aviation fuel.</t>
  </si>
  <si>
    <t>TS1, F-35</t>
  </si>
  <si>
    <t>a1_Plus</t>
  </si>
  <si>
    <t>A1-Plus</t>
  </si>
  <si>
    <t>Jet A1-plus FS-II (freezing point minus 47 degrees Centigrade) aviation fuel.</t>
  </si>
  <si>
    <t>all</t>
  </si>
  <si>
    <t>All</t>
  </si>
  <si>
    <t>All regular fuel types.</t>
  </si>
  <si>
    <t>avGas</t>
  </si>
  <si>
    <t>AvGas</t>
  </si>
  <si>
    <t>Octane 100 aviation gasoline.</t>
  </si>
  <si>
    <t>avGas_LL</t>
  </si>
  <si>
    <t>AvGas-LL</t>
  </si>
  <si>
    <t>Octane 100 Low Lead aviation gasoline.</t>
  </si>
  <si>
    <t>F-18, B95, B100</t>
  </si>
  <si>
    <t>b</t>
  </si>
  <si>
    <t>B</t>
  </si>
  <si>
    <t>Jet B wide cut turbine fuel, without icing inhibitor.</t>
  </si>
  <si>
    <t>b_Plus</t>
  </si>
  <si>
    <t>B+</t>
  </si>
  <si>
    <t>Jet B wide cut turbine fuel, with icing inhibitor.</t>
  </si>
  <si>
    <t>Jet aviation fuel.</t>
  </si>
  <si>
    <t>jp1</t>
  </si>
  <si>
    <t>JP1</t>
  </si>
  <si>
    <t>Jet JP-1 aviation fuel.</t>
  </si>
  <si>
    <t>jp10</t>
  </si>
  <si>
    <t>JP10</t>
  </si>
  <si>
    <t>Jet JP-10 aviation fuel - missiles.</t>
  </si>
  <si>
    <t>jp2</t>
  </si>
  <si>
    <t>JP2</t>
  </si>
  <si>
    <t>Jet JP-2 aviation fuel.</t>
  </si>
  <si>
    <t>jp3</t>
  </si>
  <si>
    <t>JP3</t>
  </si>
  <si>
    <t>Jet JP-3 aviation fuel.</t>
  </si>
  <si>
    <t>jp4</t>
  </si>
  <si>
    <t>JP4</t>
  </si>
  <si>
    <t>Jet JP-4 wide cut turbine fuel.</t>
  </si>
  <si>
    <t>T2, F-40</t>
  </si>
  <si>
    <t>jp5</t>
  </si>
  <si>
    <t>JP5</t>
  </si>
  <si>
    <t>Jet JP-5 aviation fuel.</t>
  </si>
  <si>
    <t>F-44, T1, T5, T6, T7</t>
  </si>
  <si>
    <t>jp6</t>
  </si>
  <si>
    <t>JP6</t>
  </si>
  <si>
    <t>Jet JP-6 aviation fuel.</t>
  </si>
  <si>
    <t>jp7</t>
  </si>
  <si>
    <t>JP7</t>
  </si>
  <si>
    <t>Jet JP-7 aviation fuel.</t>
  </si>
  <si>
    <t>Glass tank fuel.</t>
  </si>
  <si>
    <t>jp8</t>
  </si>
  <si>
    <t>JP8</t>
  </si>
  <si>
    <t>Jet JP-8 aviation fuel with icing inhibitor.</t>
  </si>
  <si>
    <t>F-34</t>
  </si>
  <si>
    <t>jp8_Plus100</t>
  </si>
  <si>
    <t>JP8+100</t>
  </si>
  <si>
    <t>Jet A-1, Kerosene with FS-II (freezing point minus 47 degrees Centigrade), with fuel additive package that improves thermo stability characteristics of JP-8.</t>
  </si>
  <si>
    <t>jp9</t>
  </si>
  <si>
    <t>JP9</t>
  </si>
  <si>
    <t>Jet JP-9 aviation fuel - missiles.</t>
  </si>
  <si>
    <t>mogas</t>
  </si>
  <si>
    <t>MOGAS</t>
  </si>
  <si>
    <t>MOGAS aviation gasoline.</t>
  </si>
  <si>
    <t>octane100_130</t>
  </si>
  <si>
    <t>Octane 100-130</t>
  </si>
  <si>
    <t>Octane 100-130 aviation gasoline.</t>
  </si>
  <si>
    <t>octane108_135</t>
  </si>
  <si>
    <t>Octane 108-135</t>
  </si>
  <si>
    <t>Octane 108-135 aviation gasoline.</t>
  </si>
  <si>
    <t>octane115_145</t>
  </si>
  <si>
    <t>Octane 115-145</t>
  </si>
  <si>
    <t>Octane 115-145 aviation gasoline.</t>
  </si>
  <si>
    <t>BA, F-22</t>
  </si>
  <si>
    <t>octane73</t>
  </si>
  <si>
    <t>Octane 73</t>
  </si>
  <si>
    <t>Octane 73 aviation gasoline.</t>
  </si>
  <si>
    <t>octane80</t>
  </si>
  <si>
    <t>Octane 80</t>
  </si>
  <si>
    <t>Octane 80 aviation gasoline.</t>
  </si>
  <si>
    <t>F-12</t>
  </si>
  <si>
    <t>octane80_87</t>
  </si>
  <si>
    <t>Octane 80-87</t>
  </si>
  <si>
    <t>Octane 80-87 aviation gasoline.</t>
  </si>
  <si>
    <t>octane82Unleaded</t>
  </si>
  <si>
    <t>Octane 82 Unleaded</t>
  </si>
  <si>
    <t>Octane 82 low-octane unleaded aviation gasoline.</t>
  </si>
  <si>
    <t>octane91_98</t>
  </si>
  <si>
    <t>Octane 91-98</t>
  </si>
  <si>
    <t>Octane 91-96 aviation gasoline.</t>
  </si>
  <si>
    <t>B91</t>
  </si>
  <si>
    <t>rt</t>
  </si>
  <si>
    <t>RT</t>
  </si>
  <si>
    <t>(Russia) jet RT aviation fuel.</t>
  </si>
  <si>
    <t>tr0</t>
  </si>
  <si>
    <t>TR0</t>
  </si>
  <si>
    <t>(France) jet TR0 aviation fuel.</t>
  </si>
  <si>
    <t>tr4</t>
  </si>
  <si>
    <t>TR4</t>
  </si>
  <si>
    <t>(France) jet TR4 aviation fuel.</t>
  </si>
  <si>
    <t>c_635</t>
  </si>
  <si>
    <t>C-635</t>
  </si>
  <si>
    <t>Hydraulic Fluid, Petroleum Based.</t>
  </si>
  <si>
    <t>h_515</t>
  </si>
  <si>
    <t>H-515</t>
  </si>
  <si>
    <t>h_520</t>
  </si>
  <si>
    <t>H-520</t>
  </si>
  <si>
    <t>h_537</t>
  </si>
  <si>
    <t>H-537</t>
  </si>
  <si>
    <t>Hydraulic Fluid, Polyalphaolefin based, Flame Resistant.</t>
  </si>
  <si>
    <t>MIL-H-83282</t>
  </si>
  <si>
    <t>h_538</t>
  </si>
  <si>
    <t>H-538</t>
  </si>
  <si>
    <t>Hydraulic Fluid, Polyalphaolefin based.</t>
  </si>
  <si>
    <t>h_544</t>
  </si>
  <si>
    <t>H-544</t>
  </si>
  <si>
    <t>skydrol</t>
  </si>
  <si>
    <t>Skydrol</t>
  </si>
  <si>
    <t>Phosphate-Ester based.</t>
  </si>
  <si>
    <t>bottle</t>
  </si>
  <si>
    <t>Bottle</t>
  </si>
  <si>
    <t>Nitrogen replacement bottles available when pressure is not specified.</t>
  </si>
  <si>
    <t>directTransfer</t>
  </si>
  <si>
    <t>Direct Transfer</t>
  </si>
  <si>
    <t>Indicates nitrogen available when type of servicing is unspecified.</t>
  </si>
  <si>
    <t>gasDirectTransfer</t>
  </si>
  <si>
    <t>Gas Direct Transfer</t>
  </si>
  <si>
    <t>Low and high pressure nitrogen available from servicing equipment.</t>
  </si>
  <si>
    <t>highPressureBottle</t>
  </si>
  <si>
    <t>High Pressure Bottle</t>
  </si>
  <si>
    <t>Nitrogen available only in high pressure replacement bottles.</t>
  </si>
  <si>
    <t>highPressureDirectTransfer</t>
  </si>
  <si>
    <t>High Pressure Direct Transfer</t>
  </si>
  <si>
    <t>Nitrogen available, under high pressure only, from servicing equipment.</t>
  </si>
  <si>
    <t>liquidDirectTransfer</t>
  </si>
  <si>
    <t>Liquid Direct Transfer</t>
  </si>
  <si>
    <t>Liquid nitrogen available from servicing equipment.</t>
  </si>
  <si>
    <t>lowPressureBottle</t>
  </si>
  <si>
    <t>Low Pressure Bottle</t>
  </si>
  <si>
    <t>Nitrogen available only in low pressure replacement bottles.</t>
  </si>
  <si>
    <t>lowPressureDirectTransfer</t>
  </si>
  <si>
    <t>Low Pressure Direct Transfer</t>
  </si>
  <si>
    <t>Nitrogen available, under low pressure only, from servicing equipment.</t>
  </si>
  <si>
    <t>o_113</t>
  </si>
  <si>
    <t>O-113</t>
  </si>
  <si>
    <t>1065, Reciprocating Engine Oil (MIL-L-6082).</t>
  </si>
  <si>
    <t>o_117</t>
  </si>
  <si>
    <t>O-117</t>
  </si>
  <si>
    <t>1100, Reciprocating Engine Oil (MIL-L-6082).</t>
  </si>
  <si>
    <t>o_117Plus</t>
  </si>
  <si>
    <t>O-117+</t>
  </si>
  <si>
    <t>1100, O-117 plus cyclohexanone (MIL-L-6082).</t>
  </si>
  <si>
    <t>o_123</t>
  </si>
  <si>
    <t>O-123</t>
  </si>
  <si>
    <t>1065, (Dispersant), Reciprocating Engine Oil (MIL-L-22851 Type III).</t>
  </si>
  <si>
    <t>o_128</t>
  </si>
  <si>
    <t>O-128</t>
  </si>
  <si>
    <t>1100, (Dispersant), Reciprocating Engine Oil (MIL-L-22851 Type II).</t>
  </si>
  <si>
    <t>o_132</t>
  </si>
  <si>
    <t>O-132</t>
  </si>
  <si>
    <t>1005, Jet Engine Oil (MIL-L-6081).</t>
  </si>
  <si>
    <t>o_133</t>
  </si>
  <si>
    <t>O-133</t>
  </si>
  <si>
    <t>1010, Jet Engine Oil (MIL-L-6081).</t>
  </si>
  <si>
    <t>o_135</t>
  </si>
  <si>
    <t>O-135</t>
  </si>
  <si>
    <t>Lubricating Oil, Aircraft Turbine Engine, Petroleum.</t>
  </si>
  <si>
    <t>o_138</t>
  </si>
  <si>
    <t>O-138</t>
  </si>
  <si>
    <t>o_147</t>
  </si>
  <si>
    <t>O-147</t>
  </si>
  <si>
    <t>MIL-L-6085A Lubricating Oil, Instrument, Synthetic.</t>
  </si>
  <si>
    <t>o_148</t>
  </si>
  <si>
    <t>O-148</t>
  </si>
  <si>
    <t>MIL-L-7808 (Synthetic Base) Turbine Engine Oil.</t>
  </si>
  <si>
    <t>o_149</t>
  </si>
  <si>
    <t>O-149</t>
  </si>
  <si>
    <t>Aircraft Turbine Engine Synthetic, 7.5c St.</t>
  </si>
  <si>
    <t>o_153</t>
  </si>
  <si>
    <t>O-153</t>
  </si>
  <si>
    <t>Lubricating Oil, Gear, Helicopter.</t>
  </si>
  <si>
    <t>o_155</t>
  </si>
  <si>
    <t>O-155</t>
  </si>
  <si>
    <t>MIL-L-6086C, Aircraft, Medium Grade.</t>
  </si>
  <si>
    <t>o_156</t>
  </si>
  <si>
    <t>O-156</t>
  </si>
  <si>
    <t>MIL-L-23699 (Synthetic Base), Turboprop and Turboshaft Engines.</t>
  </si>
  <si>
    <t>o_160</t>
  </si>
  <si>
    <t>O-160</t>
  </si>
  <si>
    <t>Lubricating Oil, Aircraft Turbine Engine, Synthetic.</t>
  </si>
  <si>
    <t>o_190</t>
  </si>
  <si>
    <t>O-190</t>
  </si>
  <si>
    <t>Lubricating Oil, General Use.</t>
  </si>
  <si>
    <t>o_226</t>
  </si>
  <si>
    <t>O-226</t>
  </si>
  <si>
    <t>Lubricating Oil, Gear, (SAE 80W-90).</t>
  </si>
  <si>
    <t>OXRB</t>
  </si>
  <si>
    <t>Oxygen replacement bottles available when pressure is not specified.</t>
  </si>
  <si>
    <t>OX</t>
  </si>
  <si>
    <t>Indicates oxygen available when type of servicing is unspecified.</t>
  </si>
  <si>
    <t>LHOX</t>
  </si>
  <si>
    <t>Low and high pressure oxygen available from servicing equipment.</t>
  </si>
  <si>
    <t>Oxygen available only in high pressure replacement bottles.</t>
  </si>
  <si>
    <t>HOXRB, HPOXRB</t>
  </si>
  <si>
    <t>HPOX</t>
  </si>
  <si>
    <t>Oxygen available, under high pressure only, from servicing equipment.</t>
  </si>
  <si>
    <t>LOX</t>
  </si>
  <si>
    <t>Liquid oxygen available from servicing equipment.</t>
  </si>
  <si>
    <t>Oxygen available only in low pressure replacement bottles.</t>
  </si>
  <si>
    <t>LOXRB, LPOXRB</t>
  </si>
  <si>
    <t>LPOX</t>
  </si>
  <si>
    <t>Oxygen available, under low pressure only, from servicing equipment.</t>
  </si>
  <si>
    <t>airportOfEntry</t>
  </si>
  <si>
    <t>Airport of Entry</t>
  </si>
  <si>
    <t>An aerodrome that provides full customs and immigration services, which are readily available to any landing aircraft.</t>
  </si>
  <si>
    <t>Customs and immigration services are mandated by law to be available at an airport of entry.</t>
  </si>
  <si>
    <t>airportOfEntryLandRights</t>
  </si>
  <si>
    <t>Airport of Entry and Landing Rights Airport</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</si>
  <si>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</si>
  <si>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</si>
  <si>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landingRightsAirport</t>
  </si>
  <si>
    <t>Landing Rights Airport</t>
  </si>
  <si>
    <t>An aerodrome for which an aircraft on an international flight plan must obtain prior permission to land from the appropriate authority.</t>
  </si>
  <si>
    <t>Customs and immigration services must be requested at a landing rights airport.</t>
  </si>
  <si>
    <t>limitedAirportOfEntry</t>
  </si>
  <si>
    <t>Limited Airport of Entry</t>
  </si>
  <si>
    <t>An aerodrome that provides customs and immigration services, but those services are only available at certain times or on occasion.</t>
  </si>
  <si>
    <t>limitedLandingRightsAirport</t>
  </si>
  <si>
    <t>Limited Landing Rights Airport</t>
  </si>
  <si>
    <t>An aerodrome for which an aircraft must obtain prior permission to land, but that permission is only available at certain times.</t>
  </si>
  <si>
    <t>regularAirportOfEntry</t>
  </si>
  <si>
    <t>Regular Airport of Entry</t>
  </si>
  <si>
    <t>An aerodrome for which full customs and immigration services are regularly available and that has been designated by the appropriate authority as a recommended entry point for international flights.</t>
  </si>
  <si>
    <t>regularLandingRightsAirport</t>
  </si>
  <si>
    <t>Regular Landing Rights Airport</t>
  </si>
  <si>
    <t>An aerodrome for which prior permission is required to land and which has been designated by the appropriate authority as a recommended entry point for international flights.</t>
  </si>
  <si>
    <t>no</t>
  </si>
  <si>
    <t>No</t>
  </si>
  <si>
    <t>There is no capability to fly the course line along the extended centerline of a runway, in the opposite direction to the front or approach course.</t>
  </si>
  <si>
    <t>There is limited capability of the course line along the extended centerline of a runway, in the opposite direction to the front or approach course.</t>
  </si>
  <si>
    <t>Some partial capability of this 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</si>
  <si>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yes</t>
  </si>
  <si>
    <t>Yes</t>
  </si>
  <si>
    <t>There is full normal limits capability of the course line along the extended centerline of a runway, in the opposite direction to the front or approach course.</t>
  </si>
  <si>
    <t>Course guidance throughout the descent path to the runway threshold from a distance of 18 nautical miles from the antenna between an altitude of 1000 feet above the highest terrain along the course line and 4 500 feet above the elevation of the antenna site. Proper off-course indications are provided to 10 arc degrees either side of the course along a radius of 18 nautical miles from the antenna, and from 10 to 35 arc degrees either side of the course along a radius of 10 nautical miles.</t>
  </si>
  <si>
    <t>indeterminate</t>
  </si>
  <si>
    <t>Indeterminate</t>
  </si>
  <si>
    <t>Due to indistinct flow or for other reasons (for example: obscuration), the predominant direction of adjacent waterbody flow can not be determined.</t>
  </si>
  <si>
    <t>left</t>
  </si>
  <si>
    <t>Left</t>
  </si>
  <si>
    <t>When facing the flowing waterbody, the predominant flow is from right to left.</t>
  </si>
  <si>
    <t>Viewed from the flowing waterbody while facing downstream the bank is thus on the left.</t>
  </si>
  <si>
    <t>noFlow</t>
  </si>
  <si>
    <t>No Flow</t>
  </si>
  <si>
    <t>The adjacent waterbody does not exhibit significant flow (for example: a lake).</t>
  </si>
  <si>
    <t>right</t>
  </si>
  <si>
    <t>Right</t>
  </si>
  <si>
    <t>When facing the flowing waterbody, the predominant flow is from left to right.</t>
  </si>
  <si>
    <t>Viewed from the flowing waterbody while facing downstream the bank is thus on the right.</t>
  </si>
  <si>
    <t>bog</t>
  </si>
  <si>
    <t>It is generally too soft to bear the weight of any heavy body.</t>
  </si>
  <si>
    <t>brush</t>
  </si>
  <si>
    <t>cropLand</t>
  </si>
  <si>
    <t>forestClearing</t>
  </si>
  <si>
    <t>Open, treeless areas that are not managed as farmland and are generally dominated by native grasses.</t>
  </si>
  <si>
    <t>jungle</t>
  </si>
  <si>
    <t>Jungle</t>
  </si>
  <si>
    <t>A tract of land that is densely overgrown with tropical vegetation and trees.</t>
  </si>
  <si>
    <t>A forest with many trees usually of many different species growing close to each other. Most often found in equatorial areas with high levels of rainfall.</t>
  </si>
  <si>
    <t>reclaimedLand</t>
  </si>
  <si>
    <t>Reclaimed Land</t>
  </si>
  <si>
    <t>An area where the ground surface has been increased, usually by filling, thus changing the shoreline.</t>
  </si>
  <si>
    <t>The area has been so physically disturbed by human activity as to have no significant vegetation.</t>
  </si>
  <si>
    <t>scrubland</t>
  </si>
  <si>
    <t>shrub</t>
  </si>
  <si>
    <t>Shrub</t>
  </si>
  <si>
    <t>An area covered by woody perennial plants, generally of more than 0.5 metre and less than 5 metre height, and often without a definite stem and crown.</t>
  </si>
  <si>
    <t>swamp</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</si>
  <si>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 A subtype of the more generalized wetland.</t>
  </si>
  <si>
    <t>thicket</t>
  </si>
  <si>
    <t>unvegetatedLand</t>
  </si>
  <si>
    <t>A tract of trees whose canopy is not closed (allows sunlight to reach the ground) and often includes undergrowth.</t>
  </si>
  <si>
    <t>Woods</t>
  </si>
  <si>
    <t>barbedWire</t>
  </si>
  <si>
    <t>Barbed Wire</t>
  </si>
  <si>
    <t>Constructed of twisted wire strands with short pointed pieces inserted at intervals.</t>
  </si>
  <si>
    <t>chainLink</t>
  </si>
  <si>
    <t>Chain-link</t>
  </si>
  <si>
    <t>Constructed of heavy wire in a diamond-shaped mesh.</t>
  </si>
  <si>
    <t>Usually the top is left untreated, thus exposing an irregular edge.</t>
  </si>
  <si>
    <t>concertinaWire</t>
  </si>
  <si>
    <t>Concertina Wire</t>
  </si>
  <si>
    <t>A type of barbed wire or razor wire that is formed in large coils, each consisting of two oppositely wound helices which support each other against crushing, that are expanded like a concertina.</t>
  </si>
  <si>
    <t>electricWire</t>
  </si>
  <si>
    <t>Electrified Wire</t>
  </si>
  <si>
    <t>Constructed of wire that is supported by insulators and electrified so as to shock an animal touching it.</t>
  </si>
  <si>
    <t>The shock is usually mild for animal fences but potentially life threatening for security fences.</t>
  </si>
  <si>
    <t>spiked</t>
  </si>
  <si>
    <t>Spiked</t>
  </si>
  <si>
    <t>Surmounted by a dense set of spiked and/or sharp structures (for example: sharp rocks, nails, broken glass, or manufactured saw-toothed metal 'combs').</t>
  </si>
  <si>
    <t>caisson</t>
  </si>
  <si>
    <t>Caisson</t>
  </si>
  <si>
    <t>A steel structure used for closing the entrance of locks, wet docks, and dry docks.</t>
  </si>
  <si>
    <t>lockGate</t>
  </si>
  <si>
    <t>Lock Gate</t>
  </si>
  <si>
    <t>The massive hinged doors at each end of a lock.</t>
  </si>
  <si>
    <t>tideLock</t>
  </si>
  <si>
    <t>Tide Lock</t>
  </si>
  <si>
    <t>A gate positioned between a canal or basin and tidal water that is used to maintain the water level in the canal or basin at a desired level as the height of the tide changes.</t>
  </si>
  <si>
    <t>The gates are opened when the height of the tide exceeds a predetermined level.</t>
  </si>
  <si>
    <t>depthDoubtful</t>
  </si>
  <si>
    <t>Depth Doubtful</t>
  </si>
  <si>
    <t>The depth or drying height may be less than indicated.</t>
  </si>
  <si>
    <t>For negative depth values, the drying height may be greater or less than indicated.</t>
  </si>
  <si>
    <t>depthKnown</t>
  </si>
  <si>
    <t>Depth Known</t>
  </si>
  <si>
    <t>The depth from the chart datum to the bottom (or to the top of the dry feature) is known.</t>
  </si>
  <si>
    <t>For negative depth values, the drying height is known.</t>
  </si>
  <si>
    <t>depthUnknown</t>
  </si>
  <si>
    <t>Depth Unknown</t>
  </si>
  <si>
    <t>The depth from the chart datum to the bottom (or to the top of the dry feature) is unknown.</t>
  </si>
  <si>
    <t>For negative depth values, the drying height is not known.</t>
  </si>
  <si>
    <t>depthUnreliable</t>
  </si>
  <si>
    <t>Depth Unreliable</t>
  </si>
  <si>
    <t>The depth or drying height is considered to be an unreliable value.</t>
  </si>
  <si>
    <t>For negative depth values, the drying height is considered to be an unreliable value.</t>
  </si>
  <si>
    <t>leastDepth</t>
  </si>
  <si>
    <t>Least Depth</t>
  </si>
  <si>
    <t>The shoalest depth over a feature is known.</t>
  </si>
  <si>
    <t>maintainedDepth</t>
  </si>
  <si>
    <t>Maintained Depth</t>
  </si>
  <si>
    <t>The depth at which a channel is kept by human influence, usually by dredging.</t>
  </si>
  <si>
    <t>noBottom</t>
  </si>
  <si>
    <t>No Bottom</t>
  </si>
  <si>
    <t>The bottom was not reached because the general depths were too great for the method of measurement.</t>
  </si>
  <si>
    <t>reportedDepth</t>
  </si>
  <si>
    <t>Reported Depth</t>
  </si>
  <si>
    <t>The depth or drying height was obtained from a report, but not fully surveyed.</t>
  </si>
  <si>
    <t>For negative depth values, the drying height was received from a report.</t>
  </si>
  <si>
    <t>safeClearanceKnown</t>
  </si>
  <si>
    <t>Safe Clearance Known</t>
  </si>
  <si>
    <t>The depth from the chart datum to the bottom is not known, but there is considered to be safe clearance at the stated depth.</t>
  </si>
  <si>
    <t>unconfirmedDepth</t>
  </si>
  <si>
    <t>Unconfirmed Depth</t>
  </si>
  <si>
    <t>The depth or drying height was obtained from a report, which it has not been possible to confirm.</t>
  </si>
  <si>
    <t>For negative depth values, the drying height has not been confirmed.</t>
  </si>
  <si>
    <t>unmaintainedDepth</t>
  </si>
  <si>
    <t>Unmaintained Depth</t>
  </si>
  <si>
    <t>The depth may be altered by human influence, but is not routinely maintained.</t>
  </si>
  <si>
    <t>areaSweptbySideScanSonar</t>
  </si>
  <si>
    <t>Area Swept by Side-scan Sonar</t>
  </si>
  <si>
    <t>The given area was determined to be free from navigational dangers to a certain depth by towing a side-scan-sonar.</t>
  </si>
  <si>
    <t>areaSweptVertAcousticSys</t>
  </si>
  <si>
    <t>Area Swept by Vertical Acoustic System</t>
  </si>
  <si>
    <t>The given area was determined to be free from navigational dangers to a certain depth by using a system comprised of multiple echo sounder transducers attached to booms deployed from the survey vessel.</t>
  </si>
  <si>
    <t>areaSweptWireDrag</t>
  </si>
  <si>
    <t>Area Swept by Wire-drag</t>
  </si>
  <si>
    <t>The given area was determined to be free from navigational dangers to a certain depth by towing a buoyed wire at the desired depth by two launches, or a least depth was identified using the same technique.</t>
  </si>
  <si>
    <t>bathymetricLidar</t>
  </si>
  <si>
    <t>Bathymetric LiDAR</t>
  </si>
  <si>
    <t>The depth was determined by using a Light Detection and Ranging (LiDAR) instrument in which a laser measures distances by calculating return time of sea floor bottom reflecting surfaces.</t>
  </si>
  <si>
    <t>For bathymetry collection (generally limited to shallow, clear water) typically operates at 534 nanometre wavelength.</t>
  </si>
  <si>
    <t>computerGenerated</t>
  </si>
  <si>
    <t>Computer Generated</t>
  </si>
  <si>
    <t>The depth was determined from a bottom model constructed using a computer.</t>
  </si>
  <si>
    <t>diver</t>
  </si>
  <si>
    <t>Diver</t>
  </si>
  <si>
    <t>The depth was determined by a person skilled in the practice of diving.</t>
  </si>
  <si>
    <t>echoSounder</t>
  </si>
  <si>
    <t>Echo Sounder</t>
  </si>
  <si>
    <t>The depth was determined by using an instrument that determines depth of water by measuring the time interval between emission of a sonic or ultrasonic signal and return of its echo from the bottom.</t>
  </si>
  <si>
    <t>For example, a fathometer or Precision Depth Recorder (PDR).</t>
  </si>
  <si>
    <t>Single Beam Sonar</t>
  </si>
  <si>
    <t>electromagneticSensor</t>
  </si>
  <si>
    <t>Electromagnetic Sensor</t>
  </si>
  <si>
    <t>The depth was determined by using an instrument that compares electromagnetic signals.</t>
  </si>
  <si>
    <t>Used, for example, to determine bathymetry through an ice-covered water body surface.</t>
  </si>
  <si>
    <t>leadLine</t>
  </si>
  <si>
    <t>Lead-line</t>
  </si>
  <si>
    <t>The depth was determined by using a line, graduated with attached marks and fastened to a sounding lead.</t>
  </si>
  <si>
    <t>levelling</t>
  </si>
  <si>
    <t>Levelling</t>
  </si>
  <si>
    <t>The depth was determined by using levelling techniques to find the elevation of the point relative to a datum.</t>
  </si>
  <si>
    <t>multiBeamEchoSounder</t>
  </si>
  <si>
    <t>Multi-beam Echo Sounder</t>
  </si>
  <si>
    <t>The depth was determined by using a wide swath echo sounder that uses multiple beams to measure depths directly below and transverse to the ship's track.</t>
  </si>
  <si>
    <t>photogrammetry</t>
  </si>
  <si>
    <t>Photogrammetry</t>
  </si>
  <si>
    <t>The depth was determined by applying mathematical techniques to photographs.</t>
  </si>
  <si>
    <t>satelliteImagery</t>
  </si>
  <si>
    <t>Satellite Imagery</t>
  </si>
  <si>
    <t>The depth was determined by using instruments placed aboard an artificial satellite.</t>
  </si>
  <si>
    <t>sideScanSonar</t>
  </si>
  <si>
    <t>Side-scan Sonar</t>
  </si>
  <si>
    <t>The depth was computed from a record produced by active sonar in which fixed acoustic beams are directed into the water perpendicularly to the direction of travel to scan the bottom and generate a record of the bottom configuration.</t>
  </si>
  <si>
    <t>singlebeam</t>
  </si>
  <si>
    <t>Singlebeam</t>
  </si>
  <si>
    <t>The depth was determined by using an echo sounder that uses a single beam to measure depths below the ship's track.</t>
  </si>
  <si>
    <t>underwaterUtilityVehicle</t>
  </si>
  <si>
    <t>Underwater Utility Vehicle</t>
  </si>
  <si>
    <t>The depth was determined utilizing sonar on board an Underwater Utility Vehicle (UUV).</t>
  </si>
  <si>
    <t>concave</t>
  </si>
  <si>
    <t>Concave</t>
  </si>
  <si>
    <t>The centre of the beach curves inward towards the land mass.</t>
  </si>
  <si>
    <t>convex</t>
  </si>
  <si>
    <t>Convex</t>
  </si>
  <si>
    <t>The centre of the beach curves (bulges) outwards into the water.</t>
  </si>
  <si>
    <t>The beach configuration is without symmetry or even shape.</t>
  </si>
  <si>
    <t>straight</t>
  </si>
  <si>
    <t>Straight</t>
  </si>
  <si>
    <t>The beach is essentially linear, without curves.</t>
  </si>
  <si>
    <t>beachLandingSite</t>
  </si>
  <si>
    <t>firstOrder</t>
  </si>
  <si>
    <t>First-order</t>
  </si>
  <si>
    <t>A primary administrative division of a country.</t>
  </si>
  <si>
    <t>For example, a state in the United States.</t>
  </si>
  <si>
    <t>fourthOrder</t>
  </si>
  <si>
    <t>Fourth-order</t>
  </si>
  <si>
    <t>A subdivision of a third-order administrative division.</t>
  </si>
  <si>
    <t>secondOrder</t>
  </si>
  <si>
    <t>Second-order</t>
  </si>
  <si>
    <t>A subdivision of a first-order administrative division.</t>
  </si>
  <si>
    <t>For example, a county in the United States.</t>
  </si>
  <si>
    <t>thirdOrder</t>
  </si>
  <si>
    <t>Third-order</t>
  </si>
  <si>
    <t>A subdivision of a second-order administrative division.</t>
  </si>
  <si>
    <t>undifferentiated</t>
  </si>
  <si>
    <t>Undifferentiated</t>
  </si>
  <si>
    <t>An administrative division of a country, undifferentiated as to administrative level.</t>
  </si>
  <si>
    <t>atlanticPlateauBog</t>
  </si>
  <si>
    <t>Atlantic Plateau Bog</t>
  </si>
  <si>
    <t>A bog with a flat to undulating surface raised above the surrounding terrain and whose edges commonly slope steeply downwards to the mineral soil terrain.</t>
  </si>
  <si>
    <t>Large pools scattered on the bog may reach depths of 2 to 4 metre.</t>
  </si>
  <si>
    <t>basinBog</t>
  </si>
  <si>
    <t>Basin Bog</t>
  </si>
  <si>
    <t>A bog situated in a basin with essentially closed drainage which receives water from precipitation and runoff from the immediate surroundings.</t>
  </si>
  <si>
    <t>The surface of the bog is flat with peat generally deepest at the centre.</t>
  </si>
  <si>
    <t>blanketBog</t>
  </si>
  <si>
    <t>Blanket Bog</t>
  </si>
  <si>
    <t>A bog consisting of extensive peat deposits that occur more or less uniformly over gently sloping hills and valleys.</t>
  </si>
  <si>
    <t>The peat thickness is usually less than 2 metres.</t>
  </si>
  <si>
    <t>cranberryBog</t>
  </si>
  <si>
    <t>Cranberry Bog</t>
  </si>
  <si>
    <t>A man-made bog used for the farming of cranberries, heavily watered (2-3 centimetres per week) during the growing season and generally flooded during the winter season and for berry harvesting.</t>
  </si>
  <si>
    <t>For construction utilizing an existing peat bog the site is ditched to drain the peat and the tops of the bogs are scraped level and then covered with a 3 to 6 inch layer of coarse sand. Upland sites typically range from sandy sites with a naturally high water table, to impermeable clay based sites with no natural water table.</t>
  </si>
  <si>
    <t>domedBog</t>
  </si>
  <si>
    <t>Domed Bog</t>
  </si>
  <si>
    <t>A large bog (diameter usually greater than 500 metres) with a convex surface rising several metres above the surrounding terrain whose centre usually drains in all directions.</t>
  </si>
  <si>
    <t>Small crescentic pools commonly form around the highest point; a concentric pattern is formed if the highest point is in the centre, while an eccentric pattern is formed if the highest point is off-centre. The peat thickness is usually greater than 3 metres.</t>
  </si>
  <si>
    <t>fen</t>
  </si>
  <si>
    <t>Fen</t>
  </si>
  <si>
    <t>A fen whose morphology and/or dominant vegetation has not been determined.</t>
  </si>
  <si>
    <t>A fen is similar to a bog but may have alkaline, neutral, or only slightly acid peaty soil whereas a bog is generally very acidic.</t>
  </si>
  <si>
    <t>flatBog</t>
  </si>
  <si>
    <t>Flat Bog</t>
  </si>
  <si>
    <t>A bog having a flat, featureless surface and occurring in broad, poorly defined depressions.</t>
  </si>
  <si>
    <t>The depth of peat is generally uniform.</t>
  </si>
  <si>
    <t>horizontalFen</t>
  </si>
  <si>
    <t>Horizontal Fen</t>
  </si>
  <si>
    <t>A fen with a gently sloping, featureless surface occupying broad, often ill-defined depressions and potentially interconnecting with other fens.</t>
  </si>
  <si>
    <t>lowlandPolygonBog</t>
  </si>
  <si>
    <t>Lowland Polygon Bog</t>
  </si>
  <si>
    <t>A bog with flat-topped or convex peat surfaces (often referred to as 'high-centre polygons') separated by trenches over ice wedges that form a polygonal pattern when viewed from above.</t>
  </si>
  <si>
    <t>The peat was deposited in a permafrost environment as shown by internal structures.</t>
  </si>
  <si>
    <t>northernRibbedFen</t>
  </si>
  <si>
    <t>Northern Ribbed Fen</t>
  </si>
  <si>
    <t>A fen with parallel, low peat ridges ('strings') alternating with wet hollows or shallow pools, oriented across the major slope at right angles to water movement.</t>
  </si>
  <si>
    <t>The depth of peat is greater than 1 metre.</t>
  </si>
  <si>
    <t>palsaBog</t>
  </si>
  <si>
    <t>Palsa Bog</t>
  </si>
  <si>
    <t>A bog consisting of a mound or ridge of peat covered with vegetation and containing a core of frozen peat or mineral soil in which are numerous ice lenses.</t>
  </si>
  <si>
    <t>A landform of subarctic regions.</t>
  </si>
  <si>
    <t>peatBog</t>
  </si>
  <si>
    <t>Peat Bog</t>
  </si>
  <si>
    <t>A bog whose morphology and/or dominant vegetation has not been determined.</t>
  </si>
  <si>
    <t>peatPlateauBog</t>
  </si>
  <si>
    <t>Peat Plateau Bog</t>
  </si>
  <si>
    <t>A bog composed of perennially frozen peat rising abruptly about 1 metre from the surrounding unfrozen fen and whose surface is relatively flat and even.</t>
  </si>
  <si>
    <t>It commonly covers large areas. The peat was originally deposited in a nonpermafrost environment and is associated in many places with collapse scar bogs or fens.</t>
  </si>
  <si>
    <t>polygonalPeatPlateauBog</t>
  </si>
  <si>
    <t>Polygonal Peat Plateau Bog</t>
  </si>
  <si>
    <t>A perennially frozen bog rising approximately 1 metre above the surrounding fen and whose surface is relatively flat, scored by a polygonal pattern of trenches that developed over ice wedges.</t>
  </si>
  <si>
    <t>The permafrost and ice wedges developed in peat originally deposited in a nonpermafrost environment.</t>
  </si>
  <si>
    <t>shoreFen</t>
  </si>
  <si>
    <t>Shore Fen</t>
  </si>
  <si>
    <t>A fen with an anchored surface mat that forms the shore of a pond or lake.</t>
  </si>
  <si>
    <t>The rooting zone is affected by the water of the lake at both normal and flood levels.</t>
  </si>
  <si>
    <t>slopeBog</t>
  </si>
  <si>
    <t>Slope Bog</t>
  </si>
  <si>
    <t>A bog occurring in areas of high rainfall on appreciably sloping land surfaces, being fed by rainwater and by water draining from other nutrient-poor peatlands.</t>
  </si>
  <si>
    <t>The peat thickness may exceed 1 metre.</t>
  </si>
  <si>
    <t>slopeFen</t>
  </si>
  <si>
    <t>Slope Fen</t>
  </si>
  <si>
    <t>A fen occurring mainly on slow-draining, nutrient-enriched seepage slopes on which pools are usually absent, but wet seepage tracks may occur.</t>
  </si>
  <si>
    <t>stringBog</t>
  </si>
  <si>
    <t>String Bog</t>
  </si>
  <si>
    <t>A bog characterized by a pattern of narrow (2 to 3 metre wide), low (less than 1 metre high) ridges oriented at right angles to the direction of drainage with wet depressions or pools occurring between the ridges.</t>
  </si>
  <si>
    <t>The water and peat are very low in nutrients because the water has been derived from other ombrotrophic wetlands. The peat thickness is greater than 1 metre.</t>
  </si>
  <si>
    <t>veneerBog</t>
  </si>
  <si>
    <t>Veneer Bog</t>
  </si>
  <si>
    <t>A bog occurring on gently sloping terrain underlain by generally discontinuous permafrost with drainage predominantly below the surface.</t>
  </si>
  <si>
    <t>Overland flow occurs in poorly defined drainways during peak runoff. The peat thickness is usually less than 1.5 metres.</t>
  </si>
  <si>
    <t>mooring</t>
  </si>
  <si>
    <t>Mooring</t>
  </si>
  <si>
    <t>A vertical post to which ships are moored.</t>
  </si>
  <si>
    <t>The bollard may be made out of wood, iron or stone. Mooring bollards are located where ships are berthed, such as at a pier, wharf or quay. A ship is moored to a bollard with a mooring chain.</t>
  </si>
  <si>
    <t>safetySecurity</t>
  </si>
  <si>
    <t>Safety and Security</t>
  </si>
  <si>
    <t>A vertical post or object that is used to delineate, protect, or to limit vehicle access to an area.</t>
  </si>
  <si>
    <t>Safety and security bollards have many uses, including, for example: infrastructure protection, traffic flow management, pedestrian safety and terrorist threat protection. Safety and security bollards are designed in a wide variety of shapes and sizes, ranging from short bell-shaped objects to large planter-like objects.</t>
  </si>
  <si>
    <t>bridge</t>
  </si>
  <si>
    <t>An elevated structure connecting locations in neighboring States that carries a transportation route (for example: a road or a railway) over a border obstacle (for example: a waterbody).</t>
  </si>
  <si>
    <t>crossing</t>
  </si>
  <si>
    <t>No specialized transportation structure is present as the neighboring States are not separated by a significant natural obstacle.</t>
  </si>
  <si>
    <t>Additional structures may be present whose purpose is to control transport flow, for example: gates.</t>
  </si>
  <si>
    <t>dam</t>
  </si>
  <si>
    <t>A barrier across a waterbody between neighboring States that carries a transportation route along its top.</t>
  </si>
  <si>
    <t>Constructed to hold back water and raise its level to form a reservoir or to prevent flooding.</t>
  </si>
  <si>
    <t>ferry</t>
  </si>
  <si>
    <t>Ferry</t>
  </si>
  <si>
    <t>A ferry that crosses a waterbody between neighboring States.</t>
  </si>
  <si>
    <t>May carry pedestrians, motor vehicles, and occasionally railway rolling stock.</t>
  </si>
  <si>
    <t>tunnel</t>
  </si>
  <si>
    <t>An underground passage connecting locations in neighboring States that is open at both ends and provides for the passage of a transportation route (for example: a road and/or a railway) under a border obstacle (for example: a mountain or a waterbody).</t>
  </si>
  <si>
    <t>cathodicProtectionWell</t>
  </si>
  <si>
    <t>Cathodic Protection Well</t>
  </si>
  <si>
    <t>A borehole housing devices to minimize electrolytic corrosion of metallic pipelines, tanks, and other facilities in contact with the ground.</t>
  </si>
  <si>
    <t>Cathodic protection wells (boreholes), sometimes called 'deep groundbeds', are widely installed to protect metallic objects in contact with the ground from electrolytic corrosion. Such objects include petroleum, natural gas, and water pipelines, and related storage facilities; power lines; telephone cables; and switchyards. Cathodic protection wells are sometimes used to control electrolytic corrosion in large water wells.</t>
  </si>
  <si>
    <t>disposalWell</t>
  </si>
  <si>
    <t>Disposal Well</t>
  </si>
  <si>
    <t>A well, often a depleted oil or gas well, into which waste fluids can be injected for safe disposal.</t>
  </si>
  <si>
    <t>Disposal wells typically are subject to regulatory requirements to avoid the contamination of freshwater aquifers.</t>
  </si>
  <si>
    <t>enhancedOilRecoveryWell</t>
  </si>
  <si>
    <t>Enhanced Oil Recovery (EOR) Well</t>
  </si>
  <si>
    <t>A well drilled as part of an Enhanced Oil Recovery (EOR) activity to increase the amount of crude oil that can be extracted from an oil field.</t>
  </si>
  <si>
    <t>Using EOR (also termed 'tertiary recovery'), 30 to 60 percent, or more, of the reservoir's original oil can be extracted compared with 20 to 40 percent using primary and secondary recovery. Enhanced oil recovery is achieved by gas injection, chemical injection, ultrasonic stimulation, microbial injection, or thermal recovery (which includes cyclic steam, steamflooding, and fireflooding).</t>
  </si>
  <si>
    <t>injectionWell</t>
  </si>
  <si>
    <t>Injection Well</t>
  </si>
  <si>
    <t>A well into which water, other liquids, or gases are injected instead of being pumped out.</t>
  </si>
  <si>
    <t>Injection wells are used in petroleum production. Steam, carbon dioxide, water, and other substances can be injected into an oil-producing unit in order to maintain reservoir pressure, heat the oil or lower its viscosity, thus allowing it to flow to a producing well nearby. Injection wells may also be used for waste water dumping, in which waste water is injected into the ground between impermeable layers of rocks to avoid polluting fresh water supplies.</t>
  </si>
  <si>
    <t>observationWell</t>
  </si>
  <si>
    <t>Observation Well</t>
  </si>
  <si>
    <t>A well that is used to observe changes in groundwater levels over a period, or more specifically during a pumping test.</t>
  </si>
  <si>
    <t>Pumping does not normally take place from observation wells, which are typically of relatively small diameter.</t>
  </si>
  <si>
    <t>radioactiveHole</t>
  </si>
  <si>
    <t>Radioactive Hole</t>
  </si>
  <si>
    <t>A wellbore that was not brought into service due to the excessive presence of radioactive materials in subsurface strata.</t>
  </si>
  <si>
    <t>Subsurface formations may contain low levels of radioactive materials such as uranium and thorium and their daughter products, radium 226 and radium 228. Such Naturally Occurring Radioactive Material (NORM) typically appears in trace amounts and can be brought to the surface through oil or gas wells (for example: when fluids that are present in the radioactive formation are pumped out of the well, or when natural gas contains radon gas, a radium daughter).</t>
  </si>
  <si>
    <t>serviceWell</t>
  </si>
  <si>
    <t>Service Well</t>
  </si>
  <si>
    <t>A well intended for the purpose of supporting production in an existing field.</t>
  </si>
  <si>
    <t>Such wells are drilled for the following specific purposes: gas injection (natural gas, propane, butane, flue gas, or carbon dioxide); water injection; steam injection; air injection; saltwater disposal; water supply for injection (termed a 'source well'); observation; or injection for in-situ combustion (termed 'fire flooding').</t>
  </si>
  <si>
    <t>storageWell</t>
  </si>
  <si>
    <t>Storage Well</t>
  </si>
  <si>
    <t>A well that is used to pump materials (for example: liquefied petroleum gas) into an underground reservoir or cavern for later retrieval.</t>
  </si>
  <si>
    <t>stratigraphicWell</t>
  </si>
  <si>
    <t>Stratigraphic Well</t>
  </si>
  <si>
    <t>A well that is drilled in order to determine the types and layering of subsurface strata.</t>
  </si>
  <si>
    <t>Such wells may be drilled to: evaluate subsurface rock formations for suitability for oil and/or gas production, solution mining, geothermal development, underground gas storage or brine disposal; investigate subsurface conditions in problem areas; or gather information for research (for example: retrieval of ice cores) or construction projects.</t>
  </si>
  <si>
    <t>Test Well, Exploration Well</t>
  </si>
  <si>
    <t>weaponTest</t>
  </si>
  <si>
    <t>Weapon Test</t>
  </si>
  <si>
    <t>A vertical shaft that after installation of the requisite weapon and associated test equipment is blocked (excepting equipment power and signal cables) to prevent the escape of post-explosion residue (for example: radioactive debris).</t>
  </si>
  <si>
    <t>Most nuclear weapon states have constructed underground testing facilities similar to the U.S. Nevada Test Site including numerous boreholes used in weapons development and proof testing. Typical boreholes are 1 to 3 metres (roughly 48 to 120 inches) in diameter and 213 to 762 metres (600 to 2,500 feet) in depth.</t>
  </si>
  <si>
    <t>classified</t>
  </si>
  <si>
    <t>Classified</t>
  </si>
  <si>
    <t>A subsurface contact whose properties (for example: size, shape, shadow and/or structure) lead to the assumption that it may be an obstruction (and potential hazard to navigation).</t>
  </si>
  <si>
    <t>Determination may require additional passes at slower speeds and better angles (for example: passing parallel to the object, 25-30 metres off its apparent centreline in order to capture a full image and associated shadow).</t>
  </si>
  <si>
    <t>detected</t>
  </si>
  <si>
    <t>Detected</t>
  </si>
  <si>
    <t>A subsurface contact that distinguishes itself from the general structure of the bottom.</t>
  </si>
  <si>
    <t>Contacts and echoes of interest may be obtained from first pass multibeam or side scan sonar and magnetometer returns.</t>
  </si>
  <si>
    <t>identified</t>
  </si>
  <si>
    <t>Identified</t>
  </si>
  <si>
    <t>The positive identification of a subsurface contact as an obstruction and therefore a potential hazard to navigation.</t>
  </si>
  <si>
    <t>May require the use of divers, underwater vehicles and/or other systems. If the obstruction is determined to be a wreck, then the use of historical records along with divers reports (private and/or commercial) may result in a specific identification of the vessel found.</t>
  </si>
  <si>
    <t>bedrock</t>
  </si>
  <si>
    <t>Bedrock</t>
  </si>
  <si>
    <t>Native consolidated solid rock that has been unaffected by the processes of weathering and underlies the surface of the Earth.</t>
  </si>
  <si>
    <t>Often overlain by the results of weathering processes, including soil, clay, sand, gravel and related loose materials.</t>
  </si>
  <si>
    <t>claySilt</t>
  </si>
  <si>
    <t>Clay and Silt</t>
  </si>
  <si>
    <t>Material consisting of particles finer than 0.074 millimetres (No. 200 sieve) including fine-textured materials of both low plasticity (for example: silt) and high plasticity (for example: clay).</t>
  </si>
  <si>
    <t>A heavy-duty building material made from a mixture of broken stone or gravel, sand, cement, and water, that forms a stonelike mass on hardening.</t>
  </si>
  <si>
    <t>A usually hard calcareous substance secreted by many marine polyps as an external skeleton for support and habitation.</t>
  </si>
  <si>
    <t>Occurs in both single specimens and extensive accumulations. A similar substance may be produced by other lime-secreting marine organisms.</t>
  </si>
  <si>
    <t>gravelCobble</t>
  </si>
  <si>
    <t>Gravel and Cobble</t>
  </si>
  <si>
    <t>Small water-worn, rounded or pounded stones up to the sizes used for paving.</t>
  </si>
  <si>
    <t>Sometimes with an intermixture of sand and/or clay but generally ranging from 4.76 millimetres (No.4 sieve) up to 15-20 centimetres in size.</t>
  </si>
  <si>
    <t>masonry</t>
  </si>
  <si>
    <t>Masonry</t>
  </si>
  <si>
    <t>Building materials (for example: stone, brick, concrete, hollow-tile, concrete block, gypsum block, or other similar building units or materials and/or a combination of the same) bonded together with mortar to form a structure (for example: a wall, a pier, or a buttress).</t>
  </si>
  <si>
    <t>Stonework</t>
  </si>
  <si>
    <t>paved</t>
  </si>
  <si>
    <t>Paved</t>
  </si>
  <si>
    <t>Made of pieces of a hard material (for example: cobbles or concrete blocks) fitted closely together or of an undivided hard coating so as to give a compact, uniform, and smooth surface.</t>
  </si>
  <si>
    <t>peat</t>
  </si>
  <si>
    <t>Peat</t>
  </si>
  <si>
    <t>Vegetable matter partly decomposed in wet acid conditions in bogs and fens to form a firm brown deposit resembling soil.</t>
  </si>
  <si>
    <t>reinforcedConcrete</t>
  </si>
  <si>
    <t>Reinforced Concrete</t>
  </si>
  <si>
    <t>Poured concrete containing steel bars or metal netting to increase its tensile strength.</t>
  </si>
  <si>
    <t>Ferroconcrete</t>
  </si>
  <si>
    <t>rocksBoulders</t>
  </si>
  <si>
    <t>Rocks and Boulders</t>
  </si>
  <si>
    <t>Large water- or weather-worn stones.</t>
  </si>
  <si>
    <t>Generally ranging from 15-20 centimetres to several metres in size.</t>
  </si>
  <si>
    <t>Granular material consisting of small eroded fragments of (mainly siliceous) rocks, finer than gravel and larger than a coarse silt grain.</t>
  </si>
  <si>
    <t>Generally ranging between 0.074 millimetres (No. 200 sieve) and 4.76 millimetres (No. 4 sieve) in size. Often a major constituent of a beach, desert, or the bed of a river or sea. Used for various purposes, as in smoothing stone, founding, or as an ingredient in mortar.</t>
  </si>
  <si>
    <t>sandGravel</t>
  </si>
  <si>
    <t>Sand and Gravel</t>
  </si>
  <si>
    <t>Granular material consisting of a mixture of small sandy eroded fragments of (mainly siliceous) rocks and small water-worn or pounded stones that are larger than a coarse silt grain.</t>
  </si>
  <si>
    <t>Generally ranging between 0.074 millimetres (No. 200 sieve) and 7.62 centimetres in size.</t>
  </si>
  <si>
    <t>sandOverMud</t>
  </si>
  <si>
    <t>Sand over Mud</t>
  </si>
  <si>
    <t>Granular material consisting of small eroded fragments of (mainly siliceous) rocks, finer than gravel and larger than a coarse silt grain that are underlain with soft soil, silt, and/or clay.</t>
  </si>
  <si>
    <t>siltySands</t>
  </si>
  <si>
    <t>Silty Sands</t>
  </si>
  <si>
    <t>Granular material consisting of small eroded fragments of (mainly siliceous) rocks, including fine-textured materials of low plasticity.</t>
  </si>
  <si>
    <t>Generally finer than 4.76 millimetres in diametre (No. 4 sieve).</t>
  </si>
  <si>
    <t>soil</t>
  </si>
  <si>
    <t>Soil</t>
  </si>
  <si>
    <t>The material comprising the thin top layer of much of the Earth's land surface, composed of fragmented rock particles with humus, water, and air.</t>
  </si>
  <si>
    <t>anchor</t>
  </si>
  <si>
    <t>An anchor that is now abandoned and/or discarded on the sea floor.</t>
  </si>
  <si>
    <t>An anchor is a device normally placed on the sea bottom used to position a vessel, boat, or any other floating structure.</t>
  </si>
  <si>
    <t>buoy</t>
  </si>
  <si>
    <t>A buoy that is now abandoned and/or discarded on the sea floor.</t>
  </si>
  <si>
    <t>A buoy is a floating object normally used as an aid to navigation.</t>
  </si>
  <si>
    <t>cable</t>
  </si>
  <si>
    <t>A large mass of cable discarded on the sea floor.</t>
  </si>
  <si>
    <t>A cable is single continuous rope-like bundle consisting of multiple strands of fiber, plastic, metal, and/or glass.</t>
  </si>
  <si>
    <t>A caisson that has been sunk and is now abandoned and/or discarded on the sea floor.</t>
  </si>
  <si>
    <t>A caisson is a structure that is used for either closing the entrance of locks, docks, and dry docks, or to ensure a watertight (and water free) work environment during underwater construction and/or excavation.</t>
  </si>
  <si>
    <t>crane</t>
  </si>
  <si>
    <t>A crane that has been sunk and is now abandoned and/or discarded on the sea floor.</t>
  </si>
  <si>
    <t>Cranes are equipment for lifting, shifting, and lowering objects or materials by means of a swinging boom or with the lifting apparatus supported on an overhead track.</t>
  </si>
  <si>
    <t>dryDock</t>
  </si>
  <si>
    <t>A dry dock that has been sunk and is now abandoned and/or discarded on the sea floor.</t>
  </si>
  <si>
    <t>A dry dock is an artificial basin fitted with a gate or caisson intended to float vessels to maintenance.</t>
  </si>
  <si>
    <t>pilings</t>
  </si>
  <si>
    <t>Pilings</t>
  </si>
  <si>
    <t>Piling(s) that are now abandoned and/or discarded on the sea floor.</t>
  </si>
  <si>
    <t>Pilings are long slender column(s) usually of timber, steel, or reinforced concrete driven into the ground to carry a vertical load.</t>
  </si>
  <si>
    <t>anthropogeographic</t>
  </si>
  <si>
    <t>Anthropogeographic</t>
  </si>
  <si>
    <t>A boundary that has been configured to follow a man-made separation that follows neither physical terrain (or geographic) features (for example: peaks, ridges, or drainage) nor generalized geometric configurations (point-to-point line segments, arcs).</t>
  </si>
  <si>
    <t>Such boundaries include ethnic separations, historic-, economic-, or military engagement lines, city or cadastral limits, walls, canals, rail lines and other man-made features.</t>
  </si>
  <si>
    <t>arc</t>
  </si>
  <si>
    <t>A boundary defined by geometrically constructed curve.</t>
  </si>
  <si>
    <t>For example, an arc based on a centerpoint and a radius. Often used at sea where natural features are not readily accessible as the basis for boundary specification.</t>
  </si>
  <si>
    <t>archipelagicBaseline</t>
  </si>
  <si>
    <t>Archipelagic Baseline</t>
  </si>
  <si>
    <t>A closed boundary connecting and surrounding the islands of an archipelagic State; archipelagic waters are those within the baseline and maritime zones fall outside the baseline.</t>
  </si>
  <si>
    <t>(UNCLOS Article 47, Archipelagic baselines, item 1) An archipelagic State may draw straight archipelagic baselines joining the outermost points of the outermost islands and drying reefs of the archipelago provided that within such baselines are included the main islands and an area in which the ratio of the area of the water to the area of the land, including atolls, is between 1 to 1 and 9 to 1.</t>
  </si>
  <si>
    <t>cadastral</t>
  </si>
  <si>
    <t>Cadastral</t>
  </si>
  <si>
    <t>An anthropogeographic boundary that is based on cadastral limits.</t>
  </si>
  <si>
    <t>An anthropogeographic boundary follows a man-made separation that follows neither physical terrain features nor generalized geometric configurations.</t>
  </si>
  <si>
    <t>drainageLimit</t>
  </si>
  <si>
    <t>The drainage limit does not always follow the ridgeline or the highest peaks in a range.</t>
  </si>
  <si>
    <t>Drainage Divide</t>
  </si>
  <si>
    <t>drainageLine</t>
  </si>
  <si>
    <t>Drainage Line</t>
  </si>
  <si>
    <t>A boundary established by alternating peaks and lines of drainage, descending along a drainage line from one peak to the point where it meets a drainage line from another peak, along which it then ascends.</t>
  </si>
  <si>
    <t>economic</t>
  </si>
  <si>
    <t>Economic</t>
  </si>
  <si>
    <t>An anthropogeographic boundary that is based on an economic line.</t>
  </si>
  <si>
    <t>elevationContour</t>
  </si>
  <si>
    <t>A boundary that follows a line connecting points having the same elevation value relative to a vertical datum.</t>
  </si>
  <si>
    <t>ethnic</t>
  </si>
  <si>
    <t>Ethnic</t>
  </si>
  <si>
    <t>An anthropogeographic boundary that is based on ethnic separations.</t>
  </si>
  <si>
    <t>extendedContinentalShelf</t>
  </si>
  <si>
    <t>Extended Continental Shelf</t>
  </si>
  <si>
    <t>A boundary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</si>
  <si>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(UNCLOS Article 76, Continental shelf, item 7) The coastal State shall delineate the outer limits of its continental shelf, where that shelf extends beyond 200 nautical miles from the baselines from which the breadth of the territorial sea is measured, by straight lines not exceeding 60 nautical miles in length, connecting fixed points, defined by coordinates of latitude and longitude.</t>
  </si>
  <si>
    <t>A boundary defined by the shortest path between two points on the surface of a spheroid (an ellipsoid of revolution).</t>
  </si>
  <si>
    <t>A boundary defined by the shortest path between two points on the surface of a sphere.</t>
  </si>
  <si>
    <t>In the Mercator projection a great circle appears as a straight line.</t>
  </si>
  <si>
    <t>historic</t>
  </si>
  <si>
    <t>Historic</t>
  </si>
  <si>
    <t>An anthropogeographic boundary that is based on an historic line.</t>
  </si>
  <si>
    <t>lakeTransect</t>
  </si>
  <si>
    <t>Lake Transect</t>
  </si>
  <si>
    <t>A boundary that follows the general midline of a lake, defined by straight line segments drawn roughly midway between opposing shorelines.</t>
  </si>
  <si>
    <t>leftBank</t>
  </si>
  <si>
    <t>Left Bank</t>
  </si>
  <si>
    <t>A boundary that follows the left bank edge of a watercourse.</t>
  </si>
  <si>
    <t>The left bank is determined by facing downstream (in the direction of flow) and the bank edge is typically based on average water flow conditions.</t>
  </si>
  <si>
    <t>mainChannel</t>
  </si>
  <si>
    <t>Main Channel</t>
  </si>
  <si>
    <t>A boundary that follows the principal navigable channel of a stream.</t>
  </si>
  <si>
    <t>median</t>
  </si>
  <si>
    <t>Median</t>
  </si>
  <si>
    <t>A boundary defined by straight line segments drawn between opposing shorelines of a waterbody (for example: a stream) that are formed by connecting the midpoints of transects strung between opposing points (for example: significant turns or projections) along the shorelines.</t>
  </si>
  <si>
    <t>Because strict equidistant lines can become very complicated, agreeing states often resort to drawing modified or simplified lines which may deviate from or smooth out complex lines by leaving out certain intermediate turning points.</t>
  </si>
  <si>
    <t>Equidistant</t>
  </si>
  <si>
    <t>meridian</t>
  </si>
  <si>
    <t>Meridian</t>
  </si>
  <si>
    <t>A boundary defined by a meridian (a line of constant longitude).</t>
  </si>
  <si>
    <t>Longitude Line</t>
  </si>
  <si>
    <t>militaryEngagement</t>
  </si>
  <si>
    <t>Military Engagement</t>
  </si>
  <si>
    <t>An anthropogeographic boundary that is based on a military engagement line.</t>
  </si>
  <si>
    <t>An anthropogeographic boundary that is based on municipal (for example: city) limits.</t>
  </si>
  <si>
    <t>normalBaseline</t>
  </si>
  <si>
    <t>Normal Baseline</t>
  </si>
  <si>
    <t>A boundary established by a tangent of the seaward landmass at low tide elevation as depicted on the claimant State's submitted large-scale charts.</t>
  </si>
  <si>
    <t>(UNCLOS Article 5, Normal baseline) Except where otherwise provided in this Convention, the normal baseline for measuring the breadth of the territorial sea is the low-water line along the coast as marked on large-scale charts officially recognized by the coastal State.</t>
  </si>
  <si>
    <t>normalContinentalShelf</t>
  </si>
  <si>
    <t>Normal Continental Shelf</t>
  </si>
  <si>
    <t>A boundary defined by the outer edge of the continental margin (the submerged prolongation of the land mass of a coastal State, consisting of the shelf, the slope and the rise, but does not include the deep ocean floor with its oceanic ridges) or a maximum of 200 nautical miles distant from the territorial baseline.</t>
  </si>
  <si>
    <t>(UNCLOS Article 76, Continental shelf, item 1) The continental shelf of a coastal State comprises the seabed and subsoil of the submarine areas that extend beyond its territorial sea throughout the natural prolongation of its land territory to the outer edge of the continental margin, or to a distance of 200 nautical miles from the baselines from which the breadth of the territorial sea is measured where the outer edge of the continental margin does not extend up to that distance.</t>
  </si>
  <si>
    <t>A boundary defined by a parallel (a line of constant latitude).</t>
  </si>
  <si>
    <t>Latitude Line</t>
  </si>
  <si>
    <t>ridgeline</t>
  </si>
  <si>
    <t>Ridgeline</t>
  </si>
  <si>
    <t>An elevated boundary that follows the ridgeline or the highest peaks in a range.</t>
  </si>
  <si>
    <t>rightBank</t>
  </si>
  <si>
    <t>Right Bank</t>
  </si>
  <si>
    <t>A boundary that follows the right bank edge of a watercourse.</t>
  </si>
  <si>
    <t>The right bank is determined by facing downstream (in the direction of flow) and the bank edge is typically based on average water flow conditions.</t>
  </si>
  <si>
    <t>shoreline</t>
  </si>
  <si>
    <t>A boundary that follows the edge of a waterbody for which there is no well-specified direction of flow (for example: a lake or ocean).</t>
  </si>
  <si>
    <t>In the case of an ocean, the boundary may follow the normal limit of wave action above the higher high water line as defined by the National Authority.</t>
  </si>
  <si>
    <t>A boundary defined by the shortest path between two points.</t>
  </si>
  <si>
    <t>As the shape of the earth is curved, 'straight' is dependent on how the curvature is distorted by a map projection. At large scales and short distances 'straight lines' in all map projections are equivalent; at small scales the curvature of the surface of the earth allows for a variety of approximations to 'straight', for example a geodesic line and a great circle line.</t>
  </si>
  <si>
    <t>straightBaseline</t>
  </si>
  <si>
    <t>Straight Baseline</t>
  </si>
  <si>
    <t>A boundary comprised of a system of straight lines joining specified or discrete turning points on the low water line that States may employ to simplify definition of a coastline that is either deeply indented or is cut into or fringed by nearby islands.</t>
  </si>
  <si>
    <t>(UNCLOS Article 7, Straight baseline) In localities where the coastline is deeply indented and cut into, or if there is a fringe of islands along the coast in its immediate vicinity, the method of straight baselines joining appropriate points may be employed in drawing the baseline from which the breadth of the territorial sea is measured. Where because of the presence of a delta and other natural conditions the coastline is highly unstable, the appropriate points may be selected along the furthest seaward extent of the low-water line and, notwithstanding subsequent regression of the low-water line, the straight baselines shall remain effective until changed by the coastal State in accordance with this Convention.</t>
  </si>
  <si>
    <t>straightSegmented</t>
  </si>
  <si>
    <t>Straight Segmented</t>
  </si>
  <si>
    <t>A boundary defined by the shortest path between adjacent points in a series.</t>
  </si>
  <si>
    <t>Polygon, Polyline</t>
  </si>
  <si>
    <t>thalweg</t>
  </si>
  <si>
    <t>A boundary that follows the deepest part of the main channel of a stream.</t>
  </si>
  <si>
    <t>On occasion, a thalweg boundary may instead follow the principal navigable channel of a stream. Treaties do not always specify which interpretation of thalweg is intended for a boundary.</t>
  </si>
  <si>
    <t>Stream Thalweg</t>
  </si>
  <si>
    <t>thalwegToPeak</t>
  </si>
  <si>
    <t>Thalweg to Peak</t>
  </si>
  <si>
    <t>A boundary extending from the deepest part of the main channel of a stream to the peak of a nearby mountain.</t>
  </si>
  <si>
    <t>deFacto</t>
  </si>
  <si>
    <t>De Facto</t>
  </si>
  <si>
    <t>The boundary is not governed by a formal legal agreement (as opposed to de jure).</t>
  </si>
  <si>
    <t>A de facto boundary may, however, be accepted by both authorities without dispute.</t>
  </si>
  <si>
    <t>deJure</t>
  </si>
  <si>
    <t>De Jure</t>
  </si>
  <si>
    <t>Under current treaty practice, the boundary has come into force pursuant to a treaty, agreement (including bi- or multi-lateral negotiations, decisions, exchanges of notes, or other legal instruments), or a United Nations Security Council Resolution.</t>
  </si>
  <si>
    <t>Most boundary treaties come into force when there is an exchange of instruments of ratification. At the present time a lack of registration with the United Nation (which is required by Article 102 of the UN Charter) has no effect on the instrument being in force (the only penalty being that the unregistered treaty may not be invoked before any UN organ). A de jure boundary is usually demarcated, but it can also remain delimited. Disputes may arise over segments of a de jure boundary, but these segments are generally not labeled as 'in dispute'. Boundaries established between colonial powers or as administrative lines within a colony that become the boundaries of post-colonial States who do not reconfirm their mutual boundary by treaty may be termed 'historical de jure boundaries'.</t>
  </si>
  <si>
    <t>inDispute</t>
  </si>
  <si>
    <t>In Dispute</t>
  </si>
  <si>
    <t>A boundary whereby one or both adjoining authorities contest some portion(s) of or an entire boundary.</t>
  </si>
  <si>
    <t>Disputes can be active or dormant and the parties can respond in varying degrees of intensity ranging from hostile belligerence to cooperative conciliation. Among geopolitical entities a boundary dispute is usually a territorial dispute and very often involves contention over the exploitation of natural resources.</t>
  </si>
  <si>
    <t>Disputed</t>
  </si>
  <si>
    <t>undisputed</t>
  </si>
  <si>
    <t>Undisputed</t>
  </si>
  <si>
    <t>A boundary that is not in dispute.</t>
  </si>
  <si>
    <t>administerAsInternational</t>
  </si>
  <si>
    <t>Administrative as International</t>
  </si>
  <si>
    <t>An administrative boundary that is also treated as an international boundary.</t>
  </si>
  <si>
    <t>definite</t>
  </si>
  <si>
    <t>Definite</t>
  </si>
  <si>
    <t>A category of international boundary that indicates an established, internationally-accepted delimitation where no significant sections are in dispute by the adjoining states.</t>
  </si>
  <si>
    <t>Some definite boundaries may not be governed. Definite boundaries are typically recognized by the United Nations.</t>
  </si>
  <si>
    <t>A boundary whereby one or both adjoining states contest some portion(s) of or an entire boundary; a boundary dispute is usually a territorial dispute and very often involves natural resource disputes.</t>
  </si>
  <si>
    <t>Disputes can be active or dormant and the parties can respond in varying degrees of intensity ranging from hostile belligerence to cooperative conciliation. The depiction of disputed boundaries on United States Government maps is done in keeping with U.S. foreign policy. Unilateral claims by states are not generally depicted or labeled in dispute on standard-issue maps. Cartographically, recognized disputed boundaries employ a distinct symbol or label where scale and policy permits.</t>
  </si>
  <si>
    <t>indefinite</t>
  </si>
  <si>
    <t>Indefinite</t>
  </si>
  <si>
    <t>A category of international boundary that is not actively disputed but is vaguely delimited so as to question the accurate delineation of territory and its depiction on cartographic products.</t>
  </si>
  <si>
    <t>Sometimes shown on maps distinct from definite and in dispute boundaries. Indefinite boundaries are typically agreed by the two states concerned, but have not been registered at the United Nations.</t>
  </si>
  <si>
    <t>showNoLine</t>
  </si>
  <si>
    <t>Show No Line</t>
  </si>
  <si>
    <t>A boundary that has no official existence.</t>
  </si>
  <si>
    <t>A boundary having an established, accepted delimitation where no significant sections are in dispute by the adjoining authorities.</t>
  </si>
  <si>
    <t>Some definite boundaries may not be governed. Definite geopolitical boundaries are typically recognized by the United Nations.</t>
  </si>
  <si>
    <t>A boundary that is vaguely delimited, so as to question the accurate delineation of territory and its depiction on cartographic products, but that is not actively disputed by the adjoining authorities.</t>
  </si>
  <si>
    <t>An indefinite boundary is typically agreed by the two authorities concerned. In the case of geopolitical entities it may not have been registered at the United Nations. Sometimes shown on maps distinct from definite and in dispute boundaries.</t>
  </si>
  <si>
    <t>noDefinedBoundary</t>
  </si>
  <si>
    <t>No Defined Boundary</t>
  </si>
  <si>
    <t>Has not been defined by either of the adjoining authorities.</t>
  </si>
  <si>
    <t>passing</t>
  </si>
  <si>
    <t>Passing</t>
  </si>
  <si>
    <t>A short stretch of track used to enable trains on the same main track to pass.</t>
  </si>
  <si>
    <t>siding</t>
  </si>
  <si>
    <t>Siding</t>
  </si>
  <si>
    <t>A short stretch of track that is used to store rolling-stock and/or enable trains on the same track to pass.</t>
  </si>
  <si>
    <t>spur</t>
  </si>
  <si>
    <t>Spur</t>
  </si>
  <si>
    <t>A short railway that connects with the main line at one end only.</t>
  </si>
  <si>
    <t>For example, ending in an industrial park, factory, and/or warehouse area.</t>
  </si>
  <si>
    <t>estimated</t>
  </si>
  <si>
    <t>Estimated</t>
  </si>
  <si>
    <t>The information was determined from incomplete data or data of questionable accuracy.</t>
  </si>
  <si>
    <t>known</t>
  </si>
  <si>
    <t>Known</t>
  </si>
  <si>
    <t>The information was determined from complete data of appropriate accuracy.</t>
  </si>
  <si>
    <t>bascule</t>
  </si>
  <si>
    <t>Bascule</t>
  </si>
  <si>
    <t>Raised or lowered with a counterpoise.</t>
  </si>
  <si>
    <t>Balance</t>
  </si>
  <si>
    <t>drawbridge</t>
  </si>
  <si>
    <t>Drawbridge</t>
  </si>
  <si>
    <t>Hinged at one end for drawing up and lowering to prevent or permit passage across it or to open or close a channel spanned by it.</t>
  </si>
  <si>
    <t>May be operated by a counterpoise (for example: a bascule bridge).</t>
  </si>
  <si>
    <t>fixed</t>
  </si>
  <si>
    <t>Fixed</t>
  </si>
  <si>
    <t>Having permanent horizontal and vertical alignment.</t>
  </si>
  <si>
    <t>liftBridge</t>
  </si>
  <si>
    <t>Lift-bridge</t>
  </si>
  <si>
    <t>Opens though a vertical lifting operation.</t>
  </si>
  <si>
    <t>For example, a bridge on a canal that may be raised to allow the passage of a boat.</t>
  </si>
  <si>
    <t>opening</t>
  </si>
  <si>
    <t>Opening</t>
  </si>
  <si>
    <t>Capable of being closed when set for carrying road traffic and open when set to permit maritime traffic to pass along the watercourse it crosses.</t>
  </si>
  <si>
    <t>Modern opening bridges are either bascule, vertical lift or swing.</t>
  </si>
  <si>
    <t>Moveable</t>
  </si>
  <si>
    <t>retractable</t>
  </si>
  <si>
    <t>Retractable</t>
  </si>
  <si>
    <t>Moves away from the gap across the abutment along the travelled way.</t>
  </si>
  <si>
    <t>submersible</t>
  </si>
  <si>
    <t>Submersible</t>
  </si>
  <si>
    <t>Can be lowered under the surface of the water.</t>
  </si>
  <si>
    <t>It is intended to survive periodic submersion and may lower deep enough to allow vessel passage or simply enough to avoid aerial detection.</t>
  </si>
  <si>
    <t>swingBridge</t>
  </si>
  <si>
    <t>Swing-bridge</t>
  </si>
  <si>
    <t>Can be turned on a pivot (either at one end or in the centre) to allow the passage of ships.</t>
  </si>
  <si>
    <t>arch</t>
  </si>
  <si>
    <t>Arch</t>
  </si>
  <si>
    <t>Supported by an arch underneath the bridge that directs pressure and weight of the bridge outward to the supports along the arch.</t>
  </si>
  <si>
    <t>bowstringBridge</t>
  </si>
  <si>
    <t>Bowstring-bridge</t>
  </si>
  <si>
    <t>A girder bridge consisting of an arch (the 'bow'), a horizontal tie, and a series of hangars providing additional load-carrying support.</t>
  </si>
  <si>
    <t>Hangers descend vertically at regular intervals from the cables to the bridge deck.</t>
  </si>
  <si>
    <t>Bowstring, Tied Arch</t>
  </si>
  <si>
    <t>cableStayed</t>
  </si>
  <si>
    <t>Cable Stayed</t>
  </si>
  <si>
    <t>The deck is suspended from cables attached directly to tower-like supports.</t>
  </si>
  <si>
    <t>There are two major classes of cable-stayed bridges, differentiated by how the cables are connected to the towers. In a parallel attachment design, the cables are made nearly parallel by having the height of attachment on the tower be similar to the distance from the pillar along the roadway. In a radial attachment design, the cables all connect to or pass over the top of the pillar.</t>
  </si>
  <si>
    <t>cantilever</t>
  </si>
  <si>
    <t>Cantilever</t>
  </si>
  <si>
    <t>Consists of beams or trusses that project from piers or abutments toward each other and, when joined directly or by a suspended connecting member, form a bridge span.</t>
  </si>
  <si>
    <t>The beams or trusses are anchored at one end and unsupported at the other end.</t>
  </si>
  <si>
    <t>closedSpandrelArch</t>
  </si>
  <si>
    <t>Closed Spandrel Arch</t>
  </si>
  <si>
    <t>Arch, where the space above the right and left curves of the arch is closed.</t>
  </si>
  <si>
    <t>covered</t>
  </si>
  <si>
    <t>Covered</t>
  </si>
  <si>
    <t>Including protection from the weather for the travel surface.</t>
  </si>
  <si>
    <t>deck</t>
  </si>
  <si>
    <t>Deck</t>
  </si>
  <si>
    <t>Carries the travelled way upon the upper chords.</t>
  </si>
  <si>
    <t>Fixed, floating, and supported by pontoons.</t>
  </si>
  <si>
    <t>Usually temporary in nature.</t>
  </si>
  <si>
    <t>girder</t>
  </si>
  <si>
    <t>Girder</t>
  </si>
  <si>
    <t>Consists of two or more girders supporting a separate floor or system.</t>
  </si>
  <si>
    <t>May be assembled as single spans or combined into multiple spans with intermediate supports.</t>
  </si>
  <si>
    <t>Plate Girder</t>
  </si>
  <si>
    <t>openSpandrelArch</t>
  </si>
  <si>
    <t>Open Spandrel Arch</t>
  </si>
  <si>
    <t>Arch, where the space above the right and left curves of the arch is open.</t>
  </si>
  <si>
    <t>slab</t>
  </si>
  <si>
    <t>Slab</t>
  </si>
  <si>
    <t>A self-supporting slab.</t>
  </si>
  <si>
    <t>stringerBeam</t>
  </si>
  <si>
    <t>Stringer Beam</t>
  </si>
  <si>
    <t>Consists of two or more beams supporting a separate floor or system.</t>
  </si>
  <si>
    <t>The stringers may be in standard rolled shapes in spans up to 90 feet in length and as beams built-up with welded steel plate in the 60 to 120 foot span range.</t>
  </si>
  <si>
    <t>suspension</t>
  </si>
  <si>
    <t>Suspension</t>
  </si>
  <si>
    <t>The deck is suspended by hangars from cables attached to and extending between supports.</t>
  </si>
  <si>
    <t>The supports may be in the form of towers located between the ends of the bridge.</t>
  </si>
  <si>
    <t>towerSuspension</t>
  </si>
  <si>
    <t>Tower Suspension</t>
  </si>
  <si>
    <t>The deck is suspended by hangars from cables that pass over two (or more) towers and are anchored by backstays to a firm foundation.</t>
  </si>
  <si>
    <t>transporter</t>
  </si>
  <si>
    <t>Transporter</t>
  </si>
  <si>
    <t>Consists of towers on each side of the watercourse connected by a system of girders on which a carriage runs.</t>
  </si>
  <si>
    <t>Ferry Bridge</t>
  </si>
  <si>
    <t>trestle</t>
  </si>
  <si>
    <t>Trestle</t>
  </si>
  <si>
    <t>Consists of a large number of short spans, supported by splayed vertical elements to provide lateral rigidity.</t>
  </si>
  <si>
    <t>Traditionally used mainly for railways and constructed from wood timbers. Twentieth century construction has eliminated much of the need for trestles by using more extensive grading and tunneling, however they remain in use as approaches to bridges where required by the local topography.</t>
  </si>
  <si>
    <t>truss</t>
  </si>
  <si>
    <t>Truss</t>
  </si>
  <si>
    <t>Supported by a framework of rafters, posts and struts.</t>
  </si>
  <si>
    <t>Typically used in long spans from 150 to 1,000 feet or more.</t>
  </si>
  <si>
    <t>viaduct</t>
  </si>
  <si>
    <t>Viaduct</t>
  </si>
  <si>
    <t>A long elevated structure designed to carry a railway or road over a valley, river, or low-lying ground.</t>
  </si>
  <si>
    <t>chimney</t>
  </si>
  <si>
    <t>A chimney containing a passage or flue for discharging smoke and gases of combustion.</t>
  </si>
  <si>
    <t>clerestory</t>
  </si>
  <si>
    <t>Clerestory</t>
  </si>
  <si>
    <t>A raised section containing a series of windows and/or ventilators along its sides.</t>
  </si>
  <si>
    <t>Often located along a roof ridge.</t>
  </si>
  <si>
    <t>Monitor</t>
  </si>
  <si>
    <t>cupola</t>
  </si>
  <si>
    <t>Cupola</t>
  </si>
  <si>
    <t>An accessory small rounded vault or dome forming part of the roof.</t>
  </si>
  <si>
    <t>Usually relatively small and sometimes intended as an adornment.</t>
  </si>
  <si>
    <t>dome</t>
  </si>
  <si>
    <t>Dome</t>
  </si>
  <si>
    <t>An arched roof of even curvature that may be segmented, semicircular, pointed or bulbous.</t>
  </si>
  <si>
    <t>For example, an onion dome that is shaped like a bulb and is characteristic of Russian and Byzantine church architecture.</t>
  </si>
  <si>
    <t>elevatorMachineRoom</t>
  </si>
  <si>
    <t>Elevator Machine Room</t>
  </si>
  <si>
    <t>An enclosed structure located over an elevator shaft which houses the operating equipment, motor, cables, and accessories for the elevator.</t>
  </si>
  <si>
    <t>hvacEquipment</t>
  </si>
  <si>
    <t>HVAC Equipment</t>
  </si>
  <si>
    <t>A rooftop unit that contains equipment for heating, ventilating, and/or air conditioning (HVAC).</t>
  </si>
  <si>
    <t>lightningRod</t>
  </si>
  <si>
    <t>Lightning Rod</t>
  </si>
  <si>
    <t>A metal strip or rod, usually made of copper or aluminum, installed on buildings to protect the structure from damage due to lightning strikes.</t>
  </si>
  <si>
    <t>Lightning rods are placed at regular intervals on the highest parts of a building.</t>
  </si>
  <si>
    <t>minaret</t>
  </si>
  <si>
    <t>Minaret</t>
  </si>
  <si>
    <t>An accessory tall tower or turret surrounded by one or more projecting balconies.</t>
  </si>
  <si>
    <t>It is usually connected with a mosque and from which a muezzin calls at hours of prayer.</t>
  </si>
  <si>
    <t>ornamentalElement</t>
  </si>
  <si>
    <t>Ornamental Element</t>
  </si>
  <si>
    <t>An added decorative detail that is not a structural component.</t>
  </si>
  <si>
    <t>Ornamental elements may include, for example: statuary, sculptural decoration, gargoyles or grotesques.</t>
  </si>
  <si>
    <t>parapet</t>
  </si>
  <si>
    <t>Parapet</t>
  </si>
  <si>
    <t>A low wall-like barrier at the edge of a roof.</t>
  </si>
  <si>
    <t>The parapet may serve to prevent accidental falls over the edge or it may be a defensive, constructional, or stylistic architectural feature. Parapets may be plain, embattled (specifically pierced for the discharge of defensive projectiles), perforated (for stylistic reasons), or paneled.</t>
  </si>
  <si>
    <t>roofDeck</t>
  </si>
  <si>
    <t>Roof Deck</t>
  </si>
  <si>
    <t>An open, usually unroofed, outdoor deck located on the roof of a building.</t>
  </si>
  <si>
    <t>May be seen in combination with a roof garden.</t>
  </si>
  <si>
    <t>roofGarden</t>
  </si>
  <si>
    <t>Roof Garden</t>
  </si>
  <si>
    <t>A garden on the roof of a building.</t>
  </si>
  <si>
    <t>May be seen in combination with a roof deck.</t>
  </si>
  <si>
    <t>signage</t>
  </si>
  <si>
    <t>Signage</t>
  </si>
  <si>
    <t>An advertising display attached to the roof of a building.</t>
  </si>
  <si>
    <t>For example, a commercial or public sign in the form of large letters indicating the name of the building. Signage may be illuminated.</t>
  </si>
  <si>
    <t>skylight</t>
  </si>
  <si>
    <t>Skylight</t>
  </si>
  <si>
    <t>A flat or sloped window built into the roof of a building.</t>
  </si>
  <si>
    <t>steeple</t>
  </si>
  <si>
    <t>Steeple</t>
  </si>
  <si>
    <t>A pointed (for example: pyramidal) structure towering above the roof.</t>
  </si>
  <si>
    <t>For example, on a church, temple, or other public building.</t>
  </si>
  <si>
    <t>tower</t>
  </si>
  <si>
    <t>A tall narrow structure, usually of square, circular, or rectangular section.</t>
  </si>
  <si>
    <t>For example, on a castle (for example: a watch-tower) or a church (for example: a bell-tower).</t>
  </si>
  <si>
    <t>turret</t>
  </si>
  <si>
    <t>Turret</t>
  </si>
  <si>
    <t>A small or subordinate tower, especially one projecting (frequently at some height above the ground) from an angle of the walls.</t>
  </si>
  <si>
    <t>May serve no useful function other than decoration. Found, for example, on a castle.</t>
  </si>
  <si>
    <t>aircraftHangar</t>
  </si>
  <si>
    <t>arena</t>
  </si>
  <si>
    <t>Arena</t>
  </si>
  <si>
    <t>A building enclosing a large open area, often circular or oval-shaped, surrounded on most or all sides by tiered seating for spectators.</t>
  </si>
  <si>
    <t>Generally designed to showcase theater, musical performances, or sporting events (for example: basketball, ice hockey, wrestling, or boxing).</t>
  </si>
  <si>
    <t>astronomicalObservatory</t>
  </si>
  <si>
    <t>barn</t>
  </si>
  <si>
    <t>castle</t>
  </si>
  <si>
    <t>controlTower</t>
  </si>
  <si>
    <t>countryHouse</t>
  </si>
  <si>
    <t>ferryStation</t>
  </si>
  <si>
    <t>fortifiedBuilding</t>
  </si>
  <si>
    <t>greenhouse</t>
  </si>
  <si>
    <t>A building constructed primarily of transparent material (for example: glass or plastic), in which temperature and humidity can be controlled for the cultivation and/or protection of plants.</t>
  </si>
  <si>
    <t>hardenedAircraftShelter</t>
  </si>
  <si>
    <t>hut</t>
  </si>
  <si>
    <t>lighthouse</t>
  </si>
  <si>
    <t>maritimeSignalStation</t>
  </si>
  <si>
    <t>motorVehicleStation</t>
  </si>
  <si>
    <t>parkingGarage</t>
  </si>
  <si>
    <t>roundhouse</t>
  </si>
  <si>
    <t>shed</t>
  </si>
  <si>
    <t>stable</t>
  </si>
  <si>
    <t>transportationStation</t>
  </si>
  <si>
    <t>A station that serves as a stopping place along a transportation route.</t>
  </si>
  <si>
    <t>For example, used for the transfer of passengers and/or freight.</t>
  </si>
  <si>
    <t>waterMill</t>
  </si>
  <si>
    <t>weighStation</t>
  </si>
  <si>
    <t>A building and associated equipment that is used to inspect and weigh motor vehicles.</t>
  </si>
  <si>
    <t>Located adjacent to a road and used to enforce a variety of motor vehicle safety regulations. Motor vehicles may be weighed by driving them onto a platform.</t>
  </si>
  <si>
    <t>dense</t>
  </si>
  <si>
    <t>Dense</t>
  </si>
  <si>
    <t>The concentration of buildings is such that few places remain to construct more buildings.</t>
  </si>
  <si>
    <t>Very little open land is available.</t>
  </si>
  <si>
    <t>moderate</t>
  </si>
  <si>
    <t>Moderate</t>
  </si>
  <si>
    <t>The concentration of buildings is such that space remains for the construction of more buildings.</t>
  </si>
  <si>
    <t>A significant amount of open land remains.</t>
  </si>
  <si>
    <t>sparse</t>
  </si>
  <si>
    <t>Sparse</t>
  </si>
  <si>
    <t>The concentration of buildings is low.</t>
  </si>
  <si>
    <t>A large amount of open land remains.</t>
  </si>
  <si>
    <t>barrel</t>
  </si>
  <si>
    <t>Barrel</t>
  </si>
  <si>
    <t>The upper part of the body above the water-line, or the greater part of the superstructure, has the form of a barrel or cylinder floating horizontally.</t>
  </si>
  <si>
    <t>Tun</t>
  </si>
  <si>
    <t>can</t>
  </si>
  <si>
    <t>Can</t>
  </si>
  <si>
    <t>The upper part of the body above the water-line, or the greater part of the superstructure, has the shape of a cylinder, or a truncated cone that approximates to a cylinder, with a flat end uppermost.</t>
  </si>
  <si>
    <t>Cylindrical</t>
  </si>
  <si>
    <t>conical</t>
  </si>
  <si>
    <t>Conical</t>
  </si>
  <si>
    <t>The upper part of the body above the water-line, or the greater part of the superstructure, has approximately the shape or the appearance of a pointed cone with the point upwards.</t>
  </si>
  <si>
    <t>Nun, Ogival</t>
  </si>
  <si>
    <t>diamond</t>
  </si>
  <si>
    <t>Diamond</t>
  </si>
  <si>
    <t>The body has approximately the shape or appearance of two cones placed base-to-base, with one of the points upwards.</t>
  </si>
  <si>
    <t>Rhombus</t>
  </si>
  <si>
    <t>icebuoy</t>
  </si>
  <si>
    <t>Ice Buoy</t>
  </si>
  <si>
    <t>A specially constructed shuttle-shaped buoy which is used in ice conditions.</t>
  </si>
  <si>
    <t>pillar</t>
  </si>
  <si>
    <t>Pillar</t>
  </si>
  <si>
    <t>The upper part of the body above the water-line, or the greater part of the superstructure is a narrow vertical structure, pillar or lattice tower.</t>
  </si>
  <si>
    <t>spar</t>
  </si>
  <si>
    <t>Spar</t>
  </si>
  <si>
    <t>The upper part of the body above the water-line, or the greater part of the superstructure, has the form of a pole, or of a very long cylinder, floating upright.</t>
  </si>
  <si>
    <t>Spindle</t>
  </si>
  <si>
    <t>The upper part of the body above the water-line, or the greater part of the superstructure, has the shape of a part of a sphere.</t>
  </si>
  <si>
    <t>superBuoy</t>
  </si>
  <si>
    <t>Super-buoy</t>
  </si>
  <si>
    <t>A very large buoy, generally more than 5 metres in diameter.</t>
  </si>
  <si>
    <t>accelerometer</t>
  </si>
  <si>
    <t>Accelerometer</t>
  </si>
  <si>
    <t>A surface-following buoy anchored to the seabed by means of an elastic mooring and used to determine wave information.</t>
  </si>
  <si>
    <t>An accelerometer mounted within the buoy registers the rate at which the buoy is rising or falling as it follows the pattern of waves; by integrating against time, the acceleration signal can be converted to vertical displacement. The displacement values are usually telemetered to a recording station on the shore.</t>
  </si>
  <si>
    <t>Waverider</t>
  </si>
  <si>
    <t>aeronauticalAnchorage</t>
  </si>
  <si>
    <t>Aeronautical Anchorage</t>
  </si>
  <si>
    <t>A buoy indicating an aeronautical anchorage (for example: for seaplanes).</t>
  </si>
  <si>
    <t>Seaplane Anchorage Mark</t>
  </si>
  <si>
    <t>anchorage</t>
  </si>
  <si>
    <t>A buoy indicating an anchorage.</t>
  </si>
  <si>
    <t>anchoringProhibited</t>
  </si>
  <si>
    <t>Anchoring Prohibited</t>
  </si>
  <si>
    <t>A buoy indicating an area where anchoring is prohibited.</t>
  </si>
  <si>
    <t>apexFloat</t>
  </si>
  <si>
    <t>APEX Float</t>
  </si>
  <si>
    <t>An autonomous drifting profiler used to measure subsurface currents and make profile measurements that surfaces at programmed intervals for data telemetry and geo-location via ARGOS satellite.</t>
  </si>
  <si>
    <t>Approximately 16.5 centimetres in diameter and 130 centimetres tall (not including the 70 centimetre aerial). Surfaces approximately 150 times from a maximum depth of 2000 metres over a 4-year lifespan. Automatically adjusts buoyancy to follow an isobaric surface while drifting, or can be programmed to follow an isopycnal surface.</t>
  </si>
  <si>
    <t>articulatedLight</t>
  </si>
  <si>
    <t>Articulated Light</t>
  </si>
  <si>
    <t>A buoy-like structure consisting of a light or lights fixed to a vertical pipe structure that oscillates around a universal coupling connected to a sinker.</t>
  </si>
  <si>
    <t>The structure is kept upright by the buoyancy of a submerged floating chamber. Primarily designed to mark narrow channels with greater precision than conventional buoys.</t>
  </si>
  <si>
    <t>artificialReef</t>
  </si>
  <si>
    <t>Artificial Reef</t>
  </si>
  <si>
    <t>A buoy indicating the existence or the extent of an artificial reef.</t>
  </si>
  <si>
    <t>barge</t>
  </si>
  <si>
    <t>Barge</t>
  </si>
  <si>
    <t>A buoy of relevance to barges.</t>
  </si>
  <si>
    <t>berthingPermitted</t>
  </si>
  <si>
    <t>Berthing Permitted</t>
  </si>
  <si>
    <t>A buoy indicating that berthing is allowed.</t>
  </si>
  <si>
    <t>berthingProhibited</t>
  </si>
  <si>
    <t>Berthing Prohibited</t>
  </si>
  <si>
    <t>A buoy indicating that berthing is prohibited.</t>
  </si>
  <si>
    <t>bifurcation</t>
  </si>
  <si>
    <t>Bifurcation</t>
  </si>
  <si>
    <t>A distinctive lateral buoy used to indicate both the point at which a channel divides and the channel that has been designated as preferred channel.</t>
  </si>
  <si>
    <t>A buoy indicating the position of submarine cables or the point at which they run on to the land.</t>
  </si>
  <si>
    <t>channelEdgeGradient</t>
  </si>
  <si>
    <t>Channel Edge Gradient</t>
  </si>
  <si>
    <t>A buoy indicating the gradient of the slope of a dredge channel edge.</t>
  </si>
  <si>
    <t>clearingLine</t>
  </si>
  <si>
    <t>Clearing Line</t>
  </si>
  <si>
    <t>A buoy indicating a clearing line.</t>
  </si>
  <si>
    <t>compassAdjustment</t>
  </si>
  <si>
    <t>Compass Adjustment</t>
  </si>
  <si>
    <t>A buoy placed at a favourable location to assist a vessel to adjust its compass or swing ship.</t>
  </si>
  <si>
    <t>Swinging Buoy</t>
  </si>
  <si>
    <t>control</t>
  </si>
  <si>
    <t>Control</t>
  </si>
  <si>
    <t>A buoy indicating the location at which a restriction or requirement exists.</t>
  </si>
  <si>
    <t>degaussingRange</t>
  </si>
  <si>
    <t>Degaussing Range</t>
  </si>
  <si>
    <t>A buoy indicating a degaussing range.</t>
  </si>
  <si>
    <t>diving</t>
  </si>
  <si>
    <t>Diving</t>
  </si>
  <si>
    <t>A buoy indicating that diving may take place or be taking place in the vicinity.</t>
  </si>
  <si>
    <t>eastCardinal</t>
  </si>
  <si>
    <t>East Cardinal</t>
  </si>
  <si>
    <t>A buoy used to indicate that the best navigable water is to be found in the quadrant bounded by the two bearings NE and SE taken from the position of the buoy.</t>
  </si>
  <si>
    <t>entryProhibited</t>
  </si>
  <si>
    <t>Entry Prohibited</t>
  </si>
  <si>
    <t>A buoy indicating that entry is prohibited.</t>
  </si>
  <si>
    <t>exerciseArea</t>
  </si>
  <si>
    <t>Exercise Area</t>
  </si>
  <si>
    <t>A buoy indicating an area shown on charts within which naval, military or aerial exercises are carried out.</t>
  </si>
  <si>
    <t>Military Practice Area</t>
  </si>
  <si>
    <t>explosiveAnchorage</t>
  </si>
  <si>
    <t>Explosive Anchorage</t>
  </si>
  <si>
    <t>A buoy indicating an area set apart for anchored ships discharging or receiving explosives.</t>
  </si>
  <si>
    <t>fairway</t>
  </si>
  <si>
    <t>Fairway</t>
  </si>
  <si>
    <t>A buoy intended to be the first to be seen during an approach from the open sea to a fairway.</t>
  </si>
  <si>
    <t>Safe water exists on both sides.</t>
  </si>
  <si>
    <t>ferryCrossing</t>
  </si>
  <si>
    <t>A buoy indicating that a ferry route crosses the ship route.</t>
  </si>
  <si>
    <t>Often includes a 'sound ships siren' mark.</t>
  </si>
  <si>
    <t>firingDangerArea</t>
  </si>
  <si>
    <t>Firing Danger Area</t>
  </si>
  <si>
    <t>A buoy indicating a firing danger area.</t>
  </si>
  <si>
    <t>fishTrap</t>
  </si>
  <si>
    <t>Fish Trap</t>
  </si>
  <si>
    <t>A buoy indicating the limits of a fish trap area.</t>
  </si>
  <si>
    <t>foulGround</t>
  </si>
  <si>
    <t>A buoy indicating a foul ground.</t>
  </si>
  <si>
    <t>generalWarning</t>
  </si>
  <si>
    <t>General Warning</t>
  </si>
  <si>
    <t>A buoy indicating that special caution must be exercised in the vicinity of the buoy.</t>
  </si>
  <si>
    <t>gpsMark</t>
  </si>
  <si>
    <t>GPS Mark</t>
  </si>
  <si>
    <t>A buoy indicating a location at which a GPS position has been accurately determined.</t>
  </si>
  <si>
    <t>A buoy indicating an area where helicopters may land.</t>
  </si>
  <si>
    <t>iceBuoy</t>
  </si>
  <si>
    <t>A specially constructed shuttle shaped buoy which is used in ice conditions.</t>
  </si>
  <si>
    <t>installation</t>
  </si>
  <si>
    <t>A buoy used for loading tankers with gas or oil.</t>
  </si>
  <si>
    <t>For example, a catenary anchor leg mooring (CALM) or a single buoy mooring (SBM).</t>
  </si>
  <si>
    <t>isolatedDanger</t>
  </si>
  <si>
    <t>Isolated Danger</t>
  </si>
  <si>
    <t>A navigation buoy used alone to indicate a danger (for example: a reef or shoal).</t>
  </si>
  <si>
    <t>junction</t>
  </si>
  <si>
    <t>Junction</t>
  </si>
  <si>
    <t>A buoy marking the inner end of a middle ground (a shallow area in otherwise deeper water with channels on both sides of it).</t>
  </si>
  <si>
    <t>Middle Ground Buoy</t>
  </si>
  <si>
    <t>landfall</t>
  </si>
  <si>
    <t>Landfall</t>
  </si>
  <si>
    <t>The outermost buoy marking the entrance to a channel or harbour.</t>
  </si>
  <si>
    <t>Farewell, Sea</t>
  </si>
  <si>
    <t>largeAutomaticNavBuoy</t>
  </si>
  <si>
    <t>Large Automatic Navigation Buoy</t>
  </si>
  <si>
    <t>A large buoy designed to take the place of a lightship where construction of an offshore light station is not feasible.</t>
  </si>
  <si>
    <t>It may vary in size up to a displacement of 140 tonnes and a diameter and/or height of 12 metres.</t>
  </si>
  <si>
    <t>leadingLine</t>
  </si>
  <si>
    <t>A buoy identifying a leading line for vessels when they are in transit.</t>
  </si>
  <si>
    <t>A maritime aid to navigation so located as to indicate the path to be followed.</t>
  </si>
  <si>
    <t>lightFloat</t>
  </si>
  <si>
    <t>Light Float</t>
  </si>
  <si>
    <t>A boat-like structure used instead of a light buoy in waters where strong streams or currents are experienced, or when a greater elevation than that of a light buoy is necessary.</t>
  </si>
  <si>
    <t>marineFarm</t>
  </si>
  <si>
    <t>Marine Farm</t>
  </si>
  <si>
    <t>A buoy indicating the existence of a fish, mussel, oyster or pearl farm and/or culture.</t>
  </si>
  <si>
    <t>markerShip</t>
  </si>
  <si>
    <t>Marker Ship</t>
  </si>
  <si>
    <t>A buoy indicating the position of a ship which is used as a target during military exercises.</t>
  </si>
  <si>
    <t>maximumVesselsDraft</t>
  </si>
  <si>
    <t>Maximum Vessel's Draft</t>
  </si>
  <si>
    <t>A buoy indicating the maximum draft of vessels permitted.</t>
  </si>
  <si>
    <t>measuredDistance</t>
  </si>
  <si>
    <t>Measured Distance</t>
  </si>
  <si>
    <t>A buoy forming part of a transit indicating one end of a measured distance.</t>
  </si>
  <si>
    <t>midChannel</t>
  </si>
  <si>
    <t>Mid-Channel</t>
  </si>
  <si>
    <t>A buoy identifying the middle of a channel.</t>
  </si>
  <si>
    <t>A buoy indicating a mooring or moorings.</t>
  </si>
  <si>
    <t>nccbBuoy</t>
  </si>
  <si>
    <t>Navigation, communication and control buoy (NCCB)</t>
  </si>
  <si>
    <t>A floating structure with control room, power and storage facilities, attached to the sea bed by a flexible pipeline and cables.</t>
  </si>
  <si>
    <t>northCardinal</t>
  </si>
  <si>
    <t>North Cardinal</t>
  </si>
  <si>
    <t>A buoy used to indicate that the best navigable water is to be found in the quadrant bounded by the two bearings NW and NE taken from the position of the buoy.</t>
  </si>
  <si>
    <t>notice</t>
  </si>
  <si>
    <t>Notice</t>
  </si>
  <si>
    <t>A buoy providing information to the mariner.</t>
  </si>
  <si>
    <t>obstruction</t>
  </si>
  <si>
    <t>Obstruction</t>
  </si>
  <si>
    <t>A buoy indicating an obstruction to maritime navigation.</t>
  </si>
  <si>
    <t>odasBuoy</t>
  </si>
  <si>
    <t>Ocean Data Acquisition System (ODAS) Buoy</t>
  </si>
  <si>
    <t>A large (up to 6 metres in diameter) buoy carrying oceanographic and meteorological sensors together with an on-board data recording system.</t>
  </si>
  <si>
    <t>When anchored by means of an elastic mooring an accelerometer mounted within the buoy registers the rate at which the buoy is rising or falling as it follows the pattern of waves; by integrating against time, the acceleration signal can be converted to vertical displacement. Some ODAS buoys also contain an electronic compass and two additional accelerometers (sensing pitch and roll of the buoy respectively) in order to measure the directional components of the wave field.</t>
  </si>
  <si>
    <t>outfall</t>
  </si>
  <si>
    <t>Outfall</t>
  </si>
  <si>
    <t>A buoy indicating the position of an outfall or the point at which it leaves the land.</t>
  </si>
  <si>
    <t>overheadPowerCable</t>
  </si>
  <si>
    <t>Overhead Power Cable</t>
  </si>
  <si>
    <t>A buoy indicating an overhead power cable.</t>
  </si>
  <si>
    <t>overtakingProhibited</t>
  </si>
  <si>
    <t>Overtaking Prohibited</t>
  </si>
  <si>
    <t>A buoy indicating that overtaking is prohibited.</t>
  </si>
  <si>
    <t>pipeline</t>
  </si>
  <si>
    <t>A buoy indicating the position of submarine pipelines or the point at which they run on to the land.</t>
  </si>
  <si>
    <t>portHandEdge</t>
  </si>
  <si>
    <t>Port-hand Edge</t>
  </si>
  <si>
    <t>A buoy identifying the port hand edge of a channel, according to the locally administered direction of buoyage in the IALA lateral system.</t>
  </si>
  <si>
    <t>Its colour and shape will vary between IALA regions A and B.</t>
  </si>
  <si>
    <t>preferredChannelPort</t>
  </si>
  <si>
    <t>Preferred Channel to Port</t>
  </si>
  <si>
    <t>A buoy indicating that the preferred channel in a lateral system of buoyage is to port.</t>
  </si>
  <si>
    <t>preferredChannelStarboard</t>
  </si>
  <si>
    <t>Preferred Channel to Starboard</t>
  </si>
  <si>
    <t>A buoy indicating that the preferred channel in a lateral system of buoyage is to starboard.</t>
  </si>
  <si>
    <t>A privately maintained bouy.</t>
  </si>
  <si>
    <t>quarantine</t>
  </si>
  <si>
    <t>Quarantine</t>
  </si>
  <si>
    <t>A buoy indicating a quarantine anchorage.</t>
  </si>
  <si>
    <t>recording</t>
  </si>
  <si>
    <t>Recording</t>
  </si>
  <si>
    <t>A buoy used to record data for scientific purposes.</t>
  </si>
  <si>
    <t>recreationZone</t>
  </si>
  <si>
    <t>Recreation Zone</t>
  </si>
  <si>
    <t>A buoy indicating a recreation zone.</t>
  </si>
  <si>
    <t>reducedWake</t>
  </si>
  <si>
    <t>Reduced Wake</t>
  </si>
  <si>
    <t>A buoy indicating that vessels must not generate excessive wake.</t>
  </si>
  <si>
    <t>refuge</t>
  </si>
  <si>
    <t>Refuge</t>
  </si>
  <si>
    <t>A buoy providing or indicating a place of safety.</t>
  </si>
  <si>
    <t>restrictedHorizClearance</t>
  </si>
  <si>
    <t>A buoy indicating the minimum horizontal space available for passage.</t>
  </si>
  <si>
    <t>restrictedVertClearance</t>
  </si>
  <si>
    <t>Restricted Vertical Clearance</t>
  </si>
  <si>
    <t>A buoy indicating the minimum vertical space available for passage.</t>
  </si>
  <si>
    <t>safeWater</t>
  </si>
  <si>
    <t>Safe Water</t>
  </si>
  <si>
    <t>A buoy in the IALA Maritime Buoyage System indicating that there is navigable water around its position.</t>
  </si>
  <si>
    <t>seaplaneLanding</t>
  </si>
  <si>
    <t>Seaplane Landing</t>
  </si>
  <si>
    <t>A buoy indicating an area where seaplanes land.</t>
  </si>
  <si>
    <t>soundShipsSiren</t>
  </si>
  <si>
    <t>Sound Ship's Siren</t>
  </si>
  <si>
    <t>A buoy indicating that a ship should sound its siren or horn.</t>
  </si>
  <si>
    <t>southCardinal</t>
  </si>
  <si>
    <t>South Cardinal</t>
  </si>
  <si>
    <t>A buoy used to indicate that the best navigable water is to be found in the quadrant bounded by the two bearings SE and SW taken from the position of the buoy.</t>
  </si>
  <si>
    <t>special</t>
  </si>
  <si>
    <t>Special</t>
  </si>
  <si>
    <t>A buoy primarily used to indicate an area or feature referred to in nautical documents (for example: chart, Sailing Directions or Notices to Mariners) rather than to assist navigation.</t>
  </si>
  <si>
    <t>Special Purpose</t>
  </si>
  <si>
    <t>speedLimit</t>
  </si>
  <si>
    <t>Speed Limit</t>
  </si>
  <si>
    <t>A buoy indicating that a speed limit applies.</t>
  </si>
  <si>
    <t>spoilGround</t>
  </si>
  <si>
    <t>Spoil Ground</t>
  </si>
  <si>
    <t>A buoy indicating the limit of a spoil ground.</t>
  </si>
  <si>
    <t>starboardHandEdge</t>
  </si>
  <si>
    <t>Starboard-hand Edge</t>
  </si>
  <si>
    <t>A buoy identifying the starboard hand edge of a channel, according to the locally administered direction of buoyage in the IALA lateral system.</t>
  </si>
  <si>
    <t>stop</t>
  </si>
  <si>
    <t>Stop</t>
  </si>
  <si>
    <t>A buoy indicating the place where the bow of a ship must stop when traffic lights show red.</t>
  </si>
  <si>
    <t>strongCurrentWarning</t>
  </si>
  <si>
    <t>Strong Current Warning</t>
  </si>
  <si>
    <t>A buoy warning of strong currents.</t>
  </si>
  <si>
    <t>swim</t>
  </si>
  <si>
    <t>Swim</t>
  </si>
  <si>
    <t>A buoy indicating an area in which people may swim and therefore vessel movement may be restricted.</t>
  </si>
  <si>
    <t>target</t>
  </si>
  <si>
    <t>Target</t>
  </si>
  <si>
    <t>A buoy distinctively marked to aid in its identification (for example: as a weapons target, or for identification on a photograph).</t>
  </si>
  <si>
    <t>telegraphCable</t>
  </si>
  <si>
    <t>Telegraph Cable</t>
  </si>
  <si>
    <t>A buoy indicating the position of a submarine telegraph cable.</t>
  </si>
  <si>
    <t>A buoy indicating the presence of a telephone.</t>
  </si>
  <si>
    <t>trot</t>
  </si>
  <si>
    <t>Trot</t>
  </si>
  <si>
    <t>A buoy indicating a mooring point within a system for the fore and aft mooring of several boats in rows.</t>
  </si>
  <si>
    <t>tss</t>
  </si>
  <si>
    <t>TSS</t>
  </si>
  <si>
    <t>A buoy indicating a traffic separation scheme.</t>
  </si>
  <si>
    <t>twoWayTrafficProhibited</t>
  </si>
  <si>
    <t>Two-Way Traffic Prohibited</t>
  </si>
  <si>
    <t>A buoy indicating a one way route.</t>
  </si>
  <si>
    <t>warping</t>
  </si>
  <si>
    <t>Warping</t>
  </si>
  <si>
    <t>A buoy so located that lines to it can be used for the movement of ships.</t>
  </si>
  <si>
    <t>waterColumnSensor</t>
  </si>
  <si>
    <t>Water Column Sensor</t>
  </si>
  <si>
    <t>A buoy which is normally submerged in order to position oceanographic and/or acoustic sensors within the water column.</t>
  </si>
  <si>
    <t>It is moored to the waterbody bottom and suspended within the water column to measure water column properties (for example: currents, acoustic returns, temperature and other oceanographic phenomena).</t>
  </si>
  <si>
    <t>wavemeter</t>
  </si>
  <si>
    <t>Wavemeter</t>
  </si>
  <si>
    <t>A buoy equipped with instruments for measuring waves (for example: their height and/or period).</t>
  </si>
  <si>
    <t>wellhead</t>
  </si>
  <si>
    <t>Wellhead</t>
  </si>
  <si>
    <t>A buoy indicating a borehole that produces or is capable of producing oil or natural gas.</t>
  </si>
  <si>
    <t>westCardinal</t>
  </si>
  <si>
    <t>West Cardinal</t>
  </si>
  <si>
    <t>A buoy used to indicate that the best navigable water is to be found in the quadrant bounded by the two bearings NW and SW taken from the position of the buoy.</t>
  </si>
  <si>
    <t>Work In Progress</t>
  </si>
  <si>
    <t>A buoy indicating that work (generally construction) is in progress.</t>
  </si>
  <si>
    <t>wreck</t>
  </si>
  <si>
    <t>A buoy indicating the location of a wreck.</t>
  </si>
  <si>
    <t>yachting</t>
  </si>
  <si>
    <t>Yachting</t>
  </si>
  <si>
    <t>A buoy installed for use by yachtsmen.</t>
  </si>
  <si>
    <t>districtHeatingCooling</t>
  </si>
  <si>
    <t>District Heating or Cooling</t>
  </si>
  <si>
    <t>A buried pipe for the transport of heated or chilled fluids for heating or cooling purposes.</t>
  </si>
  <si>
    <t>gas</t>
  </si>
  <si>
    <t>Gas</t>
  </si>
  <si>
    <t>A buried pipe used for transport (supply) of natural gas or liquid product.</t>
  </si>
  <si>
    <t>A buried cable that transmits or distributes electrical power.</t>
  </si>
  <si>
    <t>A buried buried pipe in a sewage system for carrying water or sewage to a disposal area.</t>
  </si>
  <si>
    <t>telecommunication</t>
  </si>
  <si>
    <t>Telecommunication</t>
  </si>
  <si>
    <t>A buried cable that transmits communication signals.</t>
  </si>
  <si>
    <t>For example, telephone, telegraph, television cable, fibre optic, and digital communications.</t>
  </si>
  <si>
    <t>A buried pipe used for transport (supply) of potable water.</t>
  </si>
  <si>
    <t>difficult</t>
  </si>
  <si>
    <t>Difficult</t>
  </si>
  <si>
    <t>Obstacle can be crossed within 2 kilometres of feature, work required.</t>
  </si>
  <si>
    <t>easy</t>
  </si>
  <si>
    <t>Easy</t>
  </si>
  <si>
    <t>Obstacle can be crossed within 2 kilometres of feature, no work.</t>
  </si>
  <si>
    <t>impossible</t>
  </si>
  <si>
    <t>Impossible</t>
  </si>
  <si>
    <t>Obstacle can not be bypassed within 2 kilometres of feature.</t>
  </si>
  <si>
    <t>ash</t>
  </si>
  <si>
    <t>Ash</t>
  </si>
  <si>
    <t>The powdery residue, composed chiefly of earthy or mineral particles, left after the combustion of any substance.</t>
  </si>
  <si>
    <t>cinders</t>
  </si>
  <si>
    <t>Cinders</t>
  </si>
  <si>
    <t>Residual pieces of combustible matter (for example: coal or wood) that has ceased to flame but has still combustible matter in them.</t>
  </si>
  <si>
    <t>noByproduct</t>
  </si>
  <si>
    <t>No Byproduct</t>
  </si>
  <si>
    <t>No byproduct is produced.</t>
  </si>
  <si>
    <t>radioactiveMaterial</t>
  </si>
  <si>
    <t>Radioactive Material</t>
  </si>
  <si>
    <t>Any material or combination of materials which spontaneously emits ionizing radiation (for example: nuclear particles and/or gamma rays).</t>
  </si>
  <si>
    <t>refuse</t>
  </si>
  <si>
    <t>Refuse</t>
  </si>
  <si>
    <t>Waste material that is thrown away as worthless.</t>
  </si>
  <si>
    <t>Trash, Waste</t>
  </si>
  <si>
    <t>scrapMetal</t>
  </si>
  <si>
    <t>Scrap-metal</t>
  </si>
  <si>
    <t>Discarded metal for reprocessing.</t>
  </si>
  <si>
    <t>Waste, especially excremental, matter conveyed in sewers.</t>
  </si>
  <si>
    <t>slag</t>
  </si>
  <si>
    <t>Slag</t>
  </si>
  <si>
    <t>Stony material composed of waste matter or dross separated from metals during smelting or refining.</t>
  </si>
  <si>
    <t>Also any similar waste product resulting from the fusion of other substances.</t>
  </si>
  <si>
    <t>sludge</t>
  </si>
  <si>
    <t>Sludge</t>
  </si>
  <si>
    <t>A muddy or slimy matter or deposit consisting of a thick suspension of fine particles or gel in a liquid, especially one formed as waste in any of various industrial and mechanical processes.</t>
  </si>
  <si>
    <t>spoil</t>
  </si>
  <si>
    <t>Spoil</t>
  </si>
  <si>
    <t>Rocky or soil-like material resulting from excavating, mining, dredging, and/or processing activities.</t>
  </si>
  <si>
    <t>Spoil from mining activities is known as 'Tailings'.</t>
  </si>
  <si>
    <t>Tailing</t>
  </si>
  <si>
    <t>mountainCatenary</t>
  </si>
  <si>
    <t>Mountain Catenary</t>
  </si>
  <si>
    <t>The cable is suspended between pylons located at significantly dissimilar elevations, and sometimes irregular spacings, thus forming asymmetric catenary curves of varying depth and shape.</t>
  </si>
  <si>
    <t>overwaterCatenary</t>
  </si>
  <si>
    <t>Overwater Catenary</t>
  </si>
  <si>
    <t>The cable is suspended between pylons located at similar elevations but with unusually long spacings, thus forming symmetric catenary curves of unusual depth.</t>
  </si>
  <si>
    <t>symmetricCatenary</t>
  </si>
  <si>
    <t>Symmetric Catenary</t>
  </si>
  <si>
    <t>The cable is suspended between pylons located at similar elevations and regular spacings, thus forming symmetric catenary curves of regular depth.</t>
  </si>
  <si>
    <t>barrier</t>
  </si>
  <si>
    <t>Barrier</t>
  </si>
  <si>
    <t>A cable that is a barrier to movement.</t>
  </si>
  <si>
    <t>For example, cable gates, cable fences and guard rail cables. Cable fences are a thick cable or cables securely locked across a vehicle access to prevent or control entry or exit providing a physical barrier against unauthorized vehicles and cable fences which usually consist of cables stretched between anchor posts. Cable fences are used primarily for confinement areas, such as holding pens, feed lots and corrals but may also be installed along hillside slopes to reduce the risk of rocks falling onto roadways. Additionally, they may be installed in areas to prevent vehicular traffic access for security or safety reasons. Guard rail cables are a cable or cables erected along a road used to prevent vehicles from leaving the roadway.</t>
  </si>
  <si>
    <t>Confinement</t>
  </si>
  <si>
    <t>cableway</t>
  </si>
  <si>
    <t>A cable suspended above the ground that transports people, goods or equipment.</t>
  </si>
  <si>
    <t>Carrier units are attached to the cable. For example, a ski lift.</t>
  </si>
  <si>
    <t>communicationLine</t>
  </si>
  <si>
    <t>Communication Line</t>
  </si>
  <si>
    <t>A cable that transmits communication signals.</t>
  </si>
  <si>
    <t>digitalCommunicationLine</t>
  </si>
  <si>
    <t>Digital Communication Line</t>
  </si>
  <si>
    <t>A cable that transmits digital signals.</t>
  </si>
  <si>
    <t>May use either electrical (for example: T1 or T3) or optical (for example: fibre-optic) means.</t>
  </si>
  <si>
    <t>fibreOptic</t>
  </si>
  <si>
    <t>Fibre-optic</t>
  </si>
  <si>
    <t>guide</t>
  </si>
  <si>
    <t>Guide</t>
  </si>
  <si>
    <t>A cable that is used to guide or direct a moving object.</t>
  </si>
  <si>
    <t>For example, a cable or a set of cables connected to opposite shores that are used to guide or propell a cable ferry across a body of water. Older ferries may be moved by poling, by currents or by people pulling the ferry along the stationary cable. Modern cable ferries use a winch either located on the vessel or on shore to propel it across the waterbody. A cable ferry usually operates on narrow rivers that have little or no marine traffic.</t>
  </si>
  <si>
    <t>loadBearing</t>
  </si>
  <si>
    <t>Load Bearing</t>
  </si>
  <si>
    <t>A cable that functions to suspend and/or support an object or part of an object.</t>
  </si>
  <si>
    <t>For example, the suspension cables and the suspenders that constitute the suspension mechanism supporting a bridge deck on a suspension bridge, or the supporting cables on a cable stayed bridge.</t>
  </si>
  <si>
    <t>powerLine</t>
  </si>
  <si>
    <t>Power Line</t>
  </si>
  <si>
    <t>A cable that transmits or distributes electrical power.</t>
  </si>
  <si>
    <t>restraining</t>
  </si>
  <si>
    <t>Restraining</t>
  </si>
  <si>
    <t>A cable that restrains an object so as to prevent movement altogether.</t>
  </si>
  <si>
    <t>For example, a guy wire that is a tensioned cable used for holding a structure in position or to add stability.</t>
  </si>
  <si>
    <t>A cable that transmits telegraph signals.</t>
  </si>
  <si>
    <t>A cable that transmits telephone signals.</t>
  </si>
  <si>
    <t>tethering</t>
  </si>
  <si>
    <t>Tethering</t>
  </si>
  <si>
    <t>A cable that restrains or limits the movement of an object by connecting it to an anchoring mechanism.</t>
  </si>
  <si>
    <t>For example, a cable tethering a balloon, an anchor trot or a buoy.</t>
  </si>
  <si>
    <t>towing</t>
  </si>
  <si>
    <t>Towing</t>
  </si>
  <si>
    <t>A cable that provides an object with the means of moving not under its own power.</t>
  </si>
  <si>
    <t>For example, as used by cable cars and cable railroads. Cable cars are a type of streetcar that is pulled along by a continuously moving cable running at a steady speed under the street. The cable is gripped with a vise-like apparatus that is operated via a grip lever in the front of the cable car. Cable cars stop and start by releasing and gripping the cable as necessary. A cable railway is a steeply graded railway that uses a cable or rope to haul trains up a hillside which is too steep for the railway to climb unassisted. It consists of a track along which cars are pulled by a moving cable that is operated by a stationary engine. The majority of cable railways are used in industrial areas, including quarries and mines.</t>
  </si>
  <si>
    <t>Propulsion</t>
  </si>
  <si>
    <t>transmissionLine</t>
  </si>
  <si>
    <t>Transmission Line</t>
  </si>
  <si>
    <t>A cable that transmits electrical power over long distances.</t>
  </si>
  <si>
    <t>Typically at a high voltage and suspended in the air on pylons.</t>
  </si>
  <si>
    <t>aerialTramway</t>
  </si>
  <si>
    <t>Aerial Tramway</t>
  </si>
  <si>
    <t>A cableway consisting of two or more loops of cable and two passenger cabins where one of the cables is always fixed and provides support for the cabins while the second cable moves the cabins (for example: up or down a mountain).</t>
  </si>
  <si>
    <t>The second cable is usually driven by an electric motor and is connected to the cabins by means of a grip. They differ from gondola lifts in that the latter use several smaller cabins circulating on a looped cable.</t>
  </si>
  <si>
    <t>chairLift</t>
  </si>
  <si>
    <t>Chair-lift</t>
  </si>
  <si>
    <t>An aerial lift that consists of a constantly moving loop of steel cable strung between two end terminals and generally over intermediate towers.</t>
  </si>
  <si>
    <t>Ubiquitous at ski areas, and can also be found at amusement parks, and various tourist attractions.</t>
  </si>
  <si>
    <t>gondolaLift</t>
  </si>
  <si>
    <t>Gondola Lift</t>
  </si>
  <si>
    <t>An aerial lift that consists of a loop of steel cable that is strung between two stations, preferably over intermedate supporting towers from which is suspended gondolas that circulate between the stations.</t>
  </si>
  <si>
    <t>The cable is driven by a bullwheel in the terminal, which is connected to an engine, which is usually electric. They differ from aerial tramways in that the latter consist only of one or two usually larger cabins, moving up and down, not circulating.</t>
  </si>
  <si>
    <t>Cable Car</t>
  </si>
  <si>
    <t>industrialRopeway</t>
  </si>
  <si>
    <t>Industrial Ropeway</t>
  </si>
  <si>
    <t>A system of overhead cables from which containers (for example: buckets or cars) are suspended and moved between locations at an industrial facility (for example: from a mine to a processing facility).</t>
  </si>
  <si>
    <t>materialTramway</t>
  </si>
  <si>
    <t>Material Tramway</t>
  </si>
  <si>
    <t>An overhead cable used as transportation method to carry equipment and food across diffficult terrain (for example: up steep mountains or across fast moving rivers).</t>
  </si>
  <si>
    <t>skiTow</t>
  </si>
  <si>
    <t>Ski Tow</t>
  </si>
  <si>
    <t>A mechanised system for pulling skiers uphill, usually consisting of a long rope loop that skiers grab and are pulled along while standing on their skis (or snowboard).</t>
  </si>
  <si>
    <t>The rope runs over a series of wheels and is usually powered by an engine at the upper end.</t>
  </si>
  <si>
    <t>Rope Tow</t>
  </si>
  <si>
    <t>teeBarLift</t>
  </si>
  <si>
    <t>T-bar Lift</t>
  </si>
  <si>
    <t>A mechanised system for pulling skiers uphill consisting of an aerial steel rope loop from which are hanging equally-spaced vertical cables attached to a plastic T-shaped bar that is placed between the skier's or snowboarder's legs, thus pulling the skier or snowboarder uphill.</t>
  </si>
  <si>
    <t>The rope runs over a series of wheels and is usually powered by an engine at the upper end. A T-bar can lift a maximum of two people at a time per T-bar.</t>
  </si>
  <si>
    <t>T-bar</t>
  </si>
  <si>
    <t>collateralEvidence</t>
  </si>
  <si>
    <t>Collateral Evidence</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</si>
  <si>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</si>
  <si>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</si>
  <si>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fieldNotes</t>
  </si>
  <si>
    <t>Field Notes</t>
  </si>
  <si>
    <t>The official written record of the survey, certified by the field surveyor and approved by proper authority.</t>
  </si>
  <si>
    <t>Notebooks in which the initial information is recorded in the field, and from which the field notes are transcribed, are called field tablets.</t>
  </si>
  <si>
    <t>fieldSketch</t>
  </si>
  <si>
    <t>Field Sketch</t>
  </si>
  <si>
    <t>A drawing of a tract of land, including the length of each border line and indications of intersecting fences, roads, and streams.</t>
  </si>
  <si>
    <t>A field sketch may be included with field notes.</t>
  </si>
  <si>
    <t>gnssSurvey</t>
  </si>
  <si>
    <t>GNSS Survey</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</si>
  <si>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</si>
  <si>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</si>
  <si>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officialCadastralSurvey</t>
  </si>
  <si>
    <t>Official Cadastral Survey</t>
  </si>
  <si>
    <t>A survey that has been accepted and the plat thereof has been filed in the appropriate land office by direction of the relevant authority.</t>
  </si>
  <si>
    <t>orthophoto</t>
  </si>
  <si>
    <t>Orthophoto</t>
  </si>
  <si>
    <t>A rectified aerial photograph which has a uniform scale and may be used to measure distances or as a base map to overlay additional information.</t>
  </si>
  <si>
    <t>The rectification process removes the effects of tilt and relief from the original aerial photograph.</t>
  </si>
  <si>
    <t>plat</t>
  </si>
  <si>
    <t>Plat</t>
  </si>
  <si>
    <t>A drawing that represents the particular area included in a survey, such as a township, private land claim, or mineral claim, and the lines surveyed, established, retraced or resurveyed, showing: the direction and length of each such line; the relation to</t>
  </si>
  <si>
    <t>relativeMeasurement</t>
  </si>
  <si>
    <t>Relative Measurement</t>
  </si>
  <si>
    <t>A description of a land parcel using physical features of the land, with instructions regarding directions and distances, to indicate the boundaries of the parcel.</t>
  </si>
  <si>
    <t>Such a 'metes and bounds' description uses physical features (which may include, for example, trees, rocks, stream bed, roads, and posts) instead of special-purpose permanent survey monuments to indicate corners and boundaries.</t>
  </si>
  <si>
    <t>resurvey</t>
  </si>
  <si>
    <t>Resurvey</t>
  </si>
  <si>
    <t>The work products of a survey performed to reestablish or restore land boundaries and subdivisions by the rerunning and remaking of the lines that were represented in the field-note record and on the plat of the previous official survey, and which include</t>
  </si>
  <si>
    <t>A resurvey may be performed to confirm, correct, or complete the determination of the boundaries and extent of a property, subject to the approval of the directing authority.</t>
  </si>
  <si>
    <t>survey</t>
  </si>
  <si>
    <t>Survey</t>
  </si>
  <si>
    <t>The plat and the field-note record of the observations, measurements, and monuments descriptive of the work performed.</t>
  </si>
  <si>
    <t>Surveying is process of recording observations, making measurements, and marking the boundaries of tracts of lands.</t>
  </si>
  <si>
    <t>tenureMap</t>
  </si>
  <si>
    <t>Tenure Map</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</si>
  <si>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</si>
  <si>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</si>
  <si>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topographicMap</t>
  </si>
  <si>
    <t>Topographic Map</t>
  </si>
  <si>
    <t>A map that uses contour lines to portray the shape and elevation of land on a two-dimensional surface, and which represents and names both natural and man-made features.</t>
  </si>
  <si>
    <t>usePlat</t>
  </si>
  <si>
    <t>Use Plat</t>
  </si>
  <si>
    <t>A copy of the master title plat (and any supplemental master title plats) of a township or other administrative area, showing additional information concerning use of the lands, such as applications, leases and permits.</t>
  </si>
  <si>
    <t>video</t>
  </si>
  <si>
    <t>Video</t>
  </si>
  <si>
    <t>A video record of a property that documents its extent or improvements.</t>
  </si>
  <si>
    <t>artificial</t>
  </si>
  <si>
    <t>Artificial</t>
  </si>
  <si>
    <t>Any material or substance that is produced for the purpose of camouflaging or natural materials that are moved from their original location in order to disguise.</t>
  </si>
  <si>
    <t>Artificial camouflage may include walls, burlap, nets, paint, or natural material that has been moved from its original location.</t>
  </si>
  <si>
    <t>natural</t>
  </si>
  <si>
    <t>Natural</t>
  </si>
  <si>
    <t>Camouflage techniques which take advantage of the immediate natural environment.</t>
  </si>
  <si>
    <t>Natural camouflage uses vegetation or natural objects that are native to the given area. Natural camouflage includes such things as bushes, grass, leaves, trees, rocks and shadows.</t>
  </si>
  <si>
    <t>aeolian</t>
  </si>
  <si>
    <t>Aeolian</t>
  </si>
  <si>
    <t>Formed by wind blown abrasive particles striking a weak zone in the host rock.</t>
  </si>
  <si>
    <t>erosional</t>
  </si>
  <si>
    <t>Erosional</t>
  </si>
  <si>
    <t>Formed by flowing underground streams carrying rocks and other sediments attacking a fault or joint in the host rock.</t>
  </si>
  <si>
    <t>Can be formed in any type of rock.</t>
  </si>
  <si>
    <t>glacier</t>
  </si>
  <si>
    <t>Formed when passages are created in the ice by melting water moving through or under glaciers.</t>
  </si>
  <si>
    <t>Steam or high heat flow can also form glacier caves. Some glacier caves are relatively unstable due to melting and glacial movement.</t>
  </si>
  <si>
    <t>lava</t>
  </si>
  <si>
    <t>Lava</t>
  </si>
  <si>
    <t>Formed when the outer surface of a lava flow cools and hardens while the molten lava within continues to flow and ultimately drains away.</t>
  </si>
  <si>
    <t>Lava caves or tubes are called primary caves as they are formed at the same time as the surrounding rock.</t>
  </si>
  <si>
    <t>Lava Tube</t>
  </si>
  <si>
    <t>solution</t>
  </si>
  <si>
    <t>Solution</t>
  </si>
  <si>
    <t>Predominately formed in carbonate and sulphate rocks such as limestone, dolomite, marble, and gypsum by the action of slowly moving ground water that dissolves the rock to form tunnels, irregular passages, and caverns along bedding-planes, faults and joints.</t>
  </si>
  <si>
    <t>Caves can also form in other materials, including chalk, salt, granite, loess, sandstone and gypsum. The natural acids in groundwater assist in dissolving the rocks. Limestone caves are frequently adorned with formations such as, stalactites, stalagmites, soda straws and columns. Most of the caves in the world are solution cave. It takes geological epochs for cracks to expand into caves or cave systems.</t>
  </si>
  <si>
    <t>talus</t>
  </si>
  <si>
    <t>Talus</t>
  </si>
  <si>
    <t>Formed when rocks fall from a cliff creating chambers within the resulting boulder piles.</t>
  </si>
  <si>
    <t>waterbody</t>
  </si>
  <si>
    <t>Waterbody</t>
  </si>
  <si>
    <t>Formed by wave action, abrasive force of suspended sand and rock and compression of air within a weak zone or fracture in rock along the coastline of an ocean or large lake.</t>
  </si>
  <si>
    <t>Sea caves are found actively being formed along present coastlines and as relict sea caves alongside former coastlines.</t>
  </si>
  <si>
    <t>Littoral</t>
  </si>
  <si>
    <t>lagoonalChannel</t>
  </si>
  <si>
    <t>Lagoonal Channel</t>
  </si>
  <si>
    <t>That part of a lagoon having water deep enough for navigation between potential hazards (for example: sand banks or reefs).</t>
  </si>
  <si>
    <t>Lagoons are usually enclosed by a barrier reef or atoll.</t>
  </si>
  <si>
    <t>lakeChannel</t>
  </si>
  <si>
    <t>Lake Channel</t>
  </si>
  <si>
    <t>That part of a lake having water deep enough for navigation between potential hazards (for example: islands or shoals).</t>
  </si>
  <si>
    <t>marineChannel</t>
  </si>
  <si>
    <t>Marine Channel</t>
  </si>
  <si>
    <t>That part of a body of water deep enough for navigation through an area otherwise not suitable.</t>
  </si>
  <si>
    <t>The channel may extend through inland waters but is capable of being transited by ocean-going vessels and has access to the sea.</t>
  </si>
  <si>
    <t>riverChannel</t>
  </si>
  <si>
    <t>River Channel</t>
  </si>
  <si>
    <t>That part of a river (sometimes dredged) deep enough for navigation and through which the main current flows.</t>
  </si>
  <si>
    <t>flatCoast</t>
  </si>
  <si>
    <t>Flat Coast</t>
  </si>
  <si>
    <t>A level coast with no obvious topographic features.</t>
  </si>
  <si>
    <t>The seaward projecting extension of a glacier, usually afloat.</t>
  </si>
  <si>
    <t>Glacier Tongue</t>
  </si>
  <si>
    <t>hillocks</t>
  </si>
  <si>
    <t>Hillocks</t>
  </si>
  <si>
    <t>A shoreline area consisting of a series of small rounded hills.</t>
  </si>
  <si>
    <t>The hillocks do not provide a good radar return but may be useful for visual identification from a short distance.</t>
  </si>
  <si>
    <t>iceCoast</t>
  </si>
  <si>
    <t>Ice Coast</t>
  </si>
  <si>
    <t>A vertical cliff forming the seaward edge of an ice shelf, ranging in height from 2 to 50 metres or more above sea level.</t>
  </si>
  <si>
    <t>steepCoast</t>
  </si>
  <si>
    <t>Steep Coast</t>
  </si>
  <si>
    <t>A coast backed by rock or earth cliffs, where cliffs alternate with low lying coast along the shoreline.</t>
  </si>
  <si>
    <t>The cliffs cause a good radar return and are useful for visual identification from a considerable distance off.</t>
  </si>
  <si>
    <t>constructionOfStructures</t>
  </si>
  <si>
    <t>Construction of Structures</t>
  </si>
  <si>
    <t>The building of elevated features either on land reclamation areas or pre-existing ground surface and island areas thus changing the appearance of the horizon for a vessel.</t>
  </si>
  <si>
    <t>landReclamation</t>
  </si>
  <si>
    <t>Land Reclamation</t>
  </si>
  <si>
    <t>Operations by which the ground surface area or island area is increased thus changing the coastline.</t>
  </si>
  <si>
    <t>borderStripe</t>
  </si>
  <si>
    <t>Border Stripe</t>
  </si>
  <si>
    <t>A band or stripe of colour is displayed around the outer edge.</t>
  </si>
  <si>
    <t>The encoding convention is that the first colour in the list is the border stripe, the second color is that of the background.</t>
  </si>
  <si>
    <t>diagonalStripes</t>
  </si>
  <si>
    <t>Diagonal Stripes</t>
  </si>
  <si>
    <t>Straight bands or stripes of differing colours painted diagonally.</t>
  </si>
  <si>
    <t>The encoding convention is that the first colour in the list is the topleft and subsequent colours follow sequentially from topleft to bottomright.</t>
  </si>
  <si>
    <t>horizontalStripes</t>
  </si>
  <si>
    <t>Horizontal Stripes</t>
  </si>
  <si>
    <t>Straight bands or stripes of differing colours painted horizontally.</t>
  </si>
  <si>
    <t>The encoding convention is that the first colour in the list is the topmost and subsequent colours follow sequentially from top to bottom.</t>
  </si>
  <si>
    <t>singleColor</t>
  </si>
  <si>
    <t>Single Color</t>
  </si>
  <si>
    <t>A single uniform colour.</t>
  </si>
  <si>
    <t>squared</t>
  </si>
  <si>
    <t>Squared</t>
  </si>
  <si>
    <t>Alternate colours are used to create squares similar to a chess or draught board.</t>
  </si>
  <si>
    <t>The pattern may be straight or diagnal. The encoding convention is that the first colour in the list is the topleft square and subsequent colours follow sequentially from left to right along the toprow and alternate for following rows.</t>
  </si>
  <si>
    <t>stripes</t>
  </si>
  <si>
    <t>Stripes</t>
  </si>
  <si>
    <t>Straight bands or stripes of differing colours painted in an unknown direction.</t>
  </si>
  <si>
    <t>verticalStripes</t>
  </si>
  <si>
    <t>Vertical Stripes</t>
  </si>
  <si>
    <t>Straight bands or stripes of differing colours painted vertically.</t>
  </si>
  <si>
    <t>The encoding convention is that the first colour in the list is the leftmost and subsequent colours follow sequentially from left to right.</t>
  </si>
  <si>
    <t>heavyShippingActivity</t>
  </si>
  <si>
    <t>Heavy Shipping Activity</t>
  </si>
  <si>
    <t>It is likely that at least one commercial ship will be present at any time.</t>
  </si>
  <si>
    <t>infrequentShippingActivity</t>
  </si>
  <si>
    <t>Infrequent Shipping Activity</t>
  </si>
  <si>
    <t>Commercial ships have only been encountered occasionally.</t>
  </si>
  <si>
    <t>lightShippingActivity</t>
  </si>
  <si>
    <t>Light Shipping Activity</t>
  </si>
  <si>
    <t>Commercial ship traffic is a routine occurrence, but may not occur every day.</t>
  </si>
  <si>
    <t>moderateShippingActivity</t>
  </si>
  <si>
    <t>Moderate Shipping Activity</t>
  </si>
  <si>
    <t>It is likely that several commercial ships will pass through the area over the course of a day.</t>
  </si>
  <si>
    <t>veryHeavyShippingActivity</t>
  </si>
  <si>
    <t>Very Heavy Shipping Activity</t>
  </si>
  <si>
    <t>it is congested, with several commercial ships in the area at all times.</t>
  </si>
  <si>
    <t>commissionedOnTest</t>
  </si>
  <si>
    <t>Commissioned and on Test</t>
  </si>
  <si>
    <t>Admitted to active service and on test period.</t>
  </si>
  <si>
    <t>commissionedOperational</t>
  </si>
  <si>
    <t>Commissioned and Operational</t>
  </si>
  <si>
    <t>Admitted to active service and operational.</t>
  </si>
  <si>
    <t>commissionedOutOfService</t>
  </si>
  <si>
    <t>Commissioned but Out of Service</t>
  </si>
  <si>
    <t>Admitted to active service but not in service.</t>
  </si>
  <si>
    <t>notCommissionOutOfService</t>
  </si>
  <si>
    <t>Not Commissioned and Out of Service</t>
  </si>
  <si>
    <t>Not admitted to active service and not in service.</t>
  </si>
  <si>
    <t>onTestNotCommissioned</t>
  </si>
  <si>
    <t>On Test but Not Commissioned</t>
  </si>
  <si>
    <t>Not admitted to active service and on test period.</t>
  </si>
  <si>
    <t>operationalNotCommissioned</t>
  </si>
  <si>
    <t>Operational but Not Commissioned</t>
  </si>
  <si>
    <t>Not admitted to active service but operational.</t>
  </si>
  <si>
    <t>approachDepartureControl</t>
  </si>
  <si>
    <t>A/D - Approach/Departure Control</t>
  </si>
  <si>
    <t>airGround</t>
  </si>
  <si>
    <t>A/G - Air/Ground</t>
  </si>
  <si>
    <t>AAS - Airport Advisory Service</t>
  </si>
  <si>
    <t>areaControlCenter</t>
  </si>
  <si>
    <t>ACC - Area Control Center</t>
  </si>
  <si>
    <t>ACP - Airlift Command Post</t>
  </si>
  <si>
    <t>AFIS - Aerodrome Flight Information Service</t>
  </si>
  <si>
    <t>airRouteTrafficControl</t>
  </si>
  <si>
    <t>Air Route Traffic Control (ARTC)</t>
  </si>
  <si>
    <t>approachControl</t>
  </si>
  <si>
    <t>APP - Approach Control</t>
  </si>
  <si>
    <t>arrivalControl</t>
  </si>
  <si>
    <t>ARR - Arrival Control</t>
  </si>
  <si>
    <t>airportRadarServiceCenter</t>
  </si>
  <si>
    <t>ARSA - Airport Radar Service Center</t>
  </si>
  <si>
    <t>automatedSurfaceObsSystem</t>
  </si>
  <si>
    <t>ASOS - Automated Surface Observation System</t>
  </si>
  <si>
    <t>automaticTermInfoService</t>
  </si>
  <si>
    <t>ATIS - Automatic Terminal Information Service</t>
  </si>
  <si>
    <t>airportWxInfoBroadcast</t>
  </si>
  <si>
    <t>AWIB - Airport Weather Information Broadcast</t>
  </si>
  <si>
    <t>automaticWxObsStation</t>
  </si>
  <si>
    <t>AWOS - Automatic Weather Observing Station</t>
  </si>
  <si>
    <t>centralApproachControl</t>
  </si>
  <si>
    <t>CAC - Centralized Approach Control</t>
  </si>
  <si>
    <t>clearanceDelivery</t>
  </si>
  <si>
    <t>CLD - Clearance Delivery</t>
  </si>
  <si>
    <t>center</t>
  </si>
  <si>
    <t>CNTR - Center</t>
  </si>
  <si>
    <t>commonTrafficAdvisoryFreq</t>
  </si>
  <si>
    <t>CTAF - Common Traffic Advisory Frequency</t>
  </si>
  <si>
    <t>departureControl</t>
  </si>
  <si>
    <t>DEP - Departure Control</t>
  </si>
  <si>
    <t>directorRadarApproachCont</t>
  </si>
  <si>
    <t>DIR - Director (Radar/Approach Control)</t>
  </si>
  <si>
    <t>EMR - Emergency</t>
  </si>
  <si>
    <t>flightCommCenter</t>
  </si>
  <si>
    <t>FCC - Flight Communication Center</t>
  </si>
  <si>
    <t>flightOperationCenter</t>
  </si>
  <si>
    <t>FOC - Flight Operation Center</t>
  </si>
  <si>
    <t>FSS - Flight Service Station</t>
  </si>
  <si>
    <t>groundControlApproach</t>
  </si>
  <si>
    <t>GCA - Ground Control Approach</t>
  </si>
  <si>
    <t>groundControlClearDeliv</t>
  </si>
  <si>
    <t>GCCD - Ground Control/Clearance Delivery</t>
  </si>
  <si>
    <t>groundCommsOutlet</t>
  </si>
  <si>
    <t>GCO - Ground Communications Outlet</t>
  </si>
  <si>
    <t>groundControl</t>
  </si>
  <si>
    <t>GND - Ground Control</t>
  </si>
  <si>
    <t>gateControl</t>
  </si>
  <si>
    <t>GTE - Gate Control</t>
  </si>
  <si>
    <t>helicopterFrequency</t>
  </si>
  <si>
    <t>HEL - Helicopter Frequency</t>
  </si>
  <si>
    <t>information</t>
  </si>
  <si>
    <t>INFO - Information</t>
  </si>
  <si>
    <t>miscellaneous</t>
  </si>
  <si>
    <t>MISC - Miscellaneous</t>
  </si>
  <si>
    <t>multicom</t>
  </si>
  <si>
    <t>MULT - Multicom</t>
  </si>
  <si>
    <t>parametersFrenchRadio</t>
  </si>
  <si>
    <t>ODP - Parameters (French Radio)</t>
  </si>
  <si>
    <t>operations</t>
  </si>
  <si>
    <t>OPS - Operations</t>
  </si>
  <si>
    <t>preflight</t>
  </si>
  <si>
    <t>PFLT - Preflight</t>
  </si>
  <si>
    <t>pilotToMetroService</t>
  </si>
  <si>
    <t>PMSV - Pilot to Metro Service</t>
  </si>
  <si>
    <t>POST - Command Post</t>
  </si>
  <si>
    <t>pilotToDispatcher</t>
  </si>
  <si>
    <t>PTD - Pilot To Dispatcher</t>
  </si>
  <si>
    <t>remoteCommsOutlet</t>
  </si>
  <si>
    <t>RCO - Remote Communications Outlet</t>
  </si>
  <si>
    <t>radio</t>
  </si>
  <si>
    <t>RDO - Radio</t>
  </si>
  <si>
    <t>radarOnlyFrequency</t>
  </si>
  <si>
    <t>RDR - Radar Only Frequency</t>
  </si>
  <si>
    <t>remoteFlightServStation</t>
  </si>
  <si>
    <t>RFSS - Remote Flight Service Station</t>
  </si>
  <si>
    <t>rampControl</t>
  </si>
  <si>
    <t>RMP - Ramp Control</t>
  </si>
  <si>
    <t>singleFrequencyApproach</t>
  </si>
  <si>
    <t>SFA - Single Frequency Approach</t>
  </si>
  <si>
    <t>TCA - Terminal Control Area</t>
  </si>
  <si>
    <t>TRSA - Terminal Radar Service</t>
  </si>
  <si>
    <t>TWR - Tower</t>
  </si>
  <si>
    <t>unicomOrCtafUnicom</t>
  </si>
  <si>
    <t>UNIC - UNICOM or CTAF/UNICOM</t>
  </si>
  <si>
    <t>breedingGround</t>
  </si>
  <si>
    <t>Breeding Ground</t>
  </si>
  <si>
    <t>An area of land where a species (for example: birds, seals or turtles) habitually breeds.</t>
  </si>
  <si>
    <t>Commonly treated as a species management area however the level of protection (for example: restriction on access and/or use) may vary.</t>
  </si>
  <si>
    <t>Rookery</t>
  </si>
  <si>
    <t>habitatSpeciesManagement</t>
  </si>
  <si>
    <t>Habitat and/or Species Management Area</t>
  </si>
  <si>
    <t>An area of land or sea subject to active intervention for management purposes so as to ensure the maintenance of habitats and/or to meet the requirements of specific species.</t>
  </si>
  <si>
    <t>As determined by IUCN Category IV.</t>
  </si>
  <si>
    <t>habitatManagement</t>
  </si>
  <si>
    <t>Habitat Management Area</t>
  </si>
  <si>
    <t>An area of land or sea subject to active intervention for management purposes so as to ensure the maintenance of habitats.</t>
  </si>
  <si>
    <t>A subset of IUCN Category IV.</t>
  </si>
  <si>
    <t>managedForestProtected</t>
  </si>
  <si>
    <t>Managed Forest Protected Area</t>
  </si>
  <si>
    <t>An area containing predominantly unmodified forest, managed to ensure long term protection and maintenance of biological diversity, while providing at the same time a sustainable flow of natural products and services to meet community needs.</t>
  </si>
  <si>
    <t>A subset of IUCN Category VI.</t>
  </si>
  <si>
    <t>managedResourceProtected</t>
  </si>
  <si>
    <t>Managed Resource Protected Area</t>
  </si>
  <si>
    <t>An area containing predominantly unmodified natural systems, managed to ensure long term protection and maintenance of biological diversity, while providing at the same time a sustainable flow of natural products and services to meet community needs.</t>
  </si>
  <si>
    <t>As determined by IUCN Category VI.</t>
  </si>
  <si>
    <t>nationalPark</t>
  </si>
  <si>
    <t>National Park</t>
  </si>
  <si>
    <t>A natural area of land and/or sea, designated to: protect the ecological integrity of one or more ecosystems for present and future generations; exclude exploitation or occupation inimical to the purposes of designation of the area; and provide a foundation for spiritual, scientific, educational, recreational, and visitor opportunities, all of which must be environmentally and culturally compatible.</t>
  </si>
  <si>
    <t>As determined by IUCN Category II.</t>
  </si>
  <si>
    <t>naturalMonument</t>
  </si>
  <si>
    <t>Natural Monument</t>
  </si>
  <si>
    <t>An area containing one, or more, specific natural or natural/cultural feature which is of outstanding or unique value because of its inherent rarity, representative or aesthetic qualities or cultural significance.</t>
  </si>
  <si>
    <t>As determined by IUCN Category III.</t>
  </si>
  <si>
    <t>protectedLandSeascape</t>
  </si>
  <si>
    <t>Protected Landscape or Seascape</t>
  </si>
  <si>
    <t>An area of land, with coast and sea as appropriate, where the interaction of people and nature over time has produced an area of distinct character with significant aesthetic, ecological, or cultural value, and often with high biological diversity.</t>
  </si>
  <si>
    <t>Safeguarding the integrity of this traditional interaction is vital to the protection, maintenance, and evolution of such an area. As determined by IUCN Category V.</t>
  </si>
  <si>
    <t>speciesManagement</t>
  </si>
  <si>
    <t>Species Management Area</t>
  </si>
  <si>
    <t>An area of land or sea subject to active intervention for management purposes to meet the requirements of specific species.</t>
  </si>
  <si>
    <t>strictNatureReserve</t>
  </si>
  <si>
    <t>Strict Nature Reserve</t>
  </si>
  <si>
    <t>An area of land or sea possessing some outstanding or representative ecosystems, geological or physiological features and/or species, available primarily for scientific research or environmental monitoring.</t>
  </si>
  <si>
    <t>As determined by IUCN Category Ia.</t>
  </si>
  <si>
    <t>wildernessArea</t>
  </si>
  <si>
    <t>Wilderness Area</t>
  </si>
  <si>
    <t>A large area of unmodified or slightly modified land, and/or sea, retaining its natural character and influence, without permanent or significant habitation, which is protected and managed so as to preserve its natural condition.</t>
  </si>
  <si>
    <t>As determined by IUCN Category Ib.</t>
  </si>
  <si>
    <t>notConspicuous</t>
  </si>
  <si>
    <t>Not Conspicuous</t>
  </si>
  <si>
    <t>Not conspicuous either visually or by radar.</t>
  </si>
  <si>
    <t>radar</t>
  </si>
  <si>
    <t>Radar</t>
  </si>
  <si>
    <t>Conspicuous by radar.</t>
  </si>
  <si>
    <t>Conspicuousness visually unspecified.</t>
  </si>
  <si>
    <t>Conspicuous visually.</t>
  </si>
  <si>
    <t>Conspicuousness by radar unspecified.</t>
  </si>
  <si>
    <t>visualRadar</t>
  </si>
  <si>
    <t>Visual and Radar</t>
  </si>
  <si>
    <t>Conspicuous visually and by radar.</t>
  </si>
  <si>
    <t>Not conspicuous either visually, by radar, or by sonar.</t>
  </si>
  <si>
    <t>Conspicuousness visually and by sonar unspecified.</t>
  </si>
  <si>
    <t>radarSonar</t>
  </si>
  <si>
    <t>Radar and Sonar</t>
  </si>
  <si>
    <t>Conspicuous by radar and by sonar.</t>
  </si>
  <si>
    <t>sonar</t>
  </si>
  <si>
    <t>Sonar</t>
  </si>
  <si>
    <t>Conspicuous by sonar.</t>
  </si>
  <si>
    <t>Conspicuousness visually and by radar unspecified.</t>
  </si>
  <si>
    <t>Conspicuousness by radar and by sonar unspecified.</t>
  </si>
  <si>
    <t>Conspicuousness by sonar unspecified.</t>
  </si>
  <si>
    <t>visualSonar</t>
  </si>
  <si>
    <t>Visual and Sonar</t>
  </si>
  <si>
    <t>Conspicuous visually and by sonar.</t>
  </si>
  <si>
    <t>visualRadarSonar</t>
  </si>
  <si>
    <t>Visual, Radar, and Sonar</t>
  </si>
  <si>
    <t>Conspicuous visually, by radar, and by sonar.</t>
  </si>
  <si>
    <t>Detonated by direct physical contact.</t>
  </si>
  <si>
    <t>rod</t>
  </si>
  <si>
    <t>Rod</t>
  </si>
  <si>
    <t>A contact mine fitted with rods which, when touched by a steel vessel, sets up galvanic action to fire the mine.</t>
  </si>
  <si>
    <t>snagline</t>
  </si>
  <si>
    <t>Snagline</t>
  </si>
  <si>
    <t>A contact mine with a buoyant line attached to one of the horns or switches which may be caught up and pulled by the hull and/or propellers of a vessel.</t>
  </si>
  <si>
    <t>identifiedExplosiveMine</t>
  </si>
  <si>
    <t>Identified Explosive Mine</t>
  </si>
  <si>
    <t>The object has been positively identified as an explosive mine.</t>
  </si>
  <si>
    <t>mineLikeContact</t>
  </si>
  <si>
    <t>Mine-like Contact (MILCO)</t>
  </si>
  <si>
    <t>The object has been classified as a mine-like contact.</t>
  </si>
  <si>
    <t>mineLikeEcho</t>
  </si>
  <si>
    <t>Mine-like Echo (MILEC)</t>
  </si>
  <si>
    <t>Mine-like echoes have been detected within the sonar clutter.</t>
  </si>
  <si>
    <t>nonMineLikeContact</t>
  </si>
  <si>
    <t>Non Mine-Like Contact (NON-MILCO)</t>
  </si>
  <si>
    <t>The object has been classified as not being a mine-like contact.</t>
  </si>
  <si>
    <t>nonMineMineLikeBotObject</t>
  </si>
  <si>
    <t>Non-Mine, Mine-Like Bottom Object (NOMBO)</t>
  </si>
  <si>
    <t>The object has been positively identified as a non-mine mine-like bottom object.</t>
  </si>
  <si>
    <t>unexplodedOrdnance</t>
  </si>
  <si>
    <t>Unexploded Ordnance (UXO)</t>
  </si>
  <si>
    <t>The object has been positively identified as unexploded ordnance.</t>
  </si>
  <si>
    <t>biological</t>
  </si>
  <si>
    <t>Biological</t>
  </si>
  <si>
    <t>Disease-causing organisms (pathogens), toxins, or other agents of biological origin (ABO) intended to: incapacitate, injure, or kill humans and animals; to destroy crops; to weaken resistance to attack; and to reduce the will to fight.</t>
  </si>
  <si>
    <t>A biological agent is a microorganism that causes disease in personnel, plants, or animals, or cause the deterioration of material.</t>
  </si>
  <si>
    <t>chemical</t>
  </si>
  <si>
    <t>Chemical</t>
  </si>
  <si>
    <t>The deposit, absorption, or adsorption of chemical agents on or by structures, areas, personnel, or objects.</t>
  </si>
  <si>
    <t>A chemical agent is a substance that is intended to kill, seriously injure, or incapacitate through its physiological effects.</t>
  </si>
  <si>
    <t>nuclearRadiological</t>
  </si>
  <si>
    <t>Nuclear and/or Radiological</t>
  </si>
  <si>
    <t>The emission of radiation, either directly from unstable atomic nuclei or as a consequence of a nuclear reaction.</t>
  </si>
  <si>
    <t>Radioactive contamination is typically the result of a loss of control of radioactive materials during the production or use of radioisotopes. This includes nuclear fallout (the distribution of radioactive contamination by a nuclear explosion). Radiological weapons ('dirty bombs') use conventional explosives to scatter powdered radioactive material over the area around the bomb's explosion.</t>
  </si>
  <si>
    <t>thermal</t>
  </si>
  <si>
    <t>Thermal</t>
  </si>
  <si>
    <t>The process of contamination by a rapid change in temperature.</t>
  </si>
  <si>
    <t>For example, the dumping of hot water into a normally cooler body of water (or vice versa) or the effect of steam pipes on the temperature of the surrounding environment (for example: frozen soil that thaws).</t>
  </si>
  <si>
    <t>dredging</t>
  </si>
  <si>
    <t>Dredging</t>
  </si>
  <si>
    <t>Contaminants or pollutants released by the activity of dredging or hazards related to the activity of dredging itself.</t>
  </si>
  <si>
    <t>factories</t>
  </si>
  <si>
    <t>Factories</t>
  </si>
  <si>
    <t>Locations (for example: buildings) where goods are manufactured.</t>
  </si>
  <si>
    <t>Industrial pollutants may be in the form of liquids, gases, and/or solids.</t>
  </si>
  <si>
    <t>farmRunOff</t>
  </si>
  <si>
    <t>Farm Run-off</t>
  </si>
  <si>
    <t>The release of pollutants (for example: nitrogen, phosphorus, sediment, and fecal matter) into waterways from farming and related agricultural activities.</t>
  </si>
  <si>
    <t>All aspects of military operations involving the employment of lethal and incapacitating munitions and/or agents.</t>
  </si>
  <si>
    <t>naturallyOccurring</t>
  </si>
  <si>
    <t>Naturally Occurring</t>
  </si>
  <si>
    <t>Naturally occurring pollution (for example: forest fires and volcanic eruptions) that cause significant deterioration in environmental quality.</t>
  </si>
  <si>
    <t>sewers</t>
  </si>
  <si>
    <t>Sewers</t>
  </si>
  <si>
    <t>Artificial channels or conduits, usually covered and buried, for carrying off and discharging waste, storm water, and/or refuse from buildings and built-up areas.</t>
  </si>
  <si>
    <t>A deposit of dredged material.</t>
  </si>
  <si>
    <t>wrecks</t>
  </si>
  <si>
    <t>Wrecks</t>
  </si>
  <si>
    <t>The ruined remains of a stranded or sunken vessel that has been rendered useless but continues to leak fluids (for example: fuel oil).</t>
  </si>
  <si>
    <t>An administrative unit not associated with an armed force.</t>
  </si>
  <si>
    <t>A joint administrative unit that is agreed on by many nations.</t>
  </si>
  <si>
    <t>Usually of limited scope of responsibility and authority. For example, the United Nations.</t>
  </si>
  <si>
    <t>jointMilitaryCivilian</t>
  </si>
  <si>
    <t>Joint Military and Civilian</t>
  </si>
  <si>
    <t>An administrative body composed of both military and civil authorities.</t>
  </si>
  <si>
    <t>Often created during times of civil unrest or war and intended to be of a temporary nature.</t>
  </si>
  <si>
    <t>An armed force constituted under the laws of a State.</t>
  </si>
  <si>
    <t>Administered by the civic authorities of a borough, town, or city.</t>
  </si>
  <si>
    <t>May be specified as a 'city' by charter (historically, contained a cathedral).</t>
  </si>
  <si>
    <t>Administered by an independent political State.</t>
  </si>
  <si>
    <t>Federal</t>
  </si>
  <si>
    <t>Administered by an individual or corporation, rather than a State or a public body.</t>
  </si>
  <si>
    <t>province</t>
  </si>
  <si>
    <t>Province</t>
  </si>
  <si>
    <t>A principal administrative division of certain countries or States.</t>
  </si>
  <si>
    <t>Historically, a principal division of a kingdom or empire, especially one that is historically and/or linguistically distinct.</t>
  </si>
  <si>
    <t>public</t>
  </si>
  <si>
    <t>Public</t>
  </si>
  <si>
    <t>Administered on behalf all members of a community, rather than restricted to an individual or corporation.</t>
  </si>
  <si>
    <t>regional</t>
  </si>
  <si>
    <t>Regional</t>
  </si>
  <si>
    <t>A joint administrative body that is agreed on by many, relatively small (for example: municipal), sub-national bodies.</t>
  </si>
  <si>
    <t>Usually of limited scope of responsibility and authority. For example, a port authority.</t>
  </si>
  <si>
    <t>state</t>
  </si>
  <si>
    <t>State</t>
  </si>
  <si>
    <t>A sub-national administrative division of a federal republic (for example: the United States of America).</t>
  </si>
  <si>
    <t>tribal</t>
  </si>
  <si>
    <t>Tribal</t>
  </si>
  <si>
    <t>An administrative division based on the tribal unit.</t>
  </si>
  <si>
    <t>In the United States, exercises powers of sovereignty.</t>
  </si>
  <si>
    <t>heading</t>
  </si>
  <si>
    <t>Heading</t>
  </si>
  <si>
    <t>The horizontal direction of the aircraft as indicated by the aircraft's heading indicator.</t>
  </si>
  <si>
    <t>The horizontal direction of an object or point measured clockwise from Magnetic North up to, but not including, 360 arc degrees.</t>
  </si>
  <si>
    <t>The projection on the earth's surface of the path of an aircraft, the direction of which path at any point is usually expressed in degrees from Magnetic North.</t>
  </si>
  <si>
    <t>The horizontal direction of an object or point measured clockwise from True North through 360 arc degrees.</t>
  </si>
  <si>
    <t>The projection on the earth's surface of the path of an aircraft, the direction of which path at any point is usually expressed in degrees from True North.</t>
  </si>
  <si>
    <t>vorRadial</t>
  </si>
  <si>
    <t>VOR Radial</t>
  </si>
  <si>
    <t>A magnetic bearing extending from a VOR navigation facility.</t>
  </si>
  <si>
    <t>complete</t>
  </si>
  <si>
    <t>Complete</t>
  </si>
  <si>
    <t>The structure is completely covered.</t>
  </si>
  <si>
    <t>moveable</t>
  </si>
  <si>
    <t>The structure is covered by a moveable surface that may be opened and closed.</t>
  </si>
  <si>
    <t>Typically used on stadiums where weather control is desired.</t>
  </si>
  <si>
    <t>No cover exists over the structure.</t>
  </si>
  <si>
    <t>It is completely open to the sun and weather.</t>
  </si>
  <si>
    <t>partial</t>
  </si>
  <si>
    <t>Partial</t>
  </si>
  <si>
    <t>A portion of the structure is covered, but a significant portion remains uncovered.</t>
  </si>
  <si>
    <t>Non-mobile, power-operated, with lifting tackle and a pivoted boom that allows movement of loads horizontally as well as vertically.</t>
  </si>
  <si>
    <t>Having a barge or scow for an undercarriage.</t>
  </si>
  <si>
    <t>Used, for example, for waterworks and waterfront work.</t>
  </si>
  <si>
    <t>mobile</t>
  </si>
  <si>
    <t>Mobile</t>
  </si>
  <si>
    <t>Capable of moving throughout an area (for example: adjacent to the face of a wharf).</t>
  </si>
  <si>
    <t>May be mounted on either solid rubber wheels or tracks (continuous articulated bands passing around two or more wheels).</t>
  </si>
  <si>
    <t>travelling</t>
  </si>
  <si>
    <t>Travelling</t>
  </si>
  <si>
    <t>Capable of moving along a fixed path (for example: parallel to the face of a wharf).</t>
  </si>
  <si>
    <t>May travel along rails, tracks, or reinforced channels.</t>
  </si>
  <si>
    <t>Traveling</t>
  </si>
  <si>
    <t>bridgeCrane</t>
  </si>
  <si>
    <t>Bridge Crane</t>
  </si>
  <si>
    <t>Permanently installed crane that is mounted between two overhead tracks with the main structure member forming a bridge between them.</t>
  </si>
  <si>
    <t>Gantry Crane</t>
  </si>
  <si>
    <t>containerCrane</t>
  </si>
  <si>
    <t>Container Crane</t>
  </si>
  <si>
    <t>High-speed, shore-based, and used in the lift-on/lift-off operation of specially constructed containers.</t>
  </si>
  <si>
    <t>rotatingCrane</t>
  </si>
  <si>
    <t>Rotating Crane</t>
  </si>
  <si>
    <t>Having a boom mounted on a fixed or movable structure that moves in a complete circle to handle heavy materials.</t>
  </si>
  <si>
    <t>towerCrane</t>
  </si>
  <si>
    <t>Tower Crane</t>
  </si>
  <si>
    <t>A crane in which a boom, swinging jib, or other structural member is mounted on a vertical mast or tower.</t>
  </si>
  <si>
    <t>handToHandInjuries</t>
  </si>
  <si>
    <t>Hand-to-hand injuries</t>
  </si>
  <si>
    <t>Injuries resulting from hand-to-hand combat (for example: contusions, abrasions, or minor lacerations).</t>
  </si>
  <si>
    <t>shot</t>
  </si>
  <si>
    <t>Shot</t>
  </si>
  <si>
    <t>Piercing(s) by projectiles from firearms (for example: a pistol, a gun, or an automatic weapon).</t>
  </si>
  <si>
    <t>stabbed</t>
  </si>
  <si>
    <t>Stabbed</t>
  </si>
  <si>
    <t>Piercing(s) from pointed weapons (for example: knives or swords).</t>
  </si>
  <si>
    <t>unharmed</t>
  </si>
  <si>
    <t>Unharmed</t>
  </si>
  <si>
    <t>Did not sustain any injuries.</t>
  </si>
  <si>
    <t>almond</t>
  </si>
  <si>
    <t>Almond</t>
  </si>
  <si>
    <t>The tree Prunus dulcis, allied to the plum and cherry, bearing stone-fruit consisting of kernels, oval with pointed ends.</t>
  </si>
  <si>
    <t>There are two almond varieties, the sweet and the bitter.</t>
  </si>
  <si>
    <t>apple</t>
  </si>
  <si>
    <t>Apple</t>
  </si>
  <si>
    <t>A tree of the rose family, Malus domestica, bearing a round firm fruit.</t>
  </si>
  <si>
    <t>It is cultivated in innumerable varieties in the temperate zones.</t>
  </si>
  <si>
    <t>bamboo</t>
  </si>
  <si>
    <t>Bamboo</t>
  </si>
  <si>
    <t>Any of numerous, mainly tropical, giant grasses belonging to the genus Bambusa and various related genera.</t>
  </si>
  <si>
    <t>The mature canes are used for construction and furniture.</t>
  </si>
  <si>
    <t>banana</t>
  </si>
  <si>
    <t>Banana</t>
  </si>
  <si>
    <t>A treelike herbaceous plant that has a stem of overlapping leaf sheaths and bears clusters of edible finger-shaped pulpy fruits that are yellow-skinned when ripe.</t>
  </si>
  <si>
    <t>barley</t>
  </si>
  <si>
    <t>Barley</t>
  </si>
  <si>
    <t>A hardy awned cereal of the genus Hordeum.</t>
  </si>
  <si>
    <t>The grain is used as food and in making malt liquors and spirits.</t>
  </si>
  <si>
    <t>berry</t>
  </si>
  <si>
    <t>Berry</t>
  </si>
  <si>
    <t>Any of several plants raised as crops and bearing small globular or ovate juicy fruits not having a stone.</t>
  </si>
  <si>
    <t>For example, strawberries, raspberries, and blackcurrants.</t>
  </si>
  <si>
    <t>cacao</t>
  </si>
  <si>
    <t>Cacao</t>
  </si>
  <si>
    <t>The tree Theobroma cacao, from whose seed cocoa and chocolate are made.</t>
  </si>
  <si>
    <t>It is native to tropical America.</t>
  </si>
  <si>
    <t>cannabis</t>
  </si>
  <si>
    <t>Cannabis</t>
  </si>
  <si>
    <t>A tall erect herb, Cannabis sativa or common hemp, of the family Moraceae having long dentate leaves on long petioles and cultivated for its fibre, intoxicating properties, and/or the oil obtained from its seeds.</t>
  </si>
  <si>
    <t>It is common in central Asia and other warm regions with different regional varieties (for example: Cannabis indica or Indian hemp).</t>
  </si>
  <si>
    <t>carob</t>
  </si>
  <si>
    <t>Carob</t>
  </si>
  <si>
    <t>An evergreen leguminous tree, Ceratonia siliqua, native to the Mediterranean region bearing edible horn-shaped fleshy seed-pods.</t>
  </si>
  <si>
    <t>chestnut</t>
  </si>
  <si>
    <t>Chestnut</t>
  </si>
  <si>
    <t>A tree of the genus Castanea, of the beech family.</t>
  </si>
  <si>
    <t>Especially that of Castanea sativa (also Spanish chestnut, sweet chestnut). Also (with specifying word), any of various similar trees.</t>
  </si>
  <si>
    <t>citrus</t>
  </si>
  <si>
    <t>Citrus</t>
  </si>
  <si>
    <t>A fruit-bearing tree of the genus Citrus.</t>
  </si>
  <si>
    <t>Includes, for example, the lemon, citron, lime, orange, and grapefruit.</t>
  </si>
  <si>
    <t>coconut</t>
  </si>
  <si>
    <t>Coconut</t>
  </si>
  <si>
    <t>A tropical palm tree, Cocos nucifera, that bears a large ovate brown hard-shelled seed having an edible white lining enclosing a white liquid.</t>
  </si>
  <si>
    <t>coffee</t>
  </si>
  <si>
    <t>Coffee</t>
  </si>
  <si>
    <t>Any of certain members of the paleotropical genus Coffea (especially Coffea arabica), of the madder family, which bear white flowers succeeded by red berries each containing two seeds.</t>
  </si>
  <si>
    <t>The drink, coffee, is made by infusion from the seeds roasted and ground or (in the East) pounded.</t>
  </si>
  <si>
    <t>corkOak</t>
  </si>
  <si>
    <t>Cork-Oak</t>
  </si>
  <si>
    <t>An evergreen oak, Quercus suber, which is native to the Mediterranean and has the distinctive property of producing more cork after some is removed.</t>
  </si>
  <si>
    <t>cotton</t>
  </si>
  <si>
    <t>Cotton</t>
  </si>
  <si>
    <t>A plant of the genus Gossypium, of the mallow family, that is cultivated for cotton, a soft white fibrous substance that used for making thread and cloth.</t>
  </si>
  <si>
    <t>The fruit of the date-palm, an oblong one-seeded drupe with sweet pulp, growing in clusters.</t>
  </si>
  <si>
    <t>The date-palm is a tree of the genus Phoenix; especially Phoenix dactylifera, source of most commercially-grown dates, native to northern Africa and western Asia.</t>
  </si>
  <si>
    <t>dryCrop</t>
  </si>
  <si>
    <t>Dry Crop</t>
  </si>
  <si>
    <t>A crop that is grown in moist or dry conditions and is are generally free of other vegetation (except near fences or hedgerows).</t>
  </si>
  <si>
    <t>For example, grains, tubers, legumes, and vegetables.</t>
  </si>
  <si>
    <t>fibreCrop</t>
  </si>
  <si>
    <t>Fibre Crop</t>
  </si>
  <si>
    <t>A crop grown for its fibre content.</t>
  </si>
  <si>
    <t>For example, cotton and sisal.</t>
  </si>
  <si>
    <t>fruitTree</t>
  </si>
  <si>
    <t>Fruit Tree</t>
  </si>
  <si>
    <t>A tree, shrub, or other plant, producing edible fruits consisting of a seed and its envelope, especially when sweet, juicy, and pulpy.</t>
  </si>
  <si>
    <t>For example, apples, pears, and peaches.</t>
  </si>
  <si>
    <t>grape</t>
  </si>
  <si>
    <t>Grape</t>
  </si>
  <si>
    <t>A climbing plant of the genus Vitis (family Vitaceae), on which small oval berries, usually green, purple, or black, grow in clusters.</t>
  </si>
  <si>
    <t>The berries are eaten fresh or dried as fruit or used for making wine.</t>
  </si>
  <si>
    <t>hazelnut</t>
  </si>
  <si>
    <t>Hazelnut</t>
  </si>
  <si>
    <t>Any of various deciduous shrubs and low trees constituting the genus Corylus, of the birch family, bearing edible nuts enclosed in leafy involucres.</t>
  </si>
  <si>
    <t>Especially the European hazel, Corylus avellana, and its North American counterpart, Corylus americana.</t>
  </si>
  <si>
    <t>hop</t>
  </si>
  <si>
    <t>Hop</t>
  </si>
  <si>
    <t>A twining dioecious plant, Humulus lupulus, of the hemp family, with rough lobed leaves and small green flowers, the female becoming enlarged and conelike in seed.</t>
  </si>
  <si>
    <t>Found in damp bushy places and much cultivated as a source of hops, the ripened conelike spikes of the female plant, used to give a bitter flavour to malt liquors, and as a tonic and soporific.</t>
  </si>
  <si>
    <t>maize</t>
  </si>
  <si>
    <t>Maize</t>
  </si>
  <si>
    <t>A cereal grass of Central American origin, Zea mays, having a terminal male inflorescence and axillary female ears, the grains being embedded in a wooden core (the cob).</t>
  </si>
  <si>
    <t>Corn, Indian Corn</t>
  </si>
  <si>
    <t>maple</t>
  </si>
  <si>
    <t>Maple</t>
  </si>
  <si>
    <t>A Eurasian tree, Acer campestre (family Aceraceae), with fruit in the form of two winged samaras joined together and palmately lobed leaves (more fully common maple, hedge maple).</t>
  </si>
  <si>
    <t>Also (with specifying word), any of numerous similar trees of this or other genera.</t>
  </si>
  <si>
    <t>millet</t>
  </si>
  <si>
    <t>Millet</t>
  </si>
  <si>
    <t>A cereal grass, Panicum miliaceum, widely grown in warm countries, with small spikelets arranged in a loose panicle.</t>
  </si>
  <si>
    <t>Also (with specifying word), any of various other drought-resistant usually small-seeded cereal grasses grown especially in warm countries of the world.</t>
  </si>
  <si>
    <t>oat</t>
  </si>
  <si>
    <t>Oat</t>
  </si>
  <si>
    <t>A hardy cereal plant of the genus Avena, usually Avena sativa.</t>
  </si>
  <si>
    <t>Used as food for people (for example: in porridge) and animals, especially horses.</t>
  </si>
  <si>
    <t>oilCrop</t>
  </si>
  <si>
    <t>Oil Crop</t>
  </si>
  <si>
    <t>A crop grown for its oil content.</t>
  </si>
  <si>
    <t>For example, oil palms, rape, and sunflower.</t>
  </si>
  <si>
    <t>oilPalm</t>
  </si>
  <si>
    <t>Oil Palm</t>
  </si>
  <si>
    <t>A West African palm tree, Elaeis guineensis, that bears fruit whose pericarp and seed-kernels are a valuable source of oil.</t>
  </si>
  <si>
    <t>olive</t>
  </si>
  <si>
    <t>Olive</t>
  </si>
  <si>
    <t>An evergreen tree, Olea europaea (family Oleaceae), with narrow leaves hoary on the underside and small whitish flowers.</t>
  </si>
  <si>
    <t>Long cultivated in the Mediterranean region for its fruit and the oil obtained from this. May also be used to describe any of various wild trees or shrubs of the genus Olea; (with specifying word) any of various trees and shrubs allied to the common olive, or resembling it in appearance or in providing oil.</t>
  </si>
  <si>
    <t>opiumPoppy</t>
  </si>
  <si>
    <t>Opium Poppy</t>
  </si>
  <si>
    <t>The plant, Papaver somniferum, a glaucous poppy with chiefly white or lilac flowers.</t>
  </si>
  <si>
    <t>It yelds opium, a reddish-brown strong-scented addictive drug prepared from the thickened dried juice of the unripe capsules.</t>
  </si>
  <si>
    <t>ornamentalCrop</t>
  </si>
  <si>
    <t>Ornamental Crop</t>
  </si>
  <si>
    <t>A crop grown purely for its aesthetic attractions (for example: beautification, screening, accent, or color), rather than for food or any other economic use.</t>
  </si>
  <si>
    <t>For example, flowering trees or shrubs to be transplanted for landscaping around buildings.</t>
  </si>
  <si>
    <t>palmetto</t>
  </si>
  <si>
    <t>Palmetto</t>
  </si>
  <si>
    <t>Any of various usually small and sometimes stemless fan palms, for example, the dwarf fan palm of the Mediterranean (Chamaerops humilis), the Sabal palmetto, and Serenoa repens of the south-eastern United States.</t>
  </si>
  <si>
    <t>Palmetto wood is used for pilings, leaf strips are used in weaving, and the leaves may be used for thatch. In some species (for example: the Sabal palmetto) the fan-shaped leaves are edible when young.</t>
  </si>
  <si>
    <t>Palmetto Tree</t>
  </si>
  <si>
    <t>peach</t>
  </si>
  <si>
    <t>Peach</t>
  </si>
  <si>
    <t>A tree bearing a sweet juicy stone-fruit usually having a downy yellow and red-tinged skin.</t>
  </si>
  <si>
    <t>peanut</t>
  </si>
  <si>
    <t>Peanut</t>
  </si>
  <si>
    <t>A South American leguminous plant, Arachis hypogaea, widely grown in the tropics, bearing underground pods which contain nutlike seeds valuable as a food and a source of oil (also called groundnut).</t>
  </si>
  <si>
    <t>Also, any of several legumes with similar seeds, especially (more fully hog peanut) Amphicarpaea bracteata of North America.</t>
  </si>
  <si>
    <t>potato</t>
  </si>
  <si>
    <t>Potato</t>
  </si>
  <si>
    <t>A plant of the nightshade family of South American origin, Solanum tuberosum, widely cultivated for its starchy tubers.</t>
  </si>
  <si>
    <t>pulse</t>
  </si>
  <si>
    <t>Pulse</t>
  </si>
  <si>
    <t>Leguminous plants yielding edible seeds.</t>
  </si>
  <si>
    <t>For example, peas, beans, and lentils.</t>
  </si>
  <si>
    <t>Pulses</t>
  </si>
  <si>
    <t>rice</t>
  </si>
  <si>
    <t>Rice</t>
  </si>
  <si>
    <t>The grain of the grass Oryza sativa, a major world cereal.</t>
  </si>
  <si>
    <t>Grown in shallow irrigated or flooded fields known as rice paddies, rice-fields, or paddy-fields.</t>
  </si>
  <si>
    <t>rubber</t>
  </si>
  <si>
    <t>Rubber</t>
  </si>
  <si>
    <t>Any of various plants, especially Hevea brasiliensis, whose coagulated latex which in its natural state is thermoplastic and tacky and after vulcanization tough and elastic.</t>
  </si>
  <si>
    <t>rye</t>
  </si>
  <si>
    <t>Rye</t>
  </si>
  <si>
    <t>An awned cereal grass, Secale cereale, resembling barley, grown especially in colder parts of Eurasia.</t>
  </si>
  <si>
    <t>The grain of this cereal is used to make coarse bread, beer, and/or spirits.</t>
  </si>
  <si>
    <t>sisal</t>
  </si>
  <si>
    <t>Sisal</t>
  </si>
  <si>
    <t>Any of several Mexican agaves, especially Agave sisalana, raised for the extraction of fibre from its leaves.</t>
  </si>
  <si>
    <t>The fibre is used, for example, for cordage and matting.</t>
  </si>
  <si>
    <t>sorghum</t>
  </si>
  <si>
    <t>Sorghum</t>
  </si>
  <si>
    <t>A cereal grass, Sorghum bicolor, similar to maize and extensively grown in Africa, southern India, and elsewhere (different strains being known as durra, Guinea corn, Indian millet, Kaffir corn, and milo).</t>
  </si>
  <si>
    <t>A variety of this grass, Sorghum bicolor variety saccharatum, with a sweet juicy pith, is grown as fodder or for syrup manufacture.</t>
  </si>
  <si>
    <t>sugarCane</t>
  </si>
  <si>
    <t>Sugar Cane</t>
  </si>
  <si>
    <t>A grass, Saccharum officinarum, resembling bamboo, extensively cultivated in the tropics for the sugar extracted from its stems.</t>
  </si>
  <si>
    <t>sugarCrop</t>
  </si>
  <si>
    <t>Sugar Crop</t>
  </si>
  <si>
    <t>A crop grown for its sugar content.</t>
  </si>
  <si>
    <t>For example, sugar cane (a grass, Saccharum officinarum, resembling bamboo, extensively cultivated in the tropics for the sugar extracted from its stems) and sugar beet (a cultivar of the beet, Beta vulgaris, grown for the high sugar content of its root).</t>
  </si>
  <si>
    <t>tea</t>
  </si>
  <si>
    <t>Tea</t>
  </si>
  <si>
    <t>Camellia sinensis (family Theaceae), a shrub or tree with white flowers and oval evergreen leaves, long cultivated in China and now also in Japan, India, Kenya, and elsewhere.</t>
  </si>
  <si>
    <t>A drink, tea, is made by infusing its dried leaves in hot (boiling) water.</t>
  </si>
  <si>
    <t>timber</t>
  </si>
  <si>
    <t>Timber</t>
  </si>
  <si>
    <t>Trees suitable for conversion into industrial and/or commercial forest products (for example: timbers and/or lumber for construction, cabinetry, or paper production).</t>
  </si>
  <si>
    <t>tobacco</t>
  </si>
  <si>
    <t>Tobacco</t>
  </si>
  <si>
    <t>Either of the plants (of tropical American origin) Nicotiana tabacum, of the nightshade family, and the allied Nicotiana rustica (more fully green tobacco, wild tobacco).</t>
  </si>
  <si>
    <t>A preparation of the dried leaves of these plants is smoked (for example: in pipes, cigarettes, and cigars) for its pleasantly relaxing effects, taken as snuff, or chewed. Also (with specifying word), any of various plants whose dried leaves are smoked in a similar way.</t>
  </si>
  <si>
    <t>tuber</t>
  </si>
  <si>
    <t>Tuber</t>
  </si>
  <si>
    <t>A much thickened underground part of a stem or rhizome (for example: in the potato), which serves as a food reserve and bears buds from which new plants arise.</t>
  </si>
  <si>
    <t>vegetableCrop</t>
  </si>
  <si>
    <t>Vegetable Crop</t>
  </si>
  <si>
    <t>Any cultivated (usually herbaceous) plant of which any part, especially the leaves or root, is eaten in savoury dishes, frequently with meat or fish.</t>
  </si>
  <si>
    <t>walnut</t>
  </si>
  <si>
    <t>Walnut</t>
  </si>
  <si>
    <t>Any tree of the genus Juglans (family Juglandaceae), members of which have drooping catkins and aromatic pinnate leaves.</t>
  </si>
  <si>
    <t>Especially the Eurasian Juglans regia and (more fully black walnut) the North American Juglans nigra. The green fleshy fruit contains an edible kernel in separate halves.</t>
  </si>
  <si>
    <t>wheat</t>
  </si>
  <si>
    <t>Wheat</t>
  </si>
  <si>
    <t>Any of various cereal grasses of the genus Triticum, with spikelets in dense distichous spikes.</t>
  </si>
  <si>
    <t>For example, Triticum aestivum (also known as bread wheat), widely grown in temperate climates, the source of the best bread flours, and Triticum durum (also known as durum wheat), the flour from which is used to make pasta.</t>
  </si>
  <si>
    <t>Shaped like an arch, consisting of a curved top on two vertical sidewalls.</t>
  </si>
  <si>
    <t>box</t>
  </si>
  <si>
    <t>Box</t>
  </si>
  <si>
    <t>Shaped like a box, consisting of a flat top on two vertical sidewalls.</t>
  </si>
  <si>
    <t>semicircular</t>
  </si>
  <si>
    <t>Semicircular</t>
  </si>
  <si>
    <t>Shaped like a portion of a circle, consisting of a curved top extending smoothly to the base (for example: a floor or the ground).</t>
  </si>
  <si>
    <t>circular</t>
  </si>
  <si>
    <t>Circular</t>
  </si>
  <si>
    <t>Shaped like a circle, a perfectly round plane figure whose circumference is everywhere equidistant from its centre.</t>
  </si>
  <si>
    <t>elliptical</t>
  </si>
  <si>
    <t>Elliptical</t>
  </si>
  <si>
    <t>Shaped like an ellipse, a symmetrical closed curve traced by a point moving in a plane so that the sum of its distances from two other points is constant.</t>
  </si>
  <si>
    <t>Oval</t>
  </si>
  <si>
    <t>hexagonal</t>
  </si>
  <si>
    <t>Hexagonal</t>
  </si>
  <si>
    <t>Shaped like a hexagon, a polygon with six edges and six vertices.</t>
  </si>
  <si>
    <t>Not of regular or symmetrical shape.</t>
  </si>
  <si>
    <t>octagonal</t>
  </si>
  <si>
    <t>Octagonal</t>
  </si>
  <si>
    <t>Shaped like a octagon, a polygon with eight sides and eight vertices.</t>
  </si>
  <si>
    <t>pentagonal</t>
  </si>
  <si>
    <t>Pentagonal</t>
  </si>
  <si>
    <t>Shaped like a pentagon, a polygon with five sides and five vertices.</t>
  </si>
  <si>
    <t>rectangular</t>
  </si>
  <si>
    <t>Rectangular</t>
  </si>
  <si>
    <t>Shaped like a rectangle, a plane figure having four straight sides and four right angles.</t>
  </si>
  <si>
    <t>Shaped like a half-circle, a plane figure consisting of half of the circumference of a circle plus a line connecting the two ends of that circumference.</t>
  </si>
  <si>
    <t>A circle is a perfectly round plane figure whose circumference is everywhere equidistant from its centre. A line passing through the centre from circumference to circumference is termed its 'diameter'.</t>
  </si>
  <si>
    <t>square</t>
  </si>
  <si>
    <t>Square</t>
  </si>
  <si>
    <t>Shaped like a square, a plane figure with four right angles and four equal straight sides.</t>
  </si>
  <si>
    <t>triangular</t>
  </si>
  <si>
    <t>Triangular</t>
  </si>
  <si>
    <t>Shaped like a triangle, a plane figure with three straight sides.</t>
  </si>
  <si>
    <t>even</t>
  </si>
  <si>
    <t>Even Cruising Altitudes</t>
  </si>
  <si>
    <t>The routeing follows the cruising level convention of even numbered altitudes.</t>
  </si>
  <si>
    <t>Aircraft should cruise at even numbered altitudes (for example: FL 40, 60, 80…200, 240, 260, 320, 340, ...)</t>
  </si>
  <si>
    <t>odd</t>
  </si>
  <si>
    <t>Odd Cruising Altitudes</t>
  </si>
  <si>
    <t>The routeing follows the cruising level convention of odd numbered altitudes.</t>
  </si>
  <si>
    <t>Aircraft should cruise at odd numbered altitudes (for example: FL 30, 50, 70…210, 230, 250, 330, 370, ...).</t>
  </si>
  <si>
    <t>clan</t>
  </si>
  <si>
    <t>Clan</t>
  </si>
  <si>
    <t>A group of families united by kinship, bearing the same family name, and following the same chieftain.</t>
  </si>
  <si>
    <t>Even if actual lineage patterns are unknown, clan members nonetheless recognize a founding member or apical ancestor. Kinship-based bonds can be merely symbolic in nature (for example: adoption, marriage, and fictive genealogical ties) therefore there may be a 'stipulated' common ancestor, which is a symbol of the clan's unity. In certain primitive societies, a tribal division, usually exogamous, of matrilineal or patrilineal descent from a common ancestor.</t>
  </si>
  <si>
    <t>ethnicGroup</t>
  </si>
  <si>
    <t>A human population whose members identify with each other, usually on the basis of having a common cultural heritage (for example: as distinguished by customs, language, religious practices, or common history) or a presumed common genealogy or ancestry.</t>
  </si>
  <si>
    <t>Kinship-based ethnic groups are sometimes referred to as 'tribes' whereas those more closely associated with the evolution of the State are referred to as 'nations'.</t>
  </si>
  <si>
    <t>A human population united by a common language, spoken and/or written.</t>
  </si>
  <si>
    <t>Languages may be divided into dialects, language varieties used by people in a particular geographic locality.</t>
  </si>
  <si>
    <t>nationalIdentity</t>
  </si>
  <si>
    <t>National Identity</t>
  </si>
  <si>
    <t>An ethical and philosophical doctrine in which all humans are divided into groups termed 'nations' in which members are distinguished by a common identity, the status of belonging to a particular nation by birth or naturalization, and almost always by a common origin, in the sense of ancestry, parentage or descent.</t>
  </si>
  <si>
    <t>religion</t>
  </si>
  <si>
    <t>Religion</t>
  </si>
  <si>
    <t>A human population united by a common group of beliefs or disbelief in a divine or superhuman power or powers to be obeyed and worshiped as the creator(s) and ruler(s) of the universe, and the moral codes, practices, values, institutions and rituals associated with such beliefs.</t>
  </si>
  <si>
    <t>tribe</t>
  </si>
  <si>
    <t>Tribe</t>
  </si>
  <si>
    <t>A kinship-based ethnic group forming a close community under a leader (for example: a chief) and existing either before or outside of the development of the State.</t>
  </si>
  <si>
    <t>The term is often loosely used to refer to any non-Western or indigenous society, generally describing societies organized largely as a corporate descent group (for example: a clan). In some States (for example: the United States and India) tribes are indigenous peoples that have been granted legal recognition and limited autonomy by the State.</t>
  </si>
  <si>
    <t>culturallySensitive</t>
  </si>
  <si>
    <t>Culturally Sensitive</t>
  </si>
  <si>
    <t>A feature that has general cultural significance to a people not related to historical or religious importance.</t>
  </si>
  <si>
    <t>manMadeHistoric</t>
  </si>
  <si>
    <t>Man-made and Historic</t>
  </si>
  <si>
    <t>A man-made feature that has religious significance to a people.</t>
  </si>
  <si>
    <t>manMadeReligious</t>
  </si>
  <si>
    <t>Man-made and Religious</t>
  </si>
  <si>
    <t>A naturally occurring feature that has religious significance to a people.</t>
  </si>
  <si>
    <t>naturalHistoric</t>
  </si>
  <si>
    <t>Natural and Historic</t>
  </si>
  <si>
    <t>A man-made feature that has historic significance to a people.</t>
  </si>
  <si>
    <t>naturalReligious</t>
  </si>
  <si>
    <t>Natural and Religious</t>
  </si>
  <si>
    <t>A naturally occurring feature that has historic significance to a people.</t>
  </si>
  <si>
    <t>boxWithLoad</t>
  </si>
  <si>
    <t>Box with Load</t>
  </si>
  <si>
    <t>Box-shaped in which the live traffic load is essentially directly applied to the culvert, there being no soil back-fill.</t>
  </si>
  <si>
    <t>May be either precast or cast-in-place. There may be a thin overlying soil burden.</t>
  </si>
  <si>
    <t>boxWithSoil</t>
  </si>
  <si>
    <t>Box with Soil</t>
  </si>
  <si>
    <t>Box-shaped in which a significant dead load of soil overlies the culvert and generally dominates the total loading.</t>
  </si>
  <si>
    <t>regularWithSoil</t>
  </si>
  <si>
    <t>Regular with Soil</t>
  </si>
  <si>
    <t>Arch-shaped in which a significant dead load of soil overlies the culvert and dominates the total loading.</t>
  </si>
  <si>
    <t>The actual cross-section may be circular, arch, or elliptical.</t>
  </si>
  <si>
    <t>ebbStream</t>
  </si>
  <si>
    <t>Ebb Stream</t>
  </si>
  <si>
    <t>The horizontal movement of water associated with falling tide.</t>
  </si>
  <si>
    <t>Ebb streams generally set seaward, or in the opposite direction to the tide progression.</t>
  </si>
  <si>
    <t>Ebb, Ebb Current, Outgoing Stream</t>
  </si>
  <si>
    <t>floodStream</t>
  </si>
  <si>
    <t>Flood Stream</t>
  </si>
  <si>
    <t>The horizontal movement of water associated with the rising tide.</t>
  </si>
  <si>
    <t>Flood streams generally set towards the shore, or in the direction of the tide progression.</t>
  </si>
  <si>
    <t>Flood, Flood Current, Ingoing Stream</t>
  </si>
  <si>
    <t>longshore</t>
  </si>
  <si>
    <t>Longshore</t>
  </si>
  <si>
    <t>A current paralleling the shore largely within the surf zone.</t>
  </si>
  <si>
    <t>It is caused by the excess water brought to the zone by the small net mass transport of wind waves. Longshore currents feed into rip currents.</t>
  </si>
  <si>
    <t>oceanCurrent</t>
  </si>
  <si>
    <t>Ocean Current</t>
  </si>
  <si>
    <t>A movement of ocean water characterized by regularity, either of a cyclic nature or as a continuous stream flowing along a definable path.</t>
  </si>
  <si>
    <t>Generally, the combination of tidal stream and current, the whole water movement in an oceanic context.</t>
  </si>
  <si>
    <t>Sea Current</t>
  </si>
  <si>
    <t>rip</t>
  </si>
  <si>
    <t>Rip</t>
  </si>
  <si>
    <t>The return flow of water piled up on the shore by incoming waves and wind.</t>
  </si>
  <si>
    <t>Longshore currents feed into rip currents.</t>
  </si>
  <si>
    <t>riverFlow</t>
  </si>
  <si>
    <t>River Flow</t>
  </si>
  <si>
    <t>The flow of water from a river or its estuary to the sea.</t>
  </si>
  <si>
    <t>In general, water movement in the general direction of drainage in the non-tidal portion of rivers.</t>
  </si>
  <si>
    <t>tidalFlow</t>
  </si>
  <si>
    <t>Tidal Flow</t>
  </si>
  <si>
    <t>The horizontal movement of water associated with the tide.</t>
  </si>
  <si>
    <t>underwaterRiverFlow</t>
  </si>
  <si>
    <t>Underwater River Flow</t>
  </si>
  <si>
    <t>The flow of water along a river bed on the ocean floor.</t>
  </si>
  <si>
    <t>slope</t>
  </si>
  <si>
    <t>Slope</t>
  </si>
  <si>
    <t>Slopes away from vertical towards the reservoir.</t>
  </si>
  <si>
    <t>Typically results from earthen construction.</t>
  </si>
  <si>
    <t>vertical</t>
  </si>
  <si>
    <t>Vertical</t>
  </si>
  <si>
    <t>Vertical.</t>
  </si>
  <si>
    <t>Typically used in concrete construction.</t>
  </si>
  <si>
    <t>floodControl</t>
  </si>
  <si>
    <t>Flood Control</t>
  </si>
  <si>
    <t>A dam whose reservoir is regulated to accomplish flood control.</t>
  </si>
  <si>
    <t>It may also provide a source of water for irrigation and/or hydroelectric power. For example, the Grand Coulee Dam.</t>
  </si>
  <si>
    <t>hydroPowerGeneration</t>
  </si>
  <si>
    <t>Hydroelectric Power Generation</t>
  </si>
  <si>
    <t>A dam which is intended to produce electrical power from the potential energy of dammed water driving a water turbine and generator.</t>
  </si>
  <si>
    <t>To boost the power generation capabilities of a dam, the water may be run through a large pipe called a penstock before the turbine. A variant on this simple model uses pumped storage hydroelectricity to produce electricity to match periods of high and low water.</t>
  </si>
  <si>
    <t>navigation</t>
  </si>
  <si>
    <t>Navigation</t>
  </si>
  <si>
    <t>A large dam that ensures that a waterway is navigable by ensuring sufficient upriver channel depth and that is bypassed by one or more locks.</t>
  </si>
  <si>
    <t>Typically more than 15 metres tall, navigation dams normally permit water flow by means of spillways or gates with roller and tainter gates being the most commonly installed. Most navigation pools in the United States are maintained at a constant minimum water depth of 3 metres (9 feet). The installation of navigation dams permit river vessels to use a series of locks to 'step' up or down a river from one water level to another.</t>
  </si>
  <si>
    <t>weir</t>
  </si>
  <si>
    <t>Weir</t>
  </si>
  <si>
    <t>A small overflow-type dam commonly used to raise the upstream water level of a river or stream.</t>
  </si>
  <si>
    <t>Typically less than 15 metres tall, water flows over the top of a weir although some weirs have sluice gates which release water at a level below the top of the weir. The crest of an overflow spillway on a large dam is often called a weir. Weirs have traditionally been used to create mill ponds or to provide adequate water supply to maintain levels in an adjacent canal. Weirs may be associated with locks to permit the passage of boats around the weir.</t>
  </si>
  <si>
    <t>creation</t>
  </si>
  <si>
    <t>Creation</t>
  </si>
  <si>
    <t>When the resource was brought into existence.</t>
  </si>
  <si>
    <t>expired</t>
  </si>
  <si>
    <t>Expired</t>
  </si>
  <si>
    <t>When the resource expired, intended to no longer be available for use.</t>
  </si>
  <si>
    <t>publication</t>
  </si>
  <si>
    <t>Publication</t>
  </si>
  <si>
    <t>When the resource was issued.</t>
  </si>
  <si>
    <t>reviewed</t>
  </si>
  <si>
    <t>Reviewed</t>
  </si>
  <si>
    <t>When the resource was examined or re-examined.</t>
  </si>
  <si>
    <t>revision</t>
  </si>
  <si>
    <t>Revision</t>
  </si>
  <si>
    <t>When the resource was examined or re-examined and improved or amended.</t>
  </si>
  <si>
    <t>superseded</t>
  </si>
  <si>
    <t>Superseded</t>
  </si>
  <si>
    <t>When the resource was superseded, being replaced by another resource.</t>
  </si>
  <si>
    <t>When the resource was withdrawn, becoming no longer available for use.</t>
  </si>
  <si>
    <t>cage</t>
  </si>
  <si>
    <t>Cage</t>
  </si>
  <si>
    <t>A wire framework cube displayed in lieu of a panel.</t>
  </si>
  <si>
    <t>Shaped like a vertically elongated rhombus.</t>
  </si>
  <si>
    <t>rectangle</t>
  </si>
  <si>
    <t>Rectangle</t>
  </si>
  <si>
    <t>A rectangle-shaped panel.</t>
  </si>
  <si>
    <t>A square-shaped panel.</t>
  </si>
  <si>
    <t>trapezoidal</t>
  </si>
  <si>
    <t>Trapezoidal</t>
  </si>
  <si>
    <t>Shaped like a quadrilateral with two sides parallel.</t>
  </si>
  <si>
    <t>triangle</t>
  </si>
  <si>
    <t>Triangle</t>
  </si>
  <si>
    <t>A triangle-shaped panel.</t>
  </si>
  <si>
    <t>coveredLt20Metres</t>
  </si>
  <si>
    <t>Covered &lt; 20 metres</t>
  </si>
  <si>
    <t>Accurate depth of hazard is unknown, but assumed to be less than 20 metres without uncovering.</t>
  </si>
  <si>
    <t>coveredGte20ButLt30Metres</t>
  </si>
  <si>
    <t>Covered &gt;= 20 metres but &lt; 30 metres</t>
  </si>
  <si>
    <t>Accurate depth of hazard is unknown, but assumed to be greater than or equal to 20 metres but less than 30 metres.</t>
  </si>
  <si>
    <t>coveredGte30Metres</t>
  </si>
  <si>
    <t>Covered &gt;= 30 metres</t>
  </si>
  <si>
    <t>Accurate depth of hazard is unknown, but assumed to be greater than or equal to 30 metres.</t>
  </si>
  <si>
    <t>aerodromeHeliport</t>
  </si>
  <si>
    <t>Aerodrome or Heliport</t>
  </si>
  <si>
    <t>Used for a point that does not have a worldwide unique name, but is now given one in the context of an aerodrome/heliport.</t>
  </si>
  <si>
    <t>coordinateBased</t>
  </si>
  <si>
    <t>Coordinate-based</t>
  </si>
  <si>
    <t>Used for points not having a proper designator, but which are published by their geographical coordinates.</t>
  </si>
  <si>
    <t>icao</t>
  </si>
  <si>
    <t>ICAO</t>
  </si>
  <si>
    <t xml:space="preserve"> A coded identifier fulfilling the ICAO requirements for 5-letter name code designators.</t>
  </si>
  <si>
    <t>The horizontal direction (bearing) of an object or point as determined from the viewpoint of an observer located near the Earth’s surface, measured clockwise from magnetic north up to, but not including, 360 arc degrees.</t>
  </si>
  <si>
    <t>magneticHeading</t>
  </si>
  <si>
    <t>Magnetic Heading</t>
  </si>
  <si>
    <t>The horizontal direction of the path of an observer moving with respect to the Earth's surface, measured clockwise from magnetic north up to, but not including, 360 arc degrees.</t>
  </si>
  <si>
    <t>The horizontal path of an observer moving with respect to the Earth's surface, the direction of which path at any point is measured clockwise from magnetic north, as published by the appropriate authority.</t>
  </si>
  <si>
    <t>The horizontal direction (bearing) of an object or point as determined from the viewpoint of an observer located near the Earth’s surface, measured clockwise from geographic (true) north up to, but not including, 360 arc degrees.</t>
  </si>
  <si>
    <t>trueHeading</t>
  </si>
  <si>
    <t>True Heading</t>
  </si>
  <si>
    <t>The horizontal direction of the path of an observer moving with respect to the Earth's surface, measured clockwise from geographic (true) north up to, but not including, 360 arc degrees.</t>
  </si>
  <si>
    <t>vorOrTacanRadial</t>
  </si>
  <si>
    <t>VOR or TACAN Radial</t>
  </si>
  <si>
    <t>The horizontal direction (bearing) extending from a VHF Omnidirectional Radio (VOR) or Tactical Air Navigation Aid (TACAN) navigation facility, measured clockwise from magnetic north.</t>
  </si>
  <si>
    <t>Visually significant or reflective from two sides.</t>
  </si>
  <si>
    <t>For example, a metal fence.</t>
  </si>
  <si>
    <t>leftUnidirectional</t>
  </si>
  <si>
    <t>Left Unidirectional</t>
  </si>
  <si>
    <t>Visually significant or reflective from the left side only.</t>
  </si>
  <si>
    <t>The left side is determined by following the linear component from the westmost node (southmost if the feature follows a meridian of longitude).</t>
  </si>
  <si>
    <t>omnidirectional</t>
  </si>
  <si>
    <t>Omnidirectional</t>
  </si>
  <si>
    <t>Visually significant or reflective from any direction.</t>
  </si>
  <si>
    <t>For example, a metal tower.</t>
  </si>
  <si>
    <t>rightUnidirectional</t>
  </si>
  <si>
    <t>Right Unidirectional</t>
  </si>
  <si>
    <t>Visually significant or reflective from the right side only.</t>
  </si>
  <si>
    <t>The right side is determined by following the linear component from the westmost node (southmost if the feature follows a meridian of longitude).</t>
  </si>
  <si>
    <t>unidirectional</t>
  </si>
  <si>
    <t>Unidirectional</t>
  </si>
  <si>
    <t>Visually significant or reflective from one side only.</t>
  </si>
  <si>
    <t>For example, a cliff.</t>
  </si>
  <si>
    <t>billboard</t>
  </si>
  <si>
    <t>scoreboard</t>
  </si>
  <si>
    <t>The channel of '100X' is assigned for the Distance Measuring Equipment (DME) by the responsible authority.</t>
  </si>
  <si>
    <t>The channel of '100Y' is assigned for the Distance Measuring Equipment (DME) by the responsible authority.</t>
  </si>
  <si>
    <t>The channel of '100Z' is assigned for the Distance Measuring Equipment (DME) by the responsible authority.</t>
  </si>
  <si>
    <t>The channel of '101X' is assigned for the Distance Measuring Equipment (DME) by the responsible authority.</t>
  </si>
  <si>
    <t>The channel of '101Y' is assigned for the Distance Measuring Equipment (DME) by the responsible authority.</t>
  </si>
  <si>
    <t>The channel of '101Z' is assigned for the Distance Measuring Equipment (DME) by the responsible authority.</t>
  </si>
  <si>
    <t>The channel of '102X' is assigned for the Distance Measuring Equipment (DME) by the responsible authority.</t>
  </si>
  <si>
    <t>The channel of '102Y' is assigned for the Distance Measuring Equipment (DME) by the responsible authority.</t>
  </si>
  <si>
    <t>The channel of '102Z' is assigned for the Distance Measuring Equipment (DME) by the responsible authority.</t>
  </si>
  <si>
    <t>The channel of '103X' is assigned for the Distance Measuring Equipment (DME) by the responsible authority.</t>
  </si>
  <si>
    <t>The channel of '103Y' is assigned for the Distance Measuring Equipment (DME) by the responsible authority.</t>
  </si>
  <si>
    <t>The channel of '103Z' is assigned for the Distance Measuring Equipment (DME) by the responsible authority.</t>
  </si>
  <si>
    <t>The channel of '104X' is assigned for the Distance Measuring Equipment (DME) by the responsible authority.</t>
  </si>
  <si>
    <t>The channel of '104Y' is assigned for the Distance Measuring Equipment (DME) by the responsible authority.</t>
  </si>
  <si>
    <t>The channel of '104Z' is assigned for the Distance Measuring Equipment (DME) by the responsible authority.</t>
  </si>
  <si>
    <t>The channel of '105X' is assigned for the Distance Measuring Equipment (DME) by the responsible authority.</t>
  </si>
  <si>
    <t>The channel of '105Y' is assigned for the Distance Measuring Equipment (DME) by the responsible authority.</t>
  </si>
  <si>
    <t>The channel of '105Z' is assigned for the Distance Measuring Equipment (DME) by the responsible authority.</t>
  </si>
  <si>
    <t>The channel of '106X' is assigned for the Distance Measuring Equipment (DME) by the responsible authority.</t>
  </si>
  <si>
    <t>The channel of '106Y' is assigned for the Distance Measuring Equipment (DME) by the responsible authority.</t>
  </si>
  <si>
    <t>The channel of '106Z' is assigned for the Distance Measuring Equipment (DME) by the responsible authority.</t>
  </si>
  <si>
    <t>The channel of '107X' is assigned for the Distance Measuring Equipment (DME) by the responsible authority.</t>
  </si>
  <si>
    <t>The channel of '107Y' is assigned for the Distance Measuring Equipment (DME) by the responsible authority.</t>
  </si>
  <si>
    <t>The channel of '107Z' is assigned for the Distance Measuring Equipment (DME) by the responsible authority.</t>
  </si>
  <si>
    <t>The channel of '108X' is assigned for the Distance Measuring Equipment (DME) by the responsible authority.</t>
  </si>
  <si>
    <t>The channel of '108Y' is assigned for the Distance Measuring Equipment (DME) by the responsible authority.</t>
  </si>
  <si>
    <t>The channel of '108Z' is assigned for the Distance Measuring Equipment (DME) by the responsible authority.</t>
  </si>
  <si>
    <t>The channel of '109X' is assigned for the Distance Measuring Equipment (DME) by the responsible authority.</t>
  </si>
  <si>
    <t>The channel of '109Y' is assigned for the Distance Measuring Equipment (DME) by the responsible authority.</t>
  </si>
  <si>
    <t>The channel of '109Z' is assigned for the Distance Measuring Equipment (DME) by the responsible authority.</t>
  </si>
  <si>
    <t>The channel of '10X' is assigned for the Distance Measuring Equipment (DME) by the responsible authority.</t>
  </si>
  <si>
    <t>The channel of '10Y' is assigned for the Distance Measuring Equipment (DME) by the responsible authority.</t>
  </si>
  <si>
    <t>The channel of '110X' is assigned for the Distance Measuring Equipment (DME) by the responsible authority.</t>
  </si>
  <si>
    <t>The channel of '110Y' is assigned for the Distance Measuring Equipment (DME) by the responsible authority.</t>
  </si>
  <si>
    <t>The channel of '110Z' is assigned for the Distance Measuring Equipment (DME) by the responsible authority.</t>
  </si>
  <si>
    <t>The channel of '111X' is assigned for the Distance Measuring Equipment (DME) by the responsible authority.</t>
  </si>
  <si>
    <t>The channel of '111Y' is assigned for the Distance Measuring Equipment (DME) by the responsible authority.</t>
  </si>
  <si>
    <t>The channel of '111Z' is assigned for the Distance Measuring Equipment (DME) by the responsible authority.</t>
  </si>
  <si>
    <t>The channel of '112X' is assigned for the Distance Measuring Equipment (DME) by the responsible authority.</t>
  </si>
  <si>
    <t>The channel of '112Y' is assigned for the Distance Measuring Equipment (DME) by the responsible authority.</t>
  </si>
  <si>
    <t>The channel of '112Z' is assigned for the Distance Measuring Equipment (DME) by the responsible authority.</t>
  </si>
  <si>
    <t>The channel of '113X' is assigned for the Distance Measuring Equipment (DME) by the responsible authority.</t>
  </si>
  <si>
    <t>The channel of '113Y' is assigned for the Distance Measuring Equipment (DME) by the responsible authority.</t>
  </si>
  <si>
    <t>The channel of '113Z' is assigned for the Distance Measuring Equipment (DME) by the responsible authority.</t>
  </si>
  <si>
    <t>The channel of '114X' is assigned for the Distance Measuring Equipment (DME) by the responsible authority.</t>
  </si>
  <si>
    <t>The channel of '114Y' is assigned for the Distance Measuring Equipment (DME) by the responsible authority.</t>
  </si>
  <si>
    <t>The channel of '114Z' is assigned for the Distance Measuring Equipment (DME) by the responsible authority.</t>
  </si>
  <si>
    <t>The channel of '115X' is assigned for the Distance Measuring Equipment (DME) by the responsible authority.</t>
  </si>
  <si>
    <t>The channel of '115Y' is assigned for the Distance Measuring Equipment (DME) by the responsible authority.</t>
  </si>
  <si>
    <t>The channel of '115Z' is assigned for the Distance Measuring Equipment (DME) by the responsible authority.</t>
  </si>
  <si>
    <t>The channel of '116X' is assigned for the Distance Measuring Equipment (DME) by the responsible authority.</t>
  </si>
  <si>
    <t>The channel of '116Y' is assigned for the Distance Measuring Equipment (DME) by the responsible authority.</t>
  </si>
  <si>
    <t>The channel of '116Z' is assigned for the Distance Measuring Equipment (DME) by the responsible authority.</t>
  </si>
  <si>
    <t>The channel of '117X' is assigned for the Distance Measuring Equipment (DME) by the responsible authority.</t>
  </si>
  <si>
    <t>The channel of '117Y' is assigned for the Distance Measuring Equipment (DME) by the responsible authority.</t>
  </si>
  <si>
    <t>The channel of '117Z' is assigned for the Distance Measuring Equipment (DME) by the responsible authority.</t>
  </si>
  <si>
    <t>The channel of '118X' is assigned for the Distance Measuring Equipment (DME) by the responsible authority.</t>
  </si>
  <si>
    <t>The channel of '118Y' is assigned for the Distance Measuring Equipment (DME) by the responsible authority.</t>
  </si>
  <si>
    <t>The channel of '118Z' is assigned for the Distance Measuring Equipment (DME) by the responsible authority.</t>
  </si>
  <si>
    <t>The channel of '119X' is assigned for the Distance Measuring Equipment (DME) by the responsible authority.</t>
  </si>
  <si>
    <t>The channel of '119Y' is assigned for the Distance Measuring Equipment (DME) by the responsible authority.</t>
  </si>
  <si>
    <t>The channel of '119Z' is assigned for the Distance Measuring Equipment (DME) by the responsible authority.</t>
  </si>
  <si>
    <t>The channel of '11X' is assigned for the Distance Measuring Equipment (DME) by the responsible authority.</t>
  </si>
  <si>
    <t>The channel of '11Y' is assigned for the Distance Measuring Equipment (DME) by the responsible authority.</t>
  </si>
  <si>
    <t>The channel of '120X' is assigned for the Distance Measuring Equipment (DME) by the responsible authority.</t>
  </si>
  <si>
    <t>The channel of '120Y' is assigned for the Distance Measuring Equipment (DME) by the responsible authority.</t>
  </si>
  <si>
    <t>The channel of '121X' is assigned for the Distance Measuring Equipment (DME) by the responsible authority.</t>
  </si>
  <si>
    <t>The channel of '121Y' is assigned for the Distance Measuring Equipment (DME) by the responsible authority.</t>
  </si>
  <si>
    <t>The channel of '122X' is assigned for the Distance Measuring Equipment (DME) by the responsible authority.</t>
  </si>
  <si>
    <t>The channel of '122Y' is assigned for the Distance Measuring Equipment (DME) by the responsible authority.</t>
  </si>
  <si>
    <t>The channel of '123X' is assigned for the Distance Measuring Equipment (DME) by the responsible authority.</t>
  </si>
  <si>
    <t>The channel of '123Y' is assigned for the Distance Measuring Equipment (DME) by the responsible authority.</t>
  </si>
  <si>
    <t>The channel of '124X' is assigned for the Distance Measuring Equipment (DME) by the responsible authority.</t>
  </si>
  <si>
    <t>The channel of '124Y' is assigned for the Distance Measuring Equipment (DME) by the responsible authority.</t>
  </si>
  <si>
    <t>The channel of '125X' is assigned for the Distance Measuring Equipment (DME) by the responsible authority.</t>
  </si>
  <si>
    <t>The channel of '125Y' is assigned for the Distance Measuring Equipment (DME) by the responsible authority.</t>
  </si>
  <si>
    <t>The channel of '126X' is assigned for the Distance Measuring Equipment (DME) by the responsible authority.</t>
  </si>
  <si>
    <t>The channel of '126Y' is assigned for the Distance Measuring Equipment (DME) by the responsible authority.</t>
  </si>
  <si>
    <t>The channel of '12X' is assigned for the Distance Measuring Equipment (DME) by the responsible authority.</t>
  </si>
  <si>
    <t>The channel of '12Y' is assigned for the Distance Measuring Equipment (DME) by the responsible authority.</t>
  </si>
  <si>
    <t>The channel of '13X' is assigned for the Distance Measuring Equipment (DME) by the responsible authority.</t>
  </si>
  <si>
    <t>The channel of '13Y' is assigned for the Distance Measuring Equipment (DME) by the responsible authority.</t>
  </si>
  <si>
    <t>The channel of '14X' is assigned for the Distance Measuring Equipment (DME) by the responsible authority.</t>
  </si>
  <si>
    <t>The channel of '14Y' is assigned for the Distance Measuring Equipment (DME) by the responsible authority.</t>
  </si>
  <si>
    <t>The channel of '15X' is assigned for the Distance Measuring Equipment (DME) by the responsible authority.</t>
  </si>
  <si>
    <t>The channel of '15Y' is assigned for the Distance Measuring Equipment (DME) by the responsible authority.</t>
  </si>
  <si>
    <t>The channel of '16X' is assigned for the Distance Measuring Equipment (DME) by the responsible authority.</t>
  </si>
  <si>
    <t>The channel of '16Y' is assigned for the Distance Measuring Equipment (DME) by the responsible authority.</t>
  </si>
  <si>
    <t>The channel of '17X' is assigned for the Distance Measuring Equipment (DME) by the responsible authority.</t>
  </si>
  <si>
    <t>The channel of '17Y' is assigned for the Distance Measuring Equipment (DME) by the responsible authority.</t>
  </si>
  <si>
    <t>The channel of '17Z' is assigned for the Distance Measuring Equipment (DME) by the responsible authority.</t>
  </si>
  <si>
    <t>The channel of '18W' is assigned for the Distance Measuring Equipment (DME) by the responsible authority.</t>
  </si>
  <si>
    <t>The channel of '18X' is assigned for the Distance Measuring Equipment (DME) by the responsible authority.</t>
  </si>
  <si>
    <t>The channel of '18Y' is assigned for the Distance Measuring Equipment (DME) by the responsible authority.</t>
  </si>
  <si>
    <t>The channel of '18Z' is assigned for the Distance Measuring Equipment (DME) by the responsible authority.</t>
  </si>
  <si>
    <t>The channel of '19X' is assigned for the Distance Measuring Equipment (DME) by the responsible authority.</t>
  </si>
  <si>
    <t>The channel of '19Y' is assigned for the Distance Measuring Equipment (DME) by the responsible authority.</t>
  </si>
  <si>
    <t>The channel of '19Z' is assigned for the Distance Measuring Equipment (DME) by the responsible authority.</t>
  </si>
  <si>
    <t>The channel of '1X' is assigned for the Distance Measuring Equipment (DME) by the responsible authority.</t>
  </si>
  <si>
    <t>The channel of '1Y' is assigned for the Distance Measuring Equipment (DME) by the responsible authority.</t>
  </si>
  <si>
    <t>The channel of '20W' is assigned for the Distance Measuring Equipment (DME) by the responsible authority.</t>
  </si>
  <si>
    <t>The channel of '20X' is assigned for the Distance Measuring Equipment (DME) by the responsible authority.</t>
  </si>
  <si>
    <t>The channel of '20Y' is assigned for the Distance Measuring Equipment (DME) by the responsible authority.</t>
  </si>
  <si>
    <t>The channel of '20Z' is assigned for the Distance Measuring Equipment (DME) by the responsible authority.</t>
  </si>
  <si>
    <t>The channel of '21X' is assigned for the Distance Measuring Equipment (DME) by the responsible authority.</t>
  </si>
  <si>
    <t>The channel of '21Y' is assigned for the Distance Measuring Equipment (DME) by the responsible authority.</t>
  </si>
  <si>
    <t>The channel of '21Z' is assigned for the Distance Measuring Equipment (DME) by the responsible authority.</t>
  </si>
  <si>
    <t>The channel of '22W' is assigned for the Distance Measuring Equipment (DME) by the responsible authority.</t>
  </si>
  <si>
    <t>The channel of '22X' is assigned for the Distance Measuring Equipment (DME) by the responsible authority.</t>
  </si>
  <si>
    <t>The channel of '22Y' is assigned for the Distance Measuring Equipment (DME) by the responsible authority.</t>
  </si>
  <si>
    <t>The channel of '22Z' is assigned for the Distance Measuring Equipment (DME) by the responsible authority.</t>
  </si>
  <si>
    <t>The channel of '23X' is assigned for the Distance Measuring Equipment (DME) by the responsible authority.</t>
  </si>
  <si>
    <t>The channel of '23Y' is assigned for the Distance Measuring Equipment (DME) by the responsible authority.</t>
  </si>
  <si>
    <t>The channel of '23Z' is assigned for the Distance Measuring Equipment (DME) by the responsible authority.</t>
  </si>
  <si>
    <t>The channel of '24W' is assigned for the Distance Measuring Equipment (DME) by the responsible authority.</t>
  </si>
  <si>
    <t>The channel of '24X' is assigned for the Distance Measuring Equipment (DME) by the responsible authority.</t>
  </si>
  <si>
    <t>The channel of '24Y' is assigned for the Distance Measuring Equipment (DME) by the responsible authority.</t>
  </si>
  <si>
    <t>The channel of '24Z' is assigned for the Distance Measuring Equipment (DME) by the responsible authority.</t>
  </si>
  <si>
    <t>The channel of '25X' is assigned for the Distance Measuring Equipment (DME) by the responsible authority.</t>
  </si>
  <si>
    <t>The channel of '25Y' is assigned for the Distance Measuring Equipment (DME) by the responsible authority.</t>
  </si>
  <si>
    <t>The channel of '25Z' is assigned for the Distance Measuring Equipment (DME) by the responsible authority.</t>
  </si>
  <si>
    <t>The channel of '26W' is assigned for the Distance Measuring Equipment (DME) by the responsible authority.</t>
  </si>
  <si>
    <t>The channel of '26X' is assigned for the Distance Measuring Equipment (DME) by the responsible authority.</t>
  </si>
  <si>
    <t>The channel of '26Y' is assigned for the Distance Measuring Equipment (DME) by the responsible authority.</t>
  </si>
  <si>
    <t>The channel of '26Z' is assigned for the Distance Measuring Equipment (DME) by the responsible authority.</t>
  </si>
  <si>
    <t>The channel of '27X' is assigned for the Distance Measuring Equipment (DME) by the responsible authority.</t>
  </si>
  <si>
    <t>The channel of '27Y' is assigned for the Distance Measuring Equipment (DME) by the responsible authority.</t>
  </si>
  <si>
    <t>The channel of '27Z' is assigned for the Distance Measuring Equipment (DME) by the responsible authority.</t>
  </si>
  <si>
    <t>The channel of '28W' is assigned for the Distance Measuring Equipment (DME) by the responsible authority.</t>
  </si>
  <si>
    <t>The channel of '28X' is assigned for the Distance Measuring Equipment (DME) by the responsible authority.</t>
  </si>
  <si>
    <t>The channel of '28Y' is assigned for the Distance Measuring Equipment (DME) by the responsible authority.</t>
  </si>
  <si>
    <t>The channel of '28Z' is assigned for the Distance Measuring Equipment (DME) by the responsible authority.</t>
  </si>
  <si>
    <t>The channel of '29X' is assigned for the Distance Measuring Equipment (DME) by the responsible authority.</t>
  </si>
  <si>
    <t>The channel of '29Y' is assigned for the Distance Measuring Equipment (DME) by the responsible authority.</t>
  </si>
  <si>
    <t>The channel of '29Z' is assigned for the Distance Measuring Equipment (DME) by the responsible authority.</t>
  </si>
  <si>
    <t>The channel of '2X' is assigned for the Distance Measuring Equipment (DME) by the responsible authority.</t>
  </si>
  <si>
    <t>The channel of '2Y' is assigned for the Distance Measuring Equipment (DME) by the responsible authority.</t>
  </si>
  <si>
    <t>The channel of '30W' is assigned for the Distance Measuring Equipment (DME) by the responsible authority.</t>
  </si>
  <si>
    <t>The channel of '30X' is assigned for the Distance Measuring Equipment (DME) by the responsible authority.</t>
  </si>
  <si>
    <t>The channel of '30Y' is assigned for the Distance Measuring Equipment (DME) by the responsible authority.</t>
  </si>
  <si>
    <t>The channel of '30Z' is assigned for the Distance Measuring Equipment (DME) by the responsible authority.</t>
  </si>
  <si>
    <t>The channel of '31X' is assigned for the Distance Measuring Equipment (DME) by the responsible authority.</t>
  </si>
  <si>
    <t>The channel of '31Y' is assigned for the Distance Measuring Equipment (DME) by the responsible authority.</t>
  </si>
  <si>
    <t>The channel of '31Z' is assigned for the Distance Measuring Equipment (DME) by the responsible authority.</t>
  </si>
  <si>
    <t>The channel of '32W' is assigned for the Distance Measuring Equipment (DME) by the responsible authority.</t>
  </si>
  <si>
    <t>The channel of '32X' is assigned for the Distance Measuring Equipment (DME) by the responsible authority.</t>
  </si>
  <si>
    <t>The channel of '32Y' is assigned for the Distance Measuring Equipment (DME) by the responsible authority.</t>
  </si>
  <si>
    <t>The channel of '32Z' is assigned for the Distance Measuring Equipment (DME) by the responsible authority.</t>
  </si>
  <si>
    <t>The channel of '33X' is assigned for the Distance Measuring Equipment (DME) by the responsible authority.</t>
  </si>
  <si>
    <t>The channel of '33Y' is assigned for the Distance Measuring Equipment (DME) by the responsible authority.</t>
  </si>
  <si>
    <t>The channel of '33Z' is assigned for the Distance Measuring Equipment (DME) by the responsible authority.</t>
  </si>
  <si>
    <t>The channel of '34W' is assigned for the Distance Measuring Equipment (DME) by the responsible authority.</t>
  </si>
  <si>
    <t>The channel of '34X' is assigned for the Distance Measuring Equipment (DME) by the responsible authority.</t>
  </si>
  <si>
    <t>The channel of '34Y' is assigned for the Distance Measuring Equipment (DME) by the responsible authority.</t>
  </si>
  <si>
    <t>The channel of '34Z' is assigned for the Distance Measuring Equipment (DME) by the responsible authority.</t>
  </si>
  <si>
    <t>The channel of '35X' is assigned for the Distance Measuring Equipment (DME) by the responsible authority.</t>
  </si>
  <si>
    <t>The channel of '35Y' is assigned for the Distance Measuring Equipment (DME) by the responsible authority.</t>
  </si>
  <si>
    <t>The channel of '35Z' is assigned for the Distance Measuring Equipment (DME) by the responsible authority.</t>
  </si>
  <si>
    <t>The channel of '36W' is assigned for the Distance Measuring Equipment (DME) by the responsible authority.</t>
  </si>
  <si>
    <t>The channel of '36X' is assigned for the Distance Measuring Equipment (DME) by the responsible authority.</t>
  </si>
  <si>
    <t>The channel of '36Y' is assigned for the Distance Measuring Equipment (DME) by the responsible authority.</t>
  </si>
  <si>
    <t>The channel of '36Z' is assigned for the Distance Measuring Equipment (DME) by the responsible authority.</t>
  </si>
  <si>
    <t>The channel of '37X' is assigned for the Distance Measuring Equipment (DME) by the responsible authority.</t>
  </si>
  <si>
    <t>The channel of '37Y' is assigned for the Distance Measuring Equipment (DME) by the responsible authority.</t>
  </si>
  <si>
    <t>The channel of '37Z' is assigned for the Distance Measuring Equipment (DME) by the responsible authority.</t>
  </si>
  <si>
    <t>The channel of '38W' is assigned for the Distance Measuring Equipment (DME) by the responsible authority.</t>
  </si>
  <si>
    <t>The channel of '38X' is assigned for the Distance Measuring Equipment (DME) by the responsible authority.</t>
  </si>
  <si>
    <t>The channel of '38Y' is assigned for the Distance Measuring Equipment (DME) by the responsible authority.</t>
  </si>
  <si>
    <t>The channel of '38Z' is assigned for the Distance Measuring Equipment (DME) by the responsible authority.</t>
  </si>
  <si>
    <t>The channel of '39X' is assigned for the Distance Measuring Equipment (DME) by the responsible authority.</t>
  </si>
  <si>
    <t>The channel of '39Y' is assigned for the Distance Measuring Equipment (DME) by the responsible authority.</t>
  </si>
  <si>
    <t>The channel of '39Z' is assigned for the Distance Measuring Equipment (DME) by the responsible authority.</t>
  </si>
  <si>
    <t>The channel of '3X' is assigned for the Distance Measuring Equipment (DME) by the responsible authority.</t>
  </si>
  <si>
    <t>The channel of '3Y' is assigned for the Distance Measuring Equipment (DME) by the responsible authority.</t>
  </si>
  <si>
    <t>The channel of '40W' is assigned for the Distance Measuring Equipment (DME) by the responsible authority.</t>
  </si>
  <si>
    <t>The channel of '40X' is assigned for the Distance Measuring Equipment (DME) by the responsible authority.</t>
  </si>
  <si>
    <t>The channel of '40Y' is assigned for the Distance Measuring Equipment (DME) by the responsible authority.</t>
  </si>
  <si>
    <t>The channel of '40Z' is assigned for the Distance Measuring Equipment (DME) by the responsible authority.</t>
  </si>
  <si>
    <t>The channel of '41X' is assigned for the Distance Measuring Equipment (DME) by the responsible authority.</t>
  </si>
  <si>
    <t>The channel of '41Y' is assigned for the Distance Measuring Equipment (DME) by the responsible authority.</t>
  </si>
  <si>
    <t>The channel of '41Z' is assigned for the Distance Measuring Equipment (DME) by the responsible authority.</t>
  </si>
  <si>
    <t>The channel of '42W' is assigned for the Distance Measuring Equipment (DME) by the responsible authority.</t>
  </si>
  <si>
    <t>The channel of '42X' is assigned for the Distance Measuring Equipment (DME) by the responsible authority.</t>
  </si>
  <si>
    <t>The channel of '42Y' is assigned for the Distance Measuring Equipment (DME) by the responsible authority.</t>
  </si>
  <si>
    <t>The channel of '42Z' is assigned for the Distance Measuring Equipment (DME) by the responsible authority.</t>
  </si>
  <si>
    <t>The channel of '43X' is assigned for the Distance Measuring Equipment (DME) by the responsible authority.</t>
  </si>
  <si>
    <t>The channel of '43Y' is assigned for the Distance Measuring Equipment (DME) by the responsible authority.</t>
  </si>
  <si>
    <t>The channel of '43Z' is assigned for the Distance Measuring Equipment (DME) by the responsible authority.</t>
  </si>
  <si>
    <t>The channel of '44W' is assigned for the Distance Measuring Equipment (DME) by the responsible authority.</t>
  </si>
  <si>
    <t>The channel of '44X' is assigned for the Distance Measuring Equipment (DME) by the responsible authority.</t>
  </si>
  <si>
    <t>The channel of '44Y' is assigned for the Distance Measuring Equipment (DME) by the responsible authority.</t>
  </si>
  <si>
    <t>The channel of '44Z' is assigned for the Distance Measuring Equipment (DME) by the responsible authority.</t>
  </si>
  <si>
    <t>The channel of '45X' is assigned for the Distance Measuring Equipment (DME) by the responsible authority.</t>
  </si>
  <si>
    <t>The channel of '45Y' is assigned for the Distance Measuring Equipment (DME) by the responsible authority.</t>
  </si>
  <si>
    <t>The channel of '45Z' is assigned for the Distance Measuring Equipment (DME) by the responsible authority.</t>
  </si>
  <si>
    <t>The channel of '46W' is assigned for the Distance Measuring Equipment (DME) by the responsible authority.</t>
  </si>
  <si>
    <t>The channel of '46X' is assigned for the Distance Measuring Equipment (DME) by the responsible authority.</t>
  </si>
  <si>
    <t>The channel of '46Y' is assigned for the Distance Measuring Equipment (DME) by the responsible authority.</t>
  </si>
  <si>
    <t>The channel of '46Z' is assigned for the Distance Measuring Equipment (DME) by the responsible authority.</t>
  </si>
  <si>
    <t>The channel of '47X' is assigned for the Distance Measuring Equipment (DME) by the responsible authority.</t>
  </si>
  <si>
    <t>The channel of '47Y' is assigned for the Distance Measuring Equipment (DME) by the responsible authority.</t>
  </si>
  <si>
    <t>The channel of '47Z' is assigned for the Distance Measuring Equipment (DME) by the responsible authority.</t>
  </si>
  <si>
    <t>The channel of '48W' is assigned for the Distance Measuring Equipment (DME) by the responsible authority.</t>
  </si>
  <si>
    <t>The channel of '48X' is assigned for the Distance Measuring Equipment (DME) by the responsible authority.</t>
  </si>
  <si>
    <t>The channel of '48Y' is assigned for the Distance Measuring Equipment (DME) by the responsible authority.</t>
  </si>
  <si>
    <t>The channel of '48Z' is assigned for the Distance Measuring Equipment (DME) by the responsible authority.</t>
  </si>
  <si>
    <t>The channel of '49X' is assigned for the Distance Measuring Equipment (DME) by the responsible authority.</t>
  </si>
  <si>
    <t>The channel of '49Y' is assigned for the Distance Measuring Equipment (DME) by the responsible authority.</t>
  </si>
  <si>
    <t>The channel of '49Z' is assigned for the Distance Measuring Equipment (DME) by the responsible authority.</t>
  </si>
  <si>
    <t>The channel of '4X' is assigned for the Distance Measuring Equipment (DME) by the responsible authority.</t>
  </si>
  <si>
    <t>The channel of '4Y' is assigned for the Distance Measuring Equipment (DME) by the responsible authority.</t>
  </si>
  <si>
    <t>The channel of '50W' is assigned for the Distance Measuring Equipment (DME) by the responsible authority.</t>
  </si>
  <si>
    <t>The channel of '50X' is assigned for the Distance Measuring Equipment (DME) by the responsible authority.</t>
  </si>
  <si>
    <t>The channel of '50Y' is assigned for the Distance Measuring Equipment (DME) by the responsible authority.</t>
  </si>
  <si>
    <t>The channel of '50Z' is assigned for the Distance Measuring Equipment (DME) by the responsible authority.</t>
  </si>
  <si>
    <t>The channel of '51X' is assigned for the Distance Measuring Equipment (DME) by the responsible authority.</t>
  </si>
  <si>
    <t>The channel of '51Y' is assigned for the Distance Measuring Equipment (DME) by the responsible authority.</t>
  </si>
  <si>
    <t>The channel of '51Z' is assigned for the Distance Measuring Equipment (DME) by the responsible authority.</t>
  </si>
  <si>
    <t>The channel of '52W' is assigned for the Distance Measuring Equipment (DME) by the responsible authority.</t>
  </si>
  <si>
    <t>The channel of '52X' is assigned for the Distance Measuring Equipment (DME) by the responsible authority.</t>
  </si>
  <si>
    <t>The channel of '52Y' is assigned for the Distance Measuring Equipment (DME) by the responsible authority.</t>
  </si>
  <si>
    <t>The channel of '52Z' is assigned for the Distance Measuring Equipment (DME) by the responsible authority.</t>
  </si>
  <si>
    <t>The channel of '53X' is assigned for the Distance Measuring Equipment (DME) by the responsible authority.</t>
  </si>
  <si>
    <t>The channel of '53Y' is assigned for the Distance Measuring Equipment (DME) by the responsible authority.</t>
  </si>
  <si>
    <t>The channel of '53Z' is assigned for the Distance Measuring Equipment (DME) by the responsible authority.</t>
  </si>
  <si>
    <t>The channel of '54W' is assigned for the Distance Measuring Equipment (DME) by the responsible authority.</t>
  </si>
  <si>
    <t>The channel of '54X' is assigned for the Distance Measuring Equipment (DME) by the responsible authority.</t>
  </si>
  <si>
    <t>The channel of '54Y' is assigned for the Distance Measuring Equipment (DME) by the responsible authority.</t>
  </si>
  <si>
    <t>The channel of '54Z' is assigned for the Distance Measuring Equipment (DME) by the responsible authority.</t>
  </si>
  <si>
    <t>The channel of '55X' is assigned for the Distance Measuring Equipment (DME) by the responsible authority.</t>
  </si>
  <si>
    <t>The channel of '55Y' is assigned for the Distance Measuring Equipment (DME) by the responsible authority.</t>
  </si>
  <si>
    <t>The channel of '55Z' is assigned for the Distance Measuring Equipment (DME) by the responsible authority.</t>
  </si>
  <si>
    <t>The channel of '56W' is assigned for the Distance Measuring Equipment (DME) by the responsible authority.</t>
  </si>
  <si>
    <t>The channel of '56X' is assigned for the Distance Measuring Equipment (DME) by the responsible authority.</t>
  </si>
  <si>
    <t>The channel of '56Y' is assigned for the Distance Measuring Equipment (DME) by the responsible authority.</t>
  </si>
  <si>
    <t>The channel of '56Z' is assigned for the Distance Measuring Equipment (DME) by the responsible authority.</t>
  </si>
  <si>
    <t>The channel of '57X' is assigned for the Distance Measuring Equipment (DME) by the responsible authority.</t>
  </si>
  <si>
    <t>The channel of '57Y' is assigned for the Distance Measuring Equipment (DME) by the responsible authority.</t>
  </si>
  <si>
    <t>The channel of '58X' is assigned for the Distance Measuring Equipment (DME) by the responsible authority.</t>
  </si>
  <si>
    <t>The channel of '58Y' is assigned for the Distance Measuring Equipment (DME) by the responsible authority.</t>
  </si>
  <si>
    <t>The channel of '59X' is assigned for the Distance Measuring Equipment (DME) by the responsible authority.</t>
  </si>
  <si>
    <t>The channel of '59Y' is assigned for the Distance Measuring Equipment (DME) by the responsible authority.</t>
  </si>
  <si>
    <t>The channel of '5X' is assigned for the Distance Measuring Equipment (DME) by the responsible authority.</t>
  </si>
  <si>
    <t>The channel of '5Y' is assigned for the Distance Measuring Equipment (DME) by the responsible authority.</t>
  </si>
  <si>
    <t>The channel of '60X' is assigned for the Distance Measuring Equipment (DME) by the responsible authority.</t>
  </si>
  <si>
    <t>The channel of '60Y' is assigned for the Distance Measuring Equipment (DME) by the responsible authority.</t>
  </si>
  <si>
    <t>The channel of '61X' is assigned for the Distance Measuring Equipment (DME) by the responsible authority.</t>
  </si>
  <si>
    <t>The channel of '61Y' is assigned for the Distance Measuring Equipment (DME) by the responsible authority.</t>
  </si>
  <si>
    <t>The channel of '62X' is assigned for the Distance Measuring Equipment (DME) by the responsible authority.</t>
  </si>
  <si>
    <t>The channel of '62Y' is assigned for the Distance Measuring Equipment (DME) by the responsible authority.</t>
  </si>
  <si>
    <t>The channel of '63X' is assigned for the Distance Measuring Equipment (DME) by the responsible authority.</t>
  </si>
  <si>
    <t>The channel of '63Y' is assigned for the Distance Measuring Equipment (DME) by the responsible authority.</t>
  </si>
  <si>
    <t>The channel of '64X' is assigned for the Distance Measuring Equipment (DME) by the responsible authority.</t>
  </si>
  <si>
    <t>The channel of '64Y' is assigned for the Distance Measuring Equipment (DME) by the responsible authority.</t>
  </si>
  <si>
    <t>The channel of '65X' is assigned for the Distance Measuring Equipment (DME) by the responsible authority.</t>
  </si>
  <si>
    <t>The channel of '65Y' is assigned for the Distance Measuring Equipment (DME) by the responsible authority.</t>
  </si>
  <si>
    <t>The channel of '66X' is assigned for the Distance Measuring Equipment (DME) by the responsible authority.</t>
  </si>
  <si>
    <t>The channel of '66Y' is assigned for the Distance Measuring Equipment (DME) by the responsible authority.</t>
  </si>
  <si>
    <t>The channel of '67X' is assigned for the Distance Measuring Equipment (DME) by the responsible authority.</t>
  </si>
  <si>
    <t>The channel of '67Y' is assigned for the Distance Measuring Equipment (DME) by the responsible authority.</t>
  </si>
  <si>
    <t>The channel of '68X' is assigned for the Distance Measuring Equipment (DME) by the responsible authority.</t>
  </si>
  <si>
    <t>The channel of '68Y' is assigned for the Distance Measuring Equipment (DME) by the responsible authority.</t>
  </si>
  <si>
    <t>The channel of '69X' is assigned for the Distance Measuring Equipment (DME) by the responsible authority.</t>
  </si>
  <si>
    <t>The channel of '69Y' is assigned for the Distance Measuring Equipment (DME) by the responsible authority.</t>
  </si>
  <si>
    <t>The channel of '6X' is assigned for the Distance Measuring Equipment (DME) by the responsible authority.</t>
  </si>
  <si>
    <t>The channel of '6Y' is assigned for the Distance Measuring Equipment (DME) by the responsible authority.</t>
  </si>
  <si>
    <t>The channel of '70X' is assigned for the Distance Measuring Equipment (DME) by the responsible authority.</t>
  </si>
  <si>
    <t>The channel of '70Y' is assigned for the Distance Measuring Equipment (DME) by the responsible authority.</t>
  </si>
  <si>
    <t>The channel of '71X' is assigned for the Distance Measuring Equipment (DME) by the responsible authority.</t>
  </si>
  <si>
    <t>The channel of '71Y' is assigned for the Distance Measuring Equipment (DME) by the responsible authority.</t>
  </si>
  <si>
    <t>The channel of '72X' is assigned for the Distance Measuring Equipment (DME) by the responsible authority.</t>
  </si>
  <si>
    <t>The channel of '72Y' is assigned for the Distance Measuring Equipment (DME) by the responsible authority.</t>
  </si>
  <si>
    <t>The channel of '73X' is assigned for the Distance Measuring Equipment (DME) by the responsible authority.</t>
  </si>
  <si>
    <t>The channel of '73Y' is assigned for the Distance Measuring Equipment (DME) by the responsible authority.</t>
  </si>
  <si>
    <t>The channel of '74X' is assigned for the Distance Measuring Equipment (DME) by the responsible authority.</t>
  </si>
  <si>
    <t>The channel of '74Y' is assigned for the Distance Measuring Equipment (DME) by the responsible authority.</t>
  </si>
  <si>
    <t>The channel of '75X' is assigned for the Distance Measuring Equipment (DME) by the responsible authority.</t>
  </si>
  <si>
    <t>The channel of '75Y' is assigned for the Distance Measuring Equipment (DME) by the responsible authority.</t>
  </si>
  <si>
    <t>The channel of '76X' is assigned for the Distance Measuring Equipment (DME) by the responsible authority.</t>
  </si>
  <si>
    <t>The channel of '76Y' is assigned for the Distance Measuring Equipment (DME) by the responsible authority.</t>
  </si>
  <si>
    <t>The channel of '77X' is assigned for the Distance Measuring Equipment (DME) by the responsible authority.</t>
  </si>
  <si>
    <t>The channel of '77Y' is assigned for the Distance Measuring Equipment (DME) by the responsible authority.</t>
  </si>
  <si>
    <t>The channel of '78X' is assigned for the Distance Measuring Equipment (DME) by the responsible authority.</t>
  </si>
  <si>
    <t>The channel of '78Y' is assigned for the Distance Measuring Equipment (DME) by the responsible authority.</t>
  </si>
  <si>
    <t>The channel of '79X' is assigned for the Distance Measuring Equipment (DME) by the responsible authority.</t>
  </si>
  <si>
    <t>The channel of '79Y' is assigned for the Distance Measuring Equipment (DME) by the responsible authority.</t>
  </si>
  <si>
    <t>The channel of '7X' is assigned for the Distance Measuring Equipment (DME) by the responsible authority.</t>
  </si>
  <si>
    <t>The channel of '7Y' is assigned for the Distance Measuring Equipment (DME) by the responsible authority.</t>
  </si>
  <si>
    <t>The channel of '80X' is assigned for the Distance Measuring Equipment (DME) by the responsible authority.</t>
  </si>
  <si>
    <t>The channel of '80Y' is assigned for the Distance Measuring Equipment (DME) by the responsible authority.</t>
  </si>
  <si>
    <t>The channel of '80Z' is assigned for the Distance Measuring Equipment (DME) by the responsible authority.</t>
  </si>
  <si>
    <t>The channel of '81X' is assigned for the Distance Measuring Equipment (DME) by the responsible authority.</t>
  </si>
  <si>
    <t>The channel of '81Y' is assigned for the Distance Measuring Equipment (DME) by the responsible authority.</t>
  </si>
  <si>
    <t>The channel of '81Z' is assigned for the Distance Measuring Equipment (DME) by the responsible authority.</t>
  </si>
  <si>
    <t>The channel of '82X' is assigned for the Distance Measuring Equipment (DME) by the responsible authority.</t>
  </si>
  <si>
    <t>The channel of '82Y' is assigned for the Distance Measuring Equipment (DME) by the responsible authority.</t>
  </si>
  <si>
    <t>The channel of '82Z' is assigned for the Distance Measuring Equipment (DME) by the responsible authority.</t>
  </si>
  <si>
    <t>The channel of '83X' is assigned for the Distance Measuring Equipment (DME) by the responsible authority.</t>
  </si>
  <si>
    <t>The channel of '83Y' is assigned for the Distance Measuring Equipment (DME) by the responsible authority.</t>
  </si>
  <si>
    <t>The channel of '83Z' is assigned for the Distance Measuring Equipment (DME) by the responsible authority.</t>
  </si>
  <si>
    <t>The channel of '84X' is assigned for the Distance Measuring Equipment (DME) by the responsible authority.</t>
  </si>
  <si>
    <t>The channel of '84Y' is assigned for the Distance Measuring Equipment (DME) by the responsible authority.</t>
  </si>
  <si>
    <t>The channel of '84Z' is assigned for the Distance Measuring Equipment (DME) by the responsible authority.</t>
  </si>
  <si>
    <t>The channel of '85X' is assigned for the Distance Measuring Equipment (DME) by the responsible authority.</t>
  </si>
  <si>
    <t>The channel of '85Y' is assigned for the Distance Measuring Equipment (DME) by the responsible authority.</t>
  </si>
  <si>
    <t>The channel of '85Z' is assigned for the Distance Measuring Equipment (DME) by the responsible authority.</t>
  </si>
  <si>
    <t>The channel of '86X' is assigned for the Distance Measuring Equipment (DME) by the responsible authority.</t>
  </si>
  <si>
    <t>The channel of '86Y' is assigned for the Distance Measuring Equipment (DME) by the responsible authority.</t>
  </si>
  <si>
    <t>The channel of '86Z' is assigned for the Distance Measuring Equipment (DME) by the responsible authority.</t>
  </si>
  <si>
    <t>The channel of '87X' is assigned for the Distance Measuring Equipment (DME) by the responsible authority.</t>
  </si>
  <si>
    <t>The channel of '87Y' is assigned for the Distance Measuring Equipment (DME) by the responsible authority.</t>
  </si>
  <si>
    <t>The channel of '87Z' is assigned for the Distance Measuring Equipment (DME) by the responsible authority.</t>
  </si>
  <si>
    <t>The channel of '88X' is assigned for the Distance Measuring Equipment (DME) by the responsible authority.</t>
  </si>
  <si>
    <t>The channel of '88Y' is assigned for the Distance Measuring Equipment (DME) by the responsible authority.</t>
  </si>
  <si>
    <t>The channel of '88Z' is assigned for the Distance Measuring Equipment (DME) by the responsible authority.</t>
  </si>
  <si>
    <t>The channel of '89X' is assigned for the Distance Measuring Equipment (DME) by the responsible authority.</t>
  </si>
  <si>
    <t>The channel of '89Y' is assigned for the Distance Measuring Equipment (DME) by the responsible authority.</t>
  </si>
  <si>
    <t>The channel of '89Z' is assigned for the Distance Measuring Equipment (DME) by the responsible authority.</t>
  </si>
  <si>
    <t>The channel of '8X' is assigned for the Distance Measuring Equipment (DME) by the responsible authority.</t>
  </si>
  <si>
    <t>The channel of '8Y' is assigned for the Distance Measuring Equipment (DME) by the responsible authority.</t>
  </si>
  <si>
    <t>The channel of '90X' is assigned for the Distance Measuring Equipment (DME) by the responsible authority.</t>
  </si>
  <si>
    <t>The channel of '90Y' is assigned for the Distance Measuring Equipment (DME) by the responsible authority.</t>
  </si>
  <si>
    <t>The channel of '90Z' is assigned for the Distance Measuring Equipment (DME) by the responsible authority.</t>
  </si>
  <si>
    <t>The channel of '91X' is assigned for the Distance Measuring Equipment (DME) by the responsible authority.</t>
  </si>
  <si>
    <t>The channel of '91Y' is assigned for the Distance Measuring Equipment (DME) by the responsible authority.</t>
  </si>
  <si>
    <t>The channel of '91Z' is assigned for the Distance Measuring Equipment (DME) by the responsible authority.</t>
  </si>
  <si>
    <t>The channel of '92X' is assigned for the Distance Measuring Equipment (DME) by the responsible authority.</t>
  </si>
  <si>
    <t>The channel of '92Y' is assigned for the Distance Measuring Equipment (DME) by the responsible authority.</t>
  </si>
  <si>
    <t>The channel of '92Z' is assigned for the Distance Measuring Equipment (DME) by the responsible authority.</t>
  </si>
  <si>
    <t>The channel of '93X' is assigned for the Distance Measuring Equipment (DME) by the responsible authority.</t>
  </si>
  <si>
    <t>The channel of '93Y' is assigned for the Distance Measuring Equipment (DME) by the responsible authority.</t>
  </si>
  <si>
    <t>The channel of '93Z' is assigned for the Distance Measuring Equipment (DME) by the responsible authority.</t>
  </si>
  <si>
    <t>The channel of '94X' is assigned for the Distance Measuring Equipment (DME) by the responsible authority.</t>
  </si>
  <si>
    <t>The channel of '94Y' is assigned for the Distance Measuring Equipment (DME) by the responsible authority.</t>
  </si>
  <si>
    <t>The channel of '94Z' is assigned for the Distance Measuring Equipment (DME) by the responsible authority.</t>
  </si>
  <si>
    <t>The channel of '95X' is assigned for the Distance Measuring Equipment (DME) by the responsible authority.</t>
  </si>
  <si>
    <t>The channel of '95Y' is assigned for the Distance Measuring Equipment (DME) by the responsible authority.</t>
  </si>
  <si>
    <t>The channel of '95Z' is assigned for the Distance Measuring Equipment (DME) by the responsible authority.</t>
  </si>
  <si>
    <t>The channel of '96X' is assigned for the Distance Measuring Equipment (DME) by the responsible authority.</t>
  </si>
  <si>
    <t>The channel of '96Y' is assigned for the Distance Measuring Equipment (DME) by the responsible authority.</t>
  </si>
  <si>
    <t>The channel of '96Z' is assigned for the Distance Measuring Equipment (DME) by the responsible authority.</t>
  </si>
  <si>
    <t>The channel of '97X' is assigned for the Distance Measuring Equipment (DME) by the responsible authority.</t>
  </si>
  <si>
    <t>The channel of '97Y' is assigned for the Distance Measuring Equipment (DME) by the responsible authority.</t>
  </si>
  <si>
    <t>The channel of '97Z' is assigned for the Distance Measuring Equipment (DME) by the responsible authority.</t>
  </si>
  <si>
    <t>The channel of '98X' is assigned for the Distance Measuring Equipment (DME) by the responsible authority.</t>
  </si>
  <si>
    <t>The channel of '98Y' is assigned for the Distance Measuring Equipment (DME) by the responsible authority.</t>
  </si>
  <si>
    <t>The channel of '98Z' is assigned for the Distance Measuring Equipment (DME) by the responsible authority.</t>
  </si>
  <si>
    <t>The channel of '99X' is assigned for the Distance Measuring Equipment (DME) by the responsible authority.</t>
  </si>
  <si>
    <t>The channel of '99Y' is assigned for the Distance Measuring Equipment (DME) by the responsible authority.</t>
  </si>
  <si>
    <t>The channel of '99Z' is assigned for the Distance Measuring Equipment (DME) by the responsible authority.</t>
  </si>
  <si>
    <t>The channel of '9X' is assigned for the Distance Measuring Equipment (DME) by the responsible authority.</t>
  </si>
  <si>
    <t>The channel of '9Y' is assigned for the Distance Measuring Equipment (DME) by the responsible authority.</t>
  </si>
  <si>
    <t>dmeN</t>
  </si>
  <si>
    <t>DME/N</t>
  </si>
  <si>
    <t>A DME with narrow spectrum characteristics.</t>
  </si>
  <si>
    <t>dmeP</t>
  </si>
  <si>
    <t>DME/P</t>
  </si>
  <si>
    <t>A DME with improved accuracy compared to the DME/N.</t>
  </si>
  <si>
    <t>dmeW</t>
  </si>
  <si>
    <t>DME/W</t>
  </si>
  <si>
    <t>A DME with wide spectrum characteristics.</t>
  </si>
  <si>
    <t>drainage</t>
  </si>
  <si>
    <t>Drainage</t>
  </si>
  <si>
    <t>Serves to drain the land.</t>
  </si>
  <si>
    <t>irrigation</t>
  </si>
  <si>
    <t>Irrigation</t>
  </si>
  <si>
    <t>Serves to distribute irrigation water.</t>
  </si>
  <si>
    <t>Serves to carry sewage, typically not by original intent.</t>
  </si>
  <si>
    <t>ungated</t>
  </si>
  <si>
    <t>Ungated</t>
  </si>
  <si>
    <t>A dock that is open and whose water level is subject to variation (for example: as a result of tidal variation or storm surge).</t>
  </si>
  <si>
    <t>wetDock</t>
  </si>
  <si>
    <t>Wet Dock</t>
  </si>
  <si>
    <t>A dock in which water can be maintained at any level by closing a gate when the water is at the desired level.</t>
  </si>
  <si>
    <t>concreteSteelPlating</t>
  </si>
  <si>
    <t>Concrete with Steel Plating</t>
  </si>
  <si>
    <t>A door comprised of a concrete core covered on one or both sides with steel plating.</t>
  </si>
  <si>
    <t>filledSteelShell</t>
  </si>
  <si>
    <t>Filled Steel Shell</t>
  </si>
  <si>
    <t>A door comprised of a steel shell and a filler material.</t>
  </si>
  <si>
    <t>For example: a steel shell with a honey-combed (hexagonal-mesh) filler material.</t>
  </si>
  <si>
    <t>hollowSteelShell</t>
  </si>
  <si>
    <t>Hollow Steel Shell</t>
  </si>
  <si>
    <t>A door comprised of a steel shell without filler material.</t>
  </si>
  <si>
    <t>solidSteel</t>
  </si>
  <si>
    <t>Solid Steel</t>
  </si>
  <si>
    <t>A door consisting of a heavy steel plate.</t>
  </si>
  <si>
    <t>chemicalWaste</t>
  </si>
  <si>
    <t>Chemical Waste</t>
  </si>
  <si>
    <t>An area at sea where chemical waste is dumped.</t>
  </si>
  <si>
    <t>explosives</t>
  </si>
  <si>
    <t>Explosives</t>
  </si>
  <si>
    <t>An area where deliberate disposal of explosives from vessels, aircraft, platforms and/or other man-made structures takes place.</t>
  </si>
  <si>
    <t>hazardousMaterial</t>
  </si>
  <si>
    <t>Hazardous Material</t>
  </si>
  <si>
    <t>An area at sea where deliberate disposal of hazardous materials from vessels, aircraft, platforms and/or other man-made structures takes place.</t>
  </si>
  <si>
    <t>nuclearWaste</t>
  </si>
  <si>
    <t>Nuclear Waste</t>
  </si>
  <si>
    <t>An area at sea where nuclear waste is dumped.</t>
  </si>
  <si>
    <t>An area at sea where dredged material is deposited.</t>
  </si>
  <si>
    <t>vessels</t>
  </si>
  <si>
    <t>Vessels</t>
  </si>
  <si>
    <t>An area at sea where disused vessels are scuttled.</t>
  </si>
  <si>
    <t>abeNoguchi_1983a</t>
  </si>
  <si>
    <t>Abe and Noguchi: 1983a</t>
  </si>
  <si>
    <t>Abe, Katsuyuki, and Noguchi, Shin'ichi, 1983, Determination of magnitude for large shallow earthquakes 1898 - 1917: Physics of the Earth and Planetary Interiors, v. 32, p. 45-59.</t>
  </si>
  <si>
    <t>May be designated as 'AB1'.</t>
  </si>
  <si>
    <t>abeNoguchi_1983b</t>
  </si>
  <si>
    <t>Abe and Noguchi: 1983b</t>
  </si>
  <si>
    <t>Abe, Katsuyuki, and Noguchi, Shin'ichi, 1983, Revision of magnitudes of large shallow earthquakes, 1897 - 1912: Physics of the Earth and Planetary Interiors, v. 33, p. 1-11.</t>
  </si>
  <si>
    <t>May be designated as 'AB2'.</t>
  </si>
  <si>
    <t>abe_1981</t>
  </si>
  <si>
    <t>Abe: 1981</t>
  </si>
  <si>
    <t>Abe, Katsuyuki, 1981, Magnitude of large shallow earthquakes from 1904 to 1980: Physics of the Earth and Planetary Interiors, v. 27, p. 72-92.</t>
  </si>
  <si>
    <t>May be designated as 'ABE'.</t>
  </si>
  <si>
    <t>abe_1984</t>
  </si>
  <si>
    <t>Abe: 1984</t>
  </si>
  <si>
    <t>Abe, Katsuyuki, 1984, Complements to 'Magnitudes of large shallow earthquakes from 1904 to 1980', Physics of the Earth and Planetary Interiors, v. 34, p. 17-23.</t>
  </si>
  <si>
    <t>May be designated as 'AB3'.</t>
  </si>
  <si>
    <t>adakObservatory</t>
  </si>
  <si>
    <t>Adak Observatory</t>
  </si>
  <si>
    <t>Adak Observatory, U.S. National Oceanic and Atmospheric Administration, Adak Island, Aleutian Islands, Alaska.</t>
  </si>
  <si>
    <t>May be designated as 'ADK'.</t>
  </si>
  <si>
    <t>alaskaTsunamiWarning</t>
  </si>
  <si>
    <t>Alaska Tsunami Warning Center</t>
  </si>
  <si>
    <t>Alaska Tsunami Warning Center, U.S. National Oceanic and Atmospheric Administration, Palmer, Alaska.</t>
  </si>
  <si>
    <t>May be designated as 'PMR'.</t>
  </si>
  <si>
    <t>ando_1979</t>
  </si>
  <si>
    <t>Ando: 1979</t>
  </si>
  <si>
    <t>Ando, Matsaka, 1979, the Hawaii earthquake of November 29, 1975: Low dip angle due to forceful injection of magma: Journal of Geophysical Research, v. 84, no. B13, p. 7616-7626.</t>
  </si>
  <si>
    <t>May be designated as 'AND'.</t>
  </si>
  <si>
    <t>archuletaEtAl_1982</t>
  </si>
  <si>
    <t>Archuleta, et al: 1982</t>
  </si>
  <si>
    <t>Archuleta, R.J., Cranswick, E., Mueller, C., and Spudich, P., 1982, Source parameters of the 1980 Mammoth Lakes, California, earthquake sequence: Journal of Geophysical Research, v. 87, no. B5, p. 4595-4607.</t>
  </si>
  <si>
    <t>May be designated as 'ARC'.</t>
  </si>
  <si>
    <t>armbrusterSeeber_1987</t>
  </si>
  <si>
    <t>Armbruster and Seeber: 1987</t>
  </si>
  <si>
    <t>Armbruster, J.G., and Seeber, Leonardo, 1987, The 23 April 1984 Martic earthquake of the Lancaster seismic zone in eastern Pennsylvania: Seismological Society of America Bulletin, v. 77, no. 3, p. 877-890.</t>
  </si>
  <si>
    <t>May be designated as 'AS'.</t>
  </si>
  <si>
    <t>bakerLangston_1987</t>
  </si>
  <si>
    <t>Baker and Langston: 1987</t>
  </si>
  <si>
    <t>Baker, G.E., and Langston, C.A., 1987, Source parameters of the 1949 magnitude 7.1 South Puget Sound, Washington, earthquake as determined form long-period body waves and strong ground motions: Seismological Society of America Bulletin, v. 77, no. 5, p. 1530-1557.</t>
  </si>
  <si>
    <t>May be designated as 'BL'.</t>
  </si>
  <si>
    <t>bakun_1984</t>
  </si>
  <si>
    <t>Bakun: 1984</t>
  </si>
  <si>
    <t>Bakun, W.H., 1984, Seismic moments, local magnitudes, and coda-duration magnitudes for earthquakes in central California: Seismological Society of America Bulletin, v. 74, no. 2, p. 439-458.</t>
  </si>
  <si>
    <t>May be designated as 'BAK'.</t>
  </si>
  <si>
    <t>barstowEtAl_1981</t>
  </si>
  <si>
    <t>Barstow, et al: 1981</t>
  </si>
  <si>
    <t>Barstow, N.L., Brill, K.G., Nuttli, O.W., and Pomeroy, P.W., 1981, An approach to seismic zonation for siting nuclear electric power generating facilities in the Eastern United States: Stone Ridge, N.J., Roundout Associates, Inc., report prepared for U.S. Nuclear Regulatory Commission, NUCREG/CR-1577, 315p.</t>
  </si>
  <si>
    <t>May be designated as 'BAR'.</t>
  </si>
  <si>
    <t>bashamEtAl_1979</t>
  </si>
  <si>
    <t>Basham, et al: 1979</t>
  </si>
  <si>
    <t>Basham, P.W., Weichert, D.H., and Berry, M.J., 1979, Regional assessment of seismic risk in Eastern Canada: Seismological Society of America, v. 69, no. 5, p. 1567-1602.</t>
  </si>
  <si>
    <t>May be designated as 'BAS'.</t>
  </si>
  <si>
    <t>bollinger_1979</t>
  </si>
  <si>
    <t>Bollinger: 1979</t>
  </si>
  <si>
    <t>Bollinger, G.A., 1979, Attenuation of the Lg phase and the determination of Mb in the Southeastern United States: Seismological Society of America Bulletin, v. 69, no. 1, p. 45-63.</t>
  </si>
  <si>
    <t>May be designated as 'GB'.</t>
  </si>
  <si>
    <t>bollinger_1986</t>
  </si>
  <si>
    <t>Bollinger: 1986</t>
  </si>
  <si>
    <t>Bollinger, G.A., 1986, Historical seismicity of South Carolina [abs.]: Seismological Society of America, Eastern Section, Earthquake Notes, v. 457, no. 1, p. 15-16.</t>
  </si>
  <si>
    <t>May be designated as 'BOL'.</t>
  </si>
  <si>
    <t>boltEtAl_1981</t>
  </si>
  <si>
    <t>Bolt, et al: 1981</t>
  </si>
  <si>
    <t>Bolt, B.A., McEvilly, T.V., and Uhrhammer, R.A., 1981, The Livermore Valley, California, sequence of January 1980: Seismological Society of America Bulletin, v. 71, no. 2, p. 451-463.</t>
  </si>
  <si>
    <t>May be designated as 'BMU'.</t>
  </si>
  <si>
    <t>bolt_1978</t>
  </si>
  <si>
    <t>Bolt: 1978</t>
  </si>
  <si>
    <t>Bolt, B.A., 1978, The local magnitude ML of the Kern County earthquake of July 21, 1952: Seismological Society of America Bulletin, v. 68, no. 2, p. 513-515.</t>
  </si>
  <si>
    <t>May be designated as 'BLT'.</t>
  </si>
  <si>
    <t>bolt_1984</t>
  </si>
  <si>
    <t>Bolt: 1984</t>
  </si>
  <si>
    <t>Bolt, B.A., 1984, The magnitude of the Hebgen Lake 1959 and Idaho 1983 earthquakes [abs.]: Seismological Society of America, Eastern Section, Earthquakes Notes, v. 55, no. 1, p. 13.</t>
  </si>
  <si>
    <t>May be designated as 'BOT'.</t>
  </si>
  <si>
    <t>bostonCollege</t>
  </si>
  <si>
    <t>Boston College</t>
  </si>
  <si>
    <t>Weston Observatory, Boston College, Weston, Massachusetts.</t>
  </si>
  <si>
    <t>May be designated as 'WES'.</t>
  </si>
  <si>
    <t>burgerLangston_1985</t>
  </si>
  <si>
    <t>Burger and Langston: 1985</t>
  </si>
  <si>
    <t>Burger, R.W., and Langston, C.A., 1985, Source mechanism of the May 18, 1980, Mount St. Helens eruption from regional surface waves: Journal of Geophysical Research v. 90, no. B9, P. 7653-7664.</t>
  </si>
  <si>
    <t>May be designated as 'BUR'.</t>
  </si>
  <si>
    <t>califDeptWaterResources</t>
  </si>
  <si>
    <t>California Department of Water Resources</t>
  </si>
  <si>
    <t>California Department of Water Resources, Sacramento, California.</t>
  </si>
  <si>
    <t>May be designated as 'CWR'.</t>
  </si>
  <si>
    <t>califDivisionMinesGeology</t>
  </si>
  <si>
    <t>California Division of Mines and Geology</t>
  </si>
  <si>
    <t>California Division of Mines and Geology, Sacramento, California, [see ref. 368, 360, 381 in table 1].</t>
  </si>
  <si>
    <t>May be designated as 'DMG'.</t>
  </si>
  <si>
    <t>califInstituteTechnology</t>
  </si>
  <si>
    <t>California Institute of Technology</t>
  </si>
  <si>
    <t>Seismological Laboratory, California Institute of Technology, Pasadena, CA.</t>
  </si>
  <si>
    <t>May be designated as 'PAS'.</t>
  </si>
  <si>
    <t>carlson_1984</t>
  </si>
  <si>
    <t>Carlson: 1984</t>
  </si>
  <si>
    <t>Carlson, S.J., 1984, Investigations of recent and historical seismicity in east Texas: The University of Texas at Austin, Master of Arts Thesis, 197p.</t>
  </si>
  <si>
    <t>May be designated as 'CAR'.</t>
  </si>
  <si>
    <t>carverEtAl_1983</t>
  </si>
  <si>
    <t>Carver, et al: 1983</t>
  </si>
  <si>
    <t>Carver, D., Richins, W.D., and Langer, C.J., 1983, Details of the Aftershock process following the 30 September 1977 Unita Basin, Utah, earthquakes: Seismological Society of America Bulletin, v. 73, no. 2, p. 435-448.</t>
  </si>
  <si>
    <t>May be designated as 'CDL'.</t>
  </si>
  <si>
    <t>coloradoSchoolMines</t>
  </si>
  <si>
    <t>Colorado School of Mines</t>
  </si>
  <si>
    <t>Geophysical Observatory, Colorado School of Mines, Golden, CO.</t>
  </si>
  <si>
    <t>May be designated as 'GOL'.</t>
  </si>
  <si>
    <t>columbiaUniversity</t>
  </si>
  <si>
    <t>Columbia University</t>
  </si>
  <si>
    <t>Lamont-Doherty Geological Observatory, Columbia University, Palisades, N.Y.</t>
  </si>
  <si>
    <t>May be designated as 'PAL'.</t>
  </si>
  <si>
    <t>cox_1985</t>
  </si>
  <si>
    <t>Cox: 1985</t>
  </si>
  <si>
    <t>Cox, D.C., 1985, The Lanai earthquake of February 1871: Environmental Center, University of Hawaii, SR-0034, 50p.</t>
  </si>
  <si>
    <t>May be designated as 'COX'.</t>
  </si>
  <si>
    <t>deweyGordon_1984</t>
  </si>
  <si>
    <t>Dewey and Gordon: 1984</t>
  </si>
  <si>
    <t>Dewey, J.W., and Gordon, D.W., 1984, Map showing recomputed hypocenters of earthquakes in the Eastern and Central United States and adjacent Canada, 1925-1980: U.S. Geological Survey Miscellaneous Field Studies Map MF-1699, [pamphlet ], 39p.</t>
  </si>
  <si>
    <t>May be designated as 'DG'.</t>
  </si>
  <si>
    <t>dewey_1987</t>
  </si>
  <si>
    <t>Dewey: 1987</t>
  </si>
  <si>
    <t>Dewey, J.W., 1987, Instrumental seismicity of central Idaho: Seismological Society of America Bulletin, v. 77, no. 3, p. 819-836.</t>
  </si>
  <si>
    <t>May be designated as 'DW'.</t>
  </si>
  <si>
    <t>doser_1985</t>
  </si>
  <si>
    <t>Doser: 1985</t>
  </si>
  <si>
    <t>Doser, D.I., 1985, Source parameters and faulting processes of the 1959 Hebgen Lake, Montana, earthquake sequence: Journal of Geophysical Research, v. 90, no. B6, p. 4537-4555.</t>
  </si>
  <si>
    <t>May be designated as 'DSR'.</t>
  </si>
  <si>
    <t>doser_1989</t>
  </si>
  <si>
    <t>Doser: 1989</t>
  </si>
  <si>
    <t>Doser, D.J., 1989, Source parameters of Montana earthquakes (1925-1964) and tectonic deformation in the northern intermountain seismic belt: Seismological of America Bulletin, v. 79, no. 1, p. 31-50.</t>
  </si>
  <si>
    <t>May be designated as 'DOR'.</t>
  </si>
  <si>
    <t>dovserSmith_1982</t>
  </si>
  <si>
    <t>Dovser and Smith: 1982</t>
  </si>
  <si>
    <t>Dovser, D.I., and Smith, R.B., 1982, Seismic moment rates in the Utah region: Seismological Society of America bulletin, v. 72, no. 2,, p. 525-551.</t>
  </si>
  <si>
    <t>May be designated as 'DOS'.</t>
  </si>
  <si>
    <t>duda_1965</t>
  </si>
  <si>
    <t>Duda: 1965</t>
  </si>
  <si>
    <t>Duda, S.J., 1965, Secular seismic energy release in the Circum-Pacific Belt: Tectonophysics, v. 2, no. 5, p. 409-452.</t>
  </si>
  <si>
    <t>May be designated as 'DDA'.</t>
  </si>
  <si>
    <t>ebelEtAl_1986</t>
  </si>
  <si>
    <t>Ebel, et al: 1986</t>
  </si>
  <si>
    <t>Ebel, J.E., Somerville, P.G., and McIver, J.D., 1986, A study of the source parameters of some large earthquakes of northeastern North America: Journal of Geophysical Research, v. 91, no. B8, p. 8231-8247.</t>
  </si>
  <si>
    <t>May be designated as 'ESM'.</t>
  </si>
  <si>
    <t>eberhartPhillipsEtAl_1981</t>
  </si>
  <si>
    <t>Eberhart-Phillips, et al: 1981</t>
  </si>
  <si>
    <t>Eberhart-Phillips, D., Richardson, R.M., Sbar, M.L., and Hermann, R.B., 1981, Analysis of the 4 February 1976 Chino Valley, Arizona, earthquake: Seismological Society of America Bulletin, v. 71, no. 3, p. 787-801.</t>
  </si>
  <si>
    <t>May be designated as 'EBE'.</t>
  </si>
  <si>
    <t>ekstromDziewonski_1985</t>
  </si>
  <si>
    <t>Ekstrom and Dziewonski: 1985</t>
  </si>
  <si>
    <t>Ekstrom, G., and Dziewonski, A.M., 1985, Centroid-moment sensor solutions for 35 earthquakes in Western North America (1977-1983): Seismological Society of America Bulletin, v. 75, no. 1, p. 23-39.</t>
  </si>
  <si>
    <t>May be designated as 'ED'.</t>
  </si>
  <si>
    <t>ellsworth_1990</t>
  </si>
  <si>
    <t>Ellsworth: 1990</t>
  </si>
  <si>
    <t>Ellsworth, W.L., 1990, Historical seismicity, in: Wallace, R.E., eds., The San Andreas fault system: U.S. Geological Survey Professional Paper 1515, p. 153-181.</t>
  </si>
  <si>
    <t>May be designated as 'ELL'.</t>
  </si>
  <si>
    <t>frankel_1984</t>
  </si>
  <si>
    <t>Frankel: 1984</t>
  </si>
  <si>
    <t>Frankel, Arthur, 1984, Source parameters of the ML About 5 earthquake Near Anza, California, and a comparison with an Imperial Valley aftershock: Seismological Society of America Bulletin, v. 24, no. 5, p. 1509-1527.</t>
  </si>
  <si>
    <t>May be designated as 'FRK'.</t>
  </si>
  <si>
    <t>geologicalSurveyCanada</t>
  </si>
  <si>
    <t>Geological Survey of Canada</t>
  </si>
  <si>
    <t>Seismological Service, Geological Survey of Canada (formerly the Earth Physics Branch), Ottawa, Ontario, Canada.</t>
  </si>
  <si>
    <t>May be designated as 'EPB'.</t>
  </si>
  <si>
    <t>georgiaInstituteTech</t>
  </si>
  <si>
    <t>Georgia Institute of Technology</t>
  </si>
  <si>
    <t>Georgia Institute of Technology, Atlanta, GA.</t>
  </si>
  <si>
    <t>May be designated as 'GT'.</t>
  </si>
  <si>
    <t>gordon_1990</t>
  </si>
  <si>
    <t>Gordon: 1990</t>
  </si>
  <si>
    <t>Gordon, D. W., 1990, U.S. Geological Survey unpublished data.</t>
  </si>
  <si>
    <t>May be designated as 'GDW'.</t>
  </si>
  <si>
    <t>gutenbergRichter_1954</t>
  </si>
  <si>
    <t>Gutenberg and Richter: 1954</t>
  </si>
  <si>
    <t>Gutenberg, Beno, and Richter, C.F., 1954, Seismicity of the Earth and associated phenomena: New York, Hafner Publishing Inc., 310p.</t>
  </si>
  <si>
    <t>May be designated as 'GR'.</t>
  </si>
  <si>
    <t>hanksKanamori_1979</t>
  </si>
  <si>
    <t>Hanks and Kanamori: 1979</t>
  </si>
  <si>
    <t>Hanks, T.C., and Kanamori, H., 1979, A moment magnitude scale: Journal of Geophysical Research, v. 84, no. B5, p. 2348-2350.</t>
  </si>
  <si>
    <t>May be designated as 'HK'.</t>
  </si>
  <si>
    <t>hanksEtAl_1975</t>
  </si>
  <si>
    <t>Hanks, et al: 1975</t>
  </si>
  <si>
    <t>Hanks, T.C., Hileman, J.A., and Thatcher, W., 1975, Seismic moments of the larger earthquakes of the southern California region: Geological Society of America Bulletin, v. 86, p. 1131-1139.</t>
  </si>
  <si>
    <t>May be designated as 'HHT'.</t>
  </si>
  <si>
    <t>hartEtAl_1977</t>
  </si>
  <si>
    <t>Hart, et al: 1977</t>
  </si>
  <si>
    <t>Hart, R.S., Butler, R., and Kanamori, H., 1977, Surface-wave constraints on the August 1, 1875, Oroville earthquake: Seismological Society of America Bulletin, v. 67, no. 1, p. 1-7.</t>
  </si>
  <si>
    <t>May be designated as 'HBK'.</t>
  </si>
  <si>
    <t>hartzellBrune_1979</t>
  </si>
  <si>
    <t>Hartzell and Brune: 1979</t>
  </si>
  <si>
    <t>Hartzell, S.H., and Brune, J.N., 1979, The Horse Canyon earthquake of August 2, 1975-two stage stress-release process in a strike-slip earthquake: Seismological Society of America Bulletin, v. 69, no. 4, p. 1161-1173.</t>
  </si>
  <si>
    <t>May be designated as 'HB'.</t>
  </si>
  <si>
    <t>harvardUniversity</t>
  </si>
  <si>
    <t>Harvard University</t>
  </si>
  <si>
    <t>Harvard University, Cambridge, Massachusetts.</t>
  </si>
  <si>
    <t>May be designated as 'HAV'.</t>
  </si>
  <si>
    <t>hasegawaEtAl_1980</t>
  </si>
  <si>
    <t>Hasegawa, et al: 1980</t>
  </si>
  <si>
    <t>Hasegawa, H.W., Lahr, J.C., and Stephens, C.D., 1980, Fault parameters of the St. Elias, Alaska, earthquake of February 28, 1979: Seismological Society of America Bulletin, v. 70, no. 5, p. 1651-1660.</t>
  </si>
  <si>
    <t>May be designated as 'HLS'.</t>
  </si>
  <si>
    <t>hawaiianVolcanoObs</t>
  </si>
  <si>
    <t>Hawaiian Volcano Observatory</t>
  </si>
  <si>
    <t>Hawaiian Volcano Observatory, U.S. Geological Survey, Hawaii National Park, Hawaii.</t>
  </si>
  <si>
    <t>May be designated as 'HVO'.</t>
  </si>
  <si>
    <t>heatonHeimberger_1978</t>
  </si>
  <si>
    <t>Heaton and Heimberger: 1978</t>
  </si>
  <si>
    <t>Heaton, T.H., and Heimberger, D.V., 1978, Predictability of strong ground motion in the Imperial Valley: Modeling the M4.9, November 4, 1976, Brawley, earthquake: Seismological Society of America Bulletin, v. 68, no. 1, p. 31-48.</t>
  </si>
  <si>
    <t>May be designated as 'HH'.</t>
  </si>
  <si>
    <t>hermannEtAl_1980</t>
  </si>
  <si>
    <t>Hermann, et al: 1980</t>
  </si>
  <si>
    <t>Herrmann, R.B., Dewey, J.W., and Park, S.K., 1980, The Dulce, New Mexico, earthquake of 23 January 1966: Seismological Society of America Bulletin, v. 70, no. 6, p. 2171-2183.</t>
  </si>
  <si>
    <t>May be designated as 'HDP'.</t>
  </si>
  <si>
    <t>hermannEtAl_1981</t>
  </si>
  <si>
    <t>Hermann, et al: 1981</t>
  </si>
  <si>
    <t>Herrmann, R.B., Park, S.K., and Wang, C.Y., 1981, The Denver earthquakes of 1967-1968: Seismological Society of America Bulletin, v. 71, no., 3, p. 731-745.</t>
  </si>
  <si>
    <t>May be designated as 'HER'.</t>
  </si>
  <si>
    <t>hermannEtAl_1982</t>
  </si>
  <si>
    <t>Hermann, et al: 1982</t>
  </si>
  <si>
    <t>Herrmann, R.B., Langston, C.A., and Zollweg, J.E., 1982, The Sharpsburg, Kentucky, earthquake of 17 July 1980: Seismological Society of America Bulletin, v. 72, no. 4, p. 1219-1239.</t>
  </si>
  <si>
    <t>May be designated as 'HRR'.</t>
  </si>
  <si>
    <t>hermann_1979</t>
  </si>
  <si>
    <t>Hermann: 1979</t>
  </si>
  <si>
    <t>Herrmann, R.B., 1979, Surface wave focal mechanisms for Eastern North America earthquakes with tectonic implications: Journal of Geophysical Research, v. 84, no. B7, p. 3543-3552.</t>
  </si>
  <si>
    <t>May be designated as 'HRN'.</t>
  </si>
  <si>
    <t>hermann_1986</t>
  </si>
  <si>
    <t>Hermann: 1986</t>
  </si>
  <si>
    <t>Herrmann, R.B., 1986, Surface-wave studies of some South Carolina earthquakes: Seismological Society of America Bulletin, v. 76, no. 1, p. 111-121.</t>
  </si>
  <si>
    <t>May be designated as 'HRM'.</t>
  </si>
  <si>
    <t>institutePhysicsEarth</t>
  </si>
  <si>
    <t>Institute of Physics of the Earth</t>
  </si>
  <si>
    <t>Institute of Physics of the Earth of the U.S.S.R., Moscow.</t>
  </si>
  <si>
    <t>May be designated as 'MOS'.</t>
  </si>
  <si>
    <t>intSeismologicalCentre</t>
  </si>
  <si>
    <t>International Seismological Centre</t>
  </si>
  <si>
    <t>Bulletin of the International Seismological Centre, 1954-1989, Newbury Berkshire, United Kingdom.</t>
  </si>
  <si>
    <t>May be designated as 'ISC'.</t>
  </si>
  <si>
    <t>johnsonEtAl_1974</t>
  </si>
  <si>
    <t>Johnson, et al: 1974</t>
  </si>
  <si>
    <t>Johnson, L.R., and McEvilly, T.V., 1974, Near-field observations and source parameters of central California earthquakes: Seismological Society of America Bulletin, v. 64, no. 6, p. 1855-1886.</t>
  </si>
  <si>
    <t>May be designated as 'JM'.</t>
  </si>
  <si>
    <t>johnsonEtAl_1992</t>
  </si>
  <si>
    <t>Johnson, et al: 1992</t>
  </si>
  <si>
    <t>Johnson, T.E., Ludwin, R.S., and Qamar, A.I., 1992, The central Cascades earthquake of March 7, 1891: Washington, Geology.</t>
  </si>
  <si>
    <t>May be designated as 'JLQ'.</t>
  </si>
  <si>
    <t>johnson_1994</t>
  </si>
  <si>
    <t>Johnson: 1994</t>
  </si>
  <si>
    <t>Johnson, A.C., 1994, The stable-continental-region earthquake data base, in: Coppersmith, K.J., and others, eds. Methods for accessing maximum earthquakes in the Central and Eastern United States: Palo Alto, California, Electric Power Research Institute Project RP-2556-12.</t>
  </si>
  <si>
    <t>May be designated as 'JOH'.</t>
  </si>
  <si>
    <t>jonesEtAl_1977</t>
  </si>
  <si>
    <t>Jones, et al: 1977</t>
  </si>
  <si>
    <t>Jones, F.B., Long, L.T., and McKee, J.H., 1977, Study of the attenuation and azimuthal dependence of seismic wave propagation in the Southeastern United States: Seismological Society of America Bulletin, v. 67, no. 6, p. 1503-1513.</t>
  </si>
  <si>
    <t>May be designated as 'JLM'.</t>
  </si>
  <si>
    <t>jones_1975</t>
  </si>
  <si>
    <t>Jones: 1975</t>
  </si>
  <si>
    <t>Jones, A.E., 1975, Recording of earthquakes at Reno, 1916-1951: Seismological Laboratory Bulletin, Mackay School of Mines-Nevada Bureau of Mines, University of Nevada-Reno, 199p.</t>
  </si>
  <si>
    <t>May be designated as 'JON'.</t>
  </si>
  <si>
    <t>jordanEtAl_1967</t>
  </si>
  <si>
    <t>Jordan, et al: 1967</t>
  </si>
  <si>
    <t>Jordan, J.N., Dunphy, G.J., and Harding, S.T., 1967, The Fairbanks, Alaska, earthquakes of June 21, 1967: U.S. Department of Commerce, Coast and Geodetic Survey, Preliminary Seismological report, p. 1-33.</t>
  </si>
  <si>
    <t>May be designated as 'JDH'.</t>
  </si>
  <si>
    <t>kanamoriAnderson_1975</t>
  </si>
  <si>
    <t>Kanamori and Anderson: 1975</t>
  </si>
  <si>
    <t>Kanamori, Hiroo, and Anderson, D.L., 1975, Theoretical basis of some empirical relations in seismology: Seismolgoical Society of America Bulletin, v. 65, no. 5, p. 1073-1075.</t>
  </si>
  <si>
    <t>May be designated as 'KA'.</t>
  </si>
  <si>
    <t>kanamoriJennings_1978</t>
  </si>
  <si>
    <t>Kanamori and Jennings: 1978</t>
  </si>
  <si>
    <t>Kanamori, Hiroo, and Jennings, P.C., 1978, Determination of local magnitude ML from strong-motion accelerograms: Seismological Society of America Bulletin, v. 68, no. 2, p. 471-185.</t>
  </si>
  <si>
    <t>May be designated as 'KJ'.</t>
  </si>
  <si>
    <t>kanamori_1977</t>
  </si>
  <si>
    <t>Kanamori: 1977</t>
  </si>
  <si>
    <t>Kanamori, Hiroo, 1977, The energy release in great earthquakes: Journal of Geophysical Research, v. 82, no. 20, p. 2981-2987.</t>
  </si>
  <si>
    <t>May be designated as 'KAN'.</t>
  </si>
  <si>
    <t>kirkhamRogers_1986</t>
  </si>
  <si>
    <t>Kirkham and Rogers: 1986</t>
  </si>
  <si>
    <t>Kirkham, R.M., and Rogers, W.P., 1986, An interpretation of the November 7, 1882, Colorado, earthquake: Colorado Geological Survey, Open-File Report 86-8, 36p.</t>
  </si>
  <si>
    <t>May be designated as 'KRK'.</t>
  </si>
  <si>
    <t>kirunaSeismographStation</t>
  </si>
  <si>
    <t>Kiruna Seismograph Station</t>
  </si>
  <si>
    <t>Kiruna Seismograph Station, University of Uppsala, Sweden.</t>
  </si>
  <si>
    <t>May be designated as 'KIR'.</t>
  </si>
  <si>
    <t>langstonBlum_1977</t>
  </si>
  <si>
    <t>Langston and Blum: 1977</t>
  </si>
  <si>
    <t>Langston, C.A., and Blum, D.E., 1977, The April 29. 1865, Puget Sound earthquake and the crustal and upper mantle structure of western Washington Seismological Society of America Bulletin, v. 67, no. 3, p. 693-711.</t>
  </si>
  <si>
    <t>May be designated as 'LB'.</t>
  </si>
  <si>
    <t>matushiroSeismologicalObs</t>
  </si>
  <si>
    <t>Matushiro Seismological Observatory</t>
  </si>
  <si>
    <t>Matushiro Seismological Observatory, Japan Meteorological Agency, Matushiro, Japan.</t>
  </si>
  <si>
    <t>May be designated as 'MAT'.</t>
  </si>
  <si>
    <t>memphisStateUniversity</t>
  </si>
  <si>
    <t>Memphis State University</t>
  </si>
  <si>
    <t>Center for Earthquake Research and Information, Memphis State University, Memphis, Tennessee.</t>
  </si>
  <si>
    <t>May be designated as 'TEC'.</t>
  </si>
  <si>
    <t>montanaBureauMinesGeology</t>
  </si>
  <si>
    <t>Montana Bureau of Mines and Geology</t>
  </si>
  <si>
    <t>Montana Bureau of Mines and Geology, Butte, Montana.</t>
  </si>
  <si>
    <t>May be designated as 'BU'.</t>
  </si>
  <si>
    <t>montanaCollegeMineralSci</t>
  </si>
  <si>
    <t>Montana College of Mineral Sciences and Technology</t>
  </si>
  <si>
    <t>Montana College of Mineral Sciences and Technology, Butte, Montana.</t>
  </si>
  <si>
    <t>May be designated as 'MMT'.</t>
  </si>
  <si>
    <t>moriHartzell_1990</t>
  </si>
  <si>
    <t>Mori and Hartzell: 1990</t>
  </si>
  <si>
    <t>Mori, Juim, and Hartzell, Stephen, 1990, Source inversion of the 1988 Upland, California, earthquake-Determination of a fault plane for a small event: Seismological Society of America Bulletin, v. 80, no. 3, p. 507-518.</t>
  </si>
  <si>
    <t>May be designated as 'MH'.</t>
  </si>
  <si>
    <t>nataliSbar_1982</t>
  </si>
  <si>
    <t>Natali and Sbar: 1982</t>
  </si>
  <si>
    <t>Natali, S.G., and Sbar, M.L., 1982, Seismicity in the epicenter region of the 1887 northeastern Sonoran earthquake, Mexico: Seismological Society of America Bulletin, v. 72, no. 1, p. 181-196.</t>
  </si>
  <si>
    <t>May be designated as 'NS'.</t>
  </si>
  <si>
    <t>newMexicoInstMiningTech</t>
  </si>
  <si>
    <t>New Mexico Institute of Mining and Technology</t>
  </si>
  <si>
    <t>New Mexico Institute of Mining and Technology, Socorro, New Mexico.</t>
  </si>
  <si>
    <t>May be designated as 'NMI'.</t>
  </si>
  <si>
    <t>noson_1988</t>
  </si>
  <si>
    <t>Noson: 1988</t>
  </si>
  <si>
    <t>Noson, L.L., Qamar, A., and Thorsen, G.W., 1988, Washington State earthquake hazards: Washington Division of Geology and Earth Resources, Information Circular 85, p. 22.</t>
  </si>
  <si>
    <t>May be designated as 'NQT'.</t>
  </si>
  <si>
    <t>nuttliEtAl_1977</t>
  </si>
  <si>
    <t>Nuttli, et al: 1977</t>
  </si>
  <si>
    <t>Nuttli, O.W., Bollinger, G.a., and Griffiths, D.W., 1979, On the relation between Modified Mercalli intensity and body-wave magnitude: Seismological Society of America Bulletin, v. 69, no. 3, p. 893-909.</t>
  </si>
  <si>
    <t>May be designated as 'NUT'.</t>
  </si>
  <si>
    <t>nuttli_1973</t>
  </si>
  <si>
    <t>Nuttli: 1973</t>
  </si>
  <si>
    <t>Nuttli, O.W., 1973, The Mississippi valley earthquakes of 1811 and 1812: Intensities, ground motion, and magnitudes: Seismological Society of America Bulletin, v. 63, no. 1, p. 227-248.</t>
  </si>
  <si>
    <t>May be designated as 'NU'.</t>
  </si>
  <si>
    <t>nuttli_1974</t>
  </si>
  <si>
    <t>Nuttli: 1974</t>
  </si>
  <si>
    <t>Nuttli, O.W., 1974, Magnatude-recurrence relation for Central Mississippi valley earthquakes: Seismological Society of America Bulletin, v. 64, no. 4, p. 1189-1207.</t>
  </si>
  <si>
    <t>May be designated as 'NTI'.</t>
  </si>
  <si>
    <t>nuttli_1979</t>
  </si>
  <si>
    <t>Nuttli: 1979</t>
  </si>
  <si>
    <t>Nuttli, O.W., 1979, Seismicity of the Central United States, geology in the siting of nuclear power plants: Geological Society of America, Reviews in Engineering Geology, v. 4, p. 67-107.</t>
  </si>
  <si>
    <t>May be designated as 'NTT'.</t>
  </si>
  <si>
    <t>nuttli_1983</t>
  </si>
  <si>
    <t>Nuttli: 1983</t>
  </si>
  <si>
    <t>Nuttli, O.W., 1983, Average seismic source-parameter relations for mid-plate earthquake: Seismological Society of America Bulletin, v. 73, no. 2, p. 519-535.</t>
  </si>
  <si>
    <t>May be designated as 'NLI'.</t>
  </si>
  <si>
    <t>nuttli_1987</t>
  </si>
  <si>
    <t>Nuttli: 1987</t>
  </si>
  <si>
    <t>Nuttli, O.W., 1987, The effects of earthquakes in the Central United States: Central United States Earthquake Consortium, Monograph Series, v. 1, 33p.</t>
  </si>
  <si>
    <t>May be designated as 'NTL'.</t>
  </si>
  <si>
    <t>oklahomaGeologicalSurvey</t>
  </si>
  <si>
    <t>Oklahoma Geological Survey</t>
  </si>
  <si>
    <t>Oklahoma Geophysical Observatory, Oklahoma Geological Survey, Leonard, Oklahoma.</t>
  </si>
  <si>
    <t>May be designated as 'TUL'.</t>
  </si>
  <si>
    <t>plafkerThatcher_1982</t>
  </si>
  <si>
    <t>Plafker and Thatcher: 1982</t>
  </si>
  <si>
    <t>Plafker, G., and Thatcher, W., 1982, Geological and Geophysical evaluation of the great 1899-1900 Yakutat Bay, Alaska, earthquakes [abs.], in: Coppersmith, K.J., and Schwartz, D.P., eds.: Chapman conference on fault behavior and the earthquake generation process, American Geophysical Union, p. 7.</t>
  </si>
  <si>
    <t>May be designated as 'PT'.</t>
  </si>
  <si>
    <t>qamarEtAl_1986</t>
  </si>
  <si>
    <t>Qamar, et al: 1986</t>
  </si>
  <si>
    <t>Qamar, A., Rathburn, A., Ludwin, R., Crosson, R.S., and Malone, S.D., 1986, Earthquake hypocenters in Washington and Northern Oregon-1980: Washington Division of Geology and Earth Resources, Information Circular 82, 64p.</t>
  </si>
  <si>
    <t>May be designated as 'QAM'.</t>
  </si>
  <si>
    <t>richter_1935</t>
  </si>
  <si>
    <t>Richter: 1935</t>
  </si>
  <si>
    <t>Richter, C.F., 1935, An instrumental earthquake magnitude scale: Seismological Society of America Bulletin, v. 25, no. 1, p. 1-32.</t>
  </si>
  <si>
    <t>May be designated as 'RIC'.</t>
  </si>
  <si>
    <t>richter_1958</t>
  </si>
  <si>
    <t>Richter: 1958</t>
  </si>
  <si>
    <t>Richter, C.F., 1958, Elementary seismology: San Francisco and London, W.H. Freeman and Company, 768p.</t>
  </si>
  <si>
    <t>May be designated as 'CFR'.</t>
  </si>
  <si>
    <t>rogers_1983</t>
  </si>
  <si>
    <t>Rogers: 1983</t>
  </si>
  <si>
    <t>Rogers, G.C., 1983, Seismotectonics of British Columbia: University of British Columbia, Canada, Phd. thesis, 247p.</t>
  </si>
  <si>
    <t>May be designated as 'ROG'.</t>
  </si>
  <si>
    <t>rothe_1969</t>
  </si>
  <si>
    <t>Rothe: 1969</t>
  </si>
  <si>
    <t>Rothe, J.P., 1969, The seismicity of the Earth: Paris, United Nations Educational, Scientific, and Cultural Organization, 336p.</t>
  </si>
  <si>
    <t>May be designated as 'ROT'.</t>
  </si>
  <si>
    <t>ruffEtAl_1985</t>
  </si>
  <si>
    <t>Ruff, et al: 1985</t>
  </si>
  <si>
    <t>Ruff, Larry, Kanamori, Hiroo, and Sykes, Lynn, 1985, The 1957 great Aleutian earthquake [abs.]: EOS, Transactions, American Geophysical Union, v. 66, no. 18, p. 298.</t>
  </si>
  <si>
    <t>May be designated as 'RK'.</t>
  </si>
  <si>
    <t>saintLouisUniversity</t>
  </si>
  <si>
    <t>Saint Louis University</t>
  </si>
  <si>
    <t>Saint Louis University, Saint Louis, MO.</t>
  </si>
  <si>
    <t>May be designated as 'SLM'.</t>
  </si>
  <si>
    <t>sanfordToppozada_1974</t>
  </si>
  <si>
    <t>Sanford and Toppozada: 1974</t>
  </si>
  <si>
    <t>Sanford, A.R., and Toppozada, T.R., 1974, Seismicity of proposed waste disposal site in southeastern New Mexico: New Mexico Bureau of Mines and Mineral Resources, Circular 153, 15p.</t>
  </si>
  <si>
    <t>May be designated as 'SAN'.</t>
  </si>
  <si>
    <t>schellRuff_1986</t>
  </si>
  <si>
    <t>Schell and Ruff: 1986</t>
  </si>
  <si>
    <t>Schell, M.M., and Ruff, L.J., 1986, Southeastern Alaska tectonics: Source process of the large 1972 Sitka earthquake [abs.]: EOS, Transactions, American Geophysical Union, v. 67, p. 304-305.</t>
  </si>
  <si>
    <t>May be designated as 'SR'.</t>
  </si>
  <si>
    <t>scholzEtAl_1986</t>
  </si>
  <si>
    <t>Scholz, et al: 1986</t>
  </si>
  <si>
    <t>Scholz, C.H., Aviles, C.A., and Wesnousky, S.G., 1986, Scaling differences between large interplate and intraplate earthquakes: Seismological Society of America Bulletin, v. 76, no. 1, p. 65-70.</t>
  </si>
  <si>
    <t>May be designated as 'SAW'.</t>
  </si>
  <si>
    <t>schwartzChristensen_1988</t>
  </si>
  <si>
    <t>Schwartz and Christensen: 1988</t>
  </si>
  <si>
    <t>Schwartz, S.Y., and Christensen, D.H., 1988, The 12 July 1986 St. Marys, Ohio, earthquake and recent seismicity in the Anna, Ohio, seismogenic zone: Seismological Society of America, Eastern Section, Seismological Research Letters, v. 59, no. 2, p. 57-62.</t>
  </si>
  <si>
    <t>May be designated as 'SZ'.</t>
  </si>
  <si>
    <t>slemmonsEtAl_1965</t>
  </si>
  <si>
    <t>Slemmons, et al: 1965</t>
  </si>
  <si>
    <t>Slemmons, D.B., Jones, A.E., and Gimlet, J.I., 1965, Catalog of Nevada earthquakes, 1852-1960: Seismological Society of America Bulletin, v. 55, no. 2, p. 519-565.</t>
  </si>
  <si>
    <t>May be designated as 'SJG'.</t>
  </si>
  <si>
    <t>somervilleEtAl_1987</t>
  </si>
  <si>
    <t>Somerville, et al: 1987</t>
  </si>
  <si>
    <t>Somerville, P.G., McLaren, J.P., Lafevre, L.V., Berger, R.W., and Heimberger, H.V., 1987, Comparison of source scaling relations of Eastern and Western North American earthquakes: Seismological Society of America Bulletin, v. 77, no. 2, p. 322-346.</t>
  </si>
  <si>
    <t>May be designated as 'SOM'.</t>
  </si>
  <si>
    <t>stoverCoffman_1993a</t>
  </si>
  <si>
    <t>Stover and Coffman: 1993a</t>
  </si>
  <si>
    <t>Stover, Carl W., and Coffman, Jerry L., 1993a, Seismicity of the United States, 1568-1989 (Revised): U.S. Geological Survey Professional Paper 1527, 418 p.</t>
  </si>
  <si>
    <t>May be designated as 'SC'.</t>
  </si>
  <si>
    <t>streetGreen_1984</t>
  </si>
  <si>
    <t>Street and Green: 1984</t>
  </si>
  <si>
    <t>Street, R.L., and Green, R.F., 1984, The historical seismicity of Central United States, 1811-1928: University of Kentucky Research Foundation, Lexington, Ky., 550 p.</t>
  </si>
  <si>
    <t>May be designated as 'SG'.</t>
  </si>
  <si>
    <t>streetTurcotte_1977</t>
  </si>
  <si>
    <t>Street and Turcotte: 1977</t>
  </si>
  <si>
    <t>Street, R.L., and Turcotte, F.T., 1977, A study of northeastern North America Spectral moments, magnitudes, and intensities: Seismological Society of America Bulletin, v. 67, no. 3, p. 599-614.</t>
  </si>
  <si>
    <t>May be designated as 'ST'.</t>
  </si>
  <si>
    <t>streetEtAl_1975</t>
  </si>
  <si>
    <t>Street, et al: 1975</t>
  </si>
  <si>
    <t>Street, R.L., Herrmann, R.B., and Nuttli, O.W., 1975, Special characteristics of the Lg wave generated by Central United States earthquakes: Geophysical Journal of Royal Astronomical Society, v. 41, p. 51-63.</t>
  </si>
  <si>
    <t>May be designated as 'STT'.</t>
  </si>
  <si>
    <t>street_1967</t>
  </si>
  <si>
    <t>Street: 1967</t>
  </si>
  <si>
    <t>Street, R.L., 1967, Scaling Northeastern United States/Southeastern Canadian earthquakes by their Lg waves: Seismological Society of America Bulletin, v. 66, no. 5, p. 1525-1537.</t>
  </si>
  <si>
    <t>May be designated as 'STR'.</t>
  </si>
  <si>
    <t>street_1982</t>
  </si>
  <si>
    <t>Street: 1982</t>
  </si>
  <si>
    <t>Street, R.L., 1982, A contribution to the documentation of the 1811-1812 Mississippi valley earthquake sequence: Seismological Society of America, Eastern Section, Earthquake Notes, v. 51, no. 2, p. 39-52.</t>
  </si>
  <si>
    <t>May be designated as 'SEE'.</t>
  </si>
  <si>
    <t>street_1984</t>
  </si>
  <si>
    <t>Street: 1984</t>
  </si>
  <si>
    <t>Street, R.L., 1984, Some recent Lg-phase displacement spectral densities and their implication with respect to the prediction of ground motions in Eastern North America: Seismological Society of America Bulletin, v. 74, no. 2, p. 757-762.</t>
  </si>
  <si>
    <t>May be designated as 'SRT'.</t>
  </si>
  <si>
    <t>street_1989</t>
  </si>
  <si>
    <t>Street: 1989</t>
  </si>
  <si>
    <t>Street, R.L., 1989, Personal communication, letter dated July 5, 1989.</t>
  </si>
  <si>
    <t>May be designated as 'SET'.</t>
  </si>
  <si>
    <t>taggartBaldwin_1982</t>
  </si>
  <si>
    <t>Taggart and Baldwin: 1982</t>
  </si>
  <si>
    <t>Taggart, James, and Baldwin, Frank, 1982, Earthquake sequence of 1938-1939 in Mogollen Mountains, New Mexico: New Mexico Geology, v. 4, no. 4, p. 49-52.</t>
  </si>
  <si>
    <t>May be designated as 'TAG'.</t>
  </si>
  <si>
    <t>thatcherHanks_1973</t>
  </si>
  <si>
    <t>Thatcher and Hanks: 1973</t>
  </si>
  <si>
    <t>Thatcher, W., and Hanks, T.C., 1973, Source parameters of southern California earthquakes: Journal of Geophysical Research, v. 78, no. 35, p. 8547-8576.</t>
  </si>
  <si>
    <t>May be designated as 'TH'.</t>
  </si>
  <si>
    <t>thatcherEtAl_1975</t>
  </si>
  <si>
    <t>Thatcher, et al: 1975</t>
  </si>
  <si>
    <t>Thatcher, W., Hileman, J.A., and Hanks, T.C.., 1975, Seismic slip distribution along the San Jacinto fault zone, southern California, and its implications: Geological Society of America Bulletin, v. 86, p. 1140-1146.</t>
  </si>
  <si>
    <t>May be designated as 'THH'.</t>
  </si>
  <si>
    <t>thatcher_1975</t>
  </si>
  <si>
    <t>Thatcher: 1975</t>
  </si>
  <si>
    <t>Thatcher, W., 1975, Strain accumulation and release mechanism of the 1906 San Francisco earthquake: Journal of Geophysical Research, v. 80, no. 35, p 4862-4880.</t>
  </si>
  <si>
    <t>May be designated as 'TW'.</t>
  </si>
  <si>
    <t>universityCalBerkeley</t>
  </si>
  <si>
    <t>University of California - Berkeley</t>
  </si>
  <si>
    <t>Seismographic Stations, University of California, Berkeley, California.</t>
  </si>
  <si>
    <t>May be designated as 'BRK'.</t>
  </si>
  <si>
    <t>universityConnecticut</t>
  </si>
  <si>
    <t>University of Connecticut</t>
  </si>
  <si>
    <t>University of Connecticut seismograph station, Groton, Conn.</t>
  </si>
  <si>
    <t>May be designated as 'CON'.</t>
  </si>
  <si>
    <t>universityHawaii</t>
  </si>
  <si>
    <t>University of Hawaii</t>
  </si>
  <si>
    <t>University of Hawaii, Honolulu, Hawaii.</t>
  </si>
  <si>
    <t>May be designated as 'UH'.</t>
  </si>
  <si>
    <t>universityMichigan</t>
  </si>
  <si>
    <t>University of Michigan</t>
  </si>
  <si>
    <t>University of Michigan, Ann Arbor, Michigan.</t>
  </si>
  <si>
    <t>May be designated as 'AAM'.</t>
  </si>
  <si>
    <t>universityMontana</t>
  </si>
  <si>
    <t>University of Montana</t>
  </si>
  <si>
    <t>University of Montana, Missoula, Montana.</t>
  </si>
  <si>
    <t>May be designated as 'MSO'.</t>
  </si>
  <si>
    <t>universityNevadaReno</t>
  </si>
  <si>
    <t>University of Nevada - Reno</t>
  </si>
  <si>
    <t>Mackay School of Mines, University of Nevada - Reno, Reno, Nevada.</t>
  </si>
  <si>
    <t>May be designated as 'REN'.</t>
  </si>
  <si>
    <t>universityUppsala</t>
  </si>
  <si>
    <t>University of Uppsala</t>
  </si>
  <si>
    <t>Uppsala Seismograph Station, University of Uppsala, Sweden.</t>
  </si>
  <si>
    <t>May be designated as 'UPP'.</t>
  </si>
  <si>
    <t>universityUtah</t>
  </si>
  <si>
    <t>University of Utah</t>
  </si>
  <si>
    <t>Seismograph Stations, University of Utah, Salt Lake City, Utah.</t>
  </si>
  <si>
    <t>May be designated as 'UU'.</t>
  </si>
  <si>
    <t>universityWashington</t>
  </si>
  <si>
    <t>University of Washington</t>
  </si>
  <si>
    <t>University of Washington, Seattle, Washington.</t>
  </si>
  <si>
    <t>May be designated as 'WAS'.</t>
  </si>
  <si>
    <t>usgsGolden</t>
  </si>
  <si>
    <t>USGS - Golden</t>
  </si>
  <si>
    <t>U.S. Geological Survey, Golden, CO.</t>
  </si>
  <si>
    <t>May be designated as 'GS'.</t>
  </si>
  <si>
    <t>usgsMenloPark</t>
  </si>
  <si>
    <t>USGS - Menlo Park</t>
  </si>
  <si>
    <t>U.S. Geological Survey, Menlo Park, CA.</t>
  </si>
  <si>
    <t>May be designated as 'GM'.</t>
  </si>
  <si>
    <t>usgsPasadena</t>
  </si>
  <si>
    <t>USGS - Pasadena</t>
  </si>
  <si>
    <t>U.S. Geological Survey, Pasadena, CA.</t>
  </si>
  <si>
    <t>May be designated as 'GP'.</t>
  </si>
  <si>
    <t>victoriaGeophysicalObs</t>
  </si>
  <si>
    <t>Victoria Geophysical Observatory</t>
  </si>
  <si>
    <t>Victoria Geophysical Observatory, Victoria, B.C., Canada.</t>
  </si>
  <si>
    <t>May be designated as 'VIC'.</t>
  </si>
  <si>
    <t>virginiaPolyInstitute</t>
  </si>
  <si>
    <t>Virginia Polytechnic Institute</t>
  </si>
  <si>
    <t>Seismological Observatory, Virginia Polytechnic Institute and State University, Blacksburg, VA.</t>
  </si>
  <si>
    <t>May be designated as 'BLA'.</t>
  </si>
  <si>
    <t>wallace_1984</t>
  </si>
  <si>
    <t>Wallace: 1984</t>
  </si>
  <si>
    <t>Wallace, R.E., 1984, Fault scarps formed during the earthquakes of October 2, 1915, in Pleasant Valley, Nevada and some tectonic implications, in: Faulting related to the 1915 earthquakes in Pleasant Valley, Nevada: U.S. Geological Survey Professional Paper 1274-A, p. A1-A33.</t>
  </si>
  <si>
    <t>May be designated as 'WAL'.</t>
  </si>
  <si>
    <t>webbKanamori_1985</t>
  </si>
  <si>
    <t>Webb and Kanamori: 1985</t>
  </si>
  <si>
    <t>Webb, T.H., and Kanamori, Hiroo, 1985, Earthquake focal mechanism in the Eastern Transverse Ranges and San Emigdio Mountains, southern California, and evidence for a regional decollement: Seismological Society of America Bulletin, v. 75, no. 3, p 737-757.</t>
  </si>
  <si>
    <t>May be designated as 'WK'.</t>
  </si>
  <si>
    <t>wood_1947</t>
  </si>
  <si>
    <t>Wood: 1947</t>
  </si>
  <si>
    <t>Wood, H.O., 1947, Earthquakes in southern California with geologic relations: Seismological Society of America Bulletin. v. 37, no. 3, p. 217-258.</t>
  </si>
  <si>
    <t>May be designated as 'WOO'.</t>
  </si>
  <si>
    <t>wyssBrune_1968</t>
  </si>
  <si>
    <t>Wyss and Brune: 1968</t>
  </si>
  <si>
    <t>Wyss, Max, and Brune, J.N., 1968, Seismic moment, stress, and source dimensions for earthquakes in the California-Nevada region: Journal of Geophysical Research, v. 73, no. 4, p. 4681-1694.</t>
  </si>
  <si>
    <t>May be designated as 'WYS'.</t>
  </si>
  <si>
    <t>wyssKoyanagi_1992</t>
  </si>
  <si>
    <t>Wyss and Koyanagi: 1992</t>
  </si>
  <si>
    <t>Wyss, Max, and Koyanagi, Robert,1992, Isoseismal maps, macroseismic epicenters and estimated magnitudes of historical earthquakes in the Hawaiian Islands: U.S. Geological Survey Bulletin.</t>
  </si>
  <si>
    <t>May be designated as 'WY'.</t>
  </si>
  <si>
    <t>yellinPatton_1991</t>
  </si>
  <si>
    <t>Yellin and Patton: 1991</t>
  </si>
  <si>
    <t>Yellin, T.S., and Patton, H.J., 1991, Seismotectonics of the Portland, Oregon, region: Seismological Society of America Bulletin, v. 81, no. 1, p. 109-130.</t>
  </si>
  <si>
    <t>May be designated as 'YP'.</t>
  </si>
  <si>
    <t>yellin_1991</t>
  </si>
  <si>
    <t>Yellin: 1991</t>
  </si>
  <si>
    <t>Yellin, Tom, 1991, University of Washington, personal communication.</t>
  </si>
  <si>
    <t>May be designated as 'YEL'.</t>
  </si>
  <si>
    <t>The computed value is the body-wave magnitude.</t>
  </si>
  <si>
    <t>A body-wave is a seismic wave that travels into and through the Earth's inner layers. Its magnitude is quantified using a base-10 logarithmic scale based on the ratio of the amplitude of ground motion to its period, corrected by a factor that is a function of the distance from the point of measurement to the earthquake epicenter and the focal depth of the earthquake. The U.S. Geological Survey computes body-wave values based on a seismic-wave period greater than or equal to 0.1 and less than or equal to 3.0 seconds, and whose distance is greater than or equal to 5 geocentric arc degrees. May be designated as 'mb'.</t>
  </si>
  <si>
    <t>durationMagnitude</t>
  </si>
  <si>
    <t>Duration Magnitude</t>
  </si>
  <si>
    <t>The estimated value is the duration magnitude.</t>
  </si>
  <si>
    <t>The estimated magnitude is derived from the duration or coda length of earthquake vibrations. The duration magnitude formulas vary for different geographic regions and for different seismographic instruments. Duration or coda length magnitude scales are normally adjusted to agree with local magnitude, or local or regional magnitude, estimates. May be designated as 'MD' or 'CL'.</t>
  </si>
  <si>
    <t>energyMagnitude</t>
  </si>
  <si>
    <t>Energy Magnitude</t>
  </si>
  <si>
    <t>The computed value is the energy magnitude.</t>
  </si>
  <si>
    <t>The magnitude is computed from the radiated energy using the method described in Choy and Boatwright (1995). The energy radiated by an earthquake is estimated from the energy spectral density of the broadband P waves (Boatwright and Choy, 1986). The energy magnitude can complement moment magnitudes in describing the size of an earthquake. The energy magnitude, being derived from velocity power spectra, is a measure of the amount of damage that could be caused. The moment magnitude, being derived from low-frequency asymptote of displacement spectra, is more physically related to the final static displacement of an earthquake. May be designated as 'Me'.</t>
  </si>
  <si>
    <t>feltAreaMagnitude</t>
  </si>
  <si>
    <t>Felt Area Magnitude</t>
  </si>
  <si>
    <t>The estimated value is the felt area magnitude.</t>
  </si>
  <si>
    <t>The estimated magnitude is based on isoseismal maps or defined areas using intensity-attenuation relationships, and is compatible with an estimated body-wave magnitude. The felt area magnitude is commonly computed from the felt area for earthquakes which occurred before seismic instruments were in general use. May be designated as 'FA' or 'MI'.</t>
  </si>
  <si>
    <t>localMagnitude</t>
  </si>
  <si>
    <t>Local Magnitude</t>
  </si>
  <si>
    <t>The computed value is the local magnitude.</t>
  </si>
  <si>
    <t>Generally referred to as the true 'Richter magnitude' (originally defined for California), it is a base-10 logarithmic scale obtained by calculating the logarithm of the combined horizontal amplitude of the largest displacement from zero on a Wood-Anderson torsion seismometer output. The U.S. Geological Survey (USGS) computes local magnitude values for distances less than 600 kilometres from the epicenter with focal depths less than 70 kilometres; local magnitudes are computed by the USGS in the western part of the United States as well as world-wide, often using different calibrating functions. May be designated as 'ML'.</t>
  </si>
  <si>
    <t>Richter Magnitude</t>
  </si>
  <si>
    <t>localRegionalMagnitude</t>
  </si>
  <si>
    <t>Local or Regional Magnitude</t>
  </si>
  <si>
    <t>The computed value is the local or regional magnitude.</t>
  </si>
  <si>
    <t>The magnitude is the body-wave magnitude computed from the vertical component 1-second short-period surface seismic waves. The U.S. Geological Survey (USGS) computes local or regional magnitude values for the area of North America east of the Rocky Mountains; these are also computed by the USGS in other parts of the world, using different calibrating functions. May be designated as 'Mn' or 'mbLg'.</t>
  </si>
  <si>
    <t>momentMagnitude</t>
  </si>
  <si>
    <t>Moment Magnitude</t>
  </si>
  <si>
    <t>The computed value is the moment magnitude.</t>
  </si>
  <si>
    <t>The moment magnitude is computed from a long-period body- and mantle-wave moment tensor inversion method; it is also related to the product of the area of the earthquake fault, multiplied by the average fault slip over that area and by the shear modulus of the fault rocks. The moment magnitude value is approximately the same as the surface-wave magnitude value. May be designated as 'MW' or 'Mw'.</t>
  </si>
  <si>
    <t>The computed value is the surface-wave magnitude.</t>
  </si>
  <si>
    <t>A surface-wave is a seismic wave that is constrained to follow the natural wave guide of the Earth's uppermost layers. Its magnitude is quantified using a base-10 logarithmic scale based on the ratio of the amplitude of ground motion to its period, corrected by a factor that is a function of the distance from the point of measurement to the earthquake epicenter. The U.S. Geological Survey (USGS) computes surface wave magnitudes for earthquakes that are located at distances between 20 and 160 geocentric arc degrees from the recording station, have a seismic-wave period between 18 and 22 seconds, and whose depth is less than 50 kilometres (generally surface-wave magnitudes are not computed by the USGS for depths greater than 50 kilometres). May be designated as 'Ms'.</t>
  </si>
  <si>
    <t>agricultural</t>
  </si>
  <si>
    <t>Agricultural</t>
  </si>
  <si>
    <t>Reserved for agricultural reclamation and/or development.</t>
  </si>
  <si>
    <t>hunting</t>
  </si>
  <si>
    <t>Hunting</t>
  </si>
  <si>
    <t>Reserved primarily for hunting.</t>
  </si>
  <si>
    <t>palmTree</t>
  </si>
  <si>
    <t>Palm Tree</t>
  </si>
  <si>
    <t>Reserved for the controlled use of palm trees.</t>
  </si>
  <si>
    <t>energyControlRegion</t>
  </si>
  <si>
    <t>Energy Control Region</t>
  </si>
  <si>
    <t>A territorial region within which a common automatic control scheme is applied in order to match electric power generation and imports with electric power demand and exports.</t>
  </si>
  <si>
    <t>independentSysOpRegion</t>
  </si>
  <si>
    <t>Independent System Operator Region</t>
  </si>
  <si>
    <t>A territorial region within which the electrical grid is managed by an Independent System Operator.</t>
  </si>
  <si>
    <t>An Independent System Operator (ISO) is an organization formed at the direction or recommendation of the U.S. Federal Energy Regulatory Commission (FERC). In the areas where an ISO is established, it coordinates, controls and monitors the operation of the electrical power system, usually within a single U.S. state, but sometimes encompassing multiple states. Only electric utilities that are located within the United States fall under FERC authority, but the larger North American Electric Reliability Corporation (NERC) organization overlays the entire FERC footprint and also includes a Mexican utility and several Canadian utilities.</t>
  </si>
  <si>
    <t>nercRegion</t>
  </si>
  <si>
    <t>NERC Region</t>
  </si>
  <si>
    <t>A territorial region within which the North American Electric Reliability Corporation (NERC) delegates authority to a separate entity for ensuring the reliability of the bulk electric power system.</t>
  </si>
  <si>
    <t>The NERC is a self-regulatory organization, subject to oversight by the U.S. Federal Energy Regulatory Commission (FERC) and governmental authorities in Canada. It oversees eight regional reliability entities and encompasses all of the interconnected power systems of the contiguous United States, Canada and a portion of Baja California in Mexico. The principal responsibilities of the NERC include the development and enforcement of reliability standards; annual reliability assessments via 10-year and seasonal forecasts; monitoring of the bulk electric power system; and educating, training, and certifying industry personnel.</t>
  </si>
  <si>
    <t>nercSubregion</t>
  </si>
  <si>
    <t>NERC Subregion</t>
  </si>
  <si>
    <t>An administrative subregion within a North American Electric Reliability Corporation (NERC) Region.</t>
  </si>
  <si>
    <t>serviceTerritory</t>
  </si>
  <si>
    <t>Service Territory</t>
  </si>
  <si>
    <t>A service area of an electric power company.</t>
  </si>
  <si>
    <t>May be established through retail and/or commercial electricity sales reported to the Energy Information Administration (EIA) of the U.S. Department of Energy.</t>
  </si>
  <si>
    <t>accurate</t>
  </si>
  <si>
    <t>Accurate</t>
  </si>
  <si>
    <t>Meets specified accuracy requirements.</t>
  </si>
  <si>
    <t>approximate</t>
  </si>
  <si>
    <t>Approximate</t>
  </si>
  <si>
    <t>Fails to meet specified accuracy requirements but is deemed sufficiently accurate for some uses.</t>
  </si>
  <si>
    <t>inlandWater</t>
  </si>
  <si>
    <t>Inland Water</t>
  </si>
  <si>
    <t>The surface of an inland area permanently covered by water, but not significantly affected by tides.</t>
  </si>
  <si>
    <t>For example, a lake, a pond, or a reservoir.</t>
  </si>
  <si>
    <t>land</t>
  </si>
  <si>
    <t>Land</t>
  </si>
  <si>
    <t>The ground surface of an area not usually covered by water, snow, and/or ice.</t>
  </si>
  <si>
    <t>May be bare or sustain a cover of vegetation.</t>
  </si>
  <si>
    <t>snowIceField</t>
  </si>
  <si>
    <t>The surface of an area permanently covered by snow and/or ice.</t>
  </si>
  <si>
    <t>May cover land (for example: a glacier or polar ice) and/or water (for example: an ice shelf).</t>
  </si>
  <si>
    <t>tidalWater</t>
  </si>
  <si>
    <t>The surface of an area of water whose level changes periodically due to tidal action.</t>
  </si>
  <si>
    <t>For example, a sea or an ocean.</t>
  </si>
  <si>
    <t>vegetation</t>
  </si>
  <si>
    <t>Vegetation</t>
  </si>
  <si>
    <t>The upper surface of a vegetated area.</t>
  </si>
  <si>
    <t>The surface generally approximates the top of the vegetation canopy, for example the tops of trees, shrubs, or grasses.</t>
  </si>
  <si>
    <t>divider</t>
  </si>
  <si>
    <t>Divider</t>
  </si>
  <si>
    <t>An artificial embankment subdividing a waterbody (for example: a pond, a lake, and/or a rice paddy).</t>
  </si>
  <si>
    <t>dyke</t>
  </si>
  <si>
    <t>Dyke</t>
  </si>
  <si>
    <t>An artificial embankment to contain or hold back water.</t>
  </si>
  <si>
    <t>Dike</t>
  </si>
  <si>
    <t>fill</t>
  </si>
  <si>
    <t>Fill</t>
  </si>
  <si>
    <t>A raised section of terrain intended to level a sloped area.</t>
  </si>
  <si>
    <t>For example, to support a portion of a roadbed on the side of a mountain. Also used to describe an embankment to fill or traverse a gully or hollow.</t>
  </si>
  <si>
    <t>levee</t>
  </si>
  <si>
    <t>Levee</t>
  </si>
  <si>
    <t>A natural low embankment bordering a distributary or meandering stream that may subsequently be built up artificially to control floods.</t>
  </si>
  <si>
    <t>mound</t>
  </si>
  <si>
    <t>Mound</t>
  </si>
  <si>
    <t>A raised long mound of earth or other material.</t>
  </si>
  <si>
    <t>Raised above the surrounding terrain on both sides.</t>
  </si>
  <si>
    <t>radIngestionExposure</t>
  </si>
  <si>
    <t>Radionuclide Ingestion Exposure</t>
  </si>
  <si>
    <t>A region (for example: surrounding around a nuclear power station) for which plans are developed for public protection in the event of a radiologic accident leading to the release into the environment of radionuclides in forms (for example: water-borne) amenable to later ingestion by the local populace.</t>
  </si>
  <si>
    <t>The zone typically covers an approximately 80 kilometre (50 statute mile) radius around the source of the potential release.</t>
  </si>
  <si>
    <t>radPlumeExposure</t>
  </si>
  <si>
    <t>Radionuclide Plume Exposure</t>
  </si>
  <si>
    <t>A region (for example: surrounding around a nuclear power station) for which plans are developed for public protection in the event of a radiologic accident leading to the release into the environment of a plume of air-borne radionuclides.</t>
  </si>
  <si>
    <t>The radionuclides may affect the local populace through subsequent inhalation, absorption through the skin, or entry through an open wound. The zone typically covers an approximately 16 kilometre (10 statute mile) radius around the source of the potential release.</t>
  </si>
  <si>
    <t>bulldozer</t>
  </si>
  <si>
    <t>Bulldozer</t>
  </si>
  <si>
    <t>A tractor, usually on tracks but sometimes wheeled, that is equipped with a large, heavy metal blade attached to its front end with hydraulic-controlled arms.</t>
  </si>
  <si>
    <t>Bulldozers are used to push, shape, or move soil, sand, rubble, rocks or for clearing ground.</t>
  </si>
  <si>
    <t>A machine commonly employing a projecting swinging arm or beam and equipped with a hoist, wire ropes or chains used for raising, lowering or moving materials horizontally.</t>
  </si>
  <si>
    <t>crashTruck</t>
  </si>
  <si>
    <t>Crash Truck</t>
  </si>
  <si>
    <t>A specially designed firefighting truck equipped to rescue victims of an air crash at an aerodrome.</t>
  </si>
  <si>
    <t>Crash trucks are designed for speed and off-road performance. They carry water and other fire extinguishing agents to contain any fire until additional resources can arrive at the crash scene.</t>
  </si>
  <si>
    <t>demolitionVehicle</t>
  </si>
  <si>
    <t>Demolition Vehicle</t>
  </si>
  <si>
    <t>A vehicle that is equipped with shears or other apparatus designed to break damaged vehicles into smaller more manageable parts or pieces in order to allow for their transport, storage, salvage, and/or disposal.</t>
  </si>
  <si>
    <t>fireEngine</t>
  </si>
  <si>
    <t>Fire Engine</t>
  </si>
  <si>
    <t>A type of multi-purpose vehicle used for carrying personnel and equipment to fires, rescues and other emergency situations.</t>
  </si>
  <si>
    <t>Fire Apparatus, Fire Truck, Fire Appliance</t>
  </si>
  <si>
    <t>frontEndLoader</t>
  </si>
  <si>
    <t>Front End Loader</t>
  </si>
  <si>
    <t>A type of tractor, usually wheeled but sometimes on tracks, that is equipped with a scoop or bucket fixed to its front end, having a pair of lift-arm assemblies that raise, lower or tilt the bucket.</t>
  </si>
  <si>
    <t>A front-end loader is used in earth-moving and loading operations and in handling stockpiled materials. They are also commonly used to remove snow.</t>
  </si>
  <si>
    <t>salvageTrailer</t>
  </si>
  <si>
    <t>Salvage Trailer</t>
  </si>
  <si>
    <t>An unpowered vehicle designed to be towed and used for transporting wreckage from a crash site to another location.</t>
  </si>
  <si>
    <t>Wreckage may also be stored on the trailer.</t>
  </si>
  <si>
    <t>snowRemovalVehicle</t>
  </si>
  <si>
    <t>Snow Removal Vehicle</t>
  </si>
  <si>
    <t>A vehicle that is equipped with an implement, such as a blade or snow blower, which removes snow and/or ice from a transportation surface, such as a road, runway or taxiway, by either pushing or blowing it aside.</t>
  </si>
  <si>
    <t>towingTractor</t>
  </si>
  <si>
    <t>Towing Tractor</t>
  </si>
  <si>
    <t>A vehicle that is used to maneuver an aircraft on the ground by towing or pushing when the aircraft is not operating under its own power.</t>
  </si>
  <si>
    <t>jetEngineDismounted</t>
  </si>
  <si>
    <t>Jet Engine Dismounted</t>
  </si>
  <si>
    <t>An all-weather facility used for the performance testing of a dismounted jet engine that includes an augmenter tube and an overall enclosure designed to minimize noise exposure by test personnel and others in the vicinity.</t>
  </si>
  <si>
    <t>The facility acts as a large fluid-driven pump. Engine exhaust gases, leaving the nozzle as a high-velocity, high-temperature, relatively small diameter jet, are directed into the augmenter tube. An expanding shear layer develops around the jet, pulling along a layer of cool ambient air. Momentum and energy are transferred to this augmentation air, decreasing the velocity and temperature of the jet. The overall structure generally consists of an intake stack, a test enclosure, the blast augmenter tube and an exhaust ramp and/or stack.</t>
  </si>
  <si>
    <t>Jet Engine Test Cell</t>
  </si>
  <si>
    <t>jetEngineMounted</t>
  </si>
  <si>
    <t>Jet Engine Mounted</t>
  </si>
  <si>
    <t>An all-weather noise-abatement facility for conducting ground run-up testing of installed jet engines and/or making final adjustments and tuning the engines after overhauls.</t>
  </si>
  <si>
    <t>It consists of a tall hangar with sound-proof walls that may contain either the entire aircraft (in the case of wing-mounted engines) or just the tail section (in the case of tail-mounted engines). Prominently placed are multiple stacks (chimneys) for air inlet and exhaust; there may be additional horizontal tube-exhausts along the rear wall. The exhaust stacks and/or tubes contain sound-silencers and they are linked to augmenter tubes placed behind the jet engine(s) being tested in order to gather all exhausts.</t>
  </si>
  <si>
    <t>Hush House</t>
  </si>
  <si>
    <t>rocketEngineHorizontal</t>
  </si>
  <si>
    <t>Rocket Engine Horizontal</t>
  </si>
  <si>
    <t>A structure, usually open-air, for testing the performance of a horizontally mounted rocket engine.</t>
  </si>
  <si>
    <t>The structure is sufficient to mount the engine (for example: a solid-fuel booster) and safely direct the exhaust. There may be a concrete pan to provide a degree of protection to the local surface. In the case of a liquid-fueled engine there may be associated small tanks containing fuel and oxidizer. In some cases the entire structure may consist of a shed with a side that is either permanently or temporarily opened during testing.</t>
  </si>
  <si>
    <t>Rocket Test Stand</t>
  </si>
  <si>
    <t>rocketEngineUpright</t>
  </si>
  <si>
    <t>Rocket Engine Upright</t>
  </si>
  <si>
    <t>An open-air structure for testing the performance of an upright (vertically mounted) rocket engine that includes a blast deflector and/or cooling mechanisms (for example: water sprays) to handle the substantial amount of high-temperature exhaust gases produced during operation.</t>
  </si>
  <si>
    <t>The structure is usually associated with substantial liquid fuel (for example: liquid hydrogen or kerosene) and oxidant (for example: liquid oxygen) tanks and associated pipes. It is typically located distant from centers of population due to the intense sound produced during test firing.</t>
  </si>
  <si>
    <t>battery</t>
  </si>
  <si>
    <t>Battery</t>
  </si>
  <si>
    <t>A site serving as an emplacement for one or more pieces of artillery.</t>
  </si>
  <si>
    <t>militaryParapet</t>
  </si>
  <si>
    <t>Military Parapet</t>
  </si>
  <si>
    <t>A wall-like barrier at the edge or along the top of a earthen structure built for defensive purposes and normally pierced to provide protected sites for the discharge of defensive projectiles.</t>
  </si>
  <si>
    <t>militaryTrench</t>
  </si>
  <si>
    <t>Military Trench</t>
  </si>
  <si>
    <t>A trench dug for military purposes.</t>
  </si>
  <si>
    <t>For example: to be used as a line of firing positions for hand-held weapons or as a means of personnel movement that provides cover and concealment.</t>
  </si>
  <si>
    <t>rampart</t>
  </si>
  <si>
    <t>Rampart</t>
  </si>
  <si>
    <t>A defensive wall consisting of a low earthen embankment topped by a parapet or palisade.</t>
  </si>
  <si>
    <t>redoubt</t>
  </si>
  <si>
    <t>Redoubt</t>
  </si>
  <si>
    <t>An enclosed, usually square or polygonal, outwork or fieldwork with little or no flanking defences.</t>
  </si>
  <si>
    <t>It is located outside of a larger defensive installation (for example: a fort) and is used to protect soldiers located outside of the main line of defence.</t>
  </si>
  <si>
    <t>lightDamage_EF0</t>
  </si>
  <si>
    <t>EF0 - Light Damage</t>
  </si>
  <si>
    <t>Estimated three-second gust (peak momentary) wind speed of 65-85 statute miles per hour.</t>
  </si>
  <si>
    <t>Individual damage indicators and their corresponding degree of damage (with photographs) in this gust wind speed range are specified in 'A Recommendation for an ENHANCED FUJITA SCALE (EF-Scale)', Wind Science and Engineering Center, Texas Tech University, June 2004.</t>
  </si>
  <si>
    <t>moderateDamage_EF1</t>
  </si>
  <si>
    <t>EF1 - Moderate Damage</t>
  </si>
  <si>
    <t>Estimated three-second gust (peak momentary) wind speed of 86-110 statute miles per hour.</t>
  </si>
  <si>
    <t>considerableDamage_EF2</t>
  </si>
  <si>
    <t>EF2 - Considerable Damage</t>
  </si>
  <si>
    <t>Estimated three-second gust (peak momentary) wind speed of 111-135 statute miles per hour.</t>
  </si>
  <si>
    <t>severeDamage_EF3</t>
  </si>
  <si>
    <t>EF3 - Severe Damage</t>
  </si>
  <si>
    <t>Estimated three-second gust (peak momentary) wind speed of 136-165 statute miles per hour.</t>
  </si>
  <si>
    <t>devastatingDamage_EF4</t>
  </si>
  <si>
    <t>EF4 - Devastating Damage</t>
  </si>
  <si>
    <t>Estimated three-second gust (peak momentary) wind speed of 166-200 statute miles per hour.</t>
  </si>
  <si>
    <t>incredibleDamage_EF5</t>
  </si>
  <si>
    <t>EF5 - Incredible Damage</t>
  </si>
  <si>
    <t>Estimated three-second gust (peak momentary) wind speed exceeding 200 statute miles per hour.</t>
  </si>
  <si>
    <t>gidiFeatIdentifier</t>
  </si>
  <si>
    <t>A numeric identifier used to relate a feature instance to additional information about that feature instance that may be presented along the margin (outside the neat line) of a map or chart sheet on which that feature instance is portrayed.</t>
  </si>
  <si>
    <t>The scope of uniqueness may only be within the map or chart sheet. An integer value usually starting with '1' and increasing until all relevant portrayed feature instances on the map or chart sheet have been uniquely identified.</t>
  </si>
  <si>
    <t>verticalObstIdentifier</t>
  </si>
  <si>
    <t>curtainVerticalLift</t>
  </si>
  <si>
    <t>Curtain Vertical Lift</t>
  </si>
  <si>
    <t>A set of horizontal panels that are linked (for example: hinged) together, hang from the top of the opening, and which ascend and descend from an overhead track.</t>
  </si>
  <si>
    <t>The track is normally located on the inward side of the opening.</t>
  </si>
  <si>
    <t>hinged</t>
  </si>
  <si>
    <t>Hinged</t>
  </si>
  <si>
    <t>Hinged and swings open and closed either horizontally or vertically in one direction but not in the other (for example: outwards only).</t>
  </si>
  <si>
    <t>sliding</t>
  </si>
  <si>
    <t>Sliding</t>
  </si>
  <si>
    <t>Slides open and closed on rollers, tracks, or rails running parallel to the opening.</t>
  </si>
  <si>
    <t>swing</t>
  </si>
  <si>
    <t>Swing</t>
  </si>
  <si>
    <t>Double hinged and swings open and closed in either the inwards or outwards direction.</t>
  </si>
  <si>
    <t>caveMouth</t>
  </si>
  <si>
    <t>An opening of a cave into a larger space (for example: onto the terrain surface).</t>
  </si>
  <si>
    <t>A cave may consist of an interconnected series of subterranean chambers and often opens to the Earth's surface (either vertically or horizontally).</t>
  </si>
  <si>
    <t>tunnelMouth</t>
  </si>
  <si>
    <t>An opening of a tunnel into a larger space (for example: onto the terrain surface).</t>
  </si>
  <si>
    <t>coastalStorm</t>
  </si>
  <si>
    <t>Coastal Storm</t>
  </si>
  <si>
    <t>The feature is a portion of a route designated for use during emergency evacuation in advance of an approaching cyclonic storm that is predicted to make imminent landfall.</t>
  </si>
  <si>
    <t>For example, along the United States Gulf Coast, hurricane evacuation routes lead north for up to hundreds of miles to the safest major city; along the Atlantic Coast, routes lead west. Hurricane evacuation routes may be marked with distinctive blue signs that indicate the correct direction of use. During mass evacuations, all lanes of such routes may be used to flow north or west (as appropriate), a procedure known as contraflow (in the lanes that normally flow in the other direction).</t>
  </si>
  <si>
    <t>Hurricane, Tropical Cyclone, Typhoon</t>
  </si>
  <si>
    <t>fire</t>
  </si>
  <si>
    <t>Fire</t>
  </si>
  <si>
    <t>The feature is a portion of a route designated for use during emergency evacuation either during a structure fire or in advance of an approaching wildland fire.</t>
  </si>
  <si>
    <t>In the case of structural fires such routes use stairwells for descent to ground level and typically terminate at a well-known location where efforts can be made to determine whether all potential occupants have safely exited the structure. Routes used to escape approaching wildland fires will vary based on topography, weather and fire-front conditions; in general they lead away from forested areas.</t>
  </si>
  <si>
    <t>flood</t>
  </si>
  <si>
    <t>Flood</t>
  </si>
  <si>
    <t>The feature is a portion of a route designated for use during emergency evacuation in anticipation of flooding.</t>
  </si>
  <si>
    <t>Such routes lead to higher ground, often to temporary public facilities where evacuees may be housed until floodwaters recede.</t>
  </si>
  <si>
    <t>nonEmergencyRoute</t>
  </si>
  <si>
    <t>Non-emergency Route</t>
  </si>
  <si>
    <t>The feature is not a portion of a route designated for use during emergency evacuation.</t>
  </si>
  <si>
    <t>nuclear</t>
  </si>
  <si>
    <t>Nuclear</t>
  </si>
  <si>
    <t>The feature is a portion of a route designated for use during emergency evacuation in the event of an accident at a nuclear facility likely to result in release of radionuclides into the environment.</t>
  </si>
  <si>
    <t>In addition to leading away from the site of the nuclear facility, such routes often take into consideration the prevailing winds and attempt to avoid the potential downwind plume resulting from an atmospheric radionuclide release.</t>
  </si>
  <si>
    <t>Radiologic</t>
  </si>
  <si>
    <t>A feature whose existence has been confirmed by a trusted source.</t>
  </si>
  <si>
    <t>doubtful</t>
  </si>
  <si>
    <t>Doubtful</t>
  </si>
  <si>
    <t>A feature whose existence has been reported and was not able to be confirmed, but which is assumed to be present for reasons of safety.</t>
  </si>
  <si>
    <t>reported</t>
  </si>
  <si>
    <t>Reported</t>
  </si>
  <si>
    <t>A feature whose existence has been reported but not confirmed.</t>
  </si>
  <si>
    <t>areaStripMine</t>
  </si>
  <si>
    <t>Area Strip-mine</t>
  </si>
  <si>
    <t>The surface material is removed in successive parallel strips to expose the mineral, the spoil from each new strip being placed in the previously excavated one.</t>
  </si>
  <si>
    <t>They are used in generally flat terrain and are commenced with a trench or 'box cut' made through the overburden to expose a portion of the mineral seam. This trench is extended, in a series of cuts 30 to 60 metres wide, to the limits of the property in the strike direction. After mineral removal, a second cut is made parallel to the first one, and the overburden material from this cut is placed in the void of the first cut. The process is repeated in successive parallel cuts until the stripping ratio indicates that continued surface mining is uneconomical.</t>
  </si>
  <si>
    <t>belowSurface</t>
  </si>
  <si>
    <t>Below Surface</t>
  </si>
  <si>
    <t>A mine reached by shafts bored from the surface.</t>
  </si>
  <si>
    <t>The shafts may be at any slope, including both vertical and horizontal.</t>
  </si>
  <si>
    <t>borrowPit</t>
  </si>
  <si>
    <t>Borrow-pit</t>
  </si>
  <si>
    <t>An excavation of soil for the sole purpose of fill material such as road and/or dam construction or for backfill material.</t>
  </si>
  <si>
    <t>contourStripMine</t>
  </si>
  <si>
    <t>Contour Strip-mine</t>
  </si>
  <si>
    <t>The surface material is removed in a strip along the side of a hill to expose the mineral.</t>
  </si>
  <si>
    <t>They are used where a mineral seam outcrops in rolling or hilly terrain. The method consists of removing the overburden above the mineral seam and then, starting at the outcrop and proceeding along the hillside, creating a bench around the hill. In the past, the blasted overburden spoil was simply shoved down the hill; currently, soil is either carried down the mountain to fill a chosen valley in horizontal layers or is replaced on the working bench itself in places where the mineral has been removed. If the break-even stripping ratio remains favourable, further cuts into the hillside will be made. Otherwise, if there are sufficient reserves under the knob of the hill, the mineral may be recovered by underground mining or by augering.</t>
  </si>
  <si>
    <t>dredge</t>
  </si>
  <si>
    <t>Dredge</t>
  </si>
  <si>
    <t>The mining of loose mineral deposits (for example: sand or gravel) located underwater or at least partially underwater, using a floating vessel or platform outfitted with bucket, scooping and/or suction devices.</t>
  </si>
  <si>
    <t>The mineral deposits may be located in river, shallow tidal or fresh water areas.</t>
  </si>
  <si>
    <t>opencast</t>
  </si>
  <si>
    <t>Opencast</t>
  </si>
  <si>
    <t>A method of mining by removing surface layers and working from above, rather than from shafts.</t>
  </si>
  <si>
    <t>Open Pit</t>
  </si>
  <si>
    <t>peatery</t>
  </si>
  <si>
    <t>Peatery</t>
  </si>
  <si>
    <t>A place in a bog or fen from which peats are cut.</t>
  </si>
  <si>
    <t>placer</t>
  </si>
  <si>
    <t>Placer</t>
  </si>
  <si>
    <t>The mining of minerals from placer or alluvial deposits using water pressure (hydraulic mining) and/or surface excavating equipment.</t>
  </si>
  <si>
    <t>A placer is a deposit of sand, gravel, or earth, often located adjacent to a stream, containing particles of gold or other valuable minerals (for example: platinum, tin, diamond, ruby, and other gems).</t>
  </si>
  <si>
    <t>prospect</t>
  </si>
  <si>
    <t>Prospect</t>
  </si>
  <si>
    <t>A surface mine from which easily accessible deposits are removed without the removal of overburden or the use of shafts.</t>
  </si>
  <si>
    <t>quarry</t>
  </si>
  <si>
    <t>Quarry</t>
  </si>
  <si>
    <t>An open-air excavation for the extraction of stone intended principally for use in construction.</t>
  </si>
  <si>
    <t>stripMine</t>
  </si>
  <si>
    <t>Strip-mine</t>
  </si>
  <si>
    <t>The surface material is removed in a relatively shallow strip to expose the mineral.</t>
  </si>
  <si>
    <t>After mineral extraction the spoil is usually placed in a previously excavated strip.</t>
  </si>
  <si>
    <t>heavy</t>
  </si>
  <si>
    <t>Heavy</t>
  </si>
  <si>
    <t>Characterized by large heavy steel frame buildings and may utilize large cranes for heavy lifting.</t>
  </si>
  <si>
    <t>light</t>
  </si>
  <si>
    <t>Light</t>
  </si>
  <si>
    <t>Characterized by light steel or wood frame buildings and lack of heavy equipment.</t>
  </si>
  <si>
    <t>continuous</t>
  </si>
  <si>
    <t>Continuous</t>
  </si>
  <si>
    <t>Operating without interruption.</t>
  </si>
  <si>
    <t>Operations are intended to be continuous but may be interrupted on a scheduled basis.</t>
  </si>
  <si>
    <t>nonOperational</t>
  </si>
  <si>
    <t>Non-operational</t>
  </si>
  <si>
    <t>Not in operation due to it being non-functional and operation is not scheduled to be restored.</t>
  </si>
  <si>
    <t>notInOperation</t>
  </si>
  <si>
    <t>Not in Operation</t>
  </si>
  <si>
    <t>Fully functional and ready for operation however has not been certified or commissioned for such use.</t>
  </si>
  <si>
    <t>The operational capacity may not be authorized for various reasons, such as newly installed and not yet commissioned or certified, or operational but has been taken out of service for non-technical reasons, awaiting certification or commissioning status.</t>
  </si>
  <si>
    <t>Fully capable of operation.</t>
  </si>
  <si>
    <t>The schedule of operations may be indeterminate or unknown.</t>
  </si>
  <si>
    <t>partiallyOperational</t>
  </si>
  <si>
    <t>Partially Operational</t>
  </si>
  <si>
    <t>Functional, but operating with only partial capability for some reason.</t>
  </si>
  <si>
    <t>Parts of the man-made structure are not in operation; or, the operation is running below capacity.</t>
  </si>
  <si>
    <t>planned</t>
  </si>
  <si>
    <t>Planned</t>
  </si>
  <si>
    <t>Future operations are scheduled.</t>
  </si>
  <si>
    <t>Operations are not intended to be continuous but are intended to occur (or, equivalently, be interrupted) on a scheduled basis.</t>
  </si>
  <si>
    <t>For example, the hours of operation of a business may be governed by a timetable.</t>
  </si>
  <si>
    <t>temporarilyNonOperational</t>
  </si>
  <si>
    <t>Temporarily Non-operational</t>
  </si>
  <si>
    <t>Temporarily not in operation due to it being non-functional and operation is scheduled to be restored.</t>
  </si>
  <si>
    <t>Usually an unscheduled loss of operation.</t>
  </si>
  <si>
    <t>Extinguished</t>
  </si>
  <si>
    <t>aerialFarm</t>
  </si>
  <si>
    <t>amusementPark</t>
  </si>
  <si>
    <t>antiAircraftArtillerySite</t>
  </si>
  <si>
    <t>caravanPark</t>
  </si>
  <si>
    <t>castleComplex</t>
  </si>
  <si>
    <t>cemetery</t>
  </si>
  <si>
    <t>coolingFacility</t>
  </si>
  <si>
    <t>driveInTheatre</t>
  </si>
  <si>
    <t>electricPowerStation</t>
  </si>
  <si>
    <t>fairground</t>
  </si>
  <si>
    <t>farm</t>
  </si>
  <si>
    <t>fishFarmFacility</t>
  </si>
  <si>
    <t>fuelStorageFacility</t>
  </si>
  <si>
    <t>golfCourse</t>
  </si>
  <si>
    <t>heatingFacility</t>
  </si>
  <si>
    <t>hydrocarbonProdFacility</t>
  </si>
  <si>
    <t>industrialFarm</t>
  </si>
  <si>
    <t>industrialPark</t>
  </si>
  <si>
    <t>missileSite</t>
  </si>
  <si>
    <t>mobileHomePark</t>
  </si>
  <si>
    <t>A site for the permanent parking of mobile homes used as dwellings and designed without a permanent foundation.</t>
  </si>
  <si>
    <t>Mobile homes are prefabricated homes built in factories, rather than on-site, and then taken to the place where they will be occupied. They are usually transported by tractor-trailers over public roads to sites which are often in rural areas or high-density developments. While these houses are usually placed in one location and left there permanently, they do retain the ability to be moved as this is a requirement in many areas. Behind the cosmetic work fitted at installation to hide the base, there are strong trailer frames, axles, wheels and tow-hitches.</t>
  </si>
  <si>
    <t>munitionStorageFacility</t>
  </si>
  <si>
    <t>officePark</t>
  </si>
  <si>
    <t>port</t>
  </si>
  <si>
    <t>powerSubstation</t>
  </si>
  <si>
    <t>pumpingStation</t>
  </si>
  <si>
    <t>radarStation</t>
  </si>
  <si>
    <t>railwaard</t>
  </si>
  <si>
    <t>ranch</t>
  </si>
  <si>
    <t>roadsideRestArea</t>
  </si>
  <si>
    <t>sewageTreatmentPlant</t>
  </si>
  <si>
    <t>shipyard</t>
  </si>
  <si>
    <t>shoppingComplex</t>
  </si>
  <si>
    <t>smallCraftFacility</t>
  </si>
  <si>
    <t>solarFarm</t>
  </si>
  <si>
    <t>spa</t>
  </si>
  <si>
    <t>spaceFacility</t>
  </si>
  <si>
    <t>storageDepot</t>
  </si>
  <si>
    <t>tankFarm</t>
  </si>
  <si>
    <t>trainingSite</t>
  </si>
  <si>
    <t>waterwork</t>
  </si>
  <si>
    <t>windFarm</t>
  </si>
  <si>
    <t>zoo</t>
  </si>
  <si>
    <t>fallow</t>
  </si>
  <si>
    <t>Fallow</t>
  </si>
  <si>
    <t>Farming in which crops alternating with soil replenishment vegetation types are grown on the same land in successive years or seasons.</t>
  </si>
  <si>
    <t>Soil replenishment and pest and disease abatement are accomplished without recourse to fertilizers and pest control agents.</t>
  </si>
  <si>
    <t>Crop Rotation</t>
  </si>
  <si>
    <t>grazing</t>
  </si>
  <si>
    <t>Grazing</t>
  </si>
  <si>
    <t>Farming to support the feeding of livestock on low grass or vegetation on pastures and ranges.</t>
  </si>
  <si>
    <t>Farming in which the fields are continuously used for cultivation.</t>
  </si>
  <si>
    <t>Continuous cultivation usually depends on the application of fertilizers and pest control agents.</t>
  </si>
  <si>
    <t>permanentIrrigation</t>
  </si>
  <si>
    <t>Permanent Irrigation</t>
  </si>
  <si>
    <t>Farming in which the fields are continuously used for cultivation and permanent irrigation is required due to the natural aridity of the area.</t>
  </si>
  <si>
    <t>slashAndBurn</t>
  </si>
  <si>
    <t>Slash and Burn</t>
  </si>
  <si>
    <t>Farming in which existing vegetation is cut away and a new field is then cleared by burning.</t>
  </si>
  <si>
    <t>The land is farmed for a few years and then left fallow to regenerate by native species.</t>
  </si>
  <si>
    <t>intermingledTrees</t>
  </si>
  <si>
    <t>Intermingled Trees</t>
  </si>
  <si>
    <t>The fields include scattered trees and/or are bordered by rows of trees, but there are no areas of woods.</t>
  </si>
  <si>
    <t>intermingledWoods</t>
  </si>
  <si>
    <t>Intermingled Woods</t>
  </si>
  <si>
    <t>The fields are intermingled with scattered woods and/or rows of trees.</t>
  </si>
  <si>
    <t>The fields have no regular arrangement and/or pattern.</t>
  </si>
  <si>
    <t>linear</t>
  </si>
  <si>
    <t>Linear</t>
  </si>
  <si>
    <t>The fields are laid out in a linear arrangement.</t>
  </si>
  <si>
    <t>For example, long and narrow with the crop rows aligned along the longer dimension.</t>
  </si>
  <si>
    <t>regular</t>
  </si>
  <si>
    <t>Regular</t>
  </si>
  <si>
    <t>The fields are laid out in a specific and uniform arrangement.</t>
  </si>
  <si>
    <t>For example, of roughly equal size and shape as on a draughtboard.</t>
  </si>
  <si>
    <t>terraced</t>
  </si>
  <si>
    <t>Terraced</t>
  </si>
  <si>
    <t>The fields are on a slope that has been divided and formed into successive plateaus by long, low ridges of soil extending across the slope.</t>
  </si>
  <si>
    <t>May have associated flat or graded channels to control the runoff of water.</t>
  </si>
  <si>
    <t>treeless</t>
  </si>
  <si>
    <t>Treeless</t>
  </si>
  <si>
    <t>The fields have no trees in and/or among them.</t>
  </si>
  <si>
    <t>trellised</t>
  </si>
  <si>
    <t>Trellised</t>
  </si>
  <si>
    <t>Provided with one or more lattice frameworks of light bars (for example: wooden or metal) used as a support for crops (for example: fruit trees or vines).</t>
  </si>
  <si>
    <t>dividedDifferent</t>
  </si>
  <si>
    <t>Divided Different</t>
  </si>
  <si>
    <t>Divided into multiple components that have different widths.</t>
  </si>
  <si>
    <t>dividedSame</t>
  </si>
  <si>
    <t>Divided Same</t>
  </si>
  <si>
    <t>Divided into multiple components that have the same width.</t>
  </si>
  <si>
    <t>For example, a divided highway.</t>
  </si>
  <si>
    <t>nonDivided</t>
  </si>
  <si>
    <t>Non-divided</t>
  </si>
  <si>
    <t>Not divided into distinct, spatially separated components.</t>
  </si>
  <si>
    <t>arcGIS</t>
  </si>
  <si>
    <t>ArcGIS</t>
  </si>
  <si>
    <t>ArcGIS software was used to derive features from image source.</t>
  </si>
  <si>
    <t>erdas</t>
  </si>
  <si>
    <t>ERDAS</t>
  </si>
  <si>
    <t>ERDAS software was used to derive features from image source.</t>
  </si>
  <si>
    <t>remoteView</t>
  </si>
  <si>
    <t>Remote View</t>
  </si>
  <si>
    <t>Remote View software was used to derive features from image source.</t>
  </si>
  <si>
    <t>socetGxp</t>
  </si>
  <si>
    <t>Socet GXP</t>
  </si>
  <si>
    <t>Socet GSP software was used to derive features from image source.</t>
  </si>
  <si>
    <t>socetSet</t>
  </si>
  <si>
    <t>Socet Set</t>
  </si>
  <si>
    <t>Socet Set software was used to derive features from image source.</t>
  </si>
  <si>
    <t>accommodation</t>
  </si>
  <si>
    <t>Accommodation</t>
  </si>
  <si>
    <t>The provision of lodging ranging from short-stay (for example: nightly) through long-term primary residences.</t>
  </si>
  <si>
    <t>May include the provision of meals, entertainment and/or recreational facilities. The amount and type of supplementary services provided may vary widely.</t>
  </si>
  <si>
    <t>accounting</t>
  </si>
  <si>
    <t>Accounting</t>
  </si>
  <si>
    <t>Accounting, bookkeeping, auditing and tax consultancy activities.</t>
  </si>
  <si>
    <t>Includes, for example: recording of commercial transactions from businesses or others, preparation or auditing of financial accounts, examination of accounts and certification of their accuracy, preparation of personal and business income tax returns, and advisory activities and representation (other than legal representation) on behalf of clients before tax authorities.</t>
  </si>
  <si>
    <t>administration</t>
  </si>
  <si>
    <t>Administration</t>
  </si>
  <si>
    <t>The performance of one or more administrative or management functions.</t>
  </si>
  <si>
    <t>adultEntertainment</t>
  </si>
  <si>
    <t>Adult Entertainment</t>
  </si>
  <si>
    <t>Activities involved in the provision of sexual services and related forms of adult entertainment (comprising a number of forms of entertainment not considered suitable for children).</t>
  </si>
  <si>
    <t>For example, erotic acting and nude modeling for pornography, striptease dancing and performances in peep shows, waitstaffing in sexually-oriented businesses, live sex shows, professional domination, provision of erotic massage and engagement in phone sex.</t>
  </si>
  <si>
    <t>advertising</t>
  </si>
  <si>
    <t>Advertising</t>
  </si>
  <si>
    <t>The provision of a full range of advertising services including advice, creative services, production of advertising material, media planning, and the purchase of media placement.</t>
  </si>
  <si>
    <t>Includes, for example, the creation and realization of advertising campaigns (for example: creation and placement of advertising in print media, electronic services, and/or on outdoor displays) and conducting marketing campaigns and other advertising services aimed at attracting and retaining customers (for example: product promotion, point-of-sale marketing, and direct mail advertising).</t>
  </si>
  <si>
    <t>agriculture</t>
  </si>
  <si>
    <t>Agriculture</t>
  </si>
  <si>
    <t>The production of crops and/or animals.</t>
  </si>
  <si>
    <t>airTrafficControl</t>
  </si>
  <si>
    <t>Air Traffic Control</t>
  </si>
  <si>
    <t>The provision of one or more traffic control services (for example: area control services, approach control services, and aerodrome control services), flight information services, alerting services, and/or air traffic advisory services.</t>
  </si>
  <si>
    <t>airTransport</t>
  </si>
  <si>
    <t>Air Transport</t>
  </si>
  <si>
    <t>The transport of passengers and/or freight using aircraft, and supporting activities.</t>
  </si>
  <si>
    <t>Included are: transport of passengers and/or freight by air over regular routes and on regular schedules; charter flights for passengers; scenic and sightseeing flights; and non-scheduled transport of freight by air.</t>
  </si>
  <si>
    <t>aircraftManufac</t>
  </si>
  <si>
    <t>Aircraft Manufacture</t>
  </si>
  <si>
    <t>The manufacture of air (for example: airplaces or helicopters) and spacecraft (for example launch vehicles or satellites) and related equipment.</t>
  </si>
  <si>
    <t>It includes, for example, the manufacture of: airplanes for the transport of goods or passengers, for use by the defence forces, for sport or other purposes; helicopters; gliders and hang-gliders; dirigibles and hot air balloons; parts and accessories of the aircraft of this class (for example: fuselages, wings, doors, control surfaces, landing gear, fuel tanks, nacelles, airscrews, helicopter rotors and propelled rotor blades, motors and engines of a kind typically found on aircraft, or parts of turbojets and turbopropellers for aircraft); and ground flying trainers. It also includes, for example, the manufacture of spacecraft and launch vehicles, satellites, planetary probes, orbital stations, shuttles, and intercontinental ballistic (ICBM) and similar missiles.</t>
  </si>
  <si>
    <t>The routine maintenance and/or repair of aircraft and their engines.</t>
  </si>
  <si>
    <t>amusement</t>
  </si>
  <si>
    <t>Amusement</t>
  </si>
  <si>
    <t>A place (for example: a park or a gaming arcade) that is used for organized amusement and/or recreation other than through sporting events or, usually, performances.</t>
  </si>
  <si>
    <t>It may include a variety of attractions (for example: mechanical rides, water rides, electronic games, or theme exhibits) and dining facilities (for example: food and beverage vending or picnic grounds).</t>
  </si>
  <si>
    <t>animalBoarding</t>
  </si>
  <si>
    <t>Animal Boarding</t>
  </si>
  <si>
    <t>A location at which pets (for example: dogs or cats) may be temporarily housed.</t>
  </si>
  <si>
    <t>May also provide other services, for example: breeding, grooming, obedience training or veterinary care.</t>
  </si>
  <si>
    <t>animalFeedManufac</t>
  </si>
  <si>
    <t>Animal Feed Manufacture</t>
  </si>
  <si>
    <t>The manufacture of prepared animal feeds.</t>
  </si>
  <si>
    <t>Includes, for example: prepared feeds for pets (for example: dogs, cats, birds, or fish); prepared feeds for farm animals, including animal feed concentrated and feed supplements; preparation of unmixed (single) feeds for farm animals; and the treatment of slaughter waste to produce animal feeds.</t>
  </si>
  <si>
    <t>apparelManufac</t>
  </si>
  <si>
    <t>Apparel Manufacture</t>
  </si>
  <si>
    <t>The tailoring (ready-to-wear or made-to-measure) in all materials (for example: leather, fabric, or knitted and crocheted fabrics) of all items of clothing (for example: outerwear or underwear; for men, women or children; for work, city or casual use) and accessories.</t>
  </si>
  <si>
    <t>The material used may be coated, impregnated or rubberized. Also included are headgear of fur skins.</t>
  </si>
  <si>
    <t>aquaculture</t>
  </si>
  <si>
    <t>Aquaculture</t>
  </si>
  <si>
    <t>The production process involving the culturing or farming (including harvesting) of aquatic organisms (for example: fish, molluscs, crustaceans, plants, crocodiles, alligators or amphibians) using techniques designed to increase the production of the organisms in question beyond the natural capacity of the environment (for example: regular stocking, feeding and protection from predators).</t>
  </si>
  <si>
    <t>Culturing or farming refers to the rearing of individuals up to their juvenile and/or adult phase under captive conditions. In addition, it also encompasses individual, corporate or state ownership of the individual organisms throughout the rearing or culture stage, up to and including harvesting.</t>
  </si>
  <si>
    <t>aquarium</t>
  </si>
  <si>
    <t>Aquarium</t>
  </si>
  <si>
    <t>Activities associated with the management and (often) public display of aquatic plants and animals (usually fish, and sometimes invertebrates, as well as amphibians, marine mammals, and reptiles) that are kept alive for purposes of observation and study in artificial ponds or tanks (usually with transparent sides).</t>
  </si>
  <si>
    <t>architectureConsulting</t>
  </si>
  <si>
    <t>Architecture Consulting</t>
  </si>
  <si>
    <t>The provision of architectural consulting services (for example: building design and drafting, town and city planning, or landscape architecture).</t>
  </si>
  <si>
    <t>armory</t>
  </si>
  <si>
    <t>Armory</t>
  </si>
  <si>
    <t>The operation of storage facilities (for example: a depot) for military equipment, especially including weapons and/or ammunition.</t>
  </si>
  <si>
    <t>The facility usually segregates weapons from their ammunition, is carefully guarded, and may be housed within a larger facility (for example: a building).</t>
  </si>
  <si>
    <t>auditorium</t>
  </si>
  <si>
    <t>Auditorium</t>
  </si>
  <si>
    <t>A public hall, often of a somewhat austere nature, that is used by members of a community for civic, often educational, purposes.</t>
  </si>
  <si>
    <t>May also be used to host a variety of social and/or cultural events including live performances and motion pictures.</t>
  </si>
  <si>
    <t>baking</t>
  </si>
  <si>
    <t>Baking</t>
  </si>
  <si>
    <t>The manufacture of fresh, frozen or dry bakery products (for example: bread, pies, crackers or pancakes).</t>
  </si>
  <si>
    <t>Includes, for example, the manufacture of: bread and rolls; fresh pastry, cakes, pies, and tarts; rusks, biscuits and other 'dry' bakery products; preserved pastry goods and cakes; snack products (for example: cookies, crackers, or pretzels), whether sweet or salted; tortillas; and frozen bakery products (for example: pancakes, waffles, or rolls).</t>
  </si>
  <si>
    <t>banquetHall</t>
  </si>
  <si>
    <t>Banquet Hall</t>
  </si>
  <si>
    <t>The activity of hosting public and/or private business and social events centered on the consumption of food and drink while siting at tables, in which persons are gathered for some common purpose (for example: a wedding reception or an awards ceremony).</t>
  </si>
  <si>
    <t>Usually held in a building that includes kitchen facilities for on-premises food preparation and open room(s) with many tables.</t>
  </si>
  <si>
    <t>The activity of providing alcholic refreshment services to customers, whether they are served while individually seated or together at a counter (a 'bar').</t>
  </si>
  <si>
    <t>It usually has different hours from a restaurant, may have entertainment (for example: live music and/or other 'theater' type activities), and may serve light meals.</t>
  </si>
  <si>
    <t>Pub, Public House</t>
  </si>
  <si>
    <t>beautyTreatment</t>
  </si>
  <si>
    <t>Beauty Treatment</t>
  </si>
  <si>
    <t>The enhancement of apparent personal beauty through a variety of hair (for example: washing, trimming and cutting, setting, dyeing, tinting, waving, or straightening), skin (for example: facial massage or the application of make-up) and/or nail care (for example: manicure or pedicure) services.</t>
  </si>
  <si>
    <t>May take place at a 'beauty salon', where beauty products may also be purchased.</t>
  </si>
  <si>
    <t>beverageManufac</t>
  </si>
  <si>
    <t>Beverage Manufacture</t>
  </si>
  <si>
    <t>The manufacture of nonalcoholic beverages, alcoholic beverages through the fermentation process and alcoholic beverages that are distilled.</t>
  </si>
  <si>
    <t>botanZooReserveActivities</t>
  </si>
  <si>
    <t>Botanical and/or Zoological Reserve Activities</t>
  </si>
  <si>
    <t>Activities associated with the management and maintenance of botanical and/or zoological reserves, whether specially constructed (for example: a zoological garden) or a naturally occurring (for example: a park or nature reserve).</t>
  </si>
  <si>
    <t>branchTelephoneExchange</t>
  </si>
  <si>
    <t>Branch Telephone Exchange</t>
  </si>
  <si>
    <t>A local, usually private, telephone switch that provides circuit-switching within an organization (for example: for an office or campus).</t>
  </si>
  <si>
    <t>Evolved from the manual switchboard (operated by a person plugging cables into sockets and termed a 'private manual branch exchange'), internal calls are routed locally, sharing a limited set of outside lines to the main telephone exchange (central office) operated by the telephone company. Outgoing calls are made by dialing 9 (or 0 in some systems) followed by the external number; an outgoing trunk line is automatically selected upon which to complete the call.</t>
  </si>
  <si>
    <t>brewing</t>
  </si>
  <si>
    <t>Brewing</t>
  </si>
  <si>
    <t>The manufacture of malt liquors (for example: beer or ale), malt, and related malt products.</t>
  </si>
  <si>
    <t>Includes, for example, the manufacture of malt liquors (for example: beer, ale, porter or stout) and malt. It also includes the manufacture of low alcohol or non-alcoholic beer.</t>
  </si>
  <si>
    <t>businessPersonalSupport</t>
  </si>
  <si>
    <t>Business and Personal Support Services</t>
  </si>
  <si>
    <t>A variety of routine support activities for the day-to-day operations of organizations, businesses and in some cases, households or individuals.</t>
  </si>
  <si>
    <t>businessManagement</t>
  </si>
  <si>
    <t>Business Management</t>
  </si>
  <si>
    <t>The provision of advice and assistance to businesses and other organizations on management issues.</t>
  </si>
  <si>
    <t>Includes, for example: strategic and organizational planning; financial planning and budgeting; marketing objectives and policies; human resource policies, practices, and planning; production scheduling; and control planning. It also includes the overseeing and managing of other units of the same company or enterprise, that is the activities of head offices.</t>
  </si>
  <si>
    <t>callCentre</t>
  </si>
  <si>
    <t>Call Centre</t>
  </si>
  <si>
    <t>A centralized office used for the purpose of receiving (termed an 'inbound call centre') and transmitting (termed an 'outbound call centre') a large volume of requests by telephone.</t>
  </si>
  <si>
    <t>The activities of inbound call centres include: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 The activities of outbound call centres include: using similar methods to sell or market goods or services to potential customers, undertake market research or public opinion polling and similar activities for clients.</t>
  </si>
  <si>
    <t>canalTransport</t>
  </si>
  <si>
    <t>Canal Transport</t>
  </si>
  <si>
    <t>The transport of passengers and/or freight on canals involving vessels that are typically specialized for that purpose.</t>
  </si>
  <si>
    <t>capitol</t>
  </si>
  <si>
    <t>Capitol</t>
  </si>
  <si>
    <t>A centre housing the executive and/or legislative branches of a government.</t>
  </si>
  <si>
    <t>The loading and/or unloading of goods of all types irrespective of the mode of transport used for transportation.</t>
  </si>
  <si>
    <t>Includes, for example: luggage handling at aerodromes; bulk and break-bulk cargo operations at marine terminals; and petroleum transfer between pipelines and vessels.</t>
  </si>
  <si>
    <t>cbrneCivilianSupport</t>
  </si>
  <si>
    <t>CBRNE Civilian Support</t>
  </si>
  <si>
    <t>The provision of military assistance to civilian authorities during incidents involving chemical, biological, radiological, nuclear, and/or explosive hazards.</t>
  </si>
  <si>
    <t>Assistance includes, for example: the identification of chemical, biological, radiological, or nuclear substances; assessment of the incident situation; and advising the civilian incident commander on potential courses of action.</t>
  </si>
  <si>
    <t>cementMill</t>
  </si>
  <si>
    <t>Cement Mill</t>
  </si>
  <si>
    <t>The manufacture of cement, lime and/or plaster.</t>
  </si>
  <si>
    <t>Includes, for example, the manufacture of: clinkers and hydraulic cements, including Portland, aluminous cement, slag cement and superphosphate cements; quicklime, slaked lime and hydraulic lime; plasters of calcined gypsum or calcined sulphate; and calcined dolomite.</t>
  </si>
  <si>
    <t>cementProdManufac</t>
  </si>
  <si>
    <t>Cement Product Manufacture</t>
  </si>
  <si>
    <t>The manufacture of articles of concrete, cement and/or plaster.</t>
  </si>
  <si>
    <t>Includes, for example, the manufacture of: precast concrete, cement or artificial stone articles for use in construction (for example: tiles, flagstones, bricks, boards, sheets, panels, pipes, or posts); prefabricated structural components for building or civil engineering of cement, concrete or artificial stone; plaster articles for use in construction (for example: boards, sheets, or panels); building materials of vegetable substances (for example: wood wool, straw, reeds, or rushes) agglomerated with cement, plaster or other mineral binder; articles of asbestos-cement or cellulose fibre-cement (for example: corrugated sheets, other sheets, panels, tiles, tubes, pipes, reservoirs, troughs, basins, sinks, jars, furniture, or window frames); other articles of concrete, plaster, cement or artificial stone (for example: statuary, furniture, bas- and haut-reliefs, vases, or flowerpots); powdered mortars; and ready-mix and dry-mix concrete and mortars.</t>
  </si>
  <si>
    <t>centralBanking</t>
  </si>
  <si>
    <t>Central Banking</t>
  </si>
  <si>
    <t>The provision of governmental banking services including supervisory monetary policy for a country or a group of member states (for example: the European Union).</t>
  </si>
  <si>
    <t>The primary responsibility is to maintain the stability of the national currency and money supply, but more active duties include controlling subsidized loan interest rates, and acting as a 'bailout' lender of last resort to the banking sector during times of financial crisis. There may also be supervisory powers to ensure that banks and other financial institutions do not behave recklessly or fraudulently.</t>
  </si>
  <si>
    <t>ceramicProdManufac</t>
  </si>
  <si>
    <t>Ceramic Product Manufacture</t>
  </si>
  <si>
    <t>The manufacture of other porcelain and ceramic products (for example: electrical insulators, jars, or laboratory items).</t>
  </si>
  <si>
    <t>Includes, for example, the manufacture of: ceramic tableware and other domestic or toilet articles; statuettes and other ornamental ceramic articles; electrical insulators and insulating fittings of ceramics; ceramic laboratory, chemical and industrial products; ceramic pots, jars and similar articles of a kind used for conveyance or packing of goods; and ceramic furniture.</t>
  </si>
  <si>
    <t>chemicalManufac</t>
  </si>
  <si>
    <t>Chemical Manufacture</t>
  </si>
  <si>
    <t>The transformation of organic and inorganic raw materials by a chemical process and the formation of either basic manufacturing chemicals or products.</t>
  </si>
  <si>
    <t>Basic chemicals (for example: basic chemicals, fertilizer and nitrogen compounds, plastics and synthetic rubber in primary forms) may be distinguished from the production of intermediate and end products produced by further processing of basic chemicals.</t>
  </si>
  <si>
    <t>chemicalMining</t>
  </si>
  <si>
    <t>Chemical Mining</t>
  </si>
  <si>
    <t>The mining and quarrying of chemicals (for example: potassium salts or native sulphur) or mineral fertilizers (for example: guano).</t>
  </si>
  <si>
    <t>Includes, for example: mining of natural phosphates and natural potassium salts; mining of native sulphur; extraction and preparation of pyrites and pyrrhotite, except roasting; mining of natural barium sulphate and carbonate (barytes and witherite), natural borates, natural magnesium sulphates (kieserite); mining of earth colours, fluorspar and other minerals valued chiefly as a source of chemicals; and guano mining.</t>
  </si>
  <si>
    <t>cinema</t>
  </si>
  <si>
    <t>Cinema</t>
  </si>
  <si>
    <t>A theatre solely for the presentation of motion pictures.</t>
  </si>
  <si>
    <t>civilActivities</t>
  </si>
  <si>
    <t>Civil Activities</t>
  </si>
  <si>
    <t>The performance of one or more non-defence functions of government (for example: executive, legislative or judicial).</t>
  </si>
  <si>
    <t>civilIntelligence</t>
  </si>
  <si>
    <t>Civil Intelligence</t>
  </si>
  <si>
    <t>The performance of the integration of relevant law enforcement and intelligence information, analysis of its implications for civil safety and security, and the coordination of security measures in order to reduce threats in local communities.</t>
  </si>
  <si>
    <t>Analysts from the national government may work side-by-side with subnational and local authorities at 'fusion centers' located at regional sites, facilitating the two-way flow of timely, accurate, actionable information on all types of hazards. Such operations provide critical sources of unique law enforcement and threat information, facilitate sharing information across jurisdictions and function, and provide a conduit between individuals on the ground protecting their local communities and appropriate subnational and national agencies.</t>
  </si>
  <si>
    <t>clayProdManufac</t>
  </si>
  <si>
    <t>Clay Product Manufacture</t>
  </si>
  <si>
    <t>The manufacture of clay building materials (for example: roofing tiles, flooring blocks, or sanitary fixtures).</t>
  </si>
  <si>
    <t>Includes, for example, the manufacture of: non-refractory ceramic hearth or wall tiles; non-refractory ceramic flags and paving; structural non-refractory clay building materials (for example: ceramic bricks, roofing tiles, chimney pots, pipes, or conduits); flooring blocks in baked clay; and ceramic sanitary fixtures.</t>
  </si>
  <si>
    <t>climateControl</t>
  </si>
  <si>
    <t>Climate Control</t>
  </si>
  <si>
    <t>Maintenance of fixed environmental coniditions (temperature range, humidity) through the managed production of steam, heated air, or cooled air.</t>
  </si>
  <si>
    <t>club</t>
  </si>
  <si>
    <t>Club</t>
  </si>
  <si>
    <t>An association or society of persons of like sympathies, of a common vocation, or otherwise mutually acceptable, meeting periodically (under certain regulations) for social intercourse and cooperation.</t>
  </si>
  <si>
    <t>cokeManufac</t>
  </si>
  <si>
    <t>Coke Manufacture</t>
  </si>
  <si>
    <t>The manufacture of coke oven products (for example: coke and semi-coke, pitch and pitch coke, coke oven gas, or crude coal and lignite tars).</t>
  </si>
  <si>
    <t>Also includes the related activities of coke ovens operation and coke agglomeration.</t>
  </si>
  <si>
    <t>commerce</t>
  </si>
  <si>
    <t>Commerce</t>
  </si>
  <si>
    <t>Activities involving the exchange of merchandise (for example: wholesale or retail trade) or services (for example: broadcasting, financial, information, insurance, private education, professional or publishing services).</t>
  </si>
  <si>
    <t>communityCentre</t>
  </si>
  <si>
    <t>Community Centre</t>
  </si>
  <si>
    <t>A meeting place used by members of a community for social, cultural, and/or recreational (for example: exercise or minor sports competition) purposes.</t>
  </si>
  <si>
    <t>confectionManufac</t>
  </si>
  <si>
    <t>Confection Manufacture</t>
  </si>
  <si>
    <t>The manufacture of cocoa, chocolate and sugar confectionery (for example: caramels or chewing gum).</t>
  </si>
  <si>
    <t>Includes, for example, the manufacture of: cocoa, cocoa butter, cocoa fat, and cocoa oil; chocolate and chocolate confectionery; sugar confectionery (for example: caramels, cachous, nougats, fondant, or white chocolate); chewing gum; and confectionery lozenges and pastilles. It also includes the preserving in sugar of fruit, nuts, fruit peels and other parts of plants.</t>
  </si>
  <si>
    <t>consul</t>
  </si>
  <si>
    <t>Consul</t>
  </si>
  <si>
    <t>A representative of a sovereign State, posted to a foreign territory, in charge of matters outside inter-governmental diplomacy (for example: related to individual people and/or businesses).</t>
  </si>
  <si>
    <t>The offices of consuls (known as consulates) are more numerous than diplomatic missions, the latter being posted only in a foreign capital, while consular ones are also posted in various cities throughout the country, especially centers of economic activity, or wherever there is a significant population of its citizens (expatriates) in residence. Consulates are subordinate posts of their State's diplomatic mission.</t>
  </si>
  <si>
    <t>convenienceStore</t>
  </si>
  <si>
    <t>Convenience Store</t>
  </si>
  <si>
    <t>The limited retail sale of food, beverages, and small personal items (for example: hygiene products, pharmaceuticals, tobacco products).</t>
  </si>
  <si>
    <t>conventionCentre</t>
  </si>
  <si>
    <t>Convention Centre</t>
  </si>
  <si>
    <t>The activity of hosting public and/or private business and social events in which persons are gathered for some common purpose (for example: a trade show).</t>
  </si>
  <si>
    <t>Often held in a building designed for that purpose that consists of one or more large, sometime cavernous, open rooms. Refreshments may be available but facilities for the serving of food are generally not available except through off-premises catering services.</t>
  </si>
  <si>
    <t>cooling</t>
  </si>
  <si>
    <t>Cooling</t>
  </si>
  <si>
    <t>Generation of chilled liquid and/or gas for cooling purposes.</t>
  </si>
  <si>
    <t>courierActivities</t>
  </si>
  <si>
    <t>Courier Activities</t>
  </si>
  <si>
    <t>The commercial pickup, sorting, transport and delivery (domestic or international) of letter-post and (mail-type) parcels and packages by firms not operating under a universal service obligation.</t>
  </si>
  <si>
    <t>One or more modes of transport may be involved and the activity may be carried out with either self-owned (private) transport or via public transport.</t>
  </si>
  <si>
    <t>cremation</t>
  </si>
  <si>
    <t>Cremation</t>
  </si>
  <si>
    <t>The burning of corpses as a means of disposal.</t>
  </si>
  <si>
    <t>It may include the processing or the pulverization of bone fragments. The remains may, for example, be scattered (for example: over the ocean), displayed in an urn, or buried.</t>
  </si>
  <si>
    <t>culturalArtsEntertainment</t>
  </si>
  <si>
    <t>Cultural, Arts and Entertainment</t>
  </si>
  <si>
    <t>Services provided to meet varied cultural, art and entertainment interests.</t>
  </si>
  <si>
    <t>Includes establishments for the production, promotion of, and participation in, live performances, events or exhibits intended for public viewing.</t>
  </si>
  <si>
    <t>custodialService</t>
  </si>
  <si>
    <t>Custodial Service</t>
  </si>
  <si>
    <t>The general (non-specialized) cleaning activities of all types of buildings (for example: offices, houses or apartments, factories, stores, or institutions) and other business and professional premises and multi-unit residential buildings.</t>
  </si>
  <si>
    <t>These activities are mostly interior cleaning although they may include the cleaning of associated exterior areas such as windows or passageways.</t>
  </si>
  <si>
    <t>customsCheckpoint</t>
  </si>
  <si>
    <t>Customs Checkpoint</t>
  </si>
  <si>
    <t>Serves as a government checkpoint where customs duties are collected, the flow of goods are regulated and restrictions enforced, and shipments or vehicles are cleared for entering or leaving a country.</t>
  </si>
  <si>
    <t>dairying</t>
  </si>
  <si>
    <t>Dairying</t>
  </si>
  <si>
    <t>The manufacture of dairy products (for example: milk, butter, cheese, or ice cream).</t>
  </si>
  <si>
    <t>Includes, for example, the manufacture of: fresh liquid milk (pasteurized, sterilized, homogenized and/or ultra heat treated); milk-based drinks; cream from fresh liquid milk (pasteurized, sterilized, homogenized); dried or concentrated milk whether or not sweetened; milk or cream in solid form; butter; yoghurt; cheese and curd; whey; casein or lactose; and ice cream and other edible ices such as sorbet.</t>
  </si>
  <si>
    <t>dayCare</t>
  </si>
  <si>
    <t>Day Care</t>
  </si>
  <si>
    <t>The supervision and care of young children during the day, by a person other than the parents or legal guardians of the children and often someone outside the child's immediate family, especially while their mothers are at work.</t>
  </si>
  <si>
    <t>Crèche</t>
  </si>
  <si>
    <t>deathCareServices</t>
  </si>
  <si>
    <t>Death Care Services</t>
  </si>
  <si>
    <t>Establishment primarily engaged in the practice and process of dealing with the remains of a deceased human being.</t>
  </si>
  <si>
    <t>defenceActivities</t>
  </si>
  <si>
    <t>Defence Activities</t>
  </si>
  <si>
    <t>The administration, supervision and/or operation of military defence affairs and land, sea, air and space defence forces.</t>
  </si>
  <si>
    <t>dependentsHousing</t>
  </si>
  <si>
    <t>Dependents Housing</t>
  </si>
  <si>
    <t>An inexpensive long-term (for example: monthly) accommodation for military service members that are accompanied by their families.</t>
  </si>
  <si>
    <t>It is usually located on a protected military installation and accommodations may also be available for government contractor personnel. Similar considerations may apply to others in government service that are stationed overseas (for example: diplomatic personnel).</t>
  </si>
  <si>
    <t>diningHall</t>
  </si>
  <si>
    <t>Dining Hall</t>
  </si>
  <si>
    <t>The activity of providing food services in which there is no table service and instead there are food-serving counters or stalls where customers take the food they require as they walk along, place it on a tray, and take the tray to their table.</t>
  </si>
  <si>
    <t>Dining halls are often used in institutional settings (for example: schools, hospitals, museums, residence halls, and military bases). Payment may be either at a flat-rate on entrance (for example: a buffet) or on a per-item basis at check-out (for example: a cafeteria).</t>
  </si>
  <si>
    <t>Cafeteria, Chow Hall, Mess Hall, Dining Facility, Refectory, Galley</t>
  </si>
  <si>
    <t>diplomacy</t>
  </si>
  <si>
    <t>Diplomacy</t>
  </si>
  <si>
    <t>The art and practice of conducting negotiations between accredited persons representing groups or States.</t>
  </si>
  <si>
    <t>It usually refers to international diplomacy, the conduct of international relations (for example: peace-making, culture, economics, trade or war) through the intercession of professional diplomats. International treaties are usually negotiated by diplomats prior to endorsement by national politicians.</t>
  </si>
  <si>
    <t>diplomaticMission</t>
  </si>
  <si>
    <t>Diplomatic Mission</t>
  </si>
  <si>
    <t>A group of people from one State present in another State in order to represent the sending State in the receiving State.</t>
  </si>
  <si>
    <t>It usually denotes a permanent mission, namely the office of a State's diplomatic representatives in the capital city of another State. Under international law, diplomatic missions enjoy an extraterritorial status and thus, although remaining part of the host (receiving) State's territory, they are accorded diplomatic immunity (for example: are exempt from local law) and in almost all respects treated as being part of the territory of the home (sending) State.</t>
  </si>
  <si>
    <t>dormitory</t>
  </si>
  <si>
    <t>Dormitory</t>
  </si>
  <si>
    <t>An inexpensive long-term (for example: monthly) accommodation with one or more communal sleeping areas and shared bathrooms.</t>
  </si>
  <si>
    <t>Commonly located at educational facilities (for example: a college or university) where students board during the academic season. Two or more students may share a sleeping room, and a cafeteria is usually located in the same building or nearby. May also be used to house military personnel either dormitory style in separate rooms with one to four roommates or in an open-bay style with a dozen or more service members bunking together in a single space.</t>
  </si>
  <si>
    <t>drilling</t>
  </si>
  <si>
    <t>Drilling</t>
  </si>
  <si>
    <t>The drilling of boreholes in the search for extractable mineral resources (for example: crude petroleum or natural gas) and/or subsequent exploitation of those resources.</t>
  </si>
  <si>
    <t>education</t>
  </si>
  <si>
    <t>Education</t>
  </si>
  <si>
    <t>Education at any level or for any profession, oral or written as well as by radio and television or other means of communication.</t>
  </si>
  <si>
    <t>It includes education by the different institutions in the regular school system at its different levels as well as adult education and literacy programmes.Also included are military schools and academies, as well as prison schools, at their respective levels.</t>
  </si>
  <si>
    <t>electricalEquipManufac</t>
  </si>
  <si>
    <t>Electrical Equipment Manufacture</t>
  </si>
  <si>
    <t>The manufacture of products that generate, distribute and/or use electrical power.</t>
  </si>
  <si>
    <t>It includes the manufacture of electrical lighting, signalling equipment and electric household appliances. It excludes the manufacture of electronic products.</t>
  </si>
  <si>
    <t>electricalEquipRepair</t>
  </si>
  <si>
    <t>Electrical Equipment Repair</t>
  </si>
  <si>
    <t>The repair and maintenance of electrical equipment (goods that generate, distribute and/or use electrical power) including specialized repair with the aim to restore the electrical equipment to working order.</t>
  </si>
  <si>
    <t>The provision of general or routine maintenance (servicing) on such equipment to ensure they work efficiently and to prevent breakdown and unnecessary repairs is included. Equipment included, for example, are: power, distribution, and specialty transformers; electric motors, generators, and motor generator sets; switchgear and switchboard apparatus; relays and industrial controls; primary and storage batteries; electric lighting equipment; current-carrying wiring devices and non current-carrying wiring devices for wiring electrical circuits.</t>
  </si>
  <si>
    <t>electronicEquipManufac</t>
  </si>
  <si>
    <t>Electronic Equipment Manufacture</t>
  </si>
  <si>
    <t>The manufacture of computers, computer peripherals, communications equipment, and similar electronic products, as well as the manufacture of components for such products.</t>
  </si>
  <si>
    <t>It also includes the manufacture of: consumer electronics; measuring, testing, navigating, and control equipment; irradiation, electromedical and electrotherapeutic equipment; optical instruments and equipment, and the manufacture of magnetic and optical media. Production processes are characterized by the design and use of integrated circuits and the application of highly specialized miniaturization technologies.</t>
  </si>
  <si>
    <t>electronicEquipRepair</t>
  </si>
  <si>
    <t>Electronic Equipment Repair</t>
  </si>
  <si>
    <t>The repair and maintenance of electronic and optical equipment including specialized repair with the aim to restore the electronic and optical equipment to working order.</t>
  </si>
  <si>
    <t>The provision of general or routine maintenance (servicing) on such equipment to ensure they work efficiently and to prevent breakdown and unnecessary repairs is included. Equipment included, for example, are: consumer electronics, measuring, testing, navigating, and control equipment; irradiation, electromedical and electrotherapeutic equipment; and optical instruments and equipment.</t>
  </si>
  <si>
    <t>embassy</t>
  </si>
  <si>
    <t>Embassy</t>
  </si>
  <si>
    <t>A diplomatic mission headed by an ambassador, a diplomatic official accredited to a foreign sovereign or government, or to an international organization, to serve as the official representative of their own State.</t>
  </si>
  <si>
    <t>In common usage an ambassador is the ranking plenipotentiary minister (representing their head of state) stationed in a foreign capital. The host State typically allows the ambassador control of specific territory (also called an embassy). The term 'embassy' may also be applied to the office of the ambassador.</t>
  </si>
  <si>
    <t>emergencyOperations</t>
  </si>
  <si>
    <t>Emergency Operations</t>
  </si>
  <si>
    <t>The coordination of information and resources to support incident management actions taken during an emergency period to protect life and property, care for the people affected, and temporarily restore essential community services.</t>
  </si>
  <si>
    <t>Emergency operations may be managed at a temporary facility or may be located in a more central or permanently established facility, perhaps at a higher level of organization within a jurisdiction. Emergency operations may be organized by major functional disciplines (for example: fire, law enforcement, and medical services), by jurisdiction (for example: national, subnational, regional, local), or some combination thereof.</t>
  </si>
  <si>
    <t>emergencyReliefServices</t>
  </si>
  <si>
    <t>Emergency Relief Services</t>
  </si>
  <si>
    <t>The provision of emergency assistance in the form of food, safe drinking water, sanitation and shelter, as well as registration and inquiry services.</t>
  </si>
  <si>
    <t>For example, many of the activities of the International Red Cross and Red Crescent movement. and their affiliated National organizations.</t>
  </si>
  <si>
    <t>emergencyShelter</t>
  </si>
  <si>
    <t>Emergency Shelter</t>
  </si>
  <si>
    <t>A temporary shelter for people to live when they can't live in their previous residence (for example: as a result of a natural disaster).</t>
  </si>
  <si>
    <t>An emergency shelter typically specializes in people fleeing a specific type of situation (for example: battered women, victims of domestic violence, or victims of sexual abuse). People staying in emergency shelters generally stay all day, except for work, school, or errands.Temporary emergency shelters are often set up by non-profit organizations like the Red Cross and Red Crescent, or governmental emergency management departments, in response to natural disasters, such as a flood or earthquake. They tend to use tents or other temporary structures, or are in buildings usually used for another purpose, such as a church or school.</t>
  </si>
  <si>
    <t>emergencyYouthShelter</t>
  </si>
  <si>
    <t>Emergency Youth Shelter</t>
  </si>
  <si>
    <t>The provision of shelter and support to children and youth who have run away from or have been pushed out of their homes, or who are acting out and at risk for abuse pending return to their own families or suitable alternative placement.</t>
  </si>
  <si>
    <t>Such activities usually provide in-house individual, group and family counseling and the full range of other secondary services related to runaways including referral to appropriate resources. They also include support to young people who need help to become independent and live on their own, to take care of their health and/or studies, and to those who have tried living on their own but have yet to make a success of it.</t>
  </si>
  <si>
    <t>employmentAgency</t>
  </si>
  <si>
    <t>Employment Agency</t>
  </si>
  <si>
    <t>The activities of listing employment vacancies and referring or placing applicants for employment, where the individuals referred or placed are not employees of the employment agencies, supplying workers to clients' businesses for limited periods of time to supplement the working force of the client, and the activities of providing human resources and human resource management services for others on a contract or fee basis.</t>
  </si>
  <si>
    <t>engineeringDesign</t>
  </si>
  <si>
    <t>Engineering Design</t>
  </si>
  <si>
    <t>The provision of engineering design and consulting services (for example: industrial plant design).</t>
  </si>
  <si>
    <t>Includes projects involving, for example: civil engineering; hydraulic engineering; traffic engineering; electrical and electronic engineering; mining engineering; chemical engineering; mechanical, industrial and systems engineering; safety engineering; and water management.</t>
  </si>
  <si>
    <t>executiveActivities</t>
  </si>
  <si>
    <t>Executive Activities</t>
  </si>
  <si>
    <t>The performance of one or more administrative functions of government (for example: daily administration of the state bureaucracy, deciding how to enforce the law, determining military policy, or overseeing ambassadors and determining foreign policy) at any jurisdictional level.</t>
  </si>
  <si>
    <t>fabricMetalProdManufac</t>
  </si>
  <si>
    <t>Fabricated Metal Product Manufacture</t>
  </si>
  <si>
    <t>The manufacture of fabricated metal products for a variety of uses (for example: household or industrial) and including associated metalworking service activities.</t>
  </si>
  <si>
    <t>Includes, for example, the manufacture of: metal hand tools and general hardware; cans and buckets; nails, bolts and nuts; metal household articles (for example: cutlery); metal fixtures; ships propellers and anchors; and assembled railway track fixtures. It also includes general activities for the treatment of metal (for example: forging or pressing, plating, coating, engraving, boring, polishing, or welding) that are typically carried out on a fee or contract basis.</t>
  </si>
  <si>
    <t>fabricMetalProdRepair</t>
  </si>
  <si>
    <t>Fabricated Metal Product Repair</t>
  </si>
  <si>
    <t>The repair and maintenance of fabricated metal products including specialized repair with the aim to restore these metal products to working order.</t>
  </si>
  <si>
    <t>The provision of general or routine maintenance (servicing) on such products to ensure they work efficiently and to prevent breakdown and unnecessary repairs is included. Included, for example, is the: repair of metal tanks, reservoirs and containers; repair and maintenance for pipes and pipelines; mobile welding repair; repair of steel shipping drums; repair and maintenance of steam or other vapour generators; repair and maintenance of auxiliary plant for use with steam generators (for example: condensers, economizers, superheaters, steam collectors or accumulators); repair and maintenance of nuclear reactors, except isotope separators; repair and maintenance of parts for marine or power boilers; platework repair of central heating boilers and radiators; repair and maintenance of fire arms and ordnance (including repair of sporting and recreational guns); and repair and maintenance of materials handling equipment (for example: meal trolleys or shopping carts) for institutions.</t>
  </si>
  <si>
    <t>financialMarketAdmin</t>
  </si>
  <si>
    <t>Financial Market Administration</t>
  </si>
  <si>
    <t>The operation and supervision of financial markets other than by public authorities (for example: commodity contracts exchanges, futures commodity contracts exchanges, securities exchanges, stock exchanges, or stock or commodity options exchanges).</t>
  </si>
  <si>
    <t>financialServices</t>
  </si>
  <si>
    <t>Financial Services</t>
  </si>
  <si>
    <t>Activities involving the obtaining, holding, redistribution and/or management of funds and other assets of monetary value, including banking, investment, and insurance, and other than compulsory government-managed social security.</t>
  </si>
  <si>
    <t>For example, monetary intermediation, central banking, and retail banking (including savings banking, postal savings banking and credit unions).</t>
  </si>
  <si>
    <t>firefighting</t>
  </si>
  <si>
    <t>Firefighting</t>
  </si>
  <si>
    <t>The administration and operation of regular and auxiliary fire brigades in fire prevention and firefighting.</t>
  </si>
  <si>
    <t>May also include assistance in non-fire emergencies (for example: civic disasters, floods, or road accidents).</t>
  </si>
  <si>
    <t>fishing</t>
  </si>
  <si>
    <t>Fishing</t>
  </si>
  <si>
    <t>Hunting,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such as nets, lines and stationary traps.</t>
  </si>
  <si>
    <t>Such activities can be conducted on the intertidal shoreline (for example: collection of molluscs such as mussels and oysters) or shore based netting, or from home-made dugouts or more commonly using commercially made boats in inshore, coastal waters or offshore waters. The aquatic resource being captured is usually common property resource irrespective of whether the harvest from this resource is undertaken with or without exploitation rights. Such activities also include fishing restocked water bodies.</t>
  </si>
  <si>
    <t>fitnessCentre</t>
  </si>
  <si>
    <t>Fitness Centre</t>
  </si>
  <si>
    <t>A place that is used for organized exercise to maintain physical fitness.</t>
  </si>
  <si>
    <t>It may include general exercise equipment (for example: lifting weights or a treadmill) and/or more specialized exercise facilities (for example: a swimming pool or a volleyball court) as well as support facilities (for example: showers and a locker room).</t>
  </si>
  <si>
    <t>foodProcessing</t>
  </si>
  <si>
    <t>Food Processing</t>
  </si>
  <si>
    <t>The processing and preserving of foodstuffs (meat, seafood, fruit and vegetables).</t>
  </si>
  <si>
    <t>foodProductManufac</t>
  </si>
  <si>
    <t>Food Product Manufacture</t>
  </si>
  <si>
    <t>The processing of the products of agriculture, forestry and fishing into food for humans or animals, including the production of various intermediate products and byproducts that are not directly food products.</t>
  </si>
  <si>
    <t>Food products may be of greater or lesser value (for example: hides from slaughtering, or oilcake from oil production).</t>
  </si>
  <si>
    <t>foodService</t>
  </si>
  <si>
    <t>Food Service</t>
  </si>
  <si>
    <t>Any meal prepared outside the residence by businesses, institutions, or companies.</t>
  </si>
  <si>
    <t>footwearManufac</t>
  </si>
  <si>
    <t>Footwear Manufacturing</t>
  </si>
  <si>
    <t>The manufacture of footwear for all purposes, of any material, by any process, including moulding.</t>
  </si>
  <si>
    <t>Also includes the manufacture of leather parts of footwear (for example: manufacture of uppers and parts of uppers, outer and inner soles, or heels) as well as the manufacture of gaiters, leggings and similar articles.</t>
  </si>
  <si>
    <t>forestWarden</t>
  </si>
  <si>
    <t>Forest Warden</t>
  </si>
  <si>
    <t>Manages and protects (for example: against fire) an area of forest and/or other natural region.</t>
  </si>
  <si>
    <t>forestryLogging</t>
  </si>
  <si>
    <t>Forestry and/or Logging</t>
  </si>
  <si>
    <t>The production of roundwood for the forest-based manufacturing industries as well as the extraction and gathering of wild growing non-wood forest products.</t>
  </si>
  <si>
    <t>Besides the production of timber, forestry activities result in products that undergo little processing, such as firewood, charcoal, wood chips and roundwood used in an unprocessed form (for example: as mine pit-props or for pulpwood). These activities can be carried out in natural or planted forests.</t>
  </si>
  <si>
    <t>foundry</t>
  </si>
  <si>
    <t>Foundry</t>
  </si>
  <si>
    <t>The manufacture of semi-finished products and various metal castings by a process of introducing molten metal into a mold, allowed it to solidify in the shape inside the mold, and then removing the mold.</t>
  </si>
  <si>
    <t>fruitVegProcessing</t>
  </si>
  <si>
    <t>Fruit and/or Vegetable Processing</t>
  </si>
  <si>
    <t>The processing and preserving of fruit (for example: apples or oranges) and vegetables (for example: beans, maize, or potatos).</t>
  </si>
  <si>
    <t>Includes, for example: manufacture of food consisting chiefly of fruit or vegetables (except ready-made dishes in frozen or canned form); preserving of fruit, nuts or vegetables (for example: by freezing, drying, immersing in oil or in vinegar, or canning); manufacture of fruit or vegetable food products or juices; manufacture of jams, marmalades and table jellies; processing and preserving of potatos (for example: prepared frozen potatos, dehydrated mashed potatos, potato snacks, potato crisps, or potato flour and meal); roasting of nuts; and the manufacture of nut foods and pastes. It also includes, for example, the related activities of: production of concentrates from fresh fruits and vegetables; industrial peeling of potatoes; and the manufacture of perishable prepared foods of fruit and vegetables (for example: salads, peeled or cut vegetables, or tofu).</t>
  </si>
  <si>
    <t>fundManagement</t>
  </si>
  <si>
    <t>Fund Management</t>
  </si>
  <si>
    <t>Financial portfolio and fund management activities on a fee or contract basis (for example: management of mutual funds, pension funds, or other investment funds).</t>
  </si>
  <si>
    <t>funeralServices</t>
  </si>
  <si>
    <t>Funeral Services</t>
  </si>
  <si>
    <t>The preparation and disposal (for example: through burial or cremation) of corpses (for example: human or animal) and related activities.</t>
  </si>
  <si>
    <t>Typically includes: preparing the dead for burial or cremation (for example: embalming and morticians' services); providing burial or cremation services; rental of equipped space in funeral parlours; rental or sale of graves; and maintenance of graves and mausoleums.</t>
  </si>
  <si>
    <t>furnitureManufac</t>
  </si>
  <si>
    <t>Furniture Manufacture</t>
  </si>
  <si>
    <t>The manufacture of furniture (for example: chairs, tables or desks) and related products (for example: mattresses or restaurant carts) of any material except stone, concrete and ceramic.</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</si>
  <si>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 Some of the processes used in furniture manufacturing are similar to processes that are used in other segments of manufacturing.</t>
  </si>
  <si>
    <t>gambling</t>
  </si>
  <si>
    <t>Gambling</t>
  </si>
  <si>
    <t>The operation of facilities in which money (or something of material value) is wagered on something with an uncertain outcome in the hope of winning additional money or material goods (for example: through a lottery, off-track betting or a casino game).</t>
  </si>
  <si>
    <t>May take place in a variety of venues, for example, at a casino, in a bingo hall, or through a video gaming terminal.</t>
  </si>
  <si>
    <t>gameToyManufac</t>
  </si>
  <si>
    <t>Game and/or Toy Manufacture</t>
  </si>
  <si>
    <t>The manufacture of dolls (including action figures) and their accessories (for example: doll parts or doll clothes), toys (for example: animals or musical instruments), games (including electronic), hobby kits, reduced-size models, puzzles, and plastic children's vehicles.</t>
  </si>
  <si>
    <t>gasOilSeparation</t>
  </si>
  <si>
    <t>Gas Oil Separation</t>
  </si>
  <si>
    <t>The separation of natural gas from crude oil through the extraction of condensates or the draining and separation of liquid hydrocarbon fractions.</t>
  </si>
  <si>
    <t>generalRepair</t>
  </si>
  <si>
    <t>General Repair</t>
  </si>
  <si>
    <t>The repair and maintenance of machinery and/or equipment including the specialized repair of goods produced in the manufacturing sector with the aim to restore machinery, equipment and other products to working order.</t>
  </si>
  <si>
    <t>Includes the provision of general or routine maintenance (servicing) on such products to ensure they work efficiently and to prevent breakdown and unnecessary repairs. Also included is the specialized installation of machinery, however, the installation of equipment that forms an integral part of buildings or similar structures, such as installation of electrical wiring, installation of escalators or installation of air-conditioning systems, is classified as construction.</t>
  </si>
  <si>
    <t>glassProdManufac</t>
  </si>
  <si>
    <t>Glass Product Manufacture</t>
  </si>
  <si>
    <t>The manufacture of glass in all its forms, made by any process, and products composed of glass.</t>
  </si>
  <si>
    <t>Includes, for example, the manufacture of: flat glass, including wired, coloured or tinted flat glass; toughened or laminated flat glass; glass in rods or tubes; glass paving blocks; glass mirrors; multiple-walled insulating units of glass; bottles and other containers of glass or crystal; drinking glasses and other domestic glass or crystal articles; glass fibres, including glass wool and non-woven products thereof; laboratory, hygienic or pharmaceutical glassware; clock or watch glasses, optical glass and optical elements not optically worked; glassware used in imitation jewellery; glass insulators and glass insulating fittings; glass envelopes for lamps; and glass figurines.</t>
  </si>
  <si>
    <t>government</t>
  </si>
  <si>
    <t>Government</t>
  </si>
  <si>
    <t>The performance of one or more functions of government (for example: executive, legislative, judicial, or defence) at all jurisdictional levels.</t>
  </si>
  <si>
    <t>grainMilling</t>
  </si>
  <si>
    <t>Grain Milling</t>
  </si>
  <si>
    <t>The manufacture of grain mill products (for example: meal, polished rice, flour mix or cereal breakfast foods).</t>
  </si>
  <si>
    <t>Includes, for example: grain milling (the production of flour, groats, meal or pellets of wheat, rye, oats, maize or other cereal grains); rice milling (the production of husked, milled, polished, glazed, parboiled or converted rice, or rice flour); vegetable milling (production of flour or meal of dried leguminous vegetables, of roots or tubers, or of edible nuts); manufacture of flour mixes and prepared blended flour and dough for bread, cakes, biscuits or pancakes; and the manufacture of cereal breakfast foods.</t>
  </si>
  <si>
    <t>The regular consumption of part of one organism (for example: grass) by another organism (for example: livestock) without killing it.</t>
  </si>
  <si>
    <t>Animal grazing areas are usually dominated by grasses (for example: prairies, savannas and steppes), and common grazing herbivores include: antelope, bison, buffalo, cattle, elephants, goats, horses, rabbits, and sheep.</t>
  </si>
  <si>
    <t>grocery</t>
  </si>
  <si>
    <t>Grocery</t>
  </si>
  <si>
    <t>The retail sale of a wide variety of goods including food and alcohol (where permitted), medicine, clothes, and other household products that are consumed regularly.</t>
  </si>
  <si>
    <t>growingOfCrops</t>
  </si>
  <si>
    <t>Growing of Crops</t>
  </si>
  <si>
    <t>The growing of all crops (for example: wheat, rice or tomatoes), except aquatic crops.</t>
  </si>
  <si>
    <t>Includes the growing of both non-perennial crops (plants that do not last for more than two growing seasons; for example: cereals, vegetables, or tobacco) and perennial crops, (plants that lasts for more than two growing seasons, either dying back after each season or growing continuously; for example: grapes, citrus fruits, or nuts).</t>
  </si>
  <si>
    <t>guard</t>
  </si>
  <si>
    <t>Guard</t>
  </si>
  <si>
    <t>The provision of guard and patrol services.</t>
  </si>
  <si>
    <t>May include temporary securing of prisoners.</t>
  </si>
  <si>
    <t>guestHouse</t>
  </si>
  <si>
    <t>Guest-house</t>
  </si>
  <si>
    <t>A private home that takes in short-term (for example: nightly or weekly) guests, often with meals (for example: breakfast) included in the price of lodging.</t>
  </si>
  <si>
    <t>May have shared or separate bathrooms. Can range from modest homes with one spare room to elaborately restored historic houses with luxury prices.</t>
  </si>
  <si>
    <t>harbourControl</t>
  </si>
  <si>
    <t>Harbour Control</t>
  </si>
  <si>
    <t>Serves as the authority responsible for the mooring and berthing of vessels, collecting harbour fees, and related harbour administration functions.</t>
  </si>
  <si>
    <t>headOffice</t>
  </si>
  <si>
    <t>Head Office</t>
  </si>
  <si>
    <t>The overseeing and managing of other units of a company or enterprise, undertaking the strategic or organizational planning and decision making role of the company or enterprise.</t>
  </si>
  <si>
    <t>Units in this class exercise operational control and manage the day-to-day operations of their related units. Includes, for example: head offices, centralized administrative offices, corporate offices, district and regional offices, and subsidiary management offices.</t>
  </si>
  <si>
    <t>headquarters</t>
  </si>
  <si>
    <t>Headquarters</t>
  </si>
  <si>
    <t>Devoted to overseeing the performance of one or more administrative or management functions.</t>
  </si>
  <si>
    <t>heating</t>
  </si>
  <si>
    <t>Heating</t>
  </si>
  <si>
    <t>Generation of heated liquid and/or gas for heating purposes.</t>
  </si>
  <si>
    <t>higherEducation</t>
  </si>
  <si>
    <t>Higher Education</t>
  </si>
  <si>
    <t>The provision of academic courses and granting of degrees at baccalaureate or graduate levels.</t>
  </si>
  <si>
    <t>The requirement for admission is at least a high school diploma or equivalent general academic training.Instruction may be provided in diverse settings, such as educational institutions, the workplace, or the home, and through correspondence, television, Internet, or other means.</t>
  </si>
  <si>
    <t>hobbyLeisureActivities</t>
  </si>
  <si>
    <t>Hobbies and/or Leisure Activities</t>
  </si>
  <si>
    <t>Activities that are avocations, hobbies, or leisure-time pursuits, existing apart from or in addition to one's regular occupation.</t>
  </si>
  <si>
    <t>Pursued merely for the amusement or interest that they afford, they occupy one's leisure (freedom from occupations).</t>
  </si>
  <si>
    <t>homelessShelter</t>
  </si>
  <si>
    <t>Homeless Shelter</t>
  </si>
  <si>
    <t>An emergency shelter for people to stay temporarily when they otherwise would have to sleep on the street.</t>
  </si>
  <si>
    <t>A homeless shelter is usually open to anyone, regardless of why they don't have a more typical residence available, although they typically expect people to stay elsewhere during the day, returning only to sleep.Other services may be provided (for example: a soup kitchen, job seeking skills training, job training, job placement, support groups, or chemical abuse treatment).</t>
  </si>
  <si>
    <t>hostel</t>
  </si>
  <si>
    <t>Hostel</t>
  </si>
  <si>
    <t>An inexpensive short-term (for example: nightly or weekly) accommodation, typically in dormitory style with multiple guests sleeping in the same room and sharing a bathroom.</t>
  </si>
  <si>
    <t>Usually used by younger travelers, particularly encouraging outdoor activities and cultural exchange.</t>
  </si>
  <si>
    <t>An establishment that provides lodging, usually on a short-term (for example: nightly) basis, with separate sleeping rooms with private bathrooms.</t>
  </si>
  <si>
    <t>Additional guest services are often provided (for example: a restaurant, a swimming pool or child care) and the sleeping rooms may be expanded to a suite of rooms including separate cooking, entertainment, and sleeping areas. Some hotels have conference services and encourage groups to hold conventions and meetings at their location.</t>
  </si>
  <si>
    <t>humanHealthActivities</t>
  </si>
  <si>
    <t>Human Health Activities</t>
  </si>
  <si>
    <t>The activities of human health institutions (for example: short- or long-term hospitals; general or specialty medical, surgical, psychiatric and substance abuse hospitals; sanatoria; preventoria; medical nursing homes; asylums; mental hospital institutions; rehabilitation centres; or leprosaria) which engage in providing diagnostic and medical treatment with any of a wide variety of medical conditions.</t>
  </si>
  <si>
    <t>The facilities may include accommodation or be limited to the provision of out-patient care.These activities also include medical consultation and treatment in the field of general and specialized medicine by general practitioners and medical specialists and surgeons, dental practice activities of a general or specialized nature and orthodontic activities, and activities for human health not performed by hospitals or by practicing medical doctors but by paramedical practitioners legally recognized to treat patients.</t>
  </si>
  <si>
    <t>humanTissueRepository</t>
  </si>
  <si>
    <t>Human Tissue Repository</t>
  </si>
  <si>
    <t>The collection, storage, and preparation for use, of human tissue (for example: blood components, bone marrow, corneas, heart values, ova, sperm) destined for future therapeutic use (for example: transfusion or transplantation).</t>
  </si>
  <si>
    <t>Tissues may be collected from either live donors or cadavers. A tissue bank may be a separate free-standing facility (for example: many blood banks) or part of a larger laboratory in a hospital.</t>
  </si>
  <si>
    <t>Pursuing animals to capture or kill them for food, blood sport, or trade in their products.</t>
  </si>
  <si>
    <t>Includes, for example: hunting and trapping on a commercial basis; taking of animals (dead or alive) for food, fur, skin, or for use in research, in zoos or as pets; production of fur skins, reptile or bird skins from hunting or trapping activities; and land-based catching of sea mammals such as walrus and seal.</t>
  </si>
  <si>
    <t>iceManufacture</t>
  </si>
  <si>
    <t>Ice Manufacture</t>
  </si>
  <si>
    <t>The manufacture of water ice (for example: block ice (including sculptured ice), and packaged crushed, cubed, and shaved ice) and dry ice (frozen carbon dioxide).</t>
  </si>
  <si>
    <t>Ice manufacturers are often also involved in its wholesale distribution.</t>
  </si>
  <si>
    <t>immigrationControl</t>
  </si>
  <si>
    <t>Immigration Control</t>
  </si>
  <si>
    <t>The regulation of the movement of people between States.</t>
  </si>
  <si>
    <t>Accomplished at a physical checkpoint located at an international boundary or port.</t>
  </si>
  <si>
    <t>imprisonment</t>
  </si>
  <si>
    <t>Imprisonment</t>
  </si>
  <si>
    <t>To keep prisoners in a place of confinement.</t>
  </si>
  <si>
    <t>May occur for either civil or criminal misconduct, and may be used to temporarily detain suspects awaiting trial.</t>
  </si>
  <si>
    <t>InformationService</t>
  </si>
  <si>
    <t>Information Service</t>
  </si>
  <si>
    <t>Services which research, maintain, hold and/or provide information.</t>
  </si>
  <si>
    <t>inlandWatersTransport</t>
  </si>
  <si>
    <t>Inland Waters Transport</t>
  </si>
  <si>
    <t>The transport of passengers and/or freight on inland waters involving vessels that are not suitable for sea transport.</t>
  </si>
  <si>
    <t>Inland waters include, for example: rivers, canals, and lakes, as well as inside harbours and ports.</t>
  </si>
  <si>
    <t>inPatientCare</t>
  </si>
  <si>
    <t>In-patient Care</t>
  </si>
  <si>
    <t>Provides medical or surgical treatment for the ill or wounded on an in-patient basis (for example: at a hospital).</t>
  </si>
  <si>
    <t>The patient stays one or more nights at the facility.In the case of non-surgical treatment a skilled nursing facility may be employed.</t>
  </si>
  <si>
    <t>inspection</t>
  </si>
  <si>
    <t>Inspection</t>
  </si>
  <si>
    <t>Serves as a location where vehicles, goods, and/or people are inspected and/or regulated.</t>
  </si>
  <si>
    <t>inspectionStation</t>
  </si>
  <si>
    <t>Inspection Station</t>
  </si>
  <si>
    <t>Serves as a station at which vehicles, goods, and/or people are inspected.</t>
  </si>
  <si>
    <t>insurance</t>
  </si>
  <si>
    <t>Insurance</t>
  </si>
  <si>
    <t>Engaged in a form of risk management primarily used to hedge against the risk of potential financial loss.</t>
  </si>
  <si>
    <t>Insurance is defined as the equitable transfer of the risk of a potential loss, from one entity to another, in exchange for a premium and duty of care. There are many types of insurance, for example: casualty, disability, health, liability, life, motor vehicle, property, and workers' compensation.</t>
  </si>
  <si>
    <t>intermediateCare</t>
  </si>
  <si>
    <t>Intermediate Care</t>
  </si>
  <si>
    <t>Provides in-patient medical treatment for individuals who are disabled, elderly, or nonacutely ill, usually providing less intensive care than that offered at a hospital or skilled nursing facility.</t>
  </si>
  <si>
    <t>islamicPrayerHall</t>
  </si>
  <si>
    <t>Islamic Prayer Hall</t>
  </si>
  <si>
    <t>An open space, usually roofed as a hall, that is intended for use in public Muslim worship.</t>
  </si>
  <si>
    <t>It has been prepared for the purposes of performing the five obligatory prayers of Islam ('salat') and includes a niche denoting the direction of Mecca (the 'mihrab'), to the right of which is usually located a stepped pulpit (the 'minbar').</t>
  </si>
  <si>
    <t>Hussania</t>
  </si>
  <si>
    <t>jewelleryManufac</t>
  </si>
  <si>
    <t>Jewellery Manufacture</t>
  </si>
  <si>
    <t>The manufacture of jewellery (for example: rings, bracelets, or necklaces) and costume or imitation jewellery articles.</t>
  </si>
  <si>
    <t>Includes, for example: production of worked pearls; the production of precious and semi-precious stones in the worked state, including the working of industrial quality stones and synthetic or reconstructed precious or semi-precious stones; working of diamonds; manufacture of jewellery of precious metal (solid or clad) and/or precious or semi-precious stones; manufacture of goldsmiths' articles of precious metals or of base metals clad with precious metals (for example: dinnerware, flatware, hollowware, toilet articles, office or desk articles, or articles for religious use); manufacture of technical or laboratory articles of precious metal (for example: crucibles, spatulas, or electroplating anodes); manufacture of precious metal watch bands, wristbands, watch straps and cigarette cases; and manufacture of coins, including coins for use as legal tender, whether or not of precious metal. It also includes, for example: engraving of personal precious and non-precious metal products; manufacture of costume or imitation jewellery (for example: rings, bracelets, necklaces, and similar articles of jewellery made from base metals plated with precious metals); jewellery containing imitation stones (for example: imitation gem stones or imitation diamonds); and manufacture of non-precious metal watch bands.</t>
  </si>
  <si>
    <t>judicialActivities</t>
  </si>
  <si>
    <t>Judicial Activities</t>
  </si>
  <si>
    <t>The administration and operation of administrative, civil and criminal law courts, military tribunals and the judicial system, including legal representation and advice on behalf of the government or when provided by the government in cash or services.</t>
  </si>
  <si>
    <t>May also include the rendering of judgments and interpretations of the law, and the arbitration of civil actions.</t>
  </si>
  <si>
    <t>juvenileCorrections</t>
  </si>
  <si>
    <t>Juvenile Corrections</t>
  </si>
  <si>
    <t>The discipline, reformation, and training of young offenders.</t>
  </si>
  <si>
    <t>May involve minimizing the use of penal care (for example: a prison specializing in youthful offenders) and maximizing of the use of less-restrictive settings which allow the youths to remain either in their own homes or in 'halfway houses' offering structured custodial care, usually while attending a special school during the daytime.</t>
  </si>
  <si>
    <t>landscapingService</t>
  </si>
  <si>
    <t>Landscaping Service</t>
  </si>
  <si>
    <t>The planting, care and maintenance of parks and gardens (for example: for private and public buildings, municipal grounds, or highways), green areas (for example: indoor gardens, sports grounds, play grounds or other recreational parks), stationary and flowing water (for example: basins, ponds, swimming pools, or watercourses), and plants placed for protection against noise, wind, erosion, visibility and/or dazzling.</t>
  </si>
  <si>
    <t>Includes, for example, leaf and litter removal, trimming, fertilizing, and replacement of dead plants.</t>
  </si>
  <si>
    <t>laundry</t>
  </si>
  <si>
    <t>Laundry</t>
  </si>
  <si>
    <t>The laundering, dry-cleaning and/or pressing, of all kinds of clothing (including fur) and textiles.</t>
  </si>
  <si>
    <t>May be provided by mechanical equipment, by hand or by self-service coin-operated machines, whether for the general public or for industrial or commercial clients (for example: provision of linens or work uniforms). The dirty laundry may be collected, and the clean laundry delivered, to the client on a scheduled basis.</t>
  </si>
  <si>
    <t>lawEnforcement</t>
  </si>
  <si>
    <t>Law Enforcement</t>
  </si>
  <si>
    <t>The administration and operation of regular and auxiliary police forces involved in the prevention, investigation, apprehension, or detention of individuals suspected or convicted of offenses against the criminal laws.</t>
  </si>
  <si>
    <t>May include auxiliary duties (for example: traffic regulation, alien registration, or maintenance of arrest records).</t>
  </si>
  <si>
    <t>leatherProdManufac</t>
  </si>
  <si>
    <t>Leather Product Manufacture</t>
  </si>
  <si>
    <t>The manufacture of articles made of fur skins.</t>
  </si>
  <si>
    <t>Includes, for example: fur wearing apparel and clothing accessories; assemblies of fur skins (for example: 'dropped' fur skins, plates, mats, or strips; and diverse articles of fur skins (for example: rugs, unstuffed pouffes, and industrial polishing cloths).</t>
  </si>
  <si>
    <t>legalActivities</t>
  </si>
  <si>
    <t>Legal Activities</t>
  </si>
  <si>
    <t>The legal representation of one party's interest against another party, whether or not before courts or other judicial bodies by, or under supervision of, persons who are members of the bar (for example: advice and representation in civil cases or criminal actions).</t>
  </si>
  <si>
    <t>Also includes, for example: advice and representation in connection with labour disputes, general counselling and advising, preparation of legal documents (for example: articles of incorporation, partnership agreements, patents and copyrights, or the preparation of deeds, wills and trusts), and other activities of notaries public, civil law notaries, bailiffs, arbitrators, examiners and referees.</t>
  </si>
  <si>
    <t>legislativeActivities</t>
  </si>
  <si>
    <t>Legislative Activities</t>
  </si>
  <si>
    <t>The performance of one or more legislative functions of government (for example: enactment of laws, raising or lowering taxes, or adopting a budget) at any jurisdictional level.</t>
  </si>
  <si>
    <t>leprosyCare</t>
  </si>
  <si>
    <t>Leprosy Care</t>
  </si>
  <si>
    <t>Provides medical treatment to people suffering from leprosy (Hansen's disease).</t>
  </si>
  <si>
    <t>Historically, quarantine from the rest of the population in the form of a leper colony (for example: on an island or a remote site) or hospital (for example: a leprosarium) was common.</t>
  </si>
  <si>
    <t>library</t>
  </si>
  <si>
    <t>Library</t>
  </si>
  <si>
    <t>The documentation and information activities of libraries and archives of all kinds (for example: reading, listening and viewing rooms; organization and cataloguing of collections; lending and storage of books, maps, periodicals, films, records, tapes and/or works of art; or retrieval activities in order to comply with information requests).</t>
  </si>
  <si>
    <t>The library or archive may provide service to the general public or to a special clientele (for example: students or scientists).</t>
  </si>
  <si>
    <t>localGovernment</t>
  </si>
  <si>
    <t>Local Government</t>
  </si>
  <si>
    <t>The performance of one or more functions of government (for example: executive, legislative, or judicial) at a local jurisdictional level (for example: municipal, town, or city).</t>
  </si>
  <si>
    <t>It is often the case that all of the local governmental functions are co-located (for example: in a town hall).</t>
  </si>
  <si>
    <t>longTermAccommodation</t>
  </si>
  <si>
    <t>Long-term Accommodation</t>
  </si>
  <si>
    <t>Provides lodging on a temporary or longer-term basis which, for the period of occupancy, may serve as a principal residence.</t>
  </si>
  <si>
    <t>machineryManufac</t>
  </si>
  <si>
    <t>Machinery Manufacture</t>
  </si>
  <si>
    <t>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</si>
  <si>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The machinery may be either general-purpose (machinery that is used in a wide range of industries) or special-purpose machinery (machinery for exclusive use within an industry or a small cluster of industries). General-purpose machinery includes, for example: engines and turbines; fluid power equipment; other pumps, compressors, taps and valves; bearings, gears, gearing and driving elements; ovens, furnaces and furnace burners; lifting and handling equipment; office machinery and equipment (except computers and peripheral equipment); and power-driven hand tools. Special-purpose machinery includes, for example: agricultural and forestry machinery; metal-forming machinery and machine tools; machinery for metallurgy; machinery for mining, quarrying and construction; machinery for food, beverage and tobacco processing; and machinery for textile, apparel and leather production.</t>
  </si>
  <si>
    <t>machineryRepair</t>
  </si>
  <si>
    <t>Machinery Repair</t>
  </si>
  <si>
    <t>The repair and maintenance of industrial machinery and equipment including specialized repair with the aim to restore the industrial machinery and equipment to working order.</t>
  </si>
  <si>
    <t>The provision of general or routine maintenance (servicing) on such machinery and equipment to ensure they work efficiently and to prevent breakdown and unnecessary repairs is included. Included, for example, is the: sharpening or installing commercial and industrial machinery blades and saws; the provision of welding (for example: automotive or general) repair services; and the repair of agricultural and other heavy and industrial machinery and equipment (for example: forklifts and other materials handling equipment, machine tools, commercial refrigeration equipment, construction equipment, or mining machinery).</t>
  </si>
  <si>
    <t>mailPackagetransport</t>
  </si>
  <si>
    <t>Mail and Package Transport</t>
  </si>
  <si>
    <t>The collection, pick-up, sorting, transport and delivery of letters and packages under various service obligations.</t>
  </si>
  <si>
    <t>One or more modes of transportion may be involved. Domestic or international delivery can occur.</t>
  </si>
  <si>
    <t>mainTelephoneExchange</t>
  </si>
  <si>
    <t>Main Telephone Exchange</t>
  </si>
  <si>
    <t>Switching equipment to which subscriber home and business lines are connected (the connection is termed a 'local loop') that can either circuit-switch subscriber lines locally or to long-distance carrier 'trunk lines'.</t>
  </si>
  <si>
    <t>Generally located in a secure, self-contained telecommunications equipment building that houses servers, storage systems, switching equipment, emergency power systems, and related devices that are used to run telephone systems.</t>
  </si>
  <si>
    <t>manufacturing</t>
  </si>
  <si>
    <t>Manufacturing</t>
  </si>
  <si>
    <t>The physical or chemical transformation of materials, substances, or components into new products.</t>
  </si>
  <si>
    <t>maritimeDefense</t>
  </si>
  <si>
    <t>Maritime Defense</t>
  </si>
  <si>
    <t>The protection of the public, the environment, and national economic and security interests in maritime regions including international waters and national coasts, ports, and inland waterways.</t>
  </si>
  <si>
    <t>Activities include: maritime safety (prevention of deaths, injuries, and property damage associated with maritime transportation, fishing, and recreational boating); maritime security (protection of national maritime borders from intrusions, including the flow of illegal drugs, aliens, and contraband through maritime routes, preventing illegal fishing, and suppressing violations of national law in the maritime arena); maritime mobility (facilitation of maritime commerce and the elimination of interruptions and impediments to the efficient and economical movement of goods and people, while maximizing recreational access to and enjoyment of the water); and protection of natural resources (prevention of environmental damage and the degradation of natural resources associated with maritime transportation, fishing, and recreational boating).</t>
  </si>
  <si>
    <t>maritimePilotage</t>
  </si>
  <si>
    <t>Maritime Pilotage</t>
  </si>
  <si>
    <t>The services of a maritime pilot may be obtained.</t>
  </si>
  <si>
    <t>A pilot is a qualified person having local knowledge of navigation hazards and is authorised to guide vessels in and out of a port or channel.</t>
  </si>
  <si>
    <t>market</t>
  </si>
  <si>
    <t>Market</t>
  </si>
  <si>
    <t>The retail sale of any kind of new or second hand good (for example: household items, provisions, or livestock) in a usually movable stall located either along a public road or at a fixed marketplace.</t>
  </si>
  <si>
    <t>A fixed marketplace accommodates many stalls, and may be either an open site designated for temporary use (for example: on 'market day') or a permanent structure with a roof and/or complete enclosure to protect against inclement weather.</t>
  </si>
  <si>
    <t>materialsRecovery</t>
  </si>
  <si>
    <t>Materials Recovery</t>
  </si>
  <si>
    <t>The processing of metallic and non-metallic waste, scrap and other articles into secondary raw material.</t>
  </si>
  <si>
    <t>Materials may be recovered from waste streams by either separating and sorting recoverable materials from non-hazardous waste streams (for example: garbage) or by separating and sorting commingled recoverable materials (for example: paper, plastics, glass, or metals) into distinct categories.</t>
  </si>
  <si>
    <t>meatProcessing</t>
  </si>
  <si>
    <t>Meat Processing</t>
  </si>
  <si>
    <t>The processing and preserving of meat (for example: carcasses, smoked cuts, or sausages) and meat by-products (for example: fats, feathers, or hides).</t>
  </si>
  <si>
    <t>Includes, for example: operation of slaughterhouses engaged in killing, dressing or packing meat (for example: beef, pork, poultry, lamb, rabbit, mutton, or camel); production of fresh, chilled or frozen meat, in carcasses, cuts or individual portions; production of dried, salted or smoked meat; and the production of meat products (for example: sausages, salami, puddings, 'andouillettes', saveloys, bolognas, pâtés, rillettes, and boiled ham). It also includes, for example, the related activities of: slaughtering and processing of whales on land or on specialized vessels; production of hides and skins originating from slaughterhouses, including fellmongery; rendering of lard and other edible fats of animal origin; processing of animal offal; production of pulled wool; and the production of feathers and down.</t>
  </si>
  <si>
    <t>medDentalEquipManufac</t>
  </si>
  <si>
    <t>Medical and/or Dental Equipment Manufacture</t>
  </si>
  <si>
    <t>The manufacture of medical and/or dental laboratory apparatus and furniture, surgical and medical instruments, surgical appliances and supplies, dental equipment and supplies, orthodontic goods, dentures, and orthodontic appliances.</t>
  </si>
  <si>
    <t>Includes, for example, the manufacture of: surgical drapes; dental fillings and cements; dental laboratory furnaces, ultrasonic cleaning machinery, sterilizers, distilling apparatus, laboratory centrifuges, or medical, surgical, dental or veterinary furniture (for example: operating tables, examination tables, hospital beds with mechanical fittings, or dentists' chairs); bone plates and screws, syringes, needles, catheters, and cannulae; dental instruments (including dentists' chairs incorporating dental equipment); artificial teeth and bridges made in dental labs; orthopedic and prosthetic devices; glass eyes; medical thermometers; and ophthalmic goods, eyeglasses, sunglasses, lenses ground to prescription, contact lenses, and safety goggles.</t>
  </si>
  <si>
    <t>medicinalProdManufac</t>
  </si>
  <si>
    <t>Medicinal Product Manufacture</t>
  </si>
  <si>
    <t>The manufacture of basic pharmaceutical products and pharmaceutical preparations, including both medicinal chemical and botanical products.</t>
  </si>
  <si>
    <t>Includes, for example, the manufacture of: medicinal active substances to be used for their pharmacological properties in the manufacture of medicaments (for example: antibiotics, basic vitamins, or salicylic and O-acetylsalicylic acids); medicaments (for example: antisera and other blood fractions, vaccines, or diverse medicaments, including homeopathic preparations); chemical contraceptive products for external use and hormonal contraceptive medicaments; medical diagnostic preparations, including pregnancy tests; radioactive in-vivo diagnostic substances; and biotech pharmaceuticals. It also also includes: manufacture of chemically pure sugars; processing of blood; processing of glands and manufacture of extracts of glands; manufacture of medical impregnated materials (for example: wadding, gauze, bandages, dressings, or surgical sutures); and the preparation of botanical products (grinding, grading, milling) for pharmaceutical use.</t>
  </si>
  <si>
    <t>meetingPlace</t>
  </si>
  <si>
    <t>Meeting Place</t>
  </si>
  <si>
    <t>The function of a site where a group of people with similar interests or backgrounds gather.</t>
  </si>
  <si>
    <t>Meeting places may be at residences, museums, restaurants, parks or a variety of other sites.  Clandestine or covert activities may occur at meeting places.</t>
  </si>
  <si>
    <t>membershipOrganization</t>
  </si>
  <si>
    <t>Membership Organization</t>
  </si>
  <si>
    <t>Concerns united by a common interest or goal primarily engaged in promoting the civic and social interests of their members.</t>
  </si>
  <si>
    <t>metalOreMining</t>
  </si>
  <si>
    <t>Metal Ore Mining</t>
  </si>
  <si>
    <t>The mining of metallic minerals (for example: iron, uranium, aluminum, copper, or nickel ore).</t>
  </si>
  <si>
    <t>Different methods may be employed (for example: underground or open-cast extraction or seabed mining) and ore dressing and beneficiating operations may be required (for example: crushing, grinding, washing, drying, sintering, calcining or leaching ore, gravity separation or flotation operations).</t>
  </si>
  <si>
    <t>metalProdManufac</t>
  </si>
  <si>
    <t>Metal Product Manufacturing</t>
  </si>
  <si>
    <t>The manufacture and transformation of basic metal into intermediate or end products.</t>
  </si>
  <si>
    <t>The processes include forging, stamping, bending, forming, and machining, used to shape individual pieces of metal; and other processes, such as welding and assembling, used to join separate parts together.</t>
  </si>
  <si>
    <t>metalRefining</t>
  </si>
  <si>
    <t>Metal Refining</t>
  </si>
  <si>
    <t>The manufacture of basic precious (for example: gold, silver, or platinum) and other non-ferrous metals (for example: copper, chrome, manganese, or nickel).</t>
  </si>
  <si>
    <t>Includes, for example, the production of: basic precious metals, metal alloys, and metal semi-products; silver or gold or platinum and platinum group metals rolled onto other metals; aluminium (and its alloys) from alumina or electrolytic refining of aluminium waste and scrap; lead, zinc and tin (and their alloys) from ores or from electrolytic refining of lead, zinc and tin waste and scrap; copper (and its alloys) from ores or from electrolytic refining of copper waste and scrap; chrome, manganese, nickel (and their alloys) from ores or oxides or from electrolytic and aluminothermic refining of chrome, manganese, nickel waste and scrap; mattes of nickel; and uranium metal from pitchblende or other ores. It also includes semi-manufacturing processes, for example: metal wire, metal extrusions, metal foils and metal foil laminates.</t>
  </si>
  <si>
    <t>migrantLabour</t>
  </si>
  <si>
    <t>Migrant Labour</t>
  </si>
  <si>
    <t>Labour provided by economic migrants that is generally unskilled and is used, for example, to harvest crops.</t>
  </si>
  <si>
    <t>The migrants generally move their residence throughout the year, following the seasonal demands for agricultural labour as different crops become ready for harvest. They may be either legally or illegally present in the host country.</t>
  </si>
  <si>
    <t>militaryRecruitment</t>
  </si>
  <si>
    <t>Military Recruitment</t>
  </si>
  <si>
    <t>The recruitment of individuals into voluntary military service.</t>
  </si>
  <si>
    <t>May be restricted to specific facilities termed a 'recruitment centre' or 'recruiting station'.</t>
  </si>
  <si>
    <t>militaryReserveActivities</t>
  </si>
  <si>
    <t>Military Reserve Activities</t>
  </si>
  <si>
    <t>The administration and training of military reserve personnel.</t>
  </si>
  <si>
    <t>May be restricted to specific facilities that have been specially prepared for mustering on a part time basis, use and interim storage of unit level weapons, and/or equipment. Such facilities may also serve as a military reserve headquarters.</t>
  </si>
  <si>
    <t>militaryVehicleManufac</t>
  </si>
  <si>
    <t>Military Vehicle Manufacture</t>
  </si>
  <si>
    <t>The manufacture of military fighting vehicles (for example: armoured tanks, armoured amphibious vehicles or armoured personnel carriers).</t>
  </si>
  <si>
    <t>mineralMining</t>
  </si>
  <si>
    <t>Mineral Mining</t>
  </si>
  <si>
    <t>The mining and quarrying of various materials (for example: abrasive materials, asbestos, siliceous fossil meals, natural graphite, steatite (talc), and feldspar) and minerals (for example: gemstones, quartz, or mica) other than those used in construction (for example: sand or stone), the manufacture of materials (for example: clay or gypsum), or the manufacture of chemicals (for example: potassium salts or native sulphur) or mineral fertilizer (for example: guano), or solid mineral fuels (for example: coal, petroleum).</t>
  </si>
  <si>
    <t>miningQuarrying</t>
  </si>
  <si>
    <t>Mining and Quarrying</t>
  </si>
  <si>
    <t>The extraction of minerals occurring naturally as solids (coal and ores), liquids (petroleum) or gases (natural gas).</t>
  </si>
  <si>
    <t>Extraction can be achieved by different methods (for example: underground or surface mining, well operation, or seabed mining). Includes supplementary activities aimed at preparing the crude materials for marketing (for example: crushing, grinding, cleaning, drying, sorting, concentrating ores, liquefaction of natural gas and agglomeration of solid fuels. These operations are often accomplished at or near the location where the resource is extracted.</t>
  </si>
  <si>
    <t>miscellaneousManufac</t>
  </si>
  <si>
    <t>Miscellaneous Manufacturing</t>
  </si>
  <si>
    <t>The manufacture of a variety of goods and a wide range of products.</t>
  </si>
  <si>
    <t>Processes used by these manufacturers vary considerably. Examples include the manufacturing of jewellery, sporting goods, office supplies, signs and brooms.</t>
  </si>
  <si>
    <t>mixedFarming</t>
  </si>
  <si>
    <t>Mixed Farming</t>
  </si>
  <si>
    <t>The combined production of crops and animals without a specialized production of either crops or animals.</t>
  </si>
  <si>
    <t>The size of the overall farming operation is not a determining factor. If either production of crops or animals exceeds 66 per cent or more of the overall economic value of the activity, the combined activity should not be included here, but allocated to crop or animal farming.</t>
  </si>
  <si>
    <t>mobilePhoneService</t>
  </si>
  <si>
    <t>Mobile Phone Service</t>
  </si>
  <si>
    <t>Supports voice transmission and reception using wireless radio wave transmission technology, communicating via a cellular network of base stations (cell sites), which is in turn linked to the conventional telephone network.</t>
  </si>
  <si>
    <t>In addition to the standard voice function of a telephone, a mobile phone can support many additional services such as SMS for text messaging, packet switching for access to the Internet, and MMS for sending and receiving photos and video.</t>
  </si>
  <si>
    <t>The securing of a vessel (for example: a ship or a barge) or other floating object to a fixed object or the sea bottom.</t>
  </si>
  <si>
    <t>mortuaryServices</t>
  </si>
  <si>
    <t>Mortuary Services</t>
  </si>
  <si>
    <t>The examination (as necessary) and preparation of corpses for funeral rites (for example: washing, dressing or casketing) and for subsequent disposal.</t>
  </si>
  <si>
    <t>A cold chamber may be used to keep the deceased as long as is necessary for identification purposes, or prior to post-mortem examination, or while awaiting burial.</t>
  </si>
  <si>
    <t>motel</t>
  </si>
  <si>
    <t>Motel</t>
  </si>
  <si>
    <t>A roadside hotel catering primarily for motorists, offering a place to sleep and motor vehicle parking.</t>
  </si>
  <si>
    <t>Modern motels offer most of the features of hotels (for example: a restaurant).</t>
  </si>
  <si>
    <t>motorVehicleManufac</t>
  </si>
  <si>
    <t>Motor Vehicle Manufacture</t>
  </si>
  <si>
    <t>The manufacture of motor vehicles (for example: passenger cars, commercial vehicles, buses, or fire engines).</t>
  </si>
  <si>
    <t>motorVehicleParking</t>
  </si>
  <si>
    <t>Motor Vehicle Parking</t>
  </si>
  <si>
    <t>Provides parking for motor vehicles.</t>
  </si>
  <si>
    <t>May be covered (for example: a parking garage) or uncovered (for example: a parking lot), and the overall allowed motor vehicle dimensions may be limited.</t>
  </si>
  <si>
    <t>motorVehicleRental</t>
  </si>
  <si>
    <t>Motor Vehicle Rental</t>
  </si>
  <si>
    <t>The renting and operational leasing of motor vehicles (for example: passenger cars (without drivers), trucks, utility trailers, or recreational vehicles).</t>
  </si>
  <si>
    <t>motorVehicleRepair</t>
  </si>
  <si>
    <t>Motor Vehicle Repair</t>
  </si>
  <si>
    <t>The routine maintenance and/or repair of motor vehicles (for example: buses, cars or trucks).</t>
  </si>
  <si>
    <t>munitionsManufac</t>
  </si>
  <si>
    <t>Munitions Manufacture</t>
  </si>
  <si>
    <t>The manufacture of weapons and/or ammunition.</t>
  </si>
  <si>
    <t>Includes, for example, the manufacture of: heavy weapons (for example: artillery, mobile guns, rocket launchers, torpedo tubes, or heavy machine guns); small arms (for example: revolvers, shotguns, or light machine guns); air or gas guns and pistols; explosive devices (for example: bombs, mines or torpedoes); and war ammunition. It also includes the manufacture of hunting, sporting or protective firearms and ammunition.</t>
  </si>
  <si>
    <t>museum</t>
  </si>
  <si>
    <t>Museum</t>
  </si>
  <si>
    <t>A permanent institution in the service of society and of its development, open to the public, which acquires, conserves, researches, communicates and exhibits, for purposes of study, education, enjoyment, the tangible and intangible evidence of people and their environment.</t>
  </si>
  <si>
    <t>musicalInstManufac</t>
  </si>
  <si>
    <t>Musical Instrument Manufacture</t>
  </si>
  <si>
    <t>The manufacture of devices that have been constructed with the specific purpose of making music.</t>
  </si>
  <si>
    <t>Includes, for example, the manufacture of: stringed instruments; keyboard stringed instruments, including automatic pianos; keyboard pipe organs, including harmoniums and similar keyboard instruments with free metal reeds; accordions and similar instruments, including mouth organs; wind instruments; percussion musical instruments; musical instruments, the sound of which is produced electronically; musical boxes, fairground organs, and calliopes; instrument parts and accessories (for example: metronomes, tuning forks, pitch pipes, cards, or discs and rolls for automatic mechanical instruments); and whistles, call horns and other mouth-blown sound signalling instruments.</t>
  </si>
  <si>
    <t>nationalGovernment</t>
  </si>
  <si>
    <t>National Government</t>
  </si>
  <si>
    <t>The performance of one or more functions of government (for example: executive, legislative, or judicial) at a national jurisdictional level.</t>
  </si>
  <si>
    <t>Supports directing the movement of vehicles (for example: ships or airplanes) from one point to another safely and efficiently.</t>
  </si>
  <si>
    <t>Includes, for example: course planning, position determination, hazard avoidance, and environmental condition (for example: weather) reporting.</t>
  </si>
  <si>
    <t>nightClub</t>
  </si>
  <si>
    <t>Night Club</t>
  </si>
  <si>
    <t>An entertainment venue (for example: live performance or dancing), that does its primary business after dark, usually providing food and drink.</t>
  </si>
  <si>
    <t>Dance Club, Disco, Discothèque</t>
  </si>
  <si>
    <t>nonMetalMineralManufac</t>
  </si>
  <si>
    <t>Nonmetallic Mineral Product Manufacturing</t>
  </si>
  <si>
    <t>The transformation and manufacture of mined or quarried nonmetallic minerals into products for transitional or final consumption.</t>
  </si>
  <si>
    <t>Mined or quarried nonmetallic minerals include sand, gravel, stone, clay, and refractory materials. Processes used in the manufacture of these products include grinding, mixing, cutting, shaping, honing and heating. The products produced in this manufacturing process includes glass, refractory ceramic goods, roofing tiles, ceramic tableware, hydraulic cements, precast concrete and stone products such as monuments.</t>
  </si>
  <si>
    <t>nonSpecializedStore</t>
  </si>
  <si>
    <t>Non-specialized Store</t>
  </si>
  <si>
    <t>The retail sale of a variety of product lines in the same unit.</t>
  </si>
  <si>
    <t>For example, a supermarket and a department store.</t>
  </si>
  <si>
    <t>nuclearResearchCentre</t>
  </si>
  <si>
    <t>Nuclear Research Centre</t>
  </si>
  <si>
    <t>An establishment supporting nuclear (atomic) experimentation or research.</t>
  </si>
  <si>
    <t>May support scholarly investigation or inquiry, but generally intended to ultimately result in commercial and/or military products.</t>
  </si>
  <si>
    <t>observationStation</t>
  </si>
  <si>
    <t>Observation Station</t>
  </si>
  <si>
    <t>A structure designed and equipped for making observations of astronomical, meteorological, or other natural phenomena.</t>
  </si>
  <si>
    <t>officeAdministration</t>
  </si>
  <si>
    <t>Office Administration</t>
  </si>
  <si>
    <t>The provision of a range of day to day office administrative services, such as financial planning, billing and record keeping, personnel and physical distribution and logistics for others on a contract or fee basis.</t>
  </si>
  <si>
    <t>Includes other support activities that are ongoing routine business support functions that businesses and organizations traditionally do for themselves (for example: transcription, document editing or proofreading, photocopying, or digital printing or prepress services).</t>
  </si>
  <si>
    <t>oilMill</t>
  </si>
  <si>
    <t>Oil-mill</t>
  </si>
  <si>
    <t>The manufacture of crude and refined oils (for example: olive oil, soya-bean oil, or palm oil) and fats (for example: margarine) from vegetable or animal materials.</t>
  </si>
  <si>
    <t>Includes, for example: manufacture of crude or refined vegetable oils (for example: olive oil, soya-bean oil, palm oil, sunflower-seed oil, cotton-seed oil, rape, colza or mustard oil, or linseed oil); manufacture of non-defatted flour or meal of oilseeds, oil nuts or oil kernels; processing of vegetable oils (for example: blowing, boiling, dehydration, or hydrogenation); manufacture of margarine, melanges and similar spreads; and the manufacture of compound cooking fats. It also includes, for example, the related activities of: manufacture of non-edible animal oils and fats; extraction of fish and marine mammal oils; and the production of cotton linters, oilcakes and other residual products of oil production.</t>
  </si>
  <si>
    <t>operaHouse</t>
  </si>
  <si>
    <t>Opera House</t>
  </si>
  <si>
    <t>A theatre designed specifically for the presentation of musical drama (for example: opera), although other performing arts may be presented (for example: ballet).</t>
  </si>
  <si>
    <t>It is often a prominent local landmark and may be architecturally distinct.</t>
  </si>
  <si>
    <t>oreDressing</t>
  </si>
  <si>
    <t>Ore Dressing</t>
  </si>
  <si>
    <t>The preparation or concentration of ore by treatment or cleaning to concentrate its valuable constituents (minerals) into products (concentrate) of smaller bulk, and simultaneously to collect the worthless material (termed 'gangue') into discardable waste (termed 'tailing').</t>
  </si>
  <si>
    <t>The fundamental operations of ore-dressing processes are the breaking apart of the associated constituents of the ore by mechanical means (termed 'severance') and the separation of the severed components (termed 'beneficiation') into concentrate and tailing, using mechanical or physical methods which do not result in substantial chemical changes.</t>
  </si>
  <si>
    <t>outPatientCare</t>
  </si>
  <si>
    <t>Out-patient Care</t>
  </si>
  <si>
    <t>Provides medical or surgical treatment for the ill or wounded on an out-patient basis (for example: at a clinic).</t>
  </si>
  <si>
    <t>The patient returns home following treatment without an overnight stay at the facility.May be provided in an individual physicians' office or in a clinic setting.</t>
  </si>
  <si>
    <t>palace</t>
  </si>
  <si>
    <t>Palace</t>
  </si>
  <si>
    <t>An executive centre for administration (usually of a State) that also houses, or has previously housed, a royal residence.</t>
  </si>
  <si>
    <t>May alternatively serve as the residence of a high dignitary in a religious establishment or government (for example: a president).</t>
  </si>
  <si>
    <t>paperMill</t>
  </si>
  <si>
    <t>Paper-mill</t>
  </si>
  <si>
    <t>The manufacture of pulp, paper, and paperboard (for example: non-corrugated cardboard).</t>
  </si>
  <si>
    <t>Includes, for example: manufacture of bleached, semi-bleached or unbleached paper pulp by mechanical, chemical (dissolving or nondissolving) or semi-chemical processes; manufacture of cotton-linters pulp; removal of ink and manufacture of pulp from waste paper; and the manufacture of paper and paperboard intended for further industrial processing. It also includes the further processing of paper and paperboard (for example: coating, covering and impregnation of paper and paperboard; manufacture of creped or crinkled paper; and manufacture of laminates and foils, if laminated with paper or paperboard) and the manufacture of: handmade paper; newsprint and other printing or writing paper; cellulose wadding and webs of cellulose fibres; and carbon paper or stencil paper in rolls or large sheets.</t>
  </si>
  <si>
    <t>Pulp Mill</t>
  </si>
  <si>
    <t>pastaManufac</t>
  </si>
  <si>
    <t>Pasta Manufacture</t>
  </si>
  <si>
    <t>The manufacture of farinaceous products (for example: macaroni, noodles, or couscous).</t>
  </si>
  <si>
    <t>Includes, for example, the manufacture of: pastas such as macaroni and noodles, whether or not cooked or stuffed; couscous; and canned or frozen pasta products.</t>
  </si>
  <si>
    <t>peatExtraction</t>
  </si>
  <si>
    <t>Peat Extraction</t>
  </si>
  <si>
    <t>The digging and/or agglomeration of peat.</t>
  </si>
  <si>
    <t>pedestrianTransport</t>
  </si>
  <si>
    <t>Pedestrian Transport</t>
  </si>
  <si>
    <t>The transport of individuals on foot, and supporting activities.</t>
  </si>
  <si>
    <t>Includes, for example, the use of human-powered vehicles (for example: tricycles) or human-sized but self-powered vehicles (for example: a motorized wheelchair or Segway personal transportation device).</t>
  </si>
  <si>
    <t>petrolSale</t>
  </si>
  <si>
    <t>Petrol Sale</t>
  </si>
  <si>
    <t>The retail sale of fuel for motor vehicles.</t>
  </si>
  <si>
    <t>May also include retail sale of lubricating and/or cooling products for motor vehicles.</t>
  </si>
  <si>
    <t>petroleumCoalProdManufac</t>
  </si>
  <si>
    <t>Petroleum and Coal Products Manufacturing</t>
  </si>
  <si>
    <t>The transformation of crude petroleum and coal into usable products.</t>
  </si>
  <si>
    <t>petroleumGasExtract</t>
  </si>
  <si>
    <t>Petroleum and/or Gas Extraction</t>
  </si>
  <si>
    <t>The production of crude petroleum, the mining and extraction of oil from oil shale and oil sands and the production of natural gas and recovery of hydrocarbon liquids.</t>
  </si>
  <si>
    <t>Includes the activities of operating and/or developing oil and gas field properties, for example: drilling, completing and equipping wells; operating separators, emulsion breakers, desilting equipment and field gathering lines for crude petroleum; and all other activities in the preparation of oil and gas up to the point of shipment from the producing property. Also includes the production of oil, the mining and extraction of oil from oil shale and oil sands and the production of gas and hydrocarbon liquids, through gasification, liquefaction and pyrolysis of coal at the mine site.</t>
  </si>
  <si>
    <t>petroleumRefining</t>
  </si>
  <si>
    <t>Petroleum Refining</t>
  </si>
  <si>
    <t>The manufacture of liquid or gaseous fuels or other products from crude petroleum, bituminous minerals or their fractionation products.</t>
  </si>
  <si>
    <t>Petroleum refining involves one or more of the following activities: fractionation, straight distillation of crude oil, and cracking. Includes, for example: production of motor fuel (for example: gasoline or kerosene; production of fuel (for example: light, medium and heavy fuel oil; or refinery gases such as ethane, propane and butane); manufacture of oil-based lubricating oils or greases, including from waste oil; manufacture of products for the petrochemical industry and for the manufacture of road coverings; manufacture of various commercial products (for example: white spirit, vaseline, paraffin wax, or petroleum jelly; manufacture of hard-coal and lignite fuel briquettes; manufacture of petroleum briquettes; and the blending of alcohol-based biofuels (for example: gasohol or E85).</t>
  </si>
  <si>
    <t>petShop</t>
  </si>
  <si>
    <t>Pet-shop</t>
  </si>
  <si>
    <t>Activities associated with the retail sales of animals to be kept as pets (for example: cats and dogs) and/or their supplies (for example: food and exercise equipment).</t>
  </si>
  <si>
    <t>Often requires cages, grooming equipment, and other non-typical retail equipment and spaces.</t>
  </si>
  <si>
    <t>Pet Store</t>
  </si>
  <si>
    <t>Activities associated with the preparation and retail dispensing of medicines.</t>
  </si>
  <si>
    <t>Chemist, Dispensary, Drug-store</t>
  </si>
  <si>
    <t>photography</t>
  </si>
  <si>
    <t>Photography</t>
  </si>
  <si>
    <t>Photographic activities including commercial (for example: advertising) and consumer (for example: portrait or wedding) photograph production, fine art photography, editorial photography, and photojournalism.</t>
  </si>
  <si>
    <t>pilotStation</t>
  </si>
  <si>
    <t>Pilot Station</t>
  </si>
  <si>
    <t>A position (for example: at sea or ashore) where maritime pilots are stationed and ready to board a vessel for pilotage.</t>
  </si>
  <si>
    <t>pipelineTransport</t>
  </si>
  <si>
    <t>Pipeline Transport</t>
  </si>
  <si>
    <t>The transport of gases, liquids, water, slurry and other commodities via pipelines, and supporting activities.</t>
  </si>
  <si>
    <t>placeOfWorship</t>
  </si>
  <si>
    <t>Place of Worship</t>
  </si>
  <si>
    <t>A place where religious worship is performed.</t>
  </si>
  <si>
    <t>Usually a building or similar structure is designed for this purpose.</t>
  </si>
  <si>
    <t>plasticProdManufac</t>
  </si>
  <si>
    <t>Plastic Product Manufacture</t>
  </si>
  <si>
    <t>The processing of new or spent (recycled) plastics resins into intermediate or final products, using such processes as compression molding, extrusion molding, injection molding, blow molding, and casting.</t>
  </si>
  <si>
    <t>For most of these, the production process is such that a wide variety of products can be made. Includes, for example, the manufacture of: semi-manufactures of plastic products (for example: plastic plates, sheets, blocks, film, foil, or strip (whether self-adhesive or not); finished plastic products (for example: plastic tubes, pipes and hoses, or hose and pipe fittings); plastic articles for the packing of goods (for example: plastic bags, sacks, containers, boxes, cases, carboys, or bottles); builders' plastics ware (for example: plastic doors, windows, frames, shutters, blinds, skirting boards; tanks, reservoirs; plastic floor, wall or ceiling coverings in rolls or in the form of tiles; plastic sanitary ware like plastic baths, shower-baths, washbasins, lavatory pans, and flushing cisterns); plastic tableware, kitchenware and toilet articles; cellophane film or sheet; resilient floor coverings (for example: vinyl or linoleum); artificial stone; and diverse other plastic products (for example: plastic headgear, insulating fittings, parts of lighting fittings, office or school supplies, articles of apparel (if only sealed together, not sewn), fittings for furniture, statuettes, transmission and conveyer belts, self-adhesive tapes of plastic, wall paper, shoe lasts, cigar and cigarette holders, combs, hair curlers, or plastic novelties).</t>
  </si>
  <si>
    <t>pollingStation</t>
  </si>
  <si>
    <t>Polling Station</t>
  </si>
  <si>
    <t>The function of serving as a place where voters cast their ballots in an election.</t>
  </si>
  <si>
    <t>Polling stations are often located at sites used for other purposes, such as schools or local government offices.  Typically, equipment used to collect ballots or cast votes is set up temporarily at the site.</t>
  </si>
  <si>
    <t>portControl</t>
  </si>
  <si>
    <t>Port Control</t>
  </si>
  <si>
    <t>Coordinates arrangements for logistic support and port services to vessels and otherwise supports the control of port operations.</t>
  </si>
  <si>
    <t>postalActivities</t>
  </si>
  <si>
    <t>Postal Activities</t>
  </si>
  <si>
    <t>Provides for the collection, processing and distribution of letters, packages and other mail.</t>
  </si>
  <si>
    <t>Often a government-furnished service, with commercial packaging and mailing services handled elsewhere.</t>
  </si>
  <si>
    <t>powerGeneration</t>
  </si>
  <si>
    <t>Power Generation</t>
  </si>
  <si>
    <t>On-site generation of heat and/or electricity.</t>
  </si>
  <si>
    <t>preciousMetalMerchant</t>
  </si>
  <si>
    <t>Precious Metal Merchant</t>
  </si>
  <si>
    <t>The retail sale of precious metals (for example: gold, silver and platinum), usually in the form of coins or small amounts of bullion.</t>
  </si>
  <si>
    <t>Many be accompanied by wholesale business-to-business (industrial, commercial, institutional or professional users) activities or resale to other wholesalers.</t>
  </si>
  <si>
    <t>preparedMealManufac</t>
  </si>
  <si>
    <t>Prepared Meal Manufacture</t>
  </si>
  <si>
    <t>The manufacture of ready-made (for example: prepared, seasoned and cooked) meals and dishes, in frozen or canned form.</t>
  </si>
  <si>
    <t>These dishes are usually packaged and labeled for re-sale. They include, for example: fresh or frozen meat or poultry dishes; canned stews and vacuum-prepared meals; other prepared meals (for example: 'TV dinners'); frozen fish dishes, including fish and chips; prepared dishes of vegetables; and frozen pizza.</t>
  </si>
  <si>
    <t>primaryEducation</t>
  </si>
  <si>
    <t>Primary Education</t>
  </si>
  <si>
    <t>The provision of academic courses and associated course work that give students a sound basic education in reading, writing and mathematics and an elementary understanding of other subjects such as history, geography, natural science, social science, art and music.</t>
  </si>
  <si>
    <t>Such education is generally provided for children, however the provision of literacy programmes within or outside the school system, which are similar in content to programmes in primary education but are intended for those considered too old to enter elementary schools, is also included.Also included is the provision of programmes at a similar level, suited to children with special needs education.Education can be provided in classrooms or through radio, television broadcast, Internet or correspondence.</t>
  </si>
  <si>
    <t>primaryMetalManufac</t>
  </si>
  <si>
    <t>Primary Metal Manufacturing</t>
  </si>
  <si>
    <t>The activities of smelting and/or refining ferrous and non-ferrous metals from ore, pig iron or scrap, using electrometallurgical and other process metallurgic techniques.</t>
  </si>
  <si>
    <t>The output of smelting and refining, usually in ingot form, is used in rolling, drawing, and extruding operations to make sheet, strip, bar, rod, or wire, and in molten form to make castings and other basic metal products.</t>
  </si>
  <si>
    <t>printPublishing</t>
  </si>
  <si>
    <t>Print Publishing</t>
  </si>
  <si>
    <t>The activities of publishing newspapers, including advertising newspapers as well as periodicals and other journals.</t>
  </si>
  <si>
    <t>The information is usually published in print form, but may also (or alternatively) be published in electronic form, including on the Internet.</t>
  </si>
  <si>
    <t>printing</t>
  </si>
  <si>
    <t>Printing</t>
  </si>
  <si>
    <t>An industrial process for reproducing copies of texts and images, typically with ink on paper using a printing press.</t>
  </si>
  <si>
    <t>Includes, for example, the printing of newspapers, magazines and other periodicals, books and brochures, music and music manuscripts, maps, atlases, posters, advertising catalogues, prospectuses and other printed advertising, postage stamps, taxation stamps, documents of title, cheques and other security papers, diaries, calendars, business forms and other commercial printed matter, personal stationery and other printed matter by a variety of methods (for example: letterpress, offset, photogravure, flexographic and other printing presse, duplication machine, computer printer, or embosser). The surfaces to be printed may include textiles, plastic, glass, metal, wood and ceramics.</t>
  </si>
  <si>
    <t>professionalScientificTech</t>
  </si>
  <si>
    <t>Professional, Scientific and Technical</t>
  </si>
  <si>
    <t>A variety of activities of a professional nature which provides assistance to clients.</t>
  </si>
  <si>
    <t>It includes those activities for which more advanced professional, scientific and technical skill levels are required.</t>
  </si>
  <si>
    <t>propaneSale</t>
  </si>
  <si>
    <t>Propane Sale</t>
  </si>
  <si>
    <t>The retail sale of liquefied propane fuel in pressurized hand-carry tanks.</t>
  </si>
  <si>
    <t>Propane is used as fuel for outdoor cooking in barbecues and portable stoves; the standard steel container holds 18 litre (4.73 U.S. gallon) and is often termed a 'barbecue tank'. Due to its low boiling point, it vaporizes as soon as it is released from its pressurized container.</t>
  </si>
  <si>
    <t>psychiatricInPatientCare</t>
  </si>
  <si>
    <t>Psychiatric In-patient Care</t>
  </si>
  <si>
    <t>Provides psychiatric medical treatment for the ill on an in-patient basis.</t>
  </si>
  <si>
    <t>The patient generally stays many weeks or months at the facility.</t>
  </si>
  <si>
    <t>publicAdministration</t>
  </si>
  <si>
    <t>Public Administration</t>
  </si>
  <si>
    <t>Federal, state, and local government agencies that administer, oversee, and manage public programs and have executive, legislative, or judicial authority over other institutions within a given area.</t>
  </si>
  <si>
    <t>publicHealthActivities</t>
  </si>
  <si>
    <t>Public Health Activities</t>
  </si>
  <si>
    <t>The organized effort(s) of society to protect and improve the health and well-being of the population through: health monitoring, assessment and surveillance; health promotion; reducing inequalities in health status; prevention of disease, injury, disorder, disability and premature death; and protection from environmental hazards to health.</t>
  </si>
  <si>
    <t>Accomplished through the organized efforts and informed choices of society, organizations (public and private), communities and individuals. Public health activities include epidemiology, biostatistics and health services, as well as environmental, social, behavioral, and occupational health.</t>
  </si>
  <si>
    <t>publicOrder</t>
  </si>
  <si>
    <t>Public Order</t>
  </si>
  <si>
    <t>Activities engaged in administration and operation of administrative civil and criminal law courts, military tribunals, judicial system, criminal and civil law enforcement, traffic safety, immigration control, correctional services and other activities related to the enforcement of the law and preservation of order.</t>
  </si>
  <si>
    <t>publicOrderSafetySecurity</t>
  </si>
  <si>
    <t>Public Order, Safety and Security Services</t>
  </si>
  <si>
    <t>Activities engaged in the administration of justice, public order, safety and security.</t>
  </si>
  <si>
    <t>publicRecords</t>
  </si>
  <si>
    <t>Public Records</t>
  </si>
  <si>
    <t>The activity of keeping records that the general public has a right to examine on file in a public office.</t>
  </si>
  <si>
    <t>Public records may be maintained and held in many different physical forms including, for example, textual correspondence, completed paper documents, bound record books, photographs, film, sound recordings, map drawings, Compact Disc (CD) or Digital Versatile Disc (DVD), or other forms of machine-readable materials.</t>
  </si>
  <si>
    <t>Archive, Archives</t>
  </si>
  <si>
    <t>publishingBroadcasting</t>
  </si>
  <si>
    <t>Publishing and Broadcasting</t>
  </si>
  <si>
    <t>The activities of producing and disseminating vocal, pictorial and/or textual information and cultural products, including a means to transmit or distribute these products, as well as data or communications, information technology activities.</t>
  </si>
  <si>
    <t>Publishing is the process of production and dissemination of literature or information to the general public. Forms of publishing include print, electronic or audio, the Internet or as multimedia products such as CD-ROM reference books. Broadcasting is the distribution of audio and video content to an audience via radio, television, cable or the internet.</t>
  </si>
  <si>
    <t>pumping</t>
  </si>
  <si>
    <t>Pumping</t>
  </si>
  <si>
    <t>The operation of pump stations associated with pipeline transport.</t>
  </si>
  <si>
    <t>radioBroadcasting</t>
  </si>
  <si>
    <t>Radio Broadcasting</t>
  </si>
  <si>
    <t>The activities of broadcasting audio signals through radio broadcasting studios and facilities for the transmission of aural programming to the public, to affiliates or to subscribers.</t>
  </si>
  <si>
    <t>May include the preparation of content (for example: in a news studio), radio broadcasting activities over the Internet (Internet radio stations), and/or data broadcasting integrated with radio broadcasting.</t>
  </si>
  <si>
    <t>railwayPassengerTransport</t>
  </si>
  <si>
    <t>Railway Passenger Transport</t>
  </si>
  <si>
    <t>The transport by rail of large groups of passengers.</t>
  </si>
  <si>
    <t>May involve either mainline networks, spread over an extensive geographic area, or operate over a short distance on a local rail line.</t>
  </si>
  <si>
    <t>railwayTransport</t>
  </si>
  <si>
    <t>Railway Transport</t>
  </si>
  <si>
    <t>The transport by rail of passengers and/or freight using railway rolling stock, and supporting activities.</t>
  </si>
  <si>
    <t>railwayVehicleManufac</t>
  </si>
  <si>
    <t>Railway Vehicle Manufacture</t>
  </si>
  <si>
    <t>The manufacture of railway locomotives, rolling stock and related equipment.</t>
  </si>
  <si>
    <t>Includes, for example, the manufacture of: electric, diesel, steam and other rail locomotives; self-propelled railway or tramway coaches, vans and trucks, maintenance or service vehicles; railway or tramway rolling stock, not self-propelled (for example: passenger coaches, goods vans, tank wagons, self-discharging vans and wagons, workshop vans, crane vans, or tenders); specialized parts of railway or tramway locomotives or of rolling stock (for example: bogies, axles and wheels, brakes and parts of brakes; hooks and coupling devices, buffers and buffer parts; shock absorbers; wagon and locomotive frames; bodies; or corridor connections). It also includes, for example, the manufacture of: mechanical and electromechanical signalling, safety and traffic control equipment for railways, tramways, inland waterways, roads, parking facilities, or airfields; and mining locomotives and mining rail cars.</t>
  </si>
  <si>
    <t>railwayVehicleRepair</t>
  </si>
  <si>
    <t>Railway Vehicle Repair</t>
  </si>
  <si>
    <t>The routine maintenance and/or repair of railway vehicles (for example: locomotives or railway wagons).</t>
  </si>
  <si>
    <t>raisingOfAnimals</t>
  </si>
  <si>
    <t>Raising of Animals</t>
  </si>
  <si>
    <t>The raising and breeding of all animals (for example: cattle, sheep, or pigs), except aquatic animals.</t>
  </si>
  <si>
    <t>realEstateActivities</t>
  </si>
  <si>
    <t>Real Estate Activities</t>
  </si>
  <si>
    <t>Acting as lessors, agents and/or brokers in land along with anything permanently affixed to the land (for example: buildings).</t>
  </si>
  <si>
    <t>For example, selling or buying real estate, renting real estate, or providing other real estate services such as appraising real estate or acting as real estate escrow agents.</t>
  </si>
  <si>
    <t>recreation</t>
  </si>
  <si>
    <t>Recreation</t>
  </si>
  <si>
    <t>The provision of recreational (for example: boating, camping, fishing, or dancing), amusement (for example: amusement or theme parks) and sports activities (for example: individual or team sports).</t>
  </si>
  <si>
    <t>Dramatic arts, music and other arts and entertainment (for example: theatrical presentations, concerts and opera or dance productions and other stage productions) are excluded.</t>
  </si>
  <si>
    <t>refractoryProdManufac</t>
  </si>
  <si>
    <t>Refractory Product Manufacture</t>
  </si>
  <si>
    <t>The manufacture of refractory products used to resist heat (for example: used to line the inside walls of a furnace).</t>
  </si>
  <si>
    <t>Includes, for example, the manufacture of refractory mortars and concretes, as well as refractory ceramic goods (for example: heat-insulating ceramic goods of siliceous fossil meals; refractory bricks, blocks and tiles; and retorts, crucibles, muffles, nozzles, tubes, and pipes. it also includes the manufacture of refractory articles containing magnesite, dolomite or chromite.</t>
  </si>
  <si>
    <t>refugeeShelter</t>
  </si>
  <si>
    <t>Refugee Shelter</t>
  </si>
  <si>
    <t>A temporary shelter for people to live whose claim for protection has been recognised as satisfying the criteria laid down in the 1951 United Nations Convention on Refugees.</t>
  </si>
  <si>
    <t>Often established by governments or non-governmental organizations (such as the International Committee of the Red Cross) as temporary camps, and thus often termed a 'refugee camp'. Refugee camps are generally set up in an impromptu fashion (for example: using tents), and only designed to meet basic human needs for a short time; when civil war or other problems prevent the return of refugees, or children essentially grow up in the camps, a humanitarian crisis can result.</t>
  </si>
  <si>
    <t>religiousActivities</t>
  </si>
  <si>
    <t>Religious Activities</t>
  </si>
  <si>
    <t>Activities of religious organizations or individuals providing services either directly to worshippers (for example: in churches, mosques, temples, synagogues or other places of worship) or through the preparation of individuals for such service.</t>
  </si>
  <si>
    <t>Includes religious communities (for example: a convent or a monastery), religious retreats, and religious funeral service activities.</t>
  </si>
  <si>
    <t>rescueParamedical</t>
  </si>
  <si>
    <t>Rescue and Paramedical Services</t>
  </si>
  <si>
    <t>The administration and operation of specially trained rescue and paramedical personnel qualified to extract individuals from life-threatening situations and to administer emergency medical treatment.</t>
  </si>
  <si>
    <t>residence</t>
  </si>
  <si>
    <t>Residence</t>
  </si>
  <si>
    <t>The provision of accommodation in the form of a long-term primary residence.</t>
  </si>
  <si>
    <t>Includes, for example: apartments, condominiums, houses (either attached or detached), and manufactured houses. May be rented or owner-occupied and each generally serves as the residence of a single (perhaps extended) family.</t>
  </si>
  <si>
    <t>residentialCare</t>
  </si>
  <si>
    <t>Residential Care</t>
  </si>
  <si>
    <t>The long-term provision of both accommodation and meals combined with either nursing, supervisory or other types of care as required by the residents.</t>
  </si>
  <si>
    <t>The care provided is a mix of health and social services with the health services being largely some level of nursing services.Residential care falls between the nursing care delivered in skilled or intermediate care facilities and the assistance provided through social services.</t>
  </si>
  <si>
    <t>resort</t>
  </si>
  <si>
    <t>Resort</t>
  </si>
  <si>
    <t>A specialized hotel, usually fashionable, where people go for vacation, health (for example: a spa), and/or participation sports activities (for example: skiing).</t>
  </si>
  <si>
    <t>The activity of providing food services to customers, whether they are served while seated or serve themselves from a display of items.</t>
  </si>
  <si>
    <t>The prepared meals are usually eaten on the premises, however they may be taken out to be eaten elsewhere. In some cases the meals may be ordered in advance and delivered to the customer location.</t>
  </si>
  <si>
    <t>restroom</t>
  </si>
  <si>
    <t>Restroom</t>
  </si>
  <si>
    <t>A location for practicing good hygiene in order to ensure personal cleanliness and promotion of health.</t>
  </si>
  <si>
    <t>Hygienic practices include washing of the hands and/or face, elimination of bodily wastes, and adjustment of personal appearance (for example: the use of a mirror to configure hair or apply make-up).</t>
  </si>
  <si>
    <t>retailBanking</t>
  </si>
  <si>
    <t>Retail Banking</t>
  </si>
  <si>
    <t>The receiving of deposits and/or close substitutes for deposits and extending of credit or lending funds.</t>
  </si>
  <si>
    <t>retailSale</t>
  </si>
  <si>
    <t>Retail Sale</t>
  </si>
  <si>
    <t>The sale of  goods directly to the consumer or end-user for personal or household consumption, normally in small quantities and in the condition in which they were purchased or following minor alterations.</t>
  </si>
  <si>
    <t>retailTelecom</t>
  </si>
  <si>
    <t>Retail Telecommunications</t>
  </si>
  <si>
    <t>The retail transmission and receipt of voice, data, text, sound and/or video by electronic means.</t>
  </si>
  <si>
    <t>For example, telephone and Internet access service.</t>
  </si>
  <si>
    <t>roadFreightTransport</t>
  </si>
  <si>
    <t>Road Freight Transport</t>
  </si>
  <si>
    <t>The transport by road of freight using motor vehicles (for example: trucks) specialized for that purpose.</t>
  </si>
  <si>
    <t>roadPassengerTransport</t>
  </si>
  <si>
    <t>Road Passenger Transport</t>
  </si>
  <si>
    <t>The transport by road of large groups of passengers using motor vehicles (for example: buses) specialized for that purpose.</t>
  </si>
  <si>
    <t>roadTransport</t>
  </si>
  <si>
    <t>Road Transport</t>
  </si>
  <si>
    <t>The transport by road of passengers and/or freight using motor vehicles, and supporting activities.</t>
  </si>
  <si>
    <t>Included are: transport by private vehicles; taxi operations; scheduled bus services; charters, excursions and other occasional coach services; and commercial truck haulage (for example: retail products, bulk liquids, refrigerated produce, or waste).</t>
  </si>
  <si>
    <t>rubberProdManufac</t>
  </si>
  <si>
    <t>Rubber Product Manufacture</t>
  </si>
  <si>
    <t>The manufacture of products of natural or synthetic rubber, unvulcanized, vulcanized or hardened.</t>
  </si>
  <si>
    <t>Includes, for example, the manufacture of: rubber tyres or tubes; rubber plates, sheets, strip, rods, or profile shapes; tubes, pipes and hoses; conveyor or transmission belts or belting; hygienic articles (for example: sheath contraceptives, teats, or hot water bottles); articles of apparel (if only sealed together, not sewn); rubber thread and rope; rubberized yarn and fabrics; rubber rings, fittings and seals; rubber roller coverings; inflatable rubber mattresses and balloons.; rubber brushes; hard rubber pipe stems; and hard rubber combs, hair pins, hair rollers, and similar items. It also includes the manufacture of: rubber repair materials; textile fabric impregnated, coated, covered or laminated with rubber, where rubber is the chief constituent; rubber waterbed mattresses; rubber bathing caps and aprons; and rubber wet suits and diving suits.</t>
  </si>
  <si>
    <t>safety</t>
  </si>
  <si>
    <t>Safety</t>
  </si>
  <si>
    <t>Activities engaged in firefighting, fire prevention, rescue and assistance provided in disasters, floods, accidents and other types of hazards and threats.</t>
  </si>
  <si>
    <t>salesYard</t>
  </si>
  <si>
    <t>Sales Yard</t>
  </si>
  <si>
    <t>The retail sale of sand, gravel, stone, brick, lumber and/or other similar bulk building materials.</t>
  </si>
  <si>
    <t>Because of the nature of the merchandise most is stored outside, possibly covered by a roof, thus the term 'yard'.</t>
  </si>
  <si>
    <t>saltExtraction</t>
  </si>
  <si>
    <t>Salt Extraction</t>
  </si>
  <si>
    <t>The extraction of salt from underground (for example: by mining or by dissolving and pumping) or by evaporation of sea water or other saline waters.</t>
  </si>
  <si>
    <t>Includes crushing, purification and refining of salt by the producer.</t>
  </si>
  <si>
    <t>satelliteGroundControl</t>
  </si>
  <si>
    <t>Satellite Ground Control</t>
  </si>
  <si>
    <t>The activities of command and control, tracking, and maintenance (for example: subsystem analysis, system planning and scheduling, orbit determination and maintenance, and data routing and control) of an artificial satellite in orbit from ground-based facilities.</t>
  </si>
  <si>
    <t>The ground control facility may also directly or indirectly support the overall satellite mission (for example: data and communication relay, or sophisticated data collection and processing).</t>
  </si>
  <si>
    <t>satelliteTelecom</t>
  </si>
  <si>
    <t>Satellite Telecommunications</t>
  </si>
  <si>
    <t>The activities of operating, maintaining and/or providing access to facilities for the transmission of voice, data, text, sound, and video using a satellite telecommunications infrastructure.</t>
  </si>
  <si>
    <t>Includes, for example, the delivery of visual, aural or textual programming received from cable networks, local television stations, or radio networks to consumers via direct-to-home satellite systems as well as the provision of Internet access by the operator of the satellite infrastructure.</t>
  </si>
  <si>
    <t>sawmilling</t>
  </si>
  <si>
    <t>Sawmilling</t>
  </si>
  <si>
    <t>The sawmilling and planing of wood and related processes (for example: drying or preservative treatment) and products (for example: railway sleepers or flooring).</t>
  </si>
  <si>
    <t>Includes, for example: sawing, planing and machining of wood; slicing, peeling or chipping logs; manufacture of wooden railway sleepers; manufacture of unassembled wooden flooring; and manufacture of wood wool, wood flour, chips, and particles. It also includes the processes of drying of wood and impregnation or chemical treatment of wood with preservatives or other materials.</t>
  </si>
  <si>
    <t>scientificResearchDevel</t>
  </si>
  <si>
    <t>Scientific Research and Development</t>
  </si>
  <si>
    <t>Future-oriented, longer-term activities in science or technology, using similar techniques to scientific research without pre-determined outcomes and with broad forecasts of commercial yield.</t>
  </si>
  <si>
    <t>Includes three types of research and development: 1) basic research: experimental or theoretical work undertaken primarily to acquire new knowledge of the underlying foundations of phenomena and observable facts, without particular application or use in view, 2) applied research: original investigation undertaken in order to acquire new knowledge, directed primarily towards a specific practical aim or objective and 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</si>
  <si>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seafoodProcessing</t>
  </si>
  <si>
    <t>Seafood Processing</t>
  </si>
  <si>
    <t>The processing and preserving of fish (for example: herring or salmon), crustaceans (for example: lobster or shrimp) and molluscs (for example: clams or oysters).</t>
  </si>
  <si>
    <t>Includes, for example: preparation and preservation (for example: by freezing, deep-freezing, drying, smoking, salting, immersing in brine, or canning); production of fish, crustacean and mollusc products (for example: cooked fish, fish fillets, roes, caviar, or caviar substitutes); production of fishmeal for human consumption or animal feed; and the production of meals and solubles from fish and other aquatic animals unfit for human consumption. It also includes, for example, the related activities of: activities of vessels engaged only in the processing and preserving of fish, and the processing of seaweed.</t>
  </si>
  <si>
    <t>secondaryEducation</t>
  </si>
  <si>
    <t>Secondary Education</t>
  </si>
  <si>
    <t>The provision of the type of education that lays the foundation for lifelong learning and human development and is capable of furthering education opportunities.</t>
  </si>
  <si>
    <t>Often corresponds to the period of compulsory school attendance.Such schools provide programmes that are usually on a more subject-oriented pattern using more specialized teachers, and more often employ several teachers conducting classes in their field of specialization.Education can be provided in classrooms or through radio, television broadcast, Internet or correspondence.</t>
  </si>
  <si>
    <t>securityBrokerage</t>
  </si>
  <si>
    <t>Security Brokerage</t>
  </si>
  <si>
    <t>The operation of security and commodity brokerages dealing in financial markets on behalf of others (for example: stock broking) and related activities.</t>
  </si>
  <si>
    <t>securityEnforcement</t>
  </si>
  <si>
    <t>Security Enforcement</t>
  </si>
  <si>
    <t>The administration and operation of security forces of limited jurisdiction (for example: airport police, campus police, hospital police or park police) who are employed by organizations to protect their facilities, properties, personnel, users, visitors and operations from harm.</t>
  </si>
  <si>
    <t>The forces may be certified by legal authorities to exercise limited police type powers (for example: crime prevention, arrest, law enforcement and investigation).</t>
  </si>
  <si>
    <t>securityServices</t>
  </si>
  <si>
    <t>Security Services</t>
  </si>
  <si>
    <t>The administration and operation of security forces and guards of limited jurisdiction.</t>
  </si>
  <si>
    <t>sewerage</t>
  </si>
  <si>
    <t>Sewerage</t>
  </si>
  <si>
    <t>The activities of operating sewer systems, sewer treatment facilities and /or collection and transport of human or industrial wastewater.</t>
  </si>
  <si>
    <t>Includes: collection and transport of wastewater from one or several users, as well as rain water by means of sewerage networks, collectors, tanks and other means of transport (for example: sewage vehicles); emptying and cleaning of cesspools and septic tanks, sinks and pits from sewage; servicing of chemical toilets; treatment of wastewater (including human and industrial wastewater) by means of physical, chemical and biological processes (for example: dilution, screening, filtering, sedimentation); and maintenance and cleaning of sewers and drains, including sewer rodding.</t>
  </si>
  <si>
    <t>sewerageScreening</t>
  </si>
  <si>
    <t>Sewerage Screening</t>
  </si>
  <si>
    <t>Pre-treatment of waste water by means screening and/or filtering non-soluble solids and trash before being treated by physical, chemical and/or biological processes.</t>
  </si>
  <si>
    <t>shipConstruction</t>
  </si>
  <si>
    <t>Ship Construction</t>
  </si>
  <si>
    <t>The construction of ships, boats and other floating structures for transportation and other commercial purposes, as well as for sports and recreational purposes.</t>
  </si>
  <si>
    <t>shipRepair</t>
  </si>
  <si>
    <t>Ship Repair</t>
  </si>
  <si>
    <t>The routine maintenance and repair of ships and/or pleasure boats.</t>
  </si>
  <si>
    <t>shootingRange</t>
  </si>
  <si>
    <t>Shooting Range</t>
  </si>
  <si>
    <t>A specialized facility designed for firearms practice and competition.</t>
  </si>
  <si>
    <t>Indoor ranges are usually designed for stationary target practice while outdoor ranges may be designed for stationary target practice and additionally may support moving target practice (for example: skeet or trap shooting with clay targets).Pistols, rifles, airguns, semi-automatic, and/or fully-automatic weapons may be allowed.</t>
  </si>
  <si>
    <t>shortTermAccommodation</t>
  </si>
  <si>
    <t>Short-term Accommodation</t>
  </si>
  <si>
    <t>Provides lodging on a nightly or weekly basis.</t>
  </si>
  <si>
    <t>Short-term accommodations include furnished rooms or suites or complete self-contained units with kitchens, housekeeping services, and may often include a range of additional services such as food and beverage services, parking, laundry services, swimming pools and exercise rooms, recreational facilities and conference and convention facilities.</t>
  </si>
  <si>
    <t>signalling</t>
  </si>
  <si>
    <t>Signalling</t>
  </si>
  <si>
    <t>The use of signals for controlling a transportation system.</t>
  </si>
  <si>
    <t>For example, station displays to advise passengers of vehicle arrival and/or departure times, railway signals to control use of track segments, and road signage to advise motorists of hazards, detours, and/or road closures.</t>
  </si>
  <si>
    <t>silviculture</t>
  </si>
  <si>
    <t>Silviculture</t>
  </si>
  <si>
    <t>Controlling the establishment, growth, composition, health, and quality of forests to meet diverse needs and values of landowners and society on a sustainable basis.</t>
  </si>
  <si>
    <t>Includes, for example: growing of standing timber (for example: planting, replanting, transplanting, thinning and conserving of forests and timber tracts); growing of coppice, pulpwood and fire wood; and operation of forest tree nurseries. These activities can be carried out in natural or planted forests.</t>
  </si>
  <si>
    <t>socialWork</t>
  </si>
  <si>
    <t>Social Work</t>
  </si>
  <si>
    <t>Social, counselling, welfare, refugee, referral and similar services which are delivered to individuals and families in their homes or elsewhere and carried out by government offices or by private organizations, disaster relief organizations and national or local self-help organizations and by specialists providing counselling services.</t>
  </si>
  <si>
    <t>Includes, for example: welfare and guidance activities for children and adolescents; adoption activities; household budget counselling; marriage and family guidance; credit and debt counselling; vocational rehabilitation and habilitation activities for unemployed persons; eligibility determination in connection with welfare aid, rent supplements or food stamps; day facilities for the homeless and other socially weak groups; and charitable activities like fund-raising or other supporting activities aimed at social work.</t>
  </si>
  <si>
    <t>softDrinkManufac</t>
  </si>
  <si>
    <t>Soft Drink Manufacture</t>
  </si>
  <si>
    <t>The manufacture of soft drinks and the production of natural mineral waters and other bottled waters.</t>
  </si>
  <si>
    <t>Includes the manufacture of various non-alcoholic beverages (excepting non-alcoholic beer and wine) and non-alcoholic flavoured and/or sweetened waters; for example: lemonade, orangeade, cola, fruit drinks, or tonic waters.</t>
  </si>
  <si>
    <t>solidMineralFuelMining</t>
  </si>
  <si>
    <t>Solid Mineral Fuel Mining</t>
  </si>
  <si>
    <t>The extraction of solid mineral fuels (for example: coal or lignite) includes underground or open-cast mining and includes operations (for example: grading, cleaning, compressing and other steps necessary for transportation) leading to a marketable product.</t>
  </si>
  <si>
    <t>specializedStore</t>
  </si>
  <si>
    <t>Specialized Store</t>
  </si>
  <si>
    <t>The retail sale of a single product line, or a few closely related product lines, in the same unit.</t>
  </si>
  <si>
    <t>For example, a clothing store, sporting goods store, cellular telephone store or a packaging and shipping store.</t>
  </si>
  <si>
    <t>spiritDistillery</t>
  </si>
  <si>
    <t>Spirit Distillery</t>
  </si>
  <si>
    <t>The distilling, rectifying and blending of spirits (for example: brandy, gin or whiskey) for human consumption.</t>
  </si>
  <si>
    <t>Includes, for example: manufacture of distilled, potable, alcoholic beverages (for example: whisky, brandy, gin, liqueurs, or 'mixed drinks'); blending of distilled spirits; and the production of neutral spirits.</t>
  </si>
  <si>
    <t>sportsCentre</t>
  </si>
  <si>
    <t>Sports Centre</t>
  </si>
  <si>
    <t>A place that is used principally for performing and observing sporting events, but also may include training fields and related fitness facilities.</t>
  </si>
  <si>
    <t>Usually organized around a central stadium that may be located indoors (and then often termed an 'arena').</t>
  </si>
  <si>
    <t>sportsGoodsManufac</t>
  </si>
  <si>
    <t>Sports Goods Manufacture</t>
  </si>
  <si>
    <t>This class includes the manufacture of articles and equipment for sports, outdoor and indoor games (except apparel and footwear).</t>
  </si>
  <si>
    <t>It includes, for example, the manufacture of: hard, soft and inflatable balls; rackets, bats and clubs; skis, bindings and poles; ski-boots; sailboards and surfboards; requisites for sport fishing, including landing nets; requisites for hunting, mountain climbing, and similar outdoor sports; leather sports gloves and sports headgear; ice skates and roller skates; bows and crossbows; and gymnasium, fitness centre or athletic equipment.</t>
  </si>
  <si>
    <t>sportsAmusementRecreation</t>
  </si>
  <si>
    <t>Sports, Amusement and Recreation</t>
  </si>
  <si>
    <t>Activities that meet recreational and amusement interests of the general public.</t>
  </si>
  <si>
    <t>These establishments may include provisions for watching or participating in sporting, amusement and recreational activities.</t>
  </si>
  <si>
    <t>station</t>
  </si>
  <si>
    <t>Station</t>
  </si>
  <si>
    <t>Activities associated with disembarking or taking on passengers or freight along a transportation route (for example: railway, pipeline, road, water or air).</t>
  </si>
  <si>
    <t>steelMill</t>
  </si>
  <si>
    <t>Steel Mill</t>
  </si>
  <si>
    <t>The manufacture of basic iron and steel, including direct reduction of iron ore, production of pig iron in molten or solid form, conversion of pig iron into steel, manufacture of ferroalloys and manufacture of steel products (for example: railway track materials, seamless or welded steel tube, or tube fittings with flanges).</t>
  </si>
  <si>
    <t>The iron and steel produced is shipped in basic shapes such as plate, sheet, strip, bars, rods or wire.</t>
  </si>
  <si>
    <t>stoneProdManufac</t>
  </si>
  <si>
    <t>Stone Product Manufacture</t>
  </si>
  <si>
    <t>The cutting, shaping and finishing of stone articles for final use (for example: building facings, monuments, headstones, curbs, or road surfaces).</t>
  </si>
  <si>
    <t>Also includes the manufacture of stone furniture.</t>
  </si>
  <si>
    <t>Activities associated with disembarking or taking on passengers or freight at an intermediate point along a transportation route (for example: railway, pipeline, road, water or air).</t>
  </si>
  <si>
    <t>Usually having minimal (for example: a sign or shelter) or no associated facilities.</t>
  </si>
  <si>
    <t>storageHumanRemains</t>
  </si>
  <si>
    <t>Storage of Human Remains</t>
  </si>
  <si>
    <t>Used for the long-term storage of human corpses and ashes.</t>
  </si>
  <si>
    <t>For example, a columbarium.</t>
  </si>
  <si>
    <t>structMetalProdManufac</t>
  </si>
  <si>
    <t>Structural Metal Product Manufacture</t>
  </si>
  <si>
    <t>The manufacture of structural metal products (for example: metal frameworks or parts for construction), metal container-type objects (for example: reservoirs, tanks, central heating boilers) and/or steam generators.</t>
  </si>
  <si>
    <t>Includes, for example, the manufacture of: metal frameworks or skeletons for construction and parts thereof (for example: towers, masts, trusses, or bridges); industrial frameworks in metal (for example: frameworks for blast furnaces or lifting and handling equipment); prefabricated buildings mainly of metal (for example: site huts or modular exhibition elements; metal doors, windows and their frames, shutters and gates; metal room partitions for floor attachment; reservoirs, tanks and similar containers of metal, of types normally installed as fixtures for storage or manufacturing use; metal containers for compressed or liquefied gas; central heating boilers and radiators; steam or other vapour generators; auxiliary plant for use with steam generators (for example: condensers, economizers, superheaters, steam collectors or accumulators); nuclear reactors, except isotope separators; and parts for marine or power boilers.</t>
  </si>
  <si>
    <t>subnationalGovernment</t>
  </si>
  <si>
    <t>Subnational Government</t>
  </si>
  <si>
    <t>The performance of one or more functions of government (for example: executive, legislative, or judicial) at a subnational jurisdictional level.</t>
  </si>
  <si>
    <t>Subnational governments manage the principal administrative divisions of a nation. Common principal administrative subdivisions include, for example, a (US) state, (UK) county, (CA) province, (FR) departement, (CH) canton, or (GE) laender.</t>
  </si>
  <si>
    <t>sugarManufac</t>
  </si>
  <si>
    <t>Sugar Manufacture</t>
  </si>
  <si>
    <t>The manufacture of sugar in various forms (for example: granulated or syrup).</t>
  </si>
  <si>
    <t>Includes, for example: manufacture or refining of sugar (sucrose) and sugar substitutes from the juice of cane, beet, maple and palm; manufacture of sugar syrups and molasses; and the production of maple syrup and maple sugar.</t>
  </si>
  <si>
    <t>sugarMilling</t>
  </si>
  <si>
    <t>Sugar Milling</t>
  </si>
  <si>
    <t>The manufacture of raw sugar from sugar cane.</t>
  </si>
  <si>
    <t>The sugar cane stalks are washed, then chopped and shredded, then repeatedly mixed with water and crushed between rollers; the collected juices contain 10 to 15 percent sucrose. The remaining fibrous solids and termed 'bagasse' and are often burnt for fuel. Filtering, pH adjustment, clarification, evaporation and crystallization result in raw sugar that is yellow to brown in color.</t>
  </si>
  <si>
    <t>sugarRefining</t>
  </si>
  <si>
    <t>Sugar Refining</t>
  </si>
  <si>
    <t>The manufacture of refined sugar from raw sugar.</t>
  </si>
  <si>
    <t>The raw sugar is mixed with heavy syrup, centrifuged, separated, dissolved, treated, filtered, concentrated to supersaturation and then repeatedly crystallized under vacuum to produce white refined sugar. To produce granulated sugar in which the individual sugar grains do not clump together, the refined sugar must be completely dried. This is accomplished first by drying the sugar in a hot rotary dryer, and then by conditioning the sugar by blowing cool air through it for several days.</t>
  </si>
  <si>
    <t>surveying</t>
  </si>
  <si>
    <t>Surveying</t>
  </si>
  <si>
    <t>The provision of geophysical, geologic, seismic and geodetic surveying and mapping services.</t>
  </si>
  <si>
    <t>Includes, for example: land and boundary surveying, hydrologic surveying, subsurface surveying, and cartographic and spatial information activities.</t>
  </si>
  <si>
    <t>telecommunications</t>
  </si>
  <si>
    <t>Telecommunications</t>
  </si>
  <si>
    <t>The transmission and receipt of voice, data, text, sound and/or video by electronic means.</t>
  </si>
  <si>
    <t>For example, telegraphy, television broadcasting, satellite radio, digital mobile phone service, and the Internet.</t>
  </si>
  <si>
    <t>televisionBroadcasting</t>
  </si>
  <si>
    <t>Television Broadcasting</t>
  </si>
  <si>
    <t>The activities of television channels broadcasting images, together with sound and/or data, through television broadcasting studios and transmission of programming over the public airwaves.</t>
  </si>
  <si>
    <t>May include the preparation of content (for example: in a news studio). The schedule of programming may be self produced or acquired from others, and visual programming may be transmitted to affiliated broadcast television stations, which in turn broadcast the programs to the public on a predetermined schedule over cable or the internet.</t>
  </si>
  <si>
    <t>terminal</t>
  </si>
  <si>
    <t>Terminal</t>
  </si>
  <si>
    <t>Serving to terminate one or more transportation routes (for example: railway, pipeline, road, water or air) and including facilities for disembarking and/or taking on passengers or freight.</t>
  </si>
  <si>
    <t>Usually has extensive associated facilities for vehicle parking, ticket sales, freight expediting, and/or freight storage (for example: warehouses or storage tanks). Often intermodal, supporting the transfer of passengers or freight from one transportation modality to another (for example: from motor vehicle to air vehicle, or from pipeline to tanker vessel).</t>
  </si>
  <si>
    <t>textileManufac</t>
  </si>
  <si>
    <t>Textile Manufacture</t>
  </si>
  <si>
    <t>The preparation and spinning of textile fibres as well as textile weaving, finishing of textiles, and the manufacture of made-up textile articles (for example: household linen, blankets, rugs, or cordage) except wearing apparel.</t>
  </si>
  <si>
    <t>textileAppLeatherManufac</t>
  </si>
  <si>
    <t>Textile, Apparel and Leather Manufacture</t>
  </si>
  <si>
    <t>The manufacture of textile, apparel, leather and other materials from natural and synthetic sources.</t>
  </si>
  <si>
    <t>Textile, apparel, leather and other materials range from furs, to woven materials, to exotic natural and synthetic fabrics.</t>
  </si>
  <si>
    <t>theatre</t>
  </si>
  <si>
    <t>Theatre</t>
  </si>
  <si>
    <t>A place (for example: a building, a structure, or an outdoor setting) for live theatrical presentations, concerts, opera or dance productions and/or other stage productions.</t>
  </si>
  <si>
    <t>May also be used to host other cultural events (for example: lectures or the presentation of motion pictures).</t>
  </si>
  <si>
    <t>tobaccoProdManufac</t>
  </si>
  <si>
    <t>Tobacco Product Manufacture</t>
  </si>
  <si>
    <t>The processing of an agricultural product, tobacco, into a form suitable for final consumption.</t>
  </si>
  <si>
    <t>Includes, for example, the manufacture of tobacco products and products of tobacco substitutes (for example: cigarettes, cigarette tobacco, cigars, pipe tobacco, chewing tobacco, or snuff) as well as the manufacture of 'homogenized' or 'reconstituted' tobacco. It also inclused the process of stemming and redrying of tobacco.</t>
  </si>
  <si>
    <t>transferHub</t>
  </si>
  <si>
    <t>Transfer Hub</t>
  </si>
  <si>
    <t>Allows for the transfer of passengers and/or freight between two or more transportation routes (for example: railway, pipeline, road, water or air) of the same type.</t>
  </si>
  <si>
    <t>There are no facilities for disembarking and/or taking on passengers or freight; all transport passes continuously through the hub and on to the destination. The transfer may be controlled, for example by: signs, signals, gates, and/or valves. For example, a road interchange, a railway switching point between railway lines, a pipeline junction, and a basin at the junction of waterways.</t>
  </si>
  <si>
    <t>transport</t>
  </si>
  <si>
    <t>Transport</t>
  </si>
  <si>
    <t>The provision of passenger and/or freight transport by railway, pipeline, road, water or air and associated activities (for example: terminal and parking facilities, cargo handling, or storage).</t>
  </si>
  <si>
    <t>transportSystemMaint</t>
  </si>
  <si>
    <t>Transport System Maintenance</t>
  </si>
  <si>
    <t>The routine maintenance and/or repair of transport systems (for example: railways, pipelines, or roads) and their associated stations and/or terminals (for example: ferry docks or runways).</t>
  </si>
  <si>
    <t>transportEquipManufac</t>
  </si>
  <si>
    <t>Transportation Equipment Manufacturing</t>
  </si>
  <si>
    <t>The manufacture and construction of equipment used for transporting people and goods.</t>
  </si>
  <si>
    <t>For example, motor vehicles, ships, railway cars, aircraft and armoured personnel carriers.</t>
  </si>
  <si>
    <t>transportationHub</t>
  </si>
  <si>
    <t>Transportation Hub</t>
  </si>
  <si>
    <t>Activities associated with and including disembarking or taking on passengers or freight along a transportation route (for example: railway, pipeline, road, water or air).</t>
  </si>
  <si>
    <t>transportationSupport</t>
  </si>
  <si>
    <t>Transportation Support</t>
  </si>
  <si>
    <t>Activities, devices and operations associated with transportation.</t>
  </si>
  <si>
    <t>travelAgency</t>
  </si>
  <si>
    <t>Travel Agency</t>
  </si>
  <si>
    <t>The activities of agencies, primarily engaged in selling travel, tour, transportation and accommodation services on a wholesale or retail basis to the general public and commercial clients.</t>
  </si>
  <si>
    <t>urgentMedicalCare</t>
  </si>
  <si>
    <t>Urgent Medical Care</t>
  </si>
  <si>
    <t>The provision of ambulatory medical care outside of a hospital emergency department on a walk-in basis without a scheduled appointment.</t>
  </si>
  <si>
    <t>Urgent medical care activities treat many problems that can be seen in a primary care physician's office, but include some services that are generally not available in primary care physician offices, for example, X-Ray facilities allow for treatment of minor fractures and foreign bodies, and minor trauma rooms allow for repair of minor and moderate-severity lacerations.</t>
  </si>
  <si>
    <t>utilities</t>
  </si>
  <si>
    <t>Utilities</t>
  </si>
  <si>
    <t>The activities of either providing electric power, natural gas, or temperature-controlled (for example: chilled, hot or steam) or purified water, or collecting, treating, and disposing of sewage through a permanent infrastructure (network) of lines, mains and pipes, or waste treatment and disposal or materials recovery.</t>
  </si>
  <si>
    <t>This infrastructure is generally operated on a communal basis for both domestic and industrial needs.</t>
  </si>
  <si>
    <t>vacationCottage</t>
  </si>
  <si>
    <t>Vacation Cottage</t>
  </si>
  <si>
    <t>A private weekend and/or summer season holiday residence.</t>
  </si>
  <si>
    <t>May be attached, or detached, from adjacent residences. They are generally located in or near areas of scenic beauty (for example: lakes, rivers, oceans, or wilderness areas) and are often utilized for outdoor recreational activities (for example: fishing, hiking, or sailing).</t>
  </si>
  <si>
    <t>veterinary</t>
  </si>
  <si>
    <t>Veterinary</t>
  </si>
  <si>
    <t>The provision of animal health care and control activities for farm animals or pet animals.</t>
  </si>
  <si>
    <t>vocationalEducation</t>
  </si>
  <si>
    <t>Vocational Education</t>
  </si>
  <si>
    <t>The provision of courses and course work that prepares students for jobs that are based in manual or practical activities, traditionally non-academic and related to a specific trade, occupation or vocation in which the learner participates.</t>
  </si>
  <si>
    <t>It is sometimes referred to as technical education, as the learner directly develops expertise in a particular group of techniques or technology.</t>
  </si>
  <si>
    <t>warehousingStorage</t>
  </si>
  <si>
    <t>Warehousing and Storage</t>
  </si>
  <si>
    <t>The operation of storage and/or warehouse facilities for all kind of goods (for example: grain silos, general merchandise warehouses, refrigerated warehouses, or storage tanks).</t>
  </si>
  <si>
    <t>wasteTreatmentDisposal</t>
  </si>
  <si>
    <t>Waste Treatment and Disposal</t>
  </si>
  <si>
    <t>The disposal, and treatment prior to disposal, of various forms of waste other than sewerage.</t>
  </si>
  <si>
    <t>Partial or complete dismantling and separation of hazardous components may take place before separate disposal. Waste treatment methods include: burial or ploughing-under, chemical treatment, combustion, composting, dumping on land or in water, encapsulation, and incineration.</t>
  </si>
  <si>
    <t>waterCollection</t>
  </si>
  <si>
    <t>Water Collection</t>
  </si>
  <si>
    <t>The collection of water for domestic and industrial needs.</t>
  </si>
  <si>
    <t>Includes the collection of water from rivers, lakes, reservoirs, wells and/or directly as rain water (for example: using cisterns) as well as its movement to point(s) of treatment.</t>
  </si>
  <si>
    <t>The distribution of water for domestic and industrial needs.</t>
  </si>
  <si>
    <t>Includes the distribution of water through mains (but not including long-distance transport of water via pipelines), by trucks or other means, and the operation of irrigation canals (but not including the operation of irrigation equipment for agricultural purposes).</t>
  </si>
  <si>
    <t>waterSupply</t>
  </si>
  <si>
    <t>Water Supply</t>
  </si>
  <si>
    <t>The activities of collection, treatment and distribution of water.</t>
  </si>
  <si>
    <t>Include reservoirs, pumping stations, water treatment plants and distribution mains.The water may be used for drinking, industrial needs, irrigation, or other uses.</t>
  </si>
  <si>
    <t>waterTransport</t>
  </si>
  <si>
    <t>Water Transport</t>
  </si>
  <si>
    <t>The transport of passengers and/or freight using water vehicles (for example: ships or hovercraft), and supporting activities.</t>
  </si>
  <si>
    <t>Included are: the operation of towing or pushing boats; excursion, cruise or sightseeing boats; ferries; and water taxis.</t>
  </si>
  <si>
    <t>waterTreatment</t>
  </si>
  <si>
    <t>Water Treatment</t>
  </si>
  <si>
    <t>The treatment of water for domestic and industrial needs.</t>
  </si>
  <si>
    <t>Includes the purification of water for water supply purposes, the treatment of water for industrial and other purposes, and the desalting of sea or ground water to produce water as the principal product of interest.</t>
  </si>
  <si>
    <t>weatherStation</t>
  </si>
  <si>
    <t>Weather Station</t>
  </si>
  <si>
    <t>An observation station where meteorological data are gathered, recorded, and released.</t>
  </si>
  <si>
    <t>wholesaleMerchant</t>
  </si>
  <si>
    <t>Wholesale Merchant</t>
  </si>
  <si>
    <t>Activities associated with the bulk purchase of goods from suppliers and subsequent sale in smaller lots to clients (for example: retail merchants), generally operating from a warehouse where the goods are temporarily stored before distribution.</t>
  </si>
  <si>
    <t>They take title to the goods they sell and while usually shipping from their own inventory they may alternatively arrange for the shipment of goods directly from the supplier to the client. In addition to the sale of goods, they may provide, or arrange for the provision of, logistics, marketing and support services, such as packaging and labelling, inventory management, shipping, handling of warranty claims, in-store or co-op promotions, and product training.</t>
  </si>
  <si>
    <t>Wholesale Distributor</t>
  </si>
  <si>
    <t>windTunnel</t>
  </si>
  <si>
    <t>Wind Tunnel</t>
  </si>
  <si>
    <t>A tunnel-like apparatus for producing an air-stream of known velocity past models (for example: of aircraft and/or buildings) in the study of wind flow or wind effects on the full-size object.</t>
  </si>
  <si>
    <t>winery</t>
  </si>
  <si>
    <t>Winery</t>
  </si>
  <si>
    <t>The manufacture of wine and related fermented products.</t>
  </si>
  <si>
    <t>Includes, for example, the manufacture of: wine; sparkling wine; wine from concentrated grape must; fermented but not distilled alcoholic beverages (for example: sake, cider, perry, mead, other fruit wines and mixed beverages containing alcohol); vermouth and similer flavoured wines. It also includes the blending of wine and the manufacture of low or non-alcoholic wine.</t>
  </si>
  <si>
    <t>wiredRepeater</t>
  </si>
  <si>
    <t>Wired Repeater</t>
  </si>
  <si>
    <t>Receives a weak or low-level wired (for example: copper wire or fibre optic) telecommunication signal and retransmits it at a higher level or higher power, so that the signal can cover longer distances without degradation.</t>
  </si>
  <si>
    <t>Repeaters (termed 'boosters') are often used in trans-continental and trans-oceanic cables, because the attenuation (signal loss) over such distances would be completely unacceptable without them. Digital Subscriber Line (DSL) repeaters are installed every 3 kilometres (approximately 10,000 feet) or so along telephone trunk lines to allow the digital data transmission signals to travel longer distances to remote customers.</t>
  </si>
  <si>
    <t>wiredTelecom</t>
  </si>
  <si>
    <t>Wired Telecommunications</t>
  </si>
  <si>
    <t>The activities of operating, maintaining and/or providing access to facilities for the transmission of voice, data, text, sound, and video using a wired (for example: copper wire or fibre optic) telecommunications infrastructure.</t>
  </si>
  <si>
    <t>The transmission facilities that carry out these activities may be based on a single technology or a combination of technologies. Includes, for example: switching and transmission facilities to provide point-to-point communications via landlines, microwave, or a combination of landlines and satellite linkups; cable distribution systems (for example: for distribution of data and television signals); furnishing telegraph and other non-vocal communications; and the provision of Internet access by the operator of the wired infrastructure.</t>
  </si>
  <si>
    <t>wirelessRepeater</t>
  </si>
  <si>
    <t>Wireless Repeater</t>
  </si>
  <si>
    <t>A combination of a receiver and a transmitter that receives a weak or low-level telecommunication signal and retransmits it at a higher level or higher power, so that the signal can cover longer distances without degradation.</t>
  </si>
  <si>
    <t>Wireless repeaters are used extensively (for example: in dispatching, amateur radio, and emergency services communications) to relay radio signals across a wider area. With most emergency dispatching systems (for example: police, fire brigade, ambulance, taxicab, tow truck, and other services), the repeater is synonymous with the base station, which performs both functions. A duplex repeater uses two radio frequencies; an 'Input' frequency, which it monitors for signals, and an 'Output' frequency, on which it retransmits the received signals at a higher power or higher altitude. Full-duplex repeators are commonly used in radio and television broadcasting in mountainous regions (termed 'broadcast translator' or 'broadcast repeator').</t>
  </si>
  <si>
    <t>wirelessTelecom</t>
  </si>
  <si>
    <t>Wireless Telecommunications</t>
  </si>
  <si>
    <t>The activities of operating, maintaining and/or providing access to facilities for the transmission of voice, data, text, sound, and video using a wireless telecommunications infrastructure.</t>
  </si>
  <si>
    <t>These facilities provide omnidirectional transmission via airwaves and they may be based on a single technology or a combination of technologies. Includes, for example, operating paging as well as cellular and other wireless telecommunications networks as well as the provision of Internet access by the operator of the wireless infrastructure.</t>
  </si>
  <si>
    <t>woodBasedManufac</t>
  </si>
  <si>
    <t>Wood-based Manufacturing</t>
  </si>
  <si>
    <t>The process of taking logs and cutting them into lumber which then may be further cut or shaped and assembled into wood products.</t>
  </si>
  <si>
    <t>woodConstructProdManufac</t>
  </si>
  <si>
    <t>Wooden Construction Product Manufacture</t>
  </si>
  <si>
    <t>The manufacture of wooden goods intended to be used primarily in the construction industry.</t>
  </si>
  <si>
    <t>Includes, for example, the manufacture of: beams, rafters, roof struts; glue-laminated and metal connected, prefabricated wooden roof trusses; doors, windows, shutters and their frames, whether or not containing metal fittings (for example: hinges or locks); stairs and railings; wooden beadings and mouldings, shingles and shakes; and parquet floor blocks or strips assembled into panels. It also includes, for example, the related activities of: manufacture of prefabricated buildings, or elements thereof, predominantly of wood; manufacture of mobile homes; and the manufacture of wood partitions (except free standing).</t>
  </si>
  <si>
    <t>A club ostensibly for the owners and/or sailors of yachts but more generally serving as a social club for boating enthusiasts.</t>
  </si>
  <si>
    <t>Yacht-clubs may encompass any type of boating activity (for example: racing) and are often associated with a particular marina or port.</t>
  </si>
  <si>
    <t>Sailing Club</t>
  </si>
  <si>
    <t>animalContainment</t>
  </si>
  <si>
    <t>Animal Containment</t>
  </si>
  <si>
    <t>A fence designed to keep animals either contained inside of or excluded from an area.</t>
  </si>
  <si>
    <t>It must be of sufficient strength and size (including mesh size) to prevent the passage of the species to be restricted. An example of containment is a livestock fence; an example of exclusion is a rabbit or deer fence.</t>
  </si>
  <si>
    <t>erosionControl</t>
  </si>
  <si>
    <t>Erosion-control</t>
  </si>
  <si>
    <t>Low fencing designed to restrict water erosion.</t>
  </si>
  <si>
    <t>It is emplaced so as to surround a region where the soil has been disturbed (for example: a construction site) and is generally temporary in nature. It is typically less than 1 metre in height, supported by spaced stakes, and often constructed from a fabric that allows the slow passage of water.</t>
  </si>
  <si>
    <t>exclusion</t>
  </si>
  <si>
    <t>Exclusion</t>
  </si>
  <si>
    <t>A fence designed to prohibit people from entering an area.</t>
  </si>
  <si>
    <t>Often temporary, it may be primarily a visual marker (for example: a well-marked ribbon or tape suspended from spaced poles or a row of traffic cones) or it may provide a more significant physical barrier (for example: a line of 'saw horse' barricades or temporary chain-link panels) to crossing into the prohibited area.</t>
  </si>
  <si>
    <t>Crowd-control</t>
  </si>
  <si>
    <t>A fence designed to securely preclude entry into an area.</t>
  </si>
  <si>
    <t>The physical barrier may be accomplished solely by the passive strength of the fence (for example: a chain-link mesh) and/or by specific deterrent features (for example: barbed wire or electrification).</t>
  </si>
  <si>
    <t>wind</t>
  </si>
  <si>
    <t>Wind</t>
  </si>
  <si>
    <t>Fencing emplaced so as to prevent wind-induced drifting of loose terrain surface material (for example: snow or sand).</t>
  </si>
  <si>
    <t>Typically 1 to 3 metres in height and often constructed from spaced vertical slats. Sand fences are generally permanent in nature, intended to promote dune formation, and often placed along the margins of beaches and/or adjacent to roads and walkways. Snow fences may only be emplaced seasonally and are generally located adjacent to roads and walkways.</t>
  </si>
  <si>
    <t>Snow, Sand</t>
  </si>
  <si>
    <t>Barbed wire is also used as an obstruction in war.</t>
  </si>
  <si>
    <t>geotextile</t>
  </si>
  <si>
    <t>Geotextile</t>
  </si>
  <si>
    <t>Constructed of synthetic fibers manufactured in a woven or loose nonwoven manner to form a blanket-like material.</t>
  </si>
  <si>
    <t>Typically made from polypropylene or polyester, geotextile fabrics come in three basic forms: woven (looks like mail bag sacking), needle punched (looks like felt), or heat bonded (looks like ironed felt). Most commonly used as a soil reinforcement agent and as a filter medium.</t>
  </si>
  <si>
    <t>metal</t>
  </si>
  <si>
    <t>Metal</t>
  </si>
  <si>
    <t>Constructed of metal, usually in the form of bars or tubes, in a variety of styles depending on the locale and intended use.</t>
  </si>
  <si>
    <t>netting</t>
  </si>
  <si>
    <t>Netting</t>
  </si>
  <si>
    <t>Constructed of a woven, knit, or knotted material of open texture with evenly spaced holes (openings).</t>
  </si>
  <si>
    <t>Modern fence netting is typically made of material derived from synthetic polymers.</t>
  </si>
  <si>
    <t>Constructed of wood in a variety of styles depending on the locale and intended use.</t>
  </si>
  <si>
    <t>A ferry that follows a fixed route guided by a cable.</t>
  </si>
  <si>
    <t>freeMoving</t>
  </si>
  <si>
    <t>Free-moving</t>
  </si>
  <si>
    <t>A ferry that may have routes that vary with weather, tide and traffic.</t>
  </si>
  <si>
    <t>A winter-time ferry that crosses a lead.</t>
  </si>
  <si>
    <t>circling</t>
  </si>
  <si>
    <t>Circling</t>
  </si>
  <si>
    <t>An extension of an instrument approach procedure which provides for visual circling of the aerodrome prior to landing.</t>
  </si>
  <si>
    <t>sidestep</t>
  </si>
  <si>
    <t>Sidestep</t>
  </si>
  <si>
    <t>A visual alignment manoeuvre required by a pilot executing an approach to one runway and cleared to land on a parallel runway.</t>
  </si>
  <si>
    <t>straightIn</t>
  </si>
  <si>
    <t>Straight In</t>
  </si>
  <si>
    <t>A descent in an approved procedure where the navigation facility alignment is normally on the runway centerline, and glide slope (GS) information is provided.</t>
  </si>
  <si>
    <t>Final approach path is straight in to a landing surface (S 9R).</t>
  </si>
  <si>
    <t>The use of Air Route Surveillance Radar (ARSR) as the Instrument Approach Procedure (IAP) final approach guidance system.</t>
  </si>
  <si>
    <t>The use of Airborne Radar Approach (ARA) as the Instrument Approach Procedure (IAP) final approach guidance system.</t>
  </si>
  <si>
    <t>The use of Airport Surveillance Radar (ASR) as the Instrument Approach Procedure (IAP) final approach guidance system.</t>
  </si>
  <si>
    <t>The use of Area Navigation (RNAV) equipment as the Instrument Approach Procedure (IAP) final approach guidance system.</t>
  </si>
  <si>
    <t>The use of Area Navigation (RNAV) equipment followed by Instrument Landing System (ILS) equipment as the Instrument Approach Procedure (IAP) final approach guidance system.</t>
  </si>
  <si>
    <t>The use of Distance Measuring Equipment (DME) as the Instrument Approach Procedure (IAP) final approach guidance system.</t>
  </si>
  <si>
    <t>The use of Distance Measuring Equipment (DME) with Distance Measuring Equipment (DME) located at an additional location as the Instrument Approach Procedure (IAP) final approach guidance system.</t>
  </si>
  <si>
    <t>The use of Global Navigation Satellite System (GNSS) receiver equipment as the Instrument Approach Procedure (IAP) final approach guidance system.</t>
  </si>
  <si>
    <t>The use of Global Positioning System (GPS) receiver equipment as the Instrument Approach Procedure (IAP) final approach guidance system.</t>
  </si>
  <si>
    <t>The use of Instrument Guidance System (IGS) equipment as the Instrument Approach Procedure (IAP) final approach guidance system.</t>
  </si>
  <si>
    <t>The use of an Instrument Landing System (ILS) as the Instrument Approach Procedure (IAP) final approach guidance system.</t>
  </si>
  <si>
    <t>The use of an Instrument Landing System (ILS) using a Precision Runway Monitor (PRM) as the Instrument Approach Procedure (IAP) final approach guidance system.</t>
  </si>
  <si>
    <t>The use of an Instrument Landing System (ILS) with Distance Measuring Equipment (DME) as the Instrument Approach Procedure (IAP) final approach guidance system..</t>
  </si>
  <si>
    <t>lateralNavigation</t>
  </si>
  <si>
    <t>Lateral Navigation (LNAV)</t>
  </si>
  <si>
    <t>The use of lateral navigation without positive vertical guidance as the final approach guidance system.</t>
  </si>
  <si>
    <t>lateralNavigationVerticalNav</t>
  </si>
  <si>
    <t>Lateral Navigation with Vertical Navigation (LNAV/VNAV)</t>
  </si>
  <si>
    <t>The use of both positive lateral and vertical guidance for an Area Navigation (RNAV) approach as the Instrument Approach Procedure (IAP) final approach guidance system.</t>
  </si>
  <si>
    <t>The use of Localizer equipment as the Instrument Approach Procedure (IAP) final approach guidance system.</t>
  </si>
  <si>
    <t>The use of Localizer Back Course equipment as the Instrument Approach Procedure (IAP) final approach guidance system.</t>
  </si>
  <si>
    <t>localizerPerformance</t>
  </si>
  <si>
    <t>Localizer Performance (LP)</t>
  </si>
  <si>
    <t>The use of localizer performance without vertical guidance (LP) equipment as the Instrument Approach Procedure (IAP) final approach guidance system.</t>
  </si>
  <si>
    <t>An area navigation (RNAV) function requiring wide-area augmentation system (WAAS), using a final approach segment (FAS) data block that computes, displays, and provides horizontal approach navigation using the horizontal accuracy and integrity of Localize</t>
  </si>
  <si>
    <t>localizerPerfVertGuidance</t>
  </si>
  <si>
    <t>Localizer Performance with Vertical Guidance (LPV)</t>
  </si>
  <si>
    <t>The use of localizer performance with vertical guidance (LPV) equipment as the final approach guidance system.</t>
  </si>
  <si>
    <t>An area navigation (RNAV) function requiring wide-area augmentation system (WAAS), using a final approach segment (FAS) data block, which computes, displays and provides both horizontal and approved vertical approach navigation to precision approach landi</t>
  </si>
  <si>
    <t>The use of a Localizer with Distance Measuring Equipment (DME) as the Instrument Approach Procedure (IAP) final approach guidance system.</t>
  </si>
  <si>
    <t>The use of a Localizer Back Course with Distance Measuring Equipment (DME) as the Instrument Approach Procedure (IAP) final approach guidance system.</t>
  </si>
  <si>
    <t>The use of Localizer Type Directional Aid (LDA) equipment as the Instrument Approach Procedure (IAP) final approach guidance system.</t>
  </si>
  <si>
    <t>The use of a Localizer Type Directional Aid (LDA) with Distance Measuring Equipment (DME) as the Instrument Approach Procedure (IAP) final approach guidance system.</t>
  </si>
  <si>
    <t>The use of Microwave Landing System (MLS) equipment as the Instrument Approach Procedure (IAP) final approach guidance system.</t>
  </si>
  <si>
    <t>The use of a Microwave Landing System (MLS) with Distance Measuring Equipment (DME) as the Instrument Approach Procedure (IAP) final approach guidance system.</t>
  </si>
  <si>
    <t>The use of Non-Directional Beacon (NDB) equipment as the Instrument Approach Procedure (IAP) final approach guidance system.</t>
  </si>
  <si>
    <t>The use of a Non-Directional Beacon (NDB) with Distance Measuring Equipment (DME) as the Instrument Approach Procedure (IAP) final approach guidance system.</t>
  </si>
  <si>
    <t>The use of Precision Approach Radar (PAR) as the Instrument Approach Procedure (IAP) final approach guidance system.</t>
  </si>
  <si>
    <t>The use of Required Navigation Performance (RNP) capabilities as the Instrument Approach Procedure (IAP) final approach guidance system.</t>
  </si>
  <si>
    <t>The use of Satellite Based Augmentation System (SBAS) equipment as the Instrument Approach Procedure (IAP) final approach guidance system.</t>
  </si>
  <si>
    <t>The use of Simplified Directional Facility (SDF) equipment as the Instrument Approach Procedure (IAP) final approach guidance system.</t>
  </si>
  <si>
    <t>The use of Required Navigation Performance (RNP) Special Aircraft and Aircrew Approval Required (SAAAR) capabilities as the Instrument Approach Procedure (IAP) final approach guidance system.</t>
  </si>
  <si>
    <t>The use of Transponder Landing System (TLS) equipment as the Instrument Approach Procedure (IAP) final approach guidance system.</t>
  </si>
  <si>
    <t>The use of UHF Tactical Air Navigation (TACAN) beacon equipment as the Instrument Approach Procedure (IAP) final approach guidance system.</t>
  </si>
  <si>
    <t>verticalNavigation</t>
  </si>
  <si>
    <t>Vertical Navigation (VNAV)</t>
  </si>
  <si>
    <t>The use of an autopilot function which directs the vertical movement of an aircraft (that is, gains or losses in its altitude) while on approach to landing as the Instrument Approach Procedure (IAP) final approach guidance system.</t>
  </si>
  <si>
    <t>The use of VHF Omnidirectional Radio (VOR) equipment as the Instrument Approach Procedure (IAP) final approach guidance system.</t>
  </si>
  <si>
    <t>The use of a VHF Omnidirectional Radio (VOR) with Distance Measuring Equipment (DME) as the Instrument Approach Procedure (IAP) final approach guidance system.</t>
  </si>
  <si>
    <t>The use of a VHF Omnidirectional Radio (VOR) with UHF Tactical Air Navigation (TACAN) beacon equipment as the Instrument Approach Procedure (IAP) final approach guidance system.</t>
  </si>
  <si>
    <t>The use of Visual procedures as the Instrument Approach Procedure (IAP) final approach guidance system.</t>
  </si>
  <si>
    <t>airPressurizedWater</t>
  </si>
  <si>
    <t>Air Pressurized Water</t>
  </si>
  <si>
    <t>A water-based agent that cools burning material by absorbing its heat.</t>
  </si>
  <si>
    <t>Effective on Class A fires, it has the advantage of being inexpensive, harmless, and relatively easy to clean up. In the United States, Air Pressurized Water (APW) units contain 9 litres (2.5 gallons) of water in a tall, stainless steel cylinder. In Europ</t>
  </si>
  <si>
    <t>APW</t>
  </si>
  <si>
    <t>alcoholResistAqFilmFoam</t>
  </si>
  <si>
    <t>Alcohol-resistant Aqueous Film Forming Foam</t>
  </si>
  <si>
    <t>A foam-based agent that is used on fuel fires containing alcohol.</t>
  </si>
  <si>
    <t>Forms a membrane between the fuel and the foam preventing the alcohol from breaking down the foam blanket.</t>
  </si>
  <si>
    <t>AR-AFFF</t>
  </si>
  <si>
    <t>ammoniumPhosphate</t>
  </si>
  <si>
    <t>Ammonium Phosphate</t>
  </si>
  <si>
    <t>A dry chemical that is normally used on ordinary combustibles, flammable liquids and gas, and energized electrical equipment.</t>
  </si>
  <si>
    <t>It receives its Class A rating from the agent's ability to melt and flow at 177 degrees Centigrade (350 degrees Fahrenheit) to smother the fire. It is more corrosive than other dry chemical agents. Pale yellow in color, it is commonly employed in househol</t>
  </si>
  <si>
    <t>ABC Dry Chemical</t>
  </si>
  <si>
    <t>aqueousFilmFormingFoam</t>
  </si>
  <si>
    <t>Aqueous Film Forming Foam</t>
  </si>
  <si>
    <t>A foam-based agent that is used on solids and flammable liquids and gas fires, and for vapor suppression.</t>
  </si>
  <si>
    <t>The most common agent in portable foam extinguishers. It contains fluoro tensides which can be accumulated in animal tissues; their long-term effects on the human body and environment are as yet undetermined.</t>
  </si>
  <si>
    <t>AFFF</t>
  </si>
  <si>
    <t>arcticFire</t>
  </si>
  <si>
    <t>Arctic Fire</t>
  </si>
  <si>
    <t>A liquid fire extinguishing agent that emulsifies and cools heated materials more quickly than either water or ordinary foam.</t>
  </si>
  <si>
    <t>Effective on Class A, B, and D fires. It is used extensively in the steel industry.</t>
  </si>
  <si>
    <t>carbonDioxide</t>
  </si>
  <si>
    <t>Carbon Dioxide</t>
  </si>
  <si>
    <t>A clean gaseous agent which displaces oxygen.</t>
  </si>
  <si>
    <t>The highest rating for 7.7 kilogram (20 pound) portable carbon dioxide (CO2) extinguishers is 10B:C. Carbon dioxide fire extinguishers are not intended for use with Class A fires, as the high-pressure cloud of gas can scatter burning materials. They are a</t>
  </si>
  <si>
    <t>CO2</t>
  </si>
  <si>
    <t>compressedAirFoamSystem</t>
  </si>
  <si>
    <t>Compressed Air Foam System</t>
  </si>
  <si>
    <t>Air-pressurized water (APW) style extinguisher that is charged with a foam solution and pressurized with compressed air.</t>
  </si>
  <si>
    <t>Generally used to extend a water supply in wildland operations. Used on class A fires and with very dry foam on Class B fires for vapor suppression.</t>
  </si>
  <si>
    <t>CAFS</t>
  </si>
  <si>
    <t>copperPowderNavy125S</t>
  </si>
  <si>
    <t>Copper Powder Navy125S</t>
  </si>
  <si>
    <t>A copper based agent developed by the U.S. Navy in the 1970s for fighting hard-to-control lithium and lithium-alloy fires.</t>
  </si>
  <si>
    <t>Powder smothers and acts as a heat sink to dissipate heat, but also forms a copper-lithium alloy on the surface which is non-combustible and cuts off the oxygen supply. Will cling to a vertical surface-lithium only.</t>
  </si>
  <si>
    <t>filmFormingFluoroprotein</t>
  </si>
  <si>
    <t>Film-forming Fluoroprotein</t>
  </si>
  <si>
    <t>A foam-based agent containing naturally occurring proteins from animal by-products and synthetic film-forming agents to create a foam blanket that is more heat resistant than the strictly synthetic aqueous film forming foams.</t>
  </si>
  <si>
    <t>Film-forming fluoroprotein works well on alcohol-based liquids and is used widely in motorsports.</t>
  </si>
  <si>
    <t>FFFP</t>
  </si>
  <si>
    <t>fireAde</t>
  </si>
  <si>
    <t>FireAde</t>
  </si>
  <si>
    <t>A foaming agent that emulsifies burning liquids and renders them non-flammable.</t>
  </si>
  <si>
    <t>It is able to cool heated material and surfaces similar to Compressed Air Foam Systems (CAFS). Used on Class A and B fires, and said to be effective on some Class D hazards, although it is not recommended such purposes due to the fact that FireAde still c</t>
  </si>
  <si>
    <t>foamCompatible</t>
  </si>
  <si>
    <t>Foam-compatible</t>
  </si>
  <si>
    <t>A sodium bicarbonate-based dry chemical that was developed for use with protein foams for fighting flammable liquid and gas fires.</t>
  </si>
  <si>
    <t>Most dry chemicals contain metal stearates to waterproof them, but these will tend to destroy the foam blanket created by protein (animal) based foams. Foam-compatible extinguishing materials use silicone as a waterproofing agent, which does not harm foam</t>
  </si>
  <si>
    <t>graphite</t>
  </si>
  <si>
    <t>Graphite</t>
  </si>
  <si>
    <t>A graphite-based agent that contains dry graphite that smothers burning metals.</t>
  </si>
  <si>
    <t>G-Plus, G-1, Lith-X, Pyromet</t>
  </si>
  <si>
    <t>halon</t>
  </si>
  <si>
    <t>Halon</t>
  </si>
  <si>
    <t>A gaseous agent that inhibits the chemical reaction of a fire.</t>
  </si>
  <si>
    <t>Classes B:C for lower weight fire extinguishers (2.3 kilograms; under 9 pounds) and Classes A:B:C for heavier weights (4.1-7.7 kilograms; 9-17 pounds). Banned from new production, except for military use, as of January 1, 1994 as its properties contribute</t>
  </si>
  <si>
    <t>Halon1211, Halon1301</t>
  </si>
  <si>
    <t>metlkylPyrokyl</t>
  </si>
  <si>
    <t>MET-L-KYL / PYROKYL</t>
  </si>
  <si>
    <t>A specialty variation of sodium bicarbonate intended for fighting pyrophoric liquid fires (ignite on contact with air).</t>
  </si>
  <si>
    <t>In addition to sodium bicarbonate, it also contains silica gel particles. The sodium bicarbonate interrupts the chain reaction of the fuel and the silica soaks up any unburned fuel, preventing contact with air.</t>
  </si>
  <si>
    <t>potassiumBicarbonate</t>
  </si>
  <si>
    <t>Potassium Bicarbonate</t>
  </si>
  <si>
    <t>A dry chemical that is normally used on flammable liquids and gases and energized electrical equipment.</t>
  </si>
  <si>
    <t>About two times as effective on Class B fires as sodium bicarbonate, it is the preferred dry chemical agent of the oil and gas industry. The only dry chemical agent certified for use in Aircraft Rescue and Firefighting (ARFF) by the National Fire Protecti</t>
  </si>
  <si>
    <t>Purple-K</t>
  </si>
  <si>
    <t>potassiumBicarbUreaComplex</t>
  </si>
  <si>
    <t>Potassium Bicarbonate and Urea Complex</t>
  </si>
  <si>
    <t>More effective than all other powders due to its ability to decrepitate (where the powder breaks up into smaller particles) in the flame zone creating a larger surface area for free radical inhibition.</t>
  </si>
  <si>
    <t>Monnex/Powerex</t>
  </si>
  <si>
    <t>potassiumChloride</t>
  </si>
  <si>
    <t>Potassium Chloride</t>
  </si>
  <si>
    <t>A salt-based dry chemical that is normally used on flammable liquids and gases and energized electrical equipment.</t>
  </si>
  <si>
    <t>Super-K dry chemical was developed in an effort to create a high efficiency, protein-foam compatible dry chemical. Developed in the 1960s, prior to Purple-K, it was never as popular as other agents since being a salt, it was quite corrosive.</t>
  </si>
  <si>
    <t>Super-K</t>
  </si>
  <si>
    <t>sodiumBicarbonate</t>
  </si>
  <si>
    <t>Sodium Bicarbonate</t>
  </si>
  <si>
    <t>It interrupts the chemical reaction of the fire, and while very commonly employed in commercial kitchens before the advent of wet chemical agents it is currently falling out of favor as it is much less effective than wet chemical agents for Class K fires,</t>
  </si>
  <si>
    <t>sodiumCarbonite</t>
  </si>
  <si>
    <t>Sodium Carbonite</t>
  </si>
  <si>
    <t>A salt-based agent that is used exclusively on stainless steel.</t>
  </si>
  <si>
    <t>Used where stainless steel piping and equipment could be damaged by sodium chloride-based agents to control sodium, potassium, and sodium-potassium alloy fires. Limited use on other metals. Smothers and forms a crust.</t>
  </si>
  <si>
    <t>Na-X</t>
  </si>
  <si>
    <t>sodiumChloride</t>
  </si>
  <si>
    <t>Sodium Chloride</t>
  </si>
  <si>
    <t>A salt-based agent that contains sodium chloride salt and a thermoplastic additive.</t>
  </si>
  <si>
    <t>Plastic melts to form an oxygen-excluding crust over the metal, and the salt dissipates heat. Useful on most alkali metals including sodium and potassium, and other metals including magnesium, titanium, aluminum, and zirconium.</t>
  </si>
  <si>
    <t>Super-D</t>
  </si>
  <si>
    <t>waterMist</t>
  </si>
  <si>
    <t>Water Mist</t>
  </si>
  <si>
    <t>A water-based agent that uses a fine misting nozzle to break up a stream of deionized water to the point of not conducting electricity back to the operator.</t>
  </si>
  <si>
    <t>Class A and C rated. It is used widely in hospitals for the reason that, unlike other clean-agent suppressants, it is harmless and non-contaminant.</t>
  </si>
  <si>
    <t>wetChemical</t>
  </si>
  <si>
    <t>Wet Chemical</t>
  </si>
  <si>
    <t>A chemical-based agent that extinguishes the fire by forming a soapy foam blanket over the burning oil and by cooling the oil below its ignition temperature.</t>
  </si>
  <si>
    <t>Generally used with Class A and K fires (Class F in Europe) only, although newer models are outfitted with misting nozzles as those used on water mist units to give these extinguishers Class B and C firefighting capability.</t>
  </si>
  <si>
    <t>lightModerateActivity</t>
  </si>
  <si>
    <t>Light to Moderate Activity</t>
  </si>
  <si>
    <t>Fishing vessel activity is likely to be present in the region over the course of a day.</t>
  </si>
  <si>
    <t>moderateHeavyActivity</t>
  </si>
  <si>
    <t>Moderate to Heavy Activity</t>
  </si>
  <si>
    <t>Fishing vessel activity is likely to be present in the region at all times.</t>
  </si>
  <si>
    <t>veryLightActivity</t>
  </si>
  <si>
    <t>Very Light Activity</t>
  </si>
  <si>
    <t>Fishing vessel activity is routine, but may not occur every day within the region.</t>
  </si>
  <si>
    <t>beachSeine</t>
  </si>
  <si>
    <t>Beach Seine</t>
  </si>
  <si>
    <t>A net composed of a bunt (loose netting or bag) and long wings often lengthened with ropes in order to move the net from place to place.</t>
  </si>
  <si>
    <t>The headrope with floats is on the surface, the footrope is in permanent contact with the bottom and the seine is therefore a barrier which prevents the fish from escaping from the area enclosed by the net. Two basic types of gear can be distinguished: seine nets without a bag and seine nets with a bag. The first one do have, however, a central part with smaller meshes and more slack, which retains the fish caught. In the second one the fish are retained in the bag. It is not necessary for the bag to be exactly in the centre and in this case the wings are not of equal length.</t>
  </si>
  <si>
    <t>boatDredge</t>
  </si>
  <si>
    <t>Boat Dredge</t>
  </si>
  <si>
    <t>Gear consisting of a mouth frame to which a holding bag constructed of metal rings or meshes is attached, being principally of two variants: dredges that scrape the surface of the bottom and dredges that penetrate the sea bottom to a depth of 30 centimetres or more to harvest macro-infauna.</t>
  </si>
  <si>
    <t>Some surface dredges include rakes or teeth to penetrate the top layer of substrate and capture animals recessed into the sea bed. Infaunal dredges can be further separated into those that penetrate the substrate by mechanical force (using long teeth) and those that use water jets to fluidize the sediment (hydraulic dredges).</t>
  </si>
  <si>
    <t>boatSeine</t>
  </si>
  <si>
    <t>Boat Seine</t>
  </si>
  <si>
    <t>A net consisting of a conical netting body, two wings and a bag, that has floats on the surface and weights on the net bottom and is designed to float on the surface and surround fish.</t>
  </si>
  <si>
    <t>An important component for the capture efficiency of boat seines is the long ropes extending from the wings, which are used to encircle a large area. When the net has fully encircled the fish, a purse line (wire rope that passes through rings on the net bottom) is drawn together so that fish cannot escape downward. Net deployment may be conducted with one vessel utilizing a marker buoy, a pair of vessels, or a combination of large vessel with small auxiliary skiff that assists in setting out the net.</t>
  </si>
  <si>
    <t>Pelagic Purse Seine, Pelagic Seine, Purse Seine, Two Boat Purse Seine, Capelin Purse Seine</t>
  </si>
  <si>
    <t>bottomTrawl</t>
  </si>
  <si>
    <t>Bottom Trawl</t>
  </si>
  <si>
    <t>A cone-shaped net that is towed (by one or two boats) on the bottom, consisting of a body ending in a codend, which retains the catch, normally with two lateral wings extending forward from the opening with the mouth of the trawl framed by headline and groundrope.</t>
  </si>
  <si>
    <t>It is designed and rigged to catch species living on or near the bottom. Bottom contact with the gear is needed for successful operations. Three categories of bottom trawls can be distinguished based on how their horizontal opening is maintained: beam trawls, bottom otter trawls, and bottom pair trawls. Beam trawls are commonly designed without wings.</t>
  </si>
  <si>
    <t>crabGillnet</t>
  </si>
  <si>
    <t>Crab Gillnet</t>
  </si>
  <si>
    <t>A single netting wall is kept more or less vertical by a floatline and a weighted groundline, where the net is set on the bottom, or at a certain distance above it and kept stationary by anchors or weights on both ends.</t>
  </si>
  <si>
    <t>Set gillnets are employed in inland and sea waters. According to their design, these nets may be used to fish in surface layers, in mid-water or at the bottom. A gillnet anchored on or close to the bottom by anchors and ballast, targeting crab species. Gillnets are of special interest for artisanal fisheries because it is a low cost fishery.</t>
  </si>
  <si>
    <t>Set Gillnets</t>
  </si>
  <si>
    <t>danishSeine</t>
  </si>
  <si>
    <t>Danish Seine</t>
  </si>
  <si>
    <t>A net consisting of a conical netting body, two relatively long wings and a bag, where the drag lines extending from the wings are long, so they can encircle a large area.</t>
  </si>
  <si>
    <t>The seine boat drags the net in a circle around the fish, the motion of the warps herds the fish into the central net. Mostly used in areas of flat but rough seabeds which are not trawlable.</t>
  </si>
  <si>
    <t>Danish Anchor</t>
  </si>
  <si>
    <t>Gear consist of a mouth frame to which a holding bag constructed of metal rings or meshes is attached and which is dragged along the bottom to catch shellfish.</t>
  </si>
  <si>
    <t>For operating dredges from vessels, derricks and winches are used to shoot and haul the dredges. Dredgers are medium to large vessels (to 50 metres long) and in general with powerful engines. Some larger dredgers are outrigger type with strong outrigger boom allowing the operation of two or more dredges at the same time. Hand dredges are handled without any specific equipment.</t>
  </si>
  <si>
    <t>dutchBeamTrawl</t>
  </si>
  <si>
    <t>Dutch Beam Trawl</t>
  </si>
  <si>
    <t>A form of bottom trawl that utilizes a beam made of wood or metal to maintain a horizontal opening of the trawl net.</t>
  </si>
  <si>
    <t>Beam trawls can be used either with single rig (operated generally from the stern or more rarely from the side) or a double rig (two gears towed simultaneously).</t>
  </si>
  <si>
    <t>Twin Beam Trawl, Shrimp Beam Trawl</t>
  </si>
  <si>
    <t>fishAggregatingDevice</t>
  </si>
  <si>
    <t>Fish Aggregating Device (FAD)</t>
  </si>
  <si>
    <t>A permanent or semi-permanent device that can be moored at various water depths in order to appeal to young fish as a shelter, consisting of an anchor, mooring line, and a buoy, possibly equipped with a light or radar reflector.</t>
  </si>
  <si>
    <t>Deployed from 300 to 1000 metres in depth; once deployed the vessel may use trolling, purse seines, and/or handlines to capture larger commercial fish.</t>
  </si>
  <si>
    <t>fixedBagNet</t>
  </si>
  <si>
    <t>Fixed Bag Net</t>
  </si>
  <si>
    <t>A conical, bag-shaped net with short wings, that is fastened to poles or anchors in a strong tidal current so as to strain out fish.</t>
  </si>
  <si>
    <t>The nets are lifted before the tide slackens, being hauled over the stern, up a ramp, or over a roller or the bulwark with the aid of a derrick or gantry.</t>
  </si>
  <si>
    <t>floatingGillnet</t>
  </si>
  <si>
    <t>Floating Gillnet</t>
  </si>
  <si>
    <t>A string of single, double, or triple netting walls, afloat vertically (at the surface, mid-water, or the sea bottom), attached to buoys that are allowed to float freely with the current.</t>
  </si>
  <si>
    <t>The mesh size is dependent upon the targeted species. May be anchored, drifting, or attached to a vessel. Nets over 2500 metres in length are illegal.</t>
  </si>
  <si>
    <t>Pelagic Gillnet, Driftnet, Small Mesh Gillnet, Surface Gillnets, Gillnet, Pelagic Net</t>
  </si>
  <si>
    <t>floatingLongline</t>
  </si>
  <si>
    <t>Floating Longline</t>
  </si>
  <si>
    <t>A mainline is kept near the surface or at certain depth, long snoods are evenly spaced along the mainline which is usually marked with a buoy that is lighted or flagged; the lines may be placed either vertically or horizontally.</t>
  </si>
  <si>
    <t>Drifting longlines are usually set from the stern of a vessel. At the end of each unit (basket) a buoy with a flag or lamp is set for marking purposes. With the help of the buoy line the fishing depth can be regulated. The hooks are baited and the branch lines are fixed on the main line, in general, during setting. When the whole line has been set the gear is left drifting for some time.</t>
  </si>
  <si>
    <t>Driftline</t>
  </si>
  <si>
    <t>foldingTrap</t>
  </si>
  <si>
    <t>Folding Trap</t>
  </si>
  <si>
    <t>A spring-loaded trap made of netting on a frame that closes over a marine organism, where the two rectangular halves of the trap are spread apart from the central spring mechanism and the marine organisms are attracted by bait or decoy.</t>
  </si>
  <si>
    <t>Fishermen visit traps regularly for collecting the catch and replacing bait, if any, leaving the gear set in the same place for several days. Different materials are used for building a trap, for example: wood, split bamboo, or netting wire.</t>
  </si>
  <si>
    <t>Trap, Wire Trap, Fish Trap</t>
  </si>
  <si>
    <t>fykeNet</t>
  </si>
  <si>
    <t>Fyke Net</t>
  </si>
  <si>
    <t>A fisheries trap consisting of cylindrical or cone-shaped netting bags mounted on rings or other rigid structures and accompanied by wings or leaders which guide the fish toward the entrance of the bags.</t>
  </si>
  <si>
    <t>It is typically fixed on the bottom by anchors, ballast or stakes and generally operated in coastal zone sand shallow waters, either in inland, in estuarine and sea waters. It is usually set in contact to the bottom, in areas with strong currents. The fish enters voluntarily, but is hampered from coming out. Fishermen visit traps every day collecting only the captures and leaving the gear set in the same place for several days. The fyke nets may be used separately or in groups.</t>
  </si>
  <si>
    <t>Trap Net, Hoop Net</t>
  </si>
  <si>
    <t>handDredge</t>
  </si>
  <si>
    <t>Hand Dredge</t>
  </si>
  <si>
    <t>A small, light dredge consisting of a mouth frame attached to a holding bag constructed of metal rings or meshes.</t>
  </si>
  <si>
    <t>Dredges operated by hand are adapted to scrape the smooth bottom in shallow waters, from the shore or from a boat, either in inland and sea waters. Hand dredges are employed to catch molluscs, for example: mussels, oysters, scallops, or clams.</t>
  </si>
  <si>
    <t>hook</t>
  </si>
  <si>
    <t>Hook</t>
  </si>
  <si>
    <t>A bent piece of wire with its tip sharpened and often a barb below the tip, used to catch fish, that is available in many sizes and styles, and may be single, double or treble.</t>
  </si>
  <si>
    <t>The fish are attracted by natural or artificial bait (lures), hooked, and held by the mouth until they are brought aboard the operating vessel which periodically hauls the gear.</t>
  </si>
  <si>
    <t>jigging</t>
  </si>
  <si>
    <t>Jigging</t>
  </si>
  <si>
    <t>A method of fishing using lures on a vertical line moved up and down (jigged) by hand or mechanically, often in conjunction with the use of lamps to attract the targeted species.</t>
  </si>
  <si>
    <t>The technique requires keeping the jigging lines moving constantly in the water. This is usually done by jerking the lines, quickly pulling in the slack, jerking once again and so on, until the jigs are back to the surface. The line is then thrown out and allowed to sink to the desired depth, and the same jerking motion is repeated over again.</t>
  </si>
  <si>
    <t>lampgear</t>
  </si>
  <si>
    <t>Lamp Gear</t>
  </si>
  <si>
    <t>Arrangements of strong lamps are used to attract the targeted species.</t>
  </si>
  <si>
    <t>Light Fishing Gear</t>
  </si>
  <si>
    <t>lamparaNet</t>
  </si>
  <si>
    <t>Lampara Net</t>
  </si>
  <si>
    <t>Similar to but much smaller than a purse seine with no pursing action, a surrounding net is shaped like a spoon or dust pan with two lateral wings and a central bunt with small meshes to retain the catch.</t>
  </si>
  <si>
    <t>The net is mostly used with a single vessel, like a boat seine operated by a single vessel. Once the shoal of fish has been surrounded, the two wings are hauled up at the same time.</t>
  </si>
  <si>
    <t>liftNet</t>
  </si>
  <si>
    <t>Lift Net</t>
  </si>
  <si>
    <t>A horizontal net that is submerged at certain depths with the opening facing upward, left for a period of time and then lifted out of the water manually or mechanically.</t>
  </si>
  <si>
    <t>The operations, from the shore, from a canoe or a bigger boat, include: the setting of the net at a certain depth, opening facing upwards; the attraction of the fish over the above mentioned opening, by light or bait; then, the lifting/hauling of the net out of the water, by hand or mechanically.</t>
  </si>
  <si>
    <t>lightedTrawl</t>
  </si>
  <si>
    <t>Lighted Trawl</t>
  </si>
  <si>
    <t>A bag-shaped net towed behind a ship either along the sea floor or in mid-water, having a buoyed head rope and a weighted foot rope to keep the net mouth open that is used in conjunction with lights to attract fish.</t>
  </si>
  <si>
    <t>It may be towed by one or two ships.</t>
  </si>
  <si>
    <t>lineGear</t>
  </si>
  <si>
    <t>Line Gear</t>
  </si>
  <si>
    <t>Fishing gear involving the use of lines with attached capture devices.</t>
  </si>
  <si>
    <t>For example: hand lines or longlines.</t>
  </si>
  <si>
    <t>longline</t>
  </si>
  <si>
    <t>Longline</t>
  </si>
  <si>
    <t>The use of a 'long line' with a series of baited hooks spread at regular intervals, that may be set horizontally directly on the seabed, on the surface, at certain depth within the water column, or vertically by a supporting buoy with a marker flag at the surface.</t>
  </si>
  <si>
    <t>A typical arrangement for drifting surface longlines may utilize large inflatable buoys set at 200 or more metres apart or smaller high-density foam floats spaced more closely. Highfliers, a type of buoy with flags, radar reflectors, flashing lights or radio transmitters may be placed along line to aid fishermen in locating gear.</t>
  </si>
  <si>
    <t>Mid-water Longline</t>
  </si>
  <si>
    <t>mechanizedDredge</t>
  </si>
  <si>
    <t>Mechanized Dredge</t>
  </si>
  <si>
    <t>A hydraulic jet dredge is used to dig and wash out mussels that have buried themselves in the seabed.</t>
  </si>
  <si>
    <t>Some dredges are so improved that the prey is not only dug out, or stirred up and collected in a bag, but is also conveyed on board the vessel by the same gear. Therefore this gear, combining and hauling, can be considered a harvesting machine. This is especially true in cases where mechanical shellfish diggers are combined with suction pumps, escalators or conveyors.</t>
  </si>
  <si>
    <t>midwaterTrawl</t>
  </si>
  <si>
    <t>Midwater Trawl</t>
  </si>
  <si>
    <t>A cone-shaped net, normally made of four panels, ending on a codend with lateral wings extending forward from the opening, that is usually much larger than a bottom trawl and designed and rigged to fish in midwater, including the surface water.</t>
  </si>
  <si>
    <t>The horizontal opening is maintained either by otter boards or by towing the net by two boats (pair trawling). Midwater trawling is carried out mainly at sea, on the continental shelf, sometimes in deeper waters as well as in some lakes. Nets can be adjusted to various depths; sometimes electronic transducers are attached in order to gather info on gear height and fish location.</t>
  </si>
  <si>
    <t>Pelagic Trawl, Mid-water Otter Trawl, Mid-water Pair Trawl</t>
  </si>
  <si>
    <t>An open mesh structure formed by cords linked by knots (or other linking methods such as weaving) used for capturing or confining aquatic organisms like fish.</t>
  </si>
  <si>
    <t>pot</t>
  </si>
  <si>
    <t>Pot</t>
  </si>
  <si>
    <t>A trap designed in the form of a cage or basket, small or large (with dimensions ranging from around half a metre to two metres), made from various materials (for example: wood, wicker, metal rods, wire netting, or plastic), with one or more entrances.</t>
  </si>
  <si>
    <t>Pots are usually set on the bottom, mostly with bait, either singly, in rows or as strings connected to a line (longline system). The fish, Cephalopodes and/or Crustaceans may enter either for sheltering or attracted by a bait, but are hampered from departing.</t>
  </si>
  <si>
    <t>pushNet</t>
  </si>
  <si>
    <t>Push Net</t>
  </si>
  <si>
    <t>A scoop net that is pushed, by foot in very shallow waters or before a very small boat, where the net bag is fixed on scissors like cross-sticks to keep the net open.</t>
  </si>
  <si>
    <t>The usual method is a scooping movement when wading in breast-deep water. Catching by scooping demands rapid action for successful results.</t>
  </si>
  <si>
    <t>Scoop Net</t>
  </si>
  <si>
    <t>seineNet</t>
  </si>
  <si>
    <t>Seine Net</t>
  </si>
  <si>
    <t>A net consisting of two long warps made from wire or polyethylene ropes with a lead core, separated by containment tet at mid-length; the length of warps can be as long as 3000 metres in some large fishing vessels.</t>
  </si>
  <si>
    <t>During deployment, the fishing vessel lays a marker buoy, and then pays-out the first warp, then the net and the second warp. The gear is laid out in a triangular fashion on the seafloor. When the fishing vessel returns to the marker buoy, forward hauling commences. As the warps move across the seabed, fish are herded inward into the path of the net.</t>
  </si>
  <si>
    <t>setNet</t>
  </si>
  <si>
    <t>Set Net</t>
  </si>
  <si>
    <t>A large trap net, of variable size and construction, but having floats, ropes, leaders, main net and anchors or stakes.</t>
  </si>
  <si>
    <t>spear</t>
  </si>
  <si>
    <t>Spear</t>
  </si>
  <si>
    <t>A spear and shaft connected by line, that when used the shaft separates from the spear and floats to the surface.</t>
  </si>
  <si>
    <t>Minor usage in commercial fisheries. Harpoons differ from spears in that the point becomes separated from the shaft when it penetrates the victim and the shaft floats to the surface, the point and the shaft remaining connected by a line.</t>
  </si>
  <si>
    <t>Harpoon</t>
  </si>
  <si>
    <t>sportFishingGear</t>
  </si>
  <si>
    <t>Sport Fishing Gear</t>
  </si>
  <si>
    <t>A line with a simple hook, a sinker, and bait.</t>
  </si>
  <si>
    <t>Operated from shore, vessels, rafts, reef margins, or tied to a strong support (such as a pole). Used at a variety of depths.</t>
  </si>
  <si>
    <t>Hand Line, Pole and Line, Hand and Line</t>
  </si>
  <si>
    <t>stakeNet</t>
  </si>
  <si>
    <t>Stake Net</t>
  </si>
  <si>
    <t>A sheet of network stretched on stakes fixed into the ground, generally in rivers or where the sea ebbs and flows (for example: the coastal inter-tidal area), for entangling and catching fish.</t>
  </si>
  <si>
    <t>Fixed Net, Fixed Gillnet</t>
  </si>
  <si>
    <t>sternTrawl</t>
  </si>
  <si>
    <t>Stern Trawl</t>
  </si>
  <si>
    <t>In stern trawling the trawl is set and hauled over the stern, employing either midwater or bottom trawl equipment.</t>
  </si>
  <si>
    <t>Stern trawlers are designed with or without a ramp, depending on the size of the vessel. Some pelagic stern trawlers are built without a ramp. Stern trawlers are built for nearly all weather conditions. Trawlers can work as single vessel in bottom or midwater trawling or as pair trawlers where two vessels tow one large trawl or a double trawl.</t>
  </si>
  <si>
    <t>surroundingNet</t>
  </si>
  <si>
    <t>Surrounding Net</t>
  </si>
  <si>
    <t>A large mesh net that surrounds the species from both sides as well as underneath, generally with a float line on top and a leadline on the bottom.</t>
  </si>
  <si>
    <t>Small open boats or canoes may be used to set the net around the fish. A certain area is encircled by the net, noise or other means (frequently, by fishers moving themselves in the water) are used to scare the fish to gill or entangle themselves in the netting surrounding them.</t>
  </si>
  <si>
    <t>Encircling Net</t>
  </si>
  <si>
    <t>trammelNet</t>
  </si>
  <si>
    <t>Trammel Net</t>
  </si>
  <si>
    <t>A net made up of fine-meshed net between two large-meshed nets extended between two ropes and set up in a tidal current or river.</t>
  </si>
  <si>
    <t>The fish become trapped by getting wrapped in the fine-meshed net that forms bags around the fish.</t>
  </si>
  <si>
    <t>trolliingLine</t>
  </si>
  <si>
    <t>Trolling Line</t>
  </si>
  <si>
    <t>A simple line is provided with natural or artificial bait and trailed near the surface or at certain depths.</t>
  </si>
  <si>
    <t>It is towed by a vessel, with several lines usually towed at the same time by using outriggers.</t>
  </si>
  <si>
    <t>instrumentVisualFlightRules</t>
  </si>
  <si>
    <t>Instrument and Visual Flight Rules</t>
  </si>
  <si>
    <t>Instrument and visual flight rules.</t>
  </si>
  <si>
    <t>A set of rules governing the conduct of flight under instrument meteorological conditions.</t>
  </si>
  <si>
    <t>An aircraft conducting flight in accordance with Visual Flight Rules.</t>
  </si>
  <si>
    <t>containment</t>
  </si>
  <si>
    <t>Containment</t>
  </si>
  <si>
    <t>A floating barrier for blocking a waterway (for example: a narrow harbor entrance or a river).</t>
  </si>
  <si>
    <t>A floating barrier designed to collect and/or contain dredging debris.</t>
  </si>
  <si>
    <t>log</t>
  </si>
  <si>
    <t>Log</t>
  </si>
  <si>
    <t>A floating barrier designed to collect, contain, and transport floating logs timbered from nearby forests.</t>
  </si>
  <si>
    <t>protection</t>
  </si>
  <si>
    <t>Protection</t>
  </si>
  <si>
    <t>A floating barrier placed in the water to provide security or a highly visible line of demarcation.</t>
  </si>
  <si>
    <t>Commonly used for waterfront security around high value assets or installations or to provide a positive boat barrier between the general public and hazardous or restricted areas (for example: dams and waterfalls).</t>
  </si>
  <si>
    <t>dykeGate</t>
  </si>
  <si>
    <t>Dyke Gate</t>
  </si>
  <si>
    <t>An opening gate in a dyke.</t>
  </si>
  <si>
    <t>emergencyGate</t>
  </si>
  <si>
    <t>Emergency Gate</t>
  </si>
  <si>
    <t>A gate used only in a state of emergency (for example: to control or cause flooding).</t>
  </si>
  <si>
    <t>fixedBarrage</t>
  </si>
  <si>
    <t>Fixed Barrage</t>
  </si>
  <si>
    <t>A small fixed obstruction that is primarily located across intermittent watercourses in order to prevent, reduce or slow down the flooding of an area.</t>
  </si>
  <si>
    <t>Fixed barrages are often grouped together to form a series of obstructions down a watercourse. Materials used to construct fixed barrages are found locally.</t>
  </si>
  <si>
    <t>floodGate</t>
  </si>
  <si>
    <t>Flood Gate</t>
  </si>
  <si>
    <t>An adjustable gate used to control floodwater.</t>
  </si>
  <si>
    <t>movableBarrage</t>
  </si>
  <si>
    <t>Movable Barrage</t>
  </si>
  <si>
    <t>A large movable barricade within a watercourse.</t>
  </si>
  <si>
    <t>Often constructed as a set, the movable barricades are connected to fixed structures within the watercourse or at the banks. These barriers are normally left open to allow for the passage of vessels and the movement of water and are closed during times of floods or storm surges. For example, the Thames Barrier.</t>
  </si>
  <si>
    <t>bell</t>
  </si>
  <si>
    <t>Bell</t>
  </si>
  <si>
    <t>Generates a ringing sound with a short range.</t>
  </si>
  <si>
    <t>The apparatus may be operated automatically, by hand or by wave action.</t>
  </si>
  <si>
    <t>diaphone</t>
  </si>
  <si>
    <t>Diaphone</t>
  </si>
  <si>
    <t>Generates a powerful low-pitched multi-toned sound, which often concludes with a brief sound of suddenly lowered pitch termed the 'grunt'.</t>
  </si>
  <si>
    <t>The apparatus is typically powered by compressed air.</t>
  </si>
  <si>
    <t>explosive</t>
  </si>
  <si>
    <t>Explosive</t>
  </si>
  <si>
    <t>Generates a sound produced by the periodic (for example: every few minutes) firing of an explosive charge.</t>
  </si>
  <si>
    <t>gong</t>
  </si>
  <si>
    <t>Gong</t>
  </si>
  <si>
    <t>Generates a sound produced by vibration of a disc when struck.</t>
  </si>
  <si>
    <t>horn</t>
  </si>
  <si>
    <t>Horn</t>
  </si>
  <si>
    <t>Generates a sound produced by the vibration of a diaphragm.</t>
  </si>
  <si>
    <t>Includes nautophones, reeds and tyfons. The apparatus may be powered by compressed air or electricity. There are a variety of horn types, differing greatly in their sound and power.</t>
  </si>
  <si>
    <t>nautophone</t>
  </si>
  <si>
    <t>Nautophone</t>
  </si>
  <si>
    <t>Generates a sound using a horn having a diaphragm oscillated by electricity.</t>
  </si>
  <si>
    <t>none</t>
  </si>
  <si>
    <t>None</t>
  </si>
  <si>
    <t>No signal is produced.</t>
  </si>
  <si>
    <t>Radio</t>
  </si>
  <si>
    <t>Generates a radio signal.</t>
  </si>
  <si>
    <t>reed</t>
  </si>
  <si>
    <t>Reed</t>
  </si>
  <si>
    <t>Generates a weak, high pitched sound produced by vibrating a narrow reed-shaped diaphragm.</t>
  </si>
  <si>
    <t>siren</t>
  </si>
  <si>
    <t>Siren</t>
  </si>
  <si>
    <t>Generates a loud prolonged or ululating sound.</t>
  </si>
  <si>
    <t>The apparatus is usually based on revolving a perforated disc over a jet of compressed air or steam. There are a variety of siren types, differing greatly in their sound and power.</t>
  </si>
  <si>
    <t>submarineBell</t>
  </si>
  <si>
    <t>Submarine Bell</t>
  </si>
  <si>
    <t>A bell whose signal is transmitted through water.</t>
  </si>
  <si>
    <t>tyfon</t>
  </si>
  <si>
    <t>Tyfon</t>
  </si>
  <si>
    <t>Generates a sound using a horn having a diaphragm oscillated by compressed air or steam.</t>
  </si>
  <si>
    <t>whistle</t>
  </si>
  <si>
    <t>Whistle</t>
  </si>
  <si>
    <t>Generates a shrill tone made by a jet of air passing through an orifice.</t>
  </si>
  <si>
    <t>The apparatus may be operated automatically, by hand, or by air being forced up a tube by waves acting on a buoy.</t>
  </si>
  <si>
    <t>deciduous</t>
  </si>
  <si>
    <t>Deciduous</t>
  </si>
  <si>
    <t>Sheds its leaves each year at the end of the period of growth.</t>
  </si>
  <si>
    <t>evergreen</t>
  </si>
  <si>
    <t>Evergreen</t>
  </si>
  <si>
    <t>Having green foliage all the year round.</t>
  </si>
  <si>
    <t>mixed</t>
  </si>
  <si>
    <t>Mixed</t>
  </si>
  <si>
    <t>A mix of both deciduous and evergreen foliage.</t>
  </si>
  <si>
    <t>blockhouse</t>
  </si>
  <si>
    <t>Blockhouse</t>
  </si>
  <si>
    <t>A detached fortified defensive building with loopholes.</t>
  </si>
  <si>
    <t>It is usually constructed of timber or concrete.</t>
  </si>
  <si>
    <t>casement</t>
  </si>
  <si>
    <t>Casement</t>
  </si>
  <si>
    <t>A large reinforced concrete and steel emplacement from which guns are fired.</t>
  </si>
  <si>
    <t>Casements are normally installed as part of coastal defences or fixed defensive lines.</t>
  </si>
  <si>
    <t>Casemate</t>
  </si>
  <si>
    <t>keep</t>
  </si>
  <si>
    <t>Keep</t>
  </si>
  <si>
    <t>The strongest, innermost part or central tower of a medieval castle.</t>
  </si>
  <si>
    <t>Stronghold</t>
  </si>
  <si>
    <t>martelloTower</t>
  </si>
  <si>
    <t>Martello Tower</t>
  </si>
  <si>
    <t>A small circular fort with very thick walls, especially any of those erected in Britain as a coastal defence during the Napoleonic Wars.</t>
  </si>
  <si>
    <t>It usually includes a gun platform, ammunition magazine, and accommodations for a garrison.</t>
  </si>
  <si>
    <t>nonSpecificFortified</t>
  </si>
  <si>
    <t>Non-specific Fortified</t>
  </si>
  <si>
    <t>A building of no specific structural type that has been reinforced to provide for improved defense from armed attack.</t>
  </si>
  <si>
    <t>For example, the U.S. Pentagon following the attack of 11 September, 2001.</t>
  </si>
  <si>
    <t>pillbox</t>
  </si>
  <si>
    <t>Pillbox</t>
  </si>
  <si>
    <t>A small low fortified emplacement for machine guns and anti-tank weapons.</t>
  </si>
  <si>
    <t>Pillboxes are usually made of concrete or steel and are typically found along trench lines and at critical points within defensive lines.</t>
  </si>
  <si>
    <t>ehf</t>
  </si>
  <si>
    <t>Extremely High Frequency (EHF)</t>
  </si>
  <si>
    <t>Frequency band number 11; range 30-300 Gigahertz.</t>
  </si>
  <si>
    <t>elf</t>
  </si>
  <si>
    <t>Extremely Low Frequency (ELF)</t>
  </si>
  <si>
    <t>Frequency band number 2; range 30-300 Hertz.</t>
  </si>
  <si>
    <t>High Frequency (HF)</t>
  </si>
  <si>
    <t>Frequency band number 7; range 3-30 Megahertz.</t>
  </si>
  <si>
    <t>lf</t>
  </si>
  <si>
    <t>Low Frequency (LF)</t>
  </si>
  <si>
    <t>Frequency band number 5; range 30-300 Kilohertz.</t>
  </si>
  <si>
    <t>mf</t>
  </si>
  <si>
    <t>Medium Frequency (MF)</t>
  </si>
  <si>
    <t>Frequency band number 6; range 300-3000 Kilohertz.</t>
  </si>
  <si>
    <t>shf</t>
  </si>
  <si>
    <t>Super-High Frequency (SHF)</t>
  </si>
  <si>
    <t>Frequency band number 10; range 3-30 Gigahertz.</t>
  </si>
  <si>
    <t>Ultrahigh Frequency (UHF)</t>
  </si>
  <si>
    <t>Frequency band number 9; range 300-3000 Megahertz.</t>
  </si>
  <si>
    <t>Very High Frequency (VHF)</t>
  </si>
  <si>
    <t>Frequency band number 8; range 30-300 Megahertz.</t>
  </si>
  <si>
    <t>vlf</t>
  </si>
  <si>
    <t>Very Low Frequency (VLF)</t>
  </si>
  <si>
    <t>Frequency band number 4; range 3-30 Kilohertz.</t>
  </si>
  <si>
    <t>vf</t>
  </si>
  <si>
    <t>Voice Frequency (VF)</t>
  </si>
  <si>
    <t>Frequency band number 3; range 300-3000 Hertz.</t>
  </si>
  <si>
    <t>iceField</t>
  </si>
  <si>
    <t>Ice-field</t>
  </si>
  <si>
    <t>An extensive flat expanse of ice, especially located in the polar regions.</t>
  </si>
  <si>
    <t>snowfield</t>
  </si>
  <si>
    <t>Snowfield</t>
  </si>
  <si>
    <t>An expanse of packed snow, usually resulting from multiple snowfalls.</t>
  </si>
  <si>
    <t>aboveBuriedTank</t>
  </si>
  <si>
    <t>Above and/or Buried Tank</t>
  </si>
  <si>
    <t>A mixture of aboveground and buried storage tanks.</t>
  </si>
  <si>
    <t>aboveSemiBuriedTank</t>
  </si>
  <si>
    <t>Above and/or Semi-buried Tank</t>
  </si>
  <si>
    <t>A mixture of aboveground and semi-buried storage tanks.</t>
  </si>
  <si>
    <t>abovegroundTank</t>
  </si>
  <si>
    <t>Aboveground Tank</t>
  </si>
  <si>
    <t>One or more aboveground storage tanks.</t>
  </si>
  <si>
    <t>buriedSemiBuriedTank</t>
  </si>
  <si>
    <t>Buried and/or Semi-buried Tank</t>
  </si>
  <si>
    <t>A mixture of buried and semi-buried storage tanks.</t>
  </si>
  <si>
    <t>buriedTank</t>
  </si>
  <si>
    <t>Buried Tank</t>
  </si>
  <si>
    <t>One or more buried storage tanks.</t>
  </si>
  <si>
    <t>container</t>
  </si>
  <si>
    <t>Container</t>
  </si>
  <si>
    <t>A collection of barrels, drums, and/or cans.</t>
  </si>
  <si>
    <t>Generally of relatively small individual capacity (for example: 55 US gallons).</t>
  </si>
  <si>
    <t>railwayTankWagon</t>
  </si>
  <si>
    <t>Railway Tank Wagon</t>
  </si>
  <si>
    <t>One or more railway tank wagons.</t>
  </si>
  <si>
    <t>They are typically stored on a railway siding.</t>
  </si>
  <si>
    <t>semiBuriedTank</t>
  </si>
  <si>
    <t>Semi-buried Tank</t>
  </si>
  <si>
    <t>One or more semi-buried storage tanks.</t>
  </si>
  <si>
    <t>For example, partially banked by soil.</t>
  </si>
  <si>
    <t>tankMix</t>
  </si>
  <si>
    <t>Tank Mix</t>
  </si>
  <si>
    <t>A mixture of storage tanks that are either buried, semi-buried, or aboveground.</t>
  </si>
  <si>
    <t>tankerTruck</t>
  </si>
  <si>
    <t>Tanker Truck</t>
  </si>
  <si>
    <t>One or more tanker trucks.</t>
  </si>
  <si>
    <t>lightDamage_F0</t>
  </si>
  <si>
    <t>F0 - Light Damage</t>
  </si>
  <si>
    <t>Some damage to chimneys; breaks twigs and branches off trees; pushes over shallow-rooted trees; damages signboards; some windows broken.</t>
  </si>
  <si>
    <t>Estimated maximum wind speed of 40-72 statute miles per hour, but remain below hurricane force.</t>
  </si>
  <si>
    <t>moderateDamage_F1</t>
  </si>
  <si>
    <t>F1 - Moderate Damage</t>
  </si>
  <si>
    <t>Peels surfaces off roofs; mobile homes pushed off foundations or overturned; outbuildings demolished; moving autos pushed off the roads; trees snapped or broken.</t>
  </si>
  <si>
    <t>Estimated maximum wind speed of 73-112 statute miles per hour.</t>
  </si>
  <si>
    <t>considerableDamage_F2</t>
  </si>
  <si>
    <t>F2 - Considerable Damage</t>
  </si>
  <si>
    <t>Roofs torn off frame houses; mobile homes demolished; frame houses with weak foundations lifted and moved; boxcars pushed over; large trees snapped or uprooted; light-object missiles generated.</t>
  </si>
  <si>
    <t>Estimated maximum wind speed of 113-157 statute miles per hour.</t>
  </si>
  <si>
    <t>severeDamage_F3</t>
  </si>
  <si>
    <t>F3 - Severe Damage</t>
  </si>
  <si>
    <t>Roofs and some walls torn off well-constructed houses; trains overturned; most trees in forests uprooted; heavy cars lifted off the ground and thrown; weak pavement blown off roads.</t>
  </si>
  <si>
    <t>Estimated maximum wind speed of 158-206 statute miles per hour.</t>
  </si>
  <si>
    <t>devastatingDamage_F4</t>
  </si>
  <si>
    <t>F4 - Devastating Damage</t>
  </si>
  <si>
    <t>Well-constructed homes leveled; structures with weak foundations blown off some distance; cars thrown and disintegrated; large missiles generated; trees in forest uprooted and carried some distance away.</t>
  </si>
  <si>
    <t>Estimated maximum wind speed of 207-260 statute miles per hour.</t>
  </si>
  <si>
    <t>incredibleDamage_F5</t>
  </si>
  <si>
    <t>F5 - Incredible Damage</t>
  </si>
  <si>
    <t>Strong frame houses lifted off foundations and carried considerable distance to disintegrate; automobile-sized missiles fly through the air in excess of 100 metres (300 feet); trees debarked; incredible phenomena will occur.</t>
  </si>
  <si>
    <t>Estimated maximum wind speed of 261-318 statute miles per hour.</t>
  </si>
  <si>
    <t>borderCrossing</t>
  </si>
  <si>
    <t>Crossing a road and preventing passage until approved by a border guard.</t>
  </si>
  <si>
    <t>Controls access to a level crossing.</t>
  </si>
  <si>
    <t>For example, at the intersection of a road and a railway where physical blockage of road traffic is desirable when a train is passing.</t>
  </si>
  <si>
    <t>entrance</t>
  </si>
  <si>
    <t>Entrance</t>
  </si>
  <si>
    <t>Crossing a road and preventing passage into a facility.</t>
  </si>
  <si>
    <t>May be manned by a guard or an automatic control device.</t>
  </si>
  <si>
    <t>tollGate</t>
  </si>
  <si>
    <t>Toll-gate</t>
  </si>
  <si>
    <t>Crossing a road and preventing passage until a toll is paid.</t>
  </si>
  <si>
    <t>conventional</t>
  </si>
  <si>
    <t>Conventional</t>
  </si>
  <si>
    <t>An English name that is in widespread usage for a feature that is located in a region where English is not the official language.</t>
  </si>
  <si>
    <t>historicalOriginal</t>
  </si>
  <si>
    <t>Historical Original</t>
  </si>
  <si>
    <t>A historical name for a feature that remains in the original (non-Latin/Roman) script.</t>
  </si>
  <si>
    <t>historicalTransliterated</t>
  </si>
  <si>
    <t>Historical Transliterated</t>
  </si>
  <si>
    <t>A historical name for a feature that has been transliterated to the Latin/Roman script as necessary.</t>
  </si>
  <si>
    <t>nativeOriginal</t>
  </si>
  <si>
    <t>Native Original</t>
  </si>
  <si>
    <t>The official local name for a feature that remains in the original (non-Latin/Roman) script and is approved by the U.S. Board on Geographic Names (BGN).</t>
  </si>
  <si>
    <t>nativeTransliterated</t>
  </si>
  <si>
    <t>Native Transliterated</t>
  </si>
  <si>
    <t>The official local name for a feature that has been transliterated to the Latin/Roman script as necessary and is approved by the U.S. Board on Geographic Names (BGN).</t>
  </si>
  <si>
    <t>provisional</t>
  </si>
  <si>
    <t>Provisional</t>
  </si>
  <si>
    <t>A provisional name for a feature that has been transliterated to the Latin/Roman script as necessary.</t>
  </si>
  <si>
    <t>unverifiedOriginal</t>
  </si>
  <si>
    <t>Unverified Original</t>
  </si>
  <si>
    <t>A local name for a feature that remains in the original (non-Latin/Roman) script, where a native source for the name was either unavailable or nonexistant and a non-native source for the name was used instead and the resulting name could not be verified from a recent local official source.</t>
  </si>
  <si>
    <t>An unverified name is usually indicated in a gazetteer using the dagger symbol.</t>
  </si>
  <si>
    <t>unverifiedTransliterated</t>
  </si>
  <si>
    <t>Unverified Transliterated</t>
  </si>
  <si>
    <t>A local name for a feature that has been transliterated to the Latin/Roman script as necessary, where a native source for the name was either unavailable or nonexistant and a non-native source for the name was used instead and the resulting name could not be verified from a recent local official source.</t>
  </si>
  <si>
    <t>variantOriginal</t>
  </si>
  <si>
    <t>Variant Original</t>
  </si>
  <si>
    <t>A variant or alternate name for a feature that remains in the original (non-Latin/Roman) script.</t>
  </si>
  <si>
    <t>For example, a former name, a name in local usage, alternate name spellings found in various sources, or a derived short name.</t>
  </si>
  <si>
    <t>variantTransliterated</t>
  </si>
  <si>
    <t>Variant Transliterated</t>
  </si>
  <si>
    <t>A variant or alternate name for a feature that has been transliterated to the Latin/Roman script as necessary.</t>
  </si>
  <si>
    <t>abruptSlopeChange</t>
  </si>
  <si>
    <t>Abrupt Slope Change</t>
  </si>
  <si>
    <t>The edge between adjoining slopes of terrain where the slope changes both abruptly and significantly.</t>
  </si>
  <si>
    <t>centerlineDrain</t>
  </si>
  <si>
    <t>Centerline Drain</t>
  </si>
  <si>
    <t>The edge between adjoining slopes of terrain towards which water flows from opposite directions and along which water drains.</t>
  </si>
  <si>
    <t>cliffBottom</t>
  </si>
  <si>
    <t>Cliff Bottom</t>
  </si>
  <si>
    <t>The lower edge of a cliff or steep slope separating two comparatively level or more gently sloping surfaces.</t>
  </si>
  <si>
    <t>cliffTop</t>
  </si>
  <si>
    <t>Cliff Top</t>
  </si>
  <si>
    <t>The upper edge of a cliff or steep slope separating two comparatively level or more gently sloping surfaces.</t>
  </si>
  <si>
    <t>faultlineBottom</t>
  </si>
  <si>
    <t>Fault-line Bottom</t>
  </si>
  <si>
    <t>The lower edge of a vertical (dip-slip) fault.</t>
  </si>
  <si>
    <t>faultlineTop</t>
  </si>
  <si>
    <t>Fault-line Top</t>
  </si>
  <si>
    <t>The upper edge of a vertical (dip-slip) fault.</t>
  </si>
  <si>
    <t>peak</t>
  </si>
  <si>
    <t>Peak</t>
  </si>
  <si>
    <t>The location of maximum elevation of a terrain area, away from which water tends to flow in all directions.</t>
  </si>
  <si>
    <t>pit</t>
  </si>
  <si>
    <t>Pit</t>
  </si>
  <si>
    <t>The location of minimum elevation of a terrain area, towards which water flows from all directions.</t>
  </si>
  <si>
    <t>The edge between adjoining slopes of terrain from which water begins to flow in opposite directions.</t>
  </si>
  <si>
    <t>valleyLine</t>
  </si>
  <si>
    <t>Valley Line</t>
  </si>
  <si>
    <t>The edge between adjoining slopes of terrain towards which water flows from opposite directions.</t>
  </si>
  <si>
    <t>region1</t>
  </si>
  <si>
    <t>Region 1</t>
  </si>
  <si>
    <t>Includes language-specific characters used in the Americas and Western Europe.</t>
  </si>
  <si>
    <t>region2</t>
  </si>
  <si>
    <t>Region 2</t>
  </si>
  <si>
    <t>Includes language-specific characters used in Eastern Europe.</t>
  </si>
  <si>
    <t>region3</t>
  </si>
  <si>
    <t>Region 3</t>
  </si>
  <si>
    <t>Includes language-specific characters used in Africa and the Middle East.</t>
  </si>
  <si>
    <t>region4</t>
  </si>
  <si>
    <t>Region 4</t>
  </si>
  <si>
    <t>Includes language-specific characters used in Russia and Central Asia.</t>
  </si>
  <si>
    <t>region5</t>
  </si>
  <si>
    <t>Region 5</t>
  </si>
  <si>
    <t>Includes language-specific characters used in the Asia Pacific region.</t>
  </si>
  <si>
    <t>region6</t>
  </si>
  <si>
    <t>Region 6</t>
  </si>
  <si>
    <t>Includes language-specific characters used in Vietnam.</t>
  </si>
  <si>
    <t>areaOfNoSovereignty</t>
  </si>
  <si>
    <t>Area of No Sovereignty</t>
  </si>
  <si>
    <t>A territory that is not subject to a State.</t>
  </si>
  <si>
    <t>For example, Antarctica.</t>
  </si>
  <si>
    <t>bufferZone</t>
  </si>
  <si>
    <t>Buffer Zone</t>
  </si>
  <si>
    <t>A delimited area separating two political entities or territories, within which certain activities are limited or prohibited.</t>
  </si>
  <si>
    <t>For example, military presence is minimal or absent. Currently limited in US State Department application to No Man's Land and the Gibraltar-Spain Neutral Zone.</t>
  </si>
  <si>
    <t>demilitarizedZone</t>
  </si>
  <si>
    <t>Demilitarized Zone (DMZ)</t>
  </si>
  <si>
    <t>A strip of territory in a border area where military activity is precluded.</t>
  </si>
  <si>
    <t>One of the lines in a DMZ generally serves as a line of separation (for example: armistice control, withdrawal or cease-fire line). For example, two two-kilometre-wide DMZs have existed on either side of the Military Demarcation Line between North and South Korea since the signing of the Armistice in July 1953.</t>
  </si>
  <si>
    <t>dependentPoliticalEntity</t>
  </si>
  <si>
    <t>Dependent Political Entity</t>
  </si>
  <si>
    <t>A State that is constitutionally dependent on an independent State.</t>
  </si>
  <si>
    <t>For example New Caledonia, an overseas territory of France since 1956.</t>
  </si>
  <si>
    <t>economicRegion</t>
  </si>
  <si>
    <t>Economic Region</t>
  </si>
  <si>
    <t>A supranational region established, usually by treaty, principally to achieve a common basis for economic activity.</t>
  </si>
  <si>
    <t>For example, the European Union (EU) and the North American Free Trade Agreement (NAFTA).</t>
  </si>
  <si>
    <t>freelyAssociatedState</t>
  </si>
  <si>
    <t>Freely Associated State</t>
  </si>
  <si>
    <t>A self-governing State characterized by the traits of an independent political entity, that has entered into an association with another independent political entity for the conduct of certain affairs of state (for example: defence or foreign policy).</t>
  </si>
  <si>
    <t>independentPoliEntity</t>
  </si>
  <si>
    <t>Independent Political Entity</t>
  </si>
  <si>
    <t>A territory constituting an independent State.</t>
  </si>
  <si>
    <t>In particular, a people politically organized into a sovereign State with a definite territory recognized as independent by the United States.</t>
  </si>
  <si>
    <t>leasedArea</t>
  </si>
  <si>
    <t>Leased Area</t>
  </si>
  <si>
    <t>A territory leased by one State from another.</t>
  </si>
  <si>
    <t>For example, leased by the United Kingdom from the People's Republic of China to form part of Hong Kong.</t>
  </si>
  <si>
    <t>politicalEntity</t>
  </si>
  <si>
    <t>Political Entity</t>
  </si>
  <si>
    <t>A State characterized by amorphous or nonexistent political organization, undetermined sovereignty, or indefinite territory.</t>
  </si>
  <si>
    <t>In particular, not recognized as an independent State by the United States.</t>
  </si>
  <si>
    <t>semiIndependPolitEntity</t>
  </si>
  <si>
    <t>Semi-independent Political Entity</t>
  </si>
  <si>
    <t>A State, within an independent State, characterized by a significantly high degree of political and constitutional autonomy in most affairs of state.</t>
  </si>
  <si>
    <t>For example, the Hong Kong Special Administrative Region as of 1 July 1997 and the Macau Special Administrative Region as of 20 December 1999.</t>
  </si>
  <si>
    <t>territory</t>
  </si>
  <si>
    <t>Territory</t>
  </si>
  <si>
    <t>An area of land whose political status will be determined by future negotiation.</t>
  </si>
  <si>
    <t>Territory may include any geographical area under the jurisdiction of a sovereign and does not necessarily have a political division status. Currently limited in US State Department application to the Gaza Strip and the West Bank.</t>
  </si>
  <si>
    <t>zoneOfOccupation</t>
  </si>
  <si>
    <t>Zone of Occupation</t>
  </si>
  <si>
    <t>A newly conquered territory under the control of an armed force.</t>
  </si>
  <si>
    <t>armisticeLine</t>
  </si>
  <si>
    <t>Armistice Line</t>
  </si>
  <si>
    <t>A form of military disengagement line established by opposing groups as a result of an armistice (a temporary peace agreement).</t>
  </si>
  <si>
    <t>For example, the Armistice Line established in 1949 in the Middle East.</t>
  </si>
  <si>
    <t>ceaseFireLine</t>
  </si>
  <si>
    <t>Cease Fire Line</t>
  </si>
  <si>
    <t>A line established where active hostilities have been suspended, but where an armistice line has not yet been agreed.</t>
  </si>
  <si>
    <t>claimLine</t>
  </si>
  <si>
    <t>Claim Line</t>
  </si>
  <si>
    <t>A limit of an area unilaterally claimed by one State or political entity without consent or negotiation with the adjacent State or political entity.</t>
  </si>
  <si>
    <t>conventionLine</t>
  </si>
  <si>
    <t>Convention Line</t>
  </si>
  <si>
    <t>A line established to regulate matters between nations or groups over a specific area or territory.</t>
  </si>
  <si>
    <t>demarcationLine</t>
  </si>
  <si>
    <t>Demarcation Line</t>
  </si>
  <si>
    <t>A form of military disengagement line established by opposing groups as a result of the cessation of hostilities.</t>
  </si>
  <si>
    <t>For example, the Military Demarcation Line established in 1953 between North and South Korea.</t>
  </si>
  <si>
    <t>genericAdminBoundary</t>
  </si>
  <si>
    <t>Generic Administrative Boundary</t>
  </si>
  <si>
    <t>A boundary separating subordinate administrative divisions (for example: a state, county, township, province, district, territory, and oblast) in a State or other geopolitical entity.</t>
  </si>
  <si>
    <t>States are generally divided into first-, second- and lower-order administrative divisions. With only minor exceptions (Egypt-Sudan, Kenya-Sudan), administrative boundaries are contiguous with international boundaries. In rarer instances, administrative boundaries serve in lieu of international boundaries (Ethiopia-Somalia and the former Oman-UAE boundaries).</t>
  </si>
  <si>
    <t>genericIntBoundary</t>
  </si>
  <si>
    <t>Generic International Boundary</t>
  </si>
  <si>
    <t>A boundary separating geopolitical entities that is not classified as a more specific geopolitical line type.</t>
  </si>
  <si>
    <t>intercolonialLine</t>
  </si>
  <si>
    <t>Intercolonial Line</t>
  </si>
  <si>
    <t>A line of demarcation established by colonial powers between their adjacent colonies.</t>
  </si>
  <si>
    <t>For example, the line established by treaty in Paris on 10th of February, 1763, that put an end to the American intercolonial wars. By its provisions, France gave to England all her possessions in America 'east of the Mississippi, from its source to the river Iberville, and through Lakes Maurepas and Pontchartrain to the Gulf of Mexico'. Spain, which had also been involved in war with England, ceded East and West Florida to that country in exchange for Havanna, while France gave to Spain Louisiana.</t>
  </si>
  <si>
    <t>interentityLine</t>
  </si>
  <si>
    <t>Interentity Line</t>
  </si>
  <si>
    <t>The line of separation drawn in Bosnia and Herzegovina separating the ethnic Serb populations from other Bosnians.</t>
  </si>
  <si>
    <t>A United Nations patrol zone bounds it on both sides.</t>
  </si>
  <si>
    <t>lineOfAdjacency</t>
  </si>
  <si>
    <t>Line of Adjacency</t>
  </si>
  <si>
    <t>A line of separation under the specific arrangement concluded in 2000 between Guatemala and Belize.</t>
  </si>
  <si>
    <t>Guatemala, which has claims to large portions of Belize and disputes the international boundary, agreed to an alternate line, surveyed separately but tangent with the international boundary, that would permit Belize to extradite squatters residing along the boundary back to Guatemala.</t>
  </si>
  <si>
    <t>lineOfControl</t>
  </si>
  <si>
    <t>Line of Control</t>
  </si>
  <si>
    <t>A line of separation between military forces that has been agreed by both forces but not necessarily accompanied by a cessation of hostilities.</t>
  </si>
  <si>
    <t>For example, between India and Pakistan in Kashmir established as a result of the Simla talks in 1972 that clearly delimited the 1949 Cease Fire Line with minor modifications.</t>
  </si>
  <si>
    <t>lineOfConvenience</t>
  </si>
  <si>
    <t>Line of Convenience</t>
  </si>
  <si>
    <t>A line created when political or military powers cannot quickly or easily agree to an alternate line of separation between contending parties.</t>
  </si>
  <si>
    <t>For example, the 38th parallel was created as a line of convenience between communist and democratic forces on the Korean peninsula in 1945.</t>
  </si>
  <si>
    <t>lineOfWithdrawal</t>
  </si>
  <si>
    <t>Line of Withdrawal</t>
  </si>
  <si>
    <t>A line of separation to which military forces have withdrawn.</t>
  </si>
  <si>
    <t>Withdrawal Line</t>
  </si>
  <si>
    <t>militaryDisengagementLine</t>
  </si>
  <si>
    <t>Military Disengagement Line</t>
  </si>
  <si>
    <t>A line of separation recognizing the disengagement of military forces.</t>
  </si>
  <si>
    <t>For example, an Armistice Line and a Demarcation Line.</t>
  </si>
  <si>
    <t>provisionalAdminLine</t>
  </si>
  <si>
    <t>Provisional Administrative Line</t>
  </si>
  <si>
    <t>A line of separation separating subordinate administrative divisions where two States or other political entities have agreed to a non-prejudicial de facto boundary while pending final de jure settlement.</t>
  </si>
  <si>
    <t>For example, between Somalia and Ethiopia.</t>
  </si>
  <si>
    <t>treatyLine</t>
  </si>
  <si>
    <t>Treaty Line</t>
  </si>
  <si>
    <t>A line of separation that is not a formal international boundary because one or both parties may not accept the line as official.</t>
  </si>
  <si>
    <t>Usually established by a specific treaty.</t>
  </si>
  <si>
    <t>unclosClaimBoundary</t>
  </si>
  <si>
    <t>UNCLOS Claim Boundary</t>
  </si>
  <si>
    <t>An UNCLOS boundary that divides overlapping maritime limits beyond the territorial sea in exclusive economic zones and on continental shelves.</t>
  </si>
  <si>
    <t>Under UNCLOS (United Nations Convention On The Law Of The Seas) States have the right to regulate economic activity but cannot restrict freedom of navigation within a claim boundary, which are considered high seas.</t>
  </si>
  <si>
    <t>fissure</t>
  </si>
  <si>
    <t>Fissure</t>
  </si>
  <si>
    <t>A heated opening, usually long and narrow, made by cracking, splitting, and/or separation of the terrain surface.</t>
  </si>
  <si>
    <t>Typically located on the slopes of a volcano and appearing as an elongated fracture occasionally emitting wisps of heated vapour.</t>
  </si>
  <si>
    <t>fumarole</t>
  </si>
  <si>
    <t>Fumarole</t>
  </si>
  <si>
    <t>A vent or opening through which issue steam, hydrogen sulfide, and/or other gases.</t>
  </si>
  <si>
    <t>Typically located in or near a volcano.</t>
  </si>
  <si>
    <t>Vent</t>
  </si>
  <si>
    <t>geyser</t>
  </si>
  <si>
    <t>Geyser</t>
  </si>
  <si>
    <t>A hot spring that intermittently spouts steam and water.</t>
  </si>
  <si>
    <t>Usually located in a volcanic area.</t>
  </si>
  <si>
    <t>hotSpring</t>
  </si>
  <si>
    <t>Hot Spring</t>
  </si>
  <si>
    <t>A spring of naturally hot water.</t>
  </si>
  <si>
    <t>sulphurSpring</t>
  </si>
  <si>
    <t>Sulphur Spring</t>
  </si>
  <si>
    <t>A spring whose water contains sulphur or sulphurous gases.</t>
  </si>
  <si>
    <t>globalOrbitNavSatelliteSys</t>
  </si>
  <si>
    <t>Global Orbiting Navigation Satellite System (GLONASS)</t>
  </si>
  <si>
    <t>A navigation system based on the transmission of signals from satellites provided and maintained by the Russian Federation.</t>
  </si>
  <si>
    <t>A navigation system based on the transmission of signals from satellites provided and maintained by the United States.</t>
  </si>
  <si>
    <t>manySides</t>
  </si>
  <si>
    <t>Many Sides</t>
  </si>
  <si>
    <t>More than two sides are exposed by a cut and/or fill.</t>
  </si>
  <si>
    <t>noSides</t>
  </si>
  <si>
    <t>No Sides</t>
  </si>
  <si>
    <t>No cuts or fills exist.</t>
  </si>
  <si>
    <t>oneSide</t>
  </si>
  <si>
    <t>One Side</t>
  </si>
  <si>
    <t>Only one side is exposed by a cut or fill.</t>
  </si>
  <si>
    <t>twoSides</t>
  </si>
  <si>
    <t>Two Sides</t>
  </si>
  <si>
    <t>Two sides are exposed by a cut and/or fill.</t>
  </si>
  <si>
    <t>doubleBay</t>
  </si>
  <si>
    <t>D - Double Bay</t>
  </si>
  <si>
    <t>Double bay</t>
  </si>
  <si>
    <t>G - Underground</t>
  </si>
  <si>
    <t>multiBay</t>
  </si>
  <si>
    <t>M - Multi-bay</t>
  </si>
  <si>
    <t>Multi-bay</t>
  </si>
  <si>
    <t>N - Nose In</t>
  </si>
  <si>
    <t>Nose in</t>
  </si>
  <si>
    <t>openEnd</t>
  </si>
  <si>
    <t>O - Open End</t>
  </si>
  <si>
    <t>Open end</t>
  </si>
  <si>
    <t>singleBay</t>
  </si>
  <si>
    <t>S - Single Bay</t>
  </si>
  <si>
    <t>Single bay</t>
  </si>
  <si>
    <t>shapedLikeT</t>
  </si>
  <si>
    <t>T - T-Shaped</t>
  </si>
  <si>
    <t>T-Shaped</t>
  </si>
  <si>
    <t>bulkTerminal</t>
  </si>
  <si>
    <t>Bulk Terminal</t>
  </si>
  <si>
    <t>A terminal for the handling of bulk materials (for example: iron ore or coal).</t>
  </si>
  <si>
    <t>containerTerminal</t>
  </si>
  <si>
    <t>Container Terminal</t>
  </si>
  <si>
    <t>A terminal for container ships.</t>
  </si>
  <si>
    <t>ferryTerminal</t>
  </si>
  <si>
    <t>Ferry Terminal</t>
  </si>
  <si>
    <t>A terminal for passenger and vehicle ferries.</t>
  </si>
  <si>
    <t>fishingHarbour</t>
  </si>
  <si>
    <t>Fishing Harbour</t>
  </si>
  <si>
    <t>A harbour that is primarily used by fishing boats.</t>
  </si>
  <si>
    <t>marina</t>
  </si>
  <si>
    <t>A harbour with facilities for small boats and yachts.</t>
  </si>
  <si>
    <t>navalBase</t>
  </si>
  <si>
    <t>Naval Base</t>
  </si>
  <si>
    <t>A centre of operations for naval vessels.</t>
  </si>
  <si>
    <t>passengerTerminal</t>
  </si>
  <si>
    <t>Passenger Terminal</t>
  </si>
  <si>
    <t>A terminal for the loading and unloading of passengers.</t>
  </si>
  <si>
    <t>roRoTerminal</t>
  </si>
  <si>
    <t>Ro-Ro Terminal</t>
  </si>
  <si>
    <t>A terminal for roll-on roll-off ferries.</t>
  </si>
  <si>
    <t>Roll-on Roll-off Terminal</t>
  </si>
  <si>
    <t>A place where ships are built or repaired.</t>
  </si>
  <si>
    <t>tankerTerminal</t>
  </si>
  <si>
    <t>Tanker Terminal</t>
  </si>
  <si>
    <t>A terminal for the bulk handling of liquid cargoes.</t>
  </si>
  <si>
    <t>timberYard</t>
  </si>
  <si>
    <t>Timber-yard</t>
  </si>
  <si>
    <t>An open yard or place where timber is stacked and/or stored.</t>
  </si>
  <si>
    <t>bombShelter</t>
  </si>
  <si>
    <t>Bomb Shelter</t>
  </si>
  <si>
    <t>A specially designed or designated emergency shelter which is meant for short-term occupancy and intended to protect occupants from overhead bomb blasts.</t>
  </si>
  <si>
    <t>Bomb shelters protect from shock waves and overpressure (pressure difference, relative to normal pressure).</t>
  </si>
  <si>
    <t>falloutShelter</t>
  </si>
  <si>
    <t>Fallout Shelter</t>
  </si>
  <si>
    <t>A specially designed or designated emergency shelter which is meant for short-term occupancy and intended to protect occupants from radioactive debris and fallout resulting from a nuclear explosion.</t>
  </si>
  <si>
    <t>Fallout shelters are typically stocked with supplies to allow occupants to remain in the shelter until radioactivity has decayed to a safer level.</t>
  </si>
  <si>
    <t>stormShelter</t>
  </si>
  <si>
    <t>Storm Shelter</t>
  </si>
  <si>
    <t>A specially designed or designated emergency shelter which is meant for short-term occupancy and intended to protect the occupants from violent severe weather.</t>
  </si>
  <si>
    <t>adultDayCare</t>
  </si>
  <si>
    <t>Adult Day Care</t>
  </si>
  <si>
    <t>ambulatoryOutpatSurgery</t>
  </si>
  <si>
    <t>Ambulatory Outpatient Surgery</t>
  </si>
  <si>
    <t>angioplasty</t>
  </si>
  <si>
    <t>Angioplasty</t>
  </si>
  <si>
    <t>arthritisTreatment</t>
  </si>
  <si>
    <t>Arthritis Treatment</t>
  </si>
  <si>
    <t>assistedLiving</t>
  </si>
  <si>
    <t>Assisted Living</t>
  </si>
  <si>
    <t>auxiliaryOrganization</t>
  </si>
  <si>
    <t>Auxiliary Organization</t>
  </si>
  <si>
    <t>bloodBank</t>
  </si>
  <si>
    <t>Blood Bank</t>
  </si>
  <si>
    <t>breastCancerScreening</t>
  </si>
  <si>
    <t>Breast Cancer Screening</t>
  </si>
  <si>
    <t>burnCare</t>
  </si>
  <si>
    <t>Burn Care</t>
  </si>
  <si>
    <t>cancerCare</t>
  </si>
  <si>
    <t>Cancer Care</t>
  </si>
  <si>
    <t>cardiacCatheterization</t>
  </si>
  <si>
    <t>Cardiac Catheterization</t>
  </si>
  <si>
    <t>cardiacIntensiveCare</t>
  </si>
  <si>
    <t>Cardiac Intensive Care</t>
  </si>
  <si>
    <t>cardiacRehabilitation</t>
  </si>
  <si>
    <t>Cardiac Rehabilitation</t>
  </si>
  <si>
    <t>caseManagement</t>
  </si>
  <si>
    <t>Case Management</t>
  </si>
  <si>
    <t>chemicalDependInpatient</t>
  </si>
  <si>
    <t>Chemical Dependencies Inpatient</t>
  </si>
  <si>
    <t>chemicalDependOutpatient</t>
  </si>
  <si>
    <t>Chemical Dependencies Outpatient</t>
  </si>
  <si>
    <t>childbirthCare</t>
  </si>
  <si>
    <t>Childbirth Care</t>
  </si>
  <si>
    <t>copdCare</t>
  </si>
  <si>
    <t>Chronic Obstructive Pulmonary Disease (COPD) Care</t>
  </si>
  <si>
    <t>clinicalLaboratory</t>
  </si>
  <si>
    <t>Clinical Laboratory</t>
  </si>
  <si>
    <t>communHealthReporting</t>
  </si>
  <si>
    <t>Community Health Reporting</t>
  </si>
  <si>
    <t>communHealthStatAssessment</t>
  </si>
  <si>
    <t>Community Health Status Assessment</t>
  </si>
  <si>
    <t>communHealthStatBasedPlan</t>
  </si>
  <si>
    <t>Community Health Status-based Planning</t>
  </si>
  <si>
    <t>communOutreach</t>
  </si>
  <si>
    <t>Community Outreach</t>
  </si>
  <si>
    <t>computedTomographyImaging</t>
  </si>
  <si>
    <t>Computed Tomography (CT) Imaging</t>
  </si>
  <si>
    <t>continuousOperation</t>
  </si>
  <si>
    <t>Continuous Operation</t>
  </si>
  <si>
    <t>crisisPrevention</t>
  </si>
  <si>
    <t>Crisis Prevention</t>
  </si>
  <si>
    <t>dentalCare</t>
  </si>
  <si>
    <t>Dental Care</t>
  </si>
  <si>
    <t>diagnosticRadioImaging</t>
  </si>
  <si>
    <t>Diagnostic Radioisotope Imaging</t>
  </si>
  <si>
    <t>diagnosticUltrasound</t>
  </si>
  <si>
    <t>Diagnostic Ultrasound</t>
  </si>
  <si>
    <t>emergencyMedicine</t>
  </si>
  <si>
    <t>Emergency Medicine</t>
  </si>
  <si>
    <t>ethicsCommittee</t>
  </si>
  <si>
    <t>Ethics Committee</t>
  </si>
  <si>
    <t>eswlTherapy</t>
  </si>
  <si>
    <t>Extracorporeal Shock Wave Lithotripter (ESWL) Therapy</t>
  </si>
  <si>
    <t>freestandingAmbulatoryCare</t>
  </si>
  <si>
    <t>Freestanding Ambulatory Care</t>
  </si>
  <si>
    <t>geriatricCare</t>
  </si>
  <si>
    <t>Geriatric Care</t>
  </si>
  <si>
    <t>geriatricPsychiatry</t>
  </si>
  <si>
    <t>Geriatric Psychiatry</t>
  </si>
  <si>
    <t>healthFacilityTransport</t>
  </si>
  <si>
    <t>Health Facility Transportation</t>
  </si>
  <si>
    <t>healthFair</t>
  </si>
  <si>
    <t>Health Fair</t>
  </si>
  <si>
    <t>healthInformationCentre</t>
  </si>
  <si>
    <t>Health Information Centre</t>
  </si>
  <si>
    <t>healthScreening</t>
  </si>
  <si>
    <t>Health Screening</t>
  </si>
  <si>
    <t>hemodialysis</t>
  </si>
  <si>
    <t>Hemodialysis</t>
  </si>
  <si>
    <t>histopathologyLaboratory</t>
  </si>
  <si>
    <t>Histopathology Laboratory</t>
  </si>
  <si>
    <t>hivAidsCare</t>
  </si>
  <si>
    <t>HIV-AIDS Care</t>
  </si>
  <si>
    <t>homeHealthCare</t>
  </si>
  <si>
    <t>Home Health Care</t>
  </si>
  <si>
    <t>hospiceCare</t>
  </si>
  <si>
    <t>Hospice Care</t>
  </si>
  <si>
    <t>inHousePharmacy</t>
  </si>
  <si>
    <t>In-house Pharmacy</t>
  </si>
  <si>
    <t>mriImaging</t>
  </si>
  <si>
    <t>Magnetic Resonance Imaging (MRI) Imaging</t>
  </si>
  <si>
    <t>mealsOnWheels</t>
  </si>
  <si>
    <t>Meals on Wheels</t>
  </si>
  <si>
    <t>medicalLibrary</t>
  </si>
  <si>
    <t>Medical Library</t>
  </si>
  <si>
    <t>medicalSurgicalIntCare</t>
  </si>
  <si>
    <t>Medical-surgical Intensive Care</t>
  </si>
  <si>
    <t>neonatalIntensiveCare</t>
  </si>
  <si>
    <t>Neonatal Intensive Care</t>
  </si>
  <si>
    <t>nonInvasiveCardiacAssess</t>
  </si>
  <si>
    <t>Non-invasive Cardiac Assessment</t>
  </si>
  <si>
    <t>nutritionProgram</t>
  </si>
  <si>
    <t>Nutrition Program</t>
  </si>
  <si>
    <t>obstetricCare</t>
  </si>
  <si>
    <t>Obstetric Care</t>
  </si>
  <si>
    <t>occupationalHealthCare</t>
  </si>
  <si>
    <t>Occupational Health Care</t>
  </si>
  <si>
    <t>occupationalTherapy</t>
  </si>
  <si>
    <t>Occupational Therapy</t>
  </si>
  <si>
    <t>openHeartSurgery</t>
  </si>
  <si>
    <t>Open Heart Surgery</t>
  </si>
  <si>
    <t>orthopedicSurgery</t>
  </si>
  <si>
    <t>Orthopedic Surgery</t>
  </si>
  <si>
    <t>outpatientCare</t>
  </si>
  <si>
    <t>Outpatient Care</t>
  </si>
  <si>
    <t>outpatientPsychiatry</t>
  </si>
  <si>
    <t>Outpatient Psychiatry</t>
  </si>
  <si>
    <t>painManagement</t>
  </si>
  <si>
    <t>Pain Management</t>
  </si>
  <si>
    <t>pastoralCare</t>
  </si>
  <si>
    <t>Pastoral Care</t>
  </si>
  <si>
    <t>patientEducation</t>
  </si>
  <si>
    <t>Patient Education</t>
  </si>
  <si>
    <t>patientRepresentative</t>
  </si>
  <si>
    <t>Patient Representative</t>
  </si>
  <si>
    <t>pediatricCare</t>
  </si>
  <si>
    <t>Pediatric Care</t>
  </si>
  <si>
    <t>pediatricIntensiveCare</t>
  </si>
  <si>
    <t>Pediatric Intensive Care</t>
  </si>
  <si>
    <t>pediatricPsychiatry</t>
  </si>
  <si>
    <t>Pediatric Psychiatry</t>
  </si>
  <si>
    <t>pediatricWellness</t>
  </si>
  <si>
    <t>Pediatric Wellness</t>
  </si>
  <si>
    <t>physicalRehabInpatient</t>
  </si>
  <si>
    <t>Physical Rehabilitation Inpatient</t>
  </si>
  <si>
    <t>physicalRehabOutpatient</t>
  </si>
  <si>
    <t>Physical Rehabilitation Outpatient</t>
  </si>
  <si>
    <t>physicalTherapy</t>
  </si>
  <si>
    <t>Physical Therapy</t>
  </si>
  <si>
    <t>petImaging</t>
  </si>
  <si>
    <t>Positron Emission Tomography (PET) Imaging</t>
  </si>
  <si>
    <t>primaryCare</t>
  </si>
  <si>
    <t>Primary Care</t>
  </si>
  <si>
    <t>psychiatricCare</t>
  </si>
  <si>
    <t>Psychiatric Care</t>
  </si>
  <si>
    <t>psychiatricConsultLiaison</t>
  </si>
  <si>
    <t>Psychiatric Consultation-liaison</t>
  </si>
  <si>
    <t>psychiatricEducation</t>
  </si>
  <si>
    <t>Psychiatric Education</t>
  </si>
  <si>
    <t>psychiatricEmergencyCare</t>
  </si>
  <si>
    <t>Psychiatric Emergency Care</t>
  </si>
  <si>
    <t>psychiatricPartialHospCare</t>
  </si>
  <si>
    <t>Psychiatric Partial-hospitalization Care</t>
  </si>
  <si>
    <t>radiationTherapy</t>
  </si>
  <si>
    <t>Radiation Therapy</t>
  </si>
  <si>
    <t>recreationalTherapy</t>
  </si>
  <si>
    <t>Recreational Therapy</t>
  </si>
  <si>
    <t>reproductiveHealthCare</t>
  </si>
  <si>
    <t>Reproductive Health Care</t>
  </si>
  <si>
    <t>respiratoryTherapy</t>
  </si>
  <si>
    <t>Respiratory Therapy</t>
  </si>
  <si>
    <t>retirementHousing</t>
  </si>
  <si>
    <t>Retirement Housing</t>
  </si>
  <si>
    <t>spectImaging</t>
  </si>
  <si>
    <t>Single Photon Emission Computed Tomography (SPECT) Imaging</t>
  </si>
  <si>
    <t>skilledNursingLongTermCare</t>
  </si>
  <si>
    <t>Skilled Nursing and Long-term Care</t>
  </si>
  <si>
    <t>speechTherapy</t>
  </si>
  <si>
    <t>Speech Therapy</t>
  </si>
  <si>
    <t>sportsMedicine</t>
  </si>
  <si>
    <t>Sports Medicine</t>
  </si>
  <si>
    <t>subAcuteCare</t>
  </si>
  <si>
    <t>Sub-acute Care</t>
  </si>
  <si>
    <t>supportGroup</t>
  </si>
  <si>
    <t>Support Group</t>
  </si>
  <si>
    <t>teenOutreach</t>
  </si>
  <si>
    <t>Teen Outreach</t>
  </si>
  <si>
    <t>transplantCentre</t>
  </si>
  <si>
    <t>Transplant Centre</t>
  </si>
  <si>
    <t>traumaCentre</t>
  </si>
  <si>
    <t>Trauma Centre</t>
  </si>
  <si>
    <t>urgentCare</t>
  </si>
  <si>
    <t>Urgent Care</t>
  </si>
  <si>
    <t>volunteerService</t>
  </si>
  <si>
    <t>Volunteer Service</t>
  </si>
  <si>
    <t>womensHealthCare</t>
  </si>
  <si>
    <t>Women's Health Care</t>
  </si>
  <si>
    <t>helicopterClass1</t>
  </si>
  <si>
    <t>Helicopter Class 1</t>
  </si>
  <si>
    <t>A helicopter with performance such that, in case of engine failure, it is able to land on the rejected take-off area or safely continue the flight to an appropriate landing area.</t>
  </si>
  <si>
    <t>helicopterClass2</t>
  </si>
  <si>
    <t>Helicopter Class 2</t>
  </si>
  <si>
    <t>A helicopter with performance such that, in case of engine failure, it is able to safely continue the flight, except when the failure occurs prior to a defined point after take-off or after a defined point before landing, in which cases a forced landing may be required.</t>
  </si>
  <si>
    <t>helicopterClass3</t>
  </si>
  <si>
    <t>Helicopter Class 3</t>
  </si>
  <si>
    <t>A helicopter with performance such that, in case of engine failure at any point in the flight profile, a forced landing must be performed.</t>
  </si>
  <si>
    <t>An aerodrome or a defined place on a structure intended to be used wholly or in part for the arrival, departure, and/or surface movement of helicopters.</t>
  </si>
  <si>
    <t>hospital</t>
  </si>
  <si>
    <t>Hospital</t>
  </si>
  <si>
    <t>An institution or establishment providing inpatient medical or surgical treatment for the ill or wounded.</t>
  </si>
  <si>
    <t>militaryInstallation</t>
  </si>
  <si>
    <t>An installation for military purposes.</t>
  </si>
  <si>
    <t>nonHospitalBuilding</t>
  </si>
  <si>
    <t>Non-hospital Building</t>
  </si>
  <si>
    <t>A building or facility other than a hospital.</t>
  </si>
  <si>
    <t>offshoreConstruction</t>
  </si>
  <si>
    <t>rig</t>
  </si>
  <si>
    <t>An installation supporting aircraft capable of taking off and landing on water.</t>
  </si>
  <si>
    <t>ancient</t>
  </si>
  <si>
    <t>Ancient</t>
  </si>
  <si>
    <t>Belonging to, and dating from, times long past.</t>
  </si>
  <si>
    <t>Generally of many hundreds, if not thousands, of years of age.</t>
  </si>
  <si>
    <t>battlefield</t>
  </si>
  <si>
    <t>Battlefield</t>
  </si>
  <si>
    <t>The site of a land battle of historic importance.</t>
  </si>
  <si>
    <t>Designated as historic by a recognized authority.</t>
  </si>
  <si>
    <t>Generally of only a few hundred years of age or less.</t>
  </si>
  <si>
    <t>A site that has significance because of its association with an historic military event or activity other than a specific battle and its associated battlefield.</t>
  </si>
  <si>
    <t>For example, the (US) WWII Memorial, the (US) Vietnam Memorial, the (US) Marine Corps Memorial, Trafalger Square, the Arc d'Triomphe, and historical military facilities such as Hadrian's Wall, the Great Wall of China, and (US) Ft. McHenry.</t>
  </si>
  <si>
    <t>A site that has significance because of its general importance to a nation.</t>
  </si>
  <si>
    <t>For example, the Statue of Liberty, the St. Louis Arch, the Brandenburg Gate, and Westminster Abbey.</t>
  </si>
  <si>
    <t>notSignificant</t>
  </si>
  <si>
    <t>Not Significant</t>
  </si>
  <si>
    <t>Not ancient or otherwise of historic significance.</t>
  </si>
  <si>
    <t>political</t>
  </si>
  <si>
    <t>Political</t>
  </si>
  <si>
    <t>A site that has significance because of its association with an historic political event or activity.</t>
  </si>
  <si>
    <t>For example, Lenin's Tomb, the Watergate Hotel, and Fords Theater.</t>
  </si>
  <si>
    <t>religious</t>
  </si>
  <si>
    <t>Religious</t>
  </si>
  <si>
    <t>A site that has significance because of its association with a religious event or activity.</t>
  </si>
  <si>
    <t>For example, the Western Wall, the Jordan River, and Lourdes.</t>
  </si>
  <si>
    <t>zoneA</t>
  </si>
  <si>
    <t>Zone A</t>
  </si>
  <si>
    <t>zoneB</t>
  </si>
  <si>
    <t>Zone B</t>
  </si>
  <si>
    <t>zoneC</t>
  </si>
  <si>
    <t>Zone C</t>
  </si>
  <si>
    <t>zoneD</t>
  </si>
  <si>
    <t>Zone D</t>
  </si>
  <si>
    <t>zoneE</t>
  </si>
  <si>
    <t>Zone E</t>
  </si>
  <si>
    <t>enRoute</t>
  </si>
  <si>
    <t>En-route</t>
  </si>
  <si>
    <t>En-route phase of flight.</t>
  </si>
  <si>
    <t>terminalArea</t>
  </si>
  <si>
    <t>Terminal Area</t>
  </si>
  <si>
    <t>Departure, Arrival, and Approach phases of flight.</t>
  </si>
  <si>
    <t>Fails to meet specified accuracy requirements and is probably not sufficiently accurate for most uses.</t>
  </si>
  <si>
    <t>precise</t>
  </si>
  <si>
    <t>Precise</t>
  </si>
  <si>
    <t>Exceeds specified accuracy requirements.</t>
  </si>
  <si>
    <t>A permanently moored floating structure (for example: an old ship) that is used for accommodation.</t>
  </si>
  <si>
    <t>For example, as a hotel or for temporary housing.</t>
  </si>
  <si>
    <t>casino</t>
  </si>
  <si>
    <t>Casino</t>
  </si>
  <si>
    <t>A permanently moored floating structure (for example: a specially constructed barge) that is used for gambling, often including other amenities.</t>
  </si>
  <si>
    <t>derelict</t>
  </si>
  <si>
    <t>Derelict</t>
  </si>
  <si>
    <t>A ship that has been abandoned at sea.</t>
  </si>
  <si>
    <t>It may be large enough to constitute a menace to navigation.</t>
  </si>
  <si>
    <t>floatingBreakwater</t>
  </si>
  <si>
    <t>Floating Breakwater</t>
  </si>
  <si>
    <t>A permanently moored floating structure, often constructed from old ships, used as a breakwater.</t>
  </si>
  <si>
    <t>floatingRestaurant</t>
  </si>
  <si>
    <t>Floating Restaurant</t>
  </si>
  <si>
    <t>A permanently moored floating structure (for example: an old ship) that is used as a restaurant.</t>
  </si>
  <si>
    <t>historicShip</t>
  </si>
  <si>
    <t>Historic Ship</t>
  </si>
  <si>
    <t>A ship of historical interest permanently moored as a tourist attraction.</t>
  </si>
  <si>
    <t>A permanently moored floating structure (for example: an old ship) that is used as an institution or establishment providing inpatient medical or surgical treatment for the ill or wounded.</t>
  </si>
  <si>
    <t>A permanently moored floating structure that is used as an establishment, especially of a comfortable or luxurious kind, where paying visitors are provided with accommodation, meals, and/or other services.</t>
  </si>
  <si>
    <t>A permanently moored floating structure (for example: an old ship) that is used as a museum.</t>
  </si>
  <si>
    <t>storage</t>
  </si>
  <si>
    <t>Storage</t>
  </si>
  <si>
    <t>A permanently moored floating structure (for example: an old ship) that is used for the storage of products and/or supplies.</t>
  </si>
  <si>
    <t>temporaryHousing</t>
  </si>
  <si>
    <t>Temporary Housing</t>
  </si>
  <si>
    <t>A permanently moored floating structure (for example: an old ship) that is used for relatively temporary occupancy.</t>
  </si>
  <si>
    <t>For example, to house military personnel.</t>
  </si>
  <si>
    <t>abrasion</t>
  </si>
  <si>
    <t>Abrasion</t>
  </si>
  <si>
    <t>Superficial damage to the skin, generally not penetrating deeper than the epidermis.</t>
  </si>
  <si>
    <t>Marine life that pose hazards to man by direct contact (for example: jellyfish and sponges), injection (for example: stingrays and scorpionfish), by indirect contact with toxins produced by microorganisms (for example: pfiesteria and prorocentrum) or by predatorial animals (for example: sharks and barracudas).</t>
  </si>
  <si>
    <t>Waste and foreign species discharged in ballast water from ships (when purging procedures are not followed) are also considered a biological hazard.</t>
  </si>
  <si>
    <t>drowning</t>
  </si>
  <si>
    <t>Drowning</t>
  </si>
  <si>
    <t>Death caused by the filling of the lungs by a liquid causing the interruption of the body's exchange of oxygen from the air leading to asphyxia.</t>
  </si>
  <si>
    <t>entanglement</t>
  </si>
  <si>
    <t>Entanglement</t>
  </si>
  <si>
    <t>The situation of being physically unable to exit a site due to snagging and/or by being hampered by clothing or equipment.</t>
  </si>
  <si>
    <t>puncture</t>
  </si>
  <si>
    <t>Puncture</t>
  </si>
  <si>
    <t>Surfaces and/or protrusions are present that would puncture a person and/or their equipment under normal contact.</t>
  </si>
  <si>
    <t>slipping</t>
  </si>
  <si>
    <t>Slipping</t>
  </si>
  <si>
    <t>The area is susceptible to slick conditions and tripping hazards.</t>
  </si>
  <si>
    <t>For example, where algae is growing on a rock and a slip hazard exists.</t>
  </si>
  <si>
    <t>americanRedCross</t>
  </si>
  <si>
    <t>American Red Cross</t>
  </si>
  <si>
    <t>A territorial region where humanitarian relief is provided under the administrative control of the American Red Cross.</t>
  </si>
  <si>
    <t>The American Red Cross is a volunteer-led humanitarian organization providing relief to victims of disaster and helping people prevent, prepare for, and respond to emergencies. It operates by Congressional Charter in accordance with the treaties of Geneva, August 22, 1864, July 27, 1929, and August 12, 1949, establishing the Fundamental Principles of the International Red Cross Movement.</t>
  </si>
  <si>
    <t>highestHighWater</t>
  </si>
  <si>
    <t>Highest High Water</t>
  </si>
  <si>
    <t>The highest water level observed at a location.</t>
  </si>
  <si>
    <t>indianSpringHighWater</t>
  </si>
  <si>
    <t>Indian Spring High Water</t>
  </si>
  <si>
    <t>A tidal surface datum approximating the level of the mean of the higher high water at spring tides.</t>
  </si>
  <si>
    <t>meanHighWater</t>
  </si>
  <si>
    <t>Mean High Water</t>
  </si>
  <si>
    <t>The average height of all high waters at a location over a 19-year period.</t>
  </si>
  <si>
    <t>meanHighWaterSprings</t>
  </si>
  <si>
    <t>Mean High Water Springs</t>
  </si>
  <si>
    <t>The average height of the high waters of spring tides.</t>
  </si>
  <si>
    <t>meanHigherHighWater</t>
  </si>
  <si>
    <t>Mean Higher High Water</t>
  </si>
  <si>
    <t>The average height of higher high waters at a location over a 19-year period.</t>
  </si>
  <si>
    <t>meanHigherHighWaterSprings</t>
  </si>
  <si>
    <t>Mean Higher High Water Springs</t>
  </si>
  <si>
    <t>The average height of higher high water at spring tides at a location.</t>
  </si>
  <si>
    <t>meanSeaLevel</t>
  </si>
  <si>
    <t>Mean Sea Level</t>
  </si>
  <si>
    <t>The average height of the sea at a tide station measured from a fixed predetermined reference level.</t>
  </si>
  <si>
    <t>ialaRegionA</t>
  </si>
  <si>
    <t>IALA Region A</t>
  </si>
  <si>
    <t>Conforms to the International Association of Marine Aids to Navigation and Lighthouse Authorities (IALA) A system.</t>
  </si>
  <si>
    <t>ialaRegionB</t>
  </si>
  <si>
    <t>IALA Region B</t>
  </si>
  <si>
    <t>Conforms to the International Association of Marine Aids to Navigation and Lighthouse Authorities (IALA) B system.</t>
  </si>
  <si>
    <t>noSystem</t>
  </si>
  <si>
    <t>No System</t>
  </si>
  <si>
    <t>Navigational aids do not conform to any defined system.</t>
  </si>
  <si>
    <t>signi</t>
  </si>
  <si>
    <t>SIGNI</t>
  </si>
  <si>
    <t>Conforms to the UN Economic Commission for Europe Signs and Signals on Inland Waterways (SIGNI) system.</t>
  </si>
  <si>
    <t>UN ECE TRANS/SC.3/108 as amended by resolution No. 29 (TRANS/SC.3/108/Add.1).</t>
  </si>
  <si>
    <t>usIntracoastalWaterway</t>
  </si>
  <si>
    <t>US Intracoastal Waterway</t>
  </si>
  <si>
    <t>Conforms to the US Intracoastal Waterway system (ICW), which runs from Manasquan Inlet in New Jersey to the Florida Keys, then north along the west coast of Florida and west along the Gulf coast to Brownsville, Texas at the Mexican border.</t>
  </si>
  <si>
    <t>usUniformState</t>
  </si>
  <si>
    <t>US Uniform State</t>
  </si>
  <si>
    <t>Conforms to the US Uniform State Waterway Marking System (USWMS), which covers inland boating.</t>
  </si>
  <si>
    <t>usWesternRivers</t>
  </si>
  <si>
    <t>US Western Rivers</t>
  </si>
  <si>
    <t>Conforms to the US Western Rivers system, which includes the Mississippi river and its tributaries.</t>
  </si>
  <si>
    <t>dry</t>
  </si>
  <si>
    <t>Dry</t>
  </si>
  <si>
    <t>Filled and/or flowing infrequently, generally only during and/or immediately after heavy precipitation.</t>
  </si>
  <si>
    <t>The waterbody is often vegetated (for example: with shrubs); such a streambed in the Southwestern United States is termed a 'derramadero'.</t>
  </si>
  <si>
    <t>Filled and/or flowing for part of the year.</t>
  </si>
  <si>
    <t>perennial</t>
  </si>
  <si>
    <t>Perennial</t>
  </si>
  <si>
    <t>Filled and/or flowing continuously throughout the year as its bed lies below the water table.</t>
  </si>
  <si>
    <t>approxAuxiliaryContour</t>
  </si>
  <si>
    <t>Approximate Auxiliary Contour</t>
  </si>
  <si>
    <t>A contour line substituted for a normal auxiliary contour line whenever there is a question as to its reliability (for example: due to glacial ice or cloud cover).</t>
  </si>
  <si>
    <t>It is typically depicted as a broken line while maintaining auxiliary contour line weight.</t>
  </si>
  <si>
    <t>approxDepAuxiliaryContour</t>
  </si>
  <si>
    <t>Approximate Depression Auxiliary Contour</t>
  </si>
  <si>
    <t>A closed contour line substituted for a normal depression auxiliary contour line whenever there is a question as to its reliability (for example: due to glacial ice or cloud cover).</t>
  </si>
  <si>
    <t>It is typically depicted as a broken line while maintaining depression auxiliary contour line weight and associated perpendicular ticks.</t>
  </si>
  <si>
    <t>approxDepIndexContour</t>
  </si>
  <si>
    <t>Approximate Depression Index Contour</t>
  </si>
  <si>
    <t>A closed contour line substituted for a normal depression index contour line whenever there is a question as to its reliability (for example: due to glacial ice or cloud cover).</t>
  </si>
  <si>
    <t>It is typically depicted as a broken line while maintaining depression index contour line weight and associated perpendicular ticks.</t>
  </si>
  <si>
    <t>approxDepIntermedContour</t>
  </si>
  <si>
    <t>Approximate Depression Intermediate Contour</t>
  </si>
  <si>
    <t>It is typically depicted as a broken line while maintaining depression intermediate contour line weight and associated perpendicular ticks.</t>
  </si>
  <si>
    <t>approxIndexContour</t>
  </si>
  <si>
    <t>Approximate Index Contour</t>
  </si>
  <si>
    <t>A contour line substituted for a normal index contour line whenever there is a question as to its reliability (for example: due to glacial ice or cloud cover).</t>
  </si>
  <si>
    <t>It is typically depicted as a broken line while maintaining index contour line weight.</t>
  </si>
  <si>
    <t>approxIntermediateContour</t>
  </si>
  <si>
    <t>Approximate Intermediate Contour</t>
  </si>
  <si>
    <t>A contour line substituted for a normal intermediate contour line whenever there is a question as to its reliability (for example: due to glacial ice or cloud cover).</t>
  </si>
  <si>
    <t>It is typically depicted as a broken line while maintaining intermediate contour line weight.</t>
  </si>
  <si>
    <t>auxiliaryCarryingContour</t>
  </si>
  <si>
    <t>Auxiliary Carrying Contour</t>
  </si>
  <si>
    <t>A single contour line representing two or more auxiliary contour lines with different elevation values.</t>
  </si>
  <si>
    <t>A carrying contour is used to portray a terrain area of steep (near vertical) slope (for example: a cliff).</t>
  </si>
  <si>
    <t>auxiliaryContour</t>
  </si>
  <si>
    <t>Auxiliary Contour</t>
  </si>
  <si>
    <t>A contour line that is used to portray important relief characteristics that would not otherwise be shown by index and intermediate contour lines.</t>
  </si>
  <si>
    <t>It is used in areas of extremely low relief (for example: in flat areas such as the North American Prairies) to assist the proper depiction of the slope of the land. An auxilary contour line is typically depicted as a screened line so that it is distinguishable from index and intermediate contour lines and not unduly prominent.</t>
  </si>
  <si>
    <t>connectorLine</t>
  </si>
  <si>
    <t>Connector Line</t>
  </si>
  <si>
    <t>An arbitrary connecting line in a network of contour lines that is used to define regions of 'no data' or irreconcilable source data.</t>
  </si>
  <si>
    <t>Its creation establishes a region of elevations as a single polygon within the contour line network.</t>
  </si>
  <si>
    <t>depressionAuxiliaryContour</t>
  </si>
  <si>
    <t>Depression Auxiliary Contour</t>
  </si>
  <si>
    <t>A closed auxiliary contour line delimiting an area of lower elevation than the surrounding terrain (a terrain depression) out of which there is no surface drainage and is used to portray important relief characteristics that would not otherwise be shown by depression index and depression intermediate contour lines.</t>
  </si>
  <si>
    <t>It is used in terrain depressions of extremely low relief to assist the proper depiction of the slope of the land. It is typically depicted with perpendicular ticks on the descending side of the depression auxiliary contour line and as a screened line so that it is distinguishable from depression index and depression intermediate contour lines and not unduly prominent.</t>
  </si>
  <si>
    <t>depressionIndexContour</t>
  </si>
  <si>
    <t>Depression Index Contour</t>
  </si>
  <si>
    <t>A closed index contour line delimiting an area of lower elevation than the surrounding terrain (a terrain depression) out of which there is no surface drainage.</t>
  </si>
  <si>
    <t>It is typically depicted with perpendicular ticks on the descending side of the depression index contour line, while maintaining index contour line weight.</t>
  </si>
  <si>
    <t>depressionIntermedContour</t>
  </si>
  <si>
    <t>Depression Intermediate Contour</t>
  </si>
  <si>
    <t>A closed intermediate contour line delimiting an area of lower elevation than the surrounding terrain (a terrain depression) out of which there is no surface drainage.</t>
  </si>
  <si>
    <t>It is typically depicted with perpendicular ticks on the descending side of the depression intermediate contour line, while maintaining intermediate contour line weight.</t>
  </si>
  <si>
    <t>formLine</t>
  </si>
  <si>
    <t>Form Line</t>
  </si>
  <si>
    <t>A line depicting the estimated configuration of elevations between contour lines.</t>
  </si>
  <si>
    <t>halfAuxiliaryContour</t>
  </si>
  <si>
    <t>Half Auxiliary Contour</t>
  </si>
  <si>
    <t>An auxiliary contour line with one half the contour interval between intermediate contour lines.</t>
  </si>
  <si>
    <t>For example, a 20 metre intermediate contour interval and a 10 metre auxiliary contour interval.</t>
  </si>
  <si>
    <t>indexCarryingContour</t>
  </si>
  <si>
    <t>Index Carrying Contour</t>
  </si>
  <si>
    <t>A single contour line representing an index contour line and one or more other index or intermediate contour lines with different elevation values.</t>
  </si>
  <si>
    <t>indexContour</t>
  </si>
  <si>
    <t>Index Contour</t>
  </si>
  <si>
    <t>An accentuated subset of the contour lines, typically every fourth or fifth contour line depending on the contour interval, as an aid in identifying contour lines of different elevations.</t>
  </si>
  <si>
    <t>It is typically depicted by increased line weight. With few exceptions, index contour lines are continuous throughout a map even though the contour lines may coalesce (to carrying contour lines) because of steep slopes.</t>
  </si>
  <si>
    <t>intermedCarryingContour</t>
  </si>
  <si>
    <t>Intermediate Carrying Contour</t>
  </si>
  <si>
    <t>A single contour line representing an intermediate contour line and one or more other intermediate or auxiliary contour lines with different elevation values.</t>
  </si>
  <si>
    <t>intermediateContour</t>
  </si>
  <si>
    <t>Intermediate Contour</t>
  </si>
  <si>
    <t>One of the three or four contour lines between adjacent index contour lines.</t>
  </si>
  <si>
    <t>It is typically depicted with about half the line weight of an index contour line. An intermediate contour line is normally continuous throughout a map, but may be dropped or joined with another contour line where the slope is steep and where there is insufficient space to show all of the intermediate contour lines.</t>
  </si>
  <si>
    <t>moundIndexContour</t>
  </si>
  <si>
    <t>Mound Index Contour</t>
  </si>
  <si>
    <t>A closed index contour line delimiting a localized area of higher elevation than the surrounding terrain (a terrain mound) into which there is no surface drainage.</t>
  </si>
  <si>
    <t>It is typically depicted with perpendicular ticks on the descending side of the mound index contour line, while maintaining index contour line weight.</t>
  </si>
  <si>
    <t>moundIntermediateContour</t>
  </si>
  <si>
    <t>Mound Intermediate Contour</t>
  </si>
  <si>
    <t>A closed intermediate contour line delimiting a localized area of higher elevation than the surrounding terrain (a terrain mound) into which there is no surface drainage.</t>
  </si>
  <si>
    <t>It is typically depicted with perpendicular ticks on the descending side of the mound intermediate contour line, while maintaining intermediate contour line weight.</t>
  </si>
  <si>
    <t>quarterAuxiliaryContour</t>
  </si>
  <si>
    <t>Quarter Auxiliary Contour</t>
  </si>
  <si>
    <t>An auxiliary contour line with one quarter the interval between intermediate contour lines.</t>
  </si>
  <si>
    <t>For example, a 20 metre intermediate contour interval and a 5 metre auxiliary contour interval.</t>
  </si>
  <si>
    <t>transitionLine</t>
  </si>
  <si>
    <t>Transition Line</t>
  </si>
  <si>
    <t>A line that is neither a contour line nor a form line nor is intended as a connector line.</t>
  </si>
  <si>
    <t>May be used to support generalized depiction of hyposography but does not necessarily follow points of equal elevation.</t>
  </si>
  <si>
    <t>arcToFix</t>
  </si>
  <si>
    <t>Constant Distance Measuring Equipment (DME) arc to a fix.</t>
  </si>
  <si>
    <t>courseToAltitude</t>
  </si>
  <si>
    <t>CA</t>
  </si>
  <si>
    <t>Course to an altitude.</t>
  </si>
  <si>
    <t>courseToDmeDistance</t>
  </si>
  <si>
    <t>CD</t>
  </si>
  <si>
    <t>Course to a Distance Measuring Equipment (DME) distance.</t>
  </si>
  <si>
    <t>courseToFix</t>
  </si>
  <si>
    <t>CF</t>
  </si>
  <si>
    <t>Course to a fix.</t>
  </si>
  <si>
    <t>courseToLegFollowed</t>
  </si>
  <si>
    <t>CI</t>
  </si>
  <si>
    <t>Course to next leg followed by course oriented leg.</t>
  </si>
  <si>
    <t>courseToRadialTermination</t>
  </si>
  <si>
    <t>CR</t>
  </si>
  <si>
    <t>Course to a radial termination.</t>
  </si>
  <si>
    <t>directToFix</t>
  </si>
  <si>
    <t>DF</t>
  </si>
  <si>
    <t>Computed track direct to a fix.</t>
  </si>
  <si>
    <t>fixToAltitude</t>
  </si>
  <si>
    <t>FA</t>
  </si>
  <si>
    <t>Course from a fix to an altitude.</t>
  </si>
  <si>
    <t>fixToDistance</t>
  </si>
  <si>
    <t>FC</t>
  </si>
  <si>
    <t>Course from a fix to a distance.</t>
  </si>
  <si>
    <t>fixToDmeDistance</t>
  </si>
  <si>
    <t>FD</t>
  </si>
  <si>
    <t>Course from a fix to a Distance Measuring Equipment (DME) distance.</t>
  </si>
  <si>
    <t>fixToManualTermination</t>
  </si>
  <si>
    <t>FM</t>
  </si>
  <si>
    <t>Course from a fix to a manual termination.</t>
  </si>
  <si>
    <t>fixDuringSpecifiedTime</t>
  </si>
  <si>
    <t>FT</t>
  </si>
  <si>
    <t>Course from a fix during a specified time.</t>
  </si>
  <si>
    <t>holdAfterAltitude</t>
  </si>
  <si>
    <t>HA</t>
  </si>
  <si>
    <t>Hold pattern terminating at fix after reaching an altitude.</t>
  </si>
  <si>
    <t>holdAtFix</t>
  </si>
  <si>
    <t>Hold pattern terminating at a fix after one circuit.</t>
  </si>
  <si>
    <t>holdTerminatingManually</t>
  </si>
  <si>
    <t>HM</t>
  </si>
  <si>
    <t>Holding pattern terminating manually.</t>
  </si>
  <si>
    <t>initialFix</t>
  </si>
  <si>
    <t>IF</t>
  </si>
  <si>
    <t>Initial fix.</t>
  </si>
  <si>
    <t>procedureCourseToFix</t>
  </si>
  <si>
    <t>PI</t>
  </si>
  <si>
    <t>Procedure turn followed by a course to a fix (CF).</t>
  </si>
  <si>
    <t>procedureTurn</t>
  </si>
  <si>
    <t>PT</t>
  </si>
  <si>
    <t>Timed outbound leg to a procedure turn.</t>
  </si>
  <si>
    <t>radiusToFix</t>
  </si>
  <si>
    <t>RF</t>
  </si>
  <si>
    <t>Constant radius to a fix.</t>
  </si>
  <si>
    <t>trackBetweenTwoFixes</t>
  </si>
  <si>
    <t>TF</t>
  </si>
  <si>
    <t>Track between two fixes.</t>
  </si>
  <si>
    <t>vectorToAltitude</t>
  </si>
  <si>
    <t>VA</t>
  </si>
  <si>
    <t>Heading to an altitude (position unspecified).</t>
  </si>
  <si>
    <t>vectorToDmeDistance</t>
  </si>
  <si>
    <t>VD</t>
  </si>
  <si>
    <t>Heading to a Distance Measuring Equipment (DME) distance.</t>
  </si>
  <si>
    <t>vectorToNextLeg</t>
  </si>
  <si>
    <t>VI</t>
  </si>
  <si>
    <t>Heading to next leg.</t>
  </si>
  <si>
    <t>vectorToManualTermination</t>
  </si>
  <si>
    <t>VM</t>
  </si>
  <si>
    <t>Heading to a manual termination.</t>
  </si>
  <si>
    <t>vectorToRadialTermination</t>
  </si>
  <si>
    <t>VR</t>
  </si>
  <si>
    <t>Heading to a radial termination.</t>
  </si>
  <si>
    <t>imageToMap</t>
  </si>
  <si>
    <t>Image to Map</t>
  </si>
  <si>
    <t>The image was adjusted using a rubber-sheet process to align to an existing map or chart feature.</t>
  </si>
  <si>
    <t>imageToRectifiedImage</t>
  </si>
  <si>
    <t>Image to Rectified-image</t>
  </si>
  <si>
    <t>The image was adjusted using a rubber-sheet process to align to another orthorectified image.</t>
  </si>
  <si>
    <t>orthorectification</t>
  </si>
  <si>
    <t>Orthorectification</t>
  </si>
  <si>
    <t>The image was rectified to include correcting for terrain displacement.</t>
  </si>
  <si>
    <t>sensorModelBased</t>
  </si>
  <si>
    <t>Sensor Model-based</t>
  </si>
  <si>
    <t>The image was adjusted by applying sensor model correction default values.</t>
  </si>
  <si>
    <t>acoustic</t>
  </si>
  <si>
    <t>Acoustic</t>
  </si>
  <si>
    <t>Senses the presence of acoustic disturbances (for example: propeller noise, machinery noise, and/or or hull vibrations).</t>
  </si>
  <si>
    <t>Attribute: 'Mine Acoustic Sensitivity' may be used to characterize the acoustic sensitivity.</t>
  </si>
  <si>
    <t>combined</t>
  </si>
  <si>
    <t>Combined</t>
  </si>
  <si>
    <t>A combination of pressure, magnetic, and/or acoustic methods are used to compensate for the disadvantages of one method with the advantages of another.</t>
  </si>
  <si>
    <t>magnetic</t>
  </si>
  <si>
    <t>Magnetic</t>
  </si>
  <si>
    <t>Senses changes in the local magnetic field of the Earth and/or the presence of a source of magnetic flux.</t>
  </si>
  <si>
    <t>Attribute: 'Mine Magnetic Sensitivity' may be used to characterize the magnetic sensitivity.</t>
  </si>
  <si>
    <t>Pressure-measuring mechanisms are used to detect variations in ocean pressure caused by the 'pressure signature' of a moving vessel.</t>
  </si>
  <si>
    <t>Hydrostatic</t>
  </si>
  <si>
    <t>basin</t>
  </si>
  <si>
    <t>Basin</t>
  </si>
  <si>
    <t>A type of inland water constructed with a continuous man-made shoreline around its entire perimeter.</t>
  </si>
  <si>
    <t>It is usually surrounded by embankments. Basins are typically used to store water for irrigation, watering livestock, and less commonly for human consumption.</t>
  </si>
  <si>
    <t>lake</t>
  </si>
  <si>
    <t>Lake</t>
  </si>
  <si>
    <t>A large body of water entirely surrounded by land.</t>
  </si>
  <si>
    <t>Usually larger than or equal to 15,625 square metres in extent.</t>
  </si>
  <si>
    <t>landlockedSea</t>
  </si>
  <si>
    <t>Landlocked Sea</t>
  </si>
  <si>
    <t>A large expanse of saline water that is entirely surrounded by land and lacks a natural outlet.</t>
  </si>
  <si>
    <t>It may be intermittently connected with an ocean. Examples include the Aral, Caspian, Dead and Salton Seas, the Sea of Galilee, and the Great Salt Lake.</t>
  </si>
  <si>
    <t>pond</t>
  </si>
  <si>
    <t>Pond</t>
  </si>
  <si>
    <t>A small body of generally still water entirely surrounded by land.</t>
  </si>
  <si>
    <t>Its bed is either hollowed out of the soil or formed by embanking and damming up a natural hollow (for example: by a beaver dam). Usually smaller than 15,625 square metres in extent.</t>
  </si>
  <si>
    <t>reservoir</t>
  </si>
  <si>
    <t>Reservoir</t>
  </si>
  <si>
    <t>A substantial body of water impounded by a dam in which water is collected and stored for use.</t>
  </si>
  <si>
    <t>Used for flood control and/or as a source of water for irrigation, industrial processes, and/or human consumption.</t>
  </si>
  <si>
    <t>undifferentiatedWaterBody</t>
  </si>
  <si>
    <t>Undifferentiated Water Body</t>
  </si>
  <si>
    <t>A body of water entirely surrounded by land which is undifferentiated as to whether it is a lake, pond, or reservoir.</t>
  </si>
  <si>
    <t>Its bed is either hollowed out of the soil or formed by embanking and damming up a natural hollow, gorge, or river valley and may be of any size.</t>
  </si>
  <si>
    <t>waterHole</t>
  </si>
  <si>
    <t>Water-hole</t>
  </si>
  <si>
    <t>A small natural terrain depression in which water collects, especially a pool where animals come to drink.</t>
  </si>
  <si>
    <t>finalApproachFix</t>
  </si>
  <si>
    <t>Final Approach Fix</t>
  </si>
  <si>
    <t>That fix or point of an instrument approach procedure where the final approach segment commences.</t>
  </si>
  <si>
    <t>initialApproachFix</t>
  </si>
  <si>
    <t>Initial Approach Fix</t>
  </si>
  <si>
    <t>The fix or point that identifies the beginning of the instrument approach procedure.</t>
  </si>
  <si>
    <t>intermediateApproachFix</t>
  </si>
  <si>
    <t>Intermediate Approach Fix</t>
  </si>
  <si>
    <t>The fix or point that identifies the beginning of the intermediate approach segment of an instrument approach procedure.</t>
  </si>
  <si>
    <t>missedApproachPoint</t>
  </si>
  <si>
    <t>Missed Approach Point</t>
  </si>
  <si>
    <t>The point on the final approach course that signifies the termination of the final approach and the commencement of the missed approach segment.</t>
  </si>
  <si>
    <t>catIOps</t>
  </si>
  <si>
    <t>Category I Operations (CAT I)</t>
  </si>
  <si>
    <t>A facility which provides guidance information from the coverage limit of the ILS to the point at which the localizer course line intersects the ILS glide path at a height of 60 metres (200 feet) above the horizontal plane containing the threshold, and with either a visibility not less than 800 metres or a runway visual range not less than 550 metres.</t>
  </si>
  <si>
    <t>ILS or MLS are the facilities that provide guidance information.</t>
  </si>
  <si>
    <t>catIIOps</t>
  </si>
  <si>
    <t>Category II Operations (CAT II)</t>
  </si>
  <si>
    <t>A facility which provides guidance information from the coverage limit of the ILS to the point at which the localizer course line intersects the ILS glide path at a height of 60 metres (200 feet) but not lower than 30 metres (100 feet) above the horizontal plane containing the threshold and a runway visual range not less than 350 metres.</t>
  </si>
  <si>
    <t>catIIIOps</t>
  </si>
  <si>
    <t>Category III operations (CAT III)</t>
  </si>
  <si>
    <t>An ILS which, with the aid of ancillary equipment where necessary, provides guidance information from the coverage limit of the facility to, and along, the surface of the runway.</t>
  </si>
  <si>
    <t>catIIIaOps</t>
  </si>
  <si>
    <t>Category IIIa Operations (CAT IIIa)</t>
  </si>
  <si>
    <t>This operation requires a decision height lower than 30 metres (100 feet), or no decision height; and runway visual range not less than 200 metres. ILS or MLS are the facilities that provide guidance information.</t>
  </si>
  <si>
    <t>catIIIbOps</t>
  </si>
  <si>
    <t>Category IIIb Operations (CAT IIIb)</t>
  </si>
  <si>
    <t>This operation requires a decision height lower than 15 metres (50 feet), or no decision height; and a runway visual range less than 200 metres but not less than 50 metres. ILS or MLS are the facilities that provide guidance information.</t>
  </si>
  <si>
    <t>catIIIcOps</t>
  </si>
  <si>
    <t>Category IIIc Operations (CAT IIIc)</t>
  </si>
  <si>
    <t>This operation requires no decision height; and runway visual range less than 200 metres. ILS or MLS are the facilities that provide guidance information.</t>
  </si>
  <si>
    <t>mlsCatIOps</t>
  </si>
  <si>
    <t>MLS Category I Operations (CAT I)</t>
  </si>
  <si>
    <t>A Microwave Landing System (MLS) which provides guidance information for an approach to a height above touchdown of not less than 60 metres (200 feet) and a runway visual range of not less than 550 metres (1,800 feet).</t>
  </si>
  <si>
    <t>automaticDirectionFinder</t>
  </si>
  <si>
    <t>Automatic Direction Finder (ADF)</t>
  </si>
  <si>
    <t>ADF required.</t>
  </si>
  <si>
    <t>adfForIlsApproach</t>
  </si>
  <si>
    <t>Automatic Direction Finder (ADF) for ILS Approach</t>
  </si>
  <si>
    <t>ADF required for ILS approach.</t>
  </si>
  <si>
    <t>adfForMissedApproach</t>
  </si>
  <si>
    <t>Automatic Direction Finder (ADF) for Missed Approach</t>
  </si>
  <si>
    <t>ADF required for missed approach.</t>
  </si>
  <si>
    <t>DME required.</t>
  </si>
  <si>
    <t>dualAutoDirectionFinder</t>
  </si>
  <si>
    <t>Dual Automatic Direction Finder (ADF)</t>
  </si>
  <si>
    <t>Dual ADF required.</t>
  </si>
  <si>
    <t>dualAdfAndDme</t>
  </si>
  <si>
    <t>Dual Automatic Direction Finder (ADF) and Distance Measuring Equipment (DME)</t>
  </si>
  <si>
    <t>DME and dual ADF required for LOC approach.</t>
  </si>
  <si>
    <t>dualVeryHighFreqRadios</t>
  </si>
  <si>
    <t>Dual Very High Frequency (VHF) Radios</t>
  </si>
  <si>
    <t>Dual VHF communication required.</t>
  </si>
  <si>
    <t>dualVorOrVorWithDme</t>
  </si>
  <si>
    <t>Dual VHF Omnidirectional Radio (VOR) Beacon with Distance Measuring Equipment (VORDME)</t>
  </si>
  <si>
    <t>Dual VOR or VOR/DME required.</t>
  </si>
  <si>
    <t>globalPosSysOrRnp3Equip</t>
  </si>
  <si>
    <t>Global Position System (GPS) or Reduced Navigation Performance (RNP3) Equipment</t>
  </si>
  <si>
    <t>GPS or RNP-0.3 required.</t>
  </si>
  <si>
    <t>Radar required.</t>
  </si>
  <si>
    <t>radarOrDistMeasuringEquip</t>
  </si>
  <si>
    <t>Radar or Distance Measuring Equipment (DME)</t>
  </si>
  <si>
    <t>Radar or DME required.</t>
  </si>
  <si>
    <t>radarOrRnav</t>
  </si>
  <si>
    <t>Radar or RNAV</t>
  </si>
  <si>
    <t>Radar or RNAV required.</t>
  </si>
  <si>
    <t>Special aircraft and aircrew certification required.</t>
  </si>
  <si>
    <t>vorBeaconAndIlsLocalizer</t>
  </si>
  <si>
    <t>VHF Omnidirectional Radio (VOR) Beacon and ILS Localizer (VORLOC)</t>
  </si>
  <si>
    <t>VOR and localizer required.</t>
  </si>
  <si>
    <t>groundMarking</t>
  </si>
  <si>
    <t>Ground Marking</t>
  </si>
  <si>
    <t>Markings on the route surface prior to arrival at the intersection are used to control intersection passage.</t>
  </si>
  <si>
    <t>The markings may, for example, indicate either yielding to other traffic before entering or stopping before entering and then following the 'rules of the road' to determine order of precedence for passage through the intersection.</t>
  </si>
  <si>
    <t>noControl</t>
  </si>
  <si>
    <t>No Control</t>
  </si>
  <si>
    <t>The intersection is not controlled.</t>
  </si>
  <si>
    <t>Vehicle drivers must negotiate the intersection without guidance.</t>
  </si>
  <si>
    <t>prioritySign</t>
  </si>
  <si>
    <t>Priority Sign</t>
  </si>
  <si>
    <t>Signs placed along a route indicating that cars approaching from crossroads must yield before entering an intersection with the priority route.</t>
  </si>
  <si>
    <t>signalDevice</t>
  </si>
  <si>
    <t>Signal Device</t>
  </si>
  <si>
    <t>Active signs, barriers, and/or lights at the intersection are used to control passage through the intersection.</t>
  </si>
  <si>
    <t>The signal devices (for example: stop lights) may be operated on a fixed schedule or may be sensitive to traffic conditions.</t>
  </si>
  <si>
    <t>stopSign</t>
  </si>
  <si>
    <t>Stop Sign</t>
  </si>
  <si>
    <t>Signs adjacent to, or prior to arrival at, the intersection are used to control traffic by requiring that all vehicles stop before entering.</t>
  </si>
  <si>
    <t>Once stopped, vehicle drivers are expected to follow 'rules of the road' to determine order of precedence for passage through the intersection. The signs are usually fixed and generally unlighted.</t>
  </si>
  <si>
    <t>yieldSign</t>
  </si>
  <si>
    <t>Yield Sign</t>
  </si>
  <si>
    <t>Signs adjacent to, or prior to arrival at, the intersection are used to control traffic by requiring that all vehicles yield to crossing traffic.</t>
  </si>
  <si>
    <t>The signs are usually fixed and generally unlighted.</t>
  </si>
  <si>
    <t>closedInterval</t>
  </si>
  <si>
    <t>Closed Interval</t>
  </si>
  <si>
    <t>The bounded interval [minimimValue, maximumValue].</t>
  </si>
  <si>
    <t>gteSemiInterval</t>
  </si>
  <si>
    <t>Greater-than or Equal Semi-interval</t>
  </si>
  <si>
    <t>The unbounded interval [minimumValue, +infinity).</t>
  </si>
  <si>
    <t>The value supplied for the upper endpoint, if any, is not meaningful.</t>
  </si>
  <si>
    <t>gtSemiInterval</t>
  </si>
  <si>
    <t>Greater-than Semi-interval</t>
  </si>
  <si>
    <t>The left half-open unbounded interval (minimumValue, +infinity).</t>
  </si>
  <si>
    <t>gtToLteInterval</t>
  </si>
  <si>
    <t>Greater-than to Less-than-or-equal Interval</t>
  </si>
  <si>
    <t>The left half-open bounded interval (minimimValue, maximumValue].</t>
  </si>
  <si>
    <t>gteToLtInterval</t>
  </si>
  <si>
    <t>Greater-than-or-equal to Less-than Interval</t>
  </si>
  <si>
    <t>The right half-open bounded interval [minimimValue, maximumValue).</t>
  </si>
  <si>
    <t>lteSemiInterval</t>
  </si>
  <si>
    <t>Less-than or Equal Semi-interval</t>
  </si>
  <si>
    <t>The unbounded interval (-infinity, maximumValue].</t>
  </si>
  <si>
    <t>The value supplied for the lower endpoint, if any, is not meaningful.</t>
  </si>
  <si>
    <t>ltSemiInterval</t>
  </si>
  <si>
    <t>Less-than Semi-interval</t>
  </si>
  <si>
    <t>The right half-open unbounded interval (-infinity, maximumValue).</t>
  </si>
  <si>
    <t>openInterval</t>
  </si>
  <si>
    <t>Open Interval</t>
  </si>
  <si>
    <t>The bounded open interval (minimumValue, maximumValue).</t>
  </si>
  <si>
    <t>singleValue</t>
  </si>
  <si>
    <t>Single Value</t>
  </si>
  <si>
    <t>A single value.</t>
  </si>
  <si>
    <t>Usually the same value is provided for both interval endpoints.</t>
  </si>
  <si>
    <t>A tract that may be flooded by either the regulation of the level of water or by the planned release of water impounded by a dam.</t>
  </si>
  <si>
    <t>A tract that may be covered by naturally occurring flood water, excluding tidal waters.</t>
  </si>
  <si>
    <t>centerPivot</t>
  </si>
  <si>
    <t>Center Pivot</t>
  </si>
  <si>
    <t>A form of overhead irrigation consisting of several segments of pipe (usually galvanized steel or aluminum) joined together and supported by trusses, mounted on wheeled towers with sprinklers positioned along its length, the system moving in a circular pattern and fed with water from the pivot point at the center of the arc.</t>
  </si>
  <si>
    <t>Most center pivot systems now have drops hanging from a u-shaped pipe called a gooseneck attached at the top of the pipe with sprinkler heads that are positioned a few feet (at most) above the crop, thus limiting evaporative losses. Drops can also be used with drag hoses or bubblers that deposit the water directly on the ground between crops. The crops are planted in a circle to conform to the center pivot.</t>
  </si>
  <si>
    <t>drip</t>
  </si>
  <si>
    <t>Drip</t>
  </si>
  <si>
    <t>Water is applied slowly to the roots of plants, by depositing the water either on the soil surface or directly to the root zone, typically through the use of 'emitters' (which emit the water in a slow stream) or 'micro-sprinklers' (which spray water in a small area).</t>
  </si>
  <si>
    <t>This type of system can be the most water-efficient method of irrigation, if managed properly, since evaporation and runoff are minimized. Drip irrigation is often combined with plastic mulch, further reducing evaporation. Drip irrigation can also be accomplished using porous clay vessels sunk into the soil and occasionally filled from a hose or bucket.</t>
  </si>
  <si>
    <t>Trickle</t>
  </si>
  <si>
    <t>furrow</t>
  </si>
  <si>
    <t>Furrow</t>
  </si>
  <si>
    <t>Plants are grown in raised beds or listed rows (in the case of row crops) with water distributed throughout the field via ditches or pipes, and between the beds or rows using furrows.</t>
  </si>
  <si>
    <t>Where ditches are used, manually controlled siphon tubes may be used move water from the main ditch to the furrow. When pipes are used, water flow can be controlled by turning it on or off at the local source or by using automatic or manually controlled gates to transfer it from one set of ditches to another. Unless the field is small or very level, parts of it may suffer from water-logging while other parts may be too dry. Depending on heat, wind, and soil permeability, much water may be lost before it can benefit the plants.</t>
  </si>
  <si>
    <t>lateralMove</t>
  </si>
  <si>
    <t>Lateral Move</t>
  </si>
  <si>
    <t>A form of overhead irrigation in which a series of pipes, each with a wheel of about 1.5 metre diameter permanently affixed to its midpoint and sprinklers along its length, are coupled together at one edge of a field with water supplied (for example: by using a large hose) at one end of the series. After sufficient water has been applied the assembly is rotated either by hand or with a purpose-built mechanism, so that the sprinklers move approximately 10 metres across the field, following which the water supply is reconnected. The process is repeated until the opposite edge of the field is reached.</t>
  </si>
  <si>
    <t>This system is less expensive to install than a center pivot, but much more labor intensive to operate, and it is limited in the amount of water it can carry. They are most often used for small or oddly-shaped fields, such as those found in hilly or mountainous regions, or in regions where labor is inexpensive.</t>
  </si>
  <si>
    <t>Side Roll, Wheel Line</t>
  </si>
  <si>
    <t>linearMove</t>
  </si>
  <si>
    <t>Linear Move</t>
  </si>
  <si>
    <t>A form of overhead irrigation similar to center pivot irrigation in which the equipment is configured to move in a straight line, where the water is pulled from a central ditch.</t>
  </si>
  <si>
    <t>overhead</t>
  </si>
  <si>
    <t>Overhead</t>
  </si>
  <si>
    <t>Water is piped to one or more central locations within the field and distributed by overhead high-pressure sprinklers or guns or by lower-pressure sprays.</t>
  </si>
  <si>
    <t>A system utilizing sprinklers, sprays, or guns mounted overhead on permanently installed risers is often referred to as a 'solid-set' irrigation system. Manually assembled systems of piping that are broken down to permit tillage and harvesting are sometimes called 'hand set' or 'hand move pipe'. Some sprinklers can also be hidden below ground level, if aesthetics is a concern, and pop up in response to increased water pressure. Sprinklers that spray in a fixed pattern are generally called sprays or spray heads. Higher pressure sprinklers that rotate are called rotors and are driven by a ball drive, gear drive, or impact mechanism. Rotors can be designed to rotate in a full or partial circle. Guns are similar to rotors, except that they generally operate at very high pressures. One drawback of overhead irrigation is that much water can be lost because of high winds or evaporation, and irrigating the entire field uniformly can be difficult or tedious if the system is not properly designed. Water remaining on plants' leaves may promote fungal and other diseases.</t>
  </si>
  <si>
    <t>Sprinkler</t>
  </si>
  <si>
    <t>subirrigation</t>
  </si>
  <si>
    <t>Subirrigation</t>
  </si>
  <si>
    <t>Water is delivered from below, absorbed upwards, and the excess collected for recycling.</t>
  </si>
  <si>
    <t>Typically, a solution of water and nutrients floods a container or flows through a trough for a short period of time, 10-20 minutes, and is then pumped back into a holding tank for reuse. It is similar in principle and action to subsurface drip irrigation, and results in mater and nutrient conservation. It is, for example, used in commercial greenhouse production, usually for potted plants.</t>
  </si>
  <si>
    <t>terrace</t>
  </si>
  <si>
    <t>Terrace</t>
  </si>
  <si>
    <t>Large steps are cut into hillsides, supported by stone or concrete walls, and as water flows down the hillside it is channelled to each plot, most often by ditches.</t>
  </si>
  <si>
    <t>Terracing is usually very labor-intensive, since fields are small and access to them may be steep and narrow making it difficult to mechanize the work. In addition, the walls need constant maintenance, especially in rainy climates. However, terracing does allow steep mountainsides to be used to grow plants (although it may be more cost-effective to use them only for animal pasturage).</t>
  </si>
  <si>
    <t>jasu_20_KVA</t>
  </si>
  <si>
    <t>20 KVA</t>
  </si>
  <si>
    <t>20 kva, 115-200v AC, 55.5 amp, 3 phase, 4 wire, 400 Hz.</t>
  </si>
  <si>
    <t>jasu_59B2_1B</t>
  </si>
  <si>
    <t>59B2-1B</t>
  </si>
  <si>
    <t>28v, 7.5 kw, 280 amp.</t>
  </si>
  <si>
    <t>jasu_90G_20P</t>
  </si>
  <si>
    <t>90G-20P</t>
  </si>
  <si>
    <t>AC 115/200v 3 phase 400 Hz 90 kva.</t>
  </si>
  <si>
    <t>a_M32A_86</t>
  </si>
  <si>
    <t>A/M32A-86</t>
  </si>
  <si>
    <t>AC: 115/200v, 3 phase, 90 kva, 0.8 pf, 4 wire DC: 28v, 1500 amp, 72 kw (with TR pack).</t>
  </si>
  <si>
    <t>a_M47A_4</t>
  </si>
  <si>
    <t>A/M47A-4</t>
  </si>
  <si>
    <t>AIR: 195 lb/min @ 75 +/- 5 psia or 120-127 lb/min @ 45 +/- psia. AC: 115/208v, 15 kw, 0.75 pf. DC: 28V, 100 amp.</t>
  </si>
  <si>
    <t>40psi/1.5 lb per sec (Palouste, LPAS Mk 2A).</t>
  </si>
  <si>
    <t>a2</t>
  </si>
  <si>
    <t>A2</t>
  </si>
  <si>
    <t>38 psi/2 lb per sec (LPAS Mk 10).</t>
  </si>
  <si>
    <t>a3</t>
  </si>
  <si>
    <t>A3</t>
  </si>
  <si>
    <t>38.5 psi/2 lb per sec (LPAS Mk 11, LPAS Mk 4).</t>
  </si>
  <si>
    <t>a_3AE</t>
  </si>
  <si>
    <t>A-3AE</t>
  </si>
  <si>
    <t>DC 24/28, 5v22/40kw.</t>
  </si>
  <si>
    <t>a4</t>
  </si>
  <si>
    <t>A4</t>
  </si>
  <si>
    <t>40 psi/2 lb/sec (LPAS Mk12, Mk12L, Mk12A, Mk1, Mk2B).</t>
  </si>
  <si>
    <t>a5</t>
  </si>
  <si>
    <t>A5</t>
  </si>
  <si>
    <t>40-1200 psi (HP/LPAS 8 cylinder).</t>
  </si>
  <si>
    <t>a6</t>
  </si>
  <si>
    <t>A6</t>
  </si>
  <si>
    <t>38.5 psi/2 lb/sec (LPOAS Mk 17).</t>
  </si>
  <si>
    <t>ac_35</t>
  </si>
  <si>
    <t>AC-35</t>
  </si>
  <si>
    <t>Atlas Copco 35 psi/120 lb/min.</t>
  </si>
  <si>
    <t>ace_37A</t>
  </si>
  <si>
    <t>ACE-37A</t>
  </si>
  <si>
    <t>3600 psi, 18000 cu in capacity.</t>
  </si>
  <si>
    <t>aeg_30_KVA</t>
  </si>
  <si>
    <t>AEG 30 KVA</t>
  </si>
  <si>
    <t>25-30 kA 72 A 115/200 v 3 phase current, 400hz 28, 5v 600/1200A DC.</t>
  </si>
  <si>
    <t>af_M32A_10</t>
  </si>
  <si>
    <t>AF/M32A-10</t>
  </si>
  <si>
    <t>AC: 115/208v, 400 cycle, 3 phase, 20 kva, 0.75 pf, 4 wire DC: 28v, 500 amp, 15 kw.</t>
  </si>
  <si>
    <t>af_M32M_10</t>
  </si>
  <si>
    <t>AF/M32M-10</t>
  </si>
  <si>
    <t>28v, 15kw 500 amp 115/200v 15kw 400 Hz 3 phase 20 kva at .75 PF 4 Wire.</t>
  </si>
  <si>
    <t>agpu</t>
  </si>
  <si>
    <t>AGPU</t>
  </si>
  <si>
    <t>AC: 115/200v, 400 cycle, 3 phase, 30 kw gen DC: 28v, 700 amp AIR: 60 lb/min @ 40 psig @ sea level.</t>
  </si>
  <si>
    <t>am32_95</t>
  </si>
  <si>
    <t>AM32-95</t>
  </si>
  <si>
    <t>150 +/- 5 lb/min (2055 +/- 68 cfm) @ 51 +/- 2 psia.</t>
  </si>
  <si>
    <t>am32A_108</t>
  </si>
  <si>
    <t>AM32A-108</t>
  </si>
  <si>
    <t>DC: 750 amp constant, 1000 amp intermittent, 28v; AC: 90 kva, 115/200v, 3 phase, 400Hz.</t>
  </si>
  <si>
    <t>am32A_60</t>
  </si>
  <si>
    <t>AM32A-60</t>
  </si>
  <si>
    <t>AIR: 120 +/- 4 lb/min (1644 +/- 55 cfm) @ 49 +/- 2 psia AC: 120/208v, 400 cycle, 3 phase, 75 kva, 0.75 pf, 4 wire, 120v, 1 phase, 25 kva DC: 28v, 500 amp, 15 kw.</t>
  </si>
  <si>
    <t>am32A_60A</t>
  </si>
  <si>
    <t>AM32A-60A</t>
  </si>
  <si>
    <t>AIR: 150 +/- 5 lb/min (2055 +/- 68 cfm @ 51 +/- 2 psia AC: 120/208v, 400 cycle, 3 phase, 75 kva, 0.75 pf, 4 wire DC: 28v, 200 amp, 5.6 kw.</t>
  </si>
  <si>
    <t>am32A_60B</t>
  </si>
  <si>
    <t>AM32A-60B</t>
  </si>
  <si>
    <t>AIR: 130 lb/min, 50 psia AC: 120/208v, 400 cycle, 3 phase, 75 kva, 0.75 pf, 4 wire DC: 28v, 200 amp, 5.6 kw.</t>
  </si>
  <si>
    <t>am32A_95</t>
  </si>
  <si>
    <t>AM32A-95</t>
  </si>
  <si>
    <t>150 +/- 5 lb/min @ 49 +/- 2 psia (35 +/- psig).</t>
  </si>
  <si>
    <t>b10_or_B10A_or_B10B</t>
  </si>
  <si>
    <t>B10 or B10A or B10B</t>
  </si>
  <si>
    <t>28v, 7.5kw, 3kw, 110v: 115/200v, 40 kva at .75 PF, 400 Hz 3 phase 4 wire.</t>
  </si>
  <si>
    <t>bc_3500</t>
  </si>
  <si>
    <t>BC-3500</t>
  </si>
  <si>
    <t>Technical data unknown.</t>
  </si>
  <si>
    <t>c_Cartridge</t>
  </si>
  <si>
    <t>C Cartridge</t>
  </si>
  <si>
    <t>Series 9 and 10.</t>
  </si>
  <si>
    <t>c1</t>
  </si>
  <si>
    <t>C1</t>
  </si>
  <si>
    <t>10 kva, 120/240v AC, 87 amp single phase, 400 Hz.</t>
  </si>
  <si>
    <t>c1_Cartridge</t>
  </si>
  <si>
    <t>C1 Cartridge</t>
  </si>
  <si>
    <t>Percussion Nr 1, Mk 1.</t>
  </si>
  <si>
    <t>c2_Cartridge</t>
  </si>
  <si>
    <t>C2 Cartridge</t>
  </si>
  <si>
    <t>Initiating 1 PN, Nr 2, Mk 2.</t>
  </si>
  <si>
    <t>c_21</t>
  </si>
  <si>
    <t>C-21</t>
  </si>
  <si>
    <t>28v 11kw 2 Wire: 115/200v 8kw 2 Wire 380-900 Hz.</t>
  </si>
  <si>
    <t>c_21_B</t>
  </si>
  <si>
    <t>C-21-B</t>
  </si>
  <si>
    <t>11kw 28v DC: 8 kva 380/980 Hz 115v 1 phase AC.</t>
  </si>
  <si>
    <t>c_22</t>
  </si>
  <si>
    <t>C-22</t>
  </si>
  <si>
    <t>28v 22kw 800-1200 amp: 115/200v 8kw 70 amp 2 wire 380-900 Hz.</t>
  </si>
  <si>
    <t>c_22A</t>
  </si>
  <si>
    <t>C-22A</t>
  </si>
  <si>
    <t>c_22B</t>
  </si>
  <si>
    <t>C-22B</t>
  </si>
  <si>
    <t>c_26B</t>
  </si>
  <si>
    <t>C-26B</t>
  </si>
  <si>
    <t>AC: 115/208v, 380-800 cycles, 1 phase, 15 kva, 131 amp, 2 wire DC: 28v, 1500 amp, 45 kw.</t>
  </si>
  <si>
    <t>c_26_B_or_C_26_C</t>
  </si>
  <si>
    <t>C-26-B or C-26-C</t>
  </si>
  <si>
    <t>28v 45kw: Split Bus: 115-200v 15kw 380-800 Hz 1 phase 2 wire.</t>
  </si>
  <si>
    <t>c_26B_1</t>
  </si>
  <si>
    <t>C-26B(1)</t>
  </si>
  <si>
    <t>28v 45kw 115-200v 15kw 380-800 Hz 1 phase 2 wire.</t>
  </si>
  <si>
    <t>c_26_M</t>
  </si>
  <si>
    <t>C-26-M</t>
  </si>
  <si>
    <t>DC 28v 1000 amp.</t>
  </si>
  <si>
    <t>c3</t>
  </si>
  <si>
    <t>C3</t>
  </si>
  <si>
    <t>28/30v DC, 800/1000 amp, 24/30kw.</t>
  </si>
  <si>
    <t>c3_Cartridge</t>
  </si>
  <si>
    <t>C3 Cartridge</t>
  </si>
  <si>
    <t>Initiating 1 PN, Nr 2, Mk 3.</t>
  </si>
  <si>
    <t>c4_Cartridge</t>
  </si>
  <si>
    <t>C4 Cartridge</t>
  </si>
  <si>
    <t>Electric Nr 5, Mk 2.</t>
  </si>
  <si>
    <t>c5_Cartridge</t>
  </si>
  <si>
    <t>C5 Cartridge</t>
  </si>
  <si>
    <t>Electric Nr 9, Mk 2.</t>
  </si>
  <si>
    <t>c6_Cartridge</t>
  </si>
  <si>
    <t>C6 Cartridge</t>
  </si>
  <si>
    <t>Electric Nr 10, Mk 3.</t>
  </si>
  <si>
    <t>c7_Cartridge</t>
  </si>
  <si>
    <t>C7 Cartridge</t>
  </si>
  <si>
    <t>Electric Nr 14, Mk 2.</t>
  </si>
  <si>
    <t>ca1</t>
  </si>
  <si>
    <t>CA1</t>
  </si>
  <si>
    <t>MA1A 36-45 psig, 82-90 lb/min.</t>
  </si>
  <si>
    <t>ca2</t>
  </si>
  <si>
    <t>ASA 45.5 psig, 116.4 lb/min.</t>
  </si>
  <si>
    <t>ca3</t>
  </si>
  <si>
    <t>CA3</t>
  </si>
  <si>
    <t>MC11 4000 psig, 15 cu ft/min.</t>
  </si>
  <si>
    <t>ce1</t>
  </si>
  <si>
    <t>CE1</t>
  </si>
  <si>
    <t>AC 115/200v, 37.5 kva, 400 Hz, 3 phase.</t>
  </si>
  <si>
    <t>ce10</t>
  </si>
  <si>
    <t>CE10</t>
  </si>
  <si>
    <t>AC 115/200v, 20 kva, 400 Hz, 3 phase.</t>
  </si>
  <si>
    <t>ce11</t>
  </si>
  <si>
    <t>CE11</t>
  </si>
  <si>
    <t>AC 120/208v, 8.8 kva, 400 Hz, 3 phase.</t>
  </si>
  <si>
    <t>ce12</t>
  </si>
  <si>
    <t>CE12</t>
  </si>
  <si>
    <t>AC 115/200v, 140 kva, 400 Hz, 3 phase.</t>
  </si>
  <si>
    <t>ce13</t>
  </si>
  <si>
    <t>CE13</t>
  </si>
  <si>
    <t>AC 115/200v, 60 kva, 400 Hz, 3 phase.</t>
  </si>
  <si>
    <t>ce14</t>
  </si>
  <si>
    <t>CE14</t>
  </si>
  <si>
    <t>AC/DC 115/200v, 140 kva, 400 Hz, 3 phase, 28vDC, 1500 amp.</t>
  </si>
  <si>
    <t>ce15</t>
  </si>
  <si>
    <t>CE15</t>
  </si>
  <si>
    <t>DC 22-35v, 500 amp continuous 1100 amp intermittent.</t>
  </si>
  <si>
    <t>ce16</t>
  </si>
  <si>
    <t>CE16</t>
  </si>
  <si>
    <t>DC 22-35v, 500 amp continuous 1100 amp intermittent soft start.</t>
  </si>
  <si>
    <t>ce2</t>
  </si>
  <si>
    <t>CE2</t>
  </si>
  <si>
    <t>AC 120/208v, 10kw, 400 Hz, 3 phase.</t>
  </si>
  <si>
    <t>ce3</t>
  </si>
  <si>
    <t>CE3</t>
  </si>
  <si>
    <t>AC 120/208v, 15kw, 400 Hz, 3 phase.</t>
  </si>
  <si>
    <t>ce4</t>
  </si>
  <si>
    <t>CE4</t>
  </si>
  <si>
    <t>AC 120/208v, 18 kva, 400 Hz, 3 phase.</t>
  </si>
  <si>
    <t>ce5</t>
  </si>
  <si>
    <t>CE5</t>
  </si>
  <si>
    <t>AC 120/208v, 10 kva, 400 Hz, 3 phase.</t>
  </si>
  <si>
    <t>ce6</t>
  </si>
  <si>
    <t>CE6</t>
  </si>
  <si>
    <t>AC 120/208v, 15 kva, 400 Hz, 3 phase.</t>
  </si>
  <si>
    <t>ce7</t>
  </si>
  <si>
    <t>CE7</t>
  </si>
  <si>
    <t>AC 115v, 5 kva, 400 Hz, 1 phase.</t>
  </si>
  <si>
    <t>ce8</t>
  </si>
  <si>
    <t>CE8</t>
  </si>
  <si>
    <t>AC 115/200v, 40 kva, 400 Hz, 3 phase.</t>
  </si>
  <si>
    <t>ce9</t>
  </si>
  <si>
    <t>CE9</t>
  </si>
  <si>
    <t>AC 120/208v, 37.5 kva, 400 Hz, 3 phase.</t>
  </si>
  <si>
    <t>cea1</t>
  </si>
  <si>
    <t>CEA1</t>
  </si>
  <si>
    <t>AC 120/208v, 60 kva, 400 Hz, 3 phase DC 28v, 75 amp AIR 112.5 lb/min, 47 psig.</t>
  </si>
  <si>
    <t>cea2</t>
  </si>
  <si>
    <t>CEA2</t>
  </si>
  <si>
    <t>AC 120/208v, 75 kva, 400 Hz, 3 phase AIR 116.4 lb/min, 47 psig.</t>
  </si>
  <si>
    <t>cm_Cartridge</t>
  </si>
  <si>
    <t>CM Cartridge</t>
  </si>
  <si>
    <t>Type MXU/4/A/A.</t>
  </si>
  <si>
    <t>dsa_150</t>
  </si>
  <si>
    <t>DSA 150</t>
  </si>
  <si>
    <t>28v DC 25 amp, 115/208v AC 15 kva 400 Hz 3 phase 4 wire.</t>
  </si>
  <si>
    <t>dsa_300</t>
  </si>
  <si>
    <t>DSA 300</t>
  </si>
  <si>
    <t>28v DC 35 amp 115/200v 30 kva 400 Hz 3 phase 4 wire.</t>
  </si>
  <si>
    <t>dsa_560</t>
  </si>
  <si>
    <t>DSA 560</t>
  </si>
  <si>
    <t>16kw 28v DC 800 amp 115/200v AC 400 Hz 3 phase 4 wire.</t>
  </si>
  <si>
    <t>e1</t>
  </si>
  <si>
    <t>E1</t>
  </si>
  <si>
    <t>DC 24v, 200-600 amp.</t>
  </si>
  <si>
    <t>e1_PacAustNewZea</t>
  </si>
  <si>
    <t>E1 (Pacific, Australia, New Zealand)</t>
  </si>
  <si>
    <t>28v DC Battery Cart.</t>
  </si>
  <si>
    <t>e10</t>
  </si>
  <si>
    <t>DC/AC 28v/200v 10kw/15 kva.</t>
  </si>
  <si>
    <t>e10_PacAustNewZea</t>
  </si>
  <si>
    <t>E10 (Pacific, Australia, New Zealand)</t>
  </si>
  <si>
    <t>28v DC 14kw, 120/208v AC 45 kva.</t>
  </si>
  <si>
    <t>e11</t>
  </si>
  <si>
    <t>DC/AC 28v/200v 6kw/25 kva.</t>
  </si>
  <si>
    <t>e11_PacAustNewZea</t>
  </si>
  <si>
    <t>E11 (Pacific, Australia, New Zealand)</t>
  </si>
  <si>
    <t>28v DC 15kw, 120/208v AC 15 kva.</t>
  </si>
  <si>
    <t>e12</t>
  </si>
  <si>
    <t>DC/AC 28v/200v 10kw/60 kva.</t>
  </si>
  <si>
    <t>e12_PacAustNewZea</t>
  </si>
  <si>
    <t>E12 (Pacific, Australia, New Zealand)</t>
  </si>
  <si>
    <t>28v DC 15kw, 120/208v AC 75 kva.</t>
  </si>
  <si>
    <t>e13</t>
  </si>
  <si>
    <t>E13</t>
  </si>
  <si>
    <t>AC 115v/10 kva 2400 Hz.</t>
  </si>
  <si>
    <t>e13_PacAustNewZea</t>
  </si>
  <si>
    <t>E13 (Pacific, Australia, New Zealand)</t>
  </si>
  <si>
    <t>28v DC 15kw, 120/208v AC 90 kva.</t>
  </si>
  <si>
    <t>e14</t>
  </si>
  <si>
    <t>E14</t>
  </si>
  <si>
    <t>AC 200v/30 kva.</t>
  </si>
  <si>
    <t>e14_PacAustNewZea</t>
  </si>
  <si>
    <t>E14 (Pacific, Australia, New Zealand)</t>
  </si>
  <si>
    <t>28v DC 22.5kw, 120/208v AC 30 kva.</t>
  </si>
  <si>
    <t>e15_PacAustNewZea</t>
  </si>
  <si>
    <t>E15 (Pacific, Australia, New Zealand)</t>
  </si>
  <si>
    <t>28v DC 25kw, 120/208v AC 30 kva.</t>
  </si>
  <si>
    <t>e16_PacAustNewZea</t>
  </si>
  <si>
    <t>E16 (Pacific, Australia, New Zealand)</t>
  </si>
  <si>
    <t>28v DC 45kw, 120/208v AC 60 kva.</t>
  </si>
  <si>
    <t>e2</t>
  </si>
  <si>
    <t>E2</t>
  </si>
  <si>
    <t>DC 28v/9kw.</t>
  </si>
  <si>
    <t>e2_PacAustNewZea</t>
  </si>
  <si>
    <t>E2 (Pacific, Australia, New Zealand)</t>
  </si>
  <si>
    <t>28v DC, 2.2kw.</t>
  </si>
  <si>
    <t>e3</t>
  </si>
  <si>
    <t>E3</t>
  </si>
  <si>
    <t>DC 28v/10kw.</t>
  </si>
  <si>
    <t>e3_PacAustNewZea</t>
  </si>
  <si>
    <t>E3 (Pacific, Australia, New Zealand)</t>
  </si>
  <si>
    <t>28v DC, 7.5kw.</t>
  </si>
  <si>
    <t>e4</t>
  </si>
  <si>
    <t>E4</t>
  </si>
  <si>
    <t>DC 28v/20kw.</t>
  </si>
  <si>
    <t>e4_PacAustNewZea</t>
  </si>
  <si>
    <t>E4 (Pacific, Australia, New Zealand)</t>
  </si>
  <si>
    <t>28v DC, 10kw.</t>
  </si>
  <si>
    <t>e5</t>
  </si>
  <si>
    <t>E5</t>
  </si>
  <si>
    <t>DC 28v/35kw.</t>
  </si>
  <si>
    <t>e5_PacAustNewZea</t>
  </si>
  <si>
    <t>E5 (Pacific, Australia, New Zealand)</t>
  </si>
  <si>
    <t>28v DC, 15kw.</t>
  </si>
  <si>
    <t>e6</t>
  </si>
  <si>
    <t>E6</t>
  </si>
  <si>
    <t>DC 28v/112v 10/40kw.</t>
  </si>
  <si>
    <t>e6_PacAustNewZea</t>
  </si>
  <si>
    <t>E6 (Pacific, Australia, New Zealand)</t>
  </si>
  <si>
    <t>Rectifier starting 28v DC 6kw/30kw Peak.</t>
  </si>
  <si>
    <t>e7</t>
  </si>
  <si>
    <t>E7</t>
  </si>
  <si>
    <t>DC 28v/112v 12/50kw.</t>
  </si>
  <si>
    <t>e7_PacAustNewZea</t>
  </si>
  <si>
    <t>E7 (Pacific, Australia, New Zealand)</t>
  </si>
  <si>
    <t>Underground Power, 28v DC 15kw, 120/208 VAC 50 kva.</t>
  </si>
  <si>
    <t>e8</t>
  </si>
  <si>
    <t>E8</t>
  </si>
  <si>
    <t>DC 28v/112v 6/44kw.</t>
  </si>
  <si>
    <t>e8_PacAustNewZea</t>
  </si>
  <si>
    <t>E8 (Pacific, Australia, New Zealand)</t>
  </si>
  <si>
    <t>28v DC 10kw, 120/208v AC 60 kva.</t>
  </si>
  <si>
    <t>e9</t>
  </si>
  <si>
    <t>E9</t>
  </si>
  <si>
    <t>DC 24v.</t>
  </si>
  <si>
    <t>e9_PacAustNewZea</t>
  </si>
  <si>
    <t>E9 (Pacific, Australia, New Zealand)</t>
  </si>
  <si>
    <t>ea1_PacAustNewZea</t>
  </si>
  <si>
    <t>EA1 (Pacific, Australia, New Zealand)</t>
  </si>
  <si>
    <t>7.8kw, 28v, 280 amp.</t>
  </si>
  <si>
    <t>ea3_or_EA3A_PacAustNewZea</t>
  </si>
  <si>
    <t>EA3, EA3A (Pacific, Australia, New Zealand)</t>
  </si>
  <si>
    <t>22kw, 28v, 800-1200 amp.</t>
  </si>
  <si>
    <t>ea7_PacAustNewZea</t>
  </si>
  <si>
    <t>EA7 (Pacific, Australia, New Zealand)</t>
  </si>
  <si>
    <t>28v 1050 amp DC.</t>
  </si>
  <si>
    <t>ecu_9M_PacAustNewZea</t>
  </si>
  <si>
    <t>ECU-9M (Pacific, Australia, New Zealand)</t>
  </si>
  <si>
    <t>28v 1000 amp: 220v, 130 amp, 440v 64 amp.</t>
  </si>
  <si>
    <t>ernst</t>
  </si>
  <si>
    <t>ERNST</t>
  </si>
  <si>
    <t>20 kva - 45 kva 115/280v, 400 Hz, 10 kw 28v DC.</t>
  </si>
  <si>
    <t>essex809</t>
  </si>
  <si>
    <t>Essex 809</t>
  </si>
  <si>
    <t>AC: 120/208v, 400 cycle, 3 phase, 90 kva DC: 28.5v, 1050 amp continuous, 2250 amp peak 270v, 259 amp.</t>
  </si>
  <si>
    <t>f1_Cartridge</t>
  </si>
  <si>
    <t>F1 Cartridge</t>
  </si>
  <si>
    <t>AVPIN Fluid.</t>
  </si>
  <si>
    <t>f_52372</t>
  </si>
  <si>
    <t>F-52372</t>
  </si>
  <si>
    <t>182 lb/min 52.8 psia.</t>
  </si>
  <si>
    <t>g_10</t>
  </si>
  <si>
    <t>G-10</t>
  </si>
  <si>
    <t>10kw 28v DC Mk 4.</t>
  </si>
  <si>
    <t>g_38_PacAustNewZea</t>
  </si>
  <si>
    <t>G-38 (Pacific, Australia, New Zealand)</t>
  </si>
  <si>
    <t>38kw 24/28/32v DC 800/1000/1200 amp.</t>
  </si>
  <si>
    <t>g_40</t>
  </si>
  <si>
    <t>G-40</t>
  </si>
  <si>
    <t>40kw DC 1425 amp 28v.</t>
  </si>
  <si>
    <t>g_6_PacAustNewZea</t>
  </si>
  <si>
    <t>G-6 (Pacific, Australia, New Zealand)</t>
  </si>
  <si>
    <t>6kw 28v DC Mk 3.</t>
  </si>
  <si>
    <t>g_91_Cartridge</t>
  </si>
  <si>
    <t>G-91 Cartridge</t>
  </si>
  <si>
    <t>Cartridge (Shotgun).</t>
  </si>
  <si>
    <t>gpe_160</t>
  </si>
  <si>
    <t>GPE-160</t>
  </si>
  <si>
    <t>60 kva AC 120/20v, 3 phase 400 Hz AIR 112 lb/min @ 47 psi may have 28v max 1000 amp DC.</t>
  </si>
  <si>
    <t>gsu_160</t>
  </si>
  <si>
    <t>GSU-160</t>
  </si>
  <si>
    <t>47 lb sq in, 112 lb/min.</t>
  </si>
  <si>
    <t>gtc_85_GTE_85</t>
  </si>
  <si>
    <t>GTC-85/GTE-85</t>
  </si>
  <si>
    <t>120 lbs/min @ 45 psi.</t>
  </si>
  <si>
    <t>houchin_265_3488249</t>
  </si>
  <si>
    <t>Houchin 265/3488249</t>
  </si>
  <si>
    <t>75kVA 115/200 V 3 phase current 400hz 20v 800/2000A DC.</t>
  </si>
  <si>
    <t>jas</t>
  </si>
  <si>
    <t>JAS</t>
  </si>
  <si>
    <t>Turbo Compressor, 35 psi/124 lb/min.</t>
  </si>
  <si>
    <t>jeas</t>
  </si>
  <si>
    <t>JEAS</t>
  </si>
  <si>
    <t>2100 psia 99 lb/min.</t>
  </si>
  <si>
    <t>km1</t>
  </si>
  <si>
    <t>KM1</t>
  </si>
  <si>
    <t>30 kva, 115/200v AC 87 amp, 3 phase 4 wire, 400 Hz; 182 Air HP, 121 lb/min, 48 psi.</t>
  </si>
  <si>
    <t>km2</t>
  </si>
  <si>
    <t>KM2</t>
  </si>
  <si>
    <t>km3</t>
  </si>
  <si>
    <t>KM3</t>
  </si>
  <si>
    <t>km4</t>
  </si>
  <si>
    <t>KM4</t>
  </si>
  <si>
    <t>15 kva, 115/200v AC 54.2 amp, 3 phase 4 wire, 117 lb/min, 48 psi.</t>
  </si>
  <si>
    <t>lass</t>
  </si>
  <si>
    <t>LASS</t>
  </si>
  <si>
    <t>150 +/- 5 lb/min @ 49 +/- 2 psia.</t>
  </si>
  <si>
    <t>m32A_13</t>
  </si>
  <si>
    <t>M32A-13</t>
  </si>
  <si>
    <t>28v, 150v 300/140v 22 kva 115/200v 400 Hz 3 phase.</t>
  </si>
  <si>
    <t>ma_1</t>
  </si>
  <si>
    <t>MA-1</t>
  </si>
  <si>
    <t>150 Air HP, 115 lb/min 50 psia.</t>
  </si>
  <si>
    <t>ma_1A</t>
  </si>
  <si>
    <t>MA-1A</t>
  </si>
  <si>
    <t>82 lb/min (1123 cfm) at 130° air inlet temp, 45 psia (min) air outlet press.</t>
  </si>
  <si>
    <t>ma_1MPSU</t>
  </si>
  <si>
    <t>MA-1MPSU</t>
  </si>
  <si>
    <t>28v 500-1000 amp Split Bus 115/200v 25 kw 3 phase 400 Hz 4 Wire, 30 kva 3500 psi 45 psia 1150 Air HP 117 lb/min 13 CFM.</t>
  </si>
  <si>
    <t>ma_2</t>
  </si>
  <si>
    <t>MA-2</t>
  </si>
  <si>
    <t>250 Air HP, 150 lb/min 75 psia.</t>
  </si>
  <si>
    <t>ma_2MPSU</t>
  </si>
  <si>
    <t>MA-2MPSU</t>
  </si>
  <si>
    <t>30 kva AC 115/200v 3 phase 400 Hz AIR 110 lb/min @ 25 psi and 28v 500/1000 amp DC.</t>
  </si>
  <si>
    <t>ma_3MPSU</t>
  </si>
  <si>
    <t>MA-3MPSU</t>
  </si>
  <si>
    <t>AIR: 150 lb/min, 13.5 cfm, 60 psia AC: 115/208v, 400 cycle, 3 phase, 60 kva DC: 28v, 1000 amp, 30 kw.</t>
  </si>
  <si>
    <t>mb_1</t>
  </si>
  <si>
    <t>MB-1</t>
  </si>
  <si>
    <t>500 cu in cap, 3500 psig, 15 cfm.</t>
  </si>
  <si>
    <t>mb_9</t>
  </si>
  <si>
    <t>MB-9</t>
  </si>
  <si>
    <t>4.01 cu ft cap (6930 cu in cap), 5 cfm.</t>
  </si>
  <si>
    <t>mc_1</t>
  </si>
  <si>
    <t>MC-1</t>
  </si>
  <si>
    <t>15 cfm, 3500 psia.</t>
  </si>
  <si>
    <t>mc_1_Modified</t>
  </si>
  <si>
    <t>MC-1 (Modified)</t>
  </si>
  <si>
    <t>5,000 cu in cap, 3500 psia, 15 cfm.</t>
  </si>
  <si>
    <t>mc_11</t>
  </si>
  <si>
    <t>MC-11</t>
  </si>
  <si>
    <t>8,000 cu in cap, 4000 psig, 15 cfm.</t>
  </si>
  <si>
    <t>mc_1A</t>
  </si>
  <si>
    <t>MC-1A</t>
  </si>
  <si>
    <t>AC: 115/208v, 400 cycle, 3 phase, 37.5 kva, 0.8 pf, 108 amp, 4 wire DC: 28v, 500 amp, 14 kw.</t>
  </si>
  <si>
    <t>mc_1A_1</t>
  </si>
  <si>
    <t>MC-1A(1)</t>
  </si>
  <si>
    <t>mc_2A</t>
  </si>
  <si>
    <t>MC-2A</t>
  </si>
  <si>
    <t>15 cfm, 200 psia.</t>
  </si>
  <si>
    <t>mc_8A_A1</t>
  </si>
  <si>
    <t>MC-8A/A1</t>
  </si>
  <si>
    <t>DC: 500 amp constant, 750 amp intermittent, 28v; AC: 60 kva @ .8 pf, 115/200v, 3 phase, 400 Hz.</t>
  </si>
  <si>
    <t>md_1</t>
  </si>
  <si>
    <t>MD-1</t>
  </si>
  <si>
    <t>AC: 120/208v, 400 cycle, 3 phase, 6.25 kva, 0.8 pf.</t>
  </si>
  <si>
    <t>md_2</t>
  </si>
  <si>
    <t>MD-2</t>
  </si>
  <si>
    <t>AC: 120/208v, 400 cycle, 3 phase, 10 kva, 0.8 pf.</t>
  </si>
  <si>
    <t>md_3</t>
  </si>
  <si>
    <t>MD-3</t>
  </si>
  <si>
    <t>AC: 115/208v, 400 cycle, 3 phase, 60 kva, 0.75 pf, 4 wire DC: 28v, 1500 amp, 45 kw, split bus.</t>
  </si>
  <si>
    <t>md_3A</t>
  </si>
  <si>
    <t>MD-3A</t>
  </si>
  <si>
    <t>md_3B</t>
  </si>
  <si>
    <t>MD-3B</t>
  </si>
  <si>
    <t>AC: 115/208v, 400 cycle, 3 phase, 60 kva, 4 wire DC: 28v, 500 amp.</t>
  </si>
  <si>
    <t>md_3M</t>
  </si>
  <si>
    <t>MD-3M</t>
  </si>
  <si>
    <t>AC: 115/208v, 400 cycle, 3 phase, 60 kva, 0.75 pf, 4 wire DC: 28v, 500 amp, 15 kw.</t>
  </si>
  <si>
    <t>md_4</t>
  </si>
  <si>
    <t>MD-4</t>
  </si>
  <si>
    <t>AC: 120/208v, 400 cycle, 3 phase, 62.5 kva, 0.8 pf, 175 amp, 'WYE' neutral ground, 4 wire, 120v, 400 cycle, 3 phase, 62.5 kva, 0.8 pf, 303 amp, 'DELTA' 3 wire, 120v, 400 cycle, 1 phase, 62.5 kva, 0.8 pf, 520 amp, 2 wire.</t>
  </si>
  <si>
    <t>mep_116A</t>
  </si>
  <si>
    <t>MEP-116A</t>
  </si>
  <si>
    <t>AC: 115/208v and 240/446v, 400 cycle, 3 phase, 100 kw, 0.8 pf.</t>
  </si>
  <si>
    <t>mj_1</t>
  </si>
  <si>
    <t>MJ-1</t>
  </si>
  <si>
    <t>3000-5000 psi, 30 GPM Flow, 110 HP.</t>
  </si>
  <si>
    <t>mmg_1_1A</t>
  </si>
  <si>
    <t>MMG-1/1A</t>
  </si>
  <si>
    <t>DC: 500 amp constant, 1000 amp intermittent, 28v; AC: 60 kva @ .8 pf, 115/200v, 3 phase 400 Hz; Input (AC): 220/400v, 3-phase, 60 Hz.</t>
  </si>
  <si>
    <t>mmg_2</t>
  </si>
  <si>
    <t>MMG-2</t>
  </si>
  <si>
    <t>DC: 500 amp constant, 28v, AC: 30 kva @ .8 pf, 115/200v, 3 phase, 400 Hz; Input (AC): 220/400v, 3 phase, 60 Hz.</t>
  </si>
  <si>
    <t>msu_200NAV_A_UA47A_5</t>
  </si>
  <si>
    <t>MSU-200NAV/A/UA47A-5</t>
  </si>
  <si>
    <t>204 lb/min @ 56 psia.</t>
  </si>
  <si>
    <t>mxu_129A_Cartridge</t>
  </si>
  <si>
    <t>MXU-129A Cartridge</t>
  </si>
  <si>
    <t>USAF.</t>
  </si>
  <si>
    <t>mxu_4A_Cartridge</t>
  </si>
  <si>
    <t>MXU-4A Cartridge</t>
  </si>
  <si>
    <t>nc_10A_A1_B_C</t>
  </si>
  <si>
    <t>NC-10A/A1/B/C</t>
  </si>
  <si>
    <t>DC: 750 amp constant, 1000 amp intermittent, 28v; AC: 90 kva, 115/200v, 3 phase, 400 Hz.</t>
  </si>
  <si>
    <t>ncpp_105_RCPT</t>
  </si>
  <si>
    <t>NCPP-105/RCPT</t>
  </si>
  <si>
    <t>180 lbs/min @ 75 psi or 120 lbs/min @ 45 psi. 700 amp, 28v DC. 120/208v, 400 Hz AC, 30 kva.</t>
  </si>
  <si>
    <t>pe_75_PacAustNewZea</t>
  </si>
  <si>
    <t>PE-75 (Pacific, Australia, New Zealand)</t>
  </si>
  <si>
    <t>AC 120v 22 amp.</t>
  </si>
  <si>
    <t>rst_180</t>
  </si>
  <si>
    <t>RST-180</t>
  </si>
  <si>
    <t>75 kva AC 115/200v 400 Hz AIR 145-155 lb/min @ 47-51 psi.</t>
  </si>
  <si>
    <t>sgnsc</t>
  </si>
  <si>
    <t>SGNSC</t>
  </si>
  <si>
    <t>42 cfm, 200 psig max.</t>
  </si>
  <si>
    <t>st_22_28_PacAustNewZea</t>
  </si>
  <si>
    <t>ST-22/28 (Pacific, Australia, New Zealand)</t>
  </si>
  <si>
    <t>22kw 28v DC.</t>
  </si>
  <si>
    <t>st_38_PacAustNewZea</t>
  </si>
  <si>
    <t>ST-38 (Pacific, Australia, New Zealand)</t>
  </si>
  <si>
    <t>38kw 22/28/33v DC 800/1000/1200 amp.</t>
  </si>
  <si>
    <t>st_45_PacAustNewZea</t>
  </si>
  <si>
    <t>ST-45 (Pacific, Australia, New Zealand)</t>
  </si>
  <si>
    <t>45kw 28v DC 60 kva 400 Hz 115/200v 3 phase AC.</t>
  </si>
  <si>
    <t>st_56_PacAustNewZea</t>
  </si>
  <si>
    <t>ST-56 (Pacific, Australia, New Zealand)</t>
  </si>
  <si>
    <t>56kw 28v DC 700-1500 amp.</t>
  </si>
  <si>
    <t>st_60_PacAustNewZea</t>
  </si>
  <si>
    <t>ST-60 (Pacific, Australia, New Zealand)</t>
  </si>
  <si>
    <t>45kw 28v DC 60 kva 400 ± 1 Hz 115/200v 1 or 3 phase AC.</t>
  </si>
  <si>
    <t>str_30_PacAustNewZea</t>
  </si>
  <si>
    <t>STR-30 (Pacific, Australia, New Zealand)</t>
  </si>
  <si>
    <t>STRUVER 30 kva 115v AC 400 Hz 3 phase.</t>
  </si>
  <si>
    <t>str_45_PacAustNewZea</t>
  </si>
  <si>
    <t>STR-45 (Pacific, Australia, New Zealand)</t>
  </si>
  <si>
    <t>STRUVER 45 kva 115v AC 400 Hz 3 phase.</t>
  </si>
  <si>
    <t>tasu</t>
  </si>
  <si>
    <t>TASU</t>
  </si>
  <si>
    <t>Turbine Air Starting Unit.</t>
  </si>
  <si>
    <t>tc1_PacAustNewZea</t>
  </si>
  <si>
    <t>TC1 (Pacific, Australia, New Zealand)</t>
  </si>
  <si>
    <t>30v DC, 800 amp, 24kw.</t>
  </si>
  <si>
    <t>tc_50</t>
  </si>
  <si>
    <t>TC-50</t>
  </si>
  <si>
    <t>Turbo Compressor.</t>
  </si>
  <si>
    <t>u1000_PacAustNewZea</t>
  </si>
  <si>
    <t>U1000 (Pacific, Australia, New Zealand)</t>
  </si>
  <si>
    <t>DC 600 1200 amp 28v.</t>
  </si>
  <si>
    <t>u1003_PacAustNewZea</t>
  </si>
  <si>
    <t>U1003 (Pacific, Australia, New Zealand)</t>
  </si>
  <si>
    <t>wellsAirStart</t>
  </si>
  <si>
    <t>Wells Air Start</t>
  </si>
  <si>
    <t>180 lbs/min @ 75 psi or 120 lbs/min @ 45 psi; simultaneous multiple system start capability.</t>
  </si>
  <si>
    <t>alluvialFan</t>
  </si>
  <si>
    <t>Alluvial Fan</t>
  </si>
  <si>
    <t>A fan-shaped alluvial deposit formed especially where a watercourse begins to descend a gentler slope.</t>
  </si>
  <si>
    <t>The watercourse may be intermittent or currently dry.</t>
  </si>
  <si>
    <t>A natural or man-made structure in the form of an arch.</t>
  </si>
  <si>
    <t>atoll</t>
  </si>
  <si>
    <t>Atoll</t>
  </si>
  <si>
    <t>A ring-shaped coral reef which has closely spaced islands on it encircling a lagoon.</t>
  </si>
  <si>
    <t>badlands</t>
  </si>
  <si>
    <t>Badlands</t>
  </si>
  <si>
    <t>An area characterized by a maze of very closely spaced, deep, narrow, steep-sided ravines, and sharp crests and pinnacles.</t>
  </si>
  <si>
    <t>barrierIsland</t>
  </si>
  <si>
    <t>Barrier Island</t>
  </si>
  <si>
    <t>An island formed by deposition of sediment where a water current loses some of its carrying capacity.</t>
  </si>
  <si>
    <t>For example, islands in river deltas or in large rivers. While some are transitory and may disappear if the volume or speed of the current changes, others are stable and long-lived.</t>
  </si>
  <si>
    <t>beachRidge</t>
  </si>
  <si>
    <t>Beach Ridge</t>
  </si>
  <si>
    <t>It may occur singly or as one of a series of approximately parallel deposits representing successive positions of an advancing shoreline.</t>
  </si>
  <si>
    <t>A low, essentially continuous mound of beach and dune material heaped up by the action of waves and currents on the backshore of a beach beyond the present limit of storm waves or of ordinary tides.</t>
  </si>
  <si>
    <t>bench</t>
  </si>
  <si>
    <t>A long, narrow bedrock platform bounded by steeper slopes above and below, usually overlooking a waterbody.</t>
  </si>
  <si>
    <t>blowhole</t>
  </si>
  <si>
    <t>Blowhole</t>
  </si>
  <si>
    <t>A hole in coastal rock through which sea water is forced by a rising tide or waves and spurted through an outlet into the air.</t>
  </si>
  <si>
    <t>blowOut</t>
  </si>
  <si>
    <t>Blow-out</t>
  </si>
  <si>
    <t>A small depression in sandy terrain that is caused by wind erosion.</t>
  </si>
  <si>
    <t>butte</t>
  </si>
  <si>
    <t>Butte</t>
  </si>
  <si>
    <t>A small, isolated, usually flat-topped hill with steep sides.</t>
  </si>
  <si>
    <t>canyon</t>
  </si>
  <si>
    <t>Canyon</t>
  </si>
  <si>
    <t>A deep, narrow valley with steep sides cutting into a plateau or mountainous area.</t>
  </si>
  <si>
    <t>cape</t>
  </si>
  <si>
    <t>Cape</t>
  </si>
  <si>
    <t>A land area, more prominent than a point, projecting into the sea and marking a notable change in coastal direction.</t>
  </si>
  <si>
    <t>cirque</t>
  </si>
  <si>
    <t>Cirque</t>
  </si>
  <si>
    <t>A bowl-like hollow partially surrounded by cliffs or steep slopes at the head of a glaciated valley.</t>
  </si>
  <si>
    <t>cleft</t>
  </si>
  <si>
    <t>Cleft</t>
  </si>
  <si>
    <t>A deep narrow slot, notch, or groove in a coastal cliff.</t>
  </si>
  <si>
    <t>coalfield</t>
  </si>
  <si>
    <t>Coalfield</t>
  </si>
  <si>
    <t>An area underlain by coal deposits of possible economic value.</t>
  </si>
  <si>
    <t>coast</t>
  </si>
  <si>
    <t>Coast</t>
  </si>
  <si>
    <t>A zone of variable width straddling the shoreline.</t>
  </si>
  <si>
    <t>For example, Barbary Coast or Costa del Sol.</t>
  </si>
  <si>
    <t>continentalIsland</t>
  </si>
  <si>
    <t>Continental Island</t>
  </si>
  <si>
    <t>An island that lies on the continental shelf of a continent.</t>
  </si>
  <si>
    <t>For example: Greenland and Sable Island off North America; Barbados and Trinidad off South America; Sicily off Europe; Sumatra and Java off Asia; and New Guinea and Tasmania off Australia.</t>
  </si>
  <si>
    <t>corridor</t>
  </si>
  <si>
    <t>Corridor</t>
  </si>
  <si>
    <t>A strip or area of land having significance as an access way.</t>
  </si>
  <si>
    <t>cuesta</t>
  </si>
  <si>
    <t>Cuesta</t>
  </si>
  <si>
    <t>An asymmetric ridge formed on tilted strata.</t>
  </si>
  <si>
    <t>depression</t>
  </si>
  <si>
    <t>A sunken place on the ground.</t>
  </si>
  <si>
    <t>divide</t>
  </si>
  <si>
    <t>Divide</t>
  </si>
  <si>
    <t>A line separating adjacent drainage basins.</t>
  </si>
  <si>
    <t>fjord</t>
  </si>
  <si>
    <t>A dome-shaped landform (for example: an incipient volcano).</t>
  </si>
  <si>
    <t>drainageBasin</t>
  </si>
  <si>
    <t>An area drained by a watercourse.</t>
  </si>
  <si>
    <t>eyot</t>
  </si>
  <si>
    <t>Eyot</t>
  </si>
  <si>
    <t>An island in a river or lake.</t>
  </si>
  <si>
    <t>gap</t>
  </si>
  <si>
    <t>Gap</t>
  </si>
  <si>
    <t>A low place in a mountain ridge, not used for transportation.</t>
  </si>
  <si>
    <t>gorge</t>
  </si>
  <si>
    <t>Gorge</t>
  </si>
  <si>
    <t>A short, narrow, steep-sided section of a stream valley.</t>
  </si>
  <si>
    <t>hangingValley</t>
  </si>
  <si>
    <t>Hanging Valley</t>
  </si>
  <si>
    <t>A valley, the floor of which is notably higher than the valley or shore to which it leads.</t>
  </si>
  <si>
    <t>Most common in areas that have been glaciated.</t>
  </si>
  <si>
    <t>headland</t>
  </si>
  <si>
    <t>Headland</t>
  </si>
  <si>
    <t>A high projection of land extending into a large body of water beyond the line of the coast.</t>
  </si>
  <si>
    <t>interduneTrough</t>
  </si>
  <si>
    <t>Interdune Trough</t>
  </si>
  <si>
    <t>A long wind-swept trough between parallel longitudinal sand dunes.</t>
  </si>
  <si>
    <t>interfluve</t>
  </si>
  <si>
    <t>Interfluve</t>
  </si>
  <si>
    <t>A relatively undissected upland between adjacent stream valleys.</t>
  </si>
  <si>
    <t>isthmus</t>
  </si>
  <si>
    <t>Isthmus</t>
  </si>
  <si>
    <t>A narrow strip of land connecting two larger land masses and bordered by water.</t>
  </si>
  <si>
    <t>A distinctive landscape developed on soluble rock such as limestone characterized by sinkholes, caves, disappearing streams, and underground drainage.</t>
  </si>
  <si>
    <t>lakeRegion</t>
  </si>
  <si>
    <t>Lake Region</t>
  </si>
  <si>
    <t>A tract of land distinguished by numerous lakes.</t>
  </si>
  <si>
    <t>lavaField</t>
  </si>
  <si>
    <t>Lava Field</t>
  </si>
  <si>
    <t>An area that is covered with a lava sheet that has cooled down and became solid.</t>
  </si>
  <si>
    <t>mangroveIsland</t>
  </si>
  <si>
    <t>Mangrove Island</t>
  </si>
  <si>
    <t>A mangrove swamp surrounded by a waterbody thus forming an island.</t>
  </si>
  <si>
    <t>meanderNeck</t>
  </si>
  <si>
    <t>Meander Neck</t>
  </si>
  <si>
    <t>A narrow strip of land between the two limbs of a meander loop at its narrowest point.</t>
  </si>
  <si>
    <t>mesa</t>
  </si>
  <si>
    <t>Mesa</t>
  </si>
  <si>
    <t>A flat-topped, isolated elevation with steep slopes on all sides, less extensive than a plateau.</t>
  </si>
  <si>
    <t>microcontinentalIsland</t>
  </si>
  <si>
    <t>Microcontinental Island</t>
  </si>
  <si>
    <t>A type of continental island that results when a continent is rifted.</t>
  </si>
  <si>
    <t>For example, Madagascar off the coast of Africa.</t>
  </si>
  <si>
    <t>miningArea</t>
  </si>
  <si>
    <t>Mining Area</t>
  </si>
  <si>
    <t>An area of mine sites where minerals and ores are extracted.</t>
  </si>
  <si>
    <t>moor</t>
  </si>
  <si>
    <t>Moor</t>
  </si>
  <si>
    <t>An area of open ground overlaid with wet peaty soils.</t>
  </si>
  <si>
    <t>mountain</t>
  </si>
  <si>
    <t>Mountain</t>
  </si>
  <si>
    <t>An elevation standing high above the surrounding area with small summit area, steep slopes and local relief of 300 metres or more.</t>
  </si>
  <si>
    <t>oceanicIsland</t>
  </si>
  <si>
    <t>Oceanic Island</t>
  </si>
  <si>
    <t>An island that does not sit on a continental shelf and is therefore volcanic in origin.</t>
  </si>
  <si>
    <t>There are three forms of oceanic islands. The first type are islands that arise from volcanoes where the subduction of one plate under another is occurring; for example: the Mariana Islands and Aleutian Islands. The second typeoccurs where an oceanic rift reaches the surface; for example: Iceland, which is the world's largest volcanic island, and Jan Mayen. The third type is formed over volcanic hotspots where the hotspot is more or less stationary relative to the moving tectonic plate above it, so a chain of islands results as the plate drifts. Over long periods of time, this type of island is eventually eroded down and 'drowned' by isostatic adjustment, becoming a seamount; for example: the Hawaiian Islands.</t>
  </si>
  <si>
    <t>pan</t>
  </si>
  <si>
    <t>Pan</t>
  </si>
  <si>
    <t>A near-level shallow, natural depression or basin, usually containing an intermittent lake, pond, or pool.</t>
  </si>
  <si>
    <t>A pointed elevation atop a mountain, ridge, or other hypsographic feature.</t>
  </si>
  <si>
    <t>peninsula</t>
  </si>
  <si>
    <t>Peninsula</t>
  </si>
  <si>
    <t>An elongated area of land projecting into a body of water and nearly surrounded by water.</t>
  </si>
  <si>
    <t>petroleumBasin</t>
  </si>
  <si>
    <t>Petroleum Basin</t>
  </si>
  <si>
    <t>An area underlain by an oil-rich structural basin.</t>
  </si>
  <si>
    <t>plain</t>
  </si>
  <si>
    <t>Plain</t>
  </si>
  <si>
    <t>An extensive area of comparatively level to gently undulating land, lacking surface irregularities, and usually adjacent to a higher area.</t>
  </si>
  <si>
    <t>plateau</t>
  </si>
  <si>
    <t>Plateau</t>
  </si>
  <si>
    <t>An elevated plain with steep slopes on one or more sides and often with incised streams.</t>
  </si>
  <si>
    <t>point</t>
  </si>
  <si>
    <t>A tapering piece of land projecting into a body of water, less prominent than a cape.</t>
  </si>
  <si>
    <t>polder</t>
  </si>
  <si>
    <t>Polder</t>
  </si>
  <si>
    <t>An area reclaimed from the sea by dyking and draining.</t>
  </si>
  <si>
    <t>promontory</t>
  </si>
  <si>
    <t>Promontory</t>
  </si>
  <si>
    <t>A bluff or prominent hill overlooking or projecting into a lowland.</t>
  </si>
  <si>
    <t>quicksand</t>
  </si>
  <si>
    <t>Quicksand</t>
  </si>
  <si>
    <t>An area where loose sand with water moving through it may become unstable when heavy objects are placed at the surface, causing them to sink.</t>
  </si>
  <si>
    <t>ridge</t>
  </si>
  <si>
    <t>Ridge</t>
  </si>
  <si>
    <t>A long narrow elevation with steep sides and a more or less continuous crest.</t>
  </si>
  <si>
    <t>saddle</t>
  </si>
  <si>
    <t>Saddle</t>
  </si>
  <si>
    <t>A broad, open pass crossing a ridge or between hills or mountains.</t>
  </si>
  <si>
    <t>sinkhole</t>
  </si>
  <si>
    <t>Sinkhole</t>
  </si>
  <si>
    <t>A small crater-shape depression in a karst area.</t>
  </si>
  <si>
    <t>A land surface with a relatively uniform slope angle.</t>
  </si>
  <si>
    <t>spit</t>
  </si>
  <si>
    <t>Spit</t>
  </si>
  <si>
    <t>A narrow, straight or curved continuation of a beach into a waterbody.</t>
  </si>
  <si>
    <t>A subordinate ridge projecting outward from a hill, mountain or other elevation.</t>
  </si>
  <si>
    <t>talusSlope</t>
  </si>
  <si>
    <t>Talus Slope</t>
  </si>
  <si>
    <t>A steep concave slope formed by an accumulation of loose rock fragments at the base of a cliff or steep slope.</t>
  </si>
  <si>
    <t>A long, narrow alluvial platform bounded by steeper slopes above and below, usually overlooking a waterbody.</t>
  </si>
  <si>
    <t>upland</t>
  </si>
  <si>
    <t>Upland</t>
  </si>
  <si>
    <t>An extensive interior region of high land with low to moderate surface relief.</t>
  </si>
  <si>
    <t>valley</t>
  </si>
  <si>
    <t>Valley</t>
  </si>
  <si>
    <t>An elongated depression usually traversed by a watercourse.</t>
  </si>
  <si>
    <t>watercourseDelta</t>
  </si>
  <si>
    <t>Watercourse Delta</t>
  </si>
  <si>
    <t>A tract of alluvial land, often more or less triangular in shape, enclosed or traversed by the diverging mouths of a watercourse and generally extending into a larger waterbody (for example: a lake or a sea).</t>
  </si>
  <si>
    <t>highIncidence</t>
  </si>
  <si>
    <t>High Incidence</t>
  </si>
  <si>
    <t>The historical record documents a high frequency of landslide occurrence, with more than 15 percent of the identified area involved in such events.</t>
  </si>
  <si>
    <t>The estimated susceptibility to the occurrence of landslides is less than or equal to the historical incidence.</t>
  </si>
  <si>
    <t>highRisk</t>
  </si>
  <si>
    <t>High Risk</t>
  </si>
  <si>
    <t>There exists a high estimated susceptibility to the occurrence of landslides and the historical record documents a moderate frequency of landslide occurrence, with at least 1.5 percent and up to 15 percent of the identified area involved.</t>
  </si>
  <si>
    <t>Susceptibility to the occurrence of a landslide is the probable degree of response of the areal rocks and soils to natural or artificial cutting or loading of slopes or to anomalously high precipitation. High susceptibility is present when more than 15 percent of the identified area may be involved.</t>
  </si>
  <si>
    <t>lowIncidence</t>
  </si>
  <si>
    <t>Low Incidence</t>
  </si>
  <si>
    <t>The historical record documents a low frequency of landslide occurrence, with less than 1.5 percent of the identified area involved in such events.</t>
  </si>
  <si>
    <t>lowRisk</t>
  </si>
  <si>
    <t>Low Risk</t>
  </si>
  <si>
    <t>There exists a moderate estimated susceptibility to the occurrence of landslides and the historical record documents a low frequency of landslide occurrence, with less than 1.5 percent of the identified area involved.</t>
  </si>
  <si>
    <t>Susceptibility to the occurrence of a landslide is the probable degree of response of the areal rocks and soils to natural or artificial cutting or loading of slopes or to anomalously high precipitation. Moderate susceptibility is present when at least 1.5 percent and up to 15 percent of the identified area may be involved.</t>
  </si>
  <si>
    <t>moderateIncidence</t>
  </si>
  <si>
    <t>Moderate Incidence</t>
  </si>
  <si>
    <t>The historical record documents a moderate frequency of landslide occurrence, with at least 1.5 percent and up to 15 percent of the identified area involved in such events.</t>
  </si>
  <si>
    <t>moderateRisk</t>
  </si>
  <si>
    <t>Moderate Risk</t>
  </si>
  <si>
    <t>There exists a high estimated susceptibility to the occurrence of landslides and the historical record documents a low frequency of landslide occurrence, with less than 1.5 percent of the identified area involved.</t>
  </si>
  <si>
    <t>High intensity lights.</t>
  </si>
  <si>
    <t>Where a high-intensity lighting system is provided in the aerodrome approach or movement surface environment, a suitable intensity control shall be incorporated to allow for adjustment of the light intensity to meet the prevailing conditions.</t>
  </si>
  <si>
    <t>Low intensity lights.</t>
  </si>
  <si>
    <t>medium</t>
  </si>
  <si>
    <t>Medium</t>
  </si>
  <si>
    <t>Medium intensity lights.</t>
  </si>
  <si>
    <t>The light system intensity is fixed to one intensity level.</t>
  </si>
  <si>
    <t>variable</t>
  </si>
  <si>
    <t>Variable</t>
  </si>
  <si>
    <t>The light system intensity is variable between two or three different values of intensity.</t>
  </si>
  <si>
    <t>The intensity should be variable in order from high to medium to low, or medium to low.</t>
  </si>
  <si>
    <t>faint</t>
  </si>
  <si>
    <t>Faint</t>
  </si>
  <si>
    <t>The apparent intensity of a light is decreased.</t>
  </si>
  <si>
    <t>This may occur in the case of partial obstructions.</t>
  </si>
  <si>
    <t>highIntensity</t>
  </si>
  <si>
    <t>High Intensity</t>
  </si>
  <si>
    <t>A non-marine light with a higher power than marine lights and visible from well off shore.</t>
  </si>
  <si>
    <t>intensified</t>
  </si>
  <si>
    <t>Intensified</t>
  </si>
  <si>
    <t>A light in a sector is intensified (it has longer range than in other sectors).</t>
  </si>
  <si>
    <t>lowIntensity</t>
  </si>
  <si>
    <t>Low Intensity</t>
  </si>
  <si>
    <t>A non-marine light with lower power than marine lights.</t>
  </si>
  <si>
    <t>obscured</t>
  </si>
  <si>
    <t>Obscured</t>
  </si>
  <si>
    <t>An arc of a light sector (designated by its limiting bearings) in which the light is not visible from seaward.</t>
  </si>
  <si>
    <t>partiallyObscured</t>
  </si>
  <si>
    <t>Partially Obscured</t>
  </si>
  <si>
    <t>Parts of a light sector are obscured.</t>
  </si>
  <si>
    <t>unintensified</t>
  </si>
  <si>
    <t>Unintensified</t>
  </si>
  <si>
    <t>A light in a sector is unintensified (it has shorter range than in other sectors).</t>
  </si>
  <si>
    <t>visDeliberatelyRestricted</t>
  </si>
  <si>
    <t>Visibility Deliberately Restricted</t>
  </si>
  <si>
    <t>A light sector is deliberately reduced in intensity (for example: to reduce its effect on a built-up area).</t>
  </si>
  <si>
    <t>doubleArrangement</t>
  </si>
  <si>
    <t>Double Arrangement</t>
  </si>
  <si>
    <t>Two linear features on the same support structure.</t>
  </si>
  <si>
    <t>juxtaposition</t>
  </si>
  <si>
    <t>Juxtaposition</t>
  </si>
  <si>
    <t>Two linear features, closely spaced but on separate support structures.</t>
  </si>
  <si>
    <t>multipleArrangements</t>
  </si>
  <si>
    <t>Multiple Arrangements</t>
  </si>
  <si>
    <t>Three or more linear features on the same support structure.</t>
  </si>
  <si>
    <t>singleArrangement</t>
  </si>
  <si>
    <t>Single Arrangement</t>
  </si>
  <si>
    <t>One linear feature.</t>
  </si>
  <si>
    <t>construction</t>
  </si>
  <si>
    <t>Construction</t>
  </si>
  <si>
    <t>The Load Classification Number (LCN) has been calculated from original airfield construction data.</t>
  </si>
  <si>
    <t>The Load Classification Number (LCN) has been estimated based on the LCN values of known runways that are similar in length and surface.</t>
  </si>
  <si>
    <t>Operations</t>
  </si>
  <si>
    <t>The Load Classification Number (LCN) has been derived by either historical or current operational data regarding the use of the aerodrome pavement.</t>
  </si>
  <si>
    <t>The Load Classification Number (LCN) has been reported by an appropriate authority regarding the aerodrome.</t>
  </si>
  <si>
    <t>test</t>
  </si>
  <si>
    <t>Test</t>
  </si>
  <si>
    <t>The Load Classification Number (LCN) has been calculated from data obtained during pavement stress testing.</t>
  </si>
  <si>
    <t>atShoreline</t>
  </si>
  <si>
    <t>At Shoreline</t>
  </si>
  <si>
    <t>Straddles the land water boundary.</t>
  </si>
  <si>
    <t>The object may be wet or dry at various times.</t>
  </si>
  <si>
    <t>inland</t>
  </si>
  <si>
    <t>Inland</t>
  </si>
  <si>
    <t>Located inland of the land water boundary.</t>
  </si>
  <si>
    <t>The object is always dry.</t>
  </si>
  <si>
    <t>offshore</t>
  </si>
  <si>
    <t>Offshore</t>
  </si>
  <si>
    <t>Located offshore.</t>
  </si>
  <si>
    <t>The object is always wet.</t>
  </si>
  <si>
    <t>catI</t>
  </si>
  <si>
    <t>Category I</t>
  </si>
  <si>
    <t>Supports Instrument Landing System (ILS) CAT I low visibility operations.</t>
  </si>
  <si>
    <t>catII_III</t>
  </si>
  <si>
    <t>Category II/III</t>
  </si>
  <si>
    <t>Supports Instrument Landing System (ILS) CATII/III low visibility operations.</t>
  </si>
  <si>
    <t>No low visibility operations are supported.</t>
  </si>
  <si>
    <t>feeding</t>
  </si>
  <si>
    <t>Feeding</t>
  </si>
  <si>
    <t>The locality where a given species feeds or where food is abundant and available.</t>
  </si>
  <si>
    <t>general</t>
  </si>
  <si>
    <t>General</t>
  </si>
  <si>
    <t>The geographical range of localities inhabited by a species or other group.</t>
  </si>
  <si>
    <t>The range may be continuous or discontinuous (with gaps).</t>
  </si>
  <si>
    <t>Range</t>
  </si>
  <si>
    <t>spawning</t>
  </si>
  <si>
    <t>Spawning</t>
  </si>
  <si>
    <t>The locality where a given species spawns.</t>
  </si>
  <si>
    <t>wintering</t>
  </si>
  <si>
    <t>Wintering</t>
  </si>
  <si>
    <t>The locality to which a given species migrates during the winter, being located away from feeding and spawning areas.</t>
  </si>
  <si>
    <t>fencing</t>
  </si>
  <si>
    <t>Fencing</t>
  </si>
  <si>
    <t>A barrier enclosing an area, typically consisting of posts connected by wire and/or wood.</t>
  </si>
  <si>
    <t>fishingStakes</t>
  </si>
  <si>
    <t>nets</t>
  </si>
  <si>
    <t>Nets</t>
  </si>
  <si>
    <t>An open-meshed material of twine or cord for catching fish.</t>
  </si>
  <si>
    <t>alaskaPollock</t>
  </si>
  <si>
    <t>Alaska Pollock</t>
  </si>
  <si>
    <t>Theragra chalcogramma, a North Pacific species of the Cod Family Gadidae.</t>
  </si>
  <si>
    <t>Commonly found near Alaska.</t>
  </si>
  <si>
    <t>Walleye Pollock</t>
  </si>
  <si>
    <t>albacore</t>
  </si>
  <si>
    <t>Albacore</t>
  </si>
  <si>
    <t>Thunnus alalunga, a type of tuna in the Family Scombridae.</t>
  </si>
  <si>
    <t>It is a highly migratory species found in the open waters of all tropical and temperate oceans, and the Mediterranean Sea.</t>
  </si>
  <si>
    <t>almacoJack</t>
  </si>
  <si>
    <t>Almaco Jack</t>
  </si>
  <si>
    <t>Seriola rivoliana, a game fish of the Family Carangidae.</t>
  </si>
  <si>
    <t>Found in the Indian to the West Pacific Oceans.</t>
  </si>
  <si>
    <t>americanPlaice</t>
  </si>
  <si>
    <t>American Plaice</t>
  </si>
  <si>
    <t>Hippoglossoides platessoides, a flatfish that belongs to the Family Pleuronectidae.</t>
  </si>
  <si>
    <t>American Plaice are an Atlantic species ranging from Southern Labrador to Rhode Island.</t>
  </si>
  <si>
    <t>Sole</t>
  </si>
  <si>
    <t>angler</t>
  </si>
  <si>
    <t>Angler</t>
  </si>
  <si>
    <t>Lophius piscatorius, a monkfish in the Family Lophiidae.</t>
  </si>
  <si>
    <t>Found in coastal waters of the Northeast Atlantic, from the Barents Sea to the Strait Of Gibraltar, the Mediterranean and the Black Sea.</t>
  </si>
  <si>
    <t xml:space="preserve">Fishing-frog, Frog-fish, Sea-devil </t>
  </si>
  <si>
    <t>atlanticBluefinTuna</t>
  </si>
  <si>
    <t>Atlantic Bluefin Tuna</t>
  </si>
  <si>
    <t>Thunnus thynnus, a species of tuna in the Family Scombridae.</t>
  </si>
  <si>
    <t>Found in both the Western and Eastern Atlantic Ocean, as well as the Mediterranean Sea.</t>
  </si>
  <si>
    <t>Northern Bluefin Tuna, Giant Bluefin Tuna, The Tunny</t>
  </si>
  <si>
    <t>atlanticCod</t>
  </si>
  <si>
    <t>Atlantic Cod</t>
  </si>
  <si>
    <t>Gadus morhua, a member of the Family Gadidae.</t>
  </si>
  <si>
    <t>Found on both sides of the Atlantic Ocean, Arctic Ocean, including the Baltic Sea, the North Sea, and the Barents Sea.</t>
  </si>
  <si>
    <t>Cod, Codling, Haberdine</t>
  </si>
  <si>
    <t>atlanticHerring</t>
  </si>
  <si>
    <t>Atlantic Herring</t>
  </si>
  <si>
    <t>Clupea harengus, one of the most abundant species of fish on the planet that belongs to the Family Clupeidae.</t>
  </si>
  <si>
    <t>They can be found on both sides of the Atlantic Ocean congregating together in large schools.</t>
  </si>
  <si>
    <t>atlanticHorseMackerel</t>
  </si>
  <si>
    <t>Atlantic Horse Mackerel</t>
  </si>
  <si>
    <t>Trachurus trachurus, a member of the Family Carangidae.</t>
  </si>
  <si>
    <t>Found along the coasts of Western Europe, and in the North Sea.</t>
  </si>
  <si>
    <t>Common Scad, Maasbanker, Pollock, Scad, Saurel, Rough Scad</t>
  </si>
  <si>
    <t>atlanticMackerel</t>
  </si>
  <si>
    <t>Atlantic Mackerel</t>
  </si>
  <si>
    <t>Scomber scombrus, a pelagic schooling species of Mackerel that belongs to the Family Scombridae.</t>
  </si>
  <si>
    <t>Found on both sides of the North Atlantic Ocean.</t>
  </si>
  <si>
    <t>Boston Mackerel, Mackerel</t>
  </si>
  <si>
    <t>atlanticPomfret</t>
  </si>
  <si>
    <t>Atlantic Pomfret</t>
  </si>
  <si>
    <t>Brama brama, a pomfret of the Family Bramidae.</t>
  </si>
  <si>
    <t>Found in the Atlantic, Indian, and South Pacific Oceans.</t>
  </si>
  <si>
    <t>atlanticSaury</t>
  </si>
  <si>
    <t>Atlantic Saury</t>
  </si>
  <si>
    <t>Scomberesox saurus, a member of the Family Scomberesocidae.</t>
  </si>
  <si>
    <t>Found in the Atlantic Ocean, in the seas near Australia, and also in the Mediterranean.</t>
  </si>
  <si>
    <t>atlanticWolffish</t>
  </si>
  <si>
    <t>Atlantic Wolffish</t>
  </si>
  <si>
    <t>Anarhichas lupus, the largest of the Wolffish Family Anarhichadidae.</t>
  </si>
  <si>
    <t>Found along both the west and east coasts of the Atlantic.</t>
  </si>
  <si>
    <t>Seawolf, Atlantic Catfish, Ocean Catfish, Wolf Eel, Sea Cat</t>
  </si>
  <si>
    <t>baliSardinella</t>
  </si>
  <si>
    <t>Bali Sardinella</t>
  </si>
  <si>
    <t>Sardinella lemuru, a species of ray-finned fish in the Genus Sardinella that belongs to the Family Clupeidae.</t>
  </si>
  <si>
    <t>Commonly found in the Eastern Indian Ocean and Western Pacific.</t>
  </si>
  <si>
    <t>beakedRedfish</t>
  </si>
  <si>
    <t>Beaked Redfish</t>
  </si>
  <si>
    <t>Sebastes mentella, a deepwater redfish that belongs to the Family Sebastidae.</t>
  </si>
  <si>
    <t>Lives in comparatively high concentrations in the North Atlantic.</t>
  </si>
  <si>
    <t>Deepwater Redfish</t>
  </si>
  <si>
    <t>bigeyeScad</t>
  </si>
  <si>
    <t>Bigeye Scad</t>
  </si>
  <si>
    <t>Selar crumenophthalmus, a member of the family Carangidae.</t>
  </si>
  <si>
    <t>Found around the globe in tropical regions.</t>
  </si>
  <si>
    <t>Purse-eyed Scad, Akule, Goggle-eyed Scad</t>
  </si>
  <si>
    <t>bigeyeTuna</t>
  </si>
  <si>
    <t>Bigeye Tuna</t>
  </si>
  <si>
    <t>Thunnus obesus, a member of the wider Mackerel Family Scombridae.</t>
  </si>
  <si>
    <t>Found in the open waters of all tropical and temperate oceans, except the Mediterranean Sea.</t>
  </si>
  <si>
    <t>blackBelliedAngler</t>
  </si>
  <si>
    <t>Black Bellied Angler</t>
  </si>
  <si>
    <t>Lophius busegassa, a monkfish in the Family Lophiidae.</t>
  </si>
  <si>
    <t>Found from shallow, inshore waters to 650 metres depth in the Eastern Atlantic: British Isles to Senegal, including the Mediterranean.</t>
  </si>
  <si>
    <t>blackMarlin</t>
  </si>
  <si>
    <t>Black Marlin</t>
  </si>
  <si>
    <t>Makaira indica, a species of marlin that belongs to the Family Istiophoridae.</t>
  </si>
  <si>
    <t>Found in tropical and subtropical Indo-Pacific Oceans.</t>
  </si>
  <si>
    <t>blackSkipjackTuna</t>
  </si>
  <si>
    <t>Black Skipjack Tuna</t>
  </si>
  <si>
    <t>Euthynnus lineatus, a member of the Family Scombridae.</t>
  </si>
  <si>
    <t>Found in the tropical regions of Eastern Pacific: Off San Simeon, California, USA southward to the Galapagos Islands and Northern Peru.</t>
  </si>
  <si>
    <t>blackStreakedMonocleBream</t>
  </si>
  <si>
    <t>Black-streaked Monocle Bream</t>
  </si>
  <si>
    <t>Scolopsis taeniatus, a member of the Family Nemipteridae.</t>
  </si>
  <si>
    <t>Found in the tropical, reef areas of Western Indian Ocean: Red Sea, Gulf of Aden, Gulf of Oman, Persian Gulf, Arabian Sea and Sri Lanka (Gulf of Mannar).</t>
  </si>
  <si>
    <t>blueJackMackerel</t>
  </si>
  <si>
    <t>Blue Jack Mackerel</t>
  </si>
  <si>
    <t>Trachurus picturatus, a member of the Family Carangidae.</t>
  </si>
  <si>
    <t>Found in the subtropical areas of Eastern Atlantic and Mediterranean Sea.</t>
  </si>
  <si>
    <t>blueMarlin</t>
  </si>
  <si>
    <t>Blue Marlin</t>
  </si>
  <si>
    <t>Makaira mazara, a species of marlin that belongs to the Family Istiophoridae.</t>
  </si>
  <si>
    <t>Common in equatorial waters and sometimes temperate waters occurring in the Atlantic, Pacific and Indian Oceans.</t>
  </si>
  <si>
    <t>Indo-pacific Blue Marlin, Blue Marlin Fish, Empereur Bleu</t>
  </si>
  <si>
    <t>blueShark</t>
  </si>
  <si>
    <t>Blue Shark</t>
  </si>
  <si>
    <t>Prionace glauca, a species of Requiem Shark, Family Carcharhinidae.</t>
  </si>
  <si>
    <t>Found in the deep waters of the world's temperate and tropical oceans.</t>
  </si>
  <si>
    <t>blueWhitingPoutassou</t>
  </si>
  <si>
    <t>Blue Whiting - Poutassou</t>
  </si>
  <si>
    <t>Micromesistius poutassou, a cod of the Family Gadidae.</t>
  </si>
  <si>
    <t>Common in the North-East Atlantic Ocean, from Morocco to Iceland.</t>
  </si>
  <si>
    <t>bluespotMullet</t>
  </si>
  <si>
    <t>Bluespot Mullet</t>
  </si>
  <si>
    <t>Valamugil seheli, a member of the Family Mugilidae.</t>
  </si>
  <si>
    <t>Inhabits coastal waters in the Indo-Pacific Region: Red Sea south to South Africa and east to the Hawaiian Islands, north to Southern Japan, and south to Norfolk Island.</t>
  </si>
  <si>
    <t>Blue-spoke Mullet</t>
  </si>
  <si>
    <t>bombayDuck</t>
  </si>
  <si>
    <t>Bombay Duck</t>
  </si>
  <si>
    <t>Harpadon nehereus, a lizardfish belonging to the Family Harpadontidae.</t>
  </si>
  <si>
    <t>Native to the waters between Mumbai and Kutch in the Arabian Sea.</t>
  </si>
  <si>
    <t>Bummalo</t>
  </si>
  <si>
    <t>bulletTuna</t>
  </si>
  <si>
    <t>Bullet Tuna</t>
  </si>
  <si>
    <t>Auxis rochei, In the Family Scombridae.</t>
  </si>
  <si>
    <t>Found globally in tropical oceans.</t>
  </si>
  <si>
    <t>capelin</t>
  </si>
  <si>
    <t>Capelin</t>
  </si>
  <si>
    <t>Mallotus villosus, a small forage fish of the Family Osmeridae.</t>
  </si>
  <si>
    <t>Found in the Atlantic and Arctic Oceans.</t>
  </si>
  <si>
    <t>Caplin</t>
  </si>
  <si>
    <t>chilhuilSeacatfish</t>
  </si>
  <si>
    <t>Chilhuil Seacatfish</t>
  </si>
  <si>
    <t>Barge panamensis, a member of the Family Ariidae.</t>
  </si>
  <si>
    <t>Found inshore, usually on muddy bottoms of Eastern Pacific: Off Santa Ana River in Southern California, USA to Peru. Rare north of Southern Baja California, Mexico.</t>
  </si>
  <si>
    <t>Sea Catfish, Chihuil, Bagre</t>
  </si>
  <si>
    <t>chocolateHind</t>
  </si>
  <si>
    <t>Chocolate Hind</t>
  </si>
  <si>
    <t>Cephalopholis boenak, a member of the Family Serranidae.</t>
  </si>
  <si>
    <t>Found in the coral reefs of the Indo-West Pacific.</t>
  </si>
  <si>
    <t>Bluelined Coralcod, Brown-banded Seabass, Brownbarred Grouper, Brown-barred Rockcod, Brown Coral Cod, Charcoal Grouper, Dusty-banded Cod, Overcast Grouper, Rock Cod</t>
  </si>
  <si>
    <t>chubMackerel</t>
  </si>
  <si>
    <t>Chub Mackerel</t>
  </si>
  <si>
    <t>Scomber japonicus, a member of the Family Scombridae.</t>
  </si>
  <si>
    <t>Found in the Pacific Ocean along the continental shelf both north and south of equator, including the Red Sea and Persian Gulf.</t>
  </si>
  <si>
    <t>Pacific Mackerel, Blue Mackerel, Hardhead, Bullseye</t>
  </si>
  <si>
    <t>clarkesBrotula</t>
  </si>
  <si>
    <t>Clarke's Brotula</t>
  </si>
  <si>
    <t>Brotula clarke, a member of the Family Ophidiidae.</t>
  </si>
  <si>
    <t>Found in the tropical region of Eastern Central Pacific: Gulf of California to Peru.</t>
  </si>
  <si>
    <t>Pacific Bearded Brotula, Corvina</t>
  </si>
  <si>
    <t>commonDab</t>
  </si>
  <si>
    <t>Common Dab</t>
  </si>
  <si>
    <t>Limanda limanda, a member of the Family Pleuronectidae.</t>
  </si>
  <si>
    <t>It is a demersal fish native to shallow seas of the North Sea.</t>
  </si>
  <si>
    <t>commonDolphinfish</t>
  </si>
  <si>
    <t>Common Dolphinfish</t>
  </si>
  <si>
    <t>Coryphaena hippurus, a surface-dwelling ray-finned fish belonging to the Family Coryphaenidae.</t>
  </si>
  <si>
    <t>Found in off-shore temperate, tropical and subtropical waters worldwide.</t>
  </si>
  <si>
    <t>Mahi-mahi, Dolphin-fish, Rakingo, Calitos, Maverikos, Lampuka</t>
  </si>
  <si>
    <t>commonShrimp</t>
  </si>
  <si>
    <t>Common Shrimp</t>
  </si>
  <si>
    <t>Crangon crangon, a member of the Family Crangonidae.</t>
  </si>
  <si>
    <t>Found mainly in the Southern North Sea, Irish Sea, Baltic Sea, Mediterranean Sea and Black Sea, and parts of Morocco's Atlantic coast.</t>
  </si>
  <si>
    <t xml:space="preserve">Brown Shrimp, Sand Shrimp, Grey Shrimp </t>
  </si>
  <si>
    <t>commonSole</t>
  </si>
  <si>
    <t>Common Sole</t>
  </si>
  <si>
    <t>Solea solea, a member of the Family Soleidae.</t>
  </si>
  <si>
    <t>Found in the Eastern Atlantic Ocean and in almost all of the Mediterranean Sea.</t>
  </si>
  <si>
    <t>Dover Sole</t>
  </si>
  <si>
    <t>cuttlefish</t>
  </si>
  <si>
    <t>Cuttlefish</t>
  </si>
  <si>
    <t>Sepia pharaonis, Sephia japonica, and Sephia lycidas, cuttlefish of the Family Sepiidae.</t>
  </si>
  <si>
    <t>Native to at least the Western Indian Ocean, including the Red Sea and Persian Gulf.</t>
  </si>
  <si>
    <t>Pharaoh Cuttlefish</t>
  </si>
  <si>
    <t>daggertoothPikeConger</t>
  </si>
  <si>
    <t>Daggertooth Pike Conger</t>
  </si>
  <si>
    <t>Muraenesox cinereus, a type of eel of the Family Muraenesocidae.</t>
  </si>
  <si>
    <t>Found in the Red Sea, Persian Gulf, West Coast of India, north to Japan and Korea, Northern Australia, and migration to the Mediterranean.</t>
  </si>
  <si>
    <t>Pike Conger</t>
  </si>
  <si>
    <t>dogteethWeakfish</t>
  </si>
  <si>
    <t>Dogteeth Weakfish</t>
  </si>
  <si>
    <t>Macrodon mordax, a member of the Family Sciaenidae.</t>
  </si>
  <si>
    <t>Found in the Eastern Pacific: Panama to Ecuador.</t>
  </si>
  <si>
    <t>dogtoothTuna</t>
  </si>
  <si>
    <t>Dogtooth Tuna</t>
  </si>
  <si>
    <t>Gymnosarda unicolor, a large fast-swimming fish in the Family Scombridae.</t>
  </si>
  <si>
    <t>Its range extends from the Marshall Islands to the Western Indian Ocean and as far north as South Korea.</t>
  </si>
  <si>
    <t>edibleCrab</t>
  </si>
  <si>
    <t>Edible Crab</t>
  </si>
  <si>
    <t>Cancer pagurus, a member of the Family Cancridae.</t>
  </si>
  <si>
    <t>Found in the North Sea, North Atlantic and the Mediterranean Sea.</t>
  </si>
  <si>
    <t>europeanAnchovy</t>
  </si>
  <si>
    <t>European Anchovy</t>
  </si>
  <si>
    <t>Engraulis encrasicolus, a forage fish of the Engraulidae.</t>
  </si>
  <si>
    <t>European Anchovies are abundant in the Mediterranean.</t>
  </si>
  <si>
    <t>europeanConger</t>
  </si>
  <si>
    <t>European Conger</t>
  </si>
  <si>
    <t>Conger conger, a member of the Family Congridae.</t>
  </si>
  <si>
    <t>Found in the Eastern Atlantic from Norway and Iceland to Senegal, and also in the Mediterranean and Black Sea.</t>
  </si>
  <si>
    <t>europeanFlounder</t>
  </si>
  <si>
    <t>European Flounder</t>
  </si>
  <si>
    <t>Platichthys flesus, a flatfish of the Family Pleuronectinae.</t>
  </si>
  <si>
    <t>Found in the Eastern Atlantic: Coastal and Brackish Waters of Western Europe and from the White Sea to the Mediterranean and the Black Sea.</t>
  </si>
  <si>
    <t>Flounder</t>
  </si>
  <si>
    <t>europeanHake</t>
  </si>
  <si>
    <t>European Hake</t>
  </si>
  <si>
    <t>Merluccius merluccius, a member of the Family Merlucciinae.</t>
  </si>
  <si>
    <t>Found Eastern Atlantic: Norway and Iceland, southward to Mauritania.</t>
  </si>
  <si>
    <t>Cornish Salmon</t>
  </si>
  <si>
    <t>europeanPilchard</t>
  </si>
  <si>
    <t>European Pilchard</t>
  </si>
  <si>
    <t>Sardina pilchardus, a member of the Family Clupeidae.</t>
  </si>
  <si>
    <t>Found in the littoral areas of the Northeast Atlantic, North Sea to Senegal, Mediterranean and the Black Sea.</t>
  </si>
  <si>
    <t>True Sardine</t>
  </si>
  <si>
    <t>europeanPlaice</t>
  </si>
  <si>
    <t>European Plaice</t>
  </si>
  <si>
    <t>Pleuronectes platessa, a member of the Family Pleuronectidae.</t>
  </si>
  <si>
    <t>Found on the sandy bottoms of the European shelf; its geographical range is from the Barents Sea to the Mediterranean.</t>
  </si>
  <si>
    <t>europeanSprat</t>
  </si>
  <si>
    <t>European Sprat</t>
  </si>
  <si>
    <t>Sprattus sprattus, a small, herring-like fish belonging to the Family Clupeidae.</t>
  </si>
  <si>
    <t>Found in European waters.</t>
  </si>
  <si>
    <t>Bristling, Brisling</t>
  </si>
  <si>
    <t>flatheadGreyMullet</t>
  </si>
  <si>
    <t>Flathead Grey Mullet</t>
  </si>
  <si>
    <t>Mugil cephalus, a mullet of the Family Mugilidae.</t>
  </si>
  <si>
    <t>Found in coastal tropical and subtropical waters worldwide.</t>
  </si>
  <si>
    <t>frigateTuna</t>
  </si>
  <si>
    <t>Frigate Tuna</t>
  </si>
  <si>
    <t>Auxis thazard, a subspecies of tuna, in the Family Scombridae.</t>
  </si>
  <si>
    <t>Found around the world in tropical oceans.</t>
  </si>
  <si>
    <t>Frigate Mackerel</t>
  </si>
  <si>
    <t>garfish</t>
  </si>
  <si>
    <t>Garfish</t>
  </si>
  <si>
    <t>Belone belone, a needlefish and member of the Family Belonidae.</t>
  </si>
  <si>
    <t>Found in brackish and marine waters of the Eastern Atlantic, the Mediterranean Sea, and the Baltic Sea.</t>
  </si>
  <si>
    <t>giantTrevally</t>
  </si>
  <si>
    <t>Giant Trevally</t>
  </si>
  <si>
    <t>Caranx ignobilis, classified in the Jack Family, Carangidae.</t>
  </si>
  <si>
    <t>Distributed throughout the tropical waters of the Indo-Pacific region (from South Africa to Hawaii, Japan and Australia).</t>
  </si>
  <si>
    <t>Giant Kingfish, Lowly Trevally, Barrier Trevally</t>
  </si>
  <si>
    <t>goldenRedfish</t>
  </si>
  <si>
    <t>Golden Redfish</t>
  </si>
  <si>
    <t>Sebastes marinus, a member of the Family Sebastidae.</t>
  </si>
  <si>
    <t>Lives off the North Atlantic coasts of Europe and North America.</t>
  </si>
  <si>
    <t>Rose Fish, Ocean Perch, Norway Haddock, Red Perch, Redfish, Hemdurgan</t>
  </si>
  <si>
    <t>goldenThreadfinBream</t>
  </si>
  <si>
    <t>Golden Threadfin Bream</t>
  </si>
  <si>
    <t>Nemipterus virgatus, a member of the Family Nemipteridae.</t>
  </si>
  <si>
    <t>Living in the Western Pacific, from Southern Japan to Northwest Australia and the Arafura Sea.</t>
  </si>
  <si>
    <t>Hung Sam</t>
  </si>
  <si>
    <t>goldstripeSardinella</t>
  </si>
  <si>
    <t>Goldstripe Sardinella</t>
  </si>
  <si>
    <t>Sardinella gibbosa, a member of the Family Clupeidae.</t>
  </si>
  <si>
    <t>Native to shallow tropical waters of the Western Indo-Pacific, associated with coral reefs.</t>
  </si>
  <si>
    <t>greasyGrouper</t>
  </si>
  <si>
    <t>Greasy Grouper</t>
  </si>
  <si>
    <t>Epinephelus tauvina, a member of the Family Serranidae.</t>
  </si>
  <si>
    <t>Widely distributed from the Red Sea to South Africa, as far North as Japan, and in the waters around Australia.</t>
  </si>
  <si>
    <t>Arabian Grouper, Hamoor</t>
  </si>
  <si>
    <t>greaterArgentine</t>
  </si>
  <si>
    <t>Greater Argentine</t>
  </si>
  <si>
    <t>Argentina silus, a Northern Atlantic Smelt in the Family Argentinidae.</t>
  </si>
  <si>
    <t>Limited to the Svalbard to west coast of Ireland, to the North Sea, and the Canada coasts.</t>
  </si>
  <si>
    <t>Atlantic Argentine, Great Silver Smelt, Herring Smelt, Smelt</t>
  </si>
  <si>
    <t>greaterLizardfish</t>
  </si>
  <si>
    <t>Greater Lizardfish</t>
  </si>
  <si>
    <t>Saurida tumbil, a type of lizardfish of the Family Synodontidae.</t>
  </si>
  <si>
    <t>Lives mainly off the coast of Oman.</t>
  </si>
  <si>
    <t>greenJack</t>
  </si>
  <si>
    <t>Green Jack</t>
  </si>
  <si>
    <t>Caranx caballus, an abundant species of coastal fish in the Jack Family Carangidae.</t>
  </si>
  <si>
    <t>The species is distributed in the Eastern Pacific Ocean along the American coastline from California in the north to Peru in the south.</t>
  </si>
  <si>
    <t>Horse Jack</t>
  </si>
  <si>
    <t>greenlandHalibut</t>
  </si>
  <si>
    <t>Greenland Halibut</t>
  </si>
  <si>
    <t>Reinhardtius hippoglossoides, belonging to the Family Pleuronectidae.</t>
  </si>
  <si>
    <t>Mainly found in waters with temperatures from 1 to -2.1 degrees Centigrade of the northern hemisphere, and is circumglobal in the Arctic region.</t>
  </si>
  <si>
    <t>Black Halibut</t>
  </si>
  <si>
    <t>gulfConeyRoosterHind</t>
  </si>
  <si>
    <t>Gulf Coney/Rooster Hind</t>
  </si>
  <si>
    <t>Ephinephelus acanthistius, a member of the Family Serranidae.</t>
  </si>
  <si>
    <t>Common in the Gulf of California to Peru. Occasionally encountered in isolated reefs and sandy bottoms near the coast.</t>
  </si>
  <si>
    <t>haddock</t>
  </si>
  <si>
    <t>Haddock</t>
  </si>
  <si>
    <t>Melanogrammus aeglefinus, a member of the Family Gadidae.</t>
  </si>
  <si>
    <t>Distributed on both sides of the North Atlantic ranging from 80 to 200 metres, over rock, sand, gravel or shells, usually at temperatures between 4 and 10 degrees Centigrade.</t>
  </si>
  <si>
    <t>Offshore Hake</t>
  </si>
  <si>
    <t>haffaraSeabream</t>
  </si>
  <si>
    <t>Haffara Seabream</t>
  </si>
  <si>
    <t>Rhabdosargus haffara, a member of the Family Sparidae.</t>
  </si>
  <si>
    <t>Inhabits shallow waters, mainly around coral reefs, and over sandy or mud-sandy bottoms in the Mediterranean and Red Seas.</t>
  </si>
  <si>
    <t>indianHalibut</t>
  </si>
  <si>
    <t>Indian Halibut</t>
  </si>
  <si>
    <t>Psettodes erumei, a member of the Family Psettodidae.</t>
  </si>
  <si>
    <t>Found on the sand and mud bottoms tropical areas of Indo-West Pacific: Red Sea and East Africa to Japan and Australia.</t>
  </si>
  <si>
    <t>Indian Spring Turbot</t>
  </si>
  <si>
    <t>indianMackerel</t>
  </si>
  <si>
    <t>Indian Mackerel</t>
  </si>
  <si>
    <t>Rastrelliger kanagurta, a species of mackerel in the Family Scombridae.</t>
  </si>
  <si>
    <t>It is commonly found in the Indian and West Pacific Oceans, and their surrounding seas.</t>
  </si>
  <si>
    <t>indianOilSardine</t>
  </si>
  <si>
    <t>Indian Oil Sardine</t>
  </si>
  <si>
    <t>Sardinella longiceps, a species of ray-finned fish of the Family Clupeidae.</t>
  </si>
  <si>
    <t>Forms schools in coastal waters and strongly migratory in the Indian Ocean: northern and western parts only, Gulf of Aden, and Gulf of Oman.</t>
  </si>
  <si>
    <t>indianScad</t>
  </si>
  <si>
    <t>Indian Scad</t>
  </si>
  <si>
    <t>Decapterus russelli, a member of the Family Carangidae.</t>
  </si>
  <si>
    <t>Found in the tropical areas of the Indo-West Pacific: East Africa to Japan, the Arafura Sea and Australia.</t>
  </si>
  <si>
    <t>Russell's Mackerel Scad</t>
  </si>
  <si>
    <t>indoPacificSailfish</t>
  </si>
  <si>
    <t>Indo-Pacific Sailfish</t>
  </si>
  <si>
    <t>Istiophorus platypterus, a sailfish of the Family Istiophoridae.</t>
  </si>
  <si>
    <t>Native to the Indian and Pacific Oceans of the Close to coasts and islands in the tropical and temperate waters.</t>
  </si>
  <si>
    <t>Sail-fish</t>
  </si>
  <si>
    <t>japaneseAnchovy</t>
  </si>
  <si>
    <t>Japanese Anchovy</t>
  </si>
  <si>
    <t>Engraulis japonicus, a species of ray-finned fish of the Family Engraulidae.</t>
  </si>
  <si>
    <t>Occurs in large schools near the surface, mainly in coastal, temperate waters of the Sea of Japan, and south to Indonesia.</t>
  </si>
  <si>
    <t>Anchovy</t>
  </si>
  <si>
    <t>japaneseBobtailSquid</t>
  </si>
  <si>
    <t>Japanese Bobtail Squid</t>
  </si>
  <si>
    <t>Sepiola atlantica, a member of the Family Sepiolidae.</t>
  </si>
  <si>
    <t>Found around Western Pacific from Japan to Philippines and Australia.</t>
  </si>
  <si>
    <t>japaneseFlyingSquid</t>
  </si>
  <si>
    <t>Japanese Flying Squid</t>
  </si>
  <si>
    <t>Todarodes pacificus, a squid of the Family Ommastrephidae.</t>
  </si>
  <si>
    <t>Found in the Northern Pacific Ocean along the coast lines of Japan, China, Russia, across the Bering Strait towards Alaska and Canada.</t>
  </si>
  <si>
    <t>Japanese Squid, Japanese Common Squid</t>
  </si>
  <si>
    <t>japaneseJackMackerel</t>
  </si>
  <si>
    <t>Japanese Jack Mackerel</t>
  </si>
  <si>
    <t>Trachurus japonicus, a member of the Family Carangidae.</t>
  </si>
  <si>
    <t>Found on the Continental Waters of the Northwest Pacific: Southern Japan, Korean Peninsula to the East China Sea.</t>
  </si>
  <si>
    <t>japanesePilchard</t>
  </si>
  <si>
    <t>Japanese Pilchard</t>
  </si>
  <si>
    <t>Sardinops melanostictus, a sardine of the Family Clupeidae.</t>
  </si>
  <si>
    <t>Found in the Indo-Pacific Oceans.</t>
  </si>
  <si>
    <t xml:space="preserve">South American Pilchard, Blue Pilchard, Australian Pilchard, Blue-bait, Californian Pilchard, Chilean Sardine, Pacific Sardine, Southern African Pilchard </t>
  </si>
  <si>
    <t>japaneseSardinella</t>
  </si>
  <si>
    <t>Japanese Sardinella</t>
  </si>
  <si>
    <t>Sardinella zunasi, a species of ray-finned fish of the Family Clupeidae.</t>
  </si>
  <si>
    <t>Found near shore on sandy mud bottom of the Western Pacific: southern coasts of Japan, south to about Taiwan.</t>
  </si>
  <si>
    <t>japaneseScad</t>
  </si>
  <si>
    <t>Japanese Scad</t>
  </si>
  <si>
    <t>Decapterus maruadsi, a member of the Family Carangidae.</t>
  </si>
  <si>
    <t>Found along the reef areas of the tropical waters of the Indo-West Pacific: South China Sea to the Mariana Islands.</t>
  </si>
  <si>
    <t>Whitetip Scad</t>
  </si>
  <si>
    <t>japaneseSpanishMackerel</t>
  </si>
  <si>
    <t>Japanese Spanish Mackerel</t>
  </si>
  <si>
    <t>Scomberomorus niphonius, a member of the Family Scombridae.</t>
  </si>
  <si>
    <t>Inhabits the Northwest Pacific in the subtropical and temperate waters of China, the Yellow Sea and Sea of Japan.</t>
  </si>
  <si>
    <t>Thazard Oriental, Carite Oriental, Japanese Seerfish</t>
  </si>
  <si>
    <t>japaneseThreadfinBream</t>
  </si>
  <si>
    <t>Japanese Threadfin Bream</t>
  </si>
  <si>
    <t>Nemipterus japonicus, a member of the Family Nemipteridae.</t>
  </si>
  <si>
    <t>Very abundant in coastal waters, found on mud or sand bottoms, usually in schools in the Indo-Pacific.</t>
  </si>
  <si>
    <t>Melon Coat</t>
  </si>
  <si>
    <t>javelinGrunter</t>
  </si>
  <si>
    <t>Javelin Grunter</t>
  </si>
  <si>
    <t>Pomadasys kaakan, a member of the Family Haemulidae.</t>
  </si>
  <si>
    <t>Inhabits inshore waters with sandy to muddy bottoms in the Indo-West Pacific, Red Sea, east coast of Africa, Southeast Asia, north to Taiwan, and Australia.</t>
  </si>
  <si>
    <t>Common Javelinfish, Barred Javelin</t>
  </si>
  <si>
    <t>kawakawa</t>
  </si>
  <si>
    <t>Kawakawa</t>
  </si>
  <si>
    <t>Euthynnus affinis, a member of the Family Scombridae.</t>
  </si>
  <si>
    <t>Found in Indo-West Pacific: In warm waters including oceanic islands and archipelagos.</t>
  </si>
  <si>
    <t>Black Skipjack</t>
  </si>
  <si>
    <t>kingSoldierBream</t>
  </si>
  <si>
    <t>King Soldier Bream</t>
  </si>
  <si>
    <t>Argyrops spinifer, a member of the Family Sparidae.</t>
  </si>
  <si>
    <t>Found in the Red Sea, eastern coast of Africa and Northern Australia.</t>
  </si>
  <si>
    <t>Bowen Snapper, Frying-pan Snapper, Frypan Bream, Long-spinned Red Bream, Longfin Snapper, Longspine Seabream, Red Bokako</t>
  </si>
  <si>
    <t>largeheadHairtail</t>
  </si>
  <si>
    <t>Largehead Hairtail</t>
  </si>
  <si>
    <t>Trichiurus lepturus, a member of the Family Trichiuridae.</t>
  </si>
  <si>
    <t>Found throughout the tropical and temperate waters of the world.</t>
  </si>
  <si>
    <t>Beltfish</t>
  </si>
  <si>
    <t>lemonSole</t>
  </si>
  <si>
    <t>Lemon Sole</t>
  </si>
  <si>
    <t>Microstomus kitt, a flatfish of the Family Pleuronectidae.</t>
  </si>
  <si>
    <t>It is native to shallow seas around northern Europe.</t>
  </si>
  <si>
    <t>lesserSandeelSandlance</t>
  </si>
  <si>
    <t>Lesser Sandeel/Sandlance</t>
  </si>
  <si>
    <t>Ammodytes marinus, a fish belonging to the Family Ammodytidae.</t>
  </si>
  <si>
    <t>Most commonly encountered by fishermen in the North Pacific and North Atlantic, but are found in oceans throughout the world.</t>
  </si>
  <si>
    <t>Sand Lance, Sand Eels, Sandeels</t>
  </si>
  <si>
    <t>ling</t>
  </si>
  <si>
    <t>Ling</t>
  </si>
  <si>
    <t>Molva molva, a member of the cod Family Gadidae.</t>
  </si>
  <si>
    <t>Inhabits the Atlantic region and can be found around Iceland, British Isles, the Norse coast and occasionally around Newfoundland.</t>
  </si>
  <si>
    <t>Common Ling</t>
  </si>
  <si>
    <t>longtailTuna</t>
  </si>
  <si>
    <t>Longtail Tuna</t>
  </si>
  <si>
    <t>Thunnus tonggol, a member of the Family Scombridae.</t>
  </si>
  <si>
    <t>Distribution in the Indo-West Pacific: Red Sea and East Africa to New Guinea, north to Japan, south to Australia.</t>
  </si>
  <si>
    <t>Indian Long-tailed Tuna</t>
  </si>
  <si>
    <t>malabarBloodSnapper</t>
  </si>
  <si>
    <t>Malabar Blood Snapper</t>
  </si>
  <si>
    <t>Lutjanus malabaricus, a member of the Family Lutjanidae.</t>
  </si>
  <si>
    <t>Inhabits both coastal and offshore reefs of the Indo-West Pacific: Persian Gulf and Arabian Sea to Fiji, north to Southern Japan, south to Australia.</t>
  </si>
  <si>
    <t>Malabar Seaperch</t>
  </si>
  <si>
    <t>megrim</t>
  </si>
  <si>
    <t>Megrim</t>
  </si>
  <si>
    <t>Lepidorhomus whiffiagonis, a member of the Family Scophthalmidae.</t>
  </si>
  <si>
    <t>The species spawns in deep waters off Iceland the west of the British Isles and the Mediterranean Sea.</t>
  </si>
  <si>
    <t>Whiff</t>
  </si>
  <si>
    <t>mexicanBarracuda</t>
  </si>
  <si>
    <t>Mexican Barracuda</t>
  </si>
  <si>
    <t>Sphyraena ensis, a member of the Family Sphyraenidae.</t>
  </si>
  <si>
    <t>A fairly common species found in the continental shelf of Eastern Pacific: Mexico to Ecuador.</t>
  </si>
  <si>
    <t>mexicanBarredSnapper</t>
  </si>
  <si>
    <t>Mexican Barred Snapper</t>
  </si>
  <si>
    <t>Hoplopagrus guntherii, a member of the Family Lutjanidae.</t>
  </si>
  <si>
    <t>Encountered generally over rocky bottoms in the vicinity of coral reefs along the Eastern Pacific: Mexico to Colombia.</t>
  </si>
  <si>
    <t>Greenbar Snapper</t>
  </si>
  <si>
    <t>narrowBarredSpanishMackerel</t>
  </si>
  <si>
    <t>Narrow Barred Spanish Mackerel</t>
  </si>
  <si>
    <t>Scomberomorus commerson, a mackerel of the Family Scombridae.</t>
  </si>
  <si>
    <t>It is found centering in South-East Asia but as far west as the east coast of Africa and as far east as Fiji in the South West Pacific Ocean.</t>
  </si>
  <si>
    <t>northernPrawn</t>
  </si>
  <si>
    <t>Northern Prawn</t>
  </si>
  <si>
    <t>Pandalus borealis, a species of shrimp belonging to the Family Pandalidae.</t>
  </si>
  <si>
    <t>Found in cold parts of the Atlantic and Pacific Oceans.</t>
  </si>
  <si>
    <t>Deep-water Shrimp, Cold-water Shrimp, Northern Shrimp, Alaskan Pink Shrimp, Pink Shrimp, Northern Red Shrimp, Greenland Prawn</t>
  </si>
  <si>
    <t>norwayLobster</t>
  </si>
  <si>
    <t>Norway Lobster</t>
  </si>
  <si>
    <t>Nephrops norvegicus, a member of the family Nephropidae.</t>
  </si>
  <si>
    <t>Found in the North-Eastern Atlantic Ocean and North Sea as far north as Iceland and south to Portugal.</t>
  </si>
  <si>
    <t>oilfish</t>
  </si>
  <si>
    <t>Oilfish</t>
  </si>
  <si>
    <t>Ruvettus pretiosus, a species of snake mackerel in the Family Gempylidae.</t>
  </si>
  <si>
    <t>It is found in the Mediterranean, Middle Atlantic and throughout the southern seas.</t>
  </si>
  <si>
    <t>okhotskAtkaMackerel</t>
  </si>
  <si>
    <t>Okhotsk Atka Mackerel</t>
  </si>
  <si>
    <t>Pleurogrammus azonus, a member of the Family Hexagrammidae.</t>
  </si>
  <si>
    <t>Found off of the Sea of Okhotsk to the Yellow Sea.</t>
  </si>
  <si>
    <t>Arabesque Greenling, Hokke</t>
  </si>
  <si>
    <t>orangeRoughy</t>
  </si>
  <si>
    <t>Orange Roughy</t>
  </si>
  <si>
    <t>Hoplostethus atlanticus, a relatively large deep-sea fish belonging to the Family Trachichthyidae.</t>
  </si>
  <si>
    <t>Found in the East Atlantic (Iceland to Morocco), Indo-Pacific, and in the East Pacific off Chile.</t>
  </si>
  <si>
    <t>Red Roughy, Deep Sea Perch</t>
  </si>
  <si>
    <t>orangeSpottedGrouper</t>
  </si>
  <si>
    <t>Orange-Spotted Grouper</t>
  </si>
  <si>
    <t>Epinephelus coioides, a species of fish in the Family Serranidae.</t>
  </si>
  <si>
    <t>It is found in the Western Pacific, the Indian Ocean, and the Red Sea.</t>
  </si>
  <si>
    <t>Estuary Cod</t>
  </si>
  <si>
    <t>pacificAnchoveta</t>
  </si>
  <si>
    <t>Pacific Anchoveta</t>
  </si>
  <si>
    <t>Cetengraulis mysticetus, a member of the Family Engraulidae.</t>
  </si>
  <si>
    <t>Occurs inshore, principally over mud flats and forming quite large schools.</t>
  </si>
  <si>
    <t>pacificCod</t>
  </si>
  <si>
    <t>Pacific Cod</t>
  </si>
  <si>
    <t>Gadus macrocephalus, a member of the Family Gadidae.</t>
  </si>
  <si>
    <t>Found mainly along the continental shelf of the North Pacific, from the Yellow Sea to the Bering Strait, along the Aleutian Islands, and south to Los Angeles.</t>
  </si>
  <si>
    <t>Gray Cod, Gray Goo, Gray Wolf, Grayest, Grayfish</t>
  </si>
  <si>
    <t>pacificCrevalleJack</t>
  </si>
  <si>
    <t>Pacific Crevalle Jack</t>
  </si>
  <si>
    <t>Caranx caninus, a species of large marine fish classified in the Jack Family Carangidae.</t>
  </si>
  <si>
    <t>Distributed through the tropical waters of the Eastern Pacific Ocean from California to Peru.</t>
  </si>
  <si>
    <t>pacificHerring</t>
  </si>
  <si>
    <t>Pacific Herring</t>
  </si>
  <si>
    <t>Clupea pallasii, a species of the Family Clupeidae.</t>
  </si>
  <si>
    <t>Associated with the Pacific Ocean along North America to Northeast Asia.</t>
  </si>
  <si>
    <t>pacificRedSnapper</t>
  </si>
  <si>
    <t>Pacific Red Snapper</t>
  </si>
  <si>
    <t>Lutjanus peru, a member of the Family Lutjanidae.</t>
  </si>
  <si>
    <t>Found over hard bottoms in inshore reef areas up to a depth of at least 80 metres in the Eastern Pacific: Mexico to Peru.</t>
  </si>
  <si>
    <t>pacificSandlance</t>
  </si>
  <si>
    <t>Pacific Sandeel/Sandlance</t>
  </si>
  <si>
    <t>Ammodytes hexapterus, a member of the Family Ammodytidae.</t>
  </si>
  <si>
    <t>Distribution around the Arctic: Arctic Alaska to the Sea of Japan to Southern California, Western Atlantic: Canada to North Carolina.</t>
  </si>
  <si>
    <t>pacificSaury</t>
  </si>
  <si>
    <t>Pacific Saury</t>
  </si>
  <si>
    <t>Cololabis saira, a member of the Family Scomberesocidae.</t>
  </si>
  <si>
    <t>Found in the North Pacific, from Japan eastward to the Gulf of Alaska and southward to subtropical Mexico.</t>
  </si>
  <si>
    <t>pacificSierra</t>
  </si>
  <si>
    <t>Pacific Sierra</t>
  </si>
  <si>
    <t>Scomberomorus sierra, a member of the Family Scombridae.</t>
  </si>
  <si>
    <t>Occurs near the surface of coastal waters to over bottom of the continental shelf of the Eastern Central Pacific: La Jolla in Southern California, to Paita, Peru.</t>
  </si>
  <si>
    <t>Sierra Mackerel</t>
  </si>
  <si>
    <t>pacificTripletail</t>
  </si>
  <si>
    <t>Pacific Tripletail</t>
  </si>
  <si>
    <t>Lobotes pacificus, a member of the Family Lobotidae.</t>
  </si>
  <si>
    <t>Distribution from the Eastern Pacific: Nicaragua to Peru.</t>
  </si>
  <si>
    <t>pinkEarEmperor</t>
  </si>
  <si>
    <t>Pink Ear Emperor</t>
  </si>
  <si>
    <t>Lethrinus lentjan, a member of the Family Lethrinidae.</t>
  </si>
  <si>
    <t>Found in tropical waters of the Pacific and Indian Oceans.</t>
  </si>
  <si>
    <t>Emperor Breams, Simply Emperors, Pigface Breams</t>
  </si>
  <si>
    <t>polarCod</t>
  </si>
  <si>
    <t>Polar Cod</t>
  </si>
  <si>
    <t>Boreogadus saida, a member of the Family Gadidae.</t>
  </si>
  <si>
    <t>The Polar Cod is found further north than any other fish species (beyond 84 degrees N)with a distribution spanning the Arctic Seas off northern Russia, Alaska, Canada, and Greenland.</t>
  </si>
  <si>
    <t>Arctic Cod</t>
  </si>
  <si>
    <t>redKingCrab</t>
  </si>
  <si>
    <t>Red King Crab</t>
  </si>
  <si>
    <t>Paralithodes camtschaticus, a member of the Family Lithodidae.</t>
  </si>
  <si>
    <t>Native to the Bering Sea, North Pacific Ocean, around the Kamchatka Peninsula and neighboring Alaskan waters. It was introduced artificially by the Soviet Union into the Murmansk Fjord, Barents Sea.</t>
  </si>
  <si>
    <t>redSeacatfish</t>
  </si>
  <si>
    <t>Red Seacatfish</t>
  </si>
  <si>
    <t>Bagre pinnimaculatus, a member of the Family Ariidae.</t>
  </si>
  <si>
    <t>Found in coastal waters of Central and South America: Pacific draining rivers from the Gulf of California to Ecuador.</t>
  </si>
  <si>
    <t>Sea Catfish, Long-barbeled Sea Catfish, Bagre</t>
  </si>
  <si>
    <t>redEyeRoundHerring</t>
  </si>
  <si>
    <t>Red-Eye Round Herring</t>
  </si>
  <si>
    <t>Etrumeus teres, a member of the Family Clupeidae.</t>
  </si>
  <si>
    <t>Distribution around the continental shelf along the areas of the W. Indian Ocean, Red Sea, and Mediterranean, Canada to Venezuela, Japan to Australia, California to Chile.</t>
  </si>
  <si>
    <t>roundnoseGrenadier</t>
  </si>
  <si>
    <t>Roundnose Grenadier</t>
  </si>
  <si>
    <t>Coryphaenoides rupestris, a member of the Family Macrouridae.</t>
  </si>
  <si>
    <t>Distribution North Atlantic: from 37 arc degrees north to North Africa in the Eastern Atlantic.</t>
  </si>
  <si>
    <t>Black Grenadier</t>
  </si>
  <si>
    <t>saffronCod</t>
  </si>
  <si>
    <t>Saffron Cod</t>
  </si>
  <si>
    <t>Eleginus gracilis, a member of the Family Gadidae.</t>
  </si>
  <si>
    <t>Range spans the North Pacific, from off the Korean coasts until beyond Bering Straits, off the Alaskan coasts.</t>
  </si>
  <si>
    <t>saithe</t>
  </si>
  <si>
    <t>Saithe</t>
  </si>
  <si>
    <t>Pollachius virens,  a member of the Family Gadidae.</t>
  </si>
  <si>
    <t>Together with Pollachius Pollachius it is generally referred to as Pollock.</t>
  </si>
  <si>
    <t>Boston Blues, Coalfish, Coley, Pollock</t>
  </si>
  <si>
    <t>shortMackerel</t>
  </si>
  <si>
    <t>Short Mackerel</t>
  </si>
  <si>
    <t>Rastrelliger brachysoma, a member of the Family Scombridae.</t>
  </si>
  <si>
    <t>Found in areas with slightly reduced salinities and where surface temperature range between 20 and 30 degrees Centigrade. Within the Pacific: Andaman Sea to Australia.</t>
  </si>
  <si>
    <t>Short-bodied Mackerel</t>
  </si>
  <si>
    <t>shortfinMako</t>
  </si>
  <si>
    <t>Shortfin Mako</t>
  </si>
  <si>
    <t>Isurus oxyrinchus, a large Mackerel Shark of the Family Lamnidae.</t>
  </si>
  <si>
    <t>Found in offshore temperate and tropical seas worldwide.</t>
  </si>
  <si>
    <t>Shortfin Mako Shark, Sharp Nose</t>
  </si>
  <si>
    <t>silkyShark</t>
  </si>
  <si>
    <t>Silky Shark</t>
  </si>
  <si>
    <t>Carcharhinus falciformis, a species of Requiem Shark, Family Carcharhinidae.</t>
  </si>
  <si>
    <t>The highly mobile Silky Shark can be found around the world in tropical waters.</t>
  </si>
  <si>
    <t>silverPomfret</t>
  </si>
  <si>
    <t>Silver Pomfret</t>
  </si>
  <si>
    <t>Pampus argenteus, a flat bodied fish with a forked tail fin and long pectoral fins belonging to the Family Strombridae.</t>
  </si>
  <si>
    <t>Inhabits coastal waters off the Americas, Western Africa and the Indo-Pacific region.</t>
  </si>
  <si>
    <t>White Pomfret, Paplet, Vawall</t>
  </si>
  <si>
    <t>skipjackTuna</t>
  </si>
  <si>
    <t>Skipjack Tuna</t>
  </si>
  <si>
    <t>Katsuwonus pelamis, In the Tuna Family, Scombridae.</t>
  </si>
  <si>
    <t>Common in tropical waters throughout the world, where it inhabits surface waters in large shoals.</t>
  </si>
  <si>
    <t>Aku, Arctic Bonito, Mushmouth, Oceanic Bonito, Striped Tuna, Victor Fish</t>
  </si>
  <si>
    <t>slenderRainbowSardine</t>
  </si>
  <si>
    <t>Slender Rainbow Sardine</t>
  </si>
  <si>
    <t>Dussumieria elopsoides, a small, subtropical, fish belonging to the Family Clupeidae.</t>
  </si>
  <si>
    <t>Found in the Indian Ocean and the South China Sea.</t>
  </si>
  <si>
    <t>smallSandeelSandlance</t>
  </si>
  <si>
    <t>Small Sandeel/Sandlance</t>
  </si>
  <si>
    <t>Ammodytes tobianus, a slender fish belonging to the Family Ammodytidae.</t>
  </si>
  <si>
    <t>Found all throughout the coasts of the British Isles.</t>
  </si>
  <si>
    <t xml:space="preserve">Lesser Sand Eel, Sand Lance </t>
  </si>
  <si>
    <t>smallSpottedCatshark</t>
  </si>
  <si>
    <t>Small Spotted Catshark</t>
  </si>
  <si>
    <t>Scyliorhinus canicula, a member of the Family Scyliorhinidae.</t>
  </si>
  <si>
    <t>Found in sandy areas near reefs of the Western Indian Ocean: Including the Red Sea and the Persian Gulf. Also found on the continental shelves and uppermost slopes off Norway and the British Isles south to Senegal, including the Mediterranean.</t>
  </si>
  <si>
    <t>Lesser Spotted Dogfish</t>
  </si>
  <si>
    <t>snubnoseEmperor</t>
  </si>
  <si>
    <t>Snubnose Emperor</t>
  </si>
  <si>
    <t>Lethrinus borbonicus, a member of the Family Lethrininae.</t>
  </si>
  <si>
    <t>Changu</t>
  </si>
  <si>
    <t>spottailShark</t>
  </si>
  <si>
    <t>Spottail Shark</t>
  </si>
  <si>
    <t>Carcharhinus sorrah, a requiem shark of the Family Carcharhinidae.</t>
  </si>
  <si>
    <t>Found in the Indo-West Pacific Oceans waters between latitudes 31 arc degrees north and south.</t>
  </si>
  <si>
    <t>spottedRoseSnapper</t>
  </si>
  <si>
    <t>Spotted Rose Snapper</t>
  </si>
  <si>
    <t>Lutjanus guttatus, a member of the Family Lutjanidae.</t>
  </si>
  <si>
    <t>Found over hard bottoms in inshore reef areas of Mexico to Peru.</t>
  </si>
  <si>
    <t>stripedMarlin</t>
  </si>
  <si>
    <t>Striped Marlin</t>
  </si>
  <si>
    <t>Tetrapturus audax, a species of marlin belonging to the Family Istiophoridae.</t>
  </si>
  <si>
    <t>Found in tropical to temperate Indo-Pacific Oceans.</t>
  </si>
  <si>
    <t>swordfish</t>
  </si>
  <si>
    <t>Swordfish</t>
  </si>
  <si>
    <t>Xiphias gladius, a large, highly migratory, predatory fish characterized by a long, flat bill and belonging to the Family Xiphiidae.</t>
  </si>
  <si>
    <t>Broadbill</t>
  </si>
  <si>
    <t>talangQueenfish</t>
  </si>
  <si>
    <t>Talang Queenfish</t>
  </si>
  <si>
    <t>Scomberoides commersonnianus, a member of the Family Carangidae.</t>
  </si>
  <si>
    <t>Inhabits coastal waters, frequently near reefs and offshore islands of the Indo-West Pacific region.</t>
  </si>
  <si>
    <t>thresher</t>
  </si>
  <si>
    <t>Thresher</t>
  </si>
  <si>
    <t>Alopias vulpinus, a large lamniform shark of the Family Alopiidae.</t>
  </si>
  <si>
    <t>Found in all temperate and tropical oceans of the world.</t>
  </si>
  <si>
    <t>Thresher Shark</t>
  </si>
  <si>
    <t>tigertoothCroaker</t>
  </si>
  <si>
    <t>Tigertooth Croaker</t>
  </si>
  <si>
    <t>Otolithes ruber, a member of the Family Sciaenidae.</t>
  </si>
  <si>
    <t>Found in coastal waters of the Indo-West Pacific: East Africa, including Madagascar, eastward to Southern China Sea and Queensland, Australia.</t>
  </si>
  <si>
    <t>Bombache Tigre Mayor</t>
  </si>
  <si>
    <t>torpedoScad</t>
  </si>
  <si>
    <t>Torpedo Scad</t>
  </si>
  <si>
    <t>Megalaspis cordyla, a member of the Family Carangidae.</t>
  </si>
  <si>
    <t>Distribution throughout the tropical Indo-Pacific region, from South Africa to Japan in the north and Australia in south.</t>
  </si>
  <si>
    <t>Hardtail Scad, Finny Scad, Finletted Mackerel Scad, Cordyla Scad</t>
  </si>
  <si>
    <t>tubGurnard</t>
  </si>
  <si>
    <t>Tub Gurnard</t>
  </si>
  <si>
    <t>Trigla lucerna, a member of the Family Triglidae.</t>
  </si>
  <si>
    <t>Inhabits sand, muddy sand or gravel bottoms of the Eastern Atlantic: Norway along the African coast, Mediterranean and Black Seas.</t>
  </si>
  <si>
    <t>turbot</t>
  </si>
  <si>
    <t>Turbot</t>
  </si>
  <si>
    <t>Psetta maxima, a species of flatfish in the Family Scophthalmidae.</t>
  </si>
  <si>
    <t>It is native to marine or brackish waters of the North Atlantic, Black Sea, Baltic Sea and the Mediterranean Sea.</t>
  </si>
  <si>
    <t>tusk</t>
  </si>
  <si>
    <t>Tusk</t>
  </si>
  <si>
    <t>Brosme brosme, a marine cod-like fish in the Ling Family Lotidae.</t>
  </si>
  <si>
    <t>Distributed on both sides of the North Atlantic, mostly in moderately deep water.</t>
  </si>
  <si>
    <t>Cusk, Brismak, Brosmius, Torsk, Moonfish</t>
  </si>
  <si>
    <t>twobarSeabream</t>
  </si>
  <si>
    <t>Twobar Seabream</t>
  </si>
  <si>
    <t>Acanthopagrus bifasciatus, a member of the Family Sparidae.</t>
  </si>
  <si>
    <t>Inhabits shallow coastal waters, mainly around reefs of the Western Indian Ocean: Red Sea and the Persian Gulf south to Natal, South Africa.</t>
  </si>
  <si>
    <t>Doublebar Bream</t>
  </si>
  <si>
    <t>whiteTrevally</t>
  </si>
  <si>
    <t>White Trevally</t>
  </si>
  <si>
    <t>Pseudocaranx dentex, a jack of he Family Carangidae.</t>
  </si>
  <si>
    <t>Widespread in tropical and warm temperate areas in the Atlantic, Mediterranean, Indian and Pacific Oceans.</t>
  </si>
  <si>
    <t>whiting</t>
  </si>
  <si>
    <t>Whiting</t>
  </si>
  <si>
    <t>Merlangius merlangus, an important food fish that is a member of the Family Gadidae.</t>
  </si>
  <si>
    <t>Found in the Eastern North Atlantic, Northern Mediterranean, Western Baltic, and Black Sea.</t>
  </si>
  <si>
    <t>English Whiting</t>
  </si>
  <si>
    <t>witchFlounder</t>
  </si>
  <si>
    <t>Witch Flounder</t>
  </si>
  <si>
    <t>Glyptocephalus cynoglossus, a right-eyed flatfish of the Family Pleuronectidae.</t>
  </si>
  <si>
    <t>Found in the North Atlantic.</t>
  </si>
  <si>
    <t>Torbay Sole</t>
  </si>
  <si>
    <t>yellowCroaker</t>
  </si>
  <si>
    <t>Yellow Croaker</t>
  </si>
  <si>
    <t>Larimichthys polyactis, a member of the Family Sciaenidae.</t>
  </si>
  <si>
    <t>Found in inshore reef areas over hard bottoms in the Eastern Pacific: Southern California to Peru. Also found in the sublittoral zone above 120 metres in sandy mud bottoms of the Yellow and East China Seas.</t>
  </si>
  <si>
    <t>yellowSnapper</t>
  </si>
  <si>
    <t>Yellow Snapper</t>
  </si>
  <si>
    <t>Lutjanus argentiventris, a member of the Family Lutjanidae.</t>
  </si>
  <si>
    <t>Amarillo Snapper</t>
  </si>
  <si>
    <t>yellowStripedFlounder</t>
  </si>
  <si>
    <t>Yellow Striped Flounder</t>
  </si>
  <si>
    <t>Pseudopleuronectes herzensteini, a member of the Family Pleuronectinae.</t>
  </si>
  <si>
    <t>Distribution in the Northwest Pacific: Inland Sea of Japan, East Coast of the Korean Peninsula, the Yellow Sea, Gulf of Bo Hai and Middle East China Sea.</t>
  </si>
  <si>
    <t>yellowfinTuna</t>
  </si>
  <si>
    <t>Yellowfin Tuna</t>
  </si>
  <si>
    <t>Thunnus alacares, a species of tuna of the Family Scombridae.</t>
  </si>
  <si>
    <t>Found in pelagic waters of tropical and subtropical oceans worldwide.</t>
  </si>
  <si>
    <t>yellowstripedScad</t>
  </si>
  <si>
    <t>Yellowstriped Scad</t>
  </si>
  <si>
    <t>Selaroides leptolepis, a member of the Family Carangidae.</t>
  </si>
  <si>
    <t>Inhabits inshore waters of the continental shelf of the Indo-West Pacific: Persian Gulf to the Philippines, north to Japan, and south to Australia.</t>
  </si>
  <si>
    <t>Yellowstriped Crevalle</t>
  </si>
  <si>
    <t>demersal</t>
  </si>
  <si>
    <t>Demersal</t>
  </si>
  <si>
    <t>The species lives in close relation with the bottom and depending on it.</t>
  </si>
  <si>
    <t>For example: cods, groupers and lobsters are demersal species. The term 'demersal fish' usually refers to the living mode of the adult.</t>
  </si>
  <si>
    <t>pelagic</t>
  </si>
  <si>
    <t>Pelagic</t>
  </si>
  <si>
    <t>The species spends most of its life swimming in the water column with little contact with, or dependency on, the bottom.</t>
  </si>
  <si>
    <t>Usually refers to the adult stage of the species.</t>
  </si>
  <si>
    <t>attack</t>
  </si>
  <si>
    <t>Attack</t>
  </si>
  <si>
    <t>Attack with weapons without boarding.</t>
  </si>
  <si>
    <t>No aggressor has entered the vehicle.</t>
  </si>
  <si>
    <t>pirateBoarding</t>
  </si>
  <si>
    <t>Pirate Boarding</t>
  </si>
  <si>
    <t>Unauthorized individuals boarded or attempted to board a vessel with intent to steal either goods and/or the vessel, or abduct crew and/or passengers.</t>
  </si>
  <si>
    <t>suspiciousApproach</t>
  </si>
  <si>
    <t>Suspicious Approach</t>
  </si>
  <si>
    <t>An unexpected and/or unwarrented inspection of a vessel and/or its operations.</t>
  </si>
  <si>
    <t>aircraft</t>
  </si>
  <si>
    <t>Aircraft</t>
  </si>
  <si>
    <t>Attack conveyed by flying vehicle(s).</t>
  </si>
  <si>
    <t>fishingBoat</t>
  </si>
  <si>
    <t>Fishing Boat</t>
  </si>
  <si>
    <t>Conveyed by fishing boat(s).</t>
  </si>
  <si>
    <t>inflatableSmallCraft</t>
  </si>
  <si>
    <t>Inflatable Small Craft</t>
  </si>
  <si>
    <t>Conveyed by small inflatable watercraft.</t>
  </si>
  <si>
    <t>militaryTransport</t>
  </si>
  <si>
    <t>Military Transport</t>
  </si>
  <si>
    <t>Conveyed by military vessel(s).</t>
  </si>
  <si>
    <t>onFoot</t>
  </si>
  <si>
    <t>On Foot</t>
  </si>
  <si>
    <t>Approached on foot from a pier.</t>
  </si>
  <si>
    <t>speedboat</t>
  </si>
  <si>
    <t>Speedboat</t>
  </si>
  <si>
    <t>Conveyed by speedboat(s).</t>
  </si>
  <si>
    <t>Approached by swimming.</t>
  </si>
  <si>
    <t>yacht</t>
  </si>
  <si>
    <t>Yacht</t>
  </si>
  <si>
    <t>Conveyed by yacht(s).</t>
  </si>
  <si>
    <t>birdSanctuary</t>
  </si>
  <si>
    <t>Bird Sanctuary</t>
  </si>
  <si>
    <t>An area where birds are bred and protected.</t>
  </si>
  <si>
    <t>A designated area of water where a vessel may adjust its compass by a process of 'swinging ship'.</t>
  </si>
  <si>
    <t>Normally accompanied by a 'swinging buoy' that is used to place the vessel on various headings and then comparing magnetic compass readings with the corresponding magnetic directions, to determine deviation. The results are used to adjust the vessel compass to compensate.</t>
  </si>
  <si>
    <t>Compass Compensation, Magnetic Compensation</t>
  </si>
  <si>
    <t>conserveManageZone</t>
  </si>
  <si>
    <t>Conservation and Management Zone</t>
  </si>
  <si>
    <t>An agreed protection zone that has been established to ensure the conservation of fish stocks and establish maritime jurisdiction.</t>
  </si>
  <si>
    <t>contiguousZone</t>
  </si>
  <si>
    <t>Contiguous Zone</t>
  </si>
  <si>
    <t>A zone contiguous to a coastal state's territorial sea, which may not extend beyond 24 nautical miles from the baselines from which the breadth of the territorial sea is measured.</t>
  </si>
  <si>
    <t>The coastal state may exercise certain control in this zone subject to the provisions of International Law.</t>
  </si>
  <si>
    <t>continentalShelfArea</t>
  </si>
  <si>
    <t>Continental Shelf Area</t>
  </si>
  <si>
    <t>An area extending to the limit of the continental shelf or continental margin determined in accordance with the provisions of the United Nations Convention on the Law of the Sea (UNCLOS).</t>
  </si>
  <si>
    <t>An area, usually about two cables diameter, within which ship's magnetic fields may be measured; sensing instruments and cables are installed on the sea bed in the range and there are cables leading from the range to a control position ashore.</t>
  </si>
  <si>
    <t>dredgingArea</t>
  </si>
  <si>
    <t>Dredging Area</t>
  </si>
  <si>
    <t>An area where dredging is taking place.</t>
  </si>
  <si>
    <t>ecologicalReserve</t>
  </si>
  <si>
    <t>Ecological Reserve</t>
  </si>
  <si>
    <t>An area managed so as to preserve the relation of plants and living creatures to each other and to their surroundings.</t>
  </si>
  <si>
    <t>exclusiveEconomicZone</t>
  </si>
  <si>
    <t>Exclusive Economic Zone</t>
  </si>
  <si>
    <t>An area, not exceeding 200 nautical miles from the baselines from which the breadth of the territorial sea is measured, subject to a specific legal regime established in the United Nations Convention on the Law of the Sea (UNCLOS).</t>
  </si>
  <si>
    <t>extendContinentShelfArea</t>
  </si>
  <si>
    <t>Extended Continental Shelf Area</t>
  </si>
  <si>
    <t>An area extending to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</si>
  <si>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The main travelled part of a waterway.</t>
  </si>
  <si>
    <t>fishSanctuary</t>
  </si>
  <si>
    <t>Fish Sanctuary</t>
  </si>
  <si>
    <t>An area where fish are protected.</t>
  </si>
  <si>
    <t>Fish Protection Area</t>
  </si>
  <si>
    <t>fisheryZone</t>
  </si>
  <si>
    <t>Fishery Zone</t>
  </si>
  <si>
    <t>An offshore zone in which exclusive fishing rights and management are held by a coastal nation.</t>
  </si>
  <si>
    <t>fishingGround</t>
  </si>
  <si>
    <t>Fishing Ground</t>
  </si>
  <si>
    <t>A water area in which fishing frequently occurs.</t>
  </si>
  <si>
    <t>foreignFishingRightsZone</t>
  </si>
  <si>
    <t>Foreign Fishing Rights Zone</t>
  </si>
  <si>
    <t>An offshore zone within the Fishery Limits of a coastal nation within which fishing rights have been granted to foreign fishermen.</t>
  </si>
  <si>
    <t>formerMineDangerArea</t>
  </si>
  <si>
    <t>Former Mine Danger Area</t>
  </si>
  <si>
    <t>An area, now clear, that was previously laid and maintained with explosive mines.</t>
  </si>
  <si>
    <t>The mining may have been for either defence or practice purposes.</t>
  </si>
  <si>
    <t>gamePreserve</t>
  </si>
  <si>
    <t>Game Preserve</t>
  </si>
  <si>
    <t>An area where wild animals or birds hunted for sport or food are kept undisturbed for private use.</t>
  </si>
  <si>
    <t>historicWreckArea</t>
  </si>
  <si>
    <t>Historic Wreck Area</t>
  </si>
  <si>
    <t>An area around certain wrecks of historical importance to protect the wrecks from unauthorized interference by diving, salvage or deposition (including anchoring).</t>
  </si>
  <si>
    <t>incinerationArea</t>
  </si>
  <si>
    <t>Incineration Area</t>
  </si>
  <si>
    <t>An offshore area officially designated as suitable for the burning of chemical waste by specially equipped ships.</t>
  </si>
  <si>
    <t>internalWaters</t>
  </si>
  <si>
    <t>Internal Waters</t>
  </si>
  <si>
    <t>Waters on the landward side of the baseline of the territorial sea and including landlocked waters within the State.</t>
  </si>
  <si>
    <t>icesFisheryZone</t>
  </si>
  <si>
    <t>International Council for the Seas (ICES) Fishery Zone</t>
  </si>
  <si>
    <t>An offshore management zone defined by the International Council for the Exploration of the Seas (ICES) and used for the purpose of fishery statistics and regulations in the north-east Atlantic.</t>
  </si>
  <si>
    <t>jointEconomicDevelopZone</t>
  </si>
  <si>
    <t>Joint Economic Development Zone</t>
  </si>
  <si>
    <t>An area that has been mutually agreed between two or more coastal States for the joint exploitation of resources of the sea and seabed.</t>
  </si>
  <si>
    <t>A Joint Economic Development Zone generally straddles the 'national' waters of the coastal States, consequently the maritime boundary between the recognised 'national' waters of the States is separate from the boundary of the Zone itself.</t>
  </si>
  <si>
    <t>Joint Development Zone</t>
  </si>
  <si>
    <t>marineNatureReserve</t>
  </si>
  <si>
    <t>Marine Nature Reserve</t>
  </si>
  <si>
    <t>An officially designated area in which there may be restrictions on entry, fishing, anchoring, and/or other activities in order to protect the marine environment.</t>
  </si>
  <si>
    <t>Marine Sanctuary</t>
  </si>
  <si>
    <t>maritimeMassGrave</t>
  </si>
  <si>
    <t>Maritime Mass Grave</t>
  </si>
  <si>
    <t>A location where a significant number of persons have perished as a direct result of a vessel or structure sinking and their remains cannot be recovered, the wreck and immediate area may be declared as a Mass Grave or more specifically, a War Grave.</t>
  </si>
  <si>
    <t>Such sites are protected from disturbance by International Law.</t>
  </si>
  <si>
    <t>marpolReportingArea</t>
  </si>
  <si>
    <t>Maritime Pollution (MARPOL) Reporting Area</t>
  </si>
  <si>
    <t>An area within which maritime pollution is reported according to an established matrix of locations.</t>
  </si>
  <si>
    <t>mineDangerArea</t>
  </si>
  <si>
    <t>Mine Danger Area</t>
  </si>
  <si>
    <t>An area that may have been laid and maintained with explosive mines.</t>
  </si>
  <si>
    <t>naturalGasField</t>
  </si>
  <si>
    <t>Natural Gas Field</t>
  </si>
  <si>
    <t>An area in which natural gas occurs in quantities worthy of exploitation.</t>
  </si>
  <si>
    <t>May contain offshore and/or underwater constructions.</t>
  </si>
  <si>
    <t>natureReserve</t>
  </si>
  <si>
    <t>Nature Reserve</t>
  </si>
  <si>
    <t>An area managed so as to preserve its flora, fauna, and/or physical features.</t>
  </si>
  <si>
    <t>It may include both land and sea areas.</t>
  </si>
  <si>
    <t>noWakeArea</t>
  </si>
  <si>
    <t>No Wake Area</t>
  </si>
  <si>
    <t>An area in which a vessels' speed must be reduced in order to reduce the size of the wake it produces.</t>
  </si>
  <si>
    <t>petroleumField</t>
  </si>
  <si>
    <t>Petroleum Field</t>
  </si>
  <si>
    <t>An area in which petroleum occurs in quantities worthy of exploitation.</t>
  </si>
  <si>
    <t>reclamationArea</t>
  </si>
  <si>
    <t>Reclamation Area</t>
  </si>
  <si>
    <t>An area of the sea that is being reclaimed as land, usually by the dumping of earth and other material.</t>
  </si>
  <si>
    <t>researchArea</t>
  </si>
  <si>
    <t>Research Area</t>
  </si>
  <si>
    <t>An area where marine research takes place.</t>
  </si>
  <si>
    <t>sealSanctuary</t>
  </si>
  <si>
    <t>Seal Sanctuary</t>
  </si>
  <si>
    <t>An area where seals are protected.</t>
  </si>
  <si>
    <t>strandingDangerArea</t>
  </si>
  <si>
    <t>Stranding Danger Area</t>
  </si>
  <si>
    <t>An area in which there is danger of serious grounding of a vessel so that it is not soon refloated.</t>
  </si>
  <si>
    <t>swimmingArea</t>
  </si>
  <si>
    <t>Swimming Area</t>
  </si>
  <si>
    <t>An area in which people may swim and therefore vessel movement may be restricted.</t>
  </si>
  <si>
    <t>swingingArea</t>
  </si>
  <si>
    <t>Swinging Area</t>
  </si>
  <si>
    <t>An area where vessels turn.</t>
  </si>
  <si>
    <t>Swinging Circle, Turning Area</t>
  </si>
  <si>
    <t>territorialSeaArea</t>
  </si>
  <si>
    <t>Territorial Sea Area</t>
  </si>
  <si>
    <t>A belt of water of a defined breadth but not exceeding 12 nautical miles measured seaward from the territorial sea baseline.</t>
  </si>
  <si>
    <t>trafficServicesLimit</t>
  </si>
  <si>
    <t>Traffic Services Limit</t>
  </si>
  <si>
    <t>The boundary of an area in which vessel traffic services are provided by a relevant authority that are primarily designed to improve safety and efficiency of traffic flow and the protection of the environment.</t>
  </si>
  <si>
    <t>Vessel traffic services may range from simple information messages, to extensive organization of the traffic involving national or regional schemes.</t>
  </si>
  <si>
    <t>unilateralFishingZone</t>
  </si>
  <si>
    <t>Unilateral Fishing Zone</t>
  </si>
  <si>
    <t>An offshore zone within which fishing rights have been asserted unilaterally.</t>
  </si>
  <si>
    <t>unrestrictedArea</t>
  </si>
  <si>
    <t>Unrestricted Area</t>
  </si>
  <si>
    <t>An area known to be free of maritime restrictions.</t>
  </si>
  <si>
    <t>waitingArea</t>
  </si>
  <si>
    <t>Waiting Area</t>
  </si>
  <si>
    <t>An area reserved for vessels waiting to enter a harbour.</t>
  </si>
  <si>
    <t>waterSkiingArea</t>
  </si>
  <si>
    <t>Water Skiing Area</t>
  </si>
  <si>
    <t>An area within which people may water ski and therefore vessel movement may be restricted.</t>
  </si>
  <si>
    <t>cargoTransshipment</t>
  </si>
  <si>
    <t>Cargo Transshipment</t>
  </si>
  <si>
    <t>An area designated for transfer of cargo from one vessel to another to reduce the draught of the larger vessel.</t>
  </si>
  <si>
    <t>A straight line on a chart that either marks the boundary between a safe and a dangerous area, or that passes clear of a navigational danger.</t>
  </si>
  <si>
    <t>Sectors of lighthouse lights are usually bounded by clearing lines.</t>
  </si>
  <si>
    <t>colregsDemarcationLine</t>
  </si>
  <si>
    <t>COLREGS Demarcation Line</t>
  </si>
  <si>
    <t>A demarcation line established in accordance with the International Regulations for Avoiding Collisions at Sea (COLREGS).</t>
  </si>
  <si>
    <t>harbourArea</t>
  </si>
  <si>
    <t>Harbour Area</t>
  </si>
  <si>
    <t>The area over which a harbour authority has jurisdiction.</t>
  </si>
  <si>
    <t>iceAdvisory</t>
  </si>
  <si>
    <t>Ice Advisory</t>
  </si>
  <si>
    <t>An area that contains ice conditions hazardous to navigation of which the mariner must be aware.</t>
  </si>
  <si>
    <t>intakeArea</t>
  </si>
  <si>
    <t>Intake Area</t>
  </si>
  <si>
    <t>An area where water is taken into a channel or pipe from a river or other body of water.</t>
  </si>
  <si>
    <t>oceanCurrentMargin</t>
  </si>
  <si>
    <t>Ocean Current Margin</t>
  </si>
  <si>
    <t>The edge of an ocean current along which it contacts another current or stationary surrounding waters.</t>
  </si>
  <si>
    <t>Often marked by an abrupt change in colour, water temperature and density, and by breakers and other surface phenomena. For example, the West Wall and the North Wall of the Gulf Stream.</t>
  </si>
  <si>
    <t>outfallArea</t>
  </si>
  <si>
    <t>Outfall Area</t>
  </si>
  <si>
    <t>An area in which reclaimed water or treated effluent (for example: from a sewage treatment plant or refinery) is discharged to a receiving water body, often via a diffuser.</t>
  </si>
  <si>
    <t>pollutionZone</t>
  </si>
  <si>
    <t>Pollution Zone</t>
  </si>
  <si>
    <t>A sensitive area specially regulated to prevent discharge of pollutants from vessels.</t>
  </si>
  <si>
    <t>submarineCable</t>
  </si>
  <si>
    <t>Submarine Cable</t>
  </si>
  <si>
    <t>An area containing one or more submarine cables.</t>
  </si>
  <si>
    <t>submarinePipeline</t>
  </si>
  <si>
    <t>Submarine Pipeline</t>
  </si>
  <si>
    <t>An area containing one or more submarine pipelines.</t>
  </si>
  <si>
    <t>submarineSewer</t>
  </si>
  <si>
    <t>Submarine Sewer</t>
  </si>
  <si>
    <t>An area containing one or more submarine sewers.</t>
  </si>
  <si>
    <t>Unexploded Ordnance</t>
  </si>
  <si>
    <t>An area in which military munitions that have been: primed, fuzed, armed or otherwise prepared for action; have then been fired, placed, dropped, launched or projected; and remain unexploded by design or malfunction.</t>
  </si>
  <si>
    <t>Includes: High-explosive warheads, rocket motors, practice munitions with spotting charges, torpedoes, artillery and mortar ammunition, grenades, incendiary munitions, electroexplosive devices, and propellant-actuated devices.</t>
  </si>
  <si>
    <t>unsurveyedArea</t>
  </si>
  <si>
    <t>Unsurveyed Area</t>
  </si>
  <si>
    <t>An area for which no bathymetric survey information is available.</t>
  </si>
  <si>
    <t>worksInProgressArea</t>
  </si>
  <si>
    <t>Works in Progress Area</t>
  </si>
  <si>
    <t>An area in which work is in progress that may affect navigation.</t>
  </si>
  <si>
    <t>For example, changing the bottom depth (for example: dredging, laying pipeline, tunnel construction), the shape of the coast (for example: land reclamation), and/or the appearance of the horizon for a vessel (for example: construction of structures).</t>
  </si>
  <si>
    <t>contiguousZoneLimit</t>
  </si>
  <si>
    <t>Contiguous Zone Limit</t>
  </si>
  <si>
    <t>The limit of a zone contiguous to a coastal state's territorial sea, which may not extend beyond 24 nautical miles from the baselines from which the breadth of the territorial sea is measured.</t>
  </si>
  <si>
    <t>continentalShelfLimit</t>
  </si>
  <si>
    <t>Continental Shelf Limit</t>
  </si>
  <si>
    <t>The limit of the continental shelf or continental margin determined in accordance with the provisions of the United Nations Convention on the Law of the Sea (UNCLOS).</t>
  </si>
  <si>
    <t>customsBoundary</t>
  </si>
  <si>
    <t>Customs Boundary</t>
  </si>
  <si>
    <t>The boundary of an area within which national custom regulations are in force.</t>
  </si>
  <si>
    <t>exclusiveEcoZoneLimit</t>
  </si>
  <si>
    <t>Exclusive Economic Zone Limit</t>
  </si>
  <si>
    <t>The limit of the exclusive economic zone, which is an area, not exceeding 200 nautical miles from the baselines from which the breadth of the territorial sea is measured, subject to a specific legal regime established in the Nations Convention on the Law of the Sea (UNCLOS).</t>
  </si>
  <si>
    <t>extendContinentShelfLimit</t>
  </si>
  <si>
    <t>Extended Continental Shelf Limit</t>
  </si>
  <si>
    <t>The limit defined by the outer edge of the continental margin (the submerged prolongation of the land mass of a coastal State, consisting of the shelf, the slope and the rise, but does not include the deep ocean floor with its oceanic ridges) or a minimum of 200 nautical miles distant from the territorial baseline.</t>
  </si>
  <si>
    <t>internationalBoundary</t>
  </si>
  <si>
    <t>International Boundary</t>
  </si>
  <si>
    <t>The boundary at sea between two coastal States as established by International Law.</t>
  </si>
  <si>
    <t>territorialSeaBaseline</t>
  </si>
  <si>
    <t>Territorial Sea Baseline</t>
  </si>
  <si>
    <t>The line from which the outer limits of the territorial sea and certain other outer limits are measured.</t>
  </si>
  <si>
    <t>Territorial Waters Baseline</t>
  </si>
  <si>
    <t>territorialWatersLimitSov</t>
  </si>
  <si>
    <t>Territorial Waters Limit of Sovereignty</t>
  </si>
  <si>
    <t>The limit of a belt of water of a defined breadth but not exceeding 12 nautical miles measured seaward from the territorial sea baseline.</t>
  </si>
  <si>
    <t>threeNauticalMileLimit</t>
  </si>
  <si>
    <t>Three Nautical Mile Limit</t>
  </si>
  <si>
    <t>The limit of a belt of water of a 3 nautical mile breadth measured seaward from the territorial sea baseline.</t>
  </si>
  <si>
    <t>airObstructionLight</t>
  </si>
  <si>
    <t>Air Obstruction Light</t>
  </si>
  <si>
    <t>A light marking an obstacle which constitutes a danger to air navigation.</t>
  </si>
  <si>
    <t>bearingLight</t>
  </si>
  <si>
    <t>Bearing Light</t>
  </si>
  <si>
    <t>A light which enables its approximate bearing to be obtained without the use of a compass.</t>
  </si>
  <si>
    <t>directionalFunction</t>
  </si>
  <si>
    <t>Directional Function</t>
  </si>
  <si>
    <t>A light illuminating a sector of very narrow angle and intended to mark a direction to follow.</t>
  </si>
  <si>
    <t>emergencyLight</t>
  </si>
  <si>
    <t>Emergency Light</t>
  </si>
  <si>
    <t>A light available as a backup to a main light which will be illuminated should the main light fail.</t>
  </si>
  <si>
    <t>floodLight</t>
  </si>
  <si>
    <t>Flood Light</t>
  </si>
  <si>
    <t>A broad beam light used to illuminate a structure or area.</t>
  </si>
  <si>
    <t>fogDetectorLight</t>
  </si>
  <si>
    <t>Fog Detector Light</t>
  </si>
  <si>
    <t>A light used to automatically determine conditions of visibility which warrant the turning on or off of a sound signal.</t>
  </si>
  <si>
    <t>front</t>
  </si>
  <si>
    <t>Front</t>
  </si>
  <si>
    <t>In a leading lights, the light is in the front position on the lead as viewed from seaward.</t>
  </si>
  <si>
    <t>horizontallyDisposed</t>
  </si>
  <si>
    <t>Horizontally Disposed</t>
  </si>
  <si>
    <t>A group of lights of identical character and almost identical position, that are disposed horizontally.</t>
  </si>
  <si>
    <t>leadingLight</t>
  </si>
  <si>
    <t>Leading Light</t>
  </si>
  <si>
    <t>A light associated with other lights so as to form a leading line to be followed.</t>
  </si>
  <si>
    <t>lower</t>
  </si>
  <si>
    <t>Lower</t>
  </si>
  <si>
    <t>In a leading lights, the light is in the lower position on the lead as viewed from seaward.</t>
  </si>
  <si>
    <t>moireEffectLight</t>
  </si>
  <si>
    <t>Moiré Effect Light</t>
  </si>
  <si>
    <t>A sodium directional light giving a yellow background to a screen on which a vertical black line will be seen by an observer on the centre-line.</t>
  </si>
  <si>
    <t>A short-range (up to 2 kilometres) light.</t>
  </si>
  <si>
    <t>occasionalLight</t>
  </si>
  <si>
    <t>Occasional Light</t>
  </si>
  <si>
    <t>A light exhibited only when specially needed.</t>
  </si>
  <si>
    <t>Includes lights shown at the entrance of a harbour to indicate tide and tidal current conditions within the harbour, lights for the use of fishermen that are shown when required, and lights maintained by a private authority for its own purposes. The mariner should exercise special caution when using a private light for general navigation.</t>
  </si>
  <si>
    <t>rear</t>
  </si>
  <si>
    <t>Rear</t>
  </si>
  <si>
    <t>In a leading lights, the light is in the rear position on the lead as viewed from seaward.</t>
  </si>
  <si>
    <t>sectoredLight</t>
  </si>
  <si>
    <t>Sectored Light</t>
  </si>
  <si>
    <t>A light presenting different appearances (in particular, different colours) over various parts of the horizon of interest to maritime navigation.</t>
  </si>
  <si>
    <t>spotlight</t>
  </si>
  <si>
    <t>Spotlight</t>
  </si>
  <si>
    <t>A powerful light focused so as to illuminate a small area.</t>
  </si>
  <si>
    <t>stripLight</t>
  </si>
  <si>
    <t>Strip Light</t>
  </si>
  <si>
    <t>A light whose source has a linear form generally horizontal, which can reach a length of several metres.</t>
  </si>
  <si>
    <t>subsidiaryLight</t>
  </si>
  <si>
    <t>Subsidiary Light</t>
  </si>
  <si>
    <t>A light placed on or near the support of a main light and having a special use in navigation.</t>
  </si>
  <si>
    <t>upper</t>
  </si>
  <si>
    <t>Upper</t>
  </si>
  <si>
    <t>In a leading lights, the light is in the upper position on the lead as viewed from seaward.</t>
  </si>
  <si>
    <t>verticallyDisposed</t>
  </si>
  <si>
    <t>Vertically Disposed</t>
  </si>
  <si>
    <t>A group of lights of identical character and almost identical position, that are disposed vertically.</t>
  </si>
  <si>
    <t>articulatedBeacon</t>
  </si>
  <si>
    <t>Articulated Beacon</t>
  </si>
  <si>
    <t>A beacon fixed to a vertical pipe structure that oscillates around a universal coupling connected to a sinker.</t>
  </si>
  <si>
    <t>The beacon is kept upright by the buoyancy of a submerged floating chamber and is primarily designed to mark narrow channels with greater precision than conventional buoys.</t>
  </si>
  <si>
    <t>Articulated Light, Buoyant Beacon, Pivoted Beacon</t>
  </si>
  <si>
    <t>beaconTower</t>
  </si>
  <si>
    <t>Beacon Tower</t>
  </si>
  <si>
    <t>A solid structure of the order of 10 metres in height used as a navigational aid.</t>
  </si>
  <si>
    <t>cairn</t>
  </si>
  <si>
    <t>A mound of stones, usually conical or pyramidal, raised as a landmark or to designate a point of importance in surveying.</t>
  </si>
  <si>
    <t>latticeBeacon</t>
  </si>
  <si>
    <t>Lattice Beacon</t>
  </si>
  <si>
    <t>A structure consisting of strips of metal or wood crossed or interlaced to form a structure to serve as an aid to navigation or as a support for an aid to navigation.</t>
  </si>
  <si>
    <t>pileBeacon</t>
  </si>
  <si>
    <t>Pile Beacon</t>
  </si>
  <si>
    <t>A long pile (for example: a heavy timber or section of steel, wood, or concrete) forced into the earth that may serve as an aid to navigation or as a support for an aid to navigation.</t>
  </si>
  <si>
    <t>A topmark may or may not be present.</t>
  </si>
  <si>
    <t>withy</t>
  </si>
  <si>
    <t>Withy</t>
  </si>
  <si>
    <t>A tree without roots stuck or spoiled into the bottom of the sea to serve as a navigational aid.</t>
  </si>
  <si>
    <t>A beacon indicating an aeronautical anchorage (for example: for seaplanes).</t>
  </si>
  <si>
    <t>A beacon indicating an anchorage.</t>
  </si>
  <si>
    <t>A beacon indicating an area where anchoring is prohibited.</t>
  </si>
  <si>
    <t>A beacon indicating the existence or the extent of an artificial reef.</t>
  </si>
  <si>
    <t>A beacon of relevance to barges.</t>
  </si>
  <si>
    <t>A beacon indicating that berthing is allowed.</t>
  </si>
  <si>
    <t>A beacon indicating that berthing is prohibited.</t>
  </si>
  <si>
    <t>A distinctive lateral beacon used to indicate both the point at which a channel divides and the channel that has been designated as preferred channel.</t>
  </si>
  <si>
    <t>A beacon indicating the position of submarine cables or the point at which they run on to the land.</t>
  </si>
  <si>
    <t>A beacon indicating the gradient of the slope of a dredge channel edge.</t>
  </si>
  <si>
    <t>A beacon indicating a clearing line.</t>
  </si>
  <si>
    <t>A beacon placed at a favourable location to assist a vessel to adjust its compass or swing ship.</t>
  </si>
  <si>
    <t>A beacon indicating the location at which a restriction or requirement exists.</t>
  </si>
  <si>
    <t>A beacon indicating a degaussing range.</t>
  </si>
  <si>
    <t>A beacon indicating that diving may take place or be taking place in the vicinity.</t>
  </si>
  <si>
    <t>A beacon used to indicate that the best navigable water is to be found in the quadrant bounded by the two bearings NE and SE taken from the position of the beacon.</t>
  </si>
  <si>
    <t>A beacon indicating that entry is prohibited.</t>
  </si>
  <si>
    <t>A beacon indicating an area shown on charts within which naval, military or aerial exercises are carried out.</t>
  </si>
  <si>
    <t>A beacon indicating an area set apart for anchored ships discharging or receiving explosives.</t>
  </si>
  <si>
    <t>A beacon intended to be the first to be seen during an approach from the open sea to a fairway.</t>
  </si>
  <si>
    <t>A beacon indicating that a ferry route crosses the ship route.</t>
  </si>
  <si>
    <t>A beacon indicating a firing danger area.</t>
  </si>
  <si>
    <t>A beacon indicating the limits of a fish trap area.</t>
  </si>
  <si>
    <t>A beacon indicating a foul ground.</t>
  </si>
  <si>
    <t>A beacon indicating that special caution must be exercised in the vicinity of the beacon.</t>
  </si>
  <si>
    <t>A beacon indicating a location at which a GPS position has been accurately determined.</t>
  </si>
  <si>
    <t>A beacon indicating an area where helicopters may land.</t>
  </si>
  <si>
    <t>A navigation beacon used alone to indicate a danger (for example: a reef or shoal).</t>
  </si>
  <si>
    <t>A beacon marking the inner end of a middle ground (a shallow area in otherwise deeper water with channels on both sides of it).</t>
  </si>
  <si>
    <t>The outermost beacon marking the entrance to a channel or harbour.</t>
  </si>
  <si>
    <t>A beacon identifying a leading line for vessels when they are in transit.</t>
  </si>
  <si>
    <t>A beacon indicating the existence of a fish, mussel, oyster or pearl farm and/or culture.</t>
  </si>
  <si>
    <t>A beacon indicating the position of a ship which is used as a target during military exercises.</t>
  </si>
  <si>
    <t>maximumVesselsDraught</t>
  </si>
  <si>
    <t>Maximum Vessel's Draught</t>
  </si>
  <si>
    <t>A beacon indicating the maximum draft of vessels permitted.</t>
  </si>
  <si>
    <t>A beacon forming part of a transit indicating one end of a measured distance.</t>
  </si>
  <si>
    <t>A beacon identifying the middle of a channel.</t>
  </si>
  <si>
    <t>A beacon indicating a mooring or moorings.</t>
  </si>
  <si>
    <t>A beacon used to indicate that the best navigable water is to be found in the quadrant bounded by the two bearings NW and NE taken from the position of the beacon.</t>
  </si>
  <si>
    <t>A beacon providing information to the mariner.</t>
  </si>
  <si>
    <t>A beacon indicating an obstruction to maritime navigation.</t>
  </si>
  <si>
    <t>A beacon indicating the position of an outfall or the point at which it leaves the land.</t>
  </si>
  <si>
    <t>A beacon indicating an overhead power cable.</t>
  </si>
  <si>
    <t>A beacon indicating that overtaking is prohibited.</t>
  </si>
  <si>
    <t>A beacon indicating the position of submarine pipelines or the point at which they run on to the land.</t>
  </si>
  <si>
    <t>A beacon identifying the port hand edge of a channel, according to the locally administered direction of beaconage in the IALA lateral system.</t>
  </si>
  <si>
    <t>A beacon indicating that the preferred channel in a lateral system of beaconage is to port.</t>
  </si>
  <si>
    <t>A beacon indicating that the preferred channel in a lateral system of beaconage is to starboard.</t>
  </si>
  <si>
    <t>A privately maintained beacon.</t>
  </si>
  <si>
    <t>A beacon indicating a quarantine anchorage.</t>
  </si>
  <si>
    <t>A beacon used to record data for scientific purposes.</t>
  </si>
  <si>
    <t>A beacon indicating a recreation zone.</t>
  </si>
  <si>
    <t>A beacon indicating that vessels must not generate excessive wake.</t>
  </si>
  <si>
    <t>A beacon providing or indicating a place of safety.</t>
  </si>
  <si>
    <t>A beacon indicating the minimum horizontal space available for passage.</t>
  </si>
  <si>
    <t>restrictedVerClearance</t>
  </si>
  <si>
    <t>A beacon indicating the minimum vertical space available for passage.</t>
  </si>
  <si>
    <t>A beacon in the IALA Maritime Buoyage System indicating that there is navigable water around its position.</t>
  </si>
  <si>
    <t>A beacon indicating an area where seaplanes land.</t>
  </si>
  <si>
    <t>A beacon indicating that a ship should sound its siren or horn.</t>
  </si>
  <si>
    <t>A beacon used to indicate that the best navigable water is to be found in the quadrant bounded by the two bearings SE and SW taken from the position of the beacon.</t>
  </si>
  <si>
    <t>A beacon primarily used to indicate an area or feature referred to in nautical documents (for example: chart, Sailing Directions or Notices to Mariners) rather than to assist navigation.</t>
  </si>
  <si>
    <t>A beacon indicating that a speed limit applies.</t>
  </si>
  <si>
    <t>A beacon indicating the limit of a spoil ground.</t>
  </si>
  <si>
    <t>A beacon identifying the starboard hand edge of a channel, according to the locally administered direction of beaconage in the IALA lateral system.</t>
  </si>
  <si>
    <t>A beacon indicating the place where the bow of a ship must stop when traffic lights show red.</t>
  </si>
  <si>
    <t>A beacon warning of strong currents.</t>
  </si>
  <si>
    <t>A beacon indicating an area in which people may swim and therefore vessel movement may be restricted.</t>
  </si>
  <si>
    <t>A beacon distinctively marked to aid in its identification (for example: as a weapons target, or for identification on a photograph).</t>
  </si>
  <si>
    <t>A beacon indicating the position of a submarine telegraph cable.</t>
  </si>
  <si>
    <t>A beacon indicating the presence of a telephone.</t>
  </si>
  <si>
    <t>A beacon indicating a mooring point within a system for the fore and aft mooring of several boats in rows.</t>
  </si>
  <si>
    <t>A beacon indicating a traffic separation scheme.</t>
  </si>
  <si>
    <t>A beacon indicating a one way route.</t>
  </si>
  <si>
    <t>A beacon so located that lines to it can be used for the movement of ships.</t>
  </si>
  <si>
    <t>A beacon equipped with instruments for measuring waves (for example: their height and/or period).</t>
  </si>
  <si>
    <t>A beacon indicating a borehole that produces or is capable of producing oil or natural gas.</t>
  </si>
  <si>
    <t>A beacon used to indicate that the best navigable water is to be found in the quadrant bounded by the two bearings NW and SW taken from the position of the beacon.</t>
  </si>
  <si>
    <t>A beacon indicating that work (generally construction) is in progress.</t>
  </si>
  <si>
    <t>A beacon indicating the location of a wreck.</t>
  </si>
  <si>
    <t>A beacon installed for use by yachtsmen.</t>
  </si>
  <si>
    <t>directionalLight</t>
  </si>
  <si>
    <t>Directional Light</t>
  </si>
  <si>
    <t>A directional light is associated with a leading line or a clearing line.</t>
  </si>
  <si>
    <t>directionalRadiobeacon</t>
  </si>
  <si>
    <t>Directional Radiobeacon</t>
  </si>
  <si>
    <t>A directional radiobeacon is associated with a leading line or a clearing line.</t>
  </si>
  <si>
    <t>leadingRadioTranspondBeac</t>
  </si>
  <si>
    <t>Leading Radio Transponder Beacon</t>
  </si>
  <si>
    <t>A leading radio transponder beacon (RACON) is associated with a leading line or a clearing line.</t>
  </si>
  <si>
    <t>measuredDistanceMarkers</t>
  </si>
  <si>
    <t>Measured Distance Markers</t>
  </si>
  <si>
    <t>Multiple measured distance markers are associated with a leading line or a clearing line.</t>
  </si>
  <si>
    <t>A Moiré effect light is associated with a leading line or a clearing line.</t>
  </si>
  <si>
    <t>oneOtherThanDirectionLight</t>
  </si>
  <si>
    <t>One other than Directional Light</t>
  </si>
  <si>
    <t>One feature other than a directional light is associated with a leading line or a clearing line.</t>
  </si>
  <si>
    <t>twoBeaconsOrMore</t>
  </si>
  <si>
    <t>Two Beacons or more</t>
  </si>
  <si>
    <t>Two or more beacons are associated with a leading line or a clearing line.</t>
  </si>
  <si>
    <t>twoLightsOrMore</t>
  </si>
  <si>
    <t>Two Lights or more</t>
  </si>
  <si>
    <t>Two or more lights are associated with a leading line or a clearing line.</t>
  </si>
  <si>
    <t>twoNotTwoLightsOrBeacons</t>
  </si>
  <si>
    <t>Two other than Two Lights or Beacons</t>
  </si>
  <si>
    <t>Two or more features, other than two lights or two beacons, are associated with a leading line or a clearing line.</t>
  </si>
  <si>
    <t>An area within which anchoring is not permitted.</t>
  </si>
  <si>
    <t>anchoringRestricted</t>
  </si>
  <si>
    <t>Anchoring Restricted</t>
  </si>
  <si>
    <t>A specified area designated by appropriate authority, within which anchoring is restricted in accordance with certain specified conditions.</t>
  </si>
  <si>
    <t>artifactRemovalProhib</t>
  </si>
  <si>
    <t>Artifact Removal Prohibited</t>
  </si>
  <si>
    <t>An area within which the removal of historical artifacts is prohibited.</t>
  </si>
  <si>
    <t>avoidanceArea</t>
  </si>
  <si>
    <t>Avoidance Area</t>
  </si>
  <si>
    <t>An area designated by the IMO to be avoided, defined as a routeing measure.</t>
  </si>
  <si>
    <t>cargoTranshipmentProhib</t>
  </si>
  <si>
    <t>Cargo Transshipment Prohibited</t>
  </si>
  <si>
    <t>An area within which cargo transshipment (lightering) is prohibited.</t>
  </si>
  <si>
    <t>constructionProhibited</t>
  </si>
  <si>
    <t>Construction Prohibited</t>
  </si>
  <si>
    <t>An area within which the erection of permanent or temporary fixed structures or artificial islands is prohibited.</t>
  </si>
  <si>
    <t>dischargingProhibited</t>
  </si>
  <si>
    <t>Discharging Prohibited</t>
  </si>
  <si>
    <t>An area within which discharging or dumping is prohibited.</t>
  </si>
  <si>
    <t>dischargingRestricted</t>
  </si>
  <si>
    <t>Discharging Restricted</t>
  </si>
  <si>
    <t>A specified area designated by an appropriate authority, within which discharging or dumping is restricted in accordance with specified conditions.</t>
  </si>
  <si>
    <t>divingProhibited</t>
  </si>
  <si>
    <t>Diving Prohibited</t>
  </si>
  <si>
    <t>An area within which diving is not permitted.</t>
  </si>
  <si>
    <t>divingRestricted</t>
  </si>
  <si>
    <t>Diving Restricted</t>
  </si>
  <si>
    <t>A specified area designated by appropriate authority, within which diving is restricted in accordance with certain specified conditions.</t>
  </si>
  <si>
    <t>draggingProhibited</t>
  </si>
  <si>
    <t>Dragging Prohibited</t>
  </si>
  <si>
    <t>An area within which the dragging of anything along the bottom (for example: bottom trawling) is prohibited.</t>
  </si>
  <si>
    <t>dredgingProhibited</t>
  </si>
  <si>
    <t>Dredging Prohibited</t>
  </si>
  <si>
    <t>An area within which dredging is not permitted.</t>
  </si>
  <si>
    <t>dredgingRestricted</t>
  </si>
  <si>
    <t>Dredging Restricted</t>
  </si>
  <si>
    <t>A specified area designated by appropriate authority, within which dredging is restricted in accordance with certain specified conditions.</t>
  </si>
  <si>
    <t>drillingProhibited</t>
  </si>
  <si>
    <t>Drilling Prohibited</t>
  </si>
  <si>
    <t>An area within which excavating a hole on the sea-bottom with a drill is prohibited.</t>
  </si>
  <si>
    <t>drillingRestricted</t>
  </si>
  <si>
    <t>Drilling Restricted</t>
  </si>
  <si>
    <t>A specified area designated by an appropriate authority, within which excavating a hole on the sea-bottom with a drill is restricted in accordance with certain specified conditions.</t>
  </si>
  <si>
    <t>An area within which navigation and/or anchoring is prohibited.</t>
  </si>
  <si>
    <t>entryRestricted</t>
  </si>
  <si>
    <t>Entry Restricted</t>
  </si>
  <si>
    <t>A specified area designated by appropriate authority, within which navigation is restricted in accordance with certain specified conditions.</t>
  </si>
  <si>
    <t>exploreDevelopProhibited</t>
  </si>
  <si>
    <t>Exploration and/or Development Prohibited</t>
  </si>
  <si>
    <t>An area within which industrial and/or mineral exploration and/or development are prohibited.</t>
  </si>
  <si>
    <t>exploreDevelopRestricted</t>
  </si>
  <si>
    <t>Exploration and/or Development Restricted</t>
  </si>
  <si>
    <t>A specified area designated by an appropriate authority, within which industrial and/or mineral exploration and/or development is restricted in accordance with certain specified conditions.</t>
  </si>
  <si>
    <t>fishingProhibited</t>
  </si>
  <si>
    <t>Fishing Prohibited</t>
  </si>
  <si>
    <t>An area within which fishing is not permitted.</t>
  </si>
  <si>
    <t>fishingRestricted</t>
  </si>
  <si>
    <t>Fishing Restricted</t>
  </si>
  <si>
    <t>A specified area designated by appropriate authority, within which fishing is restricted in accordance with certain specified conditions.</t>
  </si>
  <si>
    <t>landingProhibited</t>
  </si>
  <si>
    <t>Landing Prohibited</t>
  </si>
  <si>
    <t>An area within which landing is prohibited.</t>
  </si>
  <si>
    <t>limitedSpeedArea</t>
  </si>
  <si>
    <t>Limited Speed Area</t>
  </si>
  <si>
    <t>An area within which speed is restricted (a speed limit applies).</t>
  </si>
  <si>
    <t>navigationalAidSafetyZone</t>
  </si>
  <si>
    <t>Navigational Aid Safety Zone</t>
  </si>
  <si>
    <t>An area around a navigational aid within which navigation and/or anchoring is prohibited.</t>
  </si>
  <si>
    <t>offshoreSafetyZone</t>
  </si>
  <si>
    <t>Offshore Safety Zone</t>
  </si>
  <si>
    <t>The area around an offshore installation within which vessels are prohibited from entering without permission; special regulations protect installations within a safety zone and vessels of all nationalities are required to respect the zone.</t>
  </si>
  <si>
    <t>reducedWakeArea</t>
  </si>
  <si>
    <t>Reduced Wake Area</t>
  </si>
  <si>
    <t>An area where vessels must not generate excessive wake.</t>
  </si>
  <si>
    <t>Mariners must adjust the speed of their vessels to reduce the wave or wash which may cause erosion or disturb moored vessels.</t>
  </si>
  <si>
    <t>shippingProhibited</t>
  </si>
  <si>
    <t>Shipping Prohibited</t>
  </si>
  <si>
    <t>An area within where ships are prohibited to navigate and/or anchor.</t>
  </si>
  <si>
    <t>Usually no restriction is imposed for smaller vessels.</t>
  </si>
  <si>
    <t>stoppingProhibited</t>
  </si>
  <si>
    <t>Stopping Prohibited</t>
  </si>
  <si>
    <t>An area within which a vessel is prohibited from stopping.</t>
  </si>
  <si>
    <t>trawlingProhibited</t>
  </si>
  <si>
    <t>Trawling Prohibited</t>
  </si>
  <si>
    <t>An area within which trawling is not permitted.</t>
  </si>
  <si>
    <t>trawlingRestricted</t>
  </si>
  <si>
    <t>Trawling Restricted</t>
  </si>
  <si>
    <t>A specified area designated by appropriate authority, within which trawling is restricted in accordance with certain specified conditions.</t>
  </si>
  <si>
    <t>automatedIdentSystem</t>
  </si>
  <si>
    <t>Automated Identification System (AIS)</t>
  </si>
  <si>
    <t>A system used by ships and vessel traffic systems (VTS) principally for identification of vessels at sea and providing a means for ships to exchange ID, position, course, speed and other ship data with all other nearby ships and VTS stations.</t>
  </si>
  <si>
    <t>It may be shore-based, either marking the location of an aid to navigation (normally reporting every three minutes and serving in a manner similar to a RACON) or it may provide text messages, time synchronization, meteorological or hydrological information, navigation information, and/or the position of other vessels (normally reporting every ten seconds).</t>
  </si>
  <si>
    <t>circularRadiobeacon</t>
  </si>
  <si>
    <t>Circular Radiobeacon</t>
  </si>
  <si>
    <t>A radio station which need not necessarily be manned, the emissions of which, radiated around the horizon, enable its bearing to be determined by means of the radio direction finder of a ship.</t>
  </si>
  <si>
    <t>A special type of radiobeacon station the emissions of which are intended to provide a definite track for guidance.</t>
  </si>
  <si>
    <t>loranC</t>
  </si>
  <si>
    <t>Long Range Air Navigation System (LORAN) C</t>
  </si>
  <si>
    <t>A shore-based radio navigation system using low frequency radio transmitters that may be used by ships or aircraft to determine their position based on the time interval between radio signals received from three or more stations.</t>
  </si>
  <si>
    <t>It operates in the low frequency 90 to 110 kHz band. LORAN use is in deep decline, with GPS being the primary replacement. The Russian counterpart of LORAN is known as 'CHAYKA'.</t>
  </si>
  <si>
    <t>qtgStation</t>
  </si>
  <si>
    <t>QTG Station</t>
  </si>
  <si>
    <t>A coastal radio station that is prepared to provide QTG service (to transmit upon request from a vessel a radio signal, the bearing of which can be taken by that vessel).</t>
  </si>
  <si>
    <t>The international system of Q-signals defined a series of three-character abbreviations wherein 'QTG' indicated a request for a '1 minute call signal for radio compass bearings'.</t>
  </si>
  <si>
    <t>radarMarker</t>
  </si>
  <si>
    <t>Radar Marker (RAMARK)</t>
  </si>
  <si>
    <t>A wide-band beacon that transmits either continuously or periodically on the radar bands and is used to mark maritime navigational hazards.</t>
  </si>
  <si>
    <t>The transmission forms a line of Morse characters on a plan position indicator (PPI) radar display that radiates from the centre of the display to its edge. Periodic transmissions every few seconds are often used so that important radar targets behind the RAMARK beacon are not masked by the Morse characters. RAMARK beacons are less commonly used than RACON beacons which give the location as well as the bearing of the hazard and clutter the radar display less.</t>
  </si>
  <si>
    <t>radarResponderBeacon</t>
  </si>
  <si>
    <t>Radar Responder Beacon (RACON)</t>
  </si>
  <si>
    <t>A type of radar transponder commonly used to mark maritime navigational hazards.</t>
  </si>
  <si>
    <t>When a RACON receives a radar pulse, it responds with a signal on the same frequency that leaves an image on the plan position indicator (PPI) radar display that radiates from the centre of the display to its edge. This takes the form of a short line of dots and dashes forming a Morse character radiating away from the location of the beacon, the length of the line usually corresponding to the equivalent of a few nautical miles on the display.</t>
  </si>
  <si>
    <t>radioDirectFindStation</t>
  </si>
  <si>
    <t>Radio Direction Finding Station</t>
  </si>
  <si>
    <t>A radio station intended to determine only the direction of other stations by means of transmission from the latter.</t>
  </si>
  <si>
    <t>rotatingPatRadiobeacon</t>
  </si>
  <si>
    <t>Rotating Pattern Radiobeacon</t>
  </si>
  <si>
    <t>A special type of radiobeacon station emitting a beam of waves to which a uniform turning movement is given, the bearing of the station being determined by means of an ordinary listening receiver and a stop watch.</t>
  </si>
  <si>
    <t>Also referred to as a rotating loop radiobeacon.</t>
  </si>
  <si>
    <t>Rotating Loop Radiobeacon</t>
  </si>
  <si>
    <t>berthingControlStation</t>
  </si>
  <si>
    <t>Berthing Control Station</t>
  </si>
  <si>
    <t xml:space="preserve">A signal station for the control of vessels when berthing. </t>
  </si>
  <si>
    <t>bridgeSignalStation</t>
  </si>
  <si>
    <t>Bridge Signal Station</t>
  </si>
  <si>
    <t>A signal station for the control of vessels wishing to pass under a bridge.</t>
  </si>
  <si>
    <t>cableWarningStation</t>
  </si>
  <si>
    <t>Cable Warning Station</t>
  </si>
  <si>
    <t xml:space="preserve">A station that displays or emits a signal or message warning of the presence of a cable. </t>
  </si>
  <si>
    <t>clockStation</t>
  </si>
  <si>
    <t>Clock Station</t>
  </si>
  <si>
    <t>A station that contains a digital or analog visual time signal.</t>
  </si>
  <si>
    <t>coastGuardStation</t>
  </si>
  <si>
    <t>Coast Guard Station</t>
  </si>
  <si>
    <t>Watch keeping stations at which a watch is kept either continuously, or at certain times only.</t>
  </si>
  <si>
    <t>dangerWarningStation</t>
  </si>
  <si>
    <t>Danger Warning Station</t>
  </si>
  <si>
    <t xml:space="preserve">A station that displays or emits a signal or message warning of the presence of a danger to navigation. </t>
  </si>
  <si>
    <t>distressWarningStation</t>
  </si>
  <si>
    <t>Distress Warning Station</t>
  </si>
  <si>
    <t xml:space="preserve">A station that may receive or transmit distress signals. </t>
  </si>
  <si>
    <t>divingWarningStation</t>
  </si>
  <si>
    <t>Diving Warning Station</t>
  </si>
  <si>
    <t>A station that displays or emits a signal or message warning of diving activity.</t>
  </si>
  <si>
    <t>dockControlStation</t>
  </si>
  <si>
    <t>Dock Control Station</t>
  </si>
  <si>
    <t xml:space="preserve">A signal station for the control of vessels entering or leaving a dock. </t>
  </si>
  <si>
    <t>dredgingOperationsStation</t>
  </si>
  <si>
    <t>Dredging Operations Station</t>
  </si>
  <si>
    <t>A signal station indicating when dredging is in progress.</t>
  </si>
  <si>
    <t>fireboatStation</t>
  </si>
  <si>
    <t>Fireboat Station</t>
  </si>
  <si>
    <t>The office or place where martime firefighting services may be obtained.</t>
  </si>
  <si>
    <t>floodBarrageControlStation</t>
  </si>
  <si>
    <t>Flood Barrage Control Station</t>
  </si>
  <si>
    <t xml:space="preserve">A signal station for the control of vessels wishing to pass through a flood control barrage. </t>
  </si>
  <si>
    <t>fogSignal</t>
  </si>
  <si>
    <t>iceSignalStation</t>
  </si>
  <si>
    <t>Ice Signal Station</t>
  </si>
  <si>
    <t>Communicates a signal or message conveying information about ice conditions.</t>
  </si>
  <si>
    <t>internatPortSigStation</t>
  </si>
  <si>
    <t>International Port Signals Station</t>
  </si>
  <si>
    <t>A signal station displaying International Port Traffic signals.</t>
  </si>
  <si>
    <t>lockSignalStation</t>
  </si>
  <si>
    <t>Lock Signal Station</t>
  </si>
  <si>
    <t>A signal station for the control of vessels entering or leaving a lock.</t>
  </si>
  <si>
    <t>maritimeObstWarnStation</t>
  </si>
  <si>
    <t>Maritime Obstruction Warning Station</t>
  </si>
  <si>
    <t xml:space="preserve">A station that displays or emits a signal or message warning of the presence of a maritime obstruction. </t>
  </si>
  <si>
    <t>militaryPracticeSigStation</t>
  </si>
  <si>
    <t>Military Practice Signal Station</t>
  </si>
  <si>
    <t>Communicates a signal or message warning of activity in a military practice area.</t>
  </si>
  <si>
    <t>pilotLookoutStation</t>
  </si>
  <si>
    <t>Pilot Lookout Station</t>
  </si>
  <si>
    <t>A distinctive structure on shore from which personnel keep watch upon events at sea or along the coast.</t>
  </si>
  <si>
    <t>The office or headquarters where the services of a pilot may be obtained.</t>
  </si>
  <si>
    <t>portControlStation</t>
  </si>
  <si>
    <t>Port Control Station</t>
  </si>
  <si>
    <t>A signal station for the control of vessels within a port.</t>
  </si>
  <si>
    <t>portEntryDepartControl</t>
  </si>
  <si>
    <t>Port Entry and Departure Control Station</t>
  </si>
  <si>
    <t xml:space="preserve">A signal station for the control of vessels entering or leaving a port. </t>
  </si>
  <si>
    <t>radarSurveillanceStation</t>
  </si>
  <si>
    <t>Radar Surveillance Station</t>
  </si>
  <si>
    <t>A radar station established for traffic surveillance.</t>
  </si>
  <si>
    <t>rescueStation</t>
  </si>
  <si>
    <t>Rescue Station</t>
  </si>
  <si>
    <t>A place at which life saving equipment is held.</t>
  </si>
  <si>
    <t>semaphoreStation</t>
  </si>
  <si>
    <t>Semaphore Station</t>
  </si>
  <si>
    <t>A signal station for conveying information at a distance by means of visual signals with hand-held flags, rods, disks, paddles, or occasionally bare or gloved hands.</t>
  </si>
  <si>
    <t>signalMast</t>
  </si>
  <si>
    <t>Signal Mast</t>
  </si>
  <si>
    <t>A mast from which pennants are flown (for example: from its cross yard and gaff) to signal messages to nearby vessels (for example: in a harbour).</t>
  </si>
  <si>
    <t>For example, used to signal regularly updated meteorological data.</t>
  </si>
  <si>
    <t>signalStation</t>
  </si>
  <si>
    <t>Signal Station</t>
  </si>
  <si>
    <t>Signals of an unspecified nature are made to ships at sea.</t>
  </si>
  <si>
    <t>stormSignalStation</t>
  </si>
  <si>
    <t>Storm Signal Station</t>
  </si>
  <si>
    <t>Communicates a signal or message conveying information about storm conditions.</t>
  </si>
  <si>
    <t>tidalStreamStation</t>
  </si>
  <si>
    <t>Tidal Stream Station</t>
  </si>
  <si>
    <t>Communicates a signal or message conveying information on condition of tidal currents in the area.</t>
  </si>
  <si>
    <t>tideScaleStation</t>
  </si>
  <si>
    <t>Tide Scale Station</t>
  </si>
  <si>
    <t>A station that has a visual scale which directly shows the height of the water above chart datum or a local datum.</t>
  </si>
  <si>
    <t>tideStation</t>
  </si>
  <si>
    <t>Tide Station</t>
  </si>
  <si>
    <t>Communicates a signal or message conveying information on tidal conditions in the area.</t>
  </si>
  <si>
    <t>timeBallStation</t>
  </si>
  <si>
    <t>Time Ball Station</t>
  </si>
  <si>
    <t>Communicates a visual time signal in form of the position and/or movement of a ball.</t>
  </si>
  <si>
    <t>timeSignalStation</t>
  </si>
  <si>
    <t>Time Signal Station</t>
  </si>
  <si>
    <t>Communicates an accurate signal marking a specified time or time interval.</t>
  </si>
  <si>
    <t>Used primarily for determining errors of timepieces.</t>
  </si>
  <si>
    <t>trafficSignalStation</t>
  </si>
  <si>
    <t>Traffic Signal Station</t>
  </si>
  <si>
    <t>A signal station displaying traffic signals.</t>
  </si>
  <si>
    <t>unmannedOceanoStation</t>
  </si>
  <si>
    <t>Unmanned Oceanographic Station</t>
  </si>
  <si>
    <t>An unmanned station that is equipped for observation and study of oceanographic phenomena.</t>
  </si>
  <si>
    <t>warningSignalStation</t>
  </si>
  <si>
    <t>Warning Signal Station</t>
  </si>
  <si>
    <t>Warning signals are made to ships at sea.</t>
  </si>
  <si>
    <t>waterPoliceStation</t>
  </si>
  <si>
    <t>Water-police Station</t>
  </si>
  <si>
    <t>The headquarters of a local water-police force.</t>
  </si>
  <si>
    <t>weatherSignalStation</t>
  </si>
  <si>
    <t>Weather Signal Station</t>
  </si>
  <si>
    <t>Displays a visual signal to indicate a weather forecast.</t>
  </si>
  <si>
    <t>boundary</t>
  </si>
  <si>
    <t>Boundary</t>
  </si>
  <si>
    <t>The outer limit of a traffic lane part or a roundabout.</t>
  </si>
  <si>
    <t>A defined area where traffic lanes cross.</t>
  </si>
  <si>
    <t>inboundLane</t>
  </si>
  <si>
    <t>Inbound Lane</t>
  </si>
  <si>
    <t>An area within defined limits in which one-way traffic flow is established in the inbound direction.</t>
  </si>
  <si>
    <t>The inbound direction is determined to be the direction of the flood tide, or where no tides are experienced the direction into a harbour or river. To avoid confusion use traffic separation scheme lane part.</t>
  </si>
  <si>
    <t>inshoreTrafficZone</t>
  </si>
  <si>
    <t>Inshore Traffic Zone</t>
  </si>
  <si>
    <t>A routeing measure comprising a designated area between the landward boundary of a traffic separation scheme and the adjacent coast, to be used in accordance with the provisions of the International Regulations for Preventing Collisions at Sea.</t>
  </si>
  <si>
    <t>lanePart</t>
  </si>
  <si>
    <t>Lane Part</t>
  </si>
  <si>
    <t>An area within defined limits in which one-way traffic flow is established and the direction of flow of traffic is uniform.</t>
  </si>
  <si>
    <t>line</t>
  </si>
  <si>
    <t>Line</t>
  </si>
  <si>
    <t>A line separating traffic lanes in which ships are travelling in opposite or nearly opposite directions; or separating traffic lanes designated for particular classes of ships proceeding in the same direction.</t>
  </si>
  <si>
    <t>outboundLane</t>
  </si>
  <si>
    <t>Outbound Lane</t>
  </si>
  <si>
    <t>An area within defined limits in which one-way traffic flow is established in the outbound direction.</t>
  </si>
  <si>
    <t>The outbound direction is determined to be the direction of the ebb tide, or where no tides are experienced the direction from a harbour or river. To avoid confusion use traffic separation scheme lane part.</t>
  </si>
  <si>
    <t>A point used to delineate the center of a roundabout or specific traffic separation scheme instructions.</t>
  </si>
  <si>
    <t>precautionaryArea</t>
  </si>
  <si>
    <t>Precautionary Area</t>
  </si>
  <si>
    <t>A routeing measure comprising an area within defined limits where ships must navigate with particular caution and within which the direction of traffic flow may be recommended.</t>
  </si>
  <si>
    <t>Often associated with the termination of a Traffic Separation Scheme (TSS).</t>
  </si>
  <si>
    <t>roundabout</t>
  </si>
  <si>
    <t>Roundabout</t>
  </si>
  <si>
    <t>An area within defined limits in which traffic moves in a counter-clockwise direction around a specified point or zone.</t>
  </si>
  <si>
    <t>separationZone</t>
  </si>
  <si>
    <t>Separation Zone</t>
  </si>
  <si>
    <t>A zone separating the lanes in which ships are proceeding in opposite or nearly opposite directions; or separating traffic lanes designated for particular classes of ships proceeding in the same direction.</t>
  </si>
  <si>
    <t>boneShapedFanMarker</t>
  </si>
  <si>
    <t>Bone-shaped Fan Marker</t>
  </si>
  <si>
    <t>A type of marker radio beacon, the emissions of which radiate in a vertical bone-shaped pattern for general use.</t>
  </si>
  <si>
    <t>The 'bone' shape refers to the radio signal emanating from the station, which protrudes an emission in the shape of a 1 nautical mile diameter tube from the surface to 300 metres (1000 feet) above ground level, and an emission in a sphere shape, beginning at 300 metres (1000 feet) above ground level, radiating across a 3 nautical mile diameter region. Bone-shaped markers are commonly used for timing approaches, as the emission is much smaller in diameter than the typical Z or Fan marker emission and thus is a much more accurate means of identifying the location of an aircraft on an approach than the other marker beacon types.</t>
  </si>
  <si>
    <t>fanMarker</t>
  </si>
  <si>
    <t>Fan Marker</t>
  </si>
  <si>
    <t>A type of marker radio beacon, the emissions of which radiate in a vertical fan-shaped pattern for general use.</t>
  </si>
  <si>
    <t>lowPoweredFanMarker</t>
  </si>
  <si>
    <t>Low Powered Fan Marker</t>
  </si>
  <si>
    <t>A type of marker radio beacon, the emissions of which radiate in a vertical fan-shaped pattern at a lower power than the fan marker, for low altitude use.</t>
  </si>
  <si>
    <t>A low power radio marker beacon is normally used as an ILS radio marker beacon.</t>
  </si>
  <si>
    <t>zMarker</t>
  </si>
  <si>
    <t>Z Marker</t>
  </si>
  <si>
    <t>A type of marker radio beacon, the emissions of which radiate in a vertical cone-shaped pattern.</t>
  </si>
  <si>
    <t>backcourse</t>
  </si>
  <si>
    <t>Backcourse</t>
  </si>
  <si>
    <t>A marker beacon used in conjunction with the backcourse of a localizer.</t>
  </si>
  <si>
    <t>Identification signals of marker beacons used in conjunction with the back course of a localizer shall be clearly distinguishable from the inner, middle and outer marker beacon identifications.</t>
  </si>
  <si>
    <t>inner</t>
  </si>
  <si>
    <t>Inner</t>
  </si>
  <si>
    <t>A marker beacon used with an ILS (CAT II) precision approach located between the middle marker and the end of the ILS runway.</t>
  </si>
  <si>
    <t>The signal is keyed at six dots per second on a 3000 Hz modulation frequency. The signal can be received both aurally and visually by compatible airborne equipment that it is at the designated decision height (DH), normally 100 feet above the touchdown zone elevation, on the ILS CAT II approach. It also marks progress during a CAT III approach.</t>
  </si>
  <si>
    <t>middle</t>
  </si>
  <si>
    <t>Middle</t>
  </si>
  <si>
    <t>A marker beacon that defines a point along the glideslope of an ILS normally located at or near the decision height of an ILS Category I approach.</t>
  </si>
  <si>
    <t>The signal is keyed to transmit alternate dots and dashes at the rate of 95 dot/dash combinations per minute on a 1300 Hz modulation frequency. The signal can be received aurally and visually by compatible airborne equipment. The middle marker should be located 1 050 metres (3 500 feet) plus or minus 150 metres (500 feet), from the landing threshold at the approach end of the runway and at not more than 75 metres (250 feet) from the extended centre line of the runway.</t>
  </si>
  <si>
    <t>outer</t>
  </si>
  <si>
    <t>Outer</t>
  </si>
  <si>
    <t>A marker beacon at or near the glideslope intercept altitude of an ILS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</si>
  <si>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</si>
  <si>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chemicalDependency</t>
  </si>
  <si>
    <t>Chemical Dependency</t>
  </si>
  <si>
    <t>A specialized hospital providing care to patients with alcoholism and/or other chemical dependencies on the basis of physicians' orders and approved nursing care plans.</t>
  </si>
  <si>
    <t>chronicDisease</t>
  </si>
  <si>
    <t>Chronic Disease</t>
  </si>
  <si>
    <t>A hospital providing long-term care to chronically ill patients on the basis of physicians' orders and approved nursing care plans.</t>
  </si>
  <si>
    <t>Chronic diseases persist at least three months and may last a lifetime.</t>
  </si>
  <si>
    <t>eyeEarNoseThroat</t>
  </si>
  <si>
    <t>Eye, Ear, Nose and Throat</t>
  </si>
  <si>
    <t>A specialized hospital providing care to patients with disorders of the eye, ear, nose and/or throat (EENT) in medical and surgical units on the basis of physicians' orders and approved nursing care plans.</t>
  </si>
  <si>
    <t>generalMedicalSurgical</t>
  </si>
  <si>
    <t>General Medical and Surgical</t>
  </si>
  <si>
    <t>A general hospital providing acute care to patients in medical and surgical units on the basis of physicians' orders and approved nursing care plans.</t>
  </si>
  <si>
    <t>intellectDisablementCare</t>
  </si>
  <si>
    <t>Intellectual Disablement Care</t>
  </si>
  <si>
    <t>A hospital providing long-term care to intellectually disabled patients on the basis of physicians' orders and approved nursing care plans.</t>
  </si>
  <si>
    <t>longTermAcuteCare</t>
  </si>
  <si>
    <t>Long-term Acute Care</t>
  </si>
  <si>
    <t>A long-term hospital providing specialized acute care to medically complex patients who are critically ill, have multisystem complications or failure, and require lengthy hospitalization in a facility offering specialized treatment programs and therapeutic intervention on a continuous basis.</t>
  </si>
  <si>
    <t>obstetricsGynecology</t>
  </si>
  <si>
    <t>Obstetrics and Gynecology</t>
  </si>
  <si>
    <t>A specialized hospital providing care to obstetric and/or gynecologic patients in medical and surgical units on the basis of physicians' orders and approved nursing care plans.</t>
  </si>
  <si>
    <t>Gynecology is the medical specialty concerned with the female reproductive system and associated ailments. Obstetrics is the medical specialty concerned with pregnancy, childbirth (labor and delivery) and the period immediately following. Many, but not all, obstetricians are gynecologists.</t>
  </si>
  <si>
    <t>orthopedics</t>
  </si>
  <si>
    <t>Orthopedics</t>
  </si>
  <si>
    <t>A specialized hospital providing care to patients with orthopedic disorders in medical and surgical units on the basis of physicians' orders and approved nursing care plans.</t>
  </si>
  <si>
    <t>Orthopedics is the medical specialty concerned with the prevention or correction of injuries or disorders of the skeletal system and associated muscles, joints, and ligaments.</t>
  </si>
  <si>
    <t>pedChronicDisease</t>
  </si>
  <si>
    <t>Pediatric Chronic Disease</t>
  </si>
  <si>
    <t>A hospital providing long-term care to chronically ill pediatric patients on the basis of physicians' orders and approved nursing care plans.</t>
  </si>
  <si>
    <t>pedEyeEarNoseThroat</t>
  </si>
  <si>
    <t>Pediatric Eye, Ear, Nose and Throat</t>
  </si>
  <si>
    <t>A specialized hospital providing care to pediatric patients with disorders of the eye, ear, nose and/or throat (EENT) in medical and surgical units on the basis of physicians' orders and approved nursing care plans.</t>
  </si>
  <si>
    <t>pedMedicalSurgical</t>
  </si>
  <si>
    <t>Pediatric Medical and Surgical</t>
  </si>
  <si>
    <t>A general hospital providing acute care to pediatric patients in medical and surgical units on the basis of physicians' orders and approved nursing care plans.</t>
  </si>
  <si>
    <t>While many normal hospitals can treat children adequately, pediatric specialists are often preferred when it comes to treating rare afflictions that may prove fatal or severely detrimental to young children, in some cases before birth. Many children's hospitals will continue to see children with rare illnesses into adulthood, allowing for a continuity of care.</t>
  </si>
  <si>
    <t>pedOrthopedic</t>
  </si>
  <si>
    <t>Pediatric Orthopedic</t>
  </si>
  <si>
    <t>A specialized hospital providing care to pediatric patients with orthopedic disorders in medical and surgical units on the basis of physicians' orders and approved nursing care plans.</t>
  </si>
  <si>
    <t>pedPsychiatric</t>
  </si>
  <si>
    <t>Pediatric Psychiatric</t>
  </si>
  <si>
    <t>A specialized hospital providing acute and/or long-term care to emotionally disturbed pediatric patients, including patients admitted for diagnosis and those admitted for treatment of psychiatric problems, on the basis of physicians' orders and approved nursing care plans.</t>
  </si>
  <si>
    <t>Long-term care may include intensive supervision of the chronically mentally ill, mentally disordered or other mentally incompetent persons.</t>
  </si>
  <si>
    <t>pedRehabilitation</t>
  </si>
  <si>
    <t>Pediatric Rehabilitation</t>
  </si>
  <si>
    <t>A specialized hospital providing health-related, social, or vocational services to disabled children and young adults to help them attain their maximum functional capacity.</t>
  </si>
  <si>
    <t>pedRespiratoryDisease</t>
  </si>
  <si>
    <t>Pediatric Respiratory Disease</t>
  </si>
  <si>
    <t>A specialized hospital providing care to pediatric patients with tuberculosis and/or other respiratory diseases in medical and surgical units on the basis of physicians' orders and approved nursing care plans.</t>
  </si>
  <si>
    <t>pedSpecialtyCare</t>
  </si>
  <si>
    <t>Pediatric Specialty Care</t>
  </si>
  <si>
    <t>A specialized hospital providing acute and/or long-term care to pediatric patients with a specific range of disorders in medical and surgical units on the basis of physicians' orders and approved nursing care plans.</t>
  </si>
  <si>
    <t>pedUnitWithinInstitution</t>
  </si>
  <si>
    <t>Pediatric Unit within Institution</t>
  </si>
  <si>
    <t>A limited general medical facility providing acute care to pediatric patients on the basis of physicians' orders and approved nursing care plans that is located within a non-medical institution.</t>
  </si>
  <si>
    <t>For example, a pediatric infirmary located within a prison.</t>
  </si>
  <si>
    <t>psychiatric</t>
  </si>
  <si>
    <t>Psychiatric</t>
  </si>
  <si>
    <t>A specialized hospital providing acute and/or long-term care to emotionally disturbed patients, including patients admitted for diagnosis and those admitted for treatment of psychiatric problems, on the basis of physicians' orders and approved nursing care plans.</t>
  </si>
  <si>
    <t>rehabilitation</t>
  </si>
  <si>
    <t>Rehabilitation</t>
  </si>
  <si>
    <t>A specialized hospital providing health-related, social, or vocational services to disabled persons to help them attain their maximum functional capacity.</t>
  </si>
  <si>
    <t>respiratoryDisease</t>
  </si>
  <si>
    <t>Respiratory Disease</t>
  </si>
  <si>
    <t>A specialized hospital providing care to patients with tuberculosis and/or other respiratory diseases in medical and surgical units on the basis of physicians' orders and approved nursing care plans.</t>
  </si>
  <si>
    <t>specialtyCare</t>
  </si>
  <si>
    <t>Specialty Care</t>
  </si>
  <si>
    <t>A specialized hospital providing acute and/or long-term care to patients with a specific range of disorders in medical and surgical units on the basis of physicians' orders and approved nursing care plans.</t>
  </si>
  <si>
    <t>unitWithinInstitution</t>
  </si>
  <si>
    <t>Unit within Institution</t>
  </si>
  <si>
    <t>A limited general medical facility providing acute care to patients on the basis of physicians' orders and approved nursing care plans that is located within a non-medical institution.</t>
  </si>
  <si>
    <t>For example, an infirmary located within a prison or a university.</t>
  </si>
  <si>
    <t>unitWithinInstIntDisabled</t>
  </si>
  <si>
    <t>Unit within Institution for the Intellectually Disabled</t>
  </si>
  <si>
    <t>A limited general medical facility providing acute care to patients on the basis of physicians' orders and approved nursing care plans that is located within an institution for the intellectually disabled.</t>
  </si>
  <si>
    <t>aeronauticalSON</t>
  </si>
  <si>
    <t>Aeronautical SON</t>
  </si>
  <si>
    <t>The memorandum records information specifically related to aeronautical Safety of Navigation (SON).</t>
  </si>
  <si>
    <t>For example, provides additional information concerning routes, aerodrome approach procedures, or NAVAIDS.</t>
  </si>
  <si>
    <t>The memorandum records information that is generally applicable.</t>
  </si>
  <si>
    <t>geographicNaming</t>
  </si>
  <si>
    <t>Geographic Naming</t>
  </si>
  <si>
    <t>The memorandum records information specifically related to geographic naming.</t>
  </si>
  <si>
    <t>For example, provides additional information concerning the scope of application and/or use of one or more geographic name(s).</t>
  </si>
  <si>
    <t>landSON</t>
  </si>
  <si>
    <t>Land SON</t>
  </si>
  <si>
    <t>The memorandum records information specifically related to land Safety of Navigation (SON).</t>
  </si>
  <si>
    <t>For example, provides additional information concerning favorable routes, road construction, or signage.</t>
  </si>
  <si>
    <t>maritimeSON</t>
  </si>
  <si>
    <t>Maritime SON</t>
  </si>
  <si>
    <t>The memorandum records information specifically related to maritime Safety of Navigation (SON).</t>
  </si>
  <si>
    <t>For example, provides additional information concerning obstructions, hazards, or NAVAIDS.</t>
  </si>
  <si>
    <t>chan500</t>
  </si>
  <si>
    <t>Channel 500</t>
  </si>
  <si>
    <t>The channel of '500' is assigned for the Microwave Landing System (MLS) by the responsible authority.</t>
  </si>
  <si>
    <t>chan501</t>
  </si>
  <si>
    <t>Channel 501</t>
  </si>
  <si>
    <t>The channel of '501' is assigned for the Microwave Landing System (MLS) by the responsible authority.</t>
  </si>
  <si>
    <t>chan502</t>
  </si>
  <si>
    <t>Channel 502</t>
  </si>
  <si>
    <t>The channel of '502' is assigned for the Microwave Landing System (MLS) by the responsible authority.</t>
  </si>
  <si>
    <t>chan503</t>
  </si>
  <si>
    <t>Channel 503</t>
  </si>
  <si>
    <t>The channel of '503' is assigned for the Microwave Landing System (MLS) by the responsible authority.</t>
  </si>
  <si>
    <t>chan504</t>
  </si>
  <si>
    <t>Channel 504</t>
  </si>
  <si>
    <t>The channel of '504' is assigned for the Microwave Landing System (MLS) by the responsible authority.</t>
  </si>
  <si>
    <t>chan505</t>
  </si>
  <si>
    <t>Channel 505</t>
  </si>
  <si>
    <t>The channel of '505' is assigned for the Microwave Landing System (MLS) by the responsible authority.</t>
  </si>
  <si>
    <t>chan506</t>
  </si>
  <si>
    <t>Channel 506</t>
  </si>
  <si>
    <t>The channel of '506' is assigned for the Microwave Landing System (MLS) by the responsible authority.</t>
  </si>
  <si>
    <t>chan507</t>
  </si>
  <si>
    <t>Channel 507</t>
  </si>
  <si>
    <t>The channel of '507' is assigned for the Microwave Landing System (MLS) by the responsible authority.</t>
  </si>
  <si>
    <t>chan508</t>
  </si>
  <si>
    <t>Channel 508</t>
  </si>
  <si>
    <t>The channel of '508' is assigned for the Microwave Landing System (MLS) by the responsible authority.</t>
  </si>
  <si>
    <t>chan509</t>
  </si>
  <si>
    <t>Channel 509</t>
  </si>
  <si>
    <t>The channel of '509' is assigned for the Microwave Landing System (MLS) by the responsible authority.</t>
  </si>
  <si>
    <t>chan510</t>
  </si>
  <si>
    <t>Channel 510</t>
  </si>
  <si>
    <t>The channel of '510' is assigned for the Microwave Landing System (MLS) by the responsible authority.</t>
  </si>
  <si>
    <t>chan511</t>
  </si>
  <si>
    <t>Channel 511</t>
  </si>
  <si>
    <t>The channel of '511' is assigned for the Microwave Landing System (MLS) by the responsible authority.</t>
  </si>
  <si>
    <t>chan512</t>
  </si>
  <si>
    <t>Channel 512</t>
  </si>
  <si>
    <t>The channel of '512' is assigned for the Microwave Landing System (MLS) by the responsible authority.</t>
  </si>
  <si>
    <t>chan513</t>
  </si>
  <si>
    <t>Channel 513</t>
  </si>
  <si>
    <t>The channel of '513' is assigned for the Microwave Landing System (MLS) by the responsible authority.</t>
  </si>
  <si>
    <t>chan514</t>
  </si>
  <si>
    <t>Channel 514</t>
  </si>
  <si>
    <t>The channel of '514' is assigned for the Microwave Landing System (MLS) by the responsible authority.</t>
  </si>
  <si>
    <t>chan515</t>
  </si>
  <si>
    <t>Channel 515</t>
  </si>
  <si>
    <t>The channel of '515' is assigned for the Microwave Landing System (MLS) by the responsible authority.</t>
  </si>
  <si>
    <t>chan516</t>
  </si>
  <si>
    <t>Channel 516</t>
  </si>
  <si>
    <t>The channel of '516' is assigned for the Microwave Landing System (MLS) by the responsible authority.</t>
  </si>
  <si>
    <t>chan517</t>
  </si>
  <si>
    <t>Channel 517</t>
  </si>
  <si>
    <t>The channel of '517' is assigned for the Microwave Landing System (MLS) by the responsible authority.</t>
  </si>
  <si>
    <t>chan518</t>
  </si>
  <si>
    <t>Channel 518</t>
  </si>
  <si>
    <t>The channel of '518' is assigned for the Microwave Landing System (MLS) by the responsible authority.</t>
  </si>
  <si>
    <t>chan519</t>
  </si>
  <si>
    <t>Channel 519</t>
  </si>
  <si>
    <t>The channel of '519' is assigned for the Microwave Landing System (MLS) by the responsible authority.</t>
  </si>
  <si>
    <t>chan520</t>
  </si>
  <si>
    <t>Channel 520</t>
  </si>
  <si>
    <t>The channel of '520' is assigned for the Microwave Landing System (MLS) by the responsible authority.</t>
  </si>
  <si>
    <t>chan521</t>
  </si>
  <si>
    <t>Channel 521</t>
  </si>
  <si>
    <t>The channel of '521' is assigned for the Microwave Landing System (MLS) by the responsible authority.</t>
  </si>
  <si>
    <t>chan522</t>
  </si>
  <si>
    <t>Channel 522</t>
  </si>
  <si>
    <t>The channel of '522' is assigned for the Microwave Landing System (MLS) by the responsible authority.</t>
  </si>
  <si>
    <t>chan523</t>
  </si>
  <si>
    <t>Channel 523</t>
  </si>
  <si>
    <t>The channel of '523' is assigned for the Microwave Landing System (MLS) by the responsible authority.</t>
  </si>
  <si>
    <t>chan524</t>
  </si>
  <si>
    <t>Channel 524</t>
  </si>
  <si>
    <t>The channel of '524' is assigned for the Microwave Landing System (MLS) by the responsible authority.</t>
  </si>
  <si>
    <t>chan525</t>
  </si>
  <si>
    <t>Channel 525</t>
  </si>
  <si>
    <t>The channel of '525' is assigned for the Microwave Landing System (MLS) by the responsible authority.</t>
  </si>
  <si>
    <t>chan526</t>
  </si>
  <si>
    <t>Channel 526</t>
  </si>
  <si>
    <t>The channel of '526' is assigned for the Microwave Landing System (MLS) by the responsible authority.</t>
  </si>
  <si>
    <t>chan527</t>
  </si>
  <si>
    <t>Channel 527</t>
  </si>
  <si>
    <t>The channel of '527' is assigned for the Microwave Landing System (MLS) by the responsible authority.</t>
  </si>
  <si>
    <t>chan528</t>
  </si>
  <si>
    <t>Channel 528</t>
  </si>
  <si>
    <t>The channel of '528' is assigned for the Microwave Landing System (MLS) by the responsible authority.</t>
  </si>
  <si>
    <t>chan529</t>
  </si>
  <si>
    <t>Channel 529</t>
  </si>
  <si>
    <t>The channel of '529' is assigned for the Microwave Landing System (MLS) by the responsible authority.</t>
  </si>
  <si>
    <t>chan530</t>
  </si>
  <si>
    <t>Channel 530</t>
  </si>
  <si>
    <t>The channel of '530' is assigned for the Microwave Landing System (MLS) by the responsible authority.</t>
  </si>
  <si>
    <t>chan531</t>
  </si>
  <si>
    <t>Channel 531</t>
  </si>
  <si>
    <t>The channel of '531' is assigned for the Microwave Landing System (MLS) by the responsible authority.</t>
  </si>
  <si>
    <t>chan532</t>
  </si>
  <si>
    <t>Channel 532</t>
  </si>
  <si>
    <t>The channel of '532' is assigned for the Microwave Landing System (MLS) by the responsible authority.</t>
  </si>
  <si>
    <t>chan533</t>
  </si>
  <si>
    <t>Channel 533</t>
  </si>
  <si>
    <t>The channel of '533' is assigned for the Microwave Landing System (MLS) by the responsible authority.</t>
  </si>
  <si>
    <t>chan534</t>
  </si>
  <si>
    <t>Channel 534</t>
  </si>
  <si>
    <t>The channel of '534' is assigned for the Microwave Landing System (MLS) by the responsible authority.</t>
  </si>
  <si>
    <t>chan535</t>
  </si>
  <si>
    <t>Channel 535</t>
  </si>
  <si>
    <t>The channel of '535' is assigned for the Microwave Landing System (MLS) by the responsible authority.</t>
  </si>
  <si>
    <t>chan536</t>
  </si>
  <si>
    <t>Channel 536</t>
  </si>
  <si>
    <t>The channel of '536' is assigned for the Microwave Landing System (MLS) by the responsible authority.</t>
  </si>
  <si>
    <t>chan537</t>
  </si>
  <si>
    <t>Channel 537</t>
  </si>
  <si>
    <t>The channel of '537' is assigned for the Microwave Landing System (MLS) by the responsible authority.</t>
  </si>
  <si>
    <t>chan538</t>
  </si>
  <si>
    <t>Channel 538</t>
  </si>
  <si>
    <t>The channel of '538' is assigned for the Microwave Landing System (MLS) by the responsible authority.</t>
  </si>
  <si>
    <t>chan539</t>
  </si>
  <si>
    <t>Channel 539</t>
  </si>
  <si>
    <t>The channel of '539' is assigned for the Microwave Landing System (MLS) by the responsible authority.</t>
  </si>
  <si>
    <t>chan540</t>
  </si>
  <si>
    <t>Channel 540</t>
  </si>
  <si>
    <t>The channel of '540' is assigned for the Microwave Landing System (MLS) by the responsible authority.</t>
  </si>
  <si>
    <t>chan541</t>
  </si>
  <si>
    <t>Channel 541</t>
  </si>
  <si>
    <t>The channel of '541' is assigned for the Microwave Landing System (MLS) by the responsible authority.</t>
  </si>
  <si>
    <t>chan542</t>
  </si>
  <si>
    <t>Channel 542</t>
  </si>
  <si>
    <t>The channel of '542' is assigned for the Microwave Landing System (MLS) by the responsible authority.</t>
  </si>
  <si>
    <t>chan543</t>
  </si>
  <si>
    <t>Channel 543</t>
  </si>
  <si>
    <t>The channel of '543' is assigned for the Microwave Landing System (MLS) by the responsible authority.</t>
  </si>
  <si>
    <t>chan544</t>
  </si>
  <si>
    <t>Channel 544</t>
  </si>
  <si>
    <t>The channel of '544' is assigned for the Microwave Landing System (MLS) by the responsible authority.</t>
  </si>
  <si>
    <t>chan545</t>
  </si>
  <si>
    <t>Channel 545</t>
  </si>
  <si>
    <t>The channel of '545' is assigned for the Microwave Landing System (MLS) by the responsible authority.</t>
  </si>
  <si>
    <t>chan546</t>
  </si>
  <si>
    <t>Channel 546</t>
  </si>
  <si>
    <t>The channel of '546' is assigned for the Microwave Landing System (MLS) by the responsible authority.</t>
  </si>
  <si>
    <t>chan547</t>
  </si>
  <si>
    <t>Channel 547</t>
  </si>
  <si>
    <t>The channel of '547' is assigned for the Microwave Landing System (MLS) by the responsible authority.</t>
  </si>
  <si>
    <t>chan548</t>
  </si>
  <si>
    <t>Channel 548</t>
  </si>
  <si>
    <t>The channel of '548' is assigned for the Microwave Landing System (MLS) by the responsible authority.</t>
  </si>
  <si>
    <t>chan549</t>
  </si>
  <si>
    <t>Channel 549</t>
  </si>
  <si>
    <t>The channel of '549' is assigned for the Microwave Landing System (MLS) by the responsible authority.</t>
  </si>
  <si>
    <t>chan550</t>
  </si>
  <si>
    <t>Channel 550</t>
  </si>
  <si>
    <t>The channel of '550' is assigned for the Microwave Landing System (MLS) by the responsible authority.</t>
  </si>
  <si>
    <t>chan551</t>
  </si>
  <si>
    <t>Channel 551</t>
  </si>
  <si>
    <t>The channel of '551' is assigned for the Microwave Landing System (MLS) by the responsible authority.</t>
  </si>
  <si>
    <t>chan552</t>
  </si>
  <si>
    <t>Channel 552</t>
  </si>
  <si>
    <t>The channel of '552' is assigned for the Microwave Landing System (MLS) by the responsible authority.</t>
  </si>
  <si>
    <t>chan553</t>
  </si>
  <si>
    <t>Channel 553</t>
  </si>
  <si>
    <t>The channel of '553' is assigned for the Microwave Landing System (MLS) by the responsible authority.</t>
  </si>
  <si>
    <t>chan554</t>
  </si>
  <si>
    <t>Channel 554</t>
  </si>
  <si>
    <t>The channel of '554' is assigned for the Microwave Landing System (MLS) by the responsible authority.</t>
  </si>
  <si>
    <t>chan555</t>
  </si>
  <si>
    <t>Channel 555</t>
  </si>
  <si>
    <t>The channel of '555' is assigned for the Microwave Landing System (MLS) by the responsible authority.</t>
  </si>
  <si>
    <t>chan556</t>
  </si>
  <si>
    <t>Channel 556</t>
  </si>
  <si>
    <t>The channel of '556' is assigned for the Microwave Landing System (MLS) by the responsible authority.</t>
  </si>
  <si>
    <t>chan557</t>
  </si>
  <si>
    <t>Channel 557</t>
  </si>
  <si>
    <t>The channel of '557' is assigned for the Microwave Landing System (MLS) by the responsible authority.</t>
  </si>
  <si>
    <t>chan558</t>
  </si>
  <si>
    <t>Channel 558</t>
  </si>
  <si>
    <t>The channel of '558' is assigned for the Microwave Landing System (MLS) by the responsible authority.</t>
  </si>
  <si>
    <t>chan559</t>
  </si>
  <si>
    <t>Channel 559</t>
  </si>
  <si>
    <t>The channel of '559' is assigned for the Microwave Landing System (MLS) by the responsible authority.</t>
  </si>
  <si>
    <t>chan560</t>
  </si>
  <si>
    <t>Channel 560</t>
  </si>
  <si>
    <t>The channel of '560' is assigned for the Microwave Landing System (MLS) by the responsible authority.</t>
  </si>
  <si>
    <t>chan561</t>
  </si>
  <si>
    <t>Channel 561</t>
  </si>
  <si>
    <t>The channel of '561' is assigned for the Microwave Landing System (MLS) by the responsible authority.</t>
  </si>
  <si>
    <t>chan562</t>
  </si>
  <si>
    <t>Channel 562</t>
  </si>
  <si>
    <t>The channel of '562' is assigned for the Microwave Landing System (MLS) by the responsible authority.</t>
  </si>
  <si>
    <t>chan563</t>
  </si>
  <si>
    <t>Channel 563</t>
  </si>
  <si>
    <t>The channel of '563' is assigned for the Microwave Landing System (MLS) by the responsible authority.</t>
  </si>
  <si>
    <t>chan564</t>
  </si>
  <si>
    <t>Channel 564</t>
  </si>
  <si>
    <t>The channel of '564' is assigned for the Microwave Landing System (MLS) by the responsible authority.</t>
  </si>
  <si>
    <t>chan565</t>
  </si>
  <si>
    <t>Channel 565</t>
  </si>
  <si>
    <t>The channel of '565' is assigned for the Microwave Landing System (MLS) by the responsible authority.</t>
  </si>
  <si>
    <t>chan566</t>
  </si>
  <si>
    <t>Channel 566</t>
  </si>
  <si>
    <t>The channel of '566' is assigned for the Microwave Landing System (MLS) by the responsible authority.</t>
  </si>
  <si>
    <t>chan567</t>
  </si>
  <si>
    <t>Channel 567</t>
  </si>
  <si>
    <t>The channel of '567' is assigned for the Microwave Landing System (MLS) by the responsible authority.</t>
  </si>
  <si>
    <t>chan568</t>
  </si>
  <si>
    <t>Channel 568</t>
  </si>
  <si>
    <t>The channel of '568' is assigned for the Microwave Landing System (MLS) by the responsible authority.</t>
  </si>
  <si>
    <t>chan569</t>
  </si>
  <si>
    <t>Channel 569</t>
  </si>
  <si>
    <t>The channel of '569' is assigned for the Microwave Landing System (MLS) by the responsible authority.</t>
  </si>
  <si>
    <t>chan570</t>
  </si>
  <si>
    <t>Channel 570</t>
  </si>
  <si>
    <t>The channel of '570' is assigned for the Microwave Landing System (MLS) by the responsible authority.</t>
  </si>
  <si>
    <t>chan571</t>
  </si>
  <si>
    <t>Channel 571</t>
  </si>
  <si>
    <t>The channel of '571' is assigned for the Microwave Landing System (MLS) by the responsible authority.</t>
  </si>
  <si>
    <t>chan572</t>
  </si>
  <si>
    <t>Channel 572</t>
  </si>
  <si>
    <t>The channel of '572' is assigned for the Microwave Landing System (MLS) by the responsible authority.</t>
  </si>
  <si>
    <t>chan573</t>
  </si>
  <si>
    <t>Channel 573</t>
  </si>
  <si>
    <t>The channel of '573' is assigned for the Microwave Landing System (MLS) by the responsible authority.</t>
  </si>
  <si>
    <t>chan574</t>
  </si>
  <si>
    <t>Channel 574</t>
  </si>
  <si>
    <t>The channel of '574' is assigned for the Microwave Landing System (MLS) by the responsible authority.</t>
  </si>
  <si>
    <t>chan575</t>
  </si>
  <si>
    <t>Channel 575</t>
  </si>
  <si>
    <t>The channel of '575' is assigned for the Microwave Landing System (MLS) by the responsible authority.</t>
  </si>
  <si>
    <t>chan576</t>
  </si>
  <si>
    <t>Channel 576</t>
  </si>
  <si>
    <t>The channel of '576' is assigned for the Microwave Landing System (MLS) by the responsible authority.</t>
  </si>
  <si>
    <t>chan577</t>
  </si>
  <si>
    <t>Channel 577</t>
  </si>
  <si>
    <t>The channel of '577' is assigned for the Microwave Landing System (MLS) by the responsible authority.</t>
  </si>
  <si>
    <t>chan578</t>
  </si>
  <si>
    <t>Channel 578</t>
  </si>
  <si>
    <t>The channel of '578' is assigned for the Microwave Landing System (MLS) by the responsible authority.</t>
  </si>
  <si>
    <t>chan579</t>
  </si>
  <si>
    <t>Channel 579</t>
  </si>
  <si>
    <t>The channel of '579' is assigned for the Microwave Landing System (MLS) by the responsible authority.</t>
  </si>
  <si>
    <t>chan580</t>
  </si>
  <si>
    <t>Channel 580</t>
  </si>
  <si>
    <t>The channel of '580' is assigned for the Microwave Landing System (MLS) by the responsible authority.</t>
  </si>
  <si>
    <t>chan581</t>
  </si>
  <si>
    <t>Channel 581</t>
  </si>
  <si>
    <t>The channel of '581' is assigned for the Microwave Landing System (MLS) by the responsible authority.</t>
  </si>
  <si>
    <t>chan582</t>
  </si>
  <si>
    <t>Channel 582</t>
  </si>
  <si>
    <t>The channel of '582' is assigned for the Microwave Landing System (MLS) by the responsible authority.</t>
  </si>
  <si>
    <t>chan583</t>
  </si>
  <si>
    <t>Channel 583</t>
  </si>
  <si>
    <t>The channel of '583' is assigned for the Microwave Landing System (MLS) by the responsible authority.</t>
  </si>
  <si>
    <t>chan584</t>
  </si>
  <si>
    <t>Channel 584</t>
  </si>
  <si>
    <t>The channel of '584' is assigned for the Microwave Landing System (MLS) by the responsible authority.</t>
  </si>
  <si>
    <t>chan585</t>
  </si>
  <si>
    <t>Channel 585</t>
  </si>
  <si>
    <t>The channel of '585' is assigned for the Microwave Landing System (MLS) by the responsible authority.</t>
  </si>
  <si>
    <t>chan586</t>
  </si>
  <si>
    <t>Channel 586</t>
  </si>
  <si>
    <t>The channel of '586' is assigned for the Microwave Landing System (MLS) by the responsible authority.</t>
  </si>
  <si>
    <t>chan587</t>
  </si>
  <si>
    <t>Channel 587</t>
  </si>
  <si>
    <t>The channel of '587' is assigned for the Microwave Landing System (MLS) by the responsible authority.</t>
  </si>
  <si>
    <t>chan588</t>
  </si>
  <si>
    <t>Channel 588</t>
  </si>
  <si>
    <t>The channel of '588' is assigned for the Microwave Landing System (MLS) by the responsible authority.</t>
  </si>
  <si>
    <t>chan589</t>
  </si>
  <si>
    <t>Channel 589</t>
  </si>
  <si>
    <t>The channel of '589' is assigned for the Microwave Landing System (MLS) by the responsible authority.</t>
  </si>
  <si>
    <t>chan590</t>
  </si>
  <si>
    <t>Channel 590</t>
  </si>
  <si>
    <t>The channel of '590' is assigned for the Microwave Landing System (MLS) by the responsible authority.</t>
  </si>
  <si>
    <t>chan591</t>
  </si>
  <si>
    <t>Channel 591</t>
  </si>
  <si>
    <t>The channel of '591' is assigned for the Microwave Landing System (MLS) by the responsible authority.</t>
  </si>
  <si>
    <t>chan592</t>
  </si>
  <si>
    <t>Channel 592</t>
  </si>
  <si>
    <t>The channel of '592' is assigned for the Microwave Landing System (MLS) by the responsible authority.</t>
  </si>
  <si>
    <t>chan593</t>
  </si>
  <si>
    <t>Channel 593</t>
  </si>
  <si>
    <t>The channel of '593' is assigned for the Microwave Landing System (MLS) by the responsible authority.</t>
  </si>
  <si>
    <t>chan594</t>
  </si>
  <si>
    <t>Channel 594</t>
  </si>
  <si>
    <t>The channel of '594' is assigned for the Microwave Landing System (MLS) by the responsible authority.</t>
  </si>
  <si>
    <t>chan595</t>
  </si>
  <si>
    <t>Channel 595</t>
  </si>
  <si>
    <t>The channel of '595' is assigned for the Microwave Landing System (MLS) by the responsible authority.</t>
  </si>
  <si>
    <t>chan596</t>
  </si>
  <si>
    <t>Channel 596</t>
  </si>
  <si>
    <t>The channel of '596' is assigned for the Microwave Landing System (MLS) by the responsible authority.</t>
  </si>
  <si>
    <t>chan597</t>
  </si>
  <si>
    <t>Channel 597</t>
  </si>
  <si>
    <t>The channel of '597' is assigned for the Microwave Landing System (MLS) by the responsible authority.</t>
  </si>
  <si>
    <t>chan598</t>
  </si>
  <si>
    <t>Channel 598</t>
  </si>
  <si>
    <t>The channel of '598' is assigned for the Microwave Landing System (MLS) by the responsible authority.</t>
  </si>
  <si>
    <t>chan599</t>
  </si>
  <si>
    <t>Channel 599</t>
  </si>
  <si>
    <t>The channel of '599' is assigned for the Microwave Landing System (MLS) by the responsible authority.</t>
  </si>
  <si>
    <t>chan600</t>
  </si>
  <si>
    <t>Channel 600</t>
  </si>
  <si>
    <t>The channel of '600' is assigned for the Microwave Landing System (MLS) by the responsible authority.</t>
  </si>
  <si>
    <t>chan601</t>
  </si>
  <si>
    <t>Channel 601</t>
  </si>
  <si>
    <t>The channel of '601' is assigned for the Microwave Landing System (MLS) by the responsible authority.</t>
  </si>
  <si>
    <t>chan602</t>
  </si>
  <si>
    <t>Channel 602</t>
  </si>
  <si>
    <t>The channel of '602' is assigned for the Microwave Landing System (MLS) by the responsible authority.</t>
  </si>
  <si>
    <t>chan603</t>
  </si>
  <si>
    <t>Channel 603</t>
  </si>
  <si>
    <t>The channel of '603' is assigned for the Microwave Landing System (MLS) by the responsible authority.</t>
  </si>
  <si>
    <t>chan604</t>
  </si>
  <si>
    <t>Channel 604</t>
  </si>
  <si>
    <t>The channel of '604' is assigned for the Microwave Landing System (MLS) by the responsible authority.</t>
  </si>
  <si>
    <t>chan605</t>
  </si>
  <si>
    <t>Channel 605</t>
  </si>
  <si>
    <t>The channel of '605' is assigned for the Microwave Landing System (MLS) by the responsible authority.</t>
  </si>
  <si>
    <t>chan606</t>
  </si>
  <si>
    <t>Channel 606</t>
  </si>
  <si>
    <t>The channel of '606' is assigned for the Microwave Landing System (MLS) by the responsible authority.</t>
  </si>
  <si>
    <t>chan607</t>
  </si>
  <si>
    <t>Channel 607</t>
  </si>
  <si>
    <t>The channel of '607' is assigned for the Microwave Landing System (MLS) by the responsible authority.</t>
  </si>
  <si>
    <t>chan608</t>
  </si>
  <si>
    <t>Channel 608</t>
  </si>
  <si>
    <t>The channel of '608' is assigned for the Microwave Landing System (MLS) by the responsible authority.</t>
  </si>
  <si>
    <t>chan609</t>
  </si>
  <si>
    <t>Channel 609</t>
  </si>
  <si>
    <t>The channel of '609' is assigned for the Microwave Landing System (MLS) by the responsible authority.</t>
  </si>
  <si>
    <t>chan610</t>
  </si>
  <si>
    <t>Channel 610</t>
  </si>
  <si>
    <t>The channel of '610' is assigned for the Microwave Landing System (MLS) by the responsible authority.</t>
  </si>
  <si>
    <t>chan611</t>
  </si>
  <si>
    <t>Channel 611</t>
  </si>
  <si>
    <t>The channel of '611' is assigned for the Microwave Landing System (MLS) by the responsible authority.</t>
  </si>
  <si>
    <t>chan612</t>
  </si>
  <si>
    <t>Channel 612</t>
  </si>
  <si>
    <t>The channel of '612' is assigned for the Microwave Landing System (MLS) by the responsible authority.</t>
  </si>
  <si>
    <t>chan613</t>
  </si>
  <si>
    <t>Channel 613</t>
  </si>
  <si>
    <t>The channel of '613' is assigned for the Microwave Landing System (MLS) by the responsible authority.</t>
  </si>
  <si>
    <t>chan614</t>
  </si>
  <si>
    <t>Channel 614</t>
  </si>
  <si>
    <t>The channel of '614' is assigned for the Microwave Landing System (MLS) by the responsible authority.</t>
  </si>
  <si>
    <t>chan615</t>
  </si>
  <si>
    <t>Channel 615</t>
  </si>
  <si>
    <t>The channel of '615' is assigned for the Microwave Landing System (MLS) by the responsible authority.</t>
  </si>
  <si>
    <t>chan616</t>
  </si>
  <si>
    <t>Channel 616</t>
  </si>
  <si>
    <t>The channel of '616' is assigned for the Microwave Landing System (MLS) by the responsible authority.</t>
  </si>
  <si>
    <t>chan617</t>
  </si>
  <si>
    <t>Channel 617</t>
  </si>
  <si>
    <t>The channel of '617' is assigned for the Microwave Landing System (MLS) by the responsible authority.</t>
  </si>
  <si>
    <t>chan618</t>
  </si>
  <si>
    <t>Channel 618</t>
  </si>
  <si>
    <t>The channel of '618' is assigned for the Microwave Landing System (MLS) by the responsible authority.</t>
  </si>
  <si>
    <t>chan619</t>
  </si>
  <si>
    <t>Channel 619</t>
  </si>
  <si>
    <t>The channel of '619' is assigned for the Microwave Landing System (MLS) by the responsible authority.</t>
  </si>
  <si>
    <t>chan620</t>
  </si>
  <si>
    <t>Channel 620</t>
  </si>
  <si>
    <t>The channel of '620' is assigned for the Microwave Landing System (MLS) by the responsible authority.</t>
  </si>
  <si>
    <t>chan621</t>
  </si>
  <si>
    <t>Channel 621</t>
  </si>
  <si>
    <t>The channel of '621' is assigned for the Microwave Landing System (MLS) by the responsible authority.</t>
  </si>
  <si>
    <t>chan622</t>
  </si>
  <si>
    <t>Channel 622</t>
  </si>
  <si>
    <t>The channel of '622' is assigned for the Microwave Landing System (MLS) by the responsible authority.</t>
  </si>
  <si>
    <t>chan623</t>
  </si>
  <si>
    <t>Channel 623</t>
  </si>
  <si>
    <t>The channel of '623' is assigned for the Microwave Landing System (MLS) by the responsible authority.</t>
  </si>
  <si>
    <t>chan624</t>
  </si>
  <si>
    <t>Channel 624</t>
  </si>
  <si>
    <t>The channel of '624' is assigned for the Microwave Landing System (MLS) by the responsible authority.</t>
  </si>
  <si>
    <t>chan625</t>
  </si>
  <si>
    <t>Channel 625</t>
  </si>
  <si>
    <t>The channel of '625' is assigned for the Microwave Landing System (MLS) by the responsible authority.</t>
  </si>
  <si>
    <t>chan626</t>
  </si>
  <si>
    <t>Channel 626</t>
  </si>
  <si>
    <t>The channel of '626' is assigned for the Microwave Landing System (MLS) by the responsible authority.</t>
  </si>
  <si>
    <t>chan627</t>
  </si>
  <si>
    <t>Channel 627</t>
  </si>
  <si>
    <t>The channel of '627' is assigned for the Microwave Landing System (MLS) by the responsible authority.</t>
  </si>
  <si>
    <t>chan628</t>
  </si>
  <si>
    <t>Channel 628</t>
  </si>
  <si>
    <t>The channel of '628' is assigned for the Microwave Landing System (MLS) by the responsible authority.</t>
  </si>
  <si>
    <t>chan629</t>
  </si>
  <si>
    <t>Channel 629</t>
  </si>
  <si>
    <t>The channel of '629' is assigned for the Microwave Landing System (MLS) by the responsible authority.</t>
  </si>
  <si>
    <t>chan630</t>
  </si>
  <si>
    <t>Channel 630</t>
  </si>
  <si>
    <t>The channel of '630' is assigned for the Microwave Landing System (MLS) by the responsible authority.</t>
  </si>
  <si>
    <t>chan631</t>
  </si>
  <si>
    <t>Channel 631</t>
  </si>
  <si>
    <t>The channel of '631' is assigned for the Microwave Landing System (MLS) by the responsible authority.</t>
  </si>
  <si>
    <t>chan632</t>
  </si>
  <si>
    <t>Channel 632</t>
  </si>
  <si>
    <t>The channel of '632' is assigned for the Microwave Landing System (MLS) by the responsible authority.</t>
  </si>
  <si>
    <t>chan633</t>
  </si>
  <si>
    <t>Channel 633</t>
  </si>
  <si>
    <t>The channel of '633' is assigned for the Microwave Landing System (MLS) by the responsible authority.</t>
  </si>
  <si>
    <t>chan634</t>
  </si>
  <si>
    <t>Channel 634</t>
  </si>
  <si>
    <t>The channel of '634' is assigned for the Microwave Landing System (MLS) by the responsible authority.</t>
  </si>
  <si>
    <t>chan635</t>
  </si>
  <si>
    <t>Channel 635</t>
  </si>
  <si>
    <t>The channel of '635' is assigned for the Microwave Landing System (MLS) by the responsible authority.</t>
  </si>
  <si>
    <t>chan636</t>
  </si>
  <si>
    <t>Channel 636</t>
  </si>
  <si>
    <t>The channel of '636' is assigned for the Microwave Landing System (MLS) by the responsible authority.</t>
  </si>
  <si>
    <t>chan637</t>
  </si>
  <si>
    <t>Channel 637</t>
  </si>
  <si>
    <t>The channel of '637' is assigned for the Microwave Landing System (MLS) by the responsible authority.</t>
  </si>
  <si>
    <t>chan638</t>
  </si>
  <si>
    <t>Channel 638</t>
  </si>
  <si>
    <t>The channel of '638' is assigned for the Microwave Landing System (MLS) by the responsible authority.</t>
  </si>
  <si>
    <t>chan639</t>
  </si>
  <si>
    <t>Channel 639</t>
  </si>
  <si>
    <t>The channel of '639' is assigned for the Microwave Landing System (MLS) by the responsible authority.</t>
  </si>
  <si>
    <t>chan640</t>
  </si>
  <si>
    <t>Channel 640</t>
  </si>
  <si>
    <t>The channel of '640' is assigned for the Microwave Landing System (MLS) by the responsible authority.</t>
  </si>
  <si>
    <t>chan641</t>
  </si>
  <si>
    <t>Channel 641</t>
  </si>
  <si>
    <t>The channel of '641' is assigned for the Microwave Landing System (MLS) by the responsible authority.</t>
  </si>
  <si>
    <t>chan642</t>
  </si>
  <si>
    <t>Channel 642</t>
  </si>
  <si>
    <t>The channel of '642' is assigned for the Microwave Landing System (MLS) by the responsible authority.</t>
  </si>
  <si>
    <t>chan643</t>
  </si>
  <si>
    <t>Channel 643</t>
  </si>
  <si>
    <t>The channel of '643' is assigned for the Microwave Landing System (MLS) by the responsible authority.</t>
  </si>
  <si>
    <t>chan644</t>
  </si>
  <si>
    <t>Channel 644</t>
  </si>
  <si>
    <t>The channel of '644' is assigned for the Microwave Landing System (MLS) by the responsible authority.</t>
  </si>
  <si>
    <t>chan645</t>
  </si>
  <si>
    <t>Channel 645</t>
  </si>
  <si>
    <t>The channel of '645' is assigned for the Microwave Landing System (MLS) by the responsible authority.</t>
  </si>
  <si>
    <t>chan646</t>
  </si>
  <si>
    <t>Channel 646</t>
  </si>
  <si>
    <t>The channel of '646' is assigned for the Microwave Landing System (MLS) by the responsible authority.</t>
  </si>
  <si>
    <t>chan647</t>
  </si>
  <si>
    <t>Channel 647</t>
  </si>
  <si>
    <t>The channel of '647' is assigned for the Microwave Landing System (MLS) by the responsible authority.</t>
  </si>
  <si>
    <t>chan648</t>
  </si>
  <si>
    <t>Channel 648</t>
  </si>
  <si>
    <t>The channel of '648' is assigned for the Microwave Landing System (MLS) by the responsible authority.</t>
  </si>
  <si>
    <t>chan649</t>
  </si>
  <si>
    <t>Channel 649</t>
  </si>
  <si>
    <t>The channel of '649' is assigned for the Microwave Landing System (MLS) by the responsible authority.</t>
  </si>
  <si>
    <t>chan650</t>
  </si>
  <si>
    <t>Channel 650</t>
  </si>
  <si>
    <t>The channel of '650' is assigned for the Microwave Landing System (MLS) by the responsible authority.</t>
  </si>
  <si>
    <t>chan651</t>
  </si>
  <si>
    <t>Channel 651</t>
  </si>
  <si>
    <t>The channel of '651' is assigned for the Microwave Landing System (MLS) by the responsible authority.</t>
  </si>
  <si>
    <t>chan652</t>
  </si>
  <si>
    <t>Channel 652</t>
  </si>
  <si>
    <t>The channel of '652' is assigned for the Microwave Landing System (MLS) by the responsible authority.</t>
  </si>
  <si>
    <t>chan653</t>
  </si>
  <si>
    <t>Channel 653</t>
  </si>
  <si>
    <t>The channel of '653' is assigned for the Microwave Landing System (MLS) by the responsible authority.</t>
  </si>
  <si>
    <t>chan654</t>
  </si>
  <si>
    <t>Channel 654</t>
  </si>
  <si>
    <t>The channel of '654' is assigned for the Microwave Landing System (MLS) by the responsible authority.</t>
  </si>
  <si>
    <t>chan655</t>
  </si>
  <si>
    <t>Channel 655</t>
  </si>
  <si>
    <t>The channel of '655' is assigned for the Microwave Landing System (MLS) by the responsible authority.</t>
  </si>
  <si>
    <t>chan656</t>
  </si>
  <si>
    <t>Channel 656</t>
  </si>
  <si>
    <t>The channel of '656' is assigned for the Microwave Landing System (MLS) by the responsible authority.</t>
  </si>
  <si>
    <t>chan657</t>
  </si>
  <si>
    <t>Channel 657</t>
  </si>
  <si>
    <t>The channel of '657' is assigned for the Microwave Landing System (MLS) by the responsible authority.</t>
  </si>
  <si>
    <t>chan658</t>
  </si>
  <si>
    <t>Channel 658</t>
  </si>
  <si>
    <t>The channel of '658' is assigned for the Microwave Landing System (MLS) by the responsible authority.</t>
  </si>
  <si>
    <t>chan659</t>
  </si>
  <si>
    <t>Channel 659</t>
  </si>
  <si>
    <t>The channel of '659' is assigned for the Microwave Landing System (MLS) by the responsible authority.</t>
  </si>
  <si>
    <t>chan660</t>
  </si>
  <si>
    <t>Channel 660</t>
  </si>
  <si>
    <t>The channel of '660' is assigned for the Microwave Landing System (MLS) by the responsible authority.</t>
  </si>
  <si>
    <t>chan661</t>
  </si>
  <si>
    <t>Channel 661</t>
  </si>
  <si>
    <t>The channel of '661' is assigned for the Microwave Landing System (MLS) by the responsible authority.</t>
  </si>
  <si>
    <t>chan662</t>
  </si>
  <si>
    <t>Channel 662</t>
  </si>
  <si>
    <t>The channel of '662' is assigned for the Microwave Landing System (MLS) by the responsible authority.</t>
  </si>
  <si>
    <t>chan663</t>
  </si>
  <si>
    <t>Channel 663</t>
  </si>
  <si>
    <t>The channel of '663' is assigned for the Microwave Landing System (MLS) by the responsible authority.</t>
  </si>
  <si>
    <t>chan664</t>
  </si>
  <si>
    <t>Channel 664</t>
  </si>
  <si>
    <t>The channel of '664' is assigned for the Microwave Landing System (MLS) by the responsible authority.</t>
  </si>
  <si>
    <t>chan665</t>
  </si>
  <si>
    <t>Channel 665</t>
  </si>
  <si>
    <t>The channel of '665' is assigned for the Microwave Landing System (MLS) by the responsible authority.</t>
  </si>
  <si>
    <t>chan666</t>
  </si>
  <si>
    <t>Channel 666</t>
  </si>
  <si>
    <t>The channel of '666' is assigned for the Microwave Landing System (MLS) by the responsible authority.</t>
  </si>
  <si>
    <t>chan667</t>
  </si>
  <si>
    <t>Channel 667</t>
  </si>
  <si>
    <t>The channel of '667' is assigned for the Microwave Landing System (MLS) by the responsible authority.</t>
  </si>
  <si>
    <t>chan668</t>
  </si>
  <si>
    <t>Channel 668</t>
  </si>
  <si>
    <t>The channel of '668' is assigned for the Microwave Landing System (MLS) by the responsible authority.</t>
  </si>
  <si>
    <t>chan669</t>
  </si>
  <si>
    <t>Channel 669</t>
  </si>
  <si>
    <t>The channel of '669' is assigned for the Microwave Landing System (MLS) by the responsible authority.</t>
  </si>
  <si>
    <t>chan670</t>
  </si>
  <si>
    <t>Channel 670</t>
  </si>
  <si>
    <t>The channel of '670' is assigned for the Microwave Landing System (MLS) by the responsible authority.</t>
  </si>
  <si>
    <t>chan671</t>
  </si>
  <si>
    <t>Channel 671</t>
  </si>
  <si>
    <t>The channel of '671' is assigned for the Microwave Landing System (MLS) by the responsible authority.</t>
  </si>
  <si>
    <t>chan672</t>
  </si>
  <si>
    <t>Channel 672</t>
  </si>
  <si>
    <t>The channel of '672' is assigned for the Microwave Landing System (MLS) by the responsible authority.</t>
  </si>
  <si>
    <t>chan673</t>
  </si>
  <si>
    <t>Channel 673</t>
  </si>
  <si>
    <t>The channel of '673' is assigned for the Microwave Landing System (MLS) by the responsible authority.</t>
  </si>
  <si>
    <t>chan674</t>
  </si>
  <si>
    <t>Channel 674</t>
  </si>
  <si>
    <t>The channel of '674' is assigned for the Microwave Landing System (MLS) by the responsible authority.</t>
  </si>
  <si>
    <t>chan675</t>
  </si>
  <si>
    <t>Channel 675</t>
  </si>
  <si>
    <t>The channel of '675' is assigned for the Microwave Landing System (MLS) by the responsible authority.</t>
  </si>
  <si>
    <t>chan676</t>
  </si>
  <si>
    <t>Channel 676</t>
  </si>
  <si>
    <t>The channel of '676' is assigned for the Microwave Landing System (MLS) by the responsible authority.</t>
  </si>
  <si>
    <t>chan677</t>
  </si>
  <si>
    <t>Channel 677</t>
  </si>
  <si>
    <t>The channel of '677' is assigned for the Microwave Landing System (MLS) by the responsible authority.</t>
  </si>
  <si>
    <t>chan678</t>
  </si>
  <si>
    <t>Channel 678</t>
  </si>
  <si>
    <t>The channel of '678' is assigned for the Microwave Landing System (MLS) by the responsible authority.</t>
  </si>
  <si>
    <t>chan679</t>
  </si>
  <si>
    <t>Channel 679</t>
  </si>
  <si>
    <t>The channel of '679' is assigned for the Microwave Landing System (MLS) by the responsible authority.</t>
  </si>
  <si>
    <t>chan680</t>
  </si>
  <si>
    <t>Channel 680</t>
  </si>
  <si>
    <t>The channel of '680' is assigned for the Microwave Landing System (MLS) by the responsible authority.</t>
  </si>
  <si>
    <t>chan681</t>
  </si>
  <si>
    <t>Channel 681</t>
  </si>
  <si>
    <t>The channel of '681' is assigned for the Microwave Landing System (MLS) by the responsible authority.</t>
  </si>
  <si>
    <t>chan682</t>
  </si>
  <si>
    <t>Channel 682</t>
  </si>
  <si>
    <t>The channel of '682' is assigned for the Microwave Landing System (MLS) by the responsible authority.</t>
  </si>
  <si>
    <t>chan683</t>
  </si>
  <si>
    <t>Channel 683</t>
  </si>
  <si>
    <t>The channel of '683' is assigned for the Microwave Landing System (MLS) by the responsible authority.</t>
  </si>
  <si>
    <t>chan684</t>
  </si>
  <si>
    <t>Channel 684</t>
  </si>
  <si>
    <t>The channel of '684' is assigned for the Microwave Landing System (MLS) by the responsible authority.</t>
  </si>
  <si>
    <t>chan685</t>
  </si>
  <si>
    <t>Channel 685</t>
  </si>
  <si>
    <t>The channel of '685' is assigned for the Microwave Landing System (MLS) by the responsible authority.</t>
  </si>
  <si>
    <t>chan686</t>
  </si>
  <si>
    <t>Channel 686</t>
  </si>
  <si>
    <t>The channel of '686' is assigned for the Microwave Landing System (MLS) by the responsible authority.</t>
  </si>
  <si>
    <t>chan687</t>
  </si>
  <si>
    <t>Channel 687</t>
  </si>
  <si>
    <t>The channel of '687' is assigned for the Microwave Landing System (MLS) by the responsible authority.</t>
  </si>
  <si>
    <t>chan688</t>
  </si>
  <si>
    <t>Channel 688</t>
  </si>
  <si>
    <t>The channel of '688' is assigned for the Microwave Landing System (MLS) by the responsible authority.</t>
  </si>
  <si>
    <t>chan689</t>
  </si>
  <si>
    <t>Channel 689</t>
  </si>
  <si>
    <t>The channel of '689' is assigned for the Microwave Landing System (MLS) by the responsible authority.</t>
  </si>
  <si>
    <t>chan690</t>
  </si>
  <si>
    <t>Channel 690</t>
  </si>
  <si>
    <t>The channel of '690' is assigned for the Microwave Landing System (MLS) by the responsible authority.</t>
  </si>
  <si>
    <t>chan691</t>
  </si>
  <si>
    <t>Channel 691</t>
  </si>
  <si>
    <t>The channel of '691' is assigned for the Microwave Landing System (MLS) by the responsible authority.</t>
  </si>
  <si>
    <t>chan692</t>
  </si>
  <si>
    <t>Channel 692</t>
  </si>
  <si>
    <t>The channel of '692' is assigned for the Microwave Landing System (MLS) by the responsible authority.</t>
  </si>
  <si>
    <t>chan693</t>
  </si>
  <si>
    <t>Channel 693</t>
  </si>
  <si>
    <t>The channel of '693' is assigned for the Microwave Landing System (MLS) by the responsible authority.</t>
  </si>
  <si>
    <t>chan694</t>
  </si>
  <si>
    <t>Channel 694</t>
  </si>
  <si>
    <t>The channel of '694' is assigned for the Microwave Landing System (MLS) by the responsible authority.</t>
  </si>
  <si>
    <t>chan695</t>
  </si>
  <si>
    <t>Channel 695</t>
  </si>
  <si>
    <t>The channel of '695' is assigned for the Microwave Landing System (MLS) by the responsible authority.</t>
  </si>
  <si>
    <t>chan696</t>
  </si>
  <si>
    <t>Channel 696</t>
  </si>
  <si>
    <t>The channel of '696' is assigned for the Microwave Landing System (MLS) by the responsible authority.</t>
  </si>
  <si>
    <t>chan697</t>
  </si>
  <si>
    <t>Channel 697</t>
  </si>
  <si>
    <t>The channel of '697' is assigned for the Microwave Landing System (MLS) by the responsible authority.</t>
  </si>
  <si>
    <t>chan698</t>
  </si>
  <si>
    <t>Channel 698</t>
  </si>
  <si>
    <t>The channel of '698' is assigned for the Microwave Landing System (MLS) by the responsible authority.</t>
  </si>
  <si>
    <t>chan699</t>
  </si>
  <si>
    <t>Channel 699</t>
  </si>
  <si>
    <t>The channel of '699' is assigned for the Microwave Landing System (MLS) by the responsible authority.</t>
  </si>
  <si>
    <t>approach</t>
  </si>
  <si>
    <t>Approach</t>
  </si>
  <si>
    <t>The standard MLS configuration which provides precision lateral navigation guidance for exact alignment of aircraft on approach to a runway.</t>
  </si>
  <si>
    <t>Forward (Normal)</t>
  </si>
  <si>
    <t>back</t>
  </si>
  <si>
    <t>Back</t>
  </si>
  <si>
    <t>An expansion of the standard MLS configuration which provides lateral guidance for missed approach and departure navigation.</t>
  </si>
  <si>
    <t>nightLowFlying</t>
  </si>
  <si>
    <t>Night Low Flying</t>
  </si>
  <si>
    <t>An air route established for the conduct of military night low altitude training.</t>
  </si>
  <si>
    <t>An air route established for the conduct of military training, within which IFR or VFR flights may operate and that may be established in controlled and/or uncontrolled airspace.</t>
  </si>
  <si>
    <t>trunk</t>
  </si>
  <si>
    <t>Trunk</t>
  </si>
  <si>
    <t>An air route established for the strategic movement of military forces.</t>
  </si>
  <si>
    <t>airForce</t>
  </si>
  <si>
    <t>Air Force</t>
  </si>
  <si>
    <t>The branch of a country's armed forces which conducts operations primarily by means of aircraft.</t>
  </si>
  <si>
    <t>airNationalGuard</t>
  </si>
  <si>
    <t>Air National Guard</t>
  </si>
  <si>
    <t>A military reserve force which conducts operations primarily by means of aircraft.</t>
  </si>
  <si>
    <t>A military reserve force is a military organization composed of residents of a country who combine a military role or career with a civilian career. They are not normally kept under arms and their main role is to be available to fight when a nation mobilizes for total war or to defend against invasion. Military reserve forces may be employed in non-military settings (for example: disaster relief).</t>
  </si>
  <si>
    <t>army</t>
  </si>
  <si>
    <t>Army</t>
  </si>
  <si>
    <t>The branch of a country's armed forces which conducts operations on land.</t>
  </si>
  <si>
    <t>armyNationalGuard</t>
  </si>
  <si>
    <t>Army National Guard</t>
  </si>
  <si>
    <t>A military reserve force equipped to fight on land.</t>
  </si>
  <si>
    <t>A military reserve force is a military organization composed of residents of a country who combine a military role or career with a civilian career. They are not normally kept under arms and their main role is be available to fight when a nation mobilizes for total war or to defend against invasion. Military reserve forces may be employed in non-military settings (for example: disaster relief).</t>
  </si>
  <si>
    <t>coastguard</t>
  </si>
  <si>
    <t>Coastguard</t>
  </si>
  <si>
    <t>A naval force employed to guard the coast, and often responsible for the safety, order, and operation of marine traffic in neighbouring waters.</t>
  </si>
  <si>
    <t>joint</t>
  </si>
  <si>
    <t>Joint</t>
  </si>
  <si>
    <t>An organization in which elements of two or more military departments (for example: a navy and an air force) participate.</t>
  </si>
  <si>
    <t>marines</t>
  </si>
  <si>
    <t>Marines</t>
  </si>
  <si>
    <t>A body of soldiers trained to serve at sea, or on shore under specified circumstances.</t>
  </si>
  <si>
    <t>navy</t>
  </si>
  <si>
    <t>Navy</t>
  </si>
  <si>
    <t>The branch of a country's armed forces which conducts operations at sea and/or using sea-based capabilities, including both ships and ship-based aircraft.</t>
  </si>
  <si>
    <t>Navy operations are supported by land-based capabilities including ports and maintenance systems typically also belonging to the Navy.</t>
  </si>
  <si>
    <t>audioRange</t>
  </si>
  <si>
    <t>Audio Range</t>
  </si>
  <si>
    <t>Responds to audio frequency signals.</t>
  </si>
  <si>
    <t>Generally between 15 hertz to 20,000 hertz.</t>
  </si>
  <si>
    <t>Responds to high frequency signals.</t>
  </si>
  <si>
    <t>Generally above 20,000 hertz.</t>
  </si>
  <si>
    <t>Responds to low frequency signals.</t>
  </si>
  <si>
    <t>Generally below 15 hertz.</t>
  </si>
  <si>
    <t>multipleRange</t>
  </si>
  <si>
    <t>Multiple Range</t>
  </si>
  <si>
    <t>Responds to signals within multiple frequency ranges.</t>
  </si>
  <si>
    <t>friend</t>
  </si>
  <si>
    <t>Friend</t>
  </si>
  <si>
    <t>A military force positively identified as friendly.</t>
  </si>
  <si>
    <t>hostile</t>
  </si>
  <si>
    <t>Hostile</t>
  </si>
  <si>
    <t>A military force positively identified as hostile.</t>
  </si>
  <si>
    <t>neutral</t>
  </si>
  <si>
    <t>Neutral</t>
  </si>
  <si>
    <t>A military force that is not hostile or in any way supportive of only one belligerent force.</t>
  </si>
  <si>
    <t>acousticImpedance</t>
  </si>
  <si>
    <t>Acoustic Impedance</t>
  </si>
  <si>
    <t>Avoids acoustic detection through manipulation of acoustic impedance.</t>
  </si>
  <si>
    <t>acousticTransparency</t>
  </si>
  <si>
    <t>Acoustic Transparency</t>
  </si>
  <si>
    <t>Avoids acoustic detection by appearing acoustically transparent.</t>
  </si>
  <si>
    <t>anechoicCoating</t>
  </si>
  <si>
    <t>Anechoic Coating</t>
  </si>
  <si>
    <t>Avoids acoustic detection by employing an anechoic coating.</t>
  </si>
  <si>
    <t>automaticMineBurial</t>
  </si>
  <si>
    <t>Automatic Mine Burial</t>
  </si>
  <si>
    <t>Avoids detection through automatic case burial.</t>
  </si>
  <si>
    <t>irregularShaping</t>
  </si>
  <si>
    <t>Irregular Shaping</t>
  </si>
  <si>
    <t>Avoids detection by possessing an irregularly-shaped case.</t>
  </si>
  <si>
    <t>nonMetallicCase</t>
  </si>
  <si>
    <t>Non-metallic Case</t>
  </si>
  <si>
    <t>Avoids magnetic detection by possessing a non-metallic case.</t>
  </si>
  <si>
    <t>sonarDecoys</t>
  </si>
  <si>
    <t>Sonar Decoys</t>
  </si>
  <si>
    <t>Avoids detection by possessing and employing sonar decoys.</t>
  </si>
  <si>
    <t>antiRecoverySwitch</t>
  </si>
  <si>
    <t>Anti-recovery Switch</t>
  </si>
  <si>
    <t>A hydrostatic switch included in a mine that is set to fire the mine or to keep it live when it is lifted above its preset depth.</t>
  </si>
  <si>
    <t>Usually used in conjunction with a soluble plug to prevent actuation for a certain period after laying and/or until the mine has reached a certain depth.</t>
  </si>
  <si>
    <t>antiWatchingDevice</t>
  </si>
  <si>
    <t>Anti-watching Device</t>
  </si>
  <si>
    <t>A device fitted to a moored mine that causes the mine to sink should it for any reason rise and break the surface (watch).</t>
  </si>
  <si>
    <t>Activation of the anti-watching device prevents the position of the mine (or minefield) being disclosed.</t>
  </si>
  <si>
    <t>flooder</t>
  </si>
  <si>
    <t>Flooder</t>
  </si>
  <si>
    <t>A steriliser included in buoyant mines that floods the mine case after a preset time, rendering it inoperative.</t>
  </si>
  <si>
    <t>mooringLeverSafetyCutOut</t>
  </si>
  <si>
    <t>Mooring Lever Safety Cut-out Switch</t>
  </si>
  <si>
    <t>A switch that may be fitted to cut out the mooring lever safety switch, which normally renders a moored mine safe on breaking adrift or being swept.</t>
  </si>
  <si>
    <t>Its purpose is to leave the mine fully armed whilst drifting and hence liable to detonation during recovery or on being washed ashore. The Hague Convention forbids the use of the drifting mine as a weapon, except for very short-term use.</t>
  </si>
  <si>
    <t>steriliser</t>
  </si>
  <si>
    <t>Steriliser</t>
  </si>
  <si>
    <t>A device included in a mine to render it inoperative on expiration of a predetermined period after laying.</t>
  </si>
  <si>
    <t>The steriliser may be a device to short-out the mine's batteries, to fire the mine, or to flood the mine case.</t>
  </si>
  <si>
    <t>strippingPreventEquipment</t>
  </si>
  <si>
    <t>Stripping Prevention Equipment</t>
  </si>
  <si>
    <t>A booby trap included in a mine to fire the main or an auxiliary charge when an attempt is made to open the mechanism chambers.</t>
  </si>
  <si>
    <t>chainMooring</t>
  </si>
  <si>
    <t>Chain Mooring</t>
  </si>
  <si>
    <t>Resists being swept by possessing a chain mooring.</t>
  </si>
  <si>
    <t>cutter</t>
  </si>
  <si>
    <t>Cutter</t>
  </si>
  <si>
    <t>Resists being swept by possessing a sweep-wire cutter.</t>
  </si>
  <si>
    <t>grapnel</t>
  </si>
  <si>
    <t>Grapnel</t>
  </si>
  <si>
    <t>Grapples the sweep wire when the mooring is cut.</t>
  </si>
  <si>
    <t>sensitiveTubing</t>
  </si>
  <si>
    <t>Sensitive Tubing</t>
  </si>
  <si>
    <t>Designed to actuate the mine on pressure from the sweep wire.</t>
  </si>
  <si>
    <t>Normally fitted to the upper end of the mine mooring.</t>
  </si>
  <si>
    <t>sprocket</t>
  </si>
  <si>
    <t>Sprocket</t>
  </si>
  <si>
    <t>Allows a sweep wire to pass through the mooring without parting the mine from its sinker.</t>
  </si>
  <si>
    <t>Controlled so that it may be disarmed for safe passage of friendly vessels.</t>
  </si>
  <si>
    <t>For example, connected by electric cable to a shore station. Attribute: 'Mine Control Method' may be used to characterize the control method.</t>
  </si>
  <si>
    <t>selfActuated</t>
  </si>
  <si>
    <t>Self-actuated</t>
  </si>
  <si>
    <t>Directly actuated by the presence of any vessel, whether friendly or enemy.</t>
  </si>
  <si>
    <t>Attribute: 'Mine Self-Actuation Method' may be used to characterize the self-actuation method.</t>
  </si>
  <si>
    <t>Automatic, Independent</t>
  </si>
  <si>
    <t>alternatCurrentCommsLink</t>
  </si>
  <si>
    <t>Alternating Current Communications Link</t>
  </si>
  <si>
    <t>explicitCommsLink</t>
  </si>
  <si>
    <t>Explicit Communications link</t>
  </si>
  <si>
    <t>frequencyCommsLink</t>
  </si>
  <si>
    <t>Frequency Communications Link</t>
  </si>
  <si>
    <t>Controlled by signals sent along a cable (for example: electric), usually from a shore station.</t>
  </si>
  <si>
    <t>cableless</t>
  </si>
  <si>
    <t>Cableless</t>
  </si>
  <si>
    <t>Controlled by signals not requiring a cable for transmission.</t>
  </si>
  <si>
    <t>Attribute: 'Mine Cableless Control Method' may be used to characterize the cableless control method.</t>
  </si>
  <si>
    <t>coarse</t>
  </si>
  <si>
    <t>Coarse</t>
  </si>
  <si>
    <t>Requires a relatively large magnitude of influence (as from a vessel, with strong magnetic signature) to actuate.</t>
  </si>
  <si>
    <t>Difficult for Mine Hunters to safely actuate with sweeping gear designed to influence mines.</t>
  </si>
  <si>
    <t>magHorizontalComp</t>
  </si>
  <si>
    <t>Magnetic H (Horizontal Component)</t>
  </si>
  <si>
    <t>Responds to the horizontal component of the magnetic field of a ship, submarine, or sweep.</t>
  </si>
  <si>
    <t>magTotalComp</t>
  </si>
  <si>
    <t>Magnetic T (Total Component)</t>
  </si>
  <si>
    <t>Responds to the total magnetic field of a ship, submarine, or sweep.</t>
  </si>
  <si>
    <t>magVerticalComp</t>
  </si>
  <si>
    <t>Magnetic V (Vertical Component)</t>
  </si>
  <si>
    <t>Responds to the vertical component of the magnetic field of a ship, submarine, or sweep.</t>
  </si>
  <si>
    <t>midSensitive</t>
  </si>
  <si>
    <t>Mid-sensitive</t>
  </si>
  <si>
    <t>Requires a relatively moderate magnitude of influence (as from a vessel, with medium strength magnetic signature) to actuate.</t>
  </si>
  <si>
    <t>Moderately difficult for Mine Hunters to safely actuate with sweeping gear designed to influence mines.</t>
  </si>
  <si>
    <t>sensitive</t>
  </si>
  <si>
    <t>Sensitive</t>
  </si>
  <si>
    <t>Requires a relatively small magnitude of influence (as from a vessel, with weak magnetic signature) to actuate.</t>
  </si>
  <si>
    <t>Relatively easy for Mine Hunters to safely actuate with sweeping gear designed to influence mines.</t>
  </si>
  <si>
    <t>verySensitive</t>
  </si>
  <si>
    <t>Very Sensitive</t>
  </si>
  <si>
    <t>Requires a relatively very small magnitude of influence (as from a degaussed vessel) to actuate.</t>
  </si>
  <si>
    <t>Relatively very easy for Mine Hunters to safely actuate with sweeping gear designed to influence mines. Generally requires a relatively small magnitude of influence (as from a slow, small, quiet and degaussed vessel) to actuate.</t>
  </si>
  <si>
    <t>Actuated through physical contact.</t>
  </si>
  <si>
    <t>Attribute: 'Contact Mine Actuation Method' may be used to characterize the contact method.</t>
  </si>
  <si>
    <t>influence</t>
  </si>
  <si>
    <t>Influence</t>
  </si>
  <si>
    <t>Actuated through proximity sensing based on pressure, magnetic, and/or acoustic sensing.</t>
  </si>
  <si>
    <t>Attribute: 'Influence Mine Actuation Method' may be used to characterize the influence method.</t>
  </si>
  <si>
    <t>remoteSensing</t>
  </si>
  <si>
    <t>Remote Sensing</t>
  </si>
  <si>
    <t>Actuated through remote sensing (for example: electric fields, cosmic rays, and/or lasers).</t>
  </si>
  <si>
    <t>Attribute: 'Remote Sensing Mine Actuation Method' may be used to characterize the remote sensing method.</t>
  </si>
  <si>
    <t>anticountermining</t>
  </si>
  <si>
    <t>Anticountermining</t>
  </si>
  <si>
    <t>A device fitted in an influence explosive mine designed to prevent its actuation by shock (for example: local explosions caused by 'countermining').</t>
  </si>
  <si>
    <t>antiHunting</t>
  </si>
  <si>
    <t>Anti-Hunting</t>
  </si>
  <si>
    <t>Any device in a naval mine designed to prevent discovery (for example: using sonar arrays and/or magnetometers).</t>
  </si>
  <si>
    <t>Attribute: 'Mine Anti-Hunting Capability' may be used to characterize the antihunting method.</t>
  </si>
  <si>
    <t>antilift</t>
  </si>
  <si>
    <t>Antilift</t>
  </si>
  <si>
    <t>Arranged to detonate the explosive mine to which it is attached, or to detonate another mine nearby, if the mine is disturbed.</t>
  </si>
  <si>
    <t>antiRecovery</t>
  </si>
  <si>
    <t>Anti-Recovery</t>
  </si>
  <si>
    <t>Any device in an explosive mine designed to prevent an enemy discovering details of the working of the mine mechanism.</t>
  </si>
  <si>
    <t>Attribute: 'Mine Anti-Recovery Capability' may be used to characterize the antirecovery method.</t>
  </si>
  <si>
    <t>antiSweepWire</t>
  </si>
  <si>
    <t>Anti-Sweep Wire</t>
  </si>
  <si>
    <t>Any device incorporated in either the mooring of a naval mine or obstructer, or in the mine circuits to make the sweeping of the mine more difficult.</t>
  </si>
  <si>
    <t>Attribute: 'Mine Anti-Sweep Wire Capability' may be used to characterize the anti-sweep wire method.</t>
  </si>
  <si>
    <t>antiwatching</t>
  </si>
  <si>
    <t>Antiwatching</t>
  </si>
  <si>
    <t>A device fitted in a moored naval mine which causes it to sink should it 'watch' (become visible from the surface), so as to prevent the position of the mine or minefield being disclosed.</t>
  </si>
  <si>
    <t>armingDelay</t>
  </si>
  <si>
    <t>Arming Delay</t>
  </si>
  <si>
    <t>A device fitted in an explosive mine to prevent it being actuated for a preset time after laying.</t>
  </si>
  <si>
    <t>delayedRising</t>
  </si>
  <si>
    <t>Delayed Rising</t>
  </si>
  <si>
    <t>A sinker that holds a moored naval mine on the bottom for a pre-determined time after laying.</t>
  </si>
  <si>
    <t>A device fitted to a buoyant naval mine which, on operation after a preset time, floods its case and causes it to sink to the bottom.</t>
  </si>
  <si>
    <t>influenceReleaseSinker</t>
  </si>
  <si>
    <t>Influence Release Sinker</t>
  </si>
  <si>
    <t>A sinker that holds a moored or rising naval mine at the bottom and releases it when actuated by a suitable influence from a vessel.</t>
  </si>
  <si>
    <t>intermittentArming</t>
  </si>
  <si>
    <t>Intermittent Arming</t>
  </si>
  <si>
    <t>A device included in an explosive mine so that it will be armed only at set times.</t>
  </si>
  <si>
    <t>obstructor</t>
  </si>
  <si>
    <t>Obstructor</t>
  </si>
  <si>
    <t>A naval mine-like device laid with the sole object of obstructing or damaging mechanical minesweeping vessels or equipment.</t>
  </si>
  <si>
    <t>sterilizer</t>
  </si>
  <si>
    <t>Sterilizer</t>
  </si>
  <si>
    <t>A device in an explosive mine that renders it permanently inoperative on expiration of a pre-determined time after laying.</t>
  </si>
  <si>
    <t>vesselCount</t>
  </si>
  <si>
    <t>Vessel Count</t>
  </si>
  <si>
    <t>A device in a naval mine that prevents detonation until a preset number of actuations has taken place.</t>
  </si>
  <si>
    <t>The action of operating minehunting equipment to investigate detected contacts with the intention of discerning those which have properties (for example: size, shape, shadow, and/or structure) leading to the assumption that they may be mines.</t>
  </si>
  <si>
    <t>The action of operating minehunting sensors (acoustic, optical or magnetic) to find objects on or in the seabed which distinguish themselves from the general structure of the bottom, or to find objects floating in the water volume.</t>
  </si>
  <si>
    <t>The result of the operation of divers, underwater vehicles or other systems which permit a positive (specifically by sight or touch) identification of objects as explosive mines (or not).</t>
  </si>
  <si>
    <t>The identification thus results in a decision about the contact being a CERTMINE or a NONMINE.</t>
  </si>
  <si>
    <t>antiBallisticMissile</t>
  </si>
  <si>
    <t>Anti-ballistic Missile (ABM)</t>
  </si>
  <si>
    <t>A defensive missile designed to destroy an incoming enemy missile, typically an intercontinental ballistic missile.</t>
  </si>
  <si>
    <t>For example, the Nike and A-35 missiles.</t>
  </si>
  <si>
    <t>intercontBallisticMissile</t>
  </si>
  <si>
    <t>Intercontinental Ballistic Missile (ICBM)</t>
  </si>
  <si>
    <t>A ballistic missile able to be sent from one continent to another, generally with a range capability in excess of 5,500 kilometres.</t>
  </si>
  <si>
    <t>For example, the Atlas, Titian, Minuteman, Peacekeeper, SS-6, SS-7, SS-8, SS-9, SS-11, SS18, and SS-20 missiles.</t>
  </si>
  <si>
    <t>intermedBallisticMissile</t>
  </si>
  <si>
    <t>Intermediate-range Ballistic Missile (IRBM)</t>
  </si>
  <si>
    <t>A ballistic missile with a range of 2,750 to 5,500 kilometres.</t>
  </si>
  <si>
    <t>For example, the Thor, Redstone, Jupiter, Shavit, Taepo Dong 2, Pluton and Hades missiles.</t>
  </si>
  <si>
    <t>medRangeBallisticMissile</t>
  </si>
  <si>
    <t>Medium-range Ballistic Missile (MRBM)</t>
  </si>
  <si>
    <t>A ballistic missile with a range of 130 to 2,750 kilometres.</t>
  </si>
  <si>
    <t>For example, the Soviet SS-1 (R-1, or Scud), SS-2 (R-2), SS-3, SS-4, and SS-5 missiles.</t>
  </si>
  <si>
    <t>sa1Guild</t>
  </si>
  <si>
    <t>SA-1 Guild</t>
  </si>
  <si>
    <t>A Soviet anti-aircraft surface-to-air missile (SAM) system, the first operational SAM deployed by the Soviet Union.</t>
  </si>
  <si>
    <t>It was used only to defend Moscow. The missile uses a single liquid-fueled rocket motor. Its maximum speed is approximately Mach 2.5. Typical range for the missile is about 30 kilometres with a maximum altitude around 60,000 feet.</t>
  </si>
  <si>
    <t>sa10Grumble</t>
  </si>
  <si>
    <t>SA-10 Grumble</t>
  </si>
  <si>
    <t>A Russian surface-to-air missile (SAM) system similar to the US Patriot.</t>
  </si>
  <si>
    <t>It was developed as a PVO long-range system to defend strategic targets against both conventional aircraft and cruise missiles, while the contemporary S-300V (NATO designation SA-12A Gladiator/SA-12B Giant) series was developed as a more mobile system to protect the ground forces from aircraft and short-range ballistic missiles. The S-300 missiles are sealed rounds and require no maintenance over their lifetime. The missile range is 50 to 200 kilometres depending on the model.</t>
  </si>
  <si>
    <t>sa11Gadfly</t>
  </si>
  <si>
    <t>SA-11 Gadfly</t>
  </si>
  <si>
    <t>A Russian medium-range, medium-altitude surface-to-air missile (SAM) system, the successor to the SA-6 'Gainful'.</t>
  </si>
  <si>
    <t>It features improvements in number of missiles carried per TEL, range and altitude performance, missile speed, guidance accuracy and warhead potency. It is designed to engage maneuverable aircraft such as jets, helicopters and cruise missiles. The missile range is 3 to 50 kilometres depending on the model.</t>
  </si>
  <si>
    <t>sa12GladiatorGiant</t>
  </si>
  <si>
    <t>SA-12 Gladiator/Giant</t>
  </si>
  <si>
    <t>A Russian long-range, high-altitude surface-to-air missile system designed primarily to intercept incoming ballistic missiles (counterpart to the SA-10 'Grumble').</t>
  </si>
  <si>
    <t>The system is very similar to the SA-10 in terms of configuration, but unlike the SA-10 there are two different sizes of missiles. The smaller 9M82 missiles, called SA-12B 'Gladiator' by NATO, are similar in size and range to those of the SA-10 system. However the 9M83 (SA-12A 'Giant') missiles are much larger and only two can be carried on each TELAR, rather than four. These vehicles, in combination with the command vehicle and 'Grill Pan' tracking radar, 'Bill Board A' surveillance radar and 'High Screen' ballistic missile detection radar, scan a specific area of the sky and engage aerial theats including ballistic missiles which are detected transiting it. The 'Gladiator' missiles have a maximum engagement range of around 75 kilometres while the 'Giant' missiles can engage targets out to 100 kilometres and up to altitudes of around 100,000 feet. In both cases the warhead is around 150 kilograms.</t>
  </si>
  <si>
    <t>sa13Gopher</t>
  </si>
  <si>
    <t>SA-13 Gopher</t>
  </si>
  <si>
    <t>A Russian highly mobile, visually aimed, optical/infra-red guided, low-altitude, short-range surface-to-air missile (SAM) system (successor of the SA-9 'Gaskin').</t>
  </si>
  <si>
    <t>Rather than being mounted on an amphibious but lightly armoured BRDM chassis like the SA-9, the SA-13 is mounted on a slightly better protected and more mobile tracked, modified MT-LB. Four missiles are mounted on the turret in boxes, ready to launch, and eight more are carried inside the vehicle as reloads. Top missile speed is around Mach 2, engagement range is 500 to 5000 metres and engagement altitude is up to 11,500 feet. It can also use the SA-9 'Gaskin', SA-7 'Grail', and SA-14 'Gremlin' missiles.</t>
  </si>
  <si>
    <t>sa14Gremlin</t>
  </si>
  <si>
    <t>SA-14 Gremlin</t>
  </si>
  <si>
    <t>A Russian man-portable air defence missile system (MANPADS) was developed in the Soviet Union as a response to the poor performance of the earlier SA-7 'Grail' system.</t>
  </si>
  <si>
    <t>The missile includes an all-new infra-red homing seeker head. The missile range is about 4,500 metres.</t>
  </si>
  <si>
    <t>sa15Gauntlet</t>
  </si>
  <si>
    <t>SA-15 Gauntlet</t>
  </si>
  <si>
    <t>A Russian low and medium-altitude, short-range surface-to-air missile (SAM) system designed for engaging aircraft, helicopters, cruise-missiles, precision munitions and remotely-piloted vehicles.</t>
  </si>
  <si>
    <t>It is designed to protect targets from attack at all times and in any weather not only by shooting down attacking aircraft but also destroying any munitions before they reach the target. It is air-portable and equipped with NBC (nuclear, biological and chemical) protection. Each 9K331 vehicle is a completely autonomous TELAR although it can be linked into a greater air-defence system. The radar is a modern, phased-array type and eight missiles are stored vertically, ready to fire. The 9M330 missile is 3.5 metres long with a peak speed speed of around Mach 2.8. Guidance is via radio command and detonation via a radar proximity fuze.</t>
  </si>
  <si>
    <t>sa16Gimlet</t>
  </si>
  <si>
    <t>SA-16 Gimlet</t>
  </si>
  <si>
    <t>A Russian man-portable air defence missile system (MANPADS), the successor to the SA-14 'Gremlin' system.</t>
  </si>
  <si>
    <t>Uses infra-red homing.</t>
  </si>
  <si>
    <t>sa17Grizzly</t>
  </si>
  <si>
    <t>SA-17 Grizzly</t>
  </si>
  <si>
    <t>A Russian medium-range, medium-altitude surface-to-air missile (SAM) system, the successor to the SA-11 'Gadfly'.</t>
  </si>
  <si>
    <t>Possibly the biggest change from the SA-11 'Gadfly' system is the fact that the 9S18M1 'Snow Drift' surveillance radar is mounted on the TELAR, making each launcher more independent and allowing more targets to be tracked in different locations at the same time. Range, altitude and target engagement have improved as well. Range is reported as being up to 50 kilometres, maximum altitude around 82,000 feet and maximum target speed around Mach 4.</t>
  </si>
  <si>
    <t>sa18Grouse</t>
  </si>
  <si>
    <t>SA-18 Grouse</t>
  </si>
  <si>
    <t>A Russian man-portable air defence missile system (MANPADS), the successor to the SA-16 'Gimlet' system.</t>
  </si>
  <si>
    <t>sa19Grisom</t>
  </si>
  <si>
    <t>SA-19 Grisom</t>
  </si>
  <si>
    <t>A Soviet Integrated Air Defense System carrying six (2S6) or eight (2S6M/2S6M1) 9K111 missiles in two banks of two pairs, each pair being able to be elevated independently.</t>
  </si>
  <si>
    <t>Effective engagement ranges are 2.4 to 8 kilometres and altitudes are up to 11,500 feet. Each missile is 3.2 metres long, weighs 65 kilograms with a warhead of 16 kilograms, flies at around Mach 3.5 and can engage targets flying at up to Mach 1.5.</t>
  </si>
  <si>
    <t>sa2Guideline</t>
  </si>
  <si>
    <t>SA-2 Guideline</t>
  </si>
  <si>
    <t>A Soviet high-altitude surface-to-air guided missile (SAM) system, the most widely deployed and used air defence missile in history.</t>
  </si>
  <si>
    <t>It is a two-stage missile, consisting of a solid-fuel booster and a storable liquid-fuel upper stage burning red fuming nitric acid as the oxidizer, and kerosene as the fuel. Each battalion consists of six semi-fixed trainable single-rail launchers for their missiles about 60 to100 metres apart, deployed in a hexagonal 'flower' pattern around the central radars and guidance systems. Typically another six missiles are stored on tractor-trailers near the center of the site. Typical range for the missile is about 45 kilometres, with a maximum altitude around 60,000 feet.</t>
  </si>
  <si>
    <t>sa3Goa</t>
  </si>
  <si>
    <t>SA-3 Goa</t>
  </si>
  <si>
    <t>A Soviet short-range surface-to-air missile (SAM) system designed to complement the S-25 Berkut (SA-1 'Guild') and V-75 (SA-2 'Guideline').</t>
  </si>
  <si>
    <t>The missiles are typically deployed on originally fixed, but later trailer-mounted, turrets containing two or four but can be carried ready-to-fire on Zil trucks in pairs or on tracked chassis carrying three missiles. It has a shorter effective range and lower engagement altitude than either of its predecessors and also flies slower, but due to its two-stage design it is more effective against more maneuverable targets. It is also able to engage lower flying targets than the previous systems, and being more modern it is much more resistant to ECM than the SA-2. The 5V24 (V-600) missiles reach around Mach 3 to 3.5 in flight, both stages powered by solid fuel rocket motors, and has an effective range of 25 kilometres. The SA-3, like the SA-2, uses radio command guidance.</t>
  </si>
  <si>
    <t>sa4Ganef</t>
  </si>
  <si>
    <t>SA-4 Ganef</t>
  </si>
  <si>
    <t>A Soviet long range, medium-to-high altitude surface-to-air missile (SAM) system.</t>
  </si>
  <si>
    <t>The Transporter-Erector-Launcher (TEL) vehicles are tracked (modified AT-Ts) and carry two missiles each on an elevating turntable for up to 360 degree rotation and 70 degree elevation. The missiles are launched with the aid of four solid fuel rocket motors inside boosters attached to the outside of the massive missile. Once they have burned and the missile is aloft, it fires a liquid-fuelled ramjet sustainer engine. It reaches speeds of up to Mach 4 and has an effective range of 50 to 55 kilometres depending upon the version. It carries a 135 kilogram warhead.</t>
  </si>
  <si>
    <t>sa5Gammon</t>
  </si>
  <si>
    <t>SA-5 Gammon</t>
  </si>
  <si>
    <t>A Soviet very long range medium-to-high altitude surface-to-air missile (SAM) system designed to defend large areas from bomber attack or other strategic aircraft (such as the SR-71 'Blackbird').</t>
  </si>
  <si>
    <t>Each battalion has six single-rail missile launchers for the 10.72 metre long missiles as well as a number of radar systems. The missile range is 200 to 400 kilometres depending on the model.</t>
  </si>
  <si>
    <t>sa6Gainful</t>
  </si>
  <si>
    <t>SA-6 Gainful</t>
  </si>
  <si>
    <t>A Soviet mobile surface-to-air missile (SAM) system used in low level air defence system designed to protect ground forces from air attack.</t>
  </si>
  <si>
    <t>Each battery consists of a number of similar tracked vehicles, one of which carries the 1S91 (NATO designation 'Straight Flush') 25 kilowatt G/H-band continuous-wave radar (range 75 kilometres) in addition to an optical sight and is usually accompanied by four triple-missile TELs and four trucks carrying three spare missiles and a crane. The missile range is 3 to 24 kilometres.</t>
  </si>
  <si>
    <t>sa7Grail</t>
  </si>
  <si>
    <t>SA-7 Grail</t>
  </si>
  <si>
    <t>A Soviet man-portable, shoulder-fired, low-altitude surface-to-air missile (SAM) system similar to the US Army REDEYE, with a high explosive warhead and passive infrared homing guidance.</t>
  </si>
  <si>
    <t>The missile range is about thirteen kilometres. The SA-7 is a tail-chase missile system and its effectiveness depends on its ability to lock onto the heat source of low-flying fixed and rotary-wing aircraft.</t>
  </si>
  <si>
    <t>sa8Gecko</t>
  </si>
  <si>
    <t>SA-8 Gecko</t>
  </si>
  <si>
    <t>A Soviet short-range, anti-aircraft amphibious-vehicle-mounted mobile surface-to-air missile (SAM) system based on the SA-N-4 and an all-in-one TELAR vehicle which can detect, track and engage aircraft independently or with the aid of regimental surveillance radars.</t>
  </si>
  <si>
    <t>The Gecko carries four SA-8 missiles, and another 8 inside for reload purposes. The missile range is about 13 kilometres with a launch weight of 190 kilograms. The SA-8 missile uses infrared tracking to find its targets.</t>
  </si>
  <si>
    <t>sa9Gaskin</t>
  </si>
  <si>
    <t>SA-9 Gaskin</t>
  </si>
  <si>
    <t>A Soviet short-range, anti-aircraft amphibious-vehicle-mounted mobile surface-to-air missile (SAM) system consisting of the SA-9 launcher atop the BRDM-2A.</t>
  </si>
  <si>
    <t>The Gaskin can carry two missiles boxes on the launch pad and four more inside for reload purposes. Missiles can be launched one at a time, two at a time, or four at a time. The Gaskin does not have radar. The missile range is 5 to 8 kilometres with a launch weight of 30 kilograms.</t>
  </si>
  <si>
    <t>surfaceToAirMissile</t>
  </si>
  <si>
    <t>Surface-to-air Missile (SAM)</t>
  </si>
  <si>
    <t>A missile designed to be launched from the ground to destroy aircraft.</t>
  </si>
  <si>
    <t>It is a type of anti-aircraft system. For example, the US MIM-series and RIM-series, and the Soviet SA-series missiles.</t>
  </si>
  <si>
    <t>surfaceToSurfaceMissile</t>
  </si>
  <si>
    <t>Surface-to-surface Missile (SSM)</t>
  </si>
  <si>
    <t>A surface-to-surface guided projectile launched from a hand-held, vehicle mounted, trailer mounted or fixed installation or from a ship.</t>
  </si>
  <si>
    <t>Surface-to-surface missiles are usually guided (an unguided surface-to-surface missile is usually referred to as a rocket). They are often powered by a rocket motor or sometimes fired by an explosive charge, since the launching platform is typically stationary or moving slowly. They usually have fins and/or wings for lift and stability, although hyper-velocity or short-ranged missiles may utilise body lift or fly a ballistic trajectory.</t>
  </si>
  <si>
    <t>instrumental_I</t>
  </si>
  <si>
    <t>I - Instrumental</t>
  </si>
  <si>
    <t>Not felt by many people unless in favourable conditions.</t>
  </si>
  <si>
    <t>feeble_II</t>
  </si>
  <si>
    <t>II - Feeble</t>
  </si>
  <si>
    <t>Felt only by a few people at best, especially on the upper floors of buildings; delicately suspended objects may swing.</t>
  </si>
  <si>
    <t>slight_III</t>
  </si>
  <si>
    <t>III - Slight</t>
  </si>
  <si>
    <t>Felt quite noticeably by people indoors, especially on the upper floors of buildings, but many do not recognize it as an earthquake; standing motor cars may rock slightly; vibration similar to the passing of a truck; event duration estimated.</t>
  </si>
  <si>
    <t>moderate_IV</t>
  </si>
  <si>
    <t>IV - Moderate</t>
  </si>
  <si>
    <t>Felt by many to all; trees and bushes shaken slightly; buildings shaken moderately to strongly; walls creak loudly; observer described the shaking as 'strong'.</t>
  </si>
  <si>
    <t>Formerly described as follows: felt indoors by many people, outdoors by few people during the day, at night some awakened; dishes, windows, doors disturbed; dishes and windows rattle alarmingly; walls make cracking sound; sensation like heavy truck striking building; standing motor cars rock noticeably.</t>
  </si>
  <si>
    <t>ruinous_IX</t>
  </si>
  <si>
    <t>IX - Ruinous</t>
  </si>
  <si>
    <t>Multiple cases of structural damage to reinforced-concrete buildings and parking structures that would have been built when a seismic code was in effect, with some cases of partial or complete collapse; widespread destruction of wood-frame apartment buildings having large open areas in their first stories; collapse of elevated freeway sections.</t>
  </si>
  <si>
    <t>Formerly described as follows: general panic; damage considerable in specially designed structures; well designed frame structures thrown out of plumb; damage great in substantial buildings, with partial collapse; buildings shifted off foundations.</t>
  </si>
  <si>
    <t>ratherStrong_V</t>
  </si>
  <si>
    <t>V - Rather Strong</t>
  </si>
  <si>
    <t>A few small objects overturned and fallen; a few items thrown from store shelves; hairline cracks in interior walls; a few windows cracked; hanging pictures tilted, out of place, or fallen; trees and bushes shaken moderately to strongly; observer reported difficulty standing or walking; felt moderately by people in moving vehicles.</t>
  </si>
  <si>
    <t>Formerly described as follows: felt outside by most, may not be felt by some outside in non-favourable conditions; dishes and windows may break and large bells will ring; vibrations like large train passing close to house.</t>
  </si>
  <si>
    <t>strong_VI</t>
  </si>
  <si>
    <t>VI - Strong</t>
  </si>
  <si>
    <t>Some windows broken out; a few instances of fallen plaster or damaged unreinforced masonry (URM) chimneys; large cracks in interior walls; many small objects overturned and fallen; many items thrown from store shelves; many glassware items or dishes broken; light furniture overturned and moderately heavy furniture displaced.</t>
  </si>
  <si>
    <t>Formerly described as follows: felt by all; many frightened and run outdoors, walk unsteadily; windows, dishes, glassware broken; books fall off shelves; some heavy furniture moved or overturned; a few instances of fallen plaster; damage slight.</t>
  </si>
  <si>
    <t>veryStrong_VII</t>
  </si>
  <si>
    <t>VII - Very Strong</t>
  </si>
  <si>
    <t>Significant damage to unreinforced masonry (URM) buildings, including cracks in bearing walls and out-of-plane movement or fall of upper walls and parapets; many URM chimneys fallen or broken at the roofline; some masonry fences fallen or destroyed; heavy furniture overturned.</t>
  </si>
  <si>
    <t>Formerly described as follows: difficult to stand; furniture broken; damage negligible in building of good design and construction; damage slight to moderate in well-built ordinary structures; considerable damage in poorly built or badly designed structures; some chimneys broken; noticed by people driving motor cars.</t>
  </si>
  <si>
    <t>destructive_VIII</t>
  </si>
  <si>
    <t>VIII - Destructive</t>
  </si>
  <si>
    <t>Considerable damage to unreinforced masonry buildings, with partial collapse; old wood-frame houses shifted off foundations; damage to wood-frame apartment buildings having open first-stories, with some cases of apartments being destroyed; significant damage to reinforced, lined, masonry chimneys on single-family homes; structural damage to some reinforced-concrete structures that would have been built when a seismic code was in effect; very heavy furniture moved conspicuously or overturned.</t>
  </si>
  <si>
    <t>Formerly described as follows: damage slight in specially designed structures; damage considerable in ordinary substantial buildings with partial collapse; damage great in poorly built structures; fall of chimneys, factory stacks, columns, monuments, walls; heavy furniture moved.</t>
  </si>
  <si>
    <t>disastrous_X</t>
  </si>
  <si>
    <t>X - Disastrous</t>
  </si>
  <si>
    <t>Some well built wooden structures destroyed; most masonry and frame structures destroyed with foundation; railway track rails bent.</t>
  </si>
  <si>
    <t>veryDisastrous_XI</t>
  </si>
  <si>
    <t>XI - Very Disastrous</t>
  </si>
  <si>
    <t>Few, if any masonry structures remain standing; bridges destroyed; railway track rails bent greatly.</t>
  </si>
  <si>
    <t>catastrophic_XII</t>
  </si>
  <si>
    <t>XII - Catastrophic</t>
  </si>
  <si>
    <t>Total damage; almost everything is destroyed; lines of sight and level distorted; objects thrown into the air; ground moves in waves or ripples; large amounts of rock may move position.</t>
  </si>
  <si>
    <t xml:space="preserve">automated    </t>
  </si>
  <si>
    <t xml:space="preserve">Automated    </t>
  </si>
  <si>
    <t>The feature is superintended remotely, and only automated equipment is present on station.</t>
  </si>
  <si>
    <t>staffed</t>
  </si>
  <si>
    <t>Staffed</t>
  </si>
  <si>
    <t>The feature is superintended by permanently stationed personnel.</t>
  </si>
  <si>
    <t>deviationDolphin</t>
  </si>
  <si>
    <t>Deviation Dolphin</t>
  </si>
  <si>
    <t>A post or group of posts, which a vessel may swing around for compass adjustment.</t>
  </si>
  <si>
    <t>dolphin</t>
  </si>
  <si>
    <t>A post or group of posts, which may support a deck, used for mooring or warping a vessel.</t>
  </si>
  <si>
    <t>mooringBuoy</t>
  </si>
  <si>
    <t>Mooring Buoy</t>
  </si>
  <si>
    <t>A buoy secured to the bottom by permanent moorings with means for mooring a vessel by use of its anchor chain or mooring lines.</t>
  </si>
  <si>
    <t>warpingBuoy</t>
  </si>
  <si>
    <t>Warping Buoy</t>
  </si>
  <si>
    <t>A buoy so located that lines to it can be used for the movement of vessels.</t>
  </si>
  <si>
    <t>buoyMooring</t>
  </si>
  <si>
    <t>Buoy Mooring</t>
  </si>
  <si>
    <t>A single point mooring attached to a floating buoy to which a vessel may be attached.</t>
  </si>
  <si>
    <t>foreAndAftMooring</t>
  </si>
  <si>
    <t>Fore and Aft Mooring</t>
  </si>
  <si>
    <t>A set of anchors to which boats are attached by both bow and stem lines.</t>
  </si>
  <si>
    <t>islandMooring</t>
  </si>
  <si>
    <t>Island Mooring</t>
  </si>
  <si>
    <t>A floating structure secured by an anchor to which one or more boats may be moored.</t>
  </si>
  <si>
    <t>swingMooring</t>
  </si>
  <si>
    <t>Swing Mooring</t>
  </si>
  <si>
    <t>An anchor to which a vessel is attached to allow alignment with wave, wind or current.</t>
  </si>
  <si>
    <t>trotMooring</t>
  </si>
  <si>
    <t>Trot Mooring</t>
  </si>
  <si>
    <t>A system for the fore and aft mooring of several boats in rows.</t>
  </si>
  <si>
    <t>arcticLand</t>
  </si>
  <si>
    <t>Arctic Land</t>
  </si>
  <si>
    <t>A tract of land in the Arctic.</t>
  </si>
  <si>
    <t>A tract of land without homogeneous character or boundaries.</t>
  </si>
  <si>
    <t>locality</t>
  </si>
  <si>
    <t>Locality</t>
  </si>
  <si>
    <t>A minor area or place of unspecified or mixed character and indefinite boundaries.</t>
  </si>
  <si>
    <t>populatedLocality</t>
  </si>
  <si>
    <t>Populated Locality</t>
  </si>
  <si>
    <t>A minor area or place of unspecified or mixed character and indefinite boundaries that includes a small group of dwellings or other buildings.</t>
  </si>
  <si>
    <t>region</t>
  </si>
  <si>
    <t>Region</t>
  </si>
  <si>
    <t>An area distinguished by one or more observable physical or cultural characteristics.</t>
  </si>
  <si>
    <t>locallySignificant</t>
  </si>
  <si>
    <t>Locally Significant</t>
  </si>
  <si>
    <t>Features generally recognized as significant on a local level within the nation.</t>
  </si>
  <si>
    <t>nationallyCritical</t>
  </si>
  <si>
    <t>Nationally Critical</t>
  </si>
  <si>
    <t>Features of unique quality, widely recognized both nationally and internationally to be symbolic of the nation.</t>
  </si>
  <si>
    <t>nationallySignificant</t>
  </si>
  <si>
    <t>Nationally Significant</t>
  </si>
  <si>
    <t>Features generally recognized nationally to be significant symbols of the nation.</t>
  </si>
  <si>
    <t>regionallyCritical</t>
  </si>
  <si>
    <t>Regionally Critical</t>
  </si>
  <si>
    <t>Features of unique quality, widely recognized as having significance on a regional level within the nation.</t>
  </si>
  <si>
    <t>resurgence</t>
  </si>
  <si>
    <t>Resurgence</t>
  </si>
  <si>
    <t>The location at which a watercourse re-emerges from the terrain at the end of an underground part of its course.</t>
  </si>
  <si>
    <t>spring</t>
  </si>
  <si>
    <t>Spring</t>
  </si>
  <si>
    <t>A flow of water rising or welling naturally from the earth.</t>
  </si>
  <si>
    <t>walledInSpring</t>
  </si>
  <si>
    <t>Walled-in Spring</t>
  </si>
  <si>
    <t>A spring whose outflow has been collected by an enclosure.</t>
  </si>
  <si>
    <t>For example, to increase its volume and/or smooth seasonal fluctuations.</t>
  </si>
  <si>
    <t>highAltitudeService</t>
  </si>
  <si>
    <t>High Altitude Service</t>
  </si>
  <si>
    <t>A navigation aid designed for high altitude reception, with an interference-free service range of 40 nautical miles (74.08  kilometres) between 1,000 and 14,500 feet (304.8 and 4,419.6 metres) above ground level; 100 nautical miles (185.2  kilometres) between 14,500 and 60,000 feet (4,419.6 and 18,288 metres) above ground level; and, 130 nautical miles (240.76 kilometres; contiguous 48 U.S. states only) between 18,000 and 45,000 feet (5,486.4 and 13,716 metres) above ground level.</t>
  </si>
  <si>
    <t>highPowerNdb</t>
  </si>
  <si>
    <t>High Power NDB</t>
  </si>
  <si>
    <t>A non-directional radio beacon (NDB) with a power of at least  2,000 watts, enabling a maximum service range of up to 75 nautical miles (138.9 kilometres).</t>
  </si>
  <si>
    <t>lowAltitudeService</t>
  </si>
  <si>
    <t>Low Altitude Service</t>
  </si>
  <si>
    <t>A navigation aid designed for low level reception, with an interference-free service range of up to 40 nautical miles (74.08  kilometres) extending up to 18,000 feet (5,486.4 metres) above ground level.</t>
  </si>
  <si>
    <t>lowPowerCompassLocator</t>
  </si>
  <si>
    <t>Low Power Compass Locator</t>
  </si>
  <si>
    <t>A non-directional radio beacon (NDB) with a maximum power of 25 watts and a maximum service range up to 15 nautical miles (27.78 kilometres).</t>
  </si>
  <si>
    <t>lowPowerNdb</t>
  </si>
  <si>
    <t>Low Power NDB</t>
  </si>
  <si>
    <t>A non-directional radio beacon (NDB) with a power of less than 50 watts, with a maximum service range of 25 nautical miles (46.3 kilometres).</t>
  </si>
  <si>
    <t>mediumPowerNdb</t>
  </si>
  <si>
    <t>Medium Power NDB</t>
  </si>
  <si>
    <t>A non-directional radio beacon (NDB) with a power between 50 watts and 2000 watts and a maximum service range of 50 nautical miles (92.6 kilometres).</t>
  </si>
  <si>
    <t>terminalAreaService</t>
  </si>
  <si>
    <t>Terminal Area Service</t>
  </si>
  <si>
    <t>A navigation aid designed for terminal area reception, with an interference-free service range of up to 25 nautical miles (46.3 kilometres) extending up to 12,000 feet (3,657.6 metres) above ground level.</t>
  </si>
  <si>
    <t>abandNavalTrainMinefield</t>
  </si>
  <si>
    <t>Abandoned Naval Training Minefield</t>
  </si>
  <si>
    <t>An area formerly used to carry out mine warfare drills and/or standard operating procedures (for example: to check sonar) but now abandoned.</t>
  </si>
  <si>
    <t>bombingStrafingTargetsArea</t>
  </si>
  <si>
    <t>Bombing and/or Strafing Targets Area</t>
  </si>
  <si>
    <t>A Naval military exercise area designated specifically for bombardment and/or strafing of targets.</t>
  </si>
  <si>
    <t>An area in which military bombing and missile exercises are, or may be, carried out and constitute a firing danger.</t>
  </si>
  <si>
    <t>inwaterTrackingRange</t>
  </si>
  <si>
    <t>Inwater Tracking Range</t>
  </si>
  <si>
    <t>An acoustically enabled weapons range where ships, aircraft (planes and/or helicopters) and/or submarines can target, track, and engage remotely operated targets with torpedoes.</t>
  </si>
  <si>
    <t>mineLayingPracticeArea</t>
  </si>
  <si>
    <t>Mine Laying Practice Area</t>
  </si>
  <si>
    <t>An area in which military exercises for the laying of naval mines are, or may be, carried out.</t>
  </si>
  <si>
    <t>missileFiringPracticeArea</t>
  </si>
  <si>
    <t>Missile Firing and Practice Area</t>
  </si>
  <si>
    <t>A military exercise area designated specifically for the testing, firing and practice of AWW missile engagements.</t>
  </si>
  <si>
    <t>Missile firings could include surface to air, surface to surface and air to air engagements.</t>
  </si>
  <si>
    <t>navalImpactArea</t>
  </si>
  <si>
    <t>Naval Impact Area</t>
  </si>
  <si>
    <t>An area allocated for bombardment during the live firing of weapons.</t>
  </si>
  <si>
    <t>navalTrainingMinefield</t>
  </si>
  <si>
    <t>Naval Training Minefield</t>
  </si>
  <si>
    <t>A Naval training area where re-usable mines designated for exercise and training are deployed and recovered.</t>
  </si>
  <si>
    <t>Such mines are inert-loaded or empty mine cases filled with special devices for training or exercises.</t>
  </si>
  <si>
    <t>torpedoPracticeArea</t>
  </si>
  <si>
    <t>Torpedo Practice Area</t>
  </si>
  <si>
    <t>An area where military exercises involving torpedoes are, or may be, carried out.</t>
  </si>
  <si>
    <t>weaponsRange</t>
  </si>
  <si>
    <t>Weapons Range</t>
  </si>
  <si>
    <t>An area where Naval forces conduct weapons tests and/or exercises.</t>
  </si>
  <si>
    <t>antiHovercraft</t>
  </si>
  <si>
    <t>Anti-hovercraft and/or Anti-helicopter</t>
  </si>
  <si>
    <t>Laid for the purpose of, or whose mechanism is specifically designed or adjusted with the object of, sinking or damaging hovercraft or helicopters.</t>
  </si>
  <si>
    <t>The mines' firing system is designed or adjusted to discriminate signatures of helicopters (for example: acoustic signature or rotor noise) and/or hovercraft. The mines are normally designed to cause plume and fragmentation damage.</t>
  </si>
  <si>
    <t>antiHunter</t>
  </si>
  <si>
    <t>Anti-hunter</t>
  </si>
  <si>
    <t>Laid for the purpose of, or whose mechanism is specifically designed or adjusted with the object of, sinking or damaging minehunter vessels.</t>
  </si>
  <si>
    <t>Actuation is normally caused by the minehunters' sonar beam.</t>
  </si>
  <si>
    <t>antiMcmVessel</t>
  </si>
  <si>
    <t>Anti-MCM Vessel</t>
  </si>
  <si>
    <t>Laid for the purpose of, or whose mechanism is specifically designed or adjusted with the object of, sinking or damaging Mine Counter-Mine Vessels (MCMV).</t>
  </si>
  <si>
    <t>These mines do not target specific features of the MCMV (for example: Anti-Sweeper Mine or Anti-Hunter Mine); they are anti-surface ship mines laid or adjusted to counter MCMVs. For example: shallow moored mines, snagline mines, highly sensitive magnetic mines, and medium actuation level acoustic mines.</t>
  </si>
  <si>
    <t>antiSurfaceEffectVehicle</t>
  </si>
  <si>
    <t>Anti-Surface Effect Vehicle</t>
  </si>
  <si>
    <t>Laid for the purpose of, or whose mechanism is specifically designed or adjusted with the object of, sinking surface effect vehicles in water depth of 3 - 60 metres.</t>
  </si>
  <si>
    <t>antiSweeper</t>
  </si>
  <si>
    <t>Anti-sweeper</t>
  </si>
  <si>
    <t>Laid for the purpose of, or whose mechanism is specifically designed or adjusted with the object of, sinking or damaging mine sweeper vessels.</t>
  </si>
  <si>
    <t>For example: moored mines fitted with grapnel devices, medium-actuation-level magnetic mines which a normally energized sweep will detonate within the mine sweepers' damage area, and course acoustic mines actuated when the sweeper is towing an acoustic sweep beam.</t>
  </si>
  <si>
    <t>drill</t>
  </si>
  <si>
    <t>Drill</t>
  </si>
  <si>
    <t>Used to carry out mine warfare drills and/or standard operating procedures (for example: to check sonar).</t>
  </si>
  <si>
    <t>A re-usable mine designed for exercise and training. They use inert-loaded or empty mine cases filled with special devices for training or exercises and recovery.</t>
  </si>
  <si>
    <t>exercise</t>
  </si>
  <si>
    <t>Exercise</t>
  </si>
  <si>
    <t>An object constructed to have mine-like characteristics (for example: oil drums welded together) for mine hunting training purposes.</t>
  </si>
  <si>
    <t>A re-usable mine designed for exercise and training. They may be either ground mines or buoyant mines. For example, the VErsatile Mine firing System (VEMS) is an exercise ground mine that senses and records ship traffic, sending a radio signal or releasing a buoy if it calculates that it has sunk a 'target'.</t>
  </si>
  <si>
    <t>exerciseFilled</t>
  </si>
  <si>
    <t>Exercise (filled)</t>
  </si>
  <si>
    <t>An object constructed to have mine-like characteristics (for example: oil drums welded together) and filled with inert material to give enhanced mine-like characteristics for mine hunting training.</t>
  </si>
  <si>
    <t>A re-usable mine designed for exercise and training.</t>
  </si>
  <si>
    <t>minehuntingSonarDecoy</t>
  </si>
  <si>
    <t>Minehunting Sonar Decoy</t>
  </si>
  <si>
    <t>An object (for example: a decoy or dummy) designed to have the sonar signature attributes of a mine, with the intention of wasting an enemies time and resources.</t>
  </si>
  <si>
    <t>These are either small objects with a large sonar signal, or inert minelike objects.</t>
  </si>
  <si>
    <t>practice</t>
  </si>
  <si>
    <t>Practice</t>
  </si>
  <si>
    <t>An inert replica mine for mine hunting training purposes.</t>
  </si>
  <si>
    <t>antiInvasionMoored</t>
  </si>
  <si>
    <t>Anti-invasion Moored</t>
  </si>
  <si>
    <t>A moored contact mine for use in the Very Shallow Water (VSL).</t>
  </si>
  <si>
    <t>Employed against landing craft.</t>
  </si>
  <si>
    <t>antiSubmarineDeep</t>
  </si>
  <si>
    <t>Anti-submarine Deep</t>
  </si>
  <si>
    <t>A deep moored mine designed to sink submarines, usually influence actuated.</t>
  </si>
  <si>
    <t>Moored contact mines laid at great depth which remain moored near the sinker may also pose a threat to submarines.</t>
  </si>
  <si>
    <t>bouquet</t>
  </si>
  <si>
    <t>Bouquet</t>
  </si>
  <si>
    <t>A moored mine with a number of buoyant mine cases attached to the same sinker such that when the mooring of one mine case is severed, another mine case rises from the sinker to its preset case depth.</t>
  </si>
  <si>
    <t>Bouquet mines are used to counter mechanical mine sweeping operations.</t>
  </si>
  <si>
    <t>buoyantRising</t>
  </si>
  <si>
    <t>Buoyant Rising</t>
  </si>
  <si>
    <t>A mine having positive buoyancy which is released from a sinker by target influence.</t>
  </si>
  <si>
    <t>closeTethered</t>
  </si>
  <si>
    <t>Close-tethered</t>
  </si>
  <si>
    <t>A moored mine with a very short scope mooring that keeps the mine case close to the sinker.</t>
  </si>
  <si>
    <t>There are three typical types of short-tethered moored mines: anti-invasion moored contact mines, anti-submarine deep moored mines, and rising mines.</t>
  </si>
  <si>
    <t>closeTetheredRising</t>
  </si>
  <si>
    <t>Close-tethered Rising</t>
  </si>
  <si>
    <t>A rising mine with a very short scope mooring that keeps the mine case close to the sinker.</t>
  </si>
  <si>
    <t>creeping</t>
  </si>
  <si>
    <t>Creeping</t>
  </si>
  <si>
    <t>A buoyant naval mine held below the water surface by a weight, usually in the form of a chain, which is free to creep along the bottom under the influence of currents.</t>
  </si>
  <si>
    <t>drifting</t>
  </si>
  <si>
    <t>Drifting</t>
  </si>
  <si>
    <t>A buoyant or neutrally buoyant naval mine, free to drift under the influence of waves, wind, currents, or the tide.</t>
  </si>
  <si>
    <t>A mine visible on the surface of the water.</t>
  </si>
  <si>
    <t>It can be either 'watching', 'drifting', or 'free'.</t>
  </si>
  <si>
    <t>free</t>
  </si>
  <si>
    <t>Free</t>
  </si>
  <si>
    <t>A mine that moves on its own when it is deployed.</t>
  </si>
  <si>
    <t>For example, submarines deploy free (mobile) mines and they have the form of a torpedo; thus the mine can be deployed deep inside an enemy harbour.</t>
  </si>
  <si>
    <t>ground</t>
  </si>
  <si>
    <t>Ground</t>
  </si>
  <si>
    <t>A negatively buoyant mine that rests on, or can become buried in, the sea bed and is held there by its own mass.</t>
  </si>
  <si>
    <t>Its firing mechanism is usually of the influence type (some anti-invasion naval mines used in the Very Shallow Water (VSL) are contact actuated).</t>
  </si>
  <si>
    <t>moored</t>
  </si>
  <si>
    <t>Moored</t>
  </si>
  <si>
    <t>A mine of positive buoyancy held down below the surface by a mooring attached to a sinker on the bottom.</t>
  </si>
  <si>
    <t>Its firing mechanism can be of either contact or influence type. Some 'Deep Moored Mines' use very strong moorings (usually small gauge wire) to permit use in water depth down to 1000 metres.</t>
  </si>
  <si>
    <t>oscillating</t>
  </si>
  <si>
    <t>Oscillating</t>
  </si>
  <si>
    <t>A moored mine of positive buoyancy whose position is hydrostatically controlled, maintaining a pre-set depth below the water surface independently of the rise and fall of the tide.</t>
  </si>
  <si>
    <t>rising</t>
  </si>
  <si>
    <t>Rising</t>
  </si>
  <si>
    <t>A mine that rises from its deployed position, either using its own positive buoyancy or by means of a propulsion system.</t>
  </si>
  <si>
    <t>Most rising mines are short-tethered and can be straight rising, vectored by attached pre-set fins, or homing.</t>
  </si>
  <si>
    <t>Ascending</t>
  </si>
  <si>
    <t>rocketPropelledRising</t>
  </si>
  <si>
    <t>Rocket Propelled Rising</t>
  </si>
  <si>
    <t>A rising mine that is launched from its deployed position by a propelling charge and continues in motion within a cavitation bubble by virtue of its kinetic energy.</t>
  </si>
  <si>
    <t>watching</t>
  </si>
  <si>
    <t>Watching</t>
  </si>
  <si>
    <t>A moored mine, still connected to its sinker, whose case breaks frequently or permanently the surface of the water.</t>
  </si>
  <si>
    <t>This normally occurs when the scope of the mooring is too long for the prevailing water depth.</t>
  </si>
  <si>
    <t>acronymAreaPurple</t>
  </si>
  <si>
    <t>Acronym Area - Purple</t>
  </si>
  <si>
    <t>alcantGrid</t>
  </si>
  <si>
    <t>ALCANT Grid</t>
  </si>
  <si>
    <t>areaFoxtrot</t>
  </si>
  <si>
    <t>Area FOXTROT</t>
  </si>
  <si>
    <t>aswOperatingArea</t>
  </si>
  <si>
    <t>ASW Operating Area</t>
  </si>
  <si>
    <t>An area where Naval forces conduct Anti-Submarine Warfare (ASW) operations.</t>
  </si>
  <si>
    <t>May include both surface and submerged vessels working in conjunction with aircraft.</t>
  </si>
  <si>
    <t>diveTrainingArea</t>
  </si>
  <si>
    <t>Dive Training Area</t>
  </si>
  <si>
    <t>An area in which practical instruction in diving techniques is given and practiced.</t>
  </si>
  <si>
    <t>fastPatrolBoatPosition</t>
  </si>
  <si>
    <t>Fast Patrol Boat Position</t>
  </si>
  <si>
    <t>A position where Fast Patrol Boats can moor to an islet or land.</t>
  </si>
  <si>
    <t>foracsVLimit</t>
  </si>
  <si>
    <t>FORACS V Limit</t>
  </si>
  <si>
    <t>The limit of a NATO Fleet Operational Readiness Accuracy Check Site (FORACS) Naval Forces Sensor and Weapons Accuracy Check Site established under Programme V.</t>
  </si>
  <si>
    <t>jenoaGrid</t>
  </si>
  <si>
    <t>JMC Areas - JENOA Grid - UKHO</t>
  </si>
  <si>
    <t>A Joint Exercise Notification and Operating Area (JENOA) management grid used by the Joint Maritime Operational Training Staff (JMOTS) for the positioning of forces.</t>
  </si>
  <si>
    <t>It provides a framework for operating forces in widely dispersed groups.</t>
  </si>
  <si>
    <t>lcacArea</t>
  </si>
  <si>
    <t>Landing Craft Air Cushion (LCAC) Area</t>
  </si>
  <si>
    <t>An area where Landing Craft Air Cushion (LCAC) vehicles are used in the conduct of operations.</t>
  </si>
  <si>
    <t>majorNavalOperatingArea</t>
  </si>
  <si>
    <t>Major Naval Operating Area</t>
  </si>
  <si>
    <t>A large area where Naval forces conduct operations.</t>
  </si>
  <si>
    <t>mineSweptRegion</t>
  </si>
  <si>
    <t>Mine Swept Region</t>
  </si>
  <si>
    <t>A region that has been swept for explosive mines.</t>
  </si>
  <si>
    <t>minorNavalOperatingArea</t>
  </si>
  <si>
    <t>Minor Naval Operating Area</t>
  </si>
  <si>
    <t>A small area where Naval forces conduct operations.</t>
  </si>
  <si>
    <t>namedOperatingArea</t>
  </si>
  <si>
    <t>Named Operating Area</t>
  </si>
  <si>
    <t>navalMinefield</t>
  </si>
  <si>
    <t>Naval Minefield</t>
  </si>
  <si>
    <t>An area laid and maintained with explosive mines for defence or practice purposes.</t>
  </si>
  <si>
    <t>navalNotificationArea</t>
  </si>
  <si>
    <t>Naval Notification Area</t>
  </si>
  <si>
    <t>An area within which notification is required between respective military authorities of future military exercises/activities.</t>
  </si>
  <si>
    <t>navalSafeBottomingArea</t>
  </si>
  <si>
    <t>Naval Safe Bottoming Area</t>
  </si>
  <si>
    <t>An area that has been surveyed and reported as safe for submarines to rest on the sea bed.</t>
  </si>
  <si>
    <t>navalSeaDefenceArea</t>
  </si>
  <si>
    <t>Naval Sea Defence Area</t>
  </si>
  <si>
    <t>navalVesselTesting</t>
  </si>
  <si>
    <t>Naval Vessel Testing</t>
  </si>
  <si>
    <t>A designated area for the testing of Naval shipboard machinery and systems.</t>
  </si>
  <si>
    <t>Often referred to as 'conducting sea trials'.</t>
  </si>
  <si>
    <t>Sea Test Range</t>
  </si>
  <si>
    <t>rendezvousLocation</t>
  </si>
  <si>
    <t>Rendezvous Location</t>
  </si>
  <si>
    <t>A specified location that is identified and used as a rendezvous point.</t>
  </si>
  <si>
    <t>submarineExerciseArea</t>
  </si>
  <si>
    <t>Submarine Exercise Area</t>
  </si>
  <si>
    <t>An area where military submarine exercises are, or may be, carried out.</t>
  </si>
  <si>
    <t>submarineOperatingArea</t>
  </si>
  <si>
    <t>Submarine Operating Area</t>
  </si>
  <si>
    <t>An area where military submarines conduct operations.</t>
  </si>
  <si>
    <t>submarineStovepipe</t>
  </si>
  <si>
    <t>Submarine Stovepipe</t>
  </si>
  <si>
    <t>A designated circular water column with a specified radius that is used by submarines for vertical navigation between allocated `Depth Separation' layers within a submarine operating area/zone.</t>
  </si>
  <si>
    <t>submarineTransitLaneSub</t>
  </si>
  <si>
    <t>Submarine Transit Lane (Submerged)</t>
  </si>
  <si>
    <t>A designated transit lane below the surface used by submarines to effect safe passage.</t>
  </si>
  <si>
    <t>submarineTransitLaneSurf</t>
  </si>
  <si>
    <t>Submarine Transit Lane (Surface)</t>
  </si>
  <si>
    <t>A designated transit lane on the surface used by submarines to effect safe passage.</t>
  </si>
  <si>
    <t>surfaceFreeLane</t>
  </si>
  <si>
    <t>Surface Free Lane</t>
  </si>
  <si>
    <t>An area defined within a naval operations area that restricts surface ship movements within submarine transit lanes.</t>
  </si>
  <si>
    <t>surfaceShipSafetyLane</t>
  </si>
  <si>
    <t>Surface Ship Safety Lane</t>
  </si>
  <si>
    <t>A safe transit corridor for surface vessels through an exercise area.</t>
  </si>
  <si>
    <t>underwaterTelephoneTest</t>
  </si>
  <si>
    <t>Underwater Telephone Station Test Area</t>
  </si>
  <si>
    <t>An area designated for testing UQC (now superseded) and/or WQC underwater acoustic telephone systems.</t>
  </si>
  <si>
    <t>The UQC/WQC operational range is limited due signal degradation caused by reverberation in the form of (frequently severe) multipath intersymbol interference.</t>
  </si>
  <si>
    <t>navigable</t>
  </si>
  <si>
    <t>Navigable</t>
  </si>
  <si>
    <t>Affording passage to vessels; capable of being navigated.</t>
  </si>
  <si>
    <t>navigableAndOperational</t>
  </si>
  <si>
    <t>Navigable and Operational</t>
  </si>
  <si>
    <t>Affords passage to vessels and is operating in accordance with stated schedule and/or stated depth and clearance.</t>
  </si>
  <si>
    <t>For example, a channel is maintained at stated depth or a lock is manned on a regular schedule.</t>
  </si>
  <si>
    <t>navigableButAbandoned</t>
  </si>
  <si>
    <t>Navigable but Abandoned</t>
  </si>
  <si>
    <t>Affords passage to vessels but operational support has been abandoned.</t>
  </si>
  <si>
    <t>For example, a channel remains navigable but may no longer be maintained at stated depth.</t>
  </si>
  <si>
    <t>navigablePeriodicRestrict</t>
  </si>
  <si>
    <t>Navigable with Periodic Restrictions</t>
  </si>
  <si>
    <t>Affords passage to vessels but periodic restrictions apply.</t>
  </si>
  <si>
    <t>For example, seasonally restricted due to ice or only manned at regular intervals.</t>
  </si>
  <si>
    <t>notNavigable</t>
  </si>
  <si>
    <t>Not Navigable</t>
  </si>
  <si>
    <t>Does not afford passage to vessels; incapable of being navigated.</t>
  </si>
  <si>
    <t>alternating</t>
  </si>
  <si>
    <t>Alternating</t>
  </si>
  <si>
    <t>A signal light that shows, in any given direction, two or more colours in a regularly repeated sequence with a regular periodicity.</t>
  </si>
  <si>
    <t>A signal light that shows continuously, in any given direction, with constant luminous intensity and colour.</t>
  </si>
  <si>
    <t>fixedAndFlashing</t>
  </si>
  <si>
    <t>Fixed and Flashing</t>
  </si>
  <si>
    <t>A rhythmic light in which a fixed light is combined with a flashing light of higher luminous intensity.</t>
  </si>
  <si>
    <t>fixedLongFlashing</t>
  </si>
  <si>
    <t>Fixed Long-flashing</t>
  </si>
  <si>
    <t>A fixed long-flashing light, in which a single flash of higher luminous intensity of not less than two seconds duration is regularly repeated.</t>
  </si>
  <si>
    <t>fixedWithAlternatingFlash</t>
  </si>
  <si>
    <t>Fixed with Alternating Flashing</t>
  </si>
  <si>
    <t>A fixed flashing light that is alternating in two or more colours.</t>
  </si>
  <si>
    <t>flashing</t>
  </si>
  <si>
    <t>Flashing</t>
  </si>
  <si>
    <t>A rhythmic light in which the total duration of light in a period is clearly shorter than the total duration of darkness and all the appearances of light are of equal duration.</t>
  </si>
  <si>
    <t>flashingAlternating</t>
  </si>
  <si>
    <t>Flashing Alternating</t>
  </si>
  <si>
    <t>A flashing light that is alternating in two or more colours.</t>
  </si>
  <si>
    <t>flashingWithLongFlash</t>
  </si>
  <si>
    <t>Flashing with Long-flash</t>
  </si>
  <si>
    <t>A flashing light in which a regular appearance of a long flash (greater than two seconds duration) is regularly repeated.</t>
  </si>
  <si>
    <t>groupQuickFlashing</t>
  </si>
  <si>
    <t>Group Quick-flashing</t>
  </si>
  <si>
    <t>A light in which flashes are combined in groups including the same number of quick flashes (repetition rate: 50-79 per minute) and in which groups are repeated at regular intervals.</t>
  </si>
  <si>
    <t>groupVeryQuickFlashing</t>
  </si>
  <si>
    <t>Group Very Quick-flashing</t>
  </si>
  <si>
    <t>A light in which very quick flashes are combined in groups including the same number of flashes (repetition rate: 80-159 per minute) and in which groups are repeated at regular intervals.</t>
  </si>
  <si>
    <t>interruptedQuickFlash</t>
  </si>
  <si>
    <t>Interrupted Quick-flashing</t>
  </si>
  <si>
    <t>A quick light in which the sequence of flashes is interrupted by regularly repeated eclipses of constant and long duration.</t>
  </si>
  <si>
    <t>interruptedUltraQuickFlash</t>
  </si>
  <si>
    <t>Interrupted Ultra Quick-flashing</t>
  </si>
  <si>
    <t>A light in which the ultra quick flashes (160 or more per minute) are interrupted at regular intervals by eclipses of long duration.</t>
  </si>
  <si>
    <t>interruptedVeryQuickFlash</t>
  </si>
  <si>
    <t>Interrupted Very Quick-flashing</t>
  </si>
  <si>
    <t>A light in which the very rapid alterations of light (repetition rate: 80 to 159 flashes, usually either 100 or 120, flashes per minute) and darkness are interrupted at regular intervals by eclipses of long duration.</t>
  </si>
  <si>
    <t>isophase</t>
  </si>
  <si>
    <t>Isophase</t>
  </si>
  <si>
    <t>A light with all durations of light and darkness equal.</t>
  </si>
  <si>
    <t>Equal-interval</t>
  </si>
  <si>
    <t>longFlashing</t>
  </si>
  <si>
    <t>Long-flashing</t>
  </si>
  <si>
    <t>A flashing light in which a single flash of not less than two seconds duration is regularly repeated.</t>
  </si>
  <si>
    <t>longFlashingAlternating</t>
  </si>
  <si>
    <t>Long-flashing Alternating</t>
  </si>
  <si>
    <t>A long-flashing light that is alternating in two or more colours.</t>
  </si>
  <si>
    <t>morseCode</t>
  </si>
  <si>
    <t>Morse Code</t>
  </si>
  <si>
    <t>A rhythmic light in which appearances of light of two clearly different durations are grouped to represent a character or characters in the Morse code.</t>
  </si>
  <si>
    <t>occulting</t>
  </si>
  <si>
    <t>Occulting</t>
  </si>
  <si>
    <t>A rhythmic light in which the total duration of light in a period is clearly longer than the total duration of darkness and all the eclipses are of equal duration.</t>
  </si>
  <si>
    <t>occultingAlternating</t>
  </si>
  <si>
    <t>Occulting Alternating</t>
  </si>
  <si>
    <t>An occulting light that is alternating in two or more colours.</t>
  </si>
  <si>
    <t>occultingFlashing</t>
  </si>
  <si>
    <t>Occulting Flashing</t>
  </si>
  <si>
    <t>An occulting light on which is superimposed a flashing light.</t>
  </si>
  <si>
    <t>quickFlashing</t>
  </si>
  <si>
    <t>Quick-flashing</t>
  </si>
  <si>
    <t>A light exhibiting without interruption very rapid regular alternations of light and darkness (repetition rate: 50-79 per minute).</t>
  </si>
  <si>
    <t>The repetition rate is not less than 50 flashes per minute but less than 80 flashes per minute.</t>
  </si>
  <si>
    <t>quickFlashingWithLongFlash</t>
  </si>
  <si>
    <t>Quick-flashing with Long-flash</t>
  </si>
  <si>
    <t>A quick-flashing light in which a regular appearance of a long flash (greater than two seconds duration) is regularly repeated.</t>
  </si>
  <si>
    <t>The light shows 50 to 79 flashes per minute.</t>
  </si>
  <si>
    <t>ultraQuickFlashing</t>
  </si>
  <si>
    <t>Ultra Quick-flashing</t>
  </si>
  <si>
    <t>A light showing 160 or more, usually 240 to 300, flashes per minute.</t>
  </si>
  <si>
    <t>ultraQuickFlashLongFlash</t>
  </si>
  <si>
    <t>Ultra Quick-flashing with Long-flash</t>
  </si>
  <si>
    <t>An ultra quick-flashing light in which a regular appearance of a long flash (greater than two seconds duration) is regularly repeated.</t>
  </si>
  <si>
    <t>The light shows 160 or more, usually 240 to 300, flashes per minute.</t>
  </si>
  <si>
    <t>veryQuickFlashing</t>
  </si>
  <si>
    <t>Very Quick-flashing</t>
  </si>
  <si>
    <t>A light showing 80 to 159, usually either 100 or 120, flashes per minute.</t>
  </si>
  <si>
    <t>veryQuickFlashLongFlash</t>
  </si>
  <si>
    <t>Very Quick-flashing with Long-flash</t>
  </si>
  <si>
    <t>A very quick-flashing light in which a regular appearance of a long flash (greater than two seconds duration) is regularly repeated.</t>
  </si>
  <si>
    <t>The light shows 80 to 159, usually either 100 or 120, flashes per minute.</t>
  </si>
  <si>
    <t>amber</t>
  </si>
  <si>
    <t>Amber</t>
  </si>
  <si>
    <t>Amber, an IALA colour.</t>
  </si>
  <si>
    <t>black</t>
  </si>
  <si>
    <t>Black</t>
  </si>
  <si>
    <t>Black, an IALA colour.</t>
  </si>
  <si>
    <t>blue</t>
  </si>
  <si>
    <t>Blue</t>
  </si>
  <si>
    <t>Blue, an IALA colour.</t>
  </si>
  <si>
    <t>brown</t>
  </si>
  <si>
    <t>Brown</t>
  </si>
  <si>
    <t>Brown, an IALA colour.</t>
  </si>
  <si>
    <t>green</t>
  </si>
  <si>
    <t>Green</t>
  </si>
  <si>
    <t>Green, an IALA colour.</t>
  </si>
  <si>
    <t>Used in IALA (when unpatterned) to indicate a lateral mark; the direction depends on the IALA Region.</t>
  </si>
  <si>
    <t>grey</t>
  </si>
  <si>
    <t>Grey</t>
  </si>
  <si>
    <t>Grey, an IALA colour.</t>
  </si>
  <si>
    <t>magenta</t>
  </si>
  <si>
    <t>Magenta</t>
  </si>
  <si>
    <t>Magenta, an IALA colour.</t>
  </si>
  <si>
    <t>orange</t>
  </si>
  <si>
    <t>Orange</t>
  </si>
  <si>
    <t>Orange, an IALA colour.</t>
  </si>
  <si>
    <t>Commonly used as a border for information marks.</t>
  </si>
  <si>
    <t>pink</t>
  </si>
  <si>
    <t>Pink</t>
  </si>
  <si>
    <t>Pink, an IALA colour.</t>
  </si>
  <si>
    <t>red</t>
  </si>
  <si>
    <t>Red</t>
  </si>
  <si>
    <t>Red, an IALA colour.</t>
  </si>
  <si>
    <t>violet</t>
  </si>
  <si>
    <t>Violet</t>
  </si>
  <si>
    <t>Violet, an IALA colour.</t>
  </si>
  <si>
    <t>white</t>
  </si>
  <si>
    <t>White</t>
  </si>
  <si>
    <t>White, an IALA colour.</t>
  </si>
  <si>
    <t>yellow</t>
  </si>
  <si>
    <t>Yellow</t>
  </si>
  <si>
    <t>Yellow, an IALA colour.</t>
  </si>
  <si>
    <t>For example: GLONASS, GPS, WAAS, or EGNOS.</t>
  </si>
  <si>
    <t>inertialNavSystemInitPoint</t>
  </si>
  <si>
    <t>Inertial Navigation System (INS) Initialization Point</t>
  </si>
  <si>
    <t>An identified location on an aerodrome surface where initialization of an Inertial Navigation System (INS) may take place.</t>
  </si>
  <si>
    <t>tacticalAirNavAidBeacon</t>
  </si>
  <si>
    <t>vhfOmniRadioBeacon</t>
  </si>
  <si>
    <t>VHF Omnidirectional Radio Range (VOR) Beacon</t>
  </si>
  <si>
    <t>Airport Surveillance Radar (ASR) is designed to provide relatively short-range coverage in the general vicinity of an aerodrome and to serve as an expeditious means of handling terminal area traffic through observation of precise aircraft locations on a radarscope.</t>
  </si>
  <si>
    <t>distMeasEquip</t>
  </si>
  <si>
    <t>Ultra High Frequency (UHF) ground equipment used in conjunction with airborne equipment, operating on the interrogation-answer principle where the time required for the round trip of the signal exchange is measured in the airborne Distance Measuring Equipment (DME) unit and translated into DME distance.</t>
  </si>
  <si>
    <t>The DME distance is defined as the line of sight distance (slant range) from the source of a DME signal to the receiving antenna.</t>
  </si>
  <si>
    <t>Fan Marker (FM)</t>
  </si>
  <si>
    <t>A type of marker radiobeacon, the emissions of which radiate in a vertical fan-shaped pattern for general use.</t>
  </si>
  <si>
    <t>glideSlope</t>
  </si>
  <si>
    <t>Glide Slope</t>
  </si>
  <si>
    <t>A component of an Instrument Landing System (ILS) consisting of an Ultra High Frequency (UHF) transmitter radiating signals and providing a straight line descent path in the vertical plane containing the centreline of the runway served by the ILS, and thereby furnishing descent information down to the lowest authorized decision height or to the surface of a runway, depending on the Facility Performance Category of the ILS.</t>
  </si>
  <si>
    <t>The descent information is that locus of points in the vertical plane containing the runway centreline at which the receiver indicator deflection is zero.</t>
  </si>
  <si>
    <t>innerMarker</t>
  </si>
  <si>
    <t>Inner Marker (IM)</t>
  </si>
  <si>
    <t>A marker beacon used with an Instrument Landing System (ILS) CAT II precision approach located between the middle marker and the end of the ILS runway.</t>
  </si>
  <si>
    <t>ilsGlideSlopeDistMeasEq</t>
  </si>
  <si>
    <t>Instrument Landing System (ILS) Glide Slope with Distance Measuring Equipment (DME)</t>
  </si>
  <si>
    <t>The colocation of Instrument Landing System (ILS) glide slope equipment with Distance Measuring Equipment (DME).</t>
  </si>
  <si>
    <t>instLandSysDistMeasEquip</t>
  </si>
  <si>
    <t>Instrument Landing System (ILS) with Distance Measuring Equipment (DME) (ILS/DME)</t>
  </si>
  <si>
    <t>A combination of radio navigation services intended to facilitate aircraft in landing by providing lateral and vertical guidance including indications of distance from the optimum point of landing that is collocated with Distance Measuring Equipment (DME).</t>
  </si>
  <si>
    <t>Localizer (LOC)</t>
  </si>
  <si>
    <t>A component of an Instrument Landing System (ILS) consisting of a Very High Frequency (VHF) transmitter, radiating signals in the direction served by the ILS, and providing a straight line azimuth path in the horizontal plane containing the centre line of the runway.</t>
  </si>
  <si>
    <t>localizerBackCourseMarker</t>
  </si>
  <si>
    <t>Localizer (LOC) Back Course Marker</t>
  </si>
  <si>
    <t>localizerDistMeasEquip</t>
  </si>
  <si>
    <t>Localizer (LOC) with Distance Measuring Equipment (DME) (LOC/DME)</t>
  </si>
  <si>
    <t>The colocation of Instrument Landing System Localizer (LOC) equipment with Distance Measuring Equipment (DME).</t>
  </si>
  <si>
    <t>locatorMiddleMarker</t>
  </si>
  <si>
    <t>Locator Middle Marker (LMM)</t>
  </si>
  <si>
    <t>A Non-Directional Radio Beacon (NDB) used as an Instrument Landing System (ILS) Middle Marker.</t>
  </si>
  <si>
    <t>locatorOuterMarker</t>
  </si>
  <si>
    <t>Locator Outer Marker (LOM)</t>
  </si>
  <si>
    <t>A Non-Directional Radio Beacon (NDB) used as an Instrument Landing System (ILS) Outer Marker.</t>
  </si>
  <si>
    <t>loran</t>
  </si>
  <si>
    <t>Long Range Air Navigation System (LORAN)</t>
  </si>
  <si>
    <t>A low frequency electronic position fixing system using pulsed transmissions at 100 kilohertz.</t>
  </si>
  <si>
    <t>markerRadioBeacon</t>
  </si>
  <si>
    <t>Marker Radio Beacon (MKR)</t>
  </si>
  <si>
    <t>A radio navigation service identifying a particular location in space by means of a 75 MHz transmitter which transmits a directional signal to be received by aircraft flying overhead.</t>
  </si>
  <si>
    <t>A precision approach and landing guidance system operating in the microwave spectrum, which provides position information and various ground-to-air data; the position information is provided in a wide coverage sector and is determined by an azimuth angle measurement, an elevation angle measurement and a range (distance) measurement.</t>
  </si>
  <si>
    <t>A precision instrument approach system operating in the microwave spectrum that normally consists of three components: an azimuth station, an elevation station, and precision Distance Measuring Equipment (DME).</t>
  </si>
  <si>
    <t>microwaveLandingSysAzimuth</t>
  </si>
  <si>
    <t>A component of a Microwave Landing System (MLS) consisting of a Super High Frequency (SHF) transmitter radiating signals to provide a lateral position indication to an aircraft approaching the runway.</t>
  </si>
  <si>
    <t>microwaveLandingSysElev</t>
  </si>
  <si>
    <t>A component of a Microwave Landing System (MLS) consisting of a Super High Frequency (SHF) transmitter radiating signals to provide a vertical position indication as an angular value to an aircraft approaching the runway.</t>
  </si>
  <si>
    <t>middleMarker</t>
  </si>
  <si>
    <t>Middle Marker (MM)</t>
  </si>
  <si>
    <t>A marker beacon that defines a point along the glide slope of an Instrument Landing System (ILS) normally located at or near the decision height of an ILS Category I approach.</t>
  </si>
  <si>
    <t>The signal is keyed to transmit two dashes per second on a 400 Hz modulation frequency. The signal can be received aurally and visually by compatible airborne equipment. The outer marker is normally located four to seven miles from the runway threshold on the extended centerline of the runway.</t>
  </si>
  <si>
    <t>nonDirRadioBeacon</t>
  </si>
  <si>
    <t>An L/MF or UHF radio beacon transmitting non-directional (omnidirectional) signals whereby the pilot of an aircraft equipped with direction finding equipment can determine his bearing to or from the radio beacon and 'home' on, or track to or from, the station.</t>
  </si>
  <si>
    <t>nonDirRadioBeaDistMeasEq</t>
  </si>
  <si>
    <t>Non-Directional Radio Beacon (NDB) with Distance Measuring Equipment (DME) (NDB/DME)</t>
  </si>
  <si>
    <t>A non-directional radio beacon combined with distance measuring equipment.</t>
  </si>
  <si>
    <t>outerMarker</t>
  </si>
  <si>
    <t>Outer Marker (OM)</t>
  </si>
  <si>
    <t>The signal is keyed to transmit alternate dots and dashes at the rate of 95 dot/dash combinations per minute on a 1300 Hz modulation frequency. The signal can be received aurally and visually by compatible airborne equipment. The middle marker should be located so as to indicate, in low visibility conditions, the missed approach point, and the point that visual contact with the runway is imminent.</t>
  </si>
  <si>
    <t>parTouchdownReflector</t>
  </si>
  <si>
    <t>PAR Touchdown Reflector</t>
  </si>
  <si>
    <t>A device normally placed near the threshold of a runway that is used for reflecting radar signals when conducting a Precision Approach Radar (PAR) approach.</t>
  </si>
  <si>
    <t>Radar equipment used to detect and display azimuth, elevation, and range of aircraft on the final approach course to a runway.</t>
  </si>
  <si>
    <t>A system for detecting the presence of objects at a distance and determining their position or motion by transmitting short radio waves and detecting or measuring the return of these after being reflected by the objects.</t>
  </si>
  <si>
    <t>radarAntenna</t>
  </si>
  <si>
    <t>Radar Antenna</t>
  </si>
  <si>
    <t>The antenna of a radio detection device that provides information on range, azimuth, and/or elevation of objects.</t>
  </si>
  <si>
    <t>simplifiedDirectFacility</t>
  </si>
  <si>
    <t>A directional aid facility providing only lateral guidance (front or back course) for approach from a final approach fix.</t>
  </si>
  <si>
    <t>The Simplified Directional Facility (SDF) antenna may be offset from the runway centerline. Because of this, the angle of convergence between the final approach course and the runway bearing should be determined by reference to the instrument approach procedure chart. This angle is generally not more than 3 degrees. However, it should be noted that inasmuch as the approach course originates at the antenna site, an approach which is continued beyond the runway threshold will lead the aircraft to the SDF offset position rather than along the runway centerline.</t>
  </si>
  <si>
    <t>tacticalAirNavigationAid</t>
  </si>
  <si>
    <t>Tactical Air Navigation Aid (TACAN)</t>
  </si>
  <si>
    <t>A navigation system developed by military and naval forces providing, as far as the navigating pilot is concerned and for suitably equipped aircraft, the same indication as a VOR/DME system. The DME distance is defined as the line of sight distance (slant range) from the source of a DME signal to the receiving antenna.</t>
  </si>
  <si>
    <t>radiobeaconTypeUnknown</t>
  </si>
  <si>
    <t>Unspecified Radio Beacon</t>
  </si>
  <si>
    <t>A radio transmitter which emits a distinctive, or characteristic, signal that may be used for the determination of bearings, courses, or location, where the nature and/or purpose of the signal is unknown.</t>
  </si>
  <si>
    <t>VHF Omnidirectional Radio Beacon (VOR)</t>
  </si>
  <si>
    <t>A radio navigation service which uses phase comparisons of a ground transmitted signal to determine bearing.</t>
  </si>
  <si>
    <t>This term is derived from the words 'very high frequency omnidirectional radio range'.</t>
  </si>
  <si>
    <t>vhfOmniBeacDistMeasEq</t>
  </si>
  <si>
    <t>VHF Omnidirectional Radio Beacon (VOR) with Distance Measuring Equipment (DME) (VOR/DME)</t>
  </si>
  <si>
    <t>The colocation of a VHF Omnidirectional Radio beacon (VOR) with Distance Measuring Equipment (DME).</t>
  </si>
  <si>
    <t>vhfOmniBeacTacAirNav</t>
  </si>
  <si>
    <t>VHF Omnidirectional Radio Beacon (VOR) with Tactical Air Navigation Aid (TACAN) (VORTAC)</t>
  </si>
  <si>
    <t>A facility consisting of two components, a VHF Omnidirectional Radio beacon (VOR) and a Tactical Air Navigation Aid (TACAN), that provides three individual services: VOR azimuth, TACAN azimuth and TACAN distance (Distance Measuring Equipemnt: DME) at one site.</t>
  </si>
  <si>
    <t>Although consisting of more than one component, incorporating more than one operating frequency, and using more than one antenna system, a VORTAC is considered to be a unified navigational aid.</t>
  </si>
  <si>
    <t>autumn</t>
  </si>
  <si>
    <t>Autumn</t>
  </si>
  <si>
    <t>The third season of the year, coming between summer and winter, reckoned astronomically from the autumnal equinox to the winter solstice.</t>
  </si>
  <si>
    <t>For example, in the northern hemisphere, nominally from September 21 to December 21.</t>
  </si>
  <si>
    <t>The first season of the year, coming between winter and summer, reckoned astronomically from the vernal equinox to the summer solstice.</t>
  </si>
  <si>
    <t>For example, in the northern hemisphere, nominally from March 21 to June 21.</t>
  </si>
  <si>
    <t>summer</t>
  </si>
  <si>
    <t>Summer</t>
  </si>
  <si>
    <t>The second and warmest season of the year, coming between spring and autumn; reckoned astronomically from the summer solstice to the autumnal equinox.</t>
  </si>
  <si>
    <t>For example, in the northern hemisphere, nominally from June 21 to September 21.</t>
  </si>
  <si>
    <t>winter</t>
  </si>
  <si>
    <t>Winter</t>
  </si>
  <si>
    <t>The fourth and coldest season of the year, coming between autumn and spring; reckoned astronomically from the winter solstice to the vernal equinox.</t>
  </si>
  <si>
    <t>For example, in the northern hemisphere, nominally from December 21 to March 21.</t>
  </si>
  <si>
    <t>amusementParkAttraction</t>
  </si>
  <si>
    <t>arcade</t>
  </si>
  <si>
    <t>bandshell</t>
  </si>
  <si>
    <t>blastBarrier</t>
  </si>
  <si>
    <t>blastFurnace</t>
  </si>
  <si>
    <t>bucketElevator</t>
  </si>
  <si>
    <t>catalyticCracker</t>
  </si>
  <si>
    <t>cistern</t>
  </si>
  <si>
    <t>conveyor</t>
  </si>
  <si>
    <t>coolingTower</t>
  </si>
  <si>
    <t>displaySign</t>
  </si>
  <si>
    <t>engineTestCell</t>
  </si>
  <si>
    <t>excavatingMachine</t>
  </si>
  <si>
    <t>flarePipe</t>
  </si>
  <si>
    <t>gantry</t>
  </si>
  <si>
    <t>grainElevator</t>
  </si>
  <si>
    <t>grainStorageStructure</t>
  </si>
  <si>
    <t>grandstand</t>
  </si>
  <si>
    <t>hopper</t>
  </si>
  <si>
    <t>industrialFurnace</t>
  </si>
  <si>
    <t>lightSupportStructure</t>
  </si>
  <si>
    <t>memorialMonument</t>
  </si>
  <si>
    <t>mineShaftSuperstructure</t>
  </si>
  <si>
    <t>Gallows Frame, Headframe</t>
  </si>
  <si>
    <t>mooringMast</t>
  </si>
  <si>
    <t>nuclearReactorContainment</t>
  </si>
  <si>
    <t>outdoorTheatreScreen</t>
  </si>
  <si>
    <t>pylon</t>
  </si>
  <si>
    <t>shippingContainer</t>
  </si>
  <si>
    <t>skiJump</t>
  </si>
  <si>
    <t>smokestack</t>
  </si>
  <si>
    <t>sportsStadium</t>
  </si>
  <si>
    <t>Sports Stadium</t>
  </si>
  <si>
    <t>An athletic field partially or completely surrounded by a structure designed to allow spectators to stand or sit and view the event.</t>
  </si>
  <si>
    <t>Often designed in size and shape to accommodate specific sports (for example: baseball or football). The smaller ones may be open at one or both ends.</t>
  </si>
  <si>
    <t>storageTank</t>
  </si>
  <si>
    <t>tomb</t>
  </si>
  <si>
    <t>vesselLift</t>
  </si>
  <si>
    <t>waterIntakeTower</t>
  </si>
  <si>
    <t>waterTower</t>
  </si>
  <si>
    <t>windTurbine</t>
  </si>
  <si>
    <t>windmill</t>
  </si>
  <si>
    <t>actionReport</t>
  </si>
  <si>
    <t>Action Report</t>
  </si>
  <si>
    <t>Report of a hazard taken from a nation's military action report(s) generated by military authorities after a military engagement.</t>
  </si>
  <si>
    <t>casualtyReport</t>
  </si>
  <si>
    <t>Casualty Report</t>
  </si>
  <si>
    <t>Report of a hazard taken from a nation's reporting of maritime incident(s).</t>
  </si>
  <si>
    <t>Incidents occurring on a nation's navigable waters are reported if they involve vessels of any nationality. Incidents occurring elsewhere are reported by a particular nation when that nation's documented vessel(s) are involved, and when the incident results in damage by or to any non-public vessel or its cargo, and/or when the incident results in an injury to a person which requires professional medical treatment beyond first aid or in the death of a person.</t>
  </si>
  <si>
    <t>chart</t>
  </si>
  <si>
    <t>Chart</t>
  </si>
  <si>
    <t>Report of a hazard taken from a nation's nautical charts published by that nation's responsible hydrographic authority.</t>
  </si>
  <si>
    <t>chartRecords</t>
  </si>
  <si>
    <t>Chart Records</t>
  </si>
  <si>
    <t>Report of a hazard taken from a nation's nautical chart records made available through that nation's responsible hydrographic authority.</t>
  </si>
  <si>
    <t>coastGuardRecords</t>
  </si>
  <si>
    <t>Coast Guard Records</t>
  </si>
  <si>
    <t>Report of a hazard taken from a nation's coast guard records.</t>
  </si>
  <si>
    <t>hydroAdmiraltyOffice</t>
  </si>
  <si>
    <t>Hydrographic/Admiralty Office</t>
  </si>
  <si>
    <t>Report of a hazard taken from a nation's hydrographic office(s).</t>
  </si>
  <si>
    <t>madReport</t>
  </si>
  <si>
    <t>MAD Report</t>
  </si>
  <si>
    <t>Report of a hazard taken from a nation's magnetic anomaly detection reports.</t>
  </si>
  <si>
    <t>minesweeper</t>
  </si>
  <si>
    <t>Minesweeper</t>
  </si>
  <si>
    <t>Report of a hazard taken from a nation's military minesweeping mission reports.</t>
  </si>
  <si>
    <t>northSeaFishingCharts</t>
  </si>
  <si>
    <t>North Sea Fishing Charts</t>
  </si>
  <si>
    <t>Report of a hazard taken from a nation's fishing charts.</t>
  </si>
  <si>
    <t>noticeToMariners</t>
  </si>
  <si>
    <t>Notice to Mariners</t>
  </si>
  <si>
    <t>Report of a hazard taken from a nation's hydrographic office's weekly Notice to Mariners updates to nautical charts and publications.</t>
  </si>
  <si>
    <t>photographReport</t>
  </si>
  <si>
    <t>Photograph Report</t>
  </si>
  <si>
    <t>Report of a hazard taken from photographs taken by divers.</t>
  </si>
  <si>
    <t>positionAccurateFieldCheck</t>
  </si>
  <si>
    <t>Position Accurate Field Check</t>
  </si>
  <si>
    <t>Report of a hazard taken from a nation reports which is then verified by field reporting.</t>
  </si>
  <si>
    <t>salvageReport</t>
  </si>
  <si>
    <t>Salvage Report</t>
  </si>
  <si>
    <t>Report of a hazard taken from salvage company reports.</t>
  </si>
  <si>
    <t>sonarReport</t>
  </si>
  <si>
    <t>Sonar Report</t>
  </si>
  <si>
    <t>Report of a hazard taken from a nation's sonar contact reports, made to verify depth and position of the hazard.</t>
  </si>
  <si>
    <t>Report of a hazard taken from a hydrographic survey performed to verify the position and depth of a wreck.</t>
  </si>
  <si>
    <t>survivorReport</t>
  </si>
  <si>
    <t>Survivor Report</t>
  </si>
  <si>
    <t>Report of a hazard taken from direct reporting by survivors of a wreck.</t>
  </si>
  <si>
    <t>undiffSonarOrMadReport</t>
  </si>
  <si>
    <t>Undifferentiated Sonar or MAD Report</t>
  </si>
  <si>
    <t>Report of a hazard taken from either SONAR or MAD devices, the specific type of device not being specified.</t>
  </si>
  <si>
    <t>usCoastGeodOceanServReport</t>
  </si>
  <si>
    <t>US Coast &amp; Geodetic Survey/National Ocean Service Report</t>
  </si>
  <si>
    <t>Report of a hazard taken from United States Coastal Authorities.</t>
  </si>
  <si>
    <t>usNavalHeadCommandsReport</t>
  </si>
  <si>
    <t>US Naval Headquarters/Commands Report</t>
  </si>
  <si>
    <t>Report of a hazard taken from United States Naval Reports.</t>
  </si>
  <si>
    <t>wreckList</t>
  </si>
  <si>
    <t>Wreck List</t>
  </si>
  <si>
    <t>Report of a hazard taken from a nation's compilation of known wrecks and non-submarine contacts which is commonly referred to as a 'wreck list'.</t>
  </si>
  <si>
    <t>gridNorth</t>
  </si>
  <si>
    <t>Grid North</t>
  </si>
  <si>
    <t>The direction of the north-south lines of the Universal Transverse Mercator (UTM) grid overlaid on topographic maps.</t>
  </si>
  <si>
    <t>The grid system was developed by the United States and NATO.</t>
  </si>
  <si>
    <t>magneticNorth</t>
  </si>
  <si>
    <t>Magnetic North</t>
  </si>
  <si>
    <t>The direction indicated by the north seeking pole of a freely suspended magnetic needle, influenced only by the earth's magnetic field.</t>
  </si>
  <si>
    <t>trueNorth</t>
  </si>
  <si>
    <t>True North</t>
  </si>
  <si>
    <t>The direction from a position to the geographic north pole.</t>
  </si>
  <si>
    <t>The north direction of any geographic meridian.</t>
  </si>
  <si>
    <t>Greatest level of certainty of existance.</t>
  </si>
  <si>
    <t>Minimal level of certainty of existance.</t>
  </si>
  <si>
    <t>Moderate level of certainty of existance.</t>
  </si>
  <si>
    <t>debrisLine</t>
  </si>
  <si>
    <t>Debris Line</t>
  </si>
  <si>
    <t>The oceanographic front is indicated by debris in the upper water column.</t>
  </si>
  <si>
    <t>discolouredWater</t>
  </si>
  <si>
    <t>The oceanographic front is indicated by different coloured water based on other factors than sediment load.</t>
  </si>
  <si>
    <t>foamLine</t>
  </si>
  <si>
    <t>Foam Line</t>
  </si>
  <si>
    <t>The oceanographic front is indicated by sea foam within the upper water column.</t>
  </si>
  <si>
    <t>The oceanographic front is indicated by pack ice.</t>
  </si>
  <si>
    <t>sedimentPlume</t>
  </si>
  <si>
    <t>Sediment Plume</t>
  </si>
  <si>
    <t>The oceanographic front is indicated by an increased concentration of sediment load within the water column.</t>
  </si>
  <si>
    <t>Density</t>
  </si>
  <si>
    <t>The water masses differ in density.</t>
  </si>
  <si>
    <t>salinity</t>
  </si>
  <si>
    <t>Salinity</t>
  </si>
  <si>
    <t>The water masses differ in salinity.</t>
  </si>
  <si>
    <t>Usually occurring adjacent to freshwater inputs from rivers.</t>
  </si>
  <si>
    <t>The water masses differ in temperature.</t>
  </si>
  <si>
    <t>A barge-based facility that is not self-propelled.</t>
  </si>
  <si>
    <t>May be used to support a rig in relatively placid waters after towing to a site.</t>
  </si>
  <si>
    <t>catenaryTurntable</t>
  </si>
  <si>
    <t>Catenary Turntable</t>
  </si>
  <si>
    <t>A specialized buoy that is shaped as a short, wide cylinder on top of which is a rotating turntable to which equipment is affixed (for example: a hose connection) and serves a single point mooring.</t>
  </si>
  <si>
    <t>The mooring system consists of a number of anchor chains (typically six or eight) laid radial from the buoy. An attached vessel is free to 'weather-vane' around the buoy in response to environmental conditions.</t>
  </si>
  <si>
    <t>platform</t>
  </si>
  <si>
    <t>Platform</t>
  </si>
  <si>
    <t>A working surface that is raised well above the waves.</t>
  </si>
  <si>
    <t>The 'surface' may consist of multiple levels, shapes, and configurations, often resulting in a complex configuration tailored to the specific operations supported.</t>
  </si>
  <si>
    <t>submergedPlatform</t>
  </si>
  <si>
    <t>Submerged Platform</t>
  </si>
  <si>
    <t>A working surface that is submerged well below the waves.</t>
  </si>
  <si>
    <t>The 'submerged surface' may consist of different shapes and configurations tailored to the specific operations supported. For example: an open ocean farm structure for attachment of macroalgal plants, or a specifically engineered submerged support structure to provide better stability for a marine wind turbine and to position it closer to the sea surface.</t>
  </si>
  <si>
    <t>submergedTurret</t>
  </si>
  <si>
    <t>Submerged Turret</t>
  </si>
  <si>
    <t>A large buoy-like device that is pulled into and temporarily secured in a mating cone on the underside of a vessel.</t>
  </si>
  <si>
    <t>Internal to the buoy is a turret with connections to the mooring and riser systems. The outer buoy hull can rotate freely with the vessel around the turret by means of internal turret bearings. The internal swivel (a rotating connector) transfers well streams, water, gas, signals and power from the geo-stationary risers to the piping system (for example: to an onboard process plant) of the freely weather-vaning vessel.</t>
  </si>
  <si>
    <t>terminalBuoy</t>
  </si>
  <si>
    <t>Terminal Buoy</t>
  </si>
  <si>
    <t>A large buoy that serves as both a single point mooring and supports equipment used for the transfer of fluids (for example: liquefied petroleum gas) between a vessel and pipelines leading to facilities ashore or to wells below.</t>
  </si>
  <si>
    <t>It may be as large as 10 metres across, is moored by multiple cables, and supports one or more submarine hose strings (individually termed 'riser') connecting to pipelines on the waterbody bottom. When in use floating hoses connect to the vessel which is free to 'weather-vane' around the buoy in response to environmental conditions.</t>
  </si>
  <si>
    <t>vessel</t>
  </si>
  <si>
    <t>Vessel</t>
  </si>
  <si>
    <t>A vessel-based facility that is self-propelled.</t>
  </si>
  <si>
    <t>Usually capable of producing petroleum and/or natural gas from underwater wells and storing and offloading it into shuttle tankers.</t>
  </si>
  <si>
    <t>artificialIsland</t>
  </si>
  <si>
    <t>Artificial Island</t>
  </si>
  <si>
    <t>A site that has been reclaimed as land.</t>
  </si>
  <si>
    <t>Usually accomplished by the dumping of earth and other material (for example: dredged fill).</t>
  </si>
  <si>
    <t>multiColumn</t>
  </si>
  <si>
    <t>Multi-column</t>
  </si>
  <si>
    <t>A structure consisting of multiple (commonly three or four) columns extending downwards into the water.</t>
  </si>
  <si>
    <t>The columns may be affixed to the waterbody floor (termed a 'submersible rig') or may terminate in underwater flotation tanks (termed a 'semi-submersible rig') to provide dynamic stability and be moored in place.</t>
  </si>
  <si>
    <t>singleColumn</t>
  </si>
  <si>
    <t>Single Column</t>
  </si>
  <si>
    <t>A structure consisting of a single column extending downwards into the water.</t>
  </si>
  <si>
    <t>The column is usually affixed to the waterbody floor.</t>
  </si>
  <si>
    <t>trussTower</t>
  </si>
  <si>
    <t>Truss Tower</t>
  </si>
  <si>
    <t>A structure based on a series of trusses (diagonal frameworks) assembled in various configurations.</t>
  </si>
  <si>
    <t>For example, a jackup rig. There may be a single wide tower or an array of narrower towers.</t>
  </si>
  <si>
    <t>Located in a firm, fixed position through rigid attachment to the waterbody floor.</t>
  </si>
  <si>
    <t>For example, a platform whose legs extend to the sea floor or rests on an artificial island.</t>
  </si>
  <si>
    <t>floatingDynamicPosition</t>
  </si>
  <si>
    <t>Floating and Dynamically Positioned</t>
  </si>
  <si>
    <t>Floating on the water surface and maintained in position dynamically using on-board propulsion.</t>
  </si>
  <si>
    <t>Usually there is a system of waterbody floor beacons that are used to measure horizontal motion and thus signal required changes in thrust in order for the vessel to maintain position with the desired degree of accuracy.</t>
  </si>
  <si>
    <t>floatingMoored</t>
  </si>
  <si>
    <t>Floating and Moored</t>
  </si>
  <si>
    <t>Floating on the water surface and attached to the waterbody floor with moorings (for example: cables fastened to anchors).</t>
  </si>
  <si>
    <t>The accuracy of position maintenance will depend on wave height and tidal effects.</t>
  </si>
  <si>
    <t>semiBuoyantMoored</t>
  </si>
  <si>
    <t>Semi-buoyant and Moored</t>
  </si>
  <si>
    <t>Semi-buoyant, being capable of rising and falling within the water column, and attached to the waterbody floor with flexible moorings (for example: cables that are adjusted in length as necessary and fastened to anchors).</t>
  </si>
  <si>
    <t>For example, a submerged turret system in which a buoy is flexibly moored to the seabed and is then pulled into and temporarily secured in a mating cone on the underside of a vessel. The accuracy of vessel position maintenance will depend on wave height and tidal effects.</t>
  </si>
  <si>
    <t>A non-federal government organization that is responsible for the safe operation of the aerodrome.</t>
  </si>
  <si>
    <t>federal</t>
  </si>
  <si>
    <t>A national government organization that is responsible for the safe operation of the aerodrome.</t>
  </si>
  <si>
    <t>At least two organizations (one civilian or federal, and one military) that is responsible for the safe operation of the aerodrome.</t>
  </si>
  <si>
    <t>A federal government entity, whose underlying charge is national defence, that is responsible for the safe operation of the aerodrome.</t>
  </si>
  <si>
    <t>A non-government entity that is responsible for the safe operation of the aerodrome.</t>
  </si>
  <si>
    <t>continuouslyOperating</t>
  </si>
  <si>
    <t>Continuously Operating</t>
  </si>
  <si>
    <t>daytime</t>
  </si>
  <si>
    <t>Daytime</t>
  </si>
  <si>
    <t>Operating between sunrise and sunset only.</t>
  </si>
  <si>
    <t>neverOperating</t>
  </si>
  <si>
    <t>Never Operating</t>
  </si>
  <si>
    <t>Always restricted and never operating.</t>
  </si>
  <si>
    <t>nighttime</t>
  </si>
  <si>
    <t>Night-time</t>
  </si>
  <si>
    <t>Operating between sunset and sunrise only.</t>
  </si>
  <si>
    <t>Operation is restricted in other than a predetermined pattern.</t>
  </si>
  <si>
    <t>summerSeason</t>
  </si>
  <si>
    <t>Summer Season</t>
  </si>
  <si>
    <t>Operating during the summer season only.</t>
  </si>
  <si>
    <t>winterSeason</t>
  </si>
  <si>
    <t>Winter Season</t>
  </si>
  <si>
    <t>Operating during the winter season only.</t>
  </si>
  <si>
    <t>flooding</t>
  </si>
  <si>
    <t>Flooding</t>
  </si>
  <si>
    <t>Susceptible to, and not operating in, flooding conditions.</t>
  </si>
  <si>
    <t>Susceptible to, and not operating in, the presence of floating ice.</t>
  </si>
  <si>
    <t>icing</t>
  </si>
  <si>
    <t>Icing</t>
  </si>
  <si>
    <t>Susceptible to, and not operating in, icy weather conditions.</t>
  </si>
  <si>
    <t>noRestriction</t>
  </si>
  <si>
    <t>No Restriction</t>
  </si>
  <si>
    <t>There is no known restriction to operations.</t>
  </si>
  <si>
    <t>reducedVisibility</t>
  </si>
  <si>
    <t>Reduced Visibility</t>
  </si>
  <si>
    <t>Susceptible to, and not operating in, reduced visibility (for example: fog) conditions.</t>
  </si>
  <si>
    <t>Susceptible to, and not operating in, snowy weather conditions.</t>
  </si>
  <si>
    <t>specialRestriction</t>
  </si>
  <si>
    <t>Special Restriction</t>
  </si>
  <si>
    <t>Unspecified special restrictions exist that affect operations.</t>
  </si>
  <si>
    <t>See any accompanying text attribute for a description of the nature of the special restrictions.</t>
  </si>
  <si>
    <t>tide</t>
  </si>
  <si>
    <t>Tide</t>
  </si>
  <si>
    <t>Susceptible to, and not operating in, significant tidal conditions (for example: tidal height or tidal current).</t>
  </si>
  <si>
    <t>Susceptible to, and not operating in, adverse lighting (for example: daytime for a lighthouse, night-time for an unlighted runway) conditions.</t>
  </si>
  <si>
    <t>Susceptible to and not operating in periods of extensive vegetation growth.</t>
  </si>
  <si>
    <t>Susceptible to, and not operating in, windy weather conditions.</t>
  </si>
  <si>
    <t>capableOfEmergencyLaunch</t>
  </si>
  <si>
    <t>CEL - Capable of Emergency Launch</t>
  </si>
  <si>
    <t>limitedOperations</t>
  </si>
  <si>
    <t>LIM - Limited Operations</t>
  </si>
  <si>
    <t>NOP - Non-operational</t>
  </si>
  <si>
    <t>OPR - Operational</t>
  </si>
  <si>
    <t>peacetimeOperations</t>
  </si>
  <si>
    <t>P - Peacetime Operations</t>
  </si>
  <si>
    <t>peacetimeWartimeOps</t>
  </si>
  <si>
    <t>PW - Peacetime and Wartime Operations</t>
  </si>
  <si>
    <t>nfiReady</t>
  </si>
  <si>
    <t>RD0 - NFI Ready</t>
  </si>
  <si>
    <t>Ready, but the degree of readiness cannot be determined.</t>
  </si>
  <si>
    <t>fullyReady</t>
  </si>
  <si>
    <t>RD1 - Fully Ready</t>
  </si>
  <si>
    <t>Fully capable of carrying out all mission requirements and/or has 75-100 percent of wartime authorized equipment on hand.</t>
  </si>
  <si>
    <t>substantiallyReady</t>
  </si>
  <si>
    <t>RD2 - Substantially Ready</t>
  </si>
  <si>
    <t>Capable of carrying out most mission requirements but has significant degradation due to either personnel or equipment problems and/or has 50-75 percent of wartime authorized equipment on hand.</t>
  </si>
  <si>
    <t>marginallyReady</t>
  </si>
  <si>
    <t>RD3 - Marginally Ready</t>
  </si>
  <si>
    <t>Capable of carrying out limited mission requirements but has substantial equipment problems and/or has 25-49 percent of wartime authorized equipment on hand.</t>
  </si>
  <si>
    <t>notReady</t>
  </si>
  <si>
    <t>RD4 - Not Ready</t>
  </si>
  <si>
    <t>Extensive degradation due to personnel and equipment problems and is not capable of performing its mission satisfactorily and/or has 0-24 percent of wartime authorized equipment on-hand.</t>
  </si>
  <si>
    <t>notImmediatelyReady</t>
  </si>
  <si>
    <t>RD5 - Not Immediately Ready</t>
  </si>
  <si>
    <t>Used primarily by naval analysts to indicate that a unit is not ready for operations but could be made ready on short notice.</t>
  </si>
  <si>
    <t>reserve</t>
  </si>
  <si>
    <t>RES - Reserve</t>
  </si>
  <si>
    <t>No preparation required for operation.</t>
  </si>
  <si>
    <t>oneWorkShift</t>
  </si>
  <si>
    <t>SF1 - One Work Shift</t>
  </si>
  <si>
    <t>twoWorkShifts</t>
  </si>
  <si>
    <t>SF2 - Two Work Shifts</t>
  </si>
  <si>
    <t>threeWorkShifts</t>
  </si>
  <si>
    <t>SF3 - Three Work Shifts</t>
  </si>
  <si>
    <t>serviceable</t>
  </si>
  <si>
    <t>SRV - Serviceable</t>
  </si>
  <si>
    <t>STR - Storage</t>
  </si>
  <si>
    <t>Preparation required prior to operation.</t>
  </si>
  <si>
    <t>wartimeOperations</t>
  </si>
  <si>
    <t>W - Wartime Operations</t>
  </si>
  <si>
    <t>inconclusiveAnalysis</t>
  </si>
  <si>
    <t>Z - Inconclusive Analysis</t>
  </si>
  <si>
    <t>archBridgeSpan</t>
  </si>
  <si>
    <t>Arch Bridge Span</t>
  </si>
  <si>
    <t>A bridge span and adjacent bridge piers that in side view is shaped like an arch, consisting of a curved top on two short vertical sidewalls.</t>
  </si>
  <si>
    <t>The curved top may extend smoothly to the base, eliminating the vertical sidewalls and forming a semicircular profile; in consequence the available overhead clearance may be less than the full inter-pier distance.</t>
  </si>
  <si>
    <t>bridgeSpan</t>
  </si>
  <si>
    <t>In side view may appear as a box, arch, or semicircular shape; in consequence the available overhead clearance may be less than the full inter-pier distance.</t>
  </si>
  <si>
    <t>bridgeSuperstructure</t>
  </si>
  <si>
    <t>A superstructure of a bridge, above the lowest deck.</t>
  </si>
  <si>
    <t>building</t>
  </si>
  <si>
    <t>Overhung and/or enclosed (covers and extends to both sides) by a building.</t>
  </si>
  <si>
    <t>buildingOverhang</t>
  </si>
  <si>
    <t>A single continuous rope-like bundle consisting of multiple strands of fiber, plastic, metal, and/or glass.</t>
  </si>
  <si>
    <t>A transportation system consisting of load cables strung between pylons on which carrier units (for example: cars or buckets intended to transport people, material, and/or equipment) are suspended.</t>
  </si>
  <si>
    <t>For example, a ski-lift.</t>
  </si>
  <si>
    <t>entranceExit</t>
  </si>
  <si>
    <t>frameBridgeSpan</t>
  </si>
  <si>
    <t>Frame Bridge Span</t>
  </si>
  <si>
    <t>A bridge span and adjacent bridge piers that in side view is shaped like a box, consisting of a flat understructure on two vertical pier sidewalls.</t>
  </si>
  <si>
    <t>nonBuildingStructure</t>
  </si>
  <si>
    <t>Overhung and/or enclosed (covers and extends to both sides) by a non-building structure.</t>
  </si>
  <si>
    <t>overheadWalkway</t>
  </si>
  <si>
    <t>Overhead Walkway</t>
  </si>
  <si>
    <t>An elevated or suspended bridge-like structure providing pedestrian passage.</t>
  </si>
  <si>
    <t>For example, may be used to cross a strreet, a waterbody, or an interior floor space.</t>
  </si>
  <si>
    <t>pipelineCrossingPoint</t>
  </si>
  <si>
    <t>railwayPowerLine</t>
  </si>
  <si>
    <t>Railway Power Line</t>
  </si>
  <si>
    <t>An elevated electrical power line from which railway vehicles draw power through a pantograph-like device.</t>
  </si>
  <si>
    <t>roof</t>
  </si>
  <si>
    <t>Roof</t>
  </si>
  <si>
    <t>An overhead construction intended to provide protection from the weather, especially precipitation.</t>
  </si>
  <si>
    <t>May be internally supported by posts and independent of walls, for example as at a train station or under a Dutch barn.</t>
  </si>
  <si>
    <t>routeRelatedStructure</t>
  </si>
  <si>
    <t>Route-related Structure</t>
  </si>
  <si>
    <t>Overhung by a variety of route-related signs, lights, and/or their support structures.</t>
  </si>
  <si>
    <t>For example, street lamps, street signs, traffic lights, light support structures, and route markers.</t>
  </si>
  <si>
    <t>scaffold</t>
  </si>
  <si>
    <t>Scaffold</t>
  </si>
  <si>
    <t>A temporary raised structure used to support equipment (for example: painting or cleaning devices) while spanning over or around an object (for example: a building).</t>
  </si>
  <si>
    <t>Uses, for example, during the construction and/or external repair of a building or non-building structure.</t>
  </si>
  <si>
    <t>trafficSign</t>
  </si>
  <si>
    <t>Traffic Sign</t>
  </si>
  <si>
    <t>Overhung by a traffic sign.</t>
  </si>
  <si>
    <t>A traffic sign is a roadside sign conveying information (for example: navigation directions or hazard warnings) to drivers of motor vehicles.</t>
  </si>
  <si>
    <t>transportationBlock</t>
  </si>
  <si>
    <t>transRouteProtectStruct</t>
  </si>
  <si>
    <t>banking</t>
  </si>
  <si>
    <t>Banking</t>
  </si>
  <si>
    <t>The availability of financial services.</t>
  </si>
  <si>
    <t>For example: banking and/or currency exchange facilities.</t>
  </si>
  <si>
    <t>customs</t>
  </si>
  <si>
    <t>Customs</t>
  </si>
  <si>
    <t>The availability of customs services.</t>
  </si>
  <si>
    <t>immigration</t>
  </si>
  <si>
    <t>Immigration</t>
  </si>
  <si>
    <t>The availability of immigration and/or naturalization services.</t>
  </si>
  <si>
    <t>internet</t>
  </si>
  <si>
    <t>Internet</t>
  </si>
  <si>
    <t>The availability of internet services.</t>
  </si>
  <si>
    <t>lodging</t>
  </si>
  <si>
    <t>Lodging</t>
  </si>
  <si>
    <t>The availability of overnight accommodations.</t>
  </si>
  <si>
    <t>For example: hotels, motels, inns, and/or military billeting.</t>
  </si>
  <si>
    <t>medical</t>
  </si>
  <si>
    <t>Medical</t>
  </si>
  <si>
    <t>The availability of medical facilities.</t>
  </si>
  <si>
    <t>postal</t>
  </si>
  <si>
    <t>Postal</t>
  </si>
  <si>
    <t>The availability of mail and parcel services.</t>
  </si>
  <si>
    <t>The availability of food services and/or eating establishments.</t>
  </si>
  <si>
    <t>sanitation</t>
  </si>
  <si>
    <t>Sanitation</t>
  </si>
  <si>
    <t>The availability of health and sanitation service.</t>
  </si>
  <si>
    <t>The availability of ground transportation services.</t>
  </si>
  <si>
    <t>travelerInformation</t>
  </si>
  <si>
    <t>Traveler Information</t>
  </si>
  <si>
    <t>The availability of aerodrome vicinity and/or tourist information services.</t>
  </si>
  <si>
    <t>The availability of animal health services.</t>
  </si>
  <si>
    <t>flexiblePavement</t>
  </si>
  <si>
    <t>Flexible Pavement</t>
  </si>
  <si>
    <t>The total pavement structure deflects, or flexes, under loading.</t>
  </si>
  <si>
    <t>rigidPavement</t>
  </si>
  <si>
    <t>Rigid Pavement</t>
  </si>
  <si>
    <t>The pavement structure deflects very little under loading due to the high modulus of elasticity of the surface course.</t>
  </si>
  <si>
    <t>technical</t>
  </si>
  <si>
    <t>Technical</t>
  </si>
  <si>
    <t>Representing a specific study of the pavement characteristics and application of pavement behaviour technology.</t>
  </si>
  <si>
    <t>usingAircraftExperience</t>
  </si>
  <si>
    <t>Using Aircraft Experience</t>
  </si>
  <si>
    <t>Representing a knowledge of the specific type and mass of aircraft satisfactorily being supported under regular use.</t>
  </si>
  <si>
    <t>No pressure limit.</t>
  </si>
  <si>
    <t>Pressure limited to 1.00 megapascal (MPa) (145 psi).</t>
  </si>
  <si>
    <t>Pressure limited to 1.50 megapascal (MPa) (217 psi).</t>
  </si>
  <si>
    <t>veryLow</t>
  </si>
  <si>
    <t>Very Low</t>
  </si>
  <si>
    <t>Pressure limited to 0.50 megapascal (MPa) (73 psi).</t>
  </si>
  <si>
    <t>highStrengthSubgrade</t>
  </si>
  <si>
    <t>High Strength Subgrade</t>
  </si>
  <si>
    <t>Characterized by K = 150 MN/m3 and representing all K values above 120 MN/m3 for rigid pavements, and by California Bearing Ratio (CBR) = 15 and representing all CBR values above 13 for flexible pavements.</t>
  </si>
  <si>
    <t>lowStrengthSubgrade</t>
  </si>
  <si>
    <t>Low Strength Subgrade</t>
  </si>
  <si>
    <t>Characterized by K = 40 MN/m3 and representing a range in K of 25 to 60 MN/m3 for rigid pavements, and by California Bearing Ratio (CBR) = 6 and representing a range in CBR of 4 to 8 for flexible pavements.</t>
  </si>
  <si>
    <t>mediumStrengthSubgrade</t>
  </si>
  <si>
    <t>Medium Strength Subgrade</t>
  </si>
  <si>
    <t>Characterized by K = 80 MN/m3 and representing a range in K of 60 to 120 MN/m3 for rigid pavements, and by California Bearing Ratio (CBR) = 10 and representing a range in CBR of 8 to 13 for flexible pavements.</t>
  </si>
  <si>
    <t>ultraLowStrengthSubgrade</t>
  </si>
  <si>
    <t>Ultra-low Strength Subgrade</t>
  </si>
  <si>
    <t>Characterized by K = 20 MN/m3 and representing all K values below 25 MN/m3 for rigid pavements, and by California Bearing Ratio (CBR) = 3 and representing all CBR values below 4 for flexible pavements.</t>
  </si>
  <si>
    <t>The man-made structure is being built or undergoing renovation or repair.</t>
  </si>
  <si>
    <t>Incorporates site preparations, building of new construction and the renovation or repair of existing structures.</t>
  </si>
  <si>
    <t>The man-made structure is damaged.</t>
  </si>
  <si>
    <t>Damage may be a consequence of accident, military action, or natural disaster. The damaged man-made structure can be repaired.</t>
  </si>
  <si>
    <t>The man-made structure has undergone complete destruction and is in a state of total disrepair.</t>
  </si>
  <si>
    <t>Destruction may be a consequence of military action, natural disaster, planned demolition or a long period of no maintenance. A destroyed man-made structure can only be restored by complete reconstruction.</t>
  </si>
  <si>
    <t>dismantled</t>
  </si>
  <si>
    <t>Dismantled</t>
  </si>
  <si>
    <t>The man-made structure has undergone a systematic selective removal of components.</t>
  </si>
  <si>
    <t>Low value components and/or equipment may remain. The man-made structure cannot be repaired without a great deal of time and effort.</t>
  </si>
  <si>
    <t>intact</t>
  </si>
  <si>
    <t>Intact</t>
  </si>
  <si>
    <t>The man-made structure is complete and intact.</t>
  </si>
  <si>
    <t>The man-made structure may or may not be in operation or use.</t>
  </si>
  <si>
    <t>unmaintained</t>
  </si>
  <si>
    <t>Unmaintained</t>
  </si>
  <si>
    <t>The man-made structure is left in place to deteriorate.</t>
  </si>
  <si>
    <t>The man-made structure has been abandoned and no maintenance or repairs are being carried out. While the structure is physically intact, no signs of operation are visible.</t>
  </si>
  <si>
    <t>helicopter</t>
  </si>
  <si>
    <t>Helicopter</t>
  </si>
  <si>
    <t>The pilot boards by a helicopter that comes out from the shore.</t>
  </si>
  <si>
    <t>pilotCruisingVessel</t>
  </si>
  <si>
    <t>Pilot-cruising Vessel</t>
  </si>
  <si>
    <t>The pilot boards from a cruising vessel.</t>
  </si>
  <si>
    <t>requestedVessel</t>
  </si>
  <si>
    <t>Requested Vessel</t>
  </si>
  <si>
    <t>The pilot boards from a vessel that comes out from the shore on request.</t>
  </si>
  <si>
    <t>bubblerSystem</t>
  </si>
  <si>
    <t>Bubbler System</t>
  </si>
  <si>
    <t>A submerged pipe from which warm water bubbles, preventing the surrounding water from freezing.</t>
  </si>
  <si>
    <t>intakePipe</t>
  </si>
  <si>
    <t>Intake Pipe</t>
  </si>
  <si>
    <t>A pipe taking water from a river or other body of water.</t>
  </si>
  <si>
    <t>For example, to supply an aqueduct or a water treatment facility.</t>
  </si>
  <si>
    <t>outfallPipe</t>
  </si>
  <si>
    <t>Outfall Pipe</t>
  </si>
  <si>
    <t>A pipe (generally a sewer or drainage pipe) discharging in to the sea or a river.</t>
  </si>
  <si>
    <t>pipelineValve</t>
  </si>
  <si>
    <t>Pipeline Valve</t>
  </si>
  <si>
    <t>A device in a pipe that controls the passage of fluid.</t>
  </si>
  <si>
    <t>May be manually actuated and/or act automatically by yielding to pressure in one direction only.</t>
  </si>
  <si>
    <t>sewer</t>
  </si>
  <si>
    <t>Sewer</t>
  </si>
  <si>
    <t>A pipe in a sewage system for carrying water or sewage to a disposal area.</t>
  </si>
  <si>
    <t>transportPipe</t>
  </si>
  <si>
    <t>Transport Pipe</t>
  </si>
  <si>
    <t>A pipe used for transport (supply) of gas or liquid product.</t>
  </si>
  <si>
    <t>For example, transport of natural gas, oil, or coal slurry.</t>
  </si>
  <si>
    <t>automaticWeapon</t>
  </si>
  <si>
    <t>Automatic Weapon</t>
  </si>
  <si>
    <t>A firearm capable of continuous loading, firing, and ejecting until the ammunition is exhausted or the trigger is released.</t>
  </si>
  <si>
    <t>explosiveVest</t>
  </si>
  <si>
    <t>Explosive Vest</t>
  </si>
  <si>
    <t>An article of clothing worn around the torso that includes explosive device(s).</t>
  </si>
  <si>
    <t>Any chemical compound, mixture, and/or device used as a primary or common purpose to create an explosion releasing instaneous gas and/or heat.</t>
  </si>
  <si>
    <t>grenade</t>
  </si>
  <si>
    <t>Grenade</t>
  </si>
  <si>
    <t>A small bomb or explosive missile that is detonated by a fuse and thrown by hand.</t>
  </si>
  <si>
    <t>It may also be propelled from a rifle or launcher.</t>
  </si>
  <si>
    <t>gun</t>
  </si>
  <si>
    <t>Gun</t>
  </si>
  <si>
    <t>A portable firearm larger than a pistol.</t>
  </si>
  <si>
    <t>knife</t>
  </si>
  <si>
    <t>Knife</t>
  </si>
  <si>
    <t>A sharp-edged blade affixed to a handle.</t>
  </si>
  <si>
    <t>pistol</t>
  </si>
  <si>
    <t>Pistol</t>
  </si>
  <si>
    <t>A small firearm held in one hand.</t>
  </si>
  <si>
    <t>rocketPropelledGrenade</t>
  </si>
  <si>
    <t>Rocket Propelled Grenade</t>
  </si>
  <si>
    <t>A man-portable, shoulder-launched weapon capable of firing an explosive device (for example: a grenade).</t>
  </si>
  <si>
    <t>sword</t>
  </si>
  <si>
    <t>Sword</t>
  </si>
  <si>
    <t>A weapon for cutting and thrusting, larger than a knife and having a hilt with a straight or curved blade.</t>
  </si>
  <si>
    <t>geothermal</t>
  </si>
  <si>
    <t>Geothermal</t>
  </si>
  <si>
    <t>Uses geothermal power from the interior heat of the Earth.</t>
  </si>
  <si>
    <t>hydroElectric</t>
  </si>
  <si>
    <t>Hydro-electric</t>
  </si>
  <si>
    <t>Uses the change in gravitational potential of falling water.</t>
  </si>
  <si>
    <t>The water may be impounded (for example: by a dam) or collected from a naturally-occurring elevated location (for example: Niagara Falls).</t>
  </si>
  <si>
    <t>Powered by the energy of nuclear reaction.</t>
  </si>
  <si>
    <t>Generates energy by combustion of hydrocarbons.</t>
  </si>
  <si>
    <t>The heat energy may be generated by either internal or external combustion processes.</t>
  </si>
  <si>
    <t>tidal</t>
  </si>
  <si>
    <t>Tidal</t>
  </si>
  <si>
    <t>Generates electricity from the tide.</t>
  </si>
  <si>
    <t>bareCleared</t>
  </si>
  <si>
    <t>Bare</t>
  </si>
  <si>
    <t>Without the natural or usual covering.</t>
  </si>
  <si>
    <t>For example, not covered by sediments.</t>
  </si>
  <si>
    <t>broken</t>
  </si>
  <si>
    <t>Broken</t>
  </si>
  <si>
    <t>The material is fractured or in pieces, presenting a mix of irregular shapes and sizes.</t>
  </si>
  <si>
    <t>For example, broken shell.</t>
  </si>
  <si>
    <t>calcareous</t>
  </si>
  <si>
    <t>Calcareous</t>
  </si>
  <si>
    <t>Composed of or containing calcium or calcium carbonate.</t>
  </si>
  <si>
    <t>For example, marl or chalk deposits.</t>
  </si>
  <si>
    <t>Falls within the largest size continuum for a particular nature of surface term.</t>
  </si>
  <si>
    <t>For example, coarse gravel.</t>
  </si>
  <si>
    <t>decayed</t>
  </si>
  <si>
    <t>Decayed</t>
  </si>
  <si>
    <t>Partially deteriorated (for example: as a result of chemical, thermal or biological action) but short of complete destruction.</t>
  </si>
  <si>
    <t>For example, decayed vegetation.</t>
  </si>
  <si>
    <t>fineMinuteParticles</t>
  </si>
  <si>
    <t>Fine</t>
  </si>
  <si>
    <t>Falls within the smallest size continuum for a particular nature of surface term.</t>
  </si>
  <si>
    <t>For example, fine sand.</t>
  </si>
  <si>
    <t>flinty</t>
  </si>
  <si>
    <t>Flinty</t>
  </si>
  <si>
    <t>Composed of or covered with sharp-edged rock fragments.</t>
  </si>
  <si>
    <t>glacial</t>
  </si>
  <si>
    <t>Glacial</t>
  </si>
  <si>
    <t>Rocky materials consisting of a range of sizes that have been carried by the advancing edge of a glacier and left following its retreat.</t>
  </si>
  <si>
    <t>gritty</t>
  </si>
  <si>
    <t>Gritty</t>
  </si>
  <si>
    <t>Composed of or covered with sharp gravel-sized particles.</t>
  </si>
  <si>
    <t>For example, gritty mud.</t>
  </si>
  <si>
    <t>Broken or pounded into small fragments.</t>
  </si>
  <si>
    <t>For example, as a result of wave action along a shore.</t>
  </si>
  <si>
    <t>hard</t>
  </si>
  <si>
    <t>Hard</t>
  </si>
  <si>
    <t>Firm, referring to an area of the sea floor not covered by unconsolidated sediment.</t>
  </si>
  <si>
    <t>Not consistent or uniform in composition and/or colour.</t>
  </si>
  <si>
    <t>large</t>
  </si>
  <si>
    <t>Large</t>
  </si>
  <si>
    <t>Being of greater than average size.</t>
  </si>
  <si>
    <t>For example, large boulders.</t>
  </si>
  <si>
    <t>Falls within the moderate size continuum for a particular nature of surface term.</t>
  </si>
  <si>
    <t>mobileBottom</t>
  </si>
  <si>
    <t>Mobile Bottom</t>
  </si>
  <si>
    <t>Composed of materials regularly redistributed by environmental factors (for example: waves and currents) resulting in routine changes in characteristics.</t>
  </si>
  <si>
    <t>rocky</t>
  </si>
  <si>
    <t>Rocky</t>
  </si>
  <si>
    <t>Abounding in rocks.</t>
  </si>
  <si>
    <t>The rocks may be lying free on a swept surface or partially embedded in sediments.</t>
  </si>
  <si>
    <t>rotten</t>
  </si>
  <si>
    <t>Rotten</t>
  </si>
  <si>
    <t>Being in a state of putrefaction as a result of the decomposition of included organic material.</t>
  </si>
  <si>
    <t>small</t>
  </si>
  <si>
    <t>Small</t>
  </si>
  <si>
    <t>Being below the average in size.</t>
  </si>
  <si>
    <t>For example, small rocks.</t>
  </si>
  <si>
    <t>soft</t>
  </si>
  <si>
    <t>Soft</t>
  </si>
  <si>
    <t>Soft, referring to an area of the sea floor covered by unconsolidated sediment.</t>
  </si>
  <si>
    <t>speckled</t>
  </si>
  <si>
    <t>Speckled</t>
  </si>
  <si>
    <t>Flecked with small spots of contrasting colour.</t>
  </si>
  <si>
    <t>sticky</t>
  </si>
  <si>
    <t>Sticky</t>
  </si>
  <si>
    <t>Having an adhesive or glue like character resulting in adhesion to objects (for example: an anchor).</t>
  </si>
  <si>
    <t>For example, sticky mud.</t>
  </si>
  <si>
    <t>stiff</t>
  </si>
  <si>
    <t>Stiff</t>
  </si>
  <si>
    <t>Not pliant, being thick, viscous, and resistant to flow.</t>
  </si>
  <si>
    <t>For example, stiff mud.</t>
  </si>
  <si>
    <t>streaky</t>
  </si>
  <si>
    <t>Streaky</t>
  </si>
  <si>
    <t>Marked or variegated with stripes or linear discolorations.</t>
  </si>
  <si>
    <t>tenacious</t>
  </si>
  <si>
    <t>Tenacious</t>
  </si>
  <si>
    <t>Marked with linear discolourations.</t>
  </si>
  <si>
    <t>For example, as a result of layered deposits of different materials or the effect of differential scouring.</t>
  </si>
  <si>
    <t>varied</t>
  </si>
  <si>
    <t>Varied</t>
  </si>
  <si>
    <t>Widely different in composition, shape, size and/or consistency within a relatively small region.</t>
  </si>
  <si>
    <t>volcanic</t>
  </si>
  <si>
    <t>Volcanic</t>
  </si>
  <si>
    <t>Composed of or containing material ejected from a volcano.</t>
  </si>
  <si>
    <t>adobeBrick</t>
  </si>
  <si>
    <t>Adobe Brick</t>
  </si>
  <si>
    <t>Brick made of adobe clay and straw, dried in the sun rather than by oven firing (as are standard bricks).</t>
  </si>
  <si>
    <t>Larger than standard bricks, adobe bricks require a type of clay that contains between 25 and 45 percent aluminum salts.</t>
  </si>
  <si>
    <t>aluminum</t>
  </si>
  <si>
    <t>Aluminum</t>
  </si>
  <si>
    <t>A light silvery ductile and malleable metal, not readily tarnished by air, which is a chemical element, atomic number 13. (Symbol Al.)</t>
  </si>
  <si>
    <t>Black or brownish-black, solid or viscous, bituminous pitch, of natural occurrence or produced from petroleum.</t>
  </si>
  <si>
    <t>Clay kneaded, moulded, and baked or sun-dried, used as a building material.</t>
  </si>
  <si>
    <t>Containing calcium carbonate and/or other, usually insoluble, calcium salt.</t>
  </si>
  <si>
    <t>ceramic</t>
  </si>
  <si>
    <t>Ceramic</t>
  </si>
  <si>
    <t>A nonmetallic material made from clay and hardened by firing at high temperature.</t>
  </si>
  <si>
    <t>It contains minute silicate crystals suspended in a glassy cement.</t>
  </si>
  <si>
    <t>chalk</t>
  </si>
  <si>
    <t>Chalk</t>
  </si>
  <si>
    <t>White soft earthy limestone consisting almost wholly of calcite and derived chiefly from microscopic salt water fossil shells and fragments.</t>
  </si>
  <si>
    <t>cirripedia</t>
  </si>
  <si>
    <t>Cirripedia</t>
  </si>
  <si>
    <t>A member of the subclass Cirripedia, a marine crustacean that is generally sessile as an adult and has limbs modified for filter-feeding.</t>
  </si>
  <si>
    <t>For example, a barnacle.</t>
  </si>
  <si>
    <t>A stiff tenacious fine-grained earth consisting mainly of hydrated aluminosilicates, which become more plastic when water is added and can be moulded and dried.</t>
  </si>
  <si>
    <t>Used to make bricks and/or pottery.</t>
  </si>
  <si>
    <t>cobbles</t>
  </si>
  <si>
    <t>Cobbles</t>
  </si>
  <si>
    <t>Water-worn rounded stones, especially of the size used for paving.</t>
  </si>
  <si>
    <t>A coarse-grained sedimentary rock composed of rounded fragments embedded in a matrix of a cementing material such as silica.</t>
  </si>
  <si>
    <t>copper</t>
  </si>
  <si>
    <t>Copper</t>
  </si>
  <si>
    <t>A malleable and ductile reddish metal which is a chemical element of the transition series, atomic number 29. (Symbol Cu.)</t>
  </si>
  <si>
    <t>Used especially for electrical conductors and as the base of alloys.</t>
  </si>
  <si>
    <t>coralHead</t>
  </si>
  <si>
    <t>Coral Head</t>
  </si>
  <si>
    <t>A significant, dense, coral outcrop consisting of corals grown, usually, from a single embryo.</t>
  </si>
  <si>
    <t>diatomaceousEarth</t>
  </si>
  <si>
    <t>Diatomaceous Earth</t>
  </si>
  <si>
    <t>A soft, friable, porous material consisting of fossilized microscopic unicellular alga that have rigid siliceous cell walls.</t>
  </si>
  <si>
    <t>Used for filters and insulation.</t>
  </si>
  <si>
    <t>evaporite</t>
  </si>
  <si>
    <t>Evaporite</t>
  </si>
  <si>
    <t>A sedimentary salt deposit left after the evaporation of a body of water.</t>
  </si>
  <si>
    <t>ferrocement</t>
  </si>
  <si>
    <t>Ferrocement</t>
  </si>
  <si>
    <t>A cement-based material that is usually reinforced with steel and shaped to a variety of forms (for example: ship or barge hulls).</t>
  </si>
  <si>
    <t>Other materials (for example: metal mesh or artificial fibre textile) may be used to reinforce the cement while providing a degree of flexibility.</t>
  </si>
  <si>
    <t>fibreglass</t>
  </si>
  <si>
    <t>Fibreglass</t>
  </si>
  <si>
    <t>Any material consisting of glass filaments woven into a textile or paper, or embedded in plastic, for use as a construction or insulation material.</t>
  </si>
  <si>
    <t>A collection of one or more optical fibres, organized into a cable and protectively wrapped.</t>
  </si>
  <si>
    <t>foraminifera</t>
  </si>
  <si>
    <t>Foraminifera</t>
  </si>
  <si>
    <t>A rhizopod of the chiefly marine order Foraminiferida, typically having a calcareous shell with perforations (foramina) through which pseudopodia extend, the fossils forming a major constituent of chalk and many marine oozes.</t>
  </si>
  <si>
    <t>frozenWater</t>
  </si>
  <si>
    <t>Frozen Water</t>
  </si>
  <si>
    <t>Water solidified by exposure to cold.</t>
  </si>
  <si>
    <t>For example, snow or ice.</t>
  </si>
  <si>
    <t>fucus</t>
  </si>
  <si>
    <t>Fucus</t>
  </si>
  <si>
    <t>A member of the genus Fucus, a seaweed with leathery fronds.</t>
  </si>
  <si>
    <t>For example, bladderwrack.</t>
  </si>
  <si>
    <t>glass</t>
  </si>
  <si>
    <t>Glass</t>
  </si>
  <si>
    <t>A substance made by fusing soda and/or potash with other ingredients.</t>
  </si>
  <si>
    <t>Usually transparent, lustrous, hard, and brittle.</t>
  </si>
  <si>
    <t>glassReinforcedPlastic</t>
  </si>
  <si>
    <t>Glass Reinforced Plastic (GRP)</t>
  </si>
  <si>
    <t>A plastic composition in which glass reinforcements are imbedded with strength properties greatly superior to those of the base resin.</t>
  </si>
  <si>
    <t>The reinforcements are usually fibres, rovings, fabrics or mats.</t>
  </si>
  <si>
    <t>Any of a broad class of granular crystalline plutonic rocks, consisting essentially of quartz, orthoclase, feldspar, and mica or hornblende.</t>
  </si>
  <si>
    <t>Often used for building.</t>
  </si>
  <si>
    <t>Small water-worn or pounded stones.</t>
  </si>
  <si>
    <t>Sometimes with an intermixture of sand and/or clay. Used for laying paths and roads.</t>
  </si>
  <si>
    <t>groundShell</t>
  </si>
  <si>
    <t>Ground Shell</t>
  </si>
  <si>
    <t>Ground calcareous remains of macroscopic marine animals.</t>
  </si>
  <si>
    <t>hideTextile</t>
  </si>
  <si>
    <t>Hide and/or Textile</t>
  </si>
  <si>
    <t>Any thin, flexible sheet material consisting of cured animal hides and/or textiles.</t>
  </si>
  <si>
    <t>The textile may be based on a mixture of natural (for example: cotton) and/or man-made (for example: nylon) fibres.</t>
  </si>
  <si>
    <t>iron</t>
  </si>
  <si>
    <t>Iron</t>
  </si>
  <si>
    <t>A malleable, magnetic, readily oxidizable metal which is a chemical element of the transition series, atomic number 26. (Symbol Fe.)</t>
  </si>
  <si>
    <t>Occurs abundantly in certain ores and in meteorites, and is widely used, chiefly in alloys such as steel.</t>
  </si>
  <si>
    <t>The fluid or semifluid magma or molten rock which flows from a volcano or other fissure in the Earth.</t>
  </si>
  <si>
    <t>lead</t>
  </si>
  <si>
    <t>Lead</t>
  </si>
  <si>
    <t>A soft, heavy, malleable, bluish-grey metal that is a chemical element, atomic number 82, occurring in galena and other minerals. (Symbol Pb.)</t>
  </si>
  <si>
    <t>loess</t>
  </si>
  <si>
    <t>Loess</t>
  </si>
  <si>
    <t>Fine yellowish-grey loam composed of material transported by the wind.</t>
  </si>
  <si>
    <t>A material for surfacing roads, consisting of broken stone or ironstone slag bound with tar alone, or of tar mixed with pitch or creosote.</t>
  </si>
  <si>
    <t>Historically, water-bound rather than using tar or pitch.</t>
  </si>
  <si>
    <t>madrepore</t>
  </si>
  <si>
    <t>Madrepore</t>
  </si>
  <si>
    <t>Stony and/or silaceous coral.</t>
  </si>
  <si>
    <t>manganese</t>
  </si>
  <si>
    <t>Manganese</t>
  </si>
  <si>
    <t>A hard grey brittle chemical element, atomic number 25, which is one of the transition metals. (Symbol Mn.)</t>
  </si>
  <si>
    <t>Used in steels and magnetic alloys.</t>
  </si>
  <si>
    <t>White to gray accumulation on lake bottoms caused by precipitation of calcium carbonate (CaCO3) mixed with microscopic fresh water fossil shells and fragments.</t>
  </si>
  <si>
    <t>matte</t>
  </si>
  <si>
    <t>Matte</t>
  </si>
  <si>
    <t>A mixture of impure metal sulphides produced during the smelting of sulphide ores (for example: of copper or nickel).</t>
  </si>
  <si>
    <t>Any of the class of substances that are characteristically lustrous, ductile, fusible, malleable solids and are good conductors of heat and electricity.</t>
  </si>
  <si>
    <t>For example, gold, silver, copper, iron, lead, tin, and certain alloys (as brass and bronze).</t>
  </si>
  <si>
    <t>Soft wet soil, sand, dust, and/or other earthy matter.</t>
  </si>
  <si>
    <t>Also, the hard ground produced by the drying of an area of mud.</t>
  </si>
  <si>
    <t>mudBasedConstruction</t>
  </si>
  <si>
    <t>Mud-based Construction</t>
  </si>
  <si>
    <t>Constructed principally from mud applied to a structural scaffold of plant material (for example: wooden posts).</t>
  </si>
  <si>
    <t>Effective only in extremely dry climates and usually must be resurfaced on a regular basis (for example: yearly) otherwise the structure steadily disintegrates under the effect of weather.</t>
  </si>
  <si>
    <t>mussels</t>
  </si>
  <si>
    <t>Mussels</t>
  </si>
  <si>
    <t>Any of various bivalve molluscs belonging chiefly to the marine superfamily Mytilacea or to the freshwater superfamily Unionacea.</t>
  </si>
  <si>
    <t>For example, the common edible marine bivalve, Mytilus edulis, which has a dark grey, slightly elongated shell and adheres by a byssus, frequently in large aggregations.</t>
  </si>
  <si>
    <t>naturalFibre</t>
  </si>
  <si>
    <t>Natural Fibre</t>
  </si>
  <si>
    <t>A class of natural and not man-made materials that are continuous filaments, or are in discrete elongated pieces that can be spun into filaments, creating thread, string, or rope.</t>
  </si>
  <si>
    <t>May be used directly for load-bearing (for example: a rope) or woven into a textile (for example: for use in clothing manufacture). Naturally occurring vegetable fibres include, for example, cotton, linen, jute, flax, ramie, sisal and hemp.</t>
  </si>
  <si>
    <t>ooze</t>
  </si>
  <si>
    <t>Ooze</t>
  </si>
  <si>
    <t>A deposit or layer of white or grey calcareous matter largely composed of foraminiferan remains, covering large areas of the ocean floor.</t>
  </si>
  <si>
    <t>oysters</t>
  </si>
  <si>
    <t>Oysters</t>
  </si>
  <si>
    <t>Any of various bivalve molluscs of the family Ostreidae, several of which are eaten (especially raw) as a delicacy and may be farmed for food or pearls.</t>
  </si>
  <si>
    <t>For example, the common European Ostrea edulis, and members of the widespread genus Crassostrea.</t>
  </si>
  <si>
    <t>pebbles</t>
  </si>
  <si>
    <t>Pebbles</t>
  </si>
  <si>
    <t>Small, smooth, rounded stones, that have been worn by the action of water, ice, and/or sand.</t>
  </si>
  <si>
    <t>plantMaterial</t>
  </si>
  <si>
    <t>Plant Material</t>
  </si>
  <si>
    <t>Plant material (for example: straw and/or tall coarse grass), possibly also containing the slices of soil to which the plant material is attached.</t>
  </si>
  <si>
    <t>For example, used in thatching or sodding a roof.</t>
  </si>
  <si>
    <t>plastic</t>
  </si>
  <si>
    <t>Plastic</t>
  </si>
  <si>
    <t>Any of a large class of substances which are polymers based on synthetic resins or modified natural polymers.</t>
  </si>
  <si>
    <t>May be moulded, extruded, or cast while soft or liquid, and then set into a rigid or slightly elastic form, usually by heating or cooling.</t>
  </si>
  <si>
    <t>prestressedConcrete</t>
  </si>
  <si>
    <t>Prestressed Concrete</t>
  </si>
  <si>
    <t>Reinforced concrete in which internal stresses have been introduced to reduce potential tensile stress in the concrete resulting from loads.</t>
  </si>
  <si>
    <t>pteropods</t>
  </si>
  <si>
    <t>Pteropods</t>
  </si>
  <si>
    <t>Accumulated remains of molluscs of the chiefly marine class Gastropoda, having a thin-walled calcareous shell, the fossils forming a major constituent of marine ooze.</t>
  </si>
  <si>
    <t>pumice</t>
  </si>
  <si>
    <t>Pumice</t>
  </si>
  <si>
    <t>A light spongy form of volcanic glass, usually of pyroclastic origin and with a high silica content.</t>
  </si>
  <si>
    <t>Used, for example, as an abrasive (for example: in cleaning, polishing, removing stains and/or dead skin) or as an absorbent for moisture.</t>
  </si>
  <si>
    <t>quartz</t>
  </si>
  <si>
    <t>Quartz</t>
  </si>
  <si>
    <t>A trigonal rock-forming mineral consisting of silica, massive or crystallizing in colourless or white hexagonal prisms.</t>
  </si>
  <si>
    <t>Found widely in igneous and metamorphic rocks. Often coloured by impurities (as amethyst, citrine, cairngorm).</t>
  </si>
  <si>
    <t>radiolaria</t>
  </si>
  <si>
    <t>Radiolaria</t>
  </si>
  <si>
    <t>Marine protozoa with amoeba-like bodies and radiating filamentous pseudopods.</t>
  </si>
  <si>
    <t>rock</t>
  </si>
  <si>
    <t>Rock</t>
  </si>
  <si>
    <t>Stones of any size.</t>
  </si>
  <si>
    <t>rubble</t>
  </si>
  <si>
    <t>Rubble</t>
  </si>
  <si>
    <t>The debris (for example: waste fragments of masonry) of decayed or demolished buildings and/or other structures.</t>
  </si>
  <si>
    <t>A coarse-grained pelitic metamorphic rock that has a structure marked by parallel layers of various minerals and can be split into thin irregular plates.</t>
  </si>
  <si>
    <t>scoria</t>
  </si>
  <si>
    <t>Scoria</t>
  </si>
  <si>
    <t>Rough masses resembling clinker, formed by the cooling of volcanic ejecta, and of a light aerated texture.</t>
  </si>
  <si>
    <t>seaMoss</t>
  </si>
  <si>
    <t>Sea Moss</t>
  </si>
  <si>
    <t>Mosslike colonies of sessile, polypoid aquatic animals that reproduce by budding.</t>
  </si>
  <si>
    <t>shell</t>
  </si>
  <si>
    <t>Shell</t>
  </si>
  <si>
    <t>Calcareous remains of macroscopic marine animals, whole or in fragments.</t>
  </si>
  <si>
    <t>shingle</t>
  </si>
  <si>
    <t>Shingle</t>
  </si>
  <si>
    <t>Small, loose, rounded waterworn pebbles, especially as accumulated on a seashore.</t>
  </si>
  <si>
    <t>silt</t>
  </si>
  <si>
    <t>Silt</t>
  </si>
  <si>
    <t>Material consisting of particles whose sizes fall within a specified range (typically 0.002-0.06 millimetres) between those of sand and clay.</t>
  </si>
  <si>
    <t>sod</t>
  </si>
  <si>
    <t>Sod</t>
  </si>
  <si>
    <t>A usually square or oblong piece or slice of earth together with the grass growing on it.</t>
  </si>
  <si>
    <t>Turf</t>
  </si>
  <si>
    <t>spicules</t>
  </si>
  <si>
    <t>Spicules</t>
  </si>
  <si>
    <t>Accumulated remains of sponges consisting of the small pointed structures of calcite or silica that compose their skeletons.</t>
  </si>
  <si>
    <t>sponge</t>
  </si>
  <si>
    <t>Sponge</t>
  </si>
  <si>
    <t>Any of various primitive sessile aquatic (chiefly marine) animals of the phylum Porifera, which have porous baglike bodies with a skeleton of hard spicules or elastic fibres.</t>
  </si>
  <si>
    <t>steel</t>
  </si>
  <si>
    <t>Steel</t>
  </si>
  <si>
    <t>Any of numerous artificially produced alloys of iron containing up to 3 percent of other elements (including less than about 2.2 percent carbon) and having great strength and malleability.</t>
  </si>
  <si>
    <t>Able to be tempered to many different degrees of hardness. Used for making tools, weapons, and/or machinery.</t>
  </si>
  <si>
    <t>Pieces of rock or mineral substance (other than metal) of definite form and size, usually artificially shaped, and used for some special purpose.</t>
  </si>
  <si>
    <t>Used, for example, for building, for paving, or in the form of a block, slab, or pillar set up as a memorial and/or a boundary-mark.</t>
  </si>
  <si>
    <t>treatedTimber</t>
  </si>
  <si>
    <t>Treated Timber</t>
  </si>
  <si>
    <t>A timber that has been impregnated with chemicals (for example: cresote oil) to reduce damage from wood rot and/or insects.</t>
  </si>
  <si>
    <t>Often used for the portions of a structure that are likely to be in ongoing contact with soil and/or water.</t>
  </si>
  <si>
    <t>tufa</t>
  </si>
  <si>
    <t>Tufa</t>
  </si>
  <si>
    <t>A soft porous calcium carbonate rock formed by deposition around mineral springs.</t>
  </si>
  <si>
    <t>Also any friable porous stone formed of consolidated, often stratified material.</t>
  </si>
  <si>
    <t>turf</t>
  </si>
  <si>
    <t>A surface layer of soil containing grsss plants with their matted roots.</t>
  </si>
  <si>
    <t>Sod, Sward</t>
  </si>
  <si>
    <t>Plants collectively, especially those dominating a particular area or habitat.</t>
  </si>
  <si>
    <t>volcanicAsh</t>
  </si>
  <si>
    <t>Volcanic Ash</t>
  </si>
  <si>
    <t>Loose fragmented solid material ejected from a volcano.</t>
  </si>
  <si>
    <t>Forms the main constituent of seas, lakes, rivers, and rain, and is put to many domestic and industrial uses.</t>
  </si>
  <si>
    <t>The hard, compact, fibrous substance of which the roots, trunks, and branches of trees and shrubs consist.</t>
  </si>
  <si>
    <t>Consists largely of secondary xylem, which forms the strengthening and water-transporting tissue of the plant.</t>
  </si>
  <si>
    <t>A national variation of standard procedure design criteria.</t>
  </si>
  <si>
    <t>nato</t>
  </si>
  <si>
    <t>NATO</t>
  </si>
  <si>
    <t>A NATO variation of standard procedure design criteria.</t>
  </si>
  <si>
    <t>pansOps</t>
  </si>
  <si>
    <t>PANS-OPS</t>
  </si>
  <si>
    <t>ICAO standard flight procedure design criteria.</t>
  </si>
  <si>
    <t>terps</t>
  </si>
  <si>
    <t>TERPS</t>
  </si>
  <si>
    <t>United States standard flight procedure design criteria.</t>
  </si>
  <si>
    <t>The established minimum weather condition requirements are only to be used if the aerodrome is serving as an alternate to the original destination of the aircraft.</t>
  </si>
  <si>
    <t>The established minimum weather condition requirements are designated as compulsory when using the terminal instrument procedure.</t>
  </si>
  <si>
    <t>A machine that can be flown in the air.</t>
  </si>
  <si>
    <t>For example, an aeroplane or a helicopter.</t>
  </si>
  <si>
    <t>ammunition</t>
  </si>
  <si>
    <t>Ammunition</t>
  </si>
  <si>
    <t>Military stores or supplies consisting of projectiles (for example: bullets, shells, and/or grenades) and propellants.</t>
  </si>
  <si>
    <t>Basalt in the form of blocks, slabs, and other shapes for use in construction (for example: building or paving).</t>
  </si>
  <si>
    <t>A dark, fine-grained, igneous rock, often displaying columnar structure and usually composed largely of plagioclase with pyroxene and olivine.</t>
  </si>
  <si>
    <t>bauxite</t>
  </si>
  <si>
    <t>Bauxite</t>
  </si>
  <si>
    <t>An earthy rock consisting of hydrated alumina with variable proportions of iron oxides and other impurities.</t>
  </si>
  <si>
    <t>The major commercial source of aluminium.</t>
  </si>
  <si>
    <t>beverage</t>
  </si>
  <si>
    <t>Beverage</t>
  </si>
  <si>
    <t>A liquid specifically prepared for human consumption.</t>
  </si>
  <si>
    <t>For example, milk, beer, wine or fruit juices.</t>
  </si>
  <si>
    <t>biochemical</t>
  </si>
  <si>
    <t>Biochemical</t>
  </si>
  <si>
    <t>A compound produced by chemical reactions in living organisms.</t>
  </si>
  <si>
    <t>May also be synthesized using non-biologic processes.</t>
  </si>
  <si>
    <t>For U.S. Energy Information Administration reporting, it is a fuel composed of mono-alkyl esters of long chain fatty acids derived from vegetable oils or animal fats, designated B100, and meeting the requirements of American Society for Testing and Materials (ASTM) D 6751. It can serve as a substitute for petroleum-derived diesel or distillate fuel.</t>
  </si>
  <si>
    <t>bivalveMollusc</t>
  </si>
  <si>
    <t>Bivalve Mollusc</t>
  </si>
  <si>
    <t>A member of the class Bivalvia, having a shell of two parts hinged together by a ligament.</t>
  </si>
  <si>
    <t>For example, clams, scallops, oysters, and mussels.</t>
  </si>
  <si>
    <t>brine</t>
  </si>
  <si>
    <t>Brine</t>
  </si>
  <si>
    <t>Water saturated or strongly impregnated with salt, especially sodium chloride.</t>
  </si>
  <si>
    <t>May be used as a feedstock in petrochemical refineries and in oil and gas well drilling and workover operations.</t>
  </si>
  <si>
    <t>cement</t>
  </si>
  <si>
    <t>Cement</t>
  </si>
  <si>
    <t>A powdered substance, usually consisting of a strong mortar of calcined lime and clay, mixed with water and applied as a paste which hardens into a stony consistency.</t>
  </si>
  <si>
    <t>Used for binding together stones and/or bricks and for forming structures (for example: floors and/or walls).</t>
  </si>
  <si>
    <t>charcoal</t>
  </si>
  <si>
    <t>Charcoal</t>
  </si>
  <si>
    <t>The blackish residue consisting of impure carbon obtained by removing water and other volatile constituents of organic materials, usually produced by heating wood in the absence of oxygen.</t>
  </si>
  <si>
    <t>Its primary use is as a fuel, which burns hotter and cleaner than wood.</t>
  </si>
  <si>
    <t>A distinct substance obtained by or used in a chemical process.</t>
  </si>
  <si>
    <t>chromium</t>
  </si>
  <si>
    <t>Chromium</t>
  </si>
  <si>
    <t>A hard white lustrous metal which is a chemical element of the transition series, atomic number 24. (Symbol Cr.)</t>
  </si>
  <si>
    <t>It is much used in alloys and corrosion-resistant coatings.</t>
  </si>
  <si>
    <t>clothing</t>
  </si>
  <si>
    <t>Clothing</t>
  </si>
  <si>
    <t>Coverings designed to be worn on a person's body, usually for functional purposes (for example: protection from the environment).</t>
  </si>
  <si>
    <t>Most commonly created from cloth fabrics, leather and/or fur. Clothing often has important social (for example: uniforms) and cultural (for example: differences between male and female) functions, with styles varying widely. Clothing may be either mass-manufactured in standard sizes ('ready-to-wear') or individually sized (tailored or 'made-to-measure'). Clothing worn on the feet (for example: boot, sandal, shoe) is generically termed 'footwear'. Clothing worn on the head (for example: hat, helmet, turban) is generically termed 'headgear'.</t>
  </si>
  <si>
    <t>coalbedMethane</t>
  </si>
  <si>
    <t>Coalbed Methane</t>
  </si>
  <si>
    <t>A form of natural gas extracted from coal beds, consisting almost entirely of methane, with little heavier hydrocarbons such as propane or butane, and no natural gas condensate.</t>
  </si>
  <si>
    <t>It often contains up to a few percent carbon dioxide, but essentially no hydrogen sulfide. In underground coal mining it presents a serious safety risk (of explosion).</t>
  </si>
  <si>
    <t>Coal Seam Gas</t>
  </si>
  <si>
    <t>The seeds obtained from any of certain members of the paleotropical genus Coffea (especially Coffea arabica), of the madder family, that bear white flowers succeeded by red berries each containing two seeds.</t>
  </si>
  <si>
    <t>May be either raw or roasted (and ground).</t>
  </si>
  <si>
    <t>coke</t>
  </si>
  <si>
    <t>Coke</t>
  </si>
  <si>
    <t>Coal deprived by dry distillation of its volatile constituents.</t>
  </si>
  <si>
    <t>consumerGoods</t>
  </si>
  <si>
    <t>Consumer Goods</t>
  </si>
  <si>
    <t>Goods that are used or bought for use primarily for personal, family, and/or household purposes.</t>
  </si>
  <si>
    <t>These goods include, for example, food, clothing, automobiles, television sets, and appliances.</t>
  </si>
  <si>
    <t>The soft white fibrous substance which surrounds the seeds of various plants of the tropical and subtropical genus Gossypium.</t>
  </si>
  <si>
    <t>Used for making thread and cloth.</t>
  </si>
  <si>
    <t>crustacean</t>
  </si>
  <si>
    <t>Crustacean</t>
  </si>
  <si>
    <t>Any member of the large class Crustacea of mainly aquatic, hard-shelled arthropods.</t>
  </si>
  <si>
    <t>For example, crab, lobster, and shrimp.</t>
  </si>
  <si>
    <t>cultivatedShellfish</t>
  </si>
  <si>
    <t>Cultivated Shellfish</t>
  </si>
  <si>
    <t>Any farmed aquatic invertebrate animal whose outer covering is a shell, usually a mollusc (for example: an oyster) or a crustacean (for example: a crab, a prawn, or a shrimp).</t>
  </si>
  <si>
    <t>desalinatedWater</t>
  </si>
  <si>
    <t>Desalinated Water</t>
  </si>
  <si>
    <t>Water from which the salt has been removed (especially seawater).</t>
  </si>
  <si>
    <t>A usually colourless or lightly tinted precious stone of great brilliance, hardness, and value, occurring chiefly in alluvial deposits.</t>
  </si>
  <si>
    <t>The hardest naturally occurring substance, commonly used for cutting and abrading.</t>
  </si>
  <si>
    <t>Dolomite in the form of blocks, slabs, and other shapes for use in construction (for example: building or paving).</t>
  </si>
  <si>
    <t>A sedimentary rock composed chiefly of a hexagonal carbonate of calcium, magnesium, and usually iron that occurs as translucent crystals of various colours, alone or with calcite.</t>
  </si>
  <si>
    <t>electricPower</t>
  </si>
  <si>
    <t>Electric Power</t>
  </si>
  <si>
    <t>Power in the form of an electric current.</t>
  </si>
  <si>
    <t>Also, the product of electromotive force (voltage) and electric current.</t>
  </si>
  <si>
    <t>electricalEquipment</t>
  </si>
  <si>
    <t>Electrical Equipment</t>
  </si>
  <si>
    <t>Devices whose primary function is to transmit, control, or convert electricity into another form of energy (for example: kinetic, thermal, or radiant).</t>
  </si>
  <si>
    <t>Includes, for example: motors, transformers, switchgear, industrial equipment (for example: drill presses, lathes, milling machines, and assembly line machinery), domestic electrical appliances (for example: ovens, freezers, toasters, stoves, washing machines, and clothes dryers), and lighting equipment.</t>
  </si>
  <si>
    <t>electronicEquipment</t>
  </si>
  <si>
    <t>Electronic Equipment</t>
  </si>
  <si>
    <t>Devices that operate according to the principles or methods of electronics (for example: incorporating transistors or electron tubes).</t>
  </si>
  <si>
    <t>Includes, for example: computers, hand-held calculators, audio communication devices (for example: telephones and cell phones), entertainment devices (for example: televisions, radio receivers, compact disc and video disc players, and personal digital music players), and display devices (for example: cathode ray tubes, liquid crystal displays, and digital projectors).</t>
  </si>
  <si>
    <t>Any chemical compound, mixture, and/or device the primary or common purpose of which is to function by explosion, that is with substantially instantaneous release of gas and/or heat.</t>
  </si>
  <si>
    <t>fertilizer</t>
  </si>
  <si>
    <t>Fertilizer</t>
  </si>
  <si>
    <t>Substances, often artifically prepared, containing nitrogen, phosphorus, and/or potassium that are added to soil in order to fertilize it.</t>
  </si>
  <si>
    <t>fish</t>
  </si>
  <si>
    <t>Fish</t>
  </si>
  <si>
    <t>Any of a large and varied group of cold-blooded aquatic vertebrates possessing gills and fins.</t>
  </si>
  <si>
    <t>fluorine</t>
  </si>
  <si>
    <t>Fluorine</t>
  </si>
  <si>
    <t>A nonmetallic univalent chemical element belonging to the halogens, atomic number 9. (Symbol F.)</t>
  </si>
  <si>
    <t>Usually a yellow irritating toxic flammable gas acting as a powerful oxidizing agent. It is recovered from fluorite or cryolite or fluorapatite.</t>
  </si>
  <si>
    <t>fluorite</t>
  </si>
  <si>
    <t>Fluorite</t>
  </si>
  <si>
    <t>Fluorite (CaF2) occurs in magmatic and sedimentary rocks and in ore deposits.</t>
  </si>
  <si>
    <t>It is used as flux agent in metal industry and for the production of hydrofluoric acid.</t>
  </si>
  <si>
    <t>Fluorospar</t>
  </si>
  <si>
    <t>food</t>
  </si>
  <si>
    <t>Food</t>
  </si>
  <si>
    <t>Substance(s) (to be) taken into the body to maintain life and growth.</t>
  </si>
  <si>
    <t>fruit</t>
  </si>
  <si>
    <t>Fruit</t>
  </si>
  <si>
    <t>The edible product of a tree, shrub, or other plant, consisting of the seed and its envelope.</t>
  </si>
  <si>
    <t>May be either pulpy or covered by a woody, hard shell (termed a nut).</t>
  </si>
  <si>
    <t>A gaseous hydrocarbon or hydrocarbon mixture that is suitable for burning in order to provide heat, light, or power.</t>
  </si>
  <si>
    <t>gold</t>
  </si>
  <si>
    <t>Gold</t>
  </si>
  <si>
    <t>A precious metal which is characterized by its yellowish colour, resistance to tarnishing and corrosion, and great malleability and ductility, and is a chemical element of the transition series, atomic number 79 (symbol Au).</t>
  </si>
  <si>
    <t>grain</t>
  </si>
  <si>
    <t>Grain</t>
  </si>
  <si>
    <t>Collectively, the fruit or seeds of cereal grasses.</t>
  </si>
  <si>
    <t>For example, corn and wheat.</t>
  </si>
  <si>
    <t>Granite in the form of blocks, slabs, and other shapes for use in construction (for example: building or paving).</t>
  </si>
  <si>
    <t>heatingSteamAndOrWater</t>
  </si>
  <si>
    <t>Heating Steam and/or Water</t>
  </si>
  <si>
    <t>Steam and/or hot water generated and circulated to transfer heat.</t>
  </si>
  <si>
    <t>For example, used to heat residential buildings from a central heating plant.</t>
  </si>
  <si>
    <t>helium</t>
  </si>
  <si>
    <t>Helium</t>
  </si>
  <si>
    <t>An extremely low-density gas that is principally extracted from natural gas wells in Texas, Oklahoma, and Kansas in the U.S.</t>
  </si>
  <si>
    <t>hydrothermalFluid</t>
  </si>
  <si>
    <t>Hydrothermal Fluid</t>
  </si>
  <si>
    <t>Very hot subsurface fluids, principally a mixture of water and steam, extracted by wells.</t>
  </si>
  <si>
    <t>Depending on the temperature, pH and mineral content, may be used in either dry steam, flash steam or binary-cycle power plants.</t>
  </si>
  <si>
    <t>Frozen water, a brittle transparent crystalline solid.</t>
  </si>
  <si>
    <t>lime</t>
  </si>
  <si>
    <t>Lime</t>
  </si>
  <si>
    <t>The alkaline earth, calcium oxide, a brittle white caustic solid which is obtained by heating limestone.</t>
  </si>
  <si>
    <t>It combines with water with the evolution of much heat, and is used as a refractory and a constituent of mortar, a source of slaked lime, and in many industrial processes.</t>
  </si>
  <si>
    <t>Quicklime</t>
  </si>
  <si>
    <t>Natural gas that has been liquefied for ease of transport by cooling the gas to -162 Celsius.</t>
  </si>
  <si>
    <t>It stored in a vacuum bottle-type container at very low temperatures and under moderate pressure. Natural gas has 600 times the volume of LNG.</t>
  </si>
  <si>
    <t>lumber</t>
  </si>
  <si>
    <t>Lumber</t>
  </si>
  <si>
    <t>Timber sawn into rough planks or otherwise partly prepared.</t>
  </si>
  <si>
    <t>marble</t>
  </si>
  <si>
    <t>Marble</t>
  </si>
  <si>
    <t>Marble in the form of blocks, slabs, and other shapes for use in construction (for example: building or paving).</t>
  </si>
  <si>
    <t>Limestone that has been recrystallized by metamorphism and is capable of taking a polish, especially one that is pure white or has a mottled surface.</t>
  </si>
  <si>
    <t>medicalSupplies</t>
  </si>
  <si>
    <t>Medical Supplies</t>
  </si>
  <si>
    <t>Any items which are essential in carrying out the treatment of a patient's illness or injury.</t>
  </si>
  <si>
    <t>Includes topicals and dressings, antiseptics, bandages, cotton, first aid kits, contraceptives, syringes, ice bags, thermometers, sun lamps, vaporizers, heating pads, and medical appliances (such as braces, canes, crutches, walkers, eyeglasses, and hearing aids).</t>
  </si>
  <si>
    <t>mica</t>
  </si>
  <si>
    <t>Mica</t>
  </si>
  <si>
    <t>A hydrous silicate of aluminum and/or potassium that has crystallized into forms that allow perfect cleavage into very thin sheets (a phyllosilicate).</t>
  </si>
  <si>
    <t>Often used as dielectrics because of their resistance to electricity. Mica is a common mineral in many magmatic and metamorphic rocks and is often rock-building in metamorphic claystones like mica-schists. Based on their chemical composition and associated colour differences they are subdived into two groups: white mica (for example: muscovite) and dark mica (for example: biotite).</t>
  </si>
  <si>
    <t>milk</t>
  </si>
  <si>
    <t>Milk</t>
  </si>
  <si>
    <t>The milk of ruminants (for example: cows, goats, and sheep) used as food for humans.</t>
  </si>
  <si>
    <t>Generally, an opaque white or bluish-white fluid secreted by the mammary glands of female mammals for nourishing their young.</t>
  </si>
  <si>
    <t>milledGrain</t>
  </si>
  <si>
    <t>Milled Grain</t>
  </si>
  <si>
    <t>A fine, powdery substabce, or meal, produced by grinding and sifting grain, especially wheat, or any of various edible roots or nuts.</t>
  </si>
  <si>
    <t>Flour</t>
  </si>
  <si>
    <t>motorVehicle</t>
  </si>
  <si>
    <t>Motor Vehicle</t>
  </si>
  <si>
    <t>A road vehicle.</t>
  </si>
  <si>
    <t>Usually powered by an internal-combustion engine, but occasionally by electricity.</t>
  </si>
  <si>
    <t>munitions</t>
  </si>
  <si>
    <t>Munitions</t>
  </si>
  <si>
    <t>Military weapons, especially including bombs, missiles, warheads, mines and/or ammunition.</t>
  </si>
  <si>
    <t>Specifically, weapons charged with: explosives; propellant; pyrotechnics; initiating composition; or nuclear, chemical, or biological material for use in military operation.</t>
  </si>
  <si>
    <t>naturalGasCondensate</t>
  </si>
  <si>
    <t>Natural Gas Condensate</t>
  </si>
  <si>
    <t>A low-density mixture of hydrocarbon liquids that are present as gaseous components in the raw natural gas produced from many natural gas fields and which condenses out of the raw gas if the temperature is reduced to below the hydrocarbon dew point temperature of the raw gas.</t>
  </si>
  <si>
    <t>Condensate ('wet gas') wells produce raw natural gas along with natural gas condensate (liquid).</t>
  </si>
  <si>
    <t>nickel</t>
  </si>
  <si>
    <t>Nickel</t>
  </si>
  <si>
    <t>A hard silvery-white metal which is a chemical element of the transition series, atomic number 28. (Symbol Ni.)</t>
  </si>
  <si>
    <t>It is used especially in special steels, magnetic alloys, and catalysts.</t>
  </si>
  <si>
    <t>noProduct</t>
  </si>
  <si>
    <t>No Product</t>
  </si>
  <si>
    <t>No product is produced.</t>
  </si>
  <si>
    <t>nonSolidHydrocarbonFuel</t>
  </si>
  <si>
    <t>Non-solid Hydrocarbon Fuel</t>
  </si>
  <si>
    <t>Hydrocarbon-based fuel that is either liquid or gas at standard temperature and pressure.</t>
  </si>
  <si>
    <t>nuclearFuel</t>
  </si>
  <si>
    <t>Nuclear Fuel</t>
  </si>
  <si>
    <t>A fissile nuclide that can be consumed to derive nuclear energy by undergoing nuclear fission chain reactions in a nuclear fission reactor.</t>
  </si>
  <si>
    <t>Nuclear fuel may consist of a mixture of fissile and fertile nuclides; during nuclear reactor operation this allows capture of excess neutrons by the fertile nuclides to form fissile nuclides. Depending on the efficiency of production of fissile elements, the process is called 'conversion' or 'breeding'. Breeding is an extreme case of conversion corresponding to a production of fissile material at least equal to its consumption.</t>
  </si>
  <si>
    <t>Fission Fuel, Reactor Fuel, Fission Fuel, Reactor Fuel</t>
  </si>
  <si>
    <t>oliveOil</t>
  </si>
  <si>
    <t>Olive Oil</t>
  </si>
  <si>
    <t>A pale, light, faintly scented oil extracted from olive pulp.</t>
  </si>
  <si>
    <t>Used especially in cookery.</t>
  </si>
  <si>
    <t>paper</t>
  </si>
  <si>
    <t>Paper</t>
  </si>
  <si>
    <t>Material in the form of thin flexible (frequently white) sheets made from the pulp of wood or other fibrous matter which is dried, pressed, and often bleached.</t>
  </si>
  <si>
    <t>Used for writing, printing, or drawing on, or for wrapping and/or covering.</t>
  </si>
  <si>
    <t>petrochemical</t>
  </si>
  <si>
    <t>Petrochemical</t>
  </si>
  <si>
    <t>A compound or element (for example: hydrogen) produced from petroleum or natural gas (as a feedstock).</t>
  </si>
  <si>
    <t>petroleum</t>
  </si>
  <si>
    <t>Petroleum</t>
  </si>
  <si>
    <t>A dark viscous liquid consisting chiefly of hydrocarbons that is present in some rocks.</t>
  </si>
  <si>
    <t>It is usually refined before use (for example: as a fuel for heating, lighting, and in internal combustion engines) and may be used as a feedstock in chemical production.</t>
  </si>
  <si>
    <t>Crude Oil</t>
  </si>
  <si>
    <t>petroleumNaturalGas</t>
  </si>
  <si>
    <t>Petroleum and/or Natural Gas</t>
  </si>
  <si>
    <t>A mixture of crude oil (petroleum) and/or natural gas that is extracted from underground reservoirs and separated and/or cleaned as necessary before transport and use.</t>
  </si>
  <si>
    <t>After processing (for example: refining) it may be used as a primary energy source (for example: as fuel oil or natural gas) or as the raw material for chemical manufacturing (for example: the production of plastics, solvents, pesticides, or fertilizers).</t>
  </si>
  <si>
    <t>petroleumLubricant</t>
  </si>
  <si>
    <t>Petroleum Lubricant</t>
  </si>
  <si>
    <t>A petroleum-based oil or grease that is blended or compounded for its lubricating properties.</t>
  </si>
  <si>
    <t>Lubricants are applied between the moving parts of machinery in order to reduce friction and consequent wear (for example: motor oils used in internal combustion engines). Lubricants may also be used to protect a part from dirt and moisture.</t>
  </si>
  <si>
    <t>phosphate</t>
  </si>
  <si>
    <t>Phosphate</t>
  </si>
  <si>
    <t>An inorganic chemical that is a salt of phosphoric acid.</t>
  </si>
  <si>
    <t>Phosphates are mined to produce phosphorus for agricultural and industrial uses.</t>
  </si>
  <si>
    <t>phosphorus</t>
  </si>
  <si>
    <t>Phosphorus</t>
  </si>
  <si>
    <t>A multivalent nonmetallic chemical element of the nitrogen family with the atomic number 15. (Symbol P.)</t>
  </si>
  <si>
    <t>It is highly reactive, occurs in several allotropic forms, and is commonly found in inorganic phosphate rocks and as organic phosphates in all living cells.</t>
  </si>
  <si>
    <t>porphyry</t>
  </si>
  <si>
    <t>Porphyry</t>
  </si>
  <si>
    <t>Porphyry in the form of blocks, slabs, and other shapes for use in construction (for example: building or paving).</t>
  </si>
  <si>
    <t>An unstratified or igneous rock having a homogeneous groundmass containing larger crystals of one or more minerals (frequently feldspar). For example, a hard rock quarried in ancient Egypt, having crystals of white or red plagioclase feldspar in a fine red groundmass of hornblende or apatite. Loosely, any attractive red or purple stone taking a high polish.</t>
  </si>
  <si>
    <t>pottery</t>
  </si>
  <si>
    <t>Pottery</t>
  </si>
  <si>
    <t>Ceramic wares that contain clay that is formed into objects (for example: vessels generally designed for utilitarian purposes), and hardened by firing at high temperature.</t>
  </si>
  <si>
    <t>The clay may be mixed with other minerals, formed while wet and then fired. After applying a glaze the object may be fired a second time.</t>
  </si>
  <si>
    <t>Quartz in the form of blocks, slabs, and other shapes for use in construction (for example: building or paving).</t>
  </si>
  <si>
    <t>A trigonal rock-forming mineral consisting of silica, massive or crystallizing in colourless or white hexagonal prisms. Found widely in igneous and metamorphic rocks. Often coloured by impurities (as amethyst, citrine, cairngorm).</t>
  </si>
  <si>
    <t>Any of various artificial polymeric substances that are tough and elastic.</t>
  </si>
  <si>
    <t>Originally an organic substance made from the coagulated latex of various plants, especially Hevea brasiliensis, which in its natural state is thermoplastic.</t>
  </si>
  <si>
    <t>salt</t>
  </si>
  <si>
    <t>Salt</t>
  </si>
  <si>
    <t>A white or (when impure) reddish-brown mineral crystallizing in the cubic system (sodium chloride, NaCl).</t>
  </si>
  <si>
    <t>Obtained by mining or by evaporation of seawater and used especially for seasoning and preserving food.</t>
  </si>
  <si>
    <t>sandstone</t>
  </si>
  <si>
    <t>Sandstone</t>
  </si>
  <si>
    <t>Sandstone in the form of blocks, slabs, and other shapes for use in construction (for example: building or paving).</t>
  </si>
  <si>
    <t>Any of various sedimentary rocks composed of sand grains, especially of quartz, cemented together. Typically red, yellow, brown, grey, or white in colour.</t>
  </si>
  <si>
    <t>selenium</t>
  </si>
  <si>
    <t>Selenium</t>
  </si>
  <si>
    <t>A toxic non-metallic chemical element with atomic number 34. (Symbol Se.)</t>
  </si>
  <si>
    <t>Selenium occurs in several allotropic forms, burns in contact with air but is unaffected by water, and is found in sulfide ores such as pyrite. Selenium is used commercially in glassmaking, and in chemicals and pigments.</t>
  </si>
  <si>
    <t>silver</t>
  </si>
  <si>
    <t>Silver</t>
  </si>
  <si>
    <t>A precious metal which is characterized by its lustrous white colour and great malleability and ductility, and is a chemical element of the transition series, atomic number 47. (Symbol Ag.)</t>
  </si>
  <si>
    <t>A mass of snow flakes (minute hexagonal ice crystals).</t>
  </si>
  <si>
    <t>Usually as the result of snow falling on the ground.</t>
  </si>
  <si>
    <t>sugar</t>
  </si>
  <si>
    <t>Sugar</t>
  </si>
  <si>
    <t>Any of the class of simple carbohydrates (for example: sucrose, glucose, lactose, and other saccharides) composed of one or more monosaccharide units, that are soluble in water, usually optically active, frequently sweet to the taste, and directly or indirectly fermentable.</t>
  </si>
  <si>
    <t>Obtained from various plants, especially the sugar cane and sugar beet, used in cookery, confectionery, and brewing.</t>
  </si>
  <si>
    <t>textile</t>
  </si>
  <si>
    <t>Textile</t>
  </si>
  <si>
    <t>Natural or synthetic fibres, filaments, threads, or yarns, and the cloth fabrics that are woven or bonded from such them.</t>
  </si>
  <si>
    <t>A beam or piece of wood forming or capable of forming part of any structure.</t>
  </si>
  <si>
    <t>tin</t>
  </si>
  <si>
    <t>Tin</t>
  </si>
  <si>
    <t>A silvery lustrous malleable metal which is a chemical element (atomic number 50). (Symbol Sn.)</t>
  </si>
  <si>
    <t>It occurs chiefly in the mineral cassiterite, resists atmospheric corrosion, and is used in making alloys (for example: bronze or pewter) and tin plate.</t>
  </si>
  <si>
    <t>A preparation of the dried leaves of the plants Nicotiana tabacum or Nicotiana rustica.</t>
  </si>
  <si>
    <t>It is smoked (for example: in pipes, cigarettes, and cigars), for its pleasantly relaxing effects, taken as snuff, or chewed.</t>
  </si>
  <si>
    <t>travertine</t>
  </si>
  <si>
    <t>Travertine</t>
  </si>
  <si>
    <t>Travertine in the form of blocks, slabs, and other shapes for use in construction (for example: building or paving).</t>
  </si>
  <si>
    <t>A white or light-coloured concretionary limestone, usually hard and semi-crystalline, precipitated from water holding calcium carbonate in solution (for example: in hot springs).</t>
  </si>
  <si>
    <t>uranium</t>
  </si>
  <si>
    <t>Uranium</t>
  </si>
  <si>
    <t>A heavy radioactive metallic chemical element of the actinide series, atomic number 92, which occurs in pitchblende and other ores. (Symbol U.)</t>
  </si>
  <si>
    <t>Important as the fissile material in nuclear reactors and weapons.</t>
  </si>
  <si>
    <t>vanadium</t>
  </si>
  <si>
    <t>Vanadium</t>
  </si>
  <si>
    <t>A lustrous steelgrey bluish, transition metal chemical element with the atomic number 23. (Symbol V.)</t>
  </si>
  <si>
    <t>It is mainly used in steel industry and for alloys.</t>
  </si>
  <si>
    <t>vegetationProduct</t>
  </si>
  <si>
    <t>Vegetation Product</t>
  </si>
  <si>
    <t>A product whose primary ingredient is vegetation.</t>
  </si>
  <si>
    <t>For example, rattan furniture, sisal rope, vegetable oil, and many foodstuffs.</t>
  </si>
  <si>
    <t>whaleProducts</t>
  </si>
  <si>
    <t>Whale Products</t>
  </si>
  <si>
    <t>Products resulting from the slaughtering and processing of whales.</t>
  </si>
  <si>
    <t>For example: whale meat (a delicacy), whale oil, ambergris, baleen, and ivory.</t>
  </si>
  <si>
    <t>wine</t>
  </si>
  <si>
    <t>Wine</t>
  </si>
  <si>
    <t>Alcoholic liquor produced from fermented grape juice.</t>
  </si>
  <si>
    <t>Also, alcoholic liquor resembling wine made from the fermented juice of other fruits, or from grain, flowers, and the sap of various trees.</t>
  </si>
  <si>
    <t>zinc</t>
  </si>
  <si>
    <t>Zinc</t>
  </si>
  <si>
    <t>A hard lustrous bluish-white metallic chemical element, atomic number 30, which is obtained from sphalerite and other ores. (Symbol Zn.)</t>
  </si>
  <si>
    <t>Used for roofing, galvanizing iron, and making alloys with copper.</t>
  </si>
  <si>
    <t>shapedLikeA</t>
  </si>
  <si>
    <t>A'</t>
  </si>
  <si>
    <t>Having a configuration like the capital letter 'A' when viewed from the side.</t>
  </si>
  <si>
    <t>shapedLikeH</t>
  </si>
  <si>
    <t>H'</t>
  </si>
  <si>
    <t>Having a configuration like the capital letter 'H' when viewed from the side.</t>
  </si>
  <si>
    <t>shapedLikeI</t>
  </si>
  <si>
    <t>I'</t>
  </si>
  <si>
    <t>Having a configuration like the serif capital letter 'I' when viewed from the side.</t>
  </si>
  <si>
    <t>There may be several, often alternating, cable support stubs along the upper portion.</t>
  </si>
  <si>
    <t>T'</t>
  </si>
  <si>
    <t>Having a configuration like the capital letter 'T' when viewed from the side.</t>
  </si>
  <si>
    <t>May have multiple horizontal bars, each supporting a separate set of cables.</t>
  </si>
  <si>
    <t>shapedLikeY</t>
  </si>
  <si>
    <t>Y'</t>
  </si>
  <si>
    <t>Having a configuration like the capital letter 'Y' when viewed from the side.</t>
  </si>
  <si>
    <t>For example, aluminum, copper, iron and certain alloys (as brass, bronze and steel).</t>
  </si>
  <si>
    <t>Able to be tempered to many different degrees of hardness and much used for making tools, weapons, and machinery.</t>
  </si>
  <si>
    <t>bicycle</t>
  </si>
  <si>
    <t>Bicycle</t>
  </si>
  <si>
    <t>Athletes employing track bicycles compete for speed and/or endurance over a fixed course.</t>
  </si>
  <si>
    <t>Usually held on specially-built banked tracks or velodromes (but many events are held at older velodromes where the track banking is relatively shallow). May also be held on grass tracks marked out on flat sports fields.</t>
  </si>
  <si>
    <t>Track Cycle</t>
  </si>
  <si>
    <t>camel</t>
  </si>
  <si>
    <t>Camel</t>
  </si>
  <si>
    <t>Camels mounted by riders compete for speed and/or endurance over a fixed course.</t>
  </si>
  <si>
    <t>Race distances generally vary between 4 to 10 kilometres and may include anywhere from 15 to 70 camels or more. Australian high-speed camel races are just 400 metres long.</t>
  </si>
  <si>
    <t>greyhound</t>
  </si>
  <si>
    <t>Greyhound</t>
  </si>
  <si>
    <t>Dogs chase a lure (traditionally an artificial hare or rabbit) on a track until they arrive at the finish line.</t>
  </si>
  <si>
    <t>The greyhound, a breed of hunting dog, has been primarily bred for coursing game and racing.</t>
  </si>
  <si>
    <t>harness</t>
  </si>
  <si>
    <t>Harness</t>
  </si>
  <si>
    <t>Unsaddled Standardbred horses race in a specified gait (either trotting or pacing) pulling a two-wheeled cart (called a sulky).</t>
  </si>
  <si>
    <t>Standardbred</t>
  </si>
  <si>
    <t>horse</t>
  </si>
  <si>
    <t>Horse</t>
  </si>
  <si>
    <t>Saddled horses mounted by riders compete for speed and/or endurance over a fixed course.</t>
  </si>
  <si>
    <t>Thoroughbred races cover moderate distances at very fast paces. Quarter horse racing involves short distance sprinting while Arabian racing is based on endurance.</t>
  </si>
  <si>
    <t>Thoroughbred, Quarter Horse, Arabian</t>
  </si>
  <si>
    <t>iceSkate</t>
  </si>
  <si>
    <t>Ice Skate</t>
  </si>
  <si>
    <t>Athletes employing ice skates compete for speed and/or endurance over a fixed course.</t>
  </si>
  <si>
    <t>Ice skates are boots with blades attached to the bottom, used to propel the skater across a sheet of ice.</t>
  </si>
  <si>
    <t>Athletes employing motor vehicles compete for speed and/or endurance over a fixed course.</t>
  </si>
  <si>
    <t>Includes specialized categories such as: single-seater, touring car, production car, one-make, stock car, drag, sports car, and various forms of motorcycles.</t>
  </si>
  <si>
    <t>rollerSkate</t>
  </si>
  <si>
    <t>Roller Skate</t>
  </si>
  <si>
    <t>Athletes employing roller skates compete for speed and/or endurance over a fixed course.</t>
  </si>
  <si>
    <t>Roller skates are boots with either two front and two rear wheels (termed a 'quad skate'), or two to five wheels arranged in a single line (termed an 'inline skate') attached to the bottom, used to propel the skater across flat surfaces.</t>
  </si>
  <si>
    <t>trackAndField</t>
  </si>
  <si>
    <t>Track and Field</t>
  </si>
  <si>
    <t>Athletes on foot compete for speed and/or endurance over a fixed course.</t>
  </si>
  <si>
    <t>formulaOneCar</t>
  </si>
  <si>
    <t>Formula One Car</t>
  </si>
  <si>
    <t>A single-seat, open-cockpit, open-wheel racing car with substantial front and rear wings, and an engine positioned behind the driver.</t>
  </si>
  <si>
    <t>The regulations governing the cars are unique to the Formula One World Championship. The Formula One regulations specify that cars must be constructed by the racing teams themselves, though the design and manufacture can be outsourced.</t>
  </si>
  <si>
    <t>indyCar</t>
  </si>
  <si>
    <t>Indy Car</t>
  </si>
  <si>
    <t>A single-seat open-cockpit open-wheel racing car with the engine in the rear whose technical specifications are set by the Indy Racing League.</t>
  </si>
  <si>
    <t>When raced in the Indianapolis 500, special low-drag adjustable 'Speedway' wings are added.</t>
  </si>
  <si>
    <t>motorcycle</t>
  </si>
  <si>
    <t>Motorcycle</t>
  </si>
  <si>
    <t>A single-track, two-wheeled, motor vehicle.</t>
  </si>
  <si>
    <t>Motorcycle types vary from production line to custom built vehicles to maneuver over either smooth road surfaces or dirt tracks.</t>
  </si>
  <si>
    <t>pickupTruck</t>
  </si>
  <si>
    <t>Pickup Truck</t>
  </si>
  <si>
    <t>A standard production pickup truck modified to enhance its maximum speed.</t>
  </si>
  <si>
    <t>They are mechanically similar to coupe-shaped stock cars, with the main difference being the worse aerodynamics. Typical modifications include larger engines and specialized suspensions, chassis, brakes, and safety equipment.</t>
  </si>
  <si>
    <t>stockCar</t>
  </si>
  <si>
    <t>Stock Car</t>
  </si>
  <si>
    <t>A standard production passenger vehicle modified to enhance its maximum speed.</t>
  </si>
  <si>
    <t>They often exceed 320 kilometres per hour (200 miles per hour) by being more powerful than regulation assembly-line automobiles. Typical modifications include larger engines and specialized suspensions, chassis, brakes, and safety equipment.</t>
  </si>
  <si>
    <t>domeEnclosed</t>
  </si>
  <si>
    <t>Dome Enclosed</t>
  </si>
  <si>
    <t>Enclosed in a hemispherical structure, generally as a protection from the weather.</t>
  </si>
  <si>
    <t>mastMounted</t>
  </si>
  <si>
    <t>Mast Mounted</t>
  </si>
  <si>
    <t>Mounted on a small, relatively lightweight post (for example: a small timber or a hollow cylinder of wood or metal) set up vertically, or nearly so.</t>
  </si>
  <si>
    <t>radome</t>
  </si>
  <si>
    <t>Radome</t>
  </si>
  <si>
    <t>Enclosed in an essentially spherical structure that is transparent to radio waves, generally as a protection from the weather.</t>
  </si>
  <si>
    <t>May be on the ground or on the roof of a structure.</t>
  </si>
  <si>
    <t>radomeOnTower</t>
  </si>
  <si>
    <t>Radome on Tower</t>
  </si>
  <si>
    <t>Enclosed in an essentially spherical structure that is transparent to radio waves and mounted on a tall, substantial tower (for example: a lattice-work metal tower).</t>
  </si>
  <si>
    <t>scanner</t>
  </si>
  <si>
    <t>Scanner</t>
  </si>
  <si>
    <t>An aerial and reflector, usually joined as a single structure, that is rotatable.</t>
  </si>
  <si>
    <t>Usually rotates in a fixed scanning pattern.</t>
  </si>
  <si>
    <t>towerMounted</t>
  </si>
  <si>
    <t>Tower Mounted</t>
  </si>
  <si>
    <t>Mounted on a tall, substantial tower (for example: a lattice-work metal tower).</t>
  </si>
  <si>
    <t>51 percent or greater of the surface is ground level asphalt with any remaining surface being of some other material (for example: stone, brick or concrete).</t>
  </si>
  <si>
    <t>For example, airfield runways, taxiways, primary roads, vehicle lots and public squares that are at ground level.</t>
  </si>
  <si>
    <t>composition</t>
  </si>
  <si>
    <t>Composition</t>
  </si>
  <si>
    <t>Either: 50 to 74 percent of the surface is stone, brick and/or concrete mixed with 25 to 50 percent wood, plastic, glass or composition with any remaining surface being some other material (for example: slate or tar paper); 51 percent or more of the surface is composition, slate, tar paper, and/or glass with any remaining surface being some other material (for example: stone or brick); or 75 percent or more of the surface is wood, mixed with up to 25 percent composition, plastic, and/or glass.</t>
  </si>
  <si>
    <t>For example, residential housing and agricultural buildings. For built-up areas the surface considered includes the roof area but excludes the ground and ground-level pavements.</t>
  </si>
  <si>
    <t>51 percent or greater of the surface is ground level concrete or stone/brick with any remaining surface being some other material (for example: wood or asphalt).</t>
  </si>
  <si>
    <t>51 percent or greater of the surface is land, soil, or ground surface characteristics with any remaining surface being some other material (for example: stone or brick).</t>
  </si>
  <si>
    <t>For example, storage bunkers for munitions, embankments, cuttings, earthen dams, levees, loose or light surface roads, mine tailings, and mineral piles. It does not include metal ore storage.</t>
  </si>
  <si>
    <t>51 percent or greater of the surface is permanent snow and/or ice ground cover with any remaining surface being of some other material (for example: liquid water).</t>
  </si>
  <si>
    <t>For example, glaciers, ice fields, ice caps, ice cliffs, shelf ice, pack ice, polar ice pack and snow fields.</t>
  </si>
  <si>
    <t>marsh</t>
  </si>
  <si>
    <t>51 percent or greater of the surface is marsh with any remaining surface being of some other material (for example: sand).</t>
  </si>
  <si>
    <t>The surface is moist, wet, spongy, low-lying ground usually overgrown with luxuriant vegetation and generally not suitable for cultivation without first being drained. For example, swamps, bogs and rice paddies.</t>
  </si>
  <si>
    <t>Either: 75 percent or more of the surface is stone, brick or concrete, mixed with up to 25 percent wood, glass or composition; or 50 to 75 percent of the surface is stone, brick and/or concrete mixed with 5 to 39 percent metal surface with any remaining surface being some other material (for example: wood or plastic).</t>
  </si>
  <si>
    <t>For example, school buildings, commercial buildings, apartment houses, houses, walls, or cemetery buildings/tombs. For built-up areas the surface considered includes the roof area but excludes the ground and ground-level pavements.</t>
  </si>
  <si>
    <t>75 percent or greater of the surface is metal (for example: tin, steel, corrugated iron, or aluminum).</t>
  </si>
  <si>
    <t>For example, aluminum mobile homes, steel storage tanks, steel bridge super/substructures, or steel power transmission line pylons. For built-up areas the surface considered includes the roof area but excludes the ground and ground-level pavements.</t>
  </si>
  <si>
    <t>partMetal</t>
  </si>
  <si>
    <t>Part Metal</t>
  </si>
  <si>
    <t>40 to 74 percent of the surface is metal with any remaining surface being some other material (for example: wood, stone, brick, or concrete).</t>
  </si>
  <si>
    <t>For example, railway or metal ore slag dumps. For built-up areas the surface considered includes the roof area but excludes the ground and ground-level pavements.</t>
  </si>
  <si>
    <t>51 percent or greater of the surface is rocky (for example: bare rocks such as ridges, rocky outcrops, lava or boulder fields) with any remaining surface being some other material (for example: soil or sand).</t>
  </si>
  <si>
    <t>sandy</t>
  </si>
  <si>
    <t>Sandy</t>
  </si>
  <si>
    <t>51 percent or greater of the surface is sandy (for example: desert; mixed rock, gravel and sand; sand dunes; or sand bars) with any remaining surface being some other material (for example: soil).</t>
  </si>
  <si>
    <t>For example, sand dunes, sand bars and areas exposed at low tide (for example: mud/tidal flats).</t>
  </si>
  <si>
    <t>51 percent or greater of the surface is soil (for example: bare land, cultivated land, crop land or grassland) with any remaining surface being of some other material (for example: sand).</t>
  </si>
  <si>
    <t>trees</t>
  </si>
  <si>
    <t>Trees</t>
  </si>
  <si>
    <t>51 percent or greater of the surface is tree canopy cover at peak season with a predominant height of at least 8 metres.</t>
  </si>
  <si>
    <t>The surface is a water area or a well defined salt or dry lake bed.</t>
  </si>
  <si>
    <t>aerodromeGroundSurveillance</t>
  </si>
  <si>
    <t>Aerodrome Ground Surveillance</t>
  </si>
  <si>
    <t>Established to determine the position of aircraft and vehicular traffic on aerodrome movement surfaces (for example: runways and taxiways), to enable traffic coordination so as to avoid accidents.</t>
  </si>
  <si>
    <t>The ground surveillance radar is used to augment visual observation by control tower personnel.</t>
  </si>
  <si>
    <t>aircraftFlightTracking</t>
  </si>
  <si>
    <t>Aircraft Flight Tracking</t>
  </si>
  <si>
    <t>Established to detect and display an aircraft´s position operating in an airport terminal area (ASR) and en route (ARSR) between terminal areas.</t>
  </si>
  <si>
    <t>coastalRadar</t>
  </si>
  <si>
    <t>Coastal Radar</t>
  </si>
  <si>
    <t>Established for the surveillance and direction of maritime traffic by use of radar.</t>
  </si>
  <si>
    <t>earlyWarning</t>
  </si>
  <si>
    <t>Early Warning</t>
  </si>
  <si>
    <t>Established to detect and warn of distant approaching aircraft and/or missiles through the use of a long-range radar.</t>
  </si>
  <si>
    <t>fireControlTracking</t>
  </si>
  <si>
    <t>Fire Control Tracking</t>
  </si>
  <si>
    <t>Established to determine the presence and position of potentially hostile airborne objects in a region, monitor their individual tracks, and direct an associated weapon system intended to destroy those objects (for example: aircraft and missiles) or their source (for example: a gun battery).</t>
  </si>
  <si>
    <t>generalSurveillance</t>
  </si>
  <si>
    <t>General Surveillance</t>
  </si>
  <si>
    <t>Established principally to determine the presence and position of airborne objects (for example: aircraft, balloons, and missiles) in a region, monitoring their individual tracks, and often associated with equipment used to identify and potentially communicate with those objects.</t>
  </si>
  <si>
    <t>launchControlTracking</t>
  </si>
  <si>
    <t>Launch Control Tracking</t>
  </si>
  <si>
    <t>Established to support the launch, tracking, and control of rocket boosters for spacecraft and/or other payloads.</t>
  </si>
  <si>
    <t>The payload trajectory may be either orbital or sub-orbital, and the payload may be manned (for example: the US Space Shuttle) or unmanned (for example: a ballistic missile).</t>
  </si>
  <si>
    <t>precisionApproach</t>
  </si>
  <si>
    <t>Precision Approach</t>
  </si>
  <si>
    <t>Established at an aerodrome to determine the position of an aircraft during final approach, in terms of lateral and vertical deviations relative to a nominal approach path, and in range relative to touchdown.</t>
  </si>
  <si>
    <t>satelliteTracking</t>
  </si>
  <si>
    <t>Satellite Tracking</t>
  </si>
  <si>
    <t>Established for tracking satellites in orbit, processing data, and in turn transmitting controlling instructions back to the satellites.</t>
  </si>
  <si>
    <t>weather</t>
  </si>
  <si>
    <t>Weather</t>
  </si>
  <si>
    <t>Established to locate precipitation, calculate its motion, estimate its type (for example: rain, snow, and hail), and forecast its future position and intensity through the use of a weather radar.</t>
  </si>
  <si>
    <t>The communication channel is capable of two way transmission.</t>
  </si>
  <si>
    <t>downcast</t>
  </si>
  <si>
    <t>Downcast</t>
  </si>
  <si>
    <t>The communication channel is capable of only transmission from the aircraft.</t>
  </si>
  <si>
    <t>downlink</t>
  </si>
  <si>
    <t>Downlink</t>
  </si>
  <si>
    <t>The communication channel is capable of only transmission from the aircraft to a specific ground station.</t>
  </si>
  <si>
    <t>upcast</t>
  </si>
  <si>
    <t>Upcast</t>
  </si>
  <si>
    <t>The communication channel is capable of only transmission from the ground.</t>
  </si>
  <si>
    <t>uplink</t>
  </si>
  <si>
    <t>Uplink</t>
  </si>
  <si>
    <t>The communication channel is capable of only transmission from the ground to a specific aircraft.</t>
  </si>
  <si>
    <t>Telegraphy with no voice communications possible.</t>
  </si>
  <si>
    <t>A2 is signalled by keying a tone modulated onto a carrier so that it can easily be heard using an ordinary Amplitude Modulated (AM) receiver. This is commonly used for station identifiers of some non-directional radio beacon transmissions. This is usually Morse code.</t>
  </si>
  <si>
    <t>A3A</t>
  </si>
  <si>
    <t>a3A</t>
  </si>
  <si>
    <t>Single side-band, reduced carrier.</t>
  </si>
  <si>
    <t>A3B</t>
  </si>
  <si>
    <t>a3B</t>
  </si>
  <si>
    <t>Two independent side-bands.</t>
  </si>
  <si>
    <t>A3E</t>
  </si>
  <si>
    <t>a3E</t>
  </si>
  <si>
    <t>Amplitude Modulation (AM) radio speech communication.</t>
  </si>
  <si>
    <t>The emission is capable of double side-band telephony, and is typically utilized in aeronautical Very High Frequency (VHF) communications.</t>
  </si>
  <si>
    <t>A3H</t>
  </si>
  <si>
    <t>a3H</t>
  </si>
  <si>
    <t>Single side-band, full carrier.</t>
  </si>
  <si>
    <t>A3J</t>
  </si>
  <si>
    <t>a3J</t>
  </si>
  <si>
    <t>Single side-band, suppressed carrier.</t>
  </si>
  <si>
    <t>A3L</t>
  </si>
  <si>
    <t>a3L</t>
  </si>
  <si>
    <t>Lower single side-band, carrier unknown.</t>
  </si>
  <si>
    <t>A3U</t>
  </si>
  <si>
    <t>a3U</t>
  </si>
  <si>
    <t>Upper single side-band, carrier unknown</t>
  </si>
  <si>
    <t>A8W</t>
  </si>
  <si>
    <t>a8W</t>
  </si>
  <si>
    <t>Amplitude Modulation (AM), unkeyed, plus ON/OFF keying of identifier tone.</t>
  </si>
  <si>
    <t>A9W</t>
  </si>
  <si>
    <t>a9W</t>
  </si>
  <si>
    <t>Composite Amplitude Modulation (AM) / Frequency Modulation (FM), unkeyed, plus ON/OFF keying of identifier tone.</t>
  </si>
  <si>
    <t>G1D</t>
  </si>
  <si>
    <t>g1D</t>
  </si>
  <si>
    <t>Differential phase shift keying data transmission.</t>
  </si>
  <si>
    <t>J3E</t>
  </si>
  <si>
    <t>j3E</t>
  </si>
  <si>
    <t>Amplitude Modulation (AM) double side-band suppressed carrier telephony.</t>
  </si>
  <si>
    <t>nonA1A</t>
  </si>
  <si>
    <t>Non-A1A</t>
  </si>
  <si>
    <t>Unmodulated transmission of Morse code identifier carrier emission interrupted.</t>
  </si>
  <si>
    <t>nonA2A</t>
  </si>
  <si>
    <t>Non-A2A</t>
  </si>
  <si>
    <t>Unmodulated transmission of Morse code identifier carrier emission continuous.</t>
  </si>
  <si>
    <t>NOX</t>
  </si>
  <si>
    <t>nox</t>
  </si>
  <si>
    <t>Unmodulated carrier.</t>
  </si>
  <si>
    <t>PON</t>
  </si>
  <si>
    <t>pon</t>
  </si>
  <si>
    <t>Pulse.</t>
  </si>
  <si>
    <t>actualCoverage</t>
  </si>
  <si>
    <t>Actual Coverage</t>
  </si>
  <si>
    <t>The actual coverage/range as determined by flight check.</t>
  </si>
  <si>
    <t>The signal's anticipated performance parameters as determined by flight check.</t>
  </si>
  <si>
    <t>Signal usage is limited to the defined sector.</t>
  </si>
  <si>
    <t>theoreticalCoverage</t>
  </si>
  <si>
    <t>Theoretical Coverage</t>
  </si>
  <si>
    <t>The signal's anticipated performance parameters have not been determined by flight check.</t>
  </si>
  <si>
    <t>Theoretical Coverage/Range</t>
  </si>
  <si>
    <t>outOfTolerance</t>
  </si>
  <si>
    <t>Out of Tolerance</t>
  </si>
  <si>
    <t>The signal in space available to the aircraft does not meet specified characteristics as defined in ICAO Annex 10.</t>
  </si>
  <si>
    <t>roughness</t>
  </si>
  <si>
    <t>Roughness</t>
  </si>
  <si>
    <t>The signal may cause the airborne equipment to occasionally observe brief course needle oscillations.</t>
  </si>
  <si>
    <t>Pilots flying over unfamiliar routes are cautioned to be on the alert for these vagaries, and in particular, to use the 'to/from' indicator to determine positive station passage.</t>
  </si>
  <si>
    <t>scalloping</t>
  </si>
  <si>
    <t>Scalloping</t>
  </si>
  <si>
    <t>The signal's pattern is distorted due to the strength and phase of reflection resulting in permanent and stable signal propagation delay.</t>
  </si>
  <si>
    <t>Especially prevalent when radio transmitters are situated in mountain ridges.</t>
  </si>
  <si>
    <t>unreliable</t>
  </si>
  <si>
    <t>Unreliable</t>
  </si>
  <si>
    <t>There is a probability that a signal in space available to an aircraft does not meet specified characteristics as defined in ICAO Annex 10.</t>
  </si>
  <si>
    <t>Unreliability</t>
  </si>
  <si>
    <t>unusable</t>
  </si>
  <si>
    <t>Unusable</t>
  </si>
  <si>
    <t>The signal in space to an aircraft cannot be received due to navigation aid technical or physical limitations.</t>
  </si>
  <si>
    <t>Unusability</t>
  </si>
  <si>
    <t>branchLine</t>
  </si>
  <si>
    <t>Branch-line</t>
  </si>
  <si>
    <t>A secondary railway line running from a main line to a terminus.</t>
  </si>
  <si>
    <t>For example, a railhead.</t>
  </si>
  <si>
    <t>highSpeedRail</t>
  </si>
  <si>
    <t>High Speed Rail</t>
  </si>
  <si>
    <t>A rail-based high-speed inter-city transport system.</t>
  </si>
  <si>
    <t>Usually operated over long distances. For example, the French TGV (Train à Grande Vitesse).</t>
  </si>
  <si>
    <t>mainLine</t>
  </si>
  <si>
    <t>Main Line</t>
  </si>
  <si>
    <t>A chief railway line operated over long distances and typically passing without interruption through multiple urban areas.</t>
  </si>
  <si>
    <t>Usually must not be occupied or traversed without proper authority. Primarily carries freight and is accordingly operated at a relatively slow speed.</t>
  </si>
  <si>
    <t>broad</t>
  </si>
  <si>
    <t>Broad</t>
  </si>
  <si>
    <t>A railway gauge broader than the standard 4 feet 8.5 inches (approximately 1.435 metres).</t>
  </si>
  <si>
    <t>narrow</t>
  </si>
  <si>
    <t>Narrow</t>
  </si>
  <si>
    <t>A railway gauge narrower than the standard 4 feet 8.5 inches (approximately 1.435 metres).</t>
  </si>
  <si>
    <t>standard</t>
  </si>
  <si>
    <t>Standard</t>
  </si>
  <si>
    <t>The standard railway gauge of 4 feet 8.5 inches (approximately 1.435 metres).</t>
  </si>
  <si>
    <t>The railway gauge of Great Britain and the United States.</t>
  </si>
  <si>
    <t>electrifiedTrack</t>
  </si>
  <si>
    <t>Electrified Track</t>
  </si>
  <si>
    <t>Electrical power is transferred using an electrified third rail.</t>
  </si>
  <si>
    <t>nonElectrified</t>
  </si>
  <si>
    <t>Non-electrified</t>
  </si>
  <si>
    <t>Electrical power is not provided by the railway.</t>
  </si>
  <si>
    <t>On-board electrical generators or batteries may be used.</t>
  </si>
  <si>
    <t>overheadElectrified</t>
  </si>
  <si>
    <t>Overhead Electrified</t>
  </si>
  <si>
    <t>Electrical power is transferred from an overhead power line.</t>
  </si>
  <si>
    <t>automatedTransitSystem</t>
  </si>
  <si>
    <t>Automated Transit System</t>
  </si>
  <si>
    <t>An automated rail or guideway system that runs along dedicated ways.</t>
  </si>
  <si>
    <t>May operate according to a fixed schedule or on-demand (sometimes capable of bypassing individual stations). Generally consisting of vehicles having capacities of 12 to 100 people. Examples of this type of system include the Personal Rapid Transit (PRT) at West Virginia University and airport people-movers in U.S. cities such as Seattle, Dallas-Ft. Worth and Miami.</t>
  </si>
  <si>
    <t>Automated People Mover</t>
  </si>
  <si>
    <t>carline</t>
  </si>
  <si>
    <t>Carline</t>
  </si>
  <si>
    <t>A track for streetcars, trolleys, and other mass transit rail systems.</t>
  </si>
  <si>
    <t>funicular</t>
  </si>
  <si>
    <t>Funicular</t>
  </si>
  <si>
    <t>A railway designed to operate on steep grades.</t>
  </si>
  <si>
    <t>Usually includes mechanical components (for example: a rack) to insure traction at all times.</t>
  </si>
  <si>
    <t>Cog Railway, Incline Railway</t>
  </si>
  <si>
    <t>logging</t>
  </si>
  <si>
    <t>Logging</t>
  </si>
  <si>
    <t>A railway designed to efficiently transport logs from remote logging sites.</t>
  </si>
  <si>
    <t>Usually narrow gauge and more curved than railways intended for high-speed transport.</t>
  </si>
  <si>
    <t>longHaul</t>
  </si>
  <si>
    <t>Long-haul</t>
  </si>
  <si>
    <t>A railway operated over long distances and typically passing without interruption through urban areas.</t>
  </si>
  <si>
    <t>marineRailway</t>
  </si>
  <si>
    <t>Marine Railway</t>
  </si>
  <si>
    <t>A slipway in which the cradle travels on rails to facilitate the handling of vessels.</t>
  </si>
  <si>
    <t>Maintained as an historical exhibit at a railway museum.</t>
  </si>
  <si>
    <t>railRapidTransit</t>
  </si>
  <si>
    <t>Rail Rapid Transit</t>
  </si>
  <si>
    <t>A rail-based high-speed public transport system.</t>
  </si>
  <si>
    <t>Usually located within a metropolitan area.</t>
  </si>
  <si>
    <t>tramway</t>
  </si>
  <si>
    <t>Tramway</t>
  </si>
  <si>
    <t>A railway laid down on a public road or street for tramcars.</t>
  </si>
  <si>
    <t>undergroundRailway</t>
  </si>
  <si>
    <t>Underground Railway</t>
  </si>
  <si>
    <t>A railway running underground, especially beneath the streets and buildings of a city.</t>
  </si>
  <si>
    <t>Usually includes those portions of an underground railway system that may not be underground.</t>
  </si>
  <si>
    <t>Class I: Easy</t>
  </si>
  <si>
    <t>Fast moving water with riffles and small water waves. Few obstructions, all obvious and easily missed with little training.</t>
  </si>
  <si>
    <t>Risk to swimmers is slight; self-rescue is easy.</t>
  </si>
  <si>
    <t>novice</t>
  </si>
  <si>
    <t>Class II: Novice</t>
  </si>
  <si>
    <t>Straightforward rapids with wide, clear channels which are evident without scouting.</t>
  </si>
  <si>
    <t>Occasional maneuvering may be required, but stones and medium sized water waves are easily missed by trained paddlers. Swimmers are seldom injured and group assistance, while helpful, is seldom needed. Rapids that are at the upper end of this difficulty range are designated 'Class II+'.</t>
  </si>
  <si>
    <t>intermediate</t>
  </si>
  <si>
    <t>Class III: Intermediate</t>
  </si>
  <si>
    <t>Rapids with moderate, irregular water waves which may be difficult to avoid and which can swamp an open canoe; strong eddies and powerful current effects can be found, particularly on large-volume rivers.</t>
  </si>
  <si>
    <t>Complex maneuvers in fast water current and good boat control in tight passages or around ledges are often required; large wavess or strainers may be present but are easily avoided. Scouting is advisable for inexperienced parties. Injuries while swimming are rare; self-rescue is usually easy but group assistance may be required to avoid long swims. Rapids that are at the lower or upper end of this difficulty range are designated 'Class III-' or 'Class III+' respectively.</t>
  </si>
  <si>
    <t>advanced</t>
  </si>
  <si>
    <t>Class IV: Advanced</t>
  </si>
  <si>
    <t>Intense, powerful but predictable rapids requiring precise boat handling in turbulent water; depending on the character of the river, it may include large, unavoidable water waves and holes or constricted passages demanding fast maneuvers under pressure.</t>
  </si>
  <si>
    <t>A fast, reliable eddy turn may be needed to initiate maneuvers, scout rapids, or rest. Rapids may require 'must' moves above dangerous hazards. Scouting may be necessary the first time down. Risk of injury to swimmers is moderate to high, and water conditions may make self-rescue difficult. Group assistance for rescue is often essential but requires practiced skills. A strong Eskimo roll is highly recommended. Rapids that are at the lower or upper end of this difficulty range are designated 'Class IV-' or 'Class IV+' respectively.</t>
  </si>
  <si>
    <t>expert</t>
  </si>
  <si>
    <t>Class V: Expert</t>
  </si>
  <si>
    <t>Extremely long, obstructed, or very violent rapids which expose a paddler to added risk; drops may contain large, unavoidable water waves and holes or steep, congested chutes with complex, demanding routes.</t>
  </si>
  <si>
    <t>What eddies exist may be small, turbulent, or difficult to reach. Rapids may continue for long distances between pools, demanding a high level of fitness. At the high end of the scale, several of these factors may be combined. Scouting is recommended but may be difficult.</t>
  </si>
  <si>
    <t>extremeExploratory</t>
  </si>
  <si>
    <t>Class VI: Extreme and Exploratory</t>
  </si>
  <si>
    <t>These runs have almost never been attempted and often exemplify the extremes of difficulty, unpredictability and danger.</t>
  </si>
  <si>
    <t>The consequences of errors are very severe and rescue may be impossible. For teams of experts only, at favourable water levels, after close personal inspection and taking all precautions. After a Class VI Rapid has been run many times, its rating may be changed to an appropriate Class 5.x rating.</t>
  </si>
  <si>
    <t>A gaseous hydrocarbon or hydrocarbon mixture that a suitable for burning in order to provide heat, light, or power.</t>
  </si>
  <si>
    <t>LNG is stored in a vacuum bottle-type container at very low temperatures and under moderate pressure. Natural gas has 600 times the volume of LNG.</t>
  </si>
  <si>
    <t>noRawMaterial</t>
  </si>
  <si>
    <t>No Raw Material</t>
  </si>
  <si>
    <t>No raw material is consumed.</t>
  </si>
  <si>
    <t>For example, crude oil (or a refined product of this), lubricating oil, or vegetable oil.</t>
  </si>
  <si>
    <t>ore</t>
  </si>
  <si>
    <t>Ore</t>
  </si>
  <si>
    <t>A native mineral containing a precious or useful substance, especially metal, in such quantity and form as to make its extraction profitable.</t>
  </si>
  <si>
    <t>sulphur</t>
  </si>
  <si>
    <t>Sulphur</t>
  </si>
  <si>
    <t>A solid, pale yellow, non-metallic chemical element, atomic number 16. (Symbol S.)</t>
  </si>
  <si>
    <t>Sulphur is stable in air and water but burns if heated. It is used in the chemical and pharmaceutical industries, as well as in alloys.</t>
  </si>
  <si>
    <t>Vegetation used as the primary ingredient in a product.</t>
  </si>
  <si>
    <t>For example, reeds, wood, and grains.</t>
  </si>
  <si>
    <t>woodFragments</t>
  </si>
  <si>
    <t>Wood Fragments</t>
  </si>
  <si>
    <t>Small fragments of wood, produced either intentionally (for example: chips for use in manufacturing pressed board) or as a waste (for example: dust made by sawing timber).</t>
  </si>
  <si>
    <t>certServiceDeliveryUnitArea</t>
  </si>
  <si>
    <t>Certified Service Delivery Unit Area</t>
  </si>
  <si>
    <t>A territorial region that is not within the designated service area of an American Red Cross Chapter but operates under the auspices of a nearby chartered chapter.</t>
  </si>
  <si>
    <t>chapterArea</t>
  </si>
  <si>
    <t>Chapter Area</t>
  </si>
  <si>
    <t>A territorial region that is the designated service area of an American Red Cross Chapter.</t>
  </si>
  <si>
    <t>A territorial region where chapters of the American Red Cross are served by a single oversight and operational support organization.</t>
  </si>
  <si>
    <t>A Red Cross Region is an area that incorporates one or more Red Cross Chapters, with one serving as the Regional Chapter. Originally established in 1993, replacing the previous 'operations headquarter' and 'area office' (and associated Key Resource Chapter) organization structures, these regions are being replaced by Service Areas beginning in 2003.</t>
  </si>
  <si>
    <t>serviceArea</t>
  </si>
  <si>
    <t>Service Area</t>
  </si>
  <si>
    <t>A territorial region where chapters of the American Red Cross are served by a national sector support organization.</t>
  </si>
  <si>
    <t>Established in 2003, replacing the previous 'region' organization structure. In some cases, the Service Area subsumes some or all of the functions of former state-wide entities.</t>
  </si>
  <si>
    <t>stateCoordChapterArea</t>
  </si>
  <si>
    <t>State Coordinating Chapter Area</t>
  </si>
  <si>
    <t>A territorial region in which a State Coordinating Chapter of the American Red Cross provides overall leadership and administration for disaster relief planning.</t>
  </si>
  <si>
    <t>Typically, this area is a state.</t>
  </si>
  <si>
    <t>stateServiceDeliveryArea</t>
  </si>
  <si>
    <t>State Service Delivery Area (SSDA)</t>
  </si>
  <si>
    <t>A territorial region that is not within an American Red Cross Chapter Area but receives services from a designated lead chapter in the state.</t>
  </si>
  <si>
    <t>Formerly called a 'gap area'.</t>
  </si>
  <si>
    <t>rvsmEntryExitPoint</t>
  </si>
  <si>
    <t>RVSM Entry and/or Exit Point</t>
  </si>
  <si>
    <t>The first or last reporting point over which an aircraft passes or is expected to pass immediately before, upon, or immediately after initial entry into a Reduced Vertical Separation Minimum (RVSM) airspace, or after leaving an RVSM airspace, into or from a non-RVSM airspace.</t>
  </si>
  <si>
    <t>rvsmEntryPoint</t>
  </si>
  <si>
    <t>RVSM Entry Point</t>
  </si>
  <si>
    <t>The first reporting point over which an aircraft passes or is expected to pass immediately before, upon, or immediately after initial entry into a Reduced Vertical Separation Minimum (RVSM) airspace, from a non-RVSM airspace.</t>
  </si>
  <si>
    <t>Normally the first reference point for applying a 300 metre (1000 foot) vertical separation minimum between RVSM approved aircraft.</t>
  </si>
  <si>
    <t>rvsmExitPoint</t>
  </si>
  <si>
    <t>RVSM Exit Point</t>
  </si>
  <si>
    <t>The last reporting point over which an aircraft passes or is expected to pass immediately before, upon, or immediately after leaving a Reduced Vertical Separation Minimum (RVSM) Airspace, into a non-RVSM airspace.</t>
  </si>
  <si>
    <t>hostProvided</t>
  </si>
  <si>
    <t>Host Provided</t>
  </si>
  <si>
    <t>Reference Point (RP) is provided by the controlling authority for the aerodrome.</t>
  </si>
  <si>
    <t>intersectRunwaysFormIntTri</t>
  </si>
  <si>
    <t>Intersecting Runways Forming One Or More Interior Triangles</t>
  </si>
  <si>
    <t>Reference Point (RP) is the mean of all interior angle bisectors.</t>
  </si>
  <si>
    <t>oneRunway</t>
  </si>
  <si>
    <t>One Runway</t>
  </si>
  <si>
    <t>Reference Point (RP) is a point in the center of the runway equidistant from either end.</t>
  </si>
  <si>
    <t>runwaysIntersectingAtPoint</t>
  </si>
  <si>
    <t>Runways Intersecting At A Single Point</t>
  </si>
  <si>
    <t>Reference Point (RP) is the point of intersection.</t>
  </si>
  <si>
    <t>threeMoreParaOrNonConnect</t>
  </si>
  <si>
    <t>Three Or More Parallel Or Non-Connecting Semi-Parallel Runways</t>
  </si>
  <si>
    <t>Reference Point (RP) is the mid-point of a line connecting the mid-points of the lines connecting the centers of the runways.</t>
  </si>
  <si>
    <t>twoParaOrNonConnectSemi</t>
  </si>
  <si>
    <t>Two Parallel Or Non-Connecting Semi-Parallel Runways</t>
  </si>
  <si>
    <t>Reference Point (RP) is the mid-point of a line connecting the center of the runways.</t>
  </si>
  <si>
    <t>twoRunwaysDiverge90DegLess</t>
  </si>
  <si>
    <t>Two Runways Diverging 90 Degrees Or Less</t>
  </si>
  <si>
    <t>Reference Point (RP) is a point on the angular bisector equidistant between arcs described from the vertex which pass through the center of the runways.</t>
  </si>
  <si>
    <t>twoRunwaysDivergeOver90Deg</t>
  </si>
  <si>
    <t>Two Runways Diverging Over 90 Degrees.</t>
  </si>
  <si>
    <t>Reference Point (RP) is a point at the vertex of the angle formed by the two runways.</t>
  </si>
  <si>
    <t>widelySeparatedRunways</t>
  </si>
  <si>
    <t>Widely Separated Runways</t>
  </si>
  <si>
    <t>Reference Point (RP) is the mid-point of a line connecting the nearest ends of the runways.</t>
  </si>
  <si>
    <t>highTide</t>
  </si>
  <si>
    <t>High Tide</t>
  </si>
  <si>
    <t>The highest water level achieved during a tidal cycle.</t>
  </si>
  <si>
    <t>lowTide</t>
  </si>
  <si>
    <t>Low Tide</t>
  </si>
  <si>
    <t>The lowest water level achieved during a tidal cycle.</t>
  </si>
  <si>
    <t>maritimeNoticeBoard</t>
  </si>
  <si>
    <t>streetSign</t>
  </si>
  <si>
    <t>depressed</t>
  </si>
  <si>
    <t>Depressed</t>
  </si>
  <si>
    <t>A localized area of significantly lower elevation than that of the surrounding terrain.</t>
  </si>
  <si>
    <t>For example, a terrain depression, a gully, a moat and a terrain cut for a road, railway and/or canal.</t>
  </si>
  <si>
    <t>Level</t>
  </si>
  <si>
    <t>An area of similar or identical elevation to that of the surrounding terrain.</t>
  </si>
  <si>
    <t>raised</t>
  </si>
  <si>
    <t>Raised</t>
  </si>
  <si>
    <t>A localized area of significantly higher elevation than that of the surrounding terrain.</t>
  </si>
  <si>
    <t>For example, an embankment, a berm, a ridge, a terrain mound, and a fill.</t>
  </si>
  <si>
    <t>buddhism</t>
  </si>
  <si>
    <t>Buddhism</t>
  </si>
  <si>
    <t>The religious and philosophical system founded by the Buddha Gautama, teaching that all human sorrows arise from desire and can be eradicated by following the disciplines of his eightfold path.</t>
  </si>
  <si>
    <t>chaldean</t>
  </si>
  <si>
    <t>Chaldean</t>
  </si>
  <si>
    <t>A Catholic denomination, originally part of the Church of the East (also called the East Syriac Church), that established peace and communion with the Church of Rome in the 16th Century.</t>
  </si>
  <si>
    <t>It retains its own distinctive theological, liturgical and canonical traditions with a single patriarch located in Baghdad and four archdioceses.</t>
  </si>
  <si>
    <t>christian</t>
  </si>
  <si>
    <t>Christian</t>
  </si>
  <si>
    <t>In general, an adherent of Christianity, the religion of Christ.</t>
  </si>
  <si>
    <t>For example, Roman Catholic, Orthodox, or Protestant.</t>
  </si>
  <si>
    <t>hinduism</t>
  </si>
  <si>
    <t>Hinduism</t>
  </si>
  <si>
    <t>A system of religious beliefs and social customs, with adherents especially in India, with a belief in reincarnation, the worship of several gods, and an ordained caste system, as the basis of society.</t>
  </si>
  <si>
    <t>islam</t>
  </si>
  <si>
    <t>Islam</t>
  </si>
  <si>
    <t>The religious system established through the prophet Muhammad.</t>
  </si>
  <si>
    <t>judaism</t>
  </si>
  <si>
    <t>Judaism</t>
  </si>
  <si>
    <t>The religion of the Jews, with a belief in one God and a basis in Mosaic and rabbinical teachings.</t>
  </si>
  <si>
    <t>nestorian</t>
  </si>
  <si>
    <t>Nestorian</t>
  </si>
  <si>
    <t>A follower or adherent of Nestorius, Patriarch of Constantinople who asserted that Christ had distinct human and divine persons, breaking away from the Byzantine Orthodox Church during the Third Ecumenical Council (in 431 A.D.) when his teachings were declared heretical.</t>
  </si>
  <si>
    <t>The Nestorian patriarch was established in Baghdad and propagated the religion throughout Asia.</t>
  </si>
  <si>
    <t>orthodox</t>
  </si>
  <si>
    <t>Orthodox</t>
  </si>
  <si>
    <t>The family of Christian Churches originating in the East (including the national Churches of Greece, Russia, Romania, and others) which recognize the headship of the Patriarch of Constantinople and separated from the Western Church in or around the 11th century.</t>
  </si>
  <si>
    <t>protestant</t>
  </si>
  <si>
    <t>Protestant</t>
  </si>
  <si>
    <t>A member or follower of any of the Christian Churches or sects repudiating the Roman obedience at the Reformation or of any of the Churches or sects standing in historic continuity with them; a member or follower of any of the western Christian Churches that are separate from the Roman Catholic Church in accordance with the principles of the Reformation.</t>
  </si>
  <si>
    <t>romanCatholic</t>
  </si>
  <si>
    <t>Roman Catholic</t>
  </si>
  <si>
    <t>The Christian Church which acknowledges the Bishop of Rome (the Pope) as its head.</t>
  </si>
  <si>
    <t>shia</t>
  </si>
  <si>
    <t>Shia</t>
  </si>
  <si>
    <t>The religious system of the minority religious group of Muslims, differing from the Sunni in their understanding of the Sunna and in their acceptance of the claim of Ali, Muhammad's son-in-law and the fourth caliph, to be the first true successor of the Prophet Muhammad.</t>
  </si>
  <si>
    <t>shinto</t>
  </si>
  <si>
    <t>Shinto</t>
  </si>
  <si>
    <t>A religious system incorporating the worship of ancestors, nature-spirits and other divinities, and (until 1945) a belief in the divinity of the Japanese emperor.</t>
  </si>
  <si>
    <t>Until 1945 the State religion of Japan.</t>
  </si>
  <si>
    <t>sunni</t>
  </si>
  <si>
    <t>Sunni</t>
  </si>
  <si>
    <t>The religious system of the majority religious group of Muslims, differing from the Shia in their understanding of the Sunna and in their rejection of the claim of Ali, Muhammad's son-in-law and the fourth caliph, to be the first true successor of the Prophet Muhammad.</t>
  </si>
  <si>
    <t>burialSite</t>
  </si>
  <si>
    <t>Burial Site</t>
  </si>
  <si>
    <t>A structure within which a corpse is entombed or an area of ground in which the dead are buried.</t>
  </si>
  <si>
    <t>For example, a cemetery, a grave, and a crypt.</t>
  </si>
  <si>
    <t>cathedral</t>
  </si>
  <si>
    <t>Cathedral</t>
  </si>
  <si>
    <t>A Christian church, specifically of a denomination with an episcopal hierarchy (for example: Anglican, Catholic or Lutheran), that serves as the central church of a diocese, and thus as a bishop's seat.</t>
  </si>
  <si>
    <t>As cathedrals are often particularly impressive edifices, the term is sometimes also used loosely as a designation for any large important church.</t>
  </si>
  <si>
    <t>chapel</t>
  </si>
  <si>
    <t>Chapel</t>
  </si>
  <si>
    <t>A private Christian church or similar place of worship (for example: a dedicated chamber or sanctuary within a building).</t>
  </si>
  <si>
    <t>When a free-standing building it may be smaller than a (public) church and is located on the grounds of an institution (for example: a college, a hospital, a palace, an estate, or a prison) where it may be attached to a larger building.</t>
  </si>
  <si>
    <t>church</t>
  </si>
  <si>
    <t>Church</t>
  </si>
  <si>
    <t>A Christian temple, reserved for religious or spiritual activities.</t>
  </si>
  <si>
    <t>convent</t>
  </si>
  <si>
    <t>Convent</t>
  </si>
  <si>
    <t>A facility housing a community of priests, religious brothers and/or religious sisters, that is meant to be the presence in the world of a group dedicated to charitable or preaching service.</t>
  </si>
  <si>
    <t>The religious orders served are mainly those in the Roman Catholic Church and, to a lesser degree, in the Anglican Communion. May be used to refer specifically to a community comprised only of religious sisters. Both religious brothers and religious sisters take vows, usually of poverty, chastity and obedience.</t>
  </si>
  <si>
    <t>hermitage</t>
  </si>
  <si>
    <t>Hermitage</t>
  </si>
  <si>
    <t>A secluded residence, allowing life in relative seclusion and/or isolation from society.</t>
  </si>
  <si>
    <t>The resident (termed a 'hermit') renounces wordly concerns and pleasures in order to come closer to the deity or deities they worship or revere, a form of asceticism.</t>
  </si>
  <si>
    <t>marabout</t>
  </si>
  <si>
    <t>Marabout</t>
  </si>
  <si>
    <t>A shrine, often a whitewashed dome, marking the burial place of an Islamic holy man (who is also known as a 'marabout').</t>
  </si>
  <si>
    <t>A marabout is a personal spiritual leader in the Islam faith as practiced in West Africa, and still to a limited extent in the Maghreb. The marabout is often a scholar of the Qur'an, and many make amulets for good luck, preside at various ceremonies, and in some cases actively guide the life of the follower.</t>
  </si>
  <si>
    <t>A tower providing a vantage point from which a muezzin (a servant at a mosque) can call at hours of prayer.</t>
  </si>
  <si>
    <t>Usually a tall, graceful spire, with an onion-shaped crown, connected with a mosque. May be either free standing or much taller than any surrounding support structure.</t>
  </si>
  <si>
    <t>mission</t>
  </si>
  <si>
    <t>Mission</t>
  </si>
  <si>
    <t>A religious centre established for missionary, evangelical, or humanitarian work.</t>
  </si>
  <si>
    <t>May be characterized by one or more dwellings, a school, a church, a hospital and/or other facilities operated by a religious group.</t>
  </si>
  <si>
    <t>monastery</t>
  </si>
  <si>
    <t>Monastery</t>
  </si>
  <si>
    <t>A facility housing a community of monks living in seclusion, adopting a strict religious and ascetic lifestyle and retreating from the world for contemplative prayer.</t>
  </si>
  <si>
    <t>The community usually follows a single rule, is governed by an abbott, and all members live together, pray together, and share all possessions.</t>
  </si>
  <si>
    <t>mosque</t>
  </si>
  <si>
    <t>Mosque</t>
  </si>
  <si>
    <t>An Islamic temple, reserved for religious or spiritual activities.</t>
  </si>
  <si>
    <t>Masjid</t>
  </si>
  <si>
    <t>noviciate</t>
  </si>
  <si>
    <t>Noviciate</t>
  </si>
  <si>
    <t>A facility housing a community of prospective members of a religious order (termed 'novices') who have not yet been admitted to vows and have to undergo training in order to be found eligible or qualified for admission.</t>
  </si>
  <si>
    <t>pagoda</t>
  </si>
  <si>
    <t>Pagoda</t>
  </si>
  <si>
    <t>A Hindu or Buddhist temple or sacred building, usually in the form of a many-tiered tower with stories of diminishing size, each with an ornamented projecting roof.</t>
  </si>
  <si>
    <t>It is evolved from the stupa but it can be entered and may serve a secular purpose. They are found mainly in east Asia whereas the stupa is found in India and south-east Asia.</t>
  </si>
  <si>
    <t>religiousCommunity</t>
  </si>
  <si>
    <t>Religious Community</t>
  </si>
  <si>
    <t>A facility housing a community under religious vows.</t>
  </si>
  <si>
    <t>For example, a monastery or a convent.</t>
  </si>
  <si>
    <t>retreat</t>
  </si>
  <si>
    <t>Retreat</t>
  </si>
  <si>
    <t>A place established for temporary seclusion and a time of solitude, religious prayer and/or meditation.</t>
  </si>
  <si>
    <t>Retreats are considered essential in Buddhism and they are common in many Christian churches. They are typically conducted in a remote location (for example: at a private facility or at a monastery).</t>
  </si>
  <si>
    <t>seminary</t>
  </si>
  <si>
    <t>Seminary</t>
  </si>
  <si>
    <t>A facility housing a specialized university-like institution for the purpose of instructing students (termed 'seminarians') in theology, often in order to prepare them for religious service (for example: congregation leadership).</t>
  </si>
  <si>
    <t>These usually, though not always, teach Christian (for example: priests or ministers) or Jewish (for example: rabbis) doctrine. Monks, nuns and/or lay people may also be instructed.</t>
  </si>
  <si>
    <t>shrine</t>
  </si>
  <si>
    <t>Shrine</t>
  </si>
  <si>
    <t>A place of worship or devotion to a saint or deity, usually housing a relic (for example: a bone or other body part) or man-made object (for example: an icon) that is venerated for the deity, spirit or daemon that it embodies.</t>
  </si>
  <si>
    <t>May be constructed on a site which is thought to be particularly holy, as opposed to being placed for the convenience of worshippers, and consequently may be associated with the practice of pilgrimage.</t>
  </si>
  <si>
    <t>stupa</t>
  </si>
  <si>
    <t>Stupa</t>
  </si>
  <si>
    <t>A round, usually dome-shaped, Buddhist shrine topped with a cupola.</t>
  </si>
  <si>
    <t>It is intended to house relics of the Buddha, and includes such features as the torana (gateway), the vedica (fence-like enclosure), the harmika (a square platform with railings on top of the stupa), the chattrayashti (a parasol or canopy) and a circumambulatory around the stupa.</t>
  </si>
  <si>
    <t>synagogue</t>
  </si>
  <si>
    <t>Synagogue</t>
  </si>
  <si>
    <t>A place for Jewish worship and religious instruction.</t>
  </si>
  <si>
    <t>May also be termed a 'temple' by some Reform and conservative congregations, although Orthodox Judaism reserves that term for the Temple in Jerusalem.</t>
  </si>
  <si>
    <t>tabernacle</t>
  </si>
  <si>
    <t>Tabernacle</t>
  </si>
  <si>
    <t>A church that has been specially designated (for example: by religious authority).</t>
  </si>
  <si>
    <t>May take on a variety of shapes and sizes (for example: as a shrine, a chapel, or a temple). The term is most closely associated with The Church of Jesus Christ of Latter-day Saints (for example: the Salt Lake Tabernacle) but may be applied to other named churches associated with revivalism (for example: the Metropolitan Tabernacle or the Maxwell Memorial Tabernacle).</t>
  </si>
  <si>
    <t>temple</t>
  </si>
  <si>
    <t>Temple</t>
  </si>
  <si>
    <t>An edifice reserved for religious or spiritual activities (for example: prayer or sacrifice), or analogous rites (as in masonry).</t>
  </si>
  <si>
    <t>In some religions it is regarded as the dwelling-place of a god or gods. Many religions have specialized versions of this term (for example: a Christian church, a Morman temple, or an Islamic mosque).</t>
  </si>
  <si>
    <t>electricField</t>
  </si>
  <si>
    <t>Electric Field</t>
  </si>
  <si>
    <t>Senses the electric fields produced by a vessel.</t>
  </si>
  <si>
    <t>infrared</t>
  </si>
  <si>
    <t>Infrared</t>
  </si>
  <si>
    <t>The trigger mechanism utilises infra-red technology.</t>
  </si>
  <si>
    <t>laserSensors</t>
  </si>
  <si>
    <t>Laser Sensors</t>
  </si>
  <si>
    <t>The trigger mechanism utilises laser technology.</t>
  </si>
  <si>
    <t>seismic</t>
  </si>
  <si>
    <t>Seismic</t>
  </si>
  <si>
    <t>Senses the surface vibrations produced by a vessel.</t>
  </si>
  <si>
    <t>velocityField</t>
  </si>
  <si>
    <t>Velocity Field</t>
  </si>
  <si>
    <t>The trigger mechanism is sensitive to direct movement.</t>
  </si>
  <si>
    <t>controlledEnhancedSpecified</t>
  </si>
  <si>
    <t>Controlled Enhanced with Specified Dissemination</t>
  </si>
  <si>
    <t>The information requires safeguarding measures more stringent than those normally required since the inadvertent or unauthorized disclosure would create risk of substantial harm, and the material contains additional instructions on what dissemination is permitted.</t>
  </si>
  <si>
    <t>Specified Dissemination' is a handling instruction that means the information so designated is subject to additional instructions governing the extent to which dissemination is permitted.</t>
  </si>
  <si>
    <t>controlledSpecified</t>
  </si>
  <si>
    <t>Controlled with Specified Dissemination</t>
  </si>
  <si>
    <t>The information requires safeguarding measures that reduce the risks of unauthorized or inadvertent disclosure, and the material contains additional instructions on what dissemination is permitted.</t>
  </si>
  <si>
    <t>controlledStandard</t>
  </si>
  <si>
    <t>Controlled with Standard Dissemination</t>
  </si>
  <si>
    <t>The information requires standard safeguarding measures that reduce the risks of unauthorized or inadvertent disclosure; dissemination is permitted to the extent that it is reasonably believed that it would further the execution of a lawful or official purpose.</t>
  </si>
  <si>
    <t>Standard Dissemination' is a handling instruction that means dissemination is authorized to the extent it is reasonably believed that dissemination would further the execution of lawful or official mission purpose, provided that individuals disseminating this information do so within the scope of their assigned duties.</t>
  </si>
  <si>
    <t>documentDigital</t>
  </si>
  <si>
    <t>Document (Digital)</t>
  </si>
  <si>
    <t>A digital representation of a primarily textual item.</t>
  </si>
  <si>
    <t>documentHardcopy</t>
  </si>
  <si>
    <t>Document (Hardcopy)</t>
  </si>
  <si>
    <t>A representation of a primarily textual item on paper, photographic material, or other media.</t>
  </si>
  <si>
    <t>imageDigital</t>
  </si>
  <si>
    <t>Image (Digital)</t>
  </si>
  <si>
    <t>A likeness of natural or man-made features, objects, and/or activities acquired through the sensing of visual or any other segment of the electromagnetic spectrum by sensors (for example: thermal infrared or high resolution radar) and stored in a digital file.</t>
  </si>
  <si>
    <t>imageHardcopy</t>
  </si>
  <si>
    <t>Image (Hardcopy)</t>
  </si>
  <si>
    <t>mapDigital</t>
  </si>
  <si>
    <t>Map (Digital)</t>
  </si>
  <si>
    <t>A map represented in raster or vector form.</t>
  </si>
  <si>
    <t>mapHardcopy</t>
  </si>
  <si>
    <t>Map (Hardcopy)</t>
  </si>
  <si>
    <t>A map printed on paper, photographic material, or other media for use directly by the human user.</t>
  </si>
  <si>
    <t>modelDigital</t>
  </si>
  <si>
    <t>Model (Digital)</t>
  </si>
  <si>
    <t>A multi-dimensional digital representation of a feature, process or other data set.</t>
  </si>
  <si>
    <t>modelHardcopy</t>
  </si>
  <si>
    <t>Model (Hardcopy)</t>
  </si>
  <si>
    <t>A 3-dimensional physical model.</t>
  </si>
  <si>
    <t>profileDigital</t>
  </si>
  <si>
    <t>Profile (Digital)</t>
  </si>
  <si>
    <t>A vertical cross-section in digital form.</t>
  </si>
  <si>
    <t>profileHardcopy</t>
  </si>
  <si>
    <t>Profile (Hardcopy)</t>
  </si>
  <si>
    <t>A vertical cross-section printed on paper, photographic material, or other media.</t>
  </si>
  <si>
    <t>tableDigital</t>
  </si>
  <si>
    <t>Table (Digital)</t>
  </si>
  <si>
    <t>A digital representation of facts or figures systematically displayed, especially in columns.</t>
  </si>
  <si>
    <t>tableHardcopy</t>
  </si>
  <si>
    <t>Table (Hardcopy)</t>
  </si>
  <si>
    <t>A representation of facts or figures systematically displayed, especially in columns, printed on paper, photographic material, or other media.</t>
  </si>
  <si>
    <t>videoDigital</t>
  </si>
  <si>
    <t>Video (Digital)</t>
  </si>
  <si>
    <t>A digital video recording.</t>
  </si>
  <si>
    <t>videoHardcopy</t>
  </si>
  <si>
    <t>Video (Hardcopy)</t>
  </si>
  <si>
    <t>A video recording on film.</t>
  </si>
  <si>
    <t>download</t>
  </si>
  <si>
    <t>Download</t>
  </si>
  <si>
    <t>Instructions for transferring data from one storage device or system to another.</t>
  </si>
  <si>
    <t>For example, from the resource provider to the user.</t>
  </si>
  <si>
    <t>Information</t>
  </si>
  <si>
    <t>Information about the resource.</t>
  </si>
  <si>
    <t>offlineAccess</t>
  </si>
  <si>
    <t>Offline Access</t>
  </si>
  <si>
    <t>Instructions for requesting the resource from the provider.</t>
  </si>
  <si>
    <t>order</t>
  </si>
  <si>
    <t>Order</t>
  </si>
  <si>
    <t>Order process for obtaining the resource.</t>
  </si>
  <si>
    <t>search</t>
  </si>
  <si>
    <t>Search</t>
  </si>
  <si>
    <t>Search interface for seeking out information about the resource.</t>
  </si>
  <si>
    <t>author</t>
  </si>
  <si>
    <t>Author</t>
  </si>
  <si>
    <t>Authored the resource.</t>
  </si>
  <si>
    <t>custodian</t>
  </si>
  <si>
    <t>Custodian</t>
  </si>
  <si>
    <t>Accepts accountability and responsibility for the data and ensures appropriate care and maintenance of the resource.</t>
  </si>
  <si>
    <t>distributor</t>
  </si>
  <si>
    <t>Distributor</t>
  </si>
  <si>
    <t>Distributes the resource.</t>
  </si>
  <si>
    <t>originator</t>
  </si>
  <si>
    <t>Originator</t>
  </si>
  <si>
    <t>Created the resource.</t>
  </si>
  <si>
    <t>owner</t>
  </si>
  <si>
    <t>Owner</t>
  </si>
  <si>
    <t>Owns the resource.</t>
  </si>
  <si>
    <t>Point of Contact</t>
  </si>
  <si>
    <t>Can be contacted for acquiring knowledge about or acquisition of the resource.</t>
  </si>
  <si>
    <t>principalInvestigator</t>
  </si>
  <si>
    <t>Principal Investigator</t>
  </si>
  <si>
    <t>Responsible for gathering information and conducting research.</t>
  </si>
  <si>
    <t>processor</t>
  </si>
  <si>
    <t>Processor</t>
  </si>
  <si>
    <t>Has processed the data in a manner such that the resource has been modified.</t>
  </si>
  <si>
    <t>provider</t>
  </si>
  <si>
    <t>Provider</t>
  </si>
  <si>
    <t>Supplies the resource.</t>
  </si>
  <si>
    <t>publisher</t>
  </si>
  <si>
    <t>Publisher</t>
  </si>
  <si>
    <t>Published the resource.</t>
  </si>
  <si>
    <t>user</t>
  </si>
  <si>
    <t>User</t>
  </si>
  <si>
    <t>Uses the resource.</t>
  </si>
  <si>
    <t>cloverleaf</t>
  </si>
  <si>
    <t>Cloverleaf</t>
  </si>
  <si>
    <t>Consists of two roads crossing at separate vertical levels and a set of eight radially symmetric ramps for traffic to flow without stopping from either direction on either road to either direction on the other road, with the four inner ramps arranged in the shape of a cloverleaf.</t>
  </si>
  <si>
    <t>Consists of two roads crossing at separate vertical levels and a set of four radially symmetric ramps for traffic to flow from either direction on one road to a stopping location from which a turn in either direction on the other road may be made, with the four ramps arranged in the shape of a diamond.</t>
  </si>
  <si>
    <t>fork</t>
  </si>
  <si>
    <t>Fork</t>
  </si>
  <si>
    <t>Consists of a road where a second road originates and diverges and an overpass and ramps allow traffic to flow without stopping between the originating road and the diverging road, with traffic flow not allowed between the diverging roads.</t>
  </si>
  <si>
    <t>rotary</t>
  </si>
  <si>
    <t>Rotary</t>
  </si>
  <si>
    <t>Consists of two roads crossing at separate vertical levels and a set of four radially symmetric ramps joined to a circular ramp at a lower vertical level for traffic to flow without stopping from either direction on either road to either direction on the other road.</t>
  </si>
  <si>
    <t>Roundabout, Traffic Circle</t>
  </si>
  <si>
    <t>staggeredRamps</t>
  </si>
  <si>
    <t>Staggered Ramps</t>
  </si>
  <si>
    <t>Consists of two roads crossing at separate vertical levels and a set of four radially symmetric paired ramps for traffic to flow in either direction on one road to stopping locations from which a turn in either direction on the other road may be made.</t>
  </si>
  <si>
    <t>standardRamps</t>
  </si>
  <si>
    <t>Standard Ramps</t>
  </si>
  <si>
    <t>Consists of a set of ramps, and possibly overpass, allowing traffic to flow with limited or no restrictions between two crossing or meeting roads.</t>
  </si>
  <si>
    <t>symmetricalRamps</t>
  </si>
  <si>
    <t>Symmetrical Ramps</t>
  </si>
  <si>
    <t>Consists of two roads crossing at separate vertical levels and a set of four paired ramps for traffic to flow from either direction on one road to stopping locations from which a turn in either direction on the other road may be made.</t>
  </si>
  <si>
    <t>trumpet</t>
  </si>
  <si>
    <t>Trumpet</t>
  </si>
  <si>
    <t>Consists of a road where a second road originates and four ramps and an overpass allow traffic to flow without stopping from either direction on either road to either direction on the other road.</t>
  </si>
  <si>
    <t>turban</t>
  </si>
  <si>
    <t>Turban</t>
  </si>
  <si>
    <t>Consists of two roads crossing at an angle at separate vertical levels and a set of four radially symmetric ramps and two overpass for traffic to flow without stopping from either direction on the upper road to either direction on the lower road and with ramps from the lower road only provided for traffic to flow from either direction to only two of the four directions on the upper road.</t>
  </si>
  <si>
    <t>wye</t>
  </si>
  <si>
    <t>Wye</t>
  </si>
  <si>
    <t>Consists of three roads meeting at the same vertical level and a set of six ramps and associated (typically three) overpass for traffic to flow without stopping from either direction on either road to either direction on another road.</t>
  </si>
  <si>
    <t>allWeather</t>
  </si>
  <si>
    <t>All-weather</t>
  </si>
  <si>
    <t>Suitable for use regardless of the weather.</t>
  </si>
  <si>
    <t>It usually has the following characteristics: (1) With reasonable maintenance, passable throughout the year to a volume of traffic never appreciably less than its maximum capacity. (2) Normally having a waterproof surface and only slightly affected by rain, frost, thaw, or heat. (3) Never closed because of weather effects other than snow or flood blockage. For example, NATO class 'X'.</t>
  </si>
  <si>
    <t>closedInWinter</t>
  </si>
  <si>
    <t>Closed in Winter</t>
  </si>
  <si>
    <t>Suitable for use other than during the winter season, when it is closed.</t>
  </si>
  <si>
    <t>For example, regular plowing, salting, and/or sanding may not take place during the winter season.</t>
  </si>
  <si>
    <t>fairWeather</t>
  </si>
  <si>
    <t>Fair-weather</t>
  </si>
  <si>
    <t>Under fair conditions only.</t>
  </si>
  <si>
    <t>It usually has the following characteristics: (1) Passable only in fair and dry weather. (2) So seriously affected by adverse conditions that the road may remain closed for long periods. (3) Improvement of such a road can only be achieved by construction or realignment. For example, NATO class 'Z'.</t>
  </si>
  <si>
    <t>limitedAllWeather</t>
  </si>
  <si>
    <t>Limited All-weather</t>
  </si>
  <si>
    <t>All-weather, however may have limited traffic due to weather.</t>
  </si>
  <si>
    <t>It usually has the following characteristics: (1) With reasonable maintenance, passable throughout the year but at times the volume of traffic is considerably less than maximum capacity. (2) Normally not having a waterproof surface and considerably affected by rain, frost, thaw, or heat. (3) Closed for short periods of up to one day at a time by adverse weather conditions during which heavy use of the road would probably lead to collapse. For example, NATO class 'Y'.</t>
  </si>
  <si>
    <t>winterOnly</t>
  </si>
  <si>
    <t>Winter Only</t>
  </si>
  <si>
    <t>Under winter season conditions only.</t>
  </si>
  <si>
    <t>For example, the road may cross a waterbody and therefore is nonoperational until a sufficiently thick layer of ice has formed.</t>
  </si>
  <si>
    <t>limitedAccessMotorway</t>
  </si>
  <si>
    <t>Limited Access Motorway</t>
  </si>
  <si>
    <t>A roadway that is specially designed for fast long-distance traffic and is subject to special regulations concerning its use that may result in localized constraints on traffic.</t>
  </si>
  <si>
    <t>A limited access motorway differs from a motorway in that it may have some crossroads, traffic lights, or pedestrian crossings.</t>
  </si>
  <si>
    <t>motorway</t>
  </si>
  <si>
    <t>Motorway</t>
  </si>
  <si>
    <t>A roadway that is specially designed for fast long-distance traffic with unconstrained traffic flow and is subject to special regulations concerning its use.</t>
  </si>
  <si>
    <t>A motorway differs from all other types of roadways in that it has no crossroads, no traffic lights, and no pedestrian crossings.</t>
  </si>
  <si>
    <t>road</t>
  </si>
  <si>
    <t>A roadway that is located outside of a built-up area (for example: a city, town, or village), that has a specially prepared surface that is maintained for use by motor vehicles and is other than a motorway or limited access motorway.</t>
  </si>
  <si>
    <t>Includes all roadways except motorway, limited access motorway, and street.</t>
  </si>
  <si>
    <t>street</t>
  </si>
  <si>
    <t>Street</t>
  </si>
  <si>
    <t>A roadway that is located within a built-up area (for example: a city, town, or village), that has a specially prepared surface that is maintained for use by motor vehicles and is other than a motorway or limited access motorway.</t>
  </si>
  <si>
    <t>Includes all roadways within a built-up area except motorway and limited access motorway.</t>
  </si>
  <si>
    <t>columnar</t>
  </si>
  <si>
    <t>Columnar</t>
  </si>
  <si>
    <t>In tabular bodies of igneous rock, a pattern of jointing produced because of contraction during cooling and characterized by the division of rocks into long, parallel prisms or pillars.</t>
  </si>
  <si>
    <t>fossilizedForest</t>
  </si>
  <si>
    <t>Fossilized Forest</t>
  </si>
  <si>
    <t>A forest that has been buried and fossilized by geologic processes and is now re-exposed at the Earth's surface.</t>
  </si>
  <si>
    <t>needle</t>
  </si>
  <si>
    <t>Needle</t>
  </si>
  <si>
    <t>A pointed, elevated, detached needle-like mass of rock formed by erosion.</t>
  </si>
  <si>
    <t>pinnacle</t>
  </si>
  <si>
    <t>Pinnacle</t>
  </si>
  <si>
    <t>A high, tapering, or pointed tower, pinnacle or spire-shaped pillar of rock.</t>
  </si>
  <si>
    <t>May be either isolated, as on steep slopes or cliffs formed in karst or other massive rocks, or located at the summit of a hill or mountain.</t>
  </si>
  <si>
    <t>In the shape of a cone, tapering upwards from a more or less circular base to a point.</t>
  </si>
  <si>
    <t>domed</t>
  </si>
  <si>
    <t>Domed</t>
  </si>
  <si>
    <t>In the shape of a hemispherical (or occasionally peaked) surface, often as a rounded vault forming all or part of the roof of a building.</t>
  </si>
  <si>
    <t>Typically the structure supporting the dome has an elliptical (including circular) or polygonal base.</t>
  </si>
  <si>
    <t>flat</t>
  </si>
  <si>
    <t>Flat</t>
  </si>
  <si>
    <t>Generally flat and level, but usually with a small local pitch to ensure proper drainage.</t>
  </si>
  <si>
    <t>flatWithClerestory</t>
  </si>
  <si>
    <t>Flat with Clerestory</t>
  </si>
  <si>
    <t>A flat roof including one or more raised sections that contain windows and/or ventilators along their sides.</t>
  </si>
  <si>
    <t>Flat with Monitor</t>
  </si>
  <si>
    <t>flatWithParapet</t>
  </si>
  <si>
    <t>Flat with Parapet</t>
  </si>
  <si>
    <t>A flat roof surrounded by a low wall-like barrier along its edge.</t>
  </si>
  <si>
    <t>The parapet may serve to prevent accidental falls over the edge or it may be a defensive, constructional, or stylistic architectural feature.</t>
  </si>
  <si>
    <t>pitched</t>
  </si>
  <si>
    <t>Pitched</t>
  </si>
  <si>
    <t>Generally flat but with a steep pitch, usually consisting of a pair of surfaces sharing a ridge.</t>
  </si>
  <si>
    <t>For example, a gabled roof.</t>
  </si>
  <si>
    <t>pitchedWithClerestory</t>
  </si>
  <si>
    <t>Pitched with Clerestory</t>
  </si>
  <si>
    <t>A pitched roof whose ridge or sides consists of one or more raised sections that contain windows and/or ventilators along their sides.</t>
  </si>
  <si>
    <t>For example, may be used in large churches to admit light to the central parts of the building.</t>
  </si>
  <si>
    <t>Pitched with Monitor</t>
  </si>
  <si>
    <t>pyramidal</t>
  </si>
  <si>
    <t>Pyramidal</t>
  </si>
  <si>
    <t>In the shape of a polyhedron of which the base is a polygon of any number of sides, and the other faces are triangles with a common vertex.</t>
  </si>
  <si>
    <t>Usually four-sided.</t>
  </si>
  <si>
    <t>sawtoothed</t>
  </si>
  <si>
    <t>Sawtoothed</t>
  </si>
  <si>
    <t>Having a serrated profile incorporating windows in the steeper (usually sunward-facing) sides.</t>
  </si>
  <si>
    <t>semiCylindrical</t>
  </si>
  <si>
    <t>Semi-cylindrical</t>
  </si>
  <si>
    <t>In the general shape of a half-cylinder, often as a rounded vault forming all or part of the roof of a building.</t>
  </si>
  <si>
    <t>For example, a Quonset hut. May be less than a full half-cylinder or only approximately hemi-cylindrical in cross-section.</t>
  </si>
  <si>
    <t>withClerestory</t>
  </si>
  <si>
    <t>With Clerestory</t>
  </si>
  <si>
    <t>Having an accessory raised section containing a series of windows and/or ventilators along its sides.</t>
  </si>
  <si>
    <t>With Monitor</t>
  </si>
  <si>
    <t>withCupola</t>
  </si>
  <si>
    <t>With Cupola</t>
  </si>
  <si>
    <t>Having an accessory rounded vault or dome forming part of the roof.</t>
  </si>
  <si>
    <t>withMinaret</t>
  </si>
  <si>
    <t>With Minaret</t>
  </si>
  <si>
    <t>Having an accessory tall tower or turret surrounded by one or more projecting balconies.</t>
  </si>
  <si>
    <t>Usually connected with a mosque and from which a muezzin calls at hours of prayer.</t>
  </si>
  <si>
    <t>withSmokestack</t>
  </si>
  <si>
    <t>With Smokestack</t>
  </si>
  <si>
    <t>Having an accessory smokestack or chimney containing a passage or flue for discharging smoke and gases of combustion.</t>
  </si>
  <si>
    <t>withSteeple</t>
  </si>
  <si>
    <t>With Steeple</t>
  </si>
  <si>
    <t>Having an accessory pointed (for example: pyramidal) structure towering above the roof.</t>
  </si>
  <si>
    <t>withTower</t>
  </si>
  <si>
    <t>With Tower</t>
  </si>
  <si>
    <t>Having an accessory tall narrow structure, usually of square, circular, or rectangular section.</t>
  </si>
  <si>
    <t>withTurret</t>
  </si>
  <si>
    <t>With Turret</t>
  </si>
  <si>
    <t>Having an accessory small or subordinate tower, especially one projecting (frequently at some height above the ground) from an angle of the walls.</t>
  </si>
  <si>
    <t>bridgePier</t>
  </si>
  <si>
    <t>bridgeTower</t>
  </si>
  <si>
    <t>The route is constrained to pass through a narrow channel hemmed in by buildings on both sides and, occasionally, above.</t>
  </si>
  <si>
    <t>causewayStructure</t>
  </si>
  <si>
    <t>cave</t>
  </si>
  <si>
    <t>Cave</t>
  </si>
  <si>
    <t>An interconnected series of subterranean chambers.</t>
  </si>
  <si>
    <t>Typically located in limestone, and often open to the Earth's surface either vertically or horizontally.</t>
  </si>
  <si>
    <t>culvert</t>
  </si>
  <si>
    <t>curb</t>
  </si>
  <si>
    <t>cut</t>
  </si>
  <si>
    <t>dropgate</t>
  </si>
  <si>
    <t>Dropgate</t>
  </si>
  <si>
    <t>The route is constrained to pass through a dropgate.</t>
  </si>
  <si>
    <t>A dropgate is a massive assemblage of material, usually in the form of concrete logs or blocks, positioned alongside or over a transportation route (for example: a road or a railway) as a potential barrier to an advancing enemy ground force. It is generally tied into large fortified embankments on both sides of the route to form part of a continuous defensive line when activated.</t>
  </si>
  <si>
    <t>embankment</t>
  </si>
  <si>
    <t>fence</t>
  </si>
  <si>
    <t>fireHydrant</t>
  </si>
  <si>
    <t>ford</t>
  </si>
  <si>
    <t>gallery</t>
  </si>
  <si>
    <t>Gallery</t>
  </si>
  <si>
    <t>A sunken or cut passageway along a transportation route in mountainous regions constructed to protect vehicles from the elements.</t>
  </si>
  <si>
    <t>A series of openings on one side may be present for light or ventilation.</t>
  </si>
  <si>
    <t>gate</t>
  </si>
  <si>
    <t>hedgerow</t>
  </si>
  <si>
    <t>pass</t>
  </si>
  <si>
    <t>Pass</t>
  </si>
  <si>
    <t>The route is constrained to pass through a narrow channel hemmed in by steep slopes, rocks, and/or other impediments to off-route vehicle movement.</t>
  </si>
  <si>
    <t>For example, a mountain pass.</t>
  </si>
  <si>
    <t>preparedWatercourseCross</t>
  </si>
  <si>
    <t>railwaySignal</t>
  </si>
  <si>
    <t>railwaySwitch</t>
  </si>
  <si>
    <t>ramp</t>
  </si>
  <si>
    <t>reducedTrackLaneCount</t>
  </si>
  <si>
    <t>Reduced Track or Lane Count</t>
  </si>
  <si>
    <t>Reduction in the number of independent, parallel paths (for example: a railway track and/or a road lane) in either direction within a route.</t>
  </si>
  <si>
    <t>retailStand</t>
  </si>
  <si>
    <t>It may be roofed (for example: a newspaper stand along the side of a city street or the attendant's booth in a parking lot or at a taxi cab stand), covered by an awning (for example: a cellular phone booth in the center of the promenade of a shopping mall.</t>
  </si>
  <si>
    <t>roadInterchange</t>
  </si>
  <si>
    <t>A connection designed to provide traffic access from one road to another.</t>
  </si>
  <si>
    <t>rockFormation</t>
  </si>
  <si>
    <t>Restricted by closely placed objects (for example: route-related signs, lamps, designated vehicle stops (for example: a bus stop), benches, and/or their support structures) along a route.</t>
  </si>
  <si>
    <t>stair</t>
  </si>
  <si>
    <t>steepTerrainFace</t>
  </si>
  <si>
    <t>underpass</t>
  </si>
  <si>
    <t>Underpass</t>
  </si>
  <si>
    <t>The route is constrained to pass through a narrow channel hemmed in by bridge abutments on both sides and a deck above.</t>
  </si>
  <si>
    <t>woodenCauseway</t>
  </si>
  <si>
    <t>Wooden Causeway</t>
  </si>
  <si>
    <t>A raised way, path, or road across a low or wet place or stretch of water that is constructed from wooden planks.</t>
  </si>
  <si>
    <t>A designated set of major highways which interconnect countries and major cities.</t>
  </si>
  <si>
    <t>Are usually identified by a letter code in their designations, for example, an 'E' in Europe or 'A' in Asia.</t>
  </si>
  <si>
    <t>A designated set of roads which form the link between secondary highways and residential and rural roads.</t>
  </si>
  <si>
    <t>Traditionally comprised of farm-to-market routes, country lanes, and larger urban streets.  In most areas there is no preceding letter designation.</t>
  </si>
  <si>
    <t>A designated set of highways which may have limited access or semi-controlled access and interconnect secondary routes with national motorways.</t>
  </si>
  <si>
    <t>May be identified in their designations, for example, with a 'US' in the US, or an 'N' for National in other countries. In many areas there is no preceding letter designation.</t>
  </si>
  <si>
    <t>nationalMotorway</t>
  </si>
  <si>
    <t>National Motorway</t>
  </si>
  <si>
    <t>A designated set of limited access motorways which interconnect major cities and provide for the vast majority of long-distance road travel within a country.</t>
  </si>
  <si>
    <t>May be identified in their designations, for example, with an 'I' for Interstate in the US, a 'M' for Motorway in the UK, or an 'A' (for example: for Autoroute, Autobahn, Autostrade or Autopista) for Autoroute  in some European countries.  In many areas there is no preceding letter designation.</t>
  </si>
  <si>
    <t>A designated set of collector or regional highways that feed national routes or motorways.</t>
  </si>
  <si>
    <t>May be identified in their designations, for example, with an 'R' in France or state highways in the US.  In most areas there is no preceding letter designation.</t>
  </si>
  <si>
    <t>increasedTrackLaneCount</t>
  </si>
  <si>
    <t>Increased Track or Lane Count</t>
  </si>
  <si>
    <t>Increase in the number of independent, parallel paths (for example: a railway track and/or a road lane) in either direction within a route.</t>
  </si>
  <si>
    <t>railwaySidetrack</t>
  </si>
  <si>
    <t>For example, a passing track.</t>
  </si>
  <si>
    <t>shoulder</t>
  </si>
  <si>
    <t>Shoulder</t>
  </si>
  <si>
    <t>Not normally used by vehicles but provided as an allowable margin in case of emergency situations.</t>
  </si>
  <si>
    <t>A siding enabling the passing and/or parking of vehicles.</t>
  </si>
  <si>
    <t>Typically located along narrow roads, especially in mountainous regions.</t>
  </si>
  <si>
    <t>deepWaterRoute</t>
  </si>
  <si>
    <t>Deep Water Route</t>
  </si>
  <si>
    <t>A route within defined limits that has been surveyed for clearance of sea bottom and submerged obstacles as indicated on a chart.</t>
  </si>
  <si>
    <t>It is primarily intended for use by ships which, because of their draught in relation to the available depth of water in the area concerned, require the use of such a route. Through traffic to which the draught consideration does not apply should, as far as practicable, avoid using deep-water routes.</t>
  </si>
  <si>
    <t>qRoute</t>
  </si>
  <si>
    <t>Q-Route</t>
  </si>
  <si>
    <t>A pre-planned dormant channel and or maritime route between two or more positions, surveyed for explosive mine-like contacts during peacetime, that can be 'activated' to provide shipping with safe navigable routes.</t>
  </si>
  <si>
    <t>recommendDirectionTraffic</t>
  </si>
  <si>
    <t>Recommended Direction of Traffic Flow</t>
  </si>
  <si>
    <t>A traffic flow pattern indicating the directional movement of traffic as established within a traffic separation scheme, or a traffic flow pattern indicating a recommended directional movement of traffic where it is impractical or unnecessary to adopt an established direction of traffic flow.</t>
  </si>
  <si>
    <t>recommendRoute</t>
  </si>
  <si>
    <t>Recommended Route</t>
  </si>
  <si>
    <t>A route of undefined width, for the convenience of ships in transit, that is often marked by centerline buoys.</t>
  </si>
  <si>
    <t>recommendTrackDeepDraft</t>
  </si>
  <si>
    <t>Recommended Track for Deep Draft Vessels</t>
  </si>
  <si>
    <t>A route which is primarily selected for use by ships which, because of their deep draft, may not be able to navigate safely outside such route.</t>
  </si>
  <si>
    <t>recommendTrackOtherDraft</t>
  </si>
  <si>
    <t>Recommended Track for Other Than Deep Draft Vessels</t>
  </si>
  <si>
    <t>A route which is primarily selected for use by ships which are not restricted by their draft to deep draft routes and which are able to navigate safely outside such routes.</t>
  </si>
  <si>
    <t>transitRoute</t>
  </si>
  <si>
    <t>Transit Route</t>
  </si>
  <si>
    <t>A marked route established to permit vessels to pass through or transit a canal, port, harbour or other body of water.</t>
  </si>
  <si>
    <t>twoWayRoute</t>
  </si>
  <si>
    <t>Two-way Route</t>
  </si>
  <si>
    <t>A route within defined limits inside which two-way traffic is established.</t>
  </si>
  <si>
    <t>The aim is to provide safe passage of ships through waters where navigation is difficult or dangerous. In two-way routes, including two-way deep-water routes, ships should as far as practicable keep to the starboard side.</t>
  </si>
  <si>
    <t>aggregate</t>
  </si>
  <si>
    <t>A pavement constructed from well-graded aggregates, usually consisting of a base course of larger aggregate covered by a 'open' wearing course.</t>
  </si>
  <si>
    <t>A variety of compacted aggregates may be used depending on local availability. These include, for example, crushed rock, gravel, cinders, and occasionally coral or shells. Where locally available aggregates are of poor quality, or the pavement may traverse an area often innundated by water, they may be 'stabilized' by a variety of chemical means (for example: by mixing a cementitious, lime or bituminous binder with the base material) to improve its resistance to moisture and/or load-bearing capacity.</t>
  </si>
  <si>
    <t>A semi-rigid pavement that is formed-in-place through a process of continuous layering and rolling of a material known as 'Asphalt Concrete' or 'Bituminous Concrete', formed from a hot mixture of AC (asphalt/cement binder) and high quality aggregate.</t>
  </si>
  <si>
    <t>Includes, for example: Hot Mix Asphalt (HMA), Recycled HMA, Stone Matrix Asphalt (SMA), Dense-Graded Mix, and Open-Graded Friction Course (OGFC). SMA is a premium gap-graded HMA requiring high quality materials. Cubical low abrasion crushed stone and manufactured sands are recommended. Manufactured sands, mineral fillers and additives (fibers and/or polymers) make a stiff matrix that is important to the rutting resistance of these mixes. Dense-Graded Mix is a well-graded HMA intended for general use. When properly designed and constructed, a dense-graded mix is relatively impermeable. Dense-graded mixes are generally referred to by their nominal maximum aggregate size. They can further be classified as either fine-graded or coarse-graded. Fine-graded mixes have more fine and sand sized particles than coarse-graded mixes. OGFC is a pavement surface course that consists of a high-void, asphalt plant mix that permits rapid drainage of rainwater through the course and out the shoulder. The mixture is characterized by a large percentage of one-sized coarse aggregate. This course reduces hydroplaning and provides a skid-resistant pavement surface with significant noise reduction.</t>
  </si>
  <si>
    <t>Asphalt over Concrete</t>
  </si>
  <si>
    <t>A layered pavement in which a concrete base is surfaced with a layer of asphalt.</t>
  </si>
  <si>
    <t>The asphalt protects the base from salt exposure by forming a sacrificial layer that may be relatively easily repaired and/or replaced. May also result when an original concrete pavement has become significantly degraded and then been resurfaced with asphalt as a form of repair.</t>
  </si>
  <si>
    <t>boundSurface</t>
  </si>
  <si>
    <t>Bound Surface</t>
  </si>
  <si>
    <t>A pavement constructed from an unbound base covered by a bound surface layer (for example: a seal coat or a thin layer of asphalt).</t>
  </si>
  <si>
    <t>The base may be 'stabilized' by a variety of chemical means (for example: by mixing a cementitious, lime or bituminous binder with the base material) to improve its load-carrying properties.</t>
  </si>
  <si>
    <t>Bricks packed closely together on a firm subgrade, with or without mortar.</t>
  </si>
  <si>
    <t>cobblestone</t>
  </si>
  <si>
    <t>Cobble-stone</t>
  </si>
  <si>
    <t>Cobbles packed closely together on a firm subgrade, with or without mortar.</t>
  </si>
  <si>
    <t>Traditionally, cobbles are smooth stones taken from riverbeds and cobbled (roughly assembled) together with mortar. In more recent pavements the cobbles consist of manufactured rectangular paving stones that may not have curved tops.</t>
  </si>
  <si>
    <t>A rigid pavement structure formed from cast-in-place slabs of a composite stone-like material also known as Portland Cement Concrete (PCC) that consists of a binding medium (Portland cement and water) within which are embedded particles or fragments of aggregate, usually a combination of fine aggregate and course aggregate.</t>
  </si>
  <si>
    <t>corduroy</t>
  </si>
  <si>
    <t>Corduroy</t>
  </si>
  <si>
    <t>Surfaced by rough-hewn logs loosely laid together transversely exposing irregular amounts of the underlying material(s).</t>
  </si>
  <si>
    <t>Often used in relatively low or swampy areas to provide a rough relatively durable surface that is elevated above the surrounding terrain.</t>
  </si>
  <si>
    <t>A pavement in which the load is carried mainly through unbound materials (for example: crushed aggregates).</t>
  </si>
  <si>
    <t>A topping or seal coat may be applied to improve weather or flooding resistance, control surface dust production or raveling (pulling apart), and/or improve traction characteristics.</t>
  </si>
  <si>
    <t>A cleared route over a frozen watercourse.</t>
  </si>
  <si>
    <t>Usually marked and intended to support substantial vehicle traffic.</t>
  </si>
  <si>
    <t>A type of aggregate-based pavement consisting of three layers of stones laid and compacted on a sloped subgrade with side ditches for drainage.</t>
  </si>
  <si>
    <t>This type of road construction was pioneered by the Scotsman John Loudon McAdam in the early 1800s. The lower layers consisted of angular hand-broken aggregate, maximum size 75 millimetres (3 inches), to a total depth of about 200 millimetres (8 inches). The top layer was about 50 millimetres (2 inches) thick with a maximum aggregate size of 25 mm (1 inch). The layers were compacted with a heavy roller, causing the angular stones to lock together with their neighbours. This basic method of construction is sometimes known as 'water-bound macadam'. Although this method required a great deal of manual labor, it resulted in a strong and free-draining pavement. Roads constructed in this manner were described as 'macadamized'. With the advent of motor vehicles, dust became a serious problem on macadam roads. The vacuum created under fast-moving vehicles sucked dust from the road surface, creating unpleasant dust clouds and a gradual raveling (pulling apart) of the road material. This problem was later rectified by spraying tar on the surface to create 'tar-bound macadam' (tarmac). Macadam roads are only infrequently used, having been replaced by other forms of Aggregate and Bound Surface pavements.</t>
  </si>
  <si>
    <t>Surfaced by metal (for example: grating or diamond plate sheet).</t>
  </si>
  <si>
    <t>Typically used in special constructions, for example: moveable bridge surfaces.</t>
  </si>
  <si>
    <t>A pavement in which the load is carried by tightly bound materials (for example: concretes).</t>
  </si>
  <si>
    <t>The most common forms are concrete and asphalt (also referred to as 'semi-rigid'), however in specialized situations other materials may be used, for example steel.</t>
  </si>
  <si>
    <t>A minimally prepared route passing over packed snow.</t>
  </si>
  <si>
    <t>The snow, usually accumulated from multiple snowfalls, may have been rolled to ensure the absence of voids or cavities.</t>
  </si>
  <si>
    <t>stabilizedEarth</t>
  </si>
  <si>
    <t>Stabilized Earth</t>
  </si>
  <si>
    <t>A minimally prepared route constructed from a layer of local materials (for example: consolidated soils) that have been graded, rolled and possibly treated to improve their resistance to moisture and/or load-bearing capacity (sometimes termed 'stabilized').</t>
  </si>
  <si>
    <t>unimproved</t>
  </si>
  <si>
    <t>Unimproved</t>
  </si>
  <si>
    <t>An unprepared route whose surface is generally a flat track following the natural terrain.</t>
  </si>
  <si>
    <t>It often appears as a rough track with two wheel paths, and close vegetation.</t>
  </si>
  <si>
    <t>Surfaced by wood (for example: logs, beams, or planks).</t>
  </si>
  <si>
    <t>woodPlank</t>
  </si>
  <si>
    <t>Wood Plank</t>
  </si>
  <si>
    <t>Surfaced by wooden planks laid tightly together transversely and secured along stringers.</t>
  </si>
  <si>
    <t>For example, as on a pier or boardwalk or (historically) a plank road.</t>
  </si>
  <si>
    <t>abeamElevation</t>
  </si>
  <si>
    <t>Abeam Elevation</t>
  </si>
  <si>
    <t>Established on the runway centre-line at the location perpendicular to the Elevation Antenna.</t>
  </si>
  <si>
    <t>abeamGlideslope</t>
  </si>
  <si>
    <t>Abeam Glideslope</t>
  </si>
  <si>
    <t>Established on the runway centre-line at the location perpendicular to the Glideslope Antenna.</t>
  </si>
  <si>
    <t>Aiming Point</t>
  </si>
  <si>
    <t>abeamPrecisionApproachRadar</t>
  </si>
  <si>
    <t>Abeam Precision Approach Radar</t>
  </si>
  <si>
    <t>Established on the runway centre-line at the location perpendicular to the Precision Approach Radar (PAR) Antenna.</t>
  </si>
  <si>
    <t>abeamRunwayEndReflector</t>
  </si>
  <si>
    <t>Abeam Runway End Reflector</t>
  </si>
  <si>
    <t>Established on the runway centre-line at the location perpendicular to the Runway End Reflector (RER).</t>
  </si>
  <si>
    <t>abeamTouchdownReflector</t>
  </si>
  <si>
    <t>Abeam Touchdown Reflector</t>
  </si>
  <si>
    <t>Established on the runway centre-line at the location perpendicular to the Touchdown Reflector (TDR).</t>
  </si>
  <si>
    <t>highestElevationPoint</t>
  </si>
  <si>
    <t>Highest Elevation Point</t>
  </si>
  <si>
    <t>Established on the runway centre-line at the location that is the highest point of the usable runways of an aerodrome.</t>
  </si>
  <si>
    <t>runwayMidpoint</t>
  </si>
  <si>
    <t>Runway Midpoint</t>
  </si>
  <si>
    <t>Established on the runway centre-line at the midpoint of the runway.</t>
  </si>
  <si>
    <t>startRun</t>
  </si>
  <si>
    <t>Start Run</t>
  </si>
  <si>
    <t>Established on the runway centre-line at the start of the take-off run.</t>
  </si>
  <si>
    <t>Established on the runway centre-line at the start of the runway threshold.</t>
  </si>
  <si>
    <t>It is intended that landing aircraft first contact the runway in the touchdown zone.</t>
  </si>
  <si>
    <t>A point adjacent to the runway direction midsection.</t>
  </si>
  <si>
    <t>This is the second third of the runway direction length.</t>
  </si>
  <si>
    <t>takeoff</t>
  </si>
  <si>
    <t>Takeoff</t>
  </si>
  <si>
    <t>A point adjacent to the departure end of the runway direction.</t>
  </si>
  <si>
    <t>This is the last third of the runway direction length.</t>
  </si>
  <si>
    <t>touchdown</t>
  </si>
  <si>
    <t>Touchdown</t>
  </si>
  <si>
    <t>A point adjacent to the arrival end of the runway direction.</t>
  </si>
  <si>
    <t>This is the first third of the runway direction length.</t>
  </si>
  <si>
    <t>crescent</t>
  </si>
  <si>
    <t>Crescent</t>
  </si>
  <si>
    <t>Crescent-shaped mounds generally wider than long whose slipface is on the dune's concave side.</t>
  </si>
  <si>
    <t>Barchan</t>
  </si>
  <si>
    <t>Oval or circular mounds that generally lack a slipface.</t>
  </si>
  <si>
    <t>They are rare and generally occur at the far upwind margins of sand seas.</t>
  </si>
  <si>
    <t>domeTransverse</t>
  </si>
  <si>
    <t>Dome and Transverse</t>
  </si>
  <si>
    <t>A mix of transverse dunes and, less frequently (usually around the peripheral edges), oval or circular mounds that generally lack a slipface.</t>
  </si>
  <si>
    <t>Straight or slightly sinuous sand ridges typically much longer than they are wide and whose long axis extends in the direction of sand movement.</t>
  </si>
  <si>
    <t>Linear dunes may occur as isolated ridges, but they generally form sets of parallel ridges separated by miles of sand, gravel, and/or rocky interdune corridors.</t>
  </si>
  <si>
    <t>parabolic</t>
  </si>
  <si>
    <t>Parabolic</t>
  </si>
  <si>
    <t>U-shaped mounds of sand with convex noses trailed by elongated arms whose slipface is on the dune's convex side.</t>
  </si>
  <si>
    <t>Generally located in coastal deserts, their arms have been fixed by vegetation while the bulk of the sand in the dune migrates forward.</t>
  </si>
  <si>
    <t>Blowout, Hairpin, U-shaped</t>
  </si>
  <si>
    <t>ripple</t>
  </si>
  <si>
    <t>Ripple</t>
  </si>
  <si>
    <t>A series of small, linear, parallel sand accumulations (incipient dunes) that occur in very fine sand.</t>
  </si>
  <si>
    <t>star</t>
  </si>
  <si>
    <t>Star</t>
  </si>
  <si>
    <t>Pyramidal sand mounds with slipfaces on three or more arms that radiate from the high centre of the mound, growing upward rather than laterally.</t>
  </si>
  <si>
    <t>They tend to accumulate in areas with multidirectional wind regimes.</t>
  </si>
  <si>
    <t>transverse</t>
  </si>
  <si>
    <t>Transverse</t>
  </si>
  <si>
    <t>Long, relatively straight dunes, oriented perpendicular to the direction of the wind and consisting of accumulations of loose, well-sorted, very fine to medium sand in ridges that have a gentle stoss (upwind) slope and a steep slip face on the lee slope.</t>
  </si>
  <si>
    <t>Although appearing similar to linear dunes, they differ from linear dunes in that the two flanks of a transverse dune have different, rather than similar, angles of slope; the gentler upwind slope is composed of firmly packed sand and the steeper lee (avalanche) slope is soft and loose sand. Transverse dunes also migrate laterally, toward the next dune ridge, instead of longitudinally down the long axis of the ridge.</t>
  </si>
  <si>
    <t>Lateral</t>
  </si>
  <si>
    <t>europeanGeoNavOverlayServ</t>
  </si>
  <si>
    <t>European Geostationary Navigation Overlay Service (EGNOS)</t>
  </si>
  <si>
    <t>EGNOS is intended to supplement the GPS, GLONASS and Galileo systems by reporting on the reliability and accuracy of the signals.</t>
  </si>
  <si>
    <t>localAreaAugmentSystem</t>
  </si>
  <si>
    <t>Local Area Augmentation System (LAAS)</t>
  </si>
  <si>
    <t>An all-weather aircraft landing system based on real-time differential correction of the GPS signal.</t>
  </si>
  <si>
    <t>Local reference receivers send data to a central location at the airport. This data is used to formulate a correction message, which is then transmitted to users via a VHF data link. A receiver on an aircraft uses this information to correct GPS signals, which then provides a standard ILS-style display to use while flying a precision approach.</t>
  </si>
  <si>
    <t>multiFuncTransSatAugSys</t>
  </si>
  <si>
    <t>Multi-functional Transport Satellite Augmentation System (MSAS)</t>
  </si>
  <si>
    <t>MSAS is a Japanese Satellite Based Augmentation System which supports Differential GPS (DGPS) designed to supplement the GPS system by reporting (then improving) on the reliability and accuracy of those signals.</t>
  </si>
  <si>
    <t>wideAreaAugmentSystem</t>
  </si>
  <si>
    <t>Wide Area Augmentation System (WAAS)</t>
  </si>
  <si>
    <t>An air navigation aid developed by the US Federal Aviation Administration to augment the Global Positioning System (GPS), with the goal of improving its accuracy, integrity, and availability.</t>
  </si>
  <si>
    <t>WAAS uses a network of ground-based reference stations, in North America and Hawaii, to measure small variations in the GPS satellites' signals in the western hemisphere. Measurements from the reference stations are routed to master stations, which queue the received DCs and send the correction messages to geostationary WAAS satellites in a timely manner (at least every 5 seconds or better). Those satellites broadcast the correction messages back to Earth, where WAAS-enabled GPS receiver uses the corrections while computing its position to improve accuracy.</t>
  </si>
  <si>
    <t>An annually reccuring period of one or more months during which precipitation is at or near a minimum.</t>
  </si>
  <si>
    <t>monsoonal</t>
  </si>
  <si>
    <t>Monsoonal</t>
  </si>
  <si>
    <t>A semi-annually recurring period of one or more months during which reversing strong winds are accompanied by changes in precipitation.</t>
  </si>
  <si>
    <t>nonSeasonal</t>
  </si>
  <si>
    <t>Non-seasonal</t>
  </si>
  <si>
    <t>There is no yearly variation of a seasonal nature.</t>
  </si>
  <si>
    <t>rainy</t>
  </si>
  <si>
    <t>Rainy</t>
  </si>
  <si>
    <t>An annually recurring period of one or more months during which precipitation is at or near a maximum.</t>
  </si>
  <si>
    <t>Hue: N, Value/Chroma: 1/0</t>
  </si>
  <si>
    <t>brilliantGreen</t>
  </si>
  <si>
    <t>Brilliant Green</t>
  </si>
  <si>
    <t>Hue: 5G, Value/Chroma: 6/6</t>
  </si>
  <si>
    <t>darkGreenishYellow</t>
  </si>
  <si>
    <t>Dark Greenish Yellow</t>
  </si>
  <si>
    <t>Hue: 10Y, Value/Chroma: 6/6</t>
  </si>
  <si>
    <t>darkReddishBrown</t>
  </si>
  <si>
    <t>Dark Reddish Brown</t>
  </si>
  <si>
    <t>Hue: 10R, Value/Chroma: 3/4</t>
  </si>
  <si>
    <t>darkYellowishGreen</t>
  </si>
  <si>
    <t>Dark Yellowish Green</t>
  </si>
  <si>
    <t>Hue: 10GY, Value/Chroma: 4/4</t>
  </si>
  <si>
    <t>duskyBlueGreen</t>
  </si>
  <si>
    <t>Dusky Blue Green</t>
  </si>
  <si>
    <t>Hue: 5BG, Value/Chroma: 3/2</t>
  </si>
  <si>
    <t>duskyGreen</t>
  </si>
  <si>
    <t>Dusky Green</t>
  </si>
  <si>
    <t>Hue: 5G, Value/Chroma: 3/2</t>
  </si>
  <si>
    <t>duskyRed</t>
  </si>
  <si>
    <t>Dusky Red</t>
  </si>
  <si>
    <t>Hue: 5R, Value/Chroma: 3/4</t>
  </si>
  <si>
    <t>duskyYellow</t>
  </si>
  <si>
    <t>Dusky Yellow</t>
  </si>
  <si>
    <t>Hue: 5Y, Value/Chroma: 6/4</t>
  </si>
  <si>
    <t>duskyYellowishGreen</t>
  </si>
  <si>
    <t>Dusky Yellowish Green</t>
  </si>
  <si>
    <t>Hue: 10GY, Value/Chroma: 3/2</t>
  </si>
  <si>
    <t>grayishGreen</t>
  </si>
  <si>
    <t>Grayish Green</t>
  </si>
  <si>
    <t>Hue: 10G, Value/Chroma: 4/2</t>
  </si>
  <si>
    <t>grayishOrangePink</t>
  </si>
  <si>
    <t>Grayish Orange Pink</t>
  </si>
  <si>
    <t>Hue: 10R, Value/Chroma: 8/2</t>
  </si>
  <si>
    <t>grayishRed</t>
  </si>
  <si>
    <t>Grayish Red</t>
  </si>
  <si>
    <t>Hue: 10R, Value/Chroma: 4/2</t>
  </si>
  <si>
    <t>grayishYellow</t>
  </si>
  <si>
    <t>Grayish Yellow</t>
  </si>
  <si>
    <t>Hue: 5Y, Value/Chroma: 8/4</t>
  </si>
  <si>
    <t>grayishYellowishGreen</t>
  </si>
  <si>
    <t>Grayish Yellowish Green</t>
  </si>
  <si>
    <t>Hue: 10GY, Value/Chroma: 5/2</t>
  </si>
  <si>
    <t>greenishOlive</t>
  </si>
  <si>
    <t>Greenish Olive</t>
  </si>
  <si>
    <t>Hue: 10Y, Value/Chroma: 4/2</t>
  </si>
  <si>
    <t>lightBlueGreen</t>
  </si>
  <si>
    <t>Light Blue Green</t>
  </si>
  <si>
    <t>Hue: 5BG, Value/Chroma: 6/6</t>
  </si>
  <si>
    <t>lightGreen</t>
  </si>
  <si>
    <t>Light Green</t>
  </si>
  <si>
    <t>Hue: 5G, Value/Chroma: 7/4</t>
  </si>
  <si>
    <t>lightOlive</t>
  </si>
  <si>
    <t>Light Olive</t>
  </si>
  <si>
    <t>Hue: 10Y, Value/Chroma: 5/4</t>
  </si>
  <si>
    <t>lightOliveBrown</t>
  </si>
  <si>
    <t>Light Olive Brown</t>
  </si>
  <si>
    <t>Hue: 5Y, Value/Chroma: 5/6</t>
  </si>
  <si>
    <t>lightRed</t>
  </si>
  <si>
    <t>Light Red</t>
  </si>
  <si>
    <t>Hue: 5R, Value/Chroma: 6/6</t>
  </si>
  <si>
    <t>lightYellowishGreen</t>
  </si>
  <si>
    <t>Light Yellowish Green</t>
  </si>
  <si>
    <t>Hue: 5GY, Value/Chroma: 7/4</t>
  </si>
  <si>
    <t>moderateGrayishGreen</t>
  </si>
  <si>
    <t>Moderate Grayish Green</t>
  </si>
  <si>
    <t>Hue: 5G, Value/Chroma: 5/2</t>
  </si>
  <si>
    <t>moderateGreen</t>
  </si>
  <si>
    <t>Moderate Green</t>
  </si>
  <si>
    <t>Hue: 5G, Value/Chroma: 5/6</t>
  </si>
  <si>
    <t>moderateGreenishYellow</t>
  </si>
  <si>
    <t>Moderate Greenish Yellow</t>
  </si>
  <si>
    <t>Hue: 10Y, Value/Chroma: 7/4</t>
  </si>
  <si>
    <t>moderateOliveBrown</t>
  </si>
  <si>
    <t>Moderate Olive Brown</t>
  </si>
  <si>
    <t>Hue: 5Y, Value/Chroma: 4/4</t>
  </si>
  <si>
    <t>moderateOrangePink</t>
  </si>
  <si>
    <t>Moderate Orange Pink</t>
  </si>
  <si>
    <t>Hue: 10R, Value/Chroma: 7/4</t>
  </si>
  <si>
    <t>moderatePink</t>
  </si>
  <si>
    <t>Moderate Pink</t>
  </si>
  <si>
    <t>Hue: 5R, Value/Chroma: 7/4</t>
  </si>
  <si>
    <t>moderateRed</t>
  </si>
  <si>
    <t>Moderate Red</t>
  </si>
  <si>
    <t>Hue: 5R, Value/Chroma: 5/4</t>
  </si>
  <si>
    <t>moderateReddishBrown</t>
  </si>
  <si>
    <t>Moderate Reddish Brown</t>
  </si>
  <si>
    <t>Hue: 10R, Value/Chroma: 4/6</t>
  </si>
  <si>
    <t>moderateReddishOrange</t>
  </si>
  <si>
    <t>Moderate Reddish Orange</t>
  </si>
  <si>
    <t>Hue: 10R, Value/Chroma: 6/6</t>
  </si>
  <si>
    <t>moderateYellow</t>
  </si>
  <si>
    <t>Moderate Yellow</t>
  </si>
  <si>
    <t>Hue: 5Y, Value/Chroma: 7/6</t>
  </si>
  <si>
    <t>moderateYellowishGreen</t>
  </si>
  <si>
    <t>Moderate Yellowish Green</t>
  </si>
  <si>
    <t>Hue: 10GY, Value/Chroma: 6/4</t>
  </si>
  <si>
    <t>paleGrayishGreen</t>
  </si>
  <si>
    <t>Pale Grayish Green</t>
  </si>
  <si>
    <t>Hue: 10G, Value/Chroma: 6/2</t>
  </si>
  <si>
    <t>paleGreen</t>
  </si>
  <si>
    <t>Pale Green</t>
  </si>
  <si>
    <t>Hue: 5G, Value/Chroma: 7/2</t>
  </si>
  <si>
    <t>paleGreenishYellow</t>
  </si>
  <si>
    <t>Pale Greenish Yellow</t>
  </si>
  <si>
    <t>Hue: 10Y, Value/Chroma: 8/2</t>
  </si>
  <si>
    <t>paleOlive</t>
  </si>
  <si>
    <t>Pale Olive</t>
  </si>
  <si>
    <t>Hue: 10Y, Value/Chroma: 6/2</t>
  </si>
  <si>
    <t>palePink</t>
  </si>
  <si>
    <t>Pale Pink</t>
  </si>
  <si>
    <t>Hue: 5RP, Value/Chroma: 8/2</t>
  </si>
  <si>
    <t>palePurple</t>
  </si>
  <si>
    <t>Pale Purple</t>
  </si>
  <si>
    <t>Hue: 5P, Value/Chroma: 6/2</t>
  </si>
  <si>
    <t>paleRed</t>
  </si>
  <si>
    <t>Pale Red</t>
  </si>
  <si>
    <t>Hue: 10R, Value/Chroma: 6/2</t>
  </si>
  <si>
    <t>paleRedPurple</t>
  </si>
  <si>
    <t>Pale Red Purple</t>
  </si>
  <si>
    <t>Hue: 5RP, Value/Chroma: 6/2</t>
  </si>
  <si>
    <t>paleReddishBrown</t>
  </si>
  <si>
    <t>Pale Reddish Brown</t>
  </si>
  <si>
    <t>Hue: 10R, Value/Chroma: 5/4</t>
  </si>
  <si>
    <t>paleYellowishGreen</t>
  </si>
  <si>
    <t>Pale Yellowish Green</t>
  </si>
  <si>
    <t>Hue: 10GY, Value/Chroma: 7/2</t>
  </si>
  <si>
    <t>veryDarkRed</t>
  </si>
  <si>
    <t>Very Dark Red</t>
  </si>
  <si>
    <t>Hue: 5R, Value/Chroma: 2/6</t>
  </si>
  <si>
    <t>veryDuskyPurple</t>
  </si>
  <si>
    <t>Very Dusky Purple</t>
  </si>
  <si>
    <t>Hue: 5P, Value/Chroma: 2/2</t>
  </si>
  <si>
    <t>veryDuskyRed</t>
  </si>
  <si>
    <t>Very Dusky Red</t>
  </si>
  <si>
    <t>Hue: 10R, Value/Chroma: 2/2</t>
  </si>
  <si>
    <t>veryDuskyRedPurple</t>
  </si>
  <si>
    <t>Very Dusky Red Purple</t>
  </si>
  <si>
    <t>Hue: 5RP, Value/Chroma: 2/2</t>
  </si>
  <si>
    <t>veryPaleGreen</t>
  </si>
  <si>
    <t>Very Pale Green</t>
  </si>
  <si>
    <t>Hue: 10G, Value/Chroma: 8/2</t>
  </si>
  <si>
    <t>Hue: N, Value/Chroma: 9/0</t>
  </si>
  <si>
    <t>bomisPoint</t>
  </si>
  <si>
    <t>Bottom-mounted Instrumentation System (BOMIS) Point</t>
  </si>
  <si>
    <t>An established point on a waterbody floor at which a platform to deploy measurement instrumentation is located.</t>
  </si>
  <si>
    <t>BOMIS platforms are used to measure waterbody characteristics such as wave and water resource information. BOMIS points may be used as a calibration points for both platform-mounted and ship-mounted instrumentation.</t>
  </si>
  <si>
    <t>radarTargetPoint</t>
  </si>
  <si>
    <t>Radar Target Point</t>
  </si>
  <si>
    <t>An established point that is used to calibrate a radio detection and ranging (RADAR) system.</t>
  </si>
  <si>
    <t>sonarCalibrationPoint</t>
  </si>
  <si>
    <t>Sonar Calibration Point</t>
  </si>
  <si>
    <t>An established point at which a transducer is located and then used to calibrate an underwater sound navigation and ranging (SONAR) system.</t>
  </si>
  <si>
    <t>Sonar calibration points are usually located at a Fleet Operational Readiness Accuracy Check Site (FORACS).</t>
  </si>
  <si>
    <t>sonarTargetPoint</t>
  </si>
  <si>
    <t>Sonar Target Point</t>
  </si>
  <si>
    <t>An established point that is used to calibrate an underwater sound navigation and ranging (SONAR) system.</t>
  </si>
  <si>
    <t>underwaterAcousticPhonePt</t>
  </si>
  <si>
    <t>Underwater Acoustic Telephone Point</t>
  </si>
  <si>
    <t>An established point at which an acoustic telephone transducer is located.</t>
  </si>
  <si>
    <t>These fixed locations are used both for communications with an underwater vessel and for calibration of the communication equipment of underwater vessels.</t>
  </si>
  <si>
    <t>concentricRegular</t>
  </si>
  <si>
    <t>Concentric and Regular</t>
  </si>
  <si>
    <t>The main street pattern is a series of somewhat evenly spaced, increasingly large circles around a central point; side streets connecting to the circles tend to be unevenly spaced and to connect only a few of the circles instead of radiating out continuously from the center.</t>
  </si>
  <si>
    <t>contourConforming</t>
  </si>
  <si>
    <t>Contour Conforming</t>
  </si>
  <si>
    <t>The majority of the somewhat evenly spaced streets follow the contour of the land, staying near the same elevation throughout.</t>
  </si>
  <si>
    <t>Usually found in urban areas on steep slopes where a few steep and sharply twisting side streets connect the paralleling contour streets.</t>
  </si>
  <si>
    <t>Regular Contouring</t>
  </si>
  <si>
    <t>contouringButIrregular</t>
  </si>
  <si>
    <t>Contouring but Irregular</t>
  </si>
  <si>
    <t>The majority of the streets follow the contour of the land, staying near the same elevation throughout, however they are unevenly or widely spaced from each other.</t>
  </si>
  <si>
    <t>Irregular Contouring</t>
  </si>
  <si>
    <t>curvilinear</t>
  </si>
  <si>
    <t>Curvilinear</t>
  </si>
  <si>
    <t>The streets follow a planned pattern of curves and irregularities designed to discourage through traffic and ensure increased privacy.</t>
  </si>
  <si>
    <t>Usually only found in residential neighborhoods.</t>
  </si>
  <si>
    <t>Cluster, Irregular Modern</t>
  </si>
  <si>
    <t>irregularCanals</t>
  </si>
  <si>
    <t>Irregular Canals</t>
  </si>
  <si>
    <t>The main thoroughfare areas are a series of irregularly organized unevenly spaced canals.</t>
  </si>
  <si>
    <t>There is a single main street perhaps with a short paralleling side street, or it stretches out in both directions along two main intersecting roads (in outline configured as a cross).</t>
  </si>
  <si>
    <t>Sometimes referred to a strip development and common on the edge of expanding urban areas or in rural areas where the main thoroughfare or intersecting roads are the only ones paved or otherwise improved.</t>
  </si>
  <si>
    <t>Strip</t>
  </si>
  <si>
    <t>medievalAndIrregular</t>
  </si>
  <si>
    <t>Medieval and Irregular</t>
  </si>
  <si>
    <t>The streets extend in an irregular pattern from the center reflecting the historic pattern of development, often centred by a church or fortress.</t>
  </si>
  <si>
    <t>Usually found in the center of older urban areas.</t>
  </si>
  <si>
    <t>Preindustrial and Irregular</t>
  </si>
  <si>
    <t>mixedRadialCurvilinear</t>
  </si>
  <si>
    <t>Mixed Radial and Curvilinear</t>
  </si>
  <si>
    <t>The streets follow a mix of radial and curvilinear patterns.</t>
  </si>
  <si>
    <t>mixedRectCurvilinear</t>
  </si>
  <si>
    <t>Mixed Rectangular and Curvilinear</t>
  </si>
  <si>
    <t>The streets follow a mix of rectangular and curvilinear patterns.</t>
  </si>
  <si>
    <t>mixedRectangularRadial</t>
  </si>
  <si>
    <t>Mixed Rectangular and Radial</t>
  </si>
  <si>
    <t>The streets follow a mix of rectangular and radial patterns.</t>
  </si>
  <si>
    <t>radialRegular</t>
  </si>
  <si>
    <t>Radial and Regular</t>
  </si>
  <si>
    <t>The streets tend to radiate out from a central point in a somewhat evenly spaced pattern in all directions similar to the spokes of a wheel; side streets connecting to the radials tend to be unevenly spaced and to connect only a few of the radials instead of going completely around.</t>
  </si>
  <si>
    <t>radialButIrregular</t>
  </si>
  <si>
    <t>Radial but Irregular</t>
  </si>
  <si>
    <t>The streets tend to radiate out from a central point in an unevenly spaced pattern in all directions similar to the spokes of a wheel; side streets connecting to the radials tend to be unevenly spaced and to connect only a few of the radials instead of going completely around.</t>
  </si>
  <si>
    <t>rectangularRegular</t>
  </si>
  <si>
    <t>Rectangular and Regular</t>
  </si>
  <si>
    <t>The streets form an intersecting grid pattern of approximately regularly spaced lines at right angles to each other.</t>
  </si>
  <si>
    <t>Regular Grid</t>
  </si>
  <si>
    <t>rectangularButIrregular</t>
  </si>
  <si>
    <t>Rectangular but Irregular</t>
  </si>
  <si>
    <t>The streets form a discontinuous intersecting grid pattern of approximately regularly spaced lines at right angles to each other.</t>
  </si>
  <si>
    <t>Street discontinuities are often created to form small urban parks, or to discourage through-traffic in a residential neighborhood; the consequence is blocky irregularities in the overall pattern.</t>
  </si>
  <si>
    <t>Irregular Grid</t>
  </si>
  <si>
    <t>regularCanals</t>
  </si>
  <si>
    <t>Regular Canals</t>
  </si>
  <si>
    <t>The main thoroughfare areas are a series of regularly spaced canals, similar to the regular street pattern.</t>
  </si>
  <si>
    <t>deliverableContainer</t>
  </si>
  <si>
    <t>Deliverable Container</t>
  </si>
  <si>
    <t>A substantial closed container that is delivered to a site for do-it-yourself moving and/or storage purposes.</t>
  </si>
  <si>
    <t>It is generally smaller and significantly less durable than an ISO-conformant container but otherwise shares many of its design elements and uses.</t>
  </si>
  <si>
    <t>dumpster</t>
  </si>
  <si>
    <t>Dumpster</t>
  </si>
  <si>
    <t>A large moveable waste receptacle that is designed to be mechanically lifted and emptied into a waste pick-up truck.</t>
  </si>
  <si>
    <t>isoContainer</t>
  </si>
  <si>
    <t>ISO Container</t>
  </si>
  <si>
    <t>A durable, closed storage container with specific dimensional and structural characteristics as specified by International Organization for Standardization (ISO) 1496 (multi-part).</t>
  </si>
  <si>
    <t>The most widely used type of ISO container is the general purpose (dry cargo) container having a nominal length and height of either 20 x 8.5 feet, 40 x 8.5 feet, or 40 x 9.5 feet (termed a 'high cube').</t>
  </si>
  <si>
    <t>rollOffDumpster</t>
  </si>
  <si>
    <t>Roll-off Dumpster</t>
  </si>
  <si>
    <t>A large moveable waste receptacle that is rolled on or off of a specialized truck.</t>
  </si>
  <si>
    <t>It is delivered to the work site where it is left to be filled, and then is taken away from the site when full.</t>
  </si>
  <si>
    <t>tankContainer</t>
  </si>
  <si>
    <t>Tank Container</t>
  </si>
  <si>
    <t>A specialized type of container that is designed to hold bulk liquids or gases.</t>
  </si>
  <si>
    <t>The tank may be held within a box-shaped frame in order to provide for enhanced ability to be transported and/or stacked.</t>
  </si>
  <si>
    <t>breakwater</t>
  </si>
  <si>
    <t>Breakwater</t>
  </si>
  <si>
    <t>A structure that protects a waterbody region (for example: a shore, a harbour, and/or an anchorage) from water waves by preventing them from reaching the protected region or reducing their magnitude.</t>
  </si>
  <si>
    <t>groin</t>
  </si>
  <si>
    <t>Groin</t>
  </si>
  <si>
    <t>A low artificial wall-like structure of durable material extending from the land to seaward for a particular purpose, such as to prevent coast erosion.</t>
  </si>
  <si>
    <t>A form of breakwater alongside which vessels may lie on the sheltered side only.</t>
  </si>
  <si>
    <t>In some cases it may lie entirely within an artificial harbour, permitting vessels to lie along both sides.</t>
  </si>
  <si>
    <t>pier</t>
  </si>
  <si>
    <t>Pier</t>
  </si>
  <si>
    <t>A long, narrow structure extending into the water to afford a berthing place for vessels.</t>
  </si>
  <si>
    <t>May also serve as a promenade.</t>
  </si>
  <si>
    <t>Jetty</t>
  </si>
  <si>
    <t>promenade</t>
  </si>
  <si>
    <t>Promenade</t>
  </si>
  <si>
    <t>A paved public walk along a sea-front.</t>
  </si>
  <si>
    <t>May include piers and/or boardwalks, and usually located at a resort.</t>
  </si>
  <si>
    <t>quay</t>
  </si>
  <si>
    <t>Quay</t>
  </si>
  <si>
    <t>A wharf approximately parallel to the shoreline and accommodating ships on one side only, the other side being attached to the shore.</t>
  </si>
  <si>
    <t>It is usually of solid construction, as contrasted with the open pile construction usually used for piers.</t>
  </si>
  <si>
    <t>recreationalPier</t>
  </si>
  <si>
    <t>Recreational Pier</t>
  </si>
  <si>
    <t>A structure extending into the water used as a platform for recreational purposes and not intended as a berthing place for vessels.</t>
  </si>
  <si>
    <t>For example, a fishing pier or a promenade pier.</t>
  </si>
  <si>
    <t>marineRevetment</t>
  </si>
  <si>
    <t>Revetment (Marine)</t>
  </si>
  <si>
    <t>A facing of stone or other material placed along the edge of a waterbody (for example: a river, a canal, or a shoreline) to stabilize the bank and to protect it from the erosive action of the water.</t>
  </si>
  <si>
    <t>The facing presents a relatively smooth face to the water flow and is typically a substantial, permanent, engineering construction.</t>
  </si>
  <si>
    <t>ripRap</t>
  </si>
  <si>
    <t>Riprap</t>
  </si>
  <si>
    <t>A layer of broken rock, cobbles, boulders, or fragments of sufficient size to resist the erosive forces of flowing water and wave action.</t>
  </si>
  <si>
    <t>The materials are typically poured into place, with little if any internal structure, resulting in a loose irregular surface that may need to be refreshed over time.</t>
  </si>
  <si>
    <t>Rip-rap</t>
  </si>
  <si>
    <t>seawall</t>
  </si>
  <si>
    <t>Seawall</t>
  </si>
  <si>
    <t>An embankment or wall for protection against waves or tidal action along a shore or water front.</t>
  </si>
  <si>
    <t>trainingWall</t>
  </si>
  <si>
    <t>Training Wall</t>
  </si>
  <si>
    <t>A wall, bank or jetty often submerged, built to direct or confine the flow of a river or tidal current or to promote scour actions.</t>
  </si>
  <si>
    <t>wharf</t>
  </si>
  <si>
    <t>Wharf</t>
  </si>
  <si>
    <t>A structure serving as a berthing place for vessels.</t>
  </si>
  <si>
    <t>logRamp</t>
  </si>
  <si>
    <t>Log Ramp</t>
  </si>
  <si>
    <t>An inclined plane used to dump logs into the water for transport, or to haul logs out of the water for processing.</t>
  </si>
  <si>
    <t>marineRamp</t>
  </si>
  <si>
    <t>Marine Ramp</t>
  </si>
  <si>
    <t>slipway</t>
  </si>
  <si>
    <t>Slipway</t>
  </si>
  <si>
    <t>The prepared and usually reinforced inclined surface on which keel- and bilge-blocks are laid for supporting a vessel under construction.</t>
  </si>
  <si>
    <t>Rails associated with a slipway are usually represented separately, for example as a marine railway.</t>
  </si>
  <si>
    <t>buildingRubble</t>
  </si>
  <si>
    <t>Building Rubble</t>
  </si>
  <si>
    <t>Made up of the debris (for example: waste fragments of masonry) of decayed or demolished buildings and/or other structures.</t>
  </si>
  <si>
    <t>Faced by a reef, often of large extent, composed chiefly of coral and its derivatives.</t>
  </si>
  <si>
    <t>erosionRubble</t>
  </si>
  <si>
    <t>Erosion Rubble</t>
  </si>
  <si>
    <t>Made up of material weathered or eroded from a rocky coast, usually collected at the base of a cliff.</t>
  </si>
  <si>
    <t>Associated with landslides and coastal erosion. There will be an irregular jagged line produced by the rubble and coastal water interface.</t>
  </si>
  <si>
    <t>Faced by a vertical cliff forming the seaward edge of an ice shelf, ranging in height from 2 metres to 50 metres or more above sea level.</t>
  </si>
  <si>
    <t>mangrove</t>
  </si>
  <si>
    <t>Mangrove</t>
  </si>
  <si>
    <t>Covered by one of several genera of tropical trees (for example: mangrove or nipa) or shrubs that produce many prop roots and grow along low-lying banks into shallow water.</t>
  </si>
  <si>
    <t>marshy</t>
  </si>
  <si>
    <t>Marshy</t>
  </si>
  <si>
    <t>Made up of spongy land saturated with water.</t>
  </si>
  <si>
    <t>It may have a shallow covering of water, usually with a considerable amount of vegetation appearing above the surface.</t>
  </si>
  <si>
    <t>Made up of soft wet soil, sand, dust, and/or other earthy matter.</t>
  </si>
  <si>
    <t>Made up of sand, loose material consisting of small but easily distinguishable, separate grains, between 0.0625 and 2.000 millimetres in diameter.</t>
  </si>
  <si>
    <t>shingly</t>
  </si>
  <si>
    <t>Shingly</t>
  </si>
  <si>
    <t>Made up of rounded, often flat waterworn rock fragments larger than approximately 16 millimetres in diameter.</t>
  </si>
  <si>
    <t>stony</t>
  </si>
  <si>
    <t>Stony</t>
  </si>
  <si>
    <t>Made up of rock and rock fragments ranging in size from pebbles and gravel to boulders or large rock masses.</t>
  </si>
  <si>
    <t>The first reporting point, determined by reference to a significant point, over which an aircraft passes or is expected to pass upon entering an airspace.</t>
  </si>
  <si>
    <t>entryExitPoint</t>
  </si>
  <si>
    <t>Entry/Exit Point</t>
  </si>
  <si>
    <t>The first or the last reporting point, determined by reference to a significant point, over which an aircraft passes or is expected to pass upon entering or before leaving an airspace.</t>
  </si>
  <si>
    <t>The last reporting point, determined by reference to a significant point, over which an aircraft passes or is expected to pass before leaving an airspace.</t>
  </si>
  <si>
    <t>border</t>
  </si>
  <si>
    <t>Border</t>
  </si>
  <si>
    <t>Situated on the border of the airspace.</t>
  </si>
  <si>
    <t>in</t>
  </si>
  <si>
    <t>In</t>
  </si>
  <si>
    <t>Situated in the airspace.</t>
  </si>
  <si>
    <t>out</t>
  </si>
  <si>
    <t>Out</t>
  </si>
  <si>
    <t>Situated outside the airspace.</t>
  </si>
  <si>
    <t>The wrecked vessel was sunk by the hostile action of an aircraft.</t>
  </si>
  <si>
    <t>explosiveMine</t>
  </si>
  <si>
    <t>Explosive Mine</t>
  </si>
  <si>
    <t>The wrecked vessel was sunk by encountering an explosive mine.</t>
  </si>
  <si>
    <t>marineCasualty</t>
  </si>
  <si>
    <t>Marine Casualty</t>
  </si>
  <si>
    <t>The wrecked vessel was sunk by accidental means.</t>
  </si>
  <si>
    <t>ordnanceExerciseTarget</t>
  </si>
  <si>
    <t>Ordnance Exercise Target</t>
  </si>
  <si>
    <t>The wrecked vessel was sunk during the course of ordnance testing or firing practice.</t>
  </si>
  <si>
    <t>scuttled</t>
  </si>
  <si>
    <t>Scuttled</t>
  </si>
  <si>
    <t>The wrecked vessel was deliberately sunk by actions of its own crew.</t>
  </si>
  <si>
    <t>shoreBasedGunfire</t>
  </si>
  <si>
    <t>Shore-based Gunfire</t>
  </si>
  <si>
    <t>The wrecked vessel was sunk by gunfire directed from hostile land based artillery.</t>
  </si>
  <si>
    <t>submarine</t>
  </si>
  <si>
    <t>Submarine</t>
  </si>
  <si>
    <t>The wrecked vessel was sunk by the hostile action of submarine(s).</t>
  </si>
  <si>
    <t>surfaceCraft</t>
  </si>
  <si>
    <t>Surface Craft</t>
  </si>
  <si>
    <t>The wrecked vessel was sunk by the hostile action of surface vessel(s).</t>
  </si>
  <si>
    <t>undefinedEnemyAction</t>
  </si>
  <si>
    <t>Undefined Enemy Action</t>
  </si>
  <si>
    <t>The wrecked vessel was sunk by enemy action(s) not specified or unknown.</t>
  </si>
  <si>
    <t>fatClay</t>
  </si>
  <si>
    <t>CH: Fat Clay</t>
  </si>
  <si>
    <t>Inorganic clays of high plasticity.</t>
  </si>
  <si>
    <t>leanClay</t>
  </si>
  <si>
    <t>CL: Lean Clay</t>
  </si>
  <si>
    <t>Inorganic clays of low to medium plasticity, gravelly clays, sandy clays, silty clays.</t>
  </si>
  <si>
    <t>Sedimentary salt deposits left after the evaporation of a body of water.</t>
  </si>
  <si>
    <t>clayeyGravel</t>
  </si>
  <si>
    <t>GC: Clayey Gravel</t>
  </si>
  <si>
    <t>Clayey gravels and/or gravel-sand-clay mixtures.</t>
  </si>
  <si>
    <t>siltyGravelSand</t>
  </si>
  <si>
    <t>GM: Silty Gravel Sand</t>
  </si>
  <si>
    <t>Silty gravels and/or gravel-sand-silt mixtures.</t>
  </si>
  <si>
    <t>poorlyGradedGravel</t>
  </si>
  <si>
    <t>GP: Poorly-graded Gravel</t>
  </si>
  <si>
    <t>Poorly-graded gravels and/or gravel-sand mixtures, with little or no fines.</t>
  </si>
  <si>
    <t>wellGradedGravel</t>
  </si>
  <si>
    <t>GW: Well-graded Gravel</t>
  </si>
  <si>
    <t>Well-graded gravels and/or gravel-sand mixtures, with little or no fines.</t>
  </si>
  <si>
    <t>micraceous</t>
  </si>
  <si>
    <t>MH: Micraceous</t>
  </si>
  <si>
    <t>Micaceous or diatomaceous inorganic silts.</t>
  </si>
  <si>
    <t>siltAndFineSand</t>
  </si>
  <si>
    <t>ML: Silt and Fine Sand</t>
  </si>
  <si>
    <t>Inorganic silts and very fine sands, rock floor, silty or clayey fine sands or clayey with slight plasticity.</t>
  </si>
  <si>
    <t>siltFineSandLeanClay</t>
  </si>
  <si>
    <t>ML-CL: Silt, Fine Sand and Lean Clay</t>
  </si>
  <si>
    <t>Having both ML (inorganic silts and very fine sands, rock floor, silty or clayey fine sands or clayey with slight plasticity) and CL (inorganic clays of low to medium plasticity, gravelly clays, sandy clays, silty clays) characteristics.</t>
  </si>
  <si>
    <t>notEvaluated</t>
  </si>
  <si>
    <t>Not Evaluated</t>
  </si>
  <si>
    <t>The soil was not evaluated.</t>
  </si>
  <si>
    <t>organicClay</t>
  </si>
  <si>
    <t>OH: Organic Clay</t>
  </si>
  <si>
    <t>Organic clays of medium to high plasticity and/or organic silts.</t>
  </si>
  <si>
    <t>organicSiltandClay</t>
  </si>
  <si>
    <t>OL: Organic Silt and Clay</t>
  </si>
  <si>
    <t>Organic silts and organic silty clays.</t>
  </si>
  <si>
    <t>PT: Peat</t>
  </si>
  <si>
    <t>Peat and other highly organic soils.</t>
  </si>
  <si>
    <t>clayeySand</t>
  </si>
  <si>
    <t>SC: Clayey Sand</t>
  </si>
  <si>
    <t>Clayey sands and/or sand-clay mixtures.</t>
  </si>
  <si>
    <t>siltySand</t>
  </si>
  <si>
    <t>SM: Silty Sand</t>
  </si>
  <si>
    <t>Silty sands and/or sand-silt mixtures.</t>
  </si>
  <si>
    <t>poorlyGradedSand</t>
  </si>
  <si>
    <t>SP: Poorly-graded Sand</t>
  </si>
  <si>
    <t>Poorly graded sands and/or gravelly sands, with little or no fines.</t>
  </si>
  <si>
    <t>wellGradedSand</t>
  </si>
  <si>
    <t>SW: Well-graded Sand</t>
  </si>
  <si>
    <t>Well-graded sand and/or gravelly sands, with little or no fines.</t>
  </si>
  <si>
    <t>Well-graded Gravel (GW), Poorly-graded Gravel (GP), Well-graded Sand (SW), and/or Poorly-graded Sand (SP).</t>
  </si>
  <si>
    <t>Inorganic clays of high plasticity (CH).</t>
  </si>
  <si>
    <t>c</t>
  </si>
  <si>
    <t>C</t>
  </si>
  <si>
    <t>Clayey Gravel (GC), Clayey Sand (SC), and/or Lean Clay (CL).</t>
  </si>
  <si>
    <t>d</t>
  </si>
  <si>
    <t>Silty Gravel Sand (GM), Silty Sand (SM), Silt and Fine Sand (ML), Silt, Fine Sand and Lean Clay (ML-CL), Micaceous (MH), Organic Silt and Clay (OL), and/or Organic Clay (OH).</t>
  </si>
  <si>
    <t>e</t>
  </si>
  <si>
    <t>E</t>
  </si>
  <si>
    <t>Peat and other highly organic soils (PT).</t>
  </si>
  <si>
    <t>x</t>
  </si>
  <si>
    <t>X</t>
  </si>
  <si>
    <t>normallyDry</t>
  </si>
  <si>
    <t>Normally Dry</t>
  </si>
  <si>
    <t>The soil moisture content is normally less than the field capacity.</t>
  </si>
  <si>
    <t>The field capacity is the amount of water held in the soil after excess gravitational or free water has drained away or moved out of the upper horizons (usually two or three days after a soaking rain). Dry soils are well drained and exhibit good to moderate internal and external drainage characteristics without any influence from impervious pans, cemented layers, or other soil horizons restricting free water movement within the soil. Dry soils do not have physical indications of saturation by water, such as strongly mottled and gleyed soil horizons, nor do they have water tables within 1.2 metres of the surface. Dry soils usually occupy upland positions in the landscape (for example: on ridges and/or upper slopes) where the depth to the water table is more than 1.2 metres. However, dry soils can also exist in many other landscape positions such as terrace slopes, upland toe slopes, upland flats, terrace flats, and flood plains that have well drained soil moisture conditions.</t>
  </si>
  <si>
    <t>normallyFrozen</t>
  </si>
  <si>
    <t>Normally Frozen</t>
  </si>
  <si>
    <t>The soil is normally frozen, often permanently (for example: Arctic tundra with permafrost).</t>
  </si>
  <si>
    <t>normallyMoist</t>
  </si>
  <si>
    <t>Normally Moist</t>
  </si>
  <si>
    <t>The soil moisture content is normally greater than or equal to field capacity but less than the soil moisture content at the liquid limit.</t>
  </si>
  <si>
    <t>At the liquid limit the soil is fully saturated and all soil pores contain water; this usually occurs at about 150 percent of field capacity. Soils in a moist state commonly have mottled and grayish or bluish horizons that as indicative of poor drainage wherein the water table is usually within 0.3 to 1.2 metres from the surface. The more mottled and gray the subsoil, the poorer the soil drainage. The more intense the mottles and the closer they are to the soil surface, the longer the period of saturation or the higher the water table. Moist soils generally occupy low-lying and concave or depressed positions in the landscape where the water table is found at a depth of 0.3 meter to 1.2 metres from the surface. These topographic sites are not only more susceptible to accumulating soil moisture after a precipitation event, but they also subsequently retain this moisture longer than other topographic positions in the landscape that have received equal amounts of precipitation. These sites can occur at the base of slopes, in upland depressions, and on some floodplains, low terraces, or other low-lying land along watercourses. Moist conditions can also exist in upland flats and other level areas that have soils with poor internal or external drainage, or in soils with impervious pans or cemented layers that restrict percolation and cause perched water tables. In additions, soils influenced by seepage can also exhibit moist soil conditions.</t>
  </si>
  <si>
    <t>normallyWet</t>
  </si>
  <si>
    <t>Normally Wet</t>
  </si>
  <si>
    <t>The soil moisture content ranges from the soil's liquid limit to its maximum water holding capacity, which approaches complete saturation.</t>
  </si>
  <si>
    <t>At complete saturation all soil pores contain water and is equal to approximately 200 percent of field capacity. A soil in a wet condition commonly has free standing water at or near the soil surface. Areas exhibiting wet soil conditions are commonly waterlogged or flooded at least part of the year, and have water tables within 0.3 metres of the surface throughout most of the year. Soils in a wet condition are commonly found in swamps, marshes, bogs, and other low-lying, perennially wet areas. Wet soils can also exist seasonally in level to nearly level upland flats with poor internal drainage or shallow, restrictive pans or impervious layers, or in sloping areas with soils that have very poor internals drainage, are affected by seepage, or both. Wet soils will bind easily and may form a 'muddy' or 'wet' ball when squeezed in the hand.</t>
  </si>
  <si>
    <t>approxLowestAstronomTide</t>
  </si>
  <si>
    <t>Approximate Lowest Astronomical Tide</t>
  </si>
  <si>
    <t>An approximate level, usually within 0.3 metres from that of lowest astronomical tide.</t>
  </si>
  <si>
    <t>approxMeanLowWater</t>
  </si>
  <si>
    <t>Approximate Mean Low Water</t>
  </si>
  <si>
    <t>An approximate level, usually within 0.3 metres from that of mean low water.</t>
  </si>
  <si>
    <t>approxMeanLowWaterSprings</t>
  </si>
  <si>
    <t>Approximate Mean Low Water Springs</t>
  </si>
  <si>
    <t>An approximate level, usually within 0.3 metres from that of mean low water springs.</t>
  </si>
  <si>
    <t>approxMeanLowerLowWater</t>
  </si>
  <si>
    <t>Approximate Mean Lower Low Water</t>
  </si>
  <si>
    <t>An approximate level, usually within 0.3 metres from that of mean lower low water.</t>
  </si>
  <si>
    <t>approxMeanSeaLevel</t>
  </si>
  <si>
    <t>Approximate Mean Sea Level</t>
  </si>
  <si>
    <t>An approximate level, usually within 0.3 metres from that of mean sea level.</t>
  </si>
  <si>
    <t>chartDatumUnspecified</t>
  </si>
  <si>
    <t>Chart Datum (Unspecified)</t>
  </si>
  <si>
    <t>The chart datum is unspecified.</t>
  </si>
  <si>
    <t>equinoctialSpringLowWater</t>
  </si>
  <si>
    <t>Equinoctial Spring Low Water</t>
  </si>
  <si>
    <t>The level of low water springs near the time of an equinox.</t>
  </si>
  <si>
    <t>highWater</t>
  </si>
  <si>
    <t>High Water</t>
  </si>
  <si>
    <t>The highest level reached at a location by the water surface in one tidal cycle.</t>
  </si>
  <si>
    <t>When used on inland waters it is generally defined as a level that the daily mean water level exceeds less than 5 percent of the time.</t>
  </si>
  <si>
    <t>HW</t>
  </si>
  <si>
    <t>highWaterSprings</t>
  </si>
  <si>
    <t>High Water Springs</t>
  </si>
  <si>
    <t>An arbitrary level, approximating that of mean high water springs.</t>
  </si>
  <si>
    <t>higherHighWater</t>
  </si>
  <si>
    <t>Higher High Water</t>
  </si>
  <si>
    <t>The highest of the high waters (or single high water) of any specified tidal day due to the declination A1 effects of the moon and sun.</t>
  </si>
  <si>
    <t>HHW</t>
  </si>
  <si>
    <t>higherHighWaterLargeTide</t>
  </si>
  <si>
    <t>Higher High Water Large Tide</t>
  </si>
  <si>
    <t>The average of the highest high waters, one from each of 19 years of observations.</t>
  </si>
  <si>
    <t>HHWLT</t>
  </si>
  <si>
    <t>highestAstronomicalTide</t>
  </si>
  <si>
    <t>Highest Astronomical Tide</t>
  </si>
  <si>
    <t>The highest tidal level, which can be predicted to occur under average meteorological conditions and under any combination of astronomical conditions.</t>
  </si>
  <si>
    <t>This tidal datum approximates the highest water level observed at a location and is usually above that of the higher high water at spring tides.</t>
  </si>
  <si>
    <t>indianSpringLowWater</t>
  </si>
  <si>
    <t>Indian Spring Low Water</t>
  </si>
  <si>
    <t>A tidal surface datum approximating the level of the mean of the lower low water at spring tides.</t>
  </si>
  <si>
    <t>This tidal datum approximates the lowest water level observed at a location and is usually below that of the lower low water at spring tides.</t>
  </si>
  <si>
    <t>Indian Tidal Plane, ISLW</t>
  </si>
  <si>
    <t>igld1985</t>
  </si>
  <si>
    <t>International Great Lakes Datum 1985</t>
  </si>
  <si>
    <t>A vertical reference system with its zero based on the mean water level at Rimouski/Pointe-au-Père, Quebec, over the period 1970 to 1988.</t>
  </si>
  <si>
    <t>localDatum</t>
  </si>
  <si>
    <t>Local Datum</t>
  </si>
  <si>
    <t>An arbitrary datum defined by an authority of a local harbour, from which levels and tidal heights are measured by that authority.</t>
  </si>
  <si>
    <t>lowWater</t>
  </si>
  <si>
    <t>Low Water</t>
  </si>
  <si>
    <t>An approximation of mean low water adopted as the reference level for a limited region, irrespective of better determinations later.</t>
  </si>
  <si>
    <t>Used mostly in harbour and river engineering. Used in inland waters. It is generally defined as a level which the daily mean water level would fall below less than 5 percent of the time and by no more than 0.2 metres during the navigation season. A single level surface is usually chosen as the low water datum for a whole lake. On a river, low water datum is a sloping surface, which approximates the surface of the river at a low state.</t>
  </si>
  <si>
    <t>LW</t>
  </si>
  <si>
    <t>lowWaterSprings</t>
  </si>
  <si>
    <t>Low Water Springs</t>
  </si>
  <si>
    <t>A level approximating that of mean low water springs.</t>
  </si>
  <si>
    <t>lowerLowWater</t>
  </si>
  <si>
    <t>Lower Low Water</t>
  </si>
  <si>
    <t>The lowest of the low waters (or single low water) of any specified tidal day due to the declination A1 effects of the moon and sun.</t>
  </si>
  <si>
    <t>LLW</t>
  </si>
  <si>
    <t>lowerLowWaterLargeTide</t>
  </si>
  <si>
    <t>Lower Low Water Large Tide</t>
  </si>
  <si>
    <t>The average of the lowest low waters, one from each of 19 years of observations.</t>
  </si>
  <si>
    <t>LLWLT</t>
  </si>
  <si>
    <t>lowestAstronomicalTide</t>
  </si>
  <si>
    <t>Lowest Astronomical Tide</t>
  </si>
  <si>
    <t>The lowest tide level that can be predicted to occur under average meteorological conditions and under any combination of astronomical conditions.</t>
  </si>
  <si>
    <t>LAT</t>
  </si>
  <si>
    <t>lowestLowWater</t>
  </si>
  <si>
    <t>Lowest Low Water</t>
  </si>
  <si>
    <t>An arbitrary level conforming to the lowest tide observed at a location, or somewhat lower.</t>
  </si>
  <si>
    <t>lowestLowWaterSprings</t>
  </si>
  <si>
    <t>Lowest Low Water Springs</t>
  </si>
  <si>
    <t>An arbitrary level conforming to the lowest water level observed at a location at spring tides during a period shorter than 19 years.</t>
  </si>
  <si>
    <t>MHW</t>
  </si>
  <si>
    <t>meanHighWaterNeaps</t>
  </si>
  <si>
    <t>Mean High Water Neaps</t>
  </si>
  <si>
    <t>The average height of the high waters of the neap tide.</t>
  </si>
  <si>
    <t>High Water Neaps, Neap High Water</t>
  </si>
  <si>
    <t>MHWS, Spring High Water</t>
  </si>
  <si>
    <t>MHHW</t>
  </si>
  <si>
    <t>meanLowWater</t>
  </si>
  <si>
    <t>Mean Low Water</t>
  </si>
  <si>
    <t>The average height of all low waters at a location over a 19-year period.</t>
  </si>
  <si>
    <t>MLW</t>
  </si>
  <si>
    <t>meanLowWaterNeaps</t>
  </si>
  <si>
    <t>Mean Low Water Neaps</t>
  </si>
  <si>
    <t>The average height of the low waters of the neap tide.</t>
  </si>
  <si>
    <t>Low Water Neaps, Neap Low Water</t>
  </si>
  <si>
    <t>meanLowWaterSprings</t>
  </si>
  <si>
    <t>Mean Low Water Springs</t>
  </si>
  <si>
    <t>The average height of the low waters of spring tides.</t>
  </si>
  <si>
    <t>MLWS, Spring Low Water</t>
  </si>
  <si>
    <t>meanLowerLowWater</t>
  </si>
  <si>
    <t>Mean Lower Low Water</t>
  </si>
  <si>
    <t>The average height of the lower low waters at a location over a 19-year period.</t>
  </si>
  <si>
    <t>MLLW</t>
  </si>
  <si>
    <t>meanLowerLowWaterSprings</t>
  </si>
  <si>
    <t>Mean Lower Low Water Springs</t>
  </si>
  <si>
    <t>The average height of lower low water at spring tides at a location.</t>
  </si>
  <si>
    <t>MLLWS</t>
  </si>
  <si>
    <t>Usually determined from hourly height readings, for all stages of the tide, over a 19-year period.</t>
  </si>
  <si>
    <t>meanTideLevel</t>
  </si>
  <si>
    <t>Mean Tide Level</t>
  </si>
  <si>
    <t>The arithmetic mean of mean high water and mean low water.</t>
  </si>
  <si>
    <t>Half-tide Level, HTL</t>
  </si>
  <si>
    <t>meanWaterLevel</t>
  </si>
  <si>
    <t>Mean Water Level</t>
  </si>
  <si>
    <t>The average of all hourly water levels over the available period of record.</t>
  </si>
  <si>
    <t>neapTide</t>
  </si>
  <si>
    <t>Neap Tide</t>
  </si>
  <si>
    <t>A tide of decreased range (or tidal currents of decreased speed) occurring semi-monthly as the result of the moon being in quadrature.</t>
  </si>
  <si>
    <t>The neap range of the tide is the average range occurring at the time of neap tides and is most conveniently computed from the harmonic constants. It is smaller than the mean range where the type of tide is either semi-diurnal or mixed and is of no practical significance where the type of tide is predominantly diurnal.</t>
  </si>
  <si>
    <t>nearlyHighestHighWater</t>
  </si>
  <si>
    <t>Nearly Highest High Water</t>
  </si>
  <si>
    <t>An arbitrary level approximating the highest water level observed at a location, usually equivalent to the high water springs.</t>
  </si>
  <si>
    <t>nearlyLowestLowWater</t>
  </si>
  <si>
    <t>Nearly Lowest Low Water</t>
  </si>
  <si>
    <t>A level approximating the lowest water level observed at a location, usually equivalent to Indian spring low water.</t>
  </si>
  <si>
    <t>springTide</t>
  </si>
  <si>
    <t>Spring Tide</t>
  </si>
  <si>
    <t>A tide of increased range (or tidal water currents of increased speed) occurring semi-monthly as the result of the moon being new or full.</t>
  </si>
  <si>
    <t>The spring range of tide is the average range occurring at the time of spring tides and is most conveniently computed from the harmonic constants. It is larger than the mean range where the type of tide is either semi-diurnal or mixed, and is of no practical significance where the type of tide is predominantly diurnal.</t>
  </si>
  <si>
    <t>deeper</t>
  </si>
  <si>
    <t>Deeper</t>
  </si>
  <si>
    <t>The depth is deeper than the maximum depth of the surrounding depth area.</t>
  </si>
  <si>
    <t>shallower</t>
  </si>
  <si>
    <t>Shallower</t>
  </si>
  <si>
    <t>The depth is shoaler than the minimum depth of the surrounding depth area.</t>
  </si>
  <si>
    <t>Shallower soundings could represent a potential danger for navigation.</t>
  </si>
  <si>
    <t>withinRange</t>
  </si>
  <si>
    <t>Within Range</t>
  </si>
  <si>
    <t>The depth corresponds to the depth range of the surrounding depth area.</t>
  </si>
  <si>
    <t>The depth is not shoaler than the minimum depth of the surrounding depth area or deeper than the maximum depth of the surrounding depth area.</t>
  </si>
  <si>
    <t>mathewsTables</t>
  </si>
  <si>
    <t>Mathews Tables</t>
  </si>
  <si>
    <t>Corrected through the use of Mathews Tables (NP 139).</t>
  </si>
  <si>
    <t>soundVelocityMeter</t>
  </si>
  <si>
    <t>Sound Velocity Meter</t>
  </si>
  <si>
    <t>Corrected through the use of a sound velocity meter (SVM) to determine actual conditions.</t>
  </si>
  <si>
    <t>sounder1500Calibrated</t>
  </si>
  <si>
    <t>Sounder 1500 Calibrated</t>
  </si>
  <si>
    <t>The echo sounder was calibrated at 1,500 metres per second and remained uncorrected for actual conditions.</t>
  </si>
  <si>
    <t>sounder4800Calibrated</t>
  </si>
  <si>
    <t>Sounder 4800 Calibrated</t>
  </si>
  <si>
    <t>The echo sounder was calibrated at 4,800 feet per second and remained uncorrected for actual conditions.</t>
  </si>
  <si>
    <t>4,800 feet per second equals 1,463.04 metres per second.</t>
  </si>
  <si>
    <t>sounderOtherCalibrated</t>
  </si>
  <si>
    <t>Sounder Other Calibrated</t>
  </si>
  <si>
    <t>Corrected by other means of calibration.</t>
  </si>
  <si>
    <t>bathymetricModelData</t>
  </si>
  <si>
    <t>Bathymetric Model Data</t>
  </si>
  <si>
    <t>Derived from mathematic modelling of bathymetric data.</t>
  </si>
  <si>
    <t>bathymetricSurveyData</t>
  </si>
  <si>
    <t>Bathymetric Survey Data</t>
  </si>
  <si>
    <t>Determined by a bathymetric survey.</t>
  </si>
  <si>
    <t>cartographicSource</t>
  </si>
  <si>
    <t>Cartographic Source</t>
  </si>
  <si>
    <t>Determined from cartographic information (for example: a map or a chart).</t>
  </si>
  <si>
    <t>hyperspectralImagery</t>
  </si>
  <si>
    <t>Hyperspectral Imagery</t>
  </si>
  <si>
    <t>Determined by analysis of hyperspectral imagery.</t>
  </si>
  <si>
    <t>landSurveyData</t>
  </si>
  <si>
    <t>Land Survey Data</t>
  </si>
  <si>
    <t>Determined by a land survey.</t>
  </si>
  <si>
    <t>monoscopicImagery</t>
  </si>
  <si>
    <t>Monoscopic Imagery</t>
  </si>
  <si>
    <t>Determined by analysis of monoscopic imagery.</t>
  </si>
  <si>
    <t>multispectralImagery</t>
  </si>
  <si>
    <t>Multispectral Imagery</t>
  </si>
  <si>
    <t>Determined by analysis of multispectral imagery.</t>
  </si>
  <si>
    <t>reportedInformation</t>
  </si>
  <si>
    <t>Reported Information</t>
  </si>
  <si>
    <t>Determined from reported information (for example: a field report or an intelligence estimate).</t>
  </si>
  <si>
    <t>stereoscopicImagery</t>
  </si>
  <si>
    <t>Stereoscopic Imagery</t>
  </si>
  <si>
    <t>Determined by analysis of stereoscopic imagery.</t>
  </si>
  <si>
    <t>sarImagery</t>
  </si>
  <si>
    <t>Synthetic Aperture Radar (SAR) Imagery</t>
  </si>
  <si>
    <t>Determined by analysis of synthetic aperture radar imagery.</t>
  </si>
  <si>
    <t>armyCorpsEngDistrict</t>
  </si>
  <si>
    <t>Army Corps of Engineers District</t>
  </si>
  <si>
    <t>An administrative district of the U.S. Army Corps of Engineers (USACE).</t>
  </si>
  <si>
    <t>It is defined by either watershed boundaries (for civil works projects) or political boundaries (for military projects). Provisional USACE Districts may be designated external to the U.S. and its territories; for example, the Afghanistan Engineer District.</t>
  </si>
  <si>
    <t>armyCorpsEngDivision</t>
  </si>
  <si>
    <t>Army Corps of Engineers Division</t>
  </si>
  <si>
    <t>A grouping of administrative districts of the U.S. Army Corps of Engineers (USACE).</t>
  </si>
  <si>
    <t>Provisional USACE Divisions may be designated external to the U.S. and its territories; for example, the Gulf Region Division (Iraq). Each USACE Division is under the authority of a USACE Division Commander.</t>
  </si>
  <si>
    <t>borderPatrolSector</t>
  </si>
  <si>
    <t>Border Patrol Sector</t>
  </si>
  <si>
    <t>A designated geographic region within which the U.S. Border Patrol provides law enforcement support to secure the land borders and coasts of the United States against illegal migration, including by deterrence as well as by apprehending and removing violators.</t>
  </si>
  <si>
    <t>A Border Patrol Sector may encompass multiple states (or territories), or it may be a subdivision of a state. Each Border Patrol Sector has a Headquarters, which is headed by a Sector Chief Patrol Agent, located within the Sector. Additional station offices provide support to sub-regions of the Sector.</t>
  </si>
  <si>
    <t>censusDistrict</t>
  </si>
  <si>
    <t>Census District</t>
  </si>
  <si>
    <t>An administrative district established by a national government for the purpose of taking a census.</t>
  </si>
  <si>
    <t>coastGuardSector</t>
  </si>
  <si>
    <t>Coast Guard Sector</t>
  </si>
  <si>
    <t>The geographic area of responsibility of an operational field command of the U.S. Coast Guard (USCG).</t>
  </si>
  <si>
    <t>USCG Sectors cover all U.S. States, territories, and possessions, including adjacent areas of the high seas. Sector Commands merge traditional USCG Groups, Marine Safety Offices (MSO) and Vessel Traffic Service (VTS) under one operational commander. The Sector Commander serves as the Captain of the Port (COTP), Federal Maritime Security Coordinator (FMSC) and unless otherwise delegated, the Officer in Charge Marine Inspections (OCMI), SAR Mission Coordinator (SMC) and Federal On-Scene Coordinator (FOSC).</t>
  </si>
  <si>
    <t>concessionArea</t>
  </si>
  <si>
    <t>Concession Area</t>
  </si>
  <si>
    <t>A lease of land by a national government to a private entity for the purpose of economic development (for example: mining or forestry).</t>
  </si>
  <si>
    <t>congressionalDistrict</t>
  </si>
  <si>
    <t>Congressional District</t>
  </si>
  <si>
    <t>An administrative district established by a national government, in which an electoral constituency resides that elects a single member of a congress.</t>
  </si>
  <si>
    <t>In the United States it is a territorial division of a state whose residents are entitled to elect one member to the United States House of Representatives. The division is based on population determined during a census conducted every ten years; the process of subsequently establishing the division is termed 'reapportionment'.</t>
  </si>
  <si>
    <t>A region established by a government specifically for economic development and/or for economic data collection and analysis purposes.</t>
  </si>
  <si>
    <t>envProtectionAgRegion</t>
  </si>
  <si>
    <t>Environmental Protection Agency Region</t>
  </si>
  <si>
    <t>An administrative district in the United States that is established by the Environmental Protection Agency (EPA).</t>
  </si>
  <si>
    <t>Within each region, decentralized EPA programs are administered by an EPA Regional Office. The mission of the EPA is to protect human health and to safeguard the natural environment (air, water and land).</t>
  </si>
  <si>
    <t>fbiFieldOffJurisdiction</t>
  </si>
  <si>
    <t>FBI Field Office Jurisdiction</t>
  </si>
  <si>
    <t>A territorial region that falls under the authority of a U.S. Federal Bureau of Investigation (FBI) Field Office.</t>
  </si>
  <si>
    <t>The FBI has field offices centrally located in major metropolitan areas across the U.S. and Puerto Rico. Each field office is overseen by a Special Agent in Charge, except the offices in Los Angeles, New York City, and Washington, D.C., which are managed by an Assistant Director in Charge due to their large size.</t>
  </si>
  <si>
    <t>fbiResidentAgDistrict</t>
  </si>
  <si>
    <t>FBI Resident Agency District</t>
  </si>
  <si>
    <t>A territorial region that is overseen by a U.S. Federal Bureau of Investigation (FBI) Resident Agency.</t>
  </si>
  <si>
    <t>It is a subdivision of an FBI Field Office Jurisdiction; the FBI Resident Agency operates as a satellite office of the FBI Field Office. Resident Agencies are maintained in smaller cities and towns across the nation.</t>
  </si>
  <si>
    <t>fedAviationAdminRegion</t>
  </si>
  <si>
    <t>Federal Aviation Administration Region</t>
  </si>
  <si>
    <t>An administrative district of the U.S. Federal Aviation Administration (FAA).</t>
  </si>
  <si>
    <t>Within each region, the FAA monitors and regulates the national airspace.</t>
  </si>
  <si>
    <t>fedEmergManageAgRegion</t>
  </si>
  <si>
    <t>Federal Emergency Management Agency Region</t>
  </si>
  <si>
    <t>An administrative district of the U.S. Federal Emergency Management Agency (FEMA).</t>
  </si>
  <si>
    <t>Within each region, decentralized FEMA programs are administered by a FEMA Regional Office. FEMA Regional Offices work directly with state, commonwealth, territory, local and tribal governments to plan for disasters and emergencies, develop mitigation programs, and meet needs when major disasters or emergencies occur.</t>
  </si>
  <si>
    <t>fedEnergyRegCommRegion</t>
  </si>
  <si>
    <t>Federal Energy Regulatory Commission Region</t>
  </si>
  <si>
    <t>An administrative district of the U.S. Federal Energy Regulatory Commission (FERC).</t>
  </si>
  <si>
    <t>Within each region, decentralized FERC Regional Offices regulate interstate transmission of natural gas, oil, and electricity. The FERC also reviews proposals to build liquefied natural gas (LNG) terminals and interstate natural gas pipelines as well as licenses hydropower projects.</t>
  </si>
  <si>
    <t>freeTradeZone</t>
  </si>
  <si>
    <t>Free Trade Zone</t>
  </si>
  <si>
    <t>An area established by a national government where goods may be received and shipped free of customs duty and of most customs regulations.</t>
  </si>
  <si>
    <t>Usually established as a section of a port.</t>
  </si>
  <si>
    <t>leaseArea</t>
  </si>
  <si>
    <t>Lease Area</t>
  </si>
  <si>
    <t>A lease of land by one national government to another.</t>
  </si>
  <si>
    <t>For example, as leased by the United Kingdom from the People's Republic of China to form part of Hong Kong.</t>
  </si>
  <si>
    <t>nativeAmericanReservation</t>
  </si>
  <si>
    <t>Native American Reservation</t>
  </si>
  <si>
    <t>A territorial region established by the United States government and managed by a Native American tribe in coordination with the Bureau of Indian Affairs of the U.S. Department of the Interior.</t>
  </si>
  <si>
    <t>postalDistrict</t>
  </si>
  <si>
    <t>Postal District</t>
  </si>
  <si>
    <t>An administrative district established by a national postal service to facilitate routing and delivery of mail.</t>
  </si>
  <si>
    <t>radAssistProgramRegion</t>
  </si>
  <si>
    <t>Radiological Assistance Program Region</t>
  </si>
  <si>
    <t>A territorial region designated under the Radiological Assistance Program (RAP) of the U.S. Department of Energy as a delivery area for resources and expertise in response to radiological emergencies.</t>
  </si>
  <si>
    <t>Services in each RAP Region are administered by a Regional Coordinating Office (RCO), whose RAP response teams may operate in their own Region or integrate with teams from other Regions.</t>
  </si>
  <si>
    <t>waterManagementDistrict</t>
  </si>
  <si>
    <t>Water Management District</t>
  </si>
  <si>
    <t>An administrative district established for the purpose of managing a public water supply.</t>
  </si>
  <si>
    <t>Its boundaries may align with one or more watersheds, but more commonly it is based on a politically-defined region aligned with the distribution of population and nearby water resources.</t>
  </si>
  <si>
    <t>deccaGreenSlave</t>
  </si>
  <si>
    <t>DECCA Green Slave</t>
  </si>
  <si>
    <t>One of the patterns in a set of hyperbolic lines of position - Green Slave station of a DECCA chain.</t>
  </si>
  <si>
    <t>deccaPurpleSlave</t>
  </si>
  <si>
    <t>DECCA Purple Slave</t>
  </si>
  <si>
    <t>One of the patterns in a set of hyperbolic lines of position - Purple Slave station of a DECCA chain.</t>
  </si>
  <si>
    <t>deccaRedSlave</t>
  </si>
  <si>
    <t>DECCA Red Slave</t>
  </si>
  <si>
    <t>One of the patterns in a set of hyperbolic lines of position - Red Slave station of a DECCA chain.</t>
  </si>
  <si>
    <t>loranSecondary</t>
  </si>
  <si>
    <t>LORAN Secondary</t>
  </si>
  <si>
    <t>Secondary station of a LORAN chain.</t>
  </si>
  <si>
    <t>See US Aeronautical Information Manual Section 1-1-15.</t>
  </si>
  <si>
    <t>master</t>
  </si>
  <si>
    <t>Master</t>
  </si>
  <si>
    <t>Master station of a LORAN or DECCA chain.</t>
  </si>
  <si>
    <t>decca</t>
  </si>
  <si>
    <t>DECCA</t>
  </si>
  <si>
    <t>A high accuracy, short- to medium-range radio navigation aid intended for coastal and landfall navigation.</t>
  </si>
  <si>
    <t>loranA</t>
  </si>
  <si>
    <t>LORAN-A</t>
  </si>
  <si>
    <t>Long range (area) navigation system 'A'.</t>
  </si>
  <si>
    <t>LORAN-C</t>
  </si>
  <si>
    <t>The LOng RAnge Navigation-C (LORAN) system is a hyperbolic, land-based navigation system operating in the 90 to 110 kHz frequency band.</t>
  </si>
  <si>
    <t>The stations may also be based on the water surface. Located in North America, operated by the United States Coast Guard. See US Aeronautical Information Manual Section 1-1-15.</t>
  </si>
  <si>
    <t>loranD</t>
  </si>
  <si>
    <t>LORAN-D</t>
  </si>
  <si>
    <t>Long range (area) navigation system 'D'.</t>
  </si>
  <si>
    <t>The use of the feature is an absolute and compulsory requirement.</t>
  </si>
  <si>
    <t>notMandatory</t>
  </si>
  <si>
    <t>Not Mandatory</t>
  </si>
  <si>
    <t>The use of the feature is not an absolute and compulsory requirement.</t>
  </si>
  <si>
    <t>notRecommended</t>
  </si>
  <si>
    <t>Not Recommended</t>
  </si>
  <si>
    <t>The feature may be used for valid reasons in particular circumstances when the behavior is acceptable or even useful, but the full implications should be understood before choosing to use it.</t>
  </si>
  <si>
    <t>The use of the feature may be ignored for valid reasons in particular circumstances, but the full implications must be understood and carefully weighed before choosing not to use it.</t>
  </si>
  <si>
    <t>reserved</t>
  </si>
  <si>
    <t>Reserved</t>
  </si>
  <si>
    <t>The use of the feature is not specified but its use may be set aside for future or special circumstances.</t>
  </si>
  <si>
    <t>byNoticeToAirmen</t>
  </si>
  <si>
    <t>By Notice to Airmen</t>
  </si>
  <si>
    <t>Available only when a current Notice to Airmen is published denoting so.</t>
  </si>
  <si>
    <t>byNoticeToMariner</t>
  </si>
  <si>
    <t>By Notice to Mariner</t>
  </si>
  <si>
    <t>Available only when a current Notice to Mariner is published denoting so.</t>
  </si>
  <si>
    <t>Available on a conditional basis, and additional information regarding the availability should be consulted.</t>
  </si>
  <si>
    <t>continuousH24</t>
  </si>
  <si>
    <t>Continuous (H24)</t>
  </si>
  <si>
    <t>Available on a 24 hour basis.</t>
  </si>
  <si>
    <t>holidays</t>
  </si>
  <si>
    <t>Holidays</t>
  </si>
  <si>
    <t>Available on holidays.</t>
  </si>
  <si>
    <t>onCallHO</t>
  </si>
  <si>
    <t>On Call (HO)</t>
  </si>
  <si>
    <t>Available whenever there is an operational need.</t>
  </si>
  <si>
    <t>sunriseSunset</t>
  </si>
  <si>
    <t>Sunrise to Sunset</t>
  </si>
  <si>
    <t>Available from sunrise to sunset.</t>
  </si>
  <si>
    <t>sunsetSunrise</t>
  </si>
  <si>
    <t>Sunset to Sunrise</t>
  </si>
  <si>
    <t>Available from sunset to sunrise.</t>
  </si>
  <si>
    <t>weekdays</t>
  </si>
  <si>
    <t>Weekdays</t>
  </si>
  <si>
    <t>Available on weekdays.</t>
  </si>
  <si>
    <t>weekends</t>
  </si>
  <si>
    <t>Weekends</t>
  </si>
  <si>
    <t>Available on weekends.</t>
  </si>
  <si>
    <t>alaskaNatVillageStatArea</t>
  </si>
  <si>
    <t>Alaska Native Village Statistical Area (ANVSA)</t>
  </si>
  <si>
    <t>A statistical entity that represents the densely settled extent of an Alaska Native village (a local governmental unit in Alaska).</t>
  </si>
  <si>
    <t>An ANVSA is delineated for the U.S. Census Bureau by officials of the Alaska Native village or Alaska Native Regional Corporation in which the ANVSA is located for the purpose of presenting decennial census data.</t>
  </si>
  <si>
    <t>census2kRuralArea</t>
  </si>
  <si>
    <t>Census 2000 Rural Area</t>
  </si>
  <si>
    <t>Census 2000 blocks whose population density and spatial relationships do not meet the criteria for Urbanized Areas or Urban Clusters.</t>
  </si>
  <si>
    <t>A census block is an area normally bounded by visible features, such as streets, streams, and railroads, and by nonvisible features, such as the boundary of an incorporated place, minor civil division, county, or other Census 2000 tabulation entity.</t>
  </si>
  <si>
    <t>census2kUrbanCluster</t>
  </si>
  <si>
    <t>Census 2000 Urban Cluster</t>
  </si>
  <si>
    <t>A contiguous set of densely settled Census 2000 block groups and blocks, that meet minimum population density requirements (generally at least 1,000 people per square mile), along with adjacent densely settled census blocks that together encompass a population of at least 2,500 people, but fewer than 50,000 people.</t>
  </si>
  <si>
    <t>A census block is an area normally bounded by visible features, such as streets, streams, and railroads, and by nonvisible features, such as the boundary of an incorporated place, minor civil division, county, or other Census 2000 tabulation entity. A census block group is a group of census blocks within a census tract whose numbers begin with the same digit. Contiguity may include 'hop' connections of no more than 0.5 statute miles where the intervening territory is 'exempted' (normal residential development is significantly constrained or not possible due to either topographic or land use reasons).</t>
  </si>
  <si>
    <t>census2kUrbanizedArea</t>
  </si>
  <si>
    <t>Census 2000 Urbanized Area</t>
  </si>
  <si>
    <t>A contiguous set of densely settled Census 2000 block groups and blocks, that meet minimum population density requirements (generally at least 1,000 people per square mile), along with adjacent densely settled census blocks that together encompass a population of at least 50,000 people.</t>
  </si>
  <si>
    <t>hsipUrbanizedAreaInterest</t>
  </si>
  <si>
    <t>HSIP Urbanized Area of Interest</t>
  </si>
  <si>
    <t>A contiguous and relatively compact built-up area identified as of significance to the Homeland Security Infrastructure Program (HSIP) and delineated by the perimeter of a set of adjoining U.S. Geological Survey seven and one-half arc minute Topographic Quadrangle sheets including that area in its entirety.</t>
  </si>
  <si>
    <t>The extent of the built-up area is based on multiple considerations including: Census 2000 urban areas and clusters, population distribution, and political boundaries. Where appropriate the extent of the built-up area may be extended to include nearby major airports and/or nuclear power stations.</t>
  </si>
  <si>
    <t>landslideArea</t>
  </si>
  <si>
    <t>Landslide Area</t>
  </si>
  <si>
    <t>A statistical entity for which a range or probability of landslide susceptibility, occurrence and/or related hazard has been assigned.</t>
  </si>
  <si>
    <t>Used by the U.S. Geological Survey to delineate landslide areas in the conterminous United States.</t>
  </si>
  <si>
    <t>oklahomaTribalStatArea</t>
  </si>
  <si>
    <t>Oklahoma Tribal Statistical Area (OTSA)</t>
  </si>
  <si>
    <t>A statistical entity identified and delineated by a federally-recognized American Indian tribe in Oklahoma that formerly had a reservation but does not now have a reservation in that state.</t>
  </si>
  <si>
    <t>The boundary of an OTSA is that of the former reservation in Oklahoma, except where modified by agreements with neighboring tribes for statistical data presentation purposes. It may cross the boundary of Oklahoma and include territory in a neighboring state but not territory in any reservation. Replaces the Tribal Jurisdiction Statistical Area (TJSA) of the 1990 census.</t>
  </si>
  <si>
    <t>seismicArea</t>
  </si>
  <si>
    <t>Seismic Area</t>
  </si>
  <si>
    <t>A statistical entity for which a range or probability of the intensity of seismic activity (for example: peak horizontal ground acceleration) and/or related seismic hazard has been assigned.</t>
  </si>
  <si>
    <t>Used by the U.S. Geological Survey to delineate degree-of-hazard isopleths ('hazard curves') that depict the annual frequency of exceeding a given ground-motion level. For example, maps have been developed for 2, 5, and 10 percent probability of exceeding during the course of 50 years specific spectral accelerations (for example: 0.1, 0.2 and 1 second) and peak horizontal ground accelerations.</t>
  </si>
  <si>
    <t>stateDesigAmIndianStatArea</t>
  </si>
  <si>
    <t>State Designated American Indian Statistical Area (SDAISA)</t>
  </si>
  <si>
    <t>A statistical entity for a state-recognized American Indian tribe that does not have a state-recognized reservation.</t>
  </si>
  <si>
    <t>A SDAISA is identified and delineated for the U.S. Census Bureau by a designated state official. It generally encompasses a compact and contiguous area that contains a concentration of individuals who identify with a state-recognized American Indian tribe and in which there is structured or organized tribal activity. First used in the 2000 Census.</t>
  </si>
  <si>
    <t>tribalDesigStatArea</t>
  </si>
  <si>
    <t>Tribal Designated Statistical Area (TDSA)</t>
  </si>
  <si>
    <t>A statistical entity identified and delineated for the U.S. Census Bureau by a federally-recognized American Indian tribe that does not currently have a legally established land base.</t>
  </si>
  <si>
    <t>A TDSA encompasses a compact and contiguous area that contains a concentration of individuals who identify with a federally-recognized American Indian tribe and in which there is structured or organized tribal activity.</t>
  </si>
  <si>
    <t>tribalJurisdictionStatArea</t>
  </si>
  <si>
    <t>Tribal Jurisdiction Statistical Area (TJSA)</t>
  </si>
  <si>
    <t>A statistical entity identified and delineated by the U.S. Census Bureau in consultation with federally-recognized American Indian tribes in Oklahoma that once had a reservation in that state.</t>
  </si>
  <si>
    <t>First used in the 1990 census, but subsequently replaced by the Oklahoma Tribal Statistical Area (OTSA).</t>
  </si>
  <si>
    <t>fuel</t>
  </si>
  <si>
    <t>Fuel</t>
  </si>
  <si>
    <t>Fuel, either from the vessel stores or from the cargo.</t>
  </si>
  <si>
    <t>Includes all materials required for power generation, for example diesel fuel, gasoline, and lubricating oil.</t>
  </si>
  <si>
    <t>generalCargo</t>
  </si>
  <si>
    <t>General Cargo</t>
  </si>
  <si>
    <t>Cargo of unspecified nature.</t>
  </si>
  <si>
    <t>potentialHazardCargo</t>
  </si>
  <si>
    <t>Potentially Hazardous Cargo</t>
  </si>
  <si>
    <t>Cargo that could be utilized in a dangerous manner (for example: toxic chemicals).</t>
  </si>
  <si>
    <t>radioEquipment</t>
  </si>
  <si>
    <t>Radio Equipment</t>
  </si>
  <si>
    <t>Radio communication equipment.</t>
  </si>
  <si>
    <t>safetyEquipment</t>
  </si>
  <si>
    <t>Safety Equipment</t>
  </si>
  <si>
    <t>Safety equipment.</t>
  </si>
  <si>
    <t>significantMoney</t>
  </si>
  <si>
    <t>Significant Money</t>
  </si>
  <si>
    <t>Money in amounts exceeding that normally carried on a vessel.</t>
  </si>
  <si>
    <t>spareParts</t>
  </si>
  <si>
    <t>Spare Parts</t>
  </si>
  <si>
    <t>Spare parts carried to maintain the vessel.</t>
  </si>
  <si>
    <t>vesselStores</t>
  </si>
  <si>
    <t>Vessel Stores</t>
  </si>
  <si>
    <t>The food, medical supplies, spare parts and other provisions carried for the day-to-day running of a vessel.</t>
  </si>
  <si>
    <t>weapons</t>
  </si>
  <si>
    <t>Weapons</t>
  </si>
  <si>
    <t>Weapons of unspecified nature.</t>
  </si>
  <si>
    <t>direction</t>
  </si>
  <si>
    <t>Direction</t>
  </si>
  <si>
    <t>Displays information about one or more potential destinations and directions that may be followed to reach that destination.</t>
  </si>
  <si>
    <t>The display often includes distance information.</t>
  </si>
  <si>
    <t>electronicMessage</t>
  </si>
  <si>
    <t>Electronic Message</t>
  </si>
  <si>
    <t>Displays a temporary message regarding conditions on the road ahead.</t>
  </si>
  <si>
    <t>Usually the message is controlled remotely. For example, a sign warning of traffic congestion, accidents, incidents, construction zones, alternative routes or temporary speed limit changes.</t>
  </si>
  <si>
    <t>generalInformation</t>
  </si>
  <si>
    <t>General Information</t>
  </si>
  <si>
    <t>Displays general information intended to be useful to motorists.</t>
  </si>
  <si>
    <t>For example: displays the name of a business, service, or facility that may be located along or near the road.</t>
  </si>
  <si>
    <t>mandatoryRegulation</t>
  </si>
  <si>
    <t>Mandatory Regulation</t>
  </si>
  <si>
    <t>Displays information indicating what traffic must do when traversing a specific segment or lane of the road.</t>
  </si>
  <si>
    <t>For example, allocating certain lanes of the road to specific vehicles (for example: bus or taxi lanes). It may also be used to indicate special instructions, such as, 'attach or remove snow chains', 'use this lane only at road construction sites', or 'mandatory route for vehicles carrying dangerous loads'.</t>
  </si>
  <si>
    <t>placeIdentification</t>
  </si>
  <si>
    <t>Place Identification</t>
  </si>
  <si>
    <t>Displays the place name of a landmark.</t>
  </si>
  <si>
    <t>For example, the name of a town, river, mountain or administrative boundary (for example: a 'state line').</t>
  </si>
  <si>
    <t>prohibitedRestrictedActivity</t>
  </si>
  <si>
    <t>Prohibited or Restricted Activity</t>
  </si>
  <si>
    <t>Displays information indicating that certain types of vehicle movements or types of traffic are prohibited.</t>
  </si>
  <si>
    <t>These signs may indicate, for example: 'no entry', 'no parking', 'no passing', 'no turns', 'wrong way', or specify a speed limit.</t>
  </si>
  <si>
    <t>roadIdentification</t>
  </si>
  <si>
    <t>Road Identification</t>
  </si>
  <si>
    <t>Displays the name of the road.</t>
  </si>
  <si>
    <t>The road name usually forms part of the postal address of sites along the sides of the road.</t>
  </si>
  <si>
    <t>routeMarker</t>
  </si>
  <si>
    <t>Route Marker</t>
  </si>
  <si>
    <t>Displays the designated name and/or identifying number of a road.</t>
  </si>
  <si>
    <t>The sign may also display an emblem used to designate the road type (for example: national, interstate, or local).</t>
  </si>
  <si>
    <t>trafficControl</t>
  </si>
  <si>
    <t>Traffic Control</t>
  </si>
  <si>
    <t>Displays an indication of the order in which vehicles should merge at road junctions or pass through intersections.</t>
  </si>
  <si>
    <t>For example: 'yield', 'stop', and similar traffic right-of-way signs.</t>
  </si>
  <si>
    <t>warning</t>
  </si>
  <si>
    <t>Warning</t>
  </si>
  <si>
    <t>Displays an indication of a potential hazard, obstacle or situation on the road ahead that requires caution as it is traversed.</t>
  </si>
  <si>
    <t>These signs may indicate, for example, approach to: the beginning or end of a divided highway; a recognized animal, pedestrian or railway crossing; a road junction; a traffic signal; a bridge or tunnel; road construction; an unusual degree of road curvature; unusual conditions caused by oncoming traffic; or the nature of road conditions ahead (for example: potential rock slides).</t>
  </si>
  <si>
    <t>arched</t>
  </si>
  <si>
    <t>Arched</t>
  </si>
  <si>
    <t>In the shape of a curved structure spanning an opening.</t>
  </si>
  <si>
    <t>May be used, for example, as a support (for example: for a bridge, roof, wall, or floor), as a monument, or as an ornamental feature.</t>
  </si>
  <si>
    <t>boardLikePrism</t>
  </si>
  <si>
    <t>Board-like Prism</t>
  </si>
  <si>
    <t>In the shape of a rectangular prism with the short faces oriented vertically and the base shaped as a wide rectangle.</t>
  </si>
  <si>
    <t>In the shape of a long vertical, often slightly tapering, cylinder.</t>
  </si>
  <si>
    <t>For example, surmounted by an entablature and forming part of an arcade or colonnade, or standing alone as a monument.</t>
  </si>
  <si>
    <t>In the shape of a tall upright post surmounted with an attached short transverse beam.</t>
  </si>
  <si>
    <t>For example, a Calvary cross.</t>
  </si>
  <si>
    <t>cubic</t>
  </si>
  <si>
    <t>Cubic</t>
  </si>
  <si>
    <t>In the shape of a rectangular prism with all faces of equal size.</t>
  </si>
  <si>
    <t>cylindricalOnTower</t>
  </si>
  <si>
    <t>Cylindrical on Tower</t>
  </si>
  <si>
    <t>In the shape of a vertical cylinder raised up on a support structure.</t>
  </si>
  <si>
    <t>The top may be of various shapes, for example, flat, rounded, and/or conical. The support structure may be in the form of multiple poles or trusses.</t>
  </si>
  <si>
    <t>cylindricalConicalTop</t>
  </si>
  <si>
    <t>Cylindrical with Conical Top</t>
  </si>
  <si>
    <t>In the shape of a vertical cylinder with a conical top.</t>
  </si>
  <si>
    <t>cylindricalDomedTop</t>
  </si>
  <si>
    <t>Cylindrical with Domed Top</t>
  </si>
  <si>
    <t>In the shape of a vertical cylinder with a domed top.</t>
  </si>
  <si>
    <t>cylindricalFlatTop</t>
  </si>
  <si>
    <t>Cylindrical with Flat Top</t>
  </si>
  <si>
    <t>In the shape of a vertical cylinder with a flat top.</t>
  </si>
  <si>
    <t>cylindricalWithFramework</t>
  </si>
  <si>
    <t>Cylindrical with Framework</t>
  </si>
  <si>
    <t>In the shape of an upright cylinder, usually with an external bracing structure.</t>
  </si>
  <si>
    <t>The height of the cylinder may vary over time. The top may be of various shapes, for example, flat, rounded, or conical. For example, a telescoping gasholder (gasometer).</t>
  </si>
  <si>
    <t>In the shape of a hemispherical surface, often as a rounded vault forming all or part of the roof of a building.</t>
  </si>
  <si>
    <t>shapedLikeFunnel</t>
  </si>
  <si>
    <t>Funnel Shaped</t>
  </si>
  <si>
    <t>In the shape of a cone, apex at the bottom, with a small hole or tube at the apex.</t>
  </si>
  <si>
    <t>Used, for example, for guiding liquid or powder through a narrow opening.</t>
  </si>
  <si>
    <t>horizontalCappedCylinder</t>
  </si>
  <si>
    <t>Horizontal Capped Cylindrical</t>
  </si>
  <si>
    <t>In the shape of a horizontal cylinder whose ends are rounded.</t>
  </si>
  <si>
    <t>Sometimes referred to as 'blimp shaped'.</t>
  </si>
  <si>
    <t>horizontalCylindrical</t>
  </si>
  <si>
    <t>Horizontal Cylindrical</t>
  </si>
  <si>
    <t>In the shape of a horizontal cylinder.</t>
  </si>
  <si>
    <t>The ends may be various shapes, for example, flat, rounded, and/or conical.</t>
  </si>
  <si>
    <t>multipleArched</t>
  </si>
  <si>
    <t>Multiple Arched</t>
  </si>
  <si>
    <t>In the shape of a series of arches.</t>
  </si>
  <si>
    <t>For example, as along an arcade.</t>
  </si>
  <si>
    <t>obelisk</t>
  </si>
  <si>
    <t>Obelisk</t>
  </si>
  <si>
    <t>In the shape of a tapering, four-sided pillar with a pyramidal apex.</t>
  </si>
  <si>
    <t>plaque</t>
  </si>
  <si>
    <t>Plaque</t>
  </si>
  <si>
    <t>In the shape of an ornamental plate or tablet.</t>
  </si>
  <si>
    <t>For example, affixed to a monument or building and containing identifying or commemorative details.</t>
  </si>
  <si>
    <t>rectangularPrism</t>
  </si>
  <si>
    <t>Rectangular Prism</t>
  </si>
  <si>
    <t>In the shape of a rectangular prism with the long faces oriented vertically and the base shaped as a rectangle (not as a square).</t>
  </si>
  <si>
    <t>In the shape of a sphere.</t>
  </si>
  <si>
    <t>If the sphere is half-buried then it may appear as a dome.</t>
  </si>
  <si>
    <t>sphericalOnColumn</t>
  </si>
  <si>
    <t>Spherical on Column</t>
  </si>
  <si>
    <t>In the shape of a sphere raised up on a column.</t>
  </si>
  <si>
    <t>The column serves as the sole support structure. The sphere may be 'flattened' so that its vertical dimension is smaller than its horizontal dimension (an ellipsoidal shape).</t>
  </si>
  <si>
    <t>squarePrism</t>
  </si>
  <si>
    <t>Square Prism</t>
  </si>
  <si>
    <t>In the shape of a rectangular prism with the long faces oriented vertically and the base shaped as a square.</t>
  </si>
  <si>
    <t>statue</t>
  </si>
  <si>
    <t>Statue</t>
  </si>
  <si>
    <t>A representation of a living being, sculptured, moulded, or cast in a variety of materials (for example: marble, metal, or plaster).</t>
  </si>
  <si>
    <t>Especially a life-size or larger figure of a deity, mythical being, or eminent person.</t>
  </si>
  <si>
    <t>statueOnPedestal</t>
  </si>
  <si>
    <t>Statue on Pedestal</t>
  </si>
  <si>
    <t>A representation of a living being, sculptured, moulded, or cast in a variety of materials (for example: marble, metal, or plaster) whose base is mounted on a column.</t>
  </si>
  <si>
    <t>Especially a life-size or larger figure of a deity, mythical being, or eminent person. Although the pedestal is typically only a few metres in height it can be quite significant; for example, the 17 foot high statue of Lord Nelson in Trafalgar Square, London, is mounted on a 185 foot tall column.</t>
  </si>
  <si>
    <t>verticalCappedCylindrical</t>
  </si>
  <si>
    <t>Vertical Capped Cylindrical</t>
  </si>
  <si>
    <t>In the shape of a vertical cylinder whose ends are rounded.</t>
  </si>
  <si>
    <t>Sometimes referred to as 'bullet shaped'.</t>
  </si>
  <si>
    <t>verticalCylindrical</t>
  </si>
  <si>
    <t>Vertical Cylindrical</t>
  </si>
  <si>
    <t>In the shape of a vertical cylinder.</t>
  </si>
  <si>
    <t>The top may be of various shapes, for example, flat, rounded, and/or conical.</t>
  </si>
  <si>
    <t>nonShoreSoundSignal</t>
  </si>
  <si>
    <t>Non-shore Sound Signal</t>
  </si>
  <si>
    <t>A sound signal transmitted through water that is not controlled from on shore.</t>
  </si>
  <si>
    <t>oscillator</t>
  </si>
  <si>
    <t>Oscillator</t>
  </si>
  <si>
    <t>A large, electrically-operated diaphragm horn which produces a sound for transmission through water.</t>
  </si>
  <si>
    <t>shoreSoundSignal</t>
  </si>
  <si>
    <t>Shore Sound Signal</t>
  </si>
  <si>
    <t>A sound signal transmitted through water that is controlled from on shore.</t>
  </si>
  <si>
    <t>converterSubstation</t>
  </si>
  <si>
    <t>Converter Substation</t>
  </si>
  <si>
    <t>A substation where alternating current (AC) is converted to direct current (DC), or vice versa.</t>
  </si>
  <si>
    <t>Conversion from alternating to direct current is typically associated with an electrified railway.</t>
  </si>
  <si>
    <t>switchedSubstation</t>
  </si>
  <si>
    <t>Switched Substation</t>
  </si>
  <si>
    <t>A substation at which electrical current is switched.</t>
  </si>
  <si>
    <t>Usually located between a electrical power generating station and an electrical power distribution network.</t>
  </si>
  <si>
    <t>transformerSubstation</t>
  </si>
  <si>
    <t>Transformer Substation</t>
  </si>
  <si>
    <t>A substation at which electrical voltage is transformed, typically to a lower level.</t>
  </si>
  <si>
    <t>Usually located between a high-tension long-distance transmission network and a local low-tension distribution network.</t>
  </si>
  <si>
    <t>autoDependentSurvBroadcast</t>
  </si>
  <si>
    <t>Automatic Dependant Surveillance - Broadcast Sensor</t>
  </si>
  <si>
    <t>A ground station that can receive, interrogate, relay, and send a radio signal to and/or from an aircraft equipped with Automatic Dependant Surveillance-Broadcast (ADS-B) avionics.</t>
  </si>
  <si>
    <t>multilaterationSensor</t>
  </si>
  <si>
    <t>Multilateration Sensor</t>
  </si>
  <si>
    <t>A ground station located in a strategic position on an aerodrome surface that receives and interrogates signals emitted from an aircraft transponder to aid in calculating the position of the aircraft relative to that ground station.</t>
  </si>
  <si>
    <t>The use of several multilateration sensors on an aerodrome surface, each receiving and interrogating the transponder emission from an aircraft, results in triangulating the exact position of the aircraft on the aerodrome. This information can then be relayed to the aerodrome ground control service, which can use this information to aid in aircraft separation and safety.</t>
  </si>
  <si>
    <t>inadequatelySurveyed</t>
  </si>
  <si>
    <t>Inadequately Surveyed</t>
  </si>
  <si>
    <t>Surveyed, but not with complete coverage and/or not to established standards.</t>
  </si>
  <si>
    <t>surveyed</t>
  </si>
  <si>
    <t>Surveyed</t>
  </si>
  <si>
    <t>Surveyed with complete coverage and to established standards.</t>
  </si>
  <si>
    <t>Survey implies a regular, controlled survey of any date.</t>
  </si>
  <si>
    <t>unsurveyed</t>
  </si>
  <si>
    <t>Unsurveyed</t>
  </si>
  <si>
    <t>Survey data either does not exist or is very poor in coverage and/or quality.</t>
  </si>
  <si>
    <t>marked</t>
  </si>
  <si>
    <t>Marked</t>
  </si>
  <si>
    <t>A permanent physical marker identifies the location of the survey point.</t>
  </si>
  <si>
    <t>Marked survey points may be inscribed metal tablets set in concrete posts, cast metal disks or metal rods driven in the ground.</t>
  </si>
  <si>
    <t xml:space="preserve">unmarkedAndUnrecoverable </t>
  </si>
  <si>
    <t xml:space="preserve">Unmarked and Unrecoverable </t>
  </si>
  <si>
    <t xml:space="preserve">A temporary survey point that has no associated marker and are therefore is unrecoverable. </t>
  </si>
  <si>
    <t>For example, the corner of a building or a large rock.</t>
  </si>
  <si>
    <t>unmarkedButRecoverable</t>
  </si>
  <si>
    <t>Unmarked But Recoverable</t>
  </si>
  <si>
    <t>An unmarked survey point which is a recognizable landmark and can be recovered or used as a survey point.</t>
  </si>
  <si>
    <t>For example, a flagpole or the spire of a church.</t>
  </si>
  <si>
    <t>astronomicPosition</t>
  </si>
  <si>
    <t>Astronomic Position</t>
  </si>
  <si>
    <t>A point used by surveyors for determining precise position by astronomical means.</t>
  </si>
  <si>
    <t>benchmark</t>
  </si>
  <si>
    <t>Benchmark</t>
  </si>
  <si>
    <t>A point whose vertical position (elevation) above or below an established datum has been determined.</t>
  </si>
  <si>
    <t>cadastralControlPoint</t>
  </si>
  <si>
    <t>Cadastral Control Point</t>
  </si>
  <si>
    <t>A point whose position (horizontal or vertical) has been determined and is used for purposes of describing and recording land ownership.</t>
  </si>
  <si>
    <t>A cadastral survey creates, marks, defines, retraces or reestablishes the boundaries and subdivisions of public land.</t>
  </si>
  <si>
    <t>cameraStation</t>
  </si>
  <si>
    <t>Camera Station</t>
  </si>
  <si>
    <t>A point whose position has been determined so as to serve as a reference point from which to calculate distances in a photogrammetric survey.</t>
  </si>
  <si>
    <t>This point is typically the exact point occupied by the camera lens at the moment of exposure.</t>
  </si>
  <si>
    <t>geodeticPoint</t>
  </si>
  <si>
    <t>Geodetic Point</t>
  </si>
  <si>
    <t>A point having known, precise position (horizontal or vertical) established by geodetic techniques.</t>
  </si>
  <si>
    <t>The coordinates of a geodetic point are determined mainly by the method of triangulation. Geodetic surveys take the shape and size of the Earth into account and are typically carried out with great precision, often over long distances.</t>
  </si>
  <si>
    <t>gravityPoint</t>
  </si>
  <si>
    <t>Gravity Point</t>
  </si>
  <si>
    <t>A point whose position has been determined for use in measuring the gravitational field for a gravity survey.</t>
  </si>
  <si>
    <t>magneticStation</t>
  </si>
  <si>
    <t>Magnetic Station</t>
  </si>
  <si>
    <t>A permanently marked point at which a series of measurements of the magnetic field of the Earth have been made and whose (adjusted) gravity is known.</t>
  </si>
  <si>
    <t>theodoliteStation</t>
  </si>
  <si>
    <t>Theodolite Station</t>
  </si>
  <si>
    <t>A point at which a theodolite instrument is erected in order to perform a survey.</t>
  </si>
  <si>
    <t>tidalBenchmark</t>
  </si>
  <si>
    <t>Tidal Benchmark</t>
  </si>
  <si>
    <t>A permanent, stable object containing a marked point of known elevation with respect to a datum used as a reference level for tidal observations or as a control point for leveling.</t>
  </si>
  <si>
    <t>transitStation</t>
  </si>
  <si>
    <t>Transit Station</t>
  </si>
  <si>
    <t>A point at which a transit instrument is erected in order to perform a survey.</t>
  </si>
  <si>
    <t>astronomicAzimuth</t>
  </si>
  <si>
    <t>Astronomic Azimuth</t>
  </si>
  <si>
    <t>A method of surveying in which an azimuth is derived based on observations of a celestial body.</t>
  </si>
  <si>
    <t>The horizontal azimuth angle, clockwise from astronomic north, is derived from angular observations of the celestial body.</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</si>
  <si>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</si>
  <si>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</si>
  <si>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calculated</t>
  </si>
  <si>
    <t>Calculated</t>
  </si>
  <si>
    <t>A method of deriving the position of a point by means of mathematical relations and database interpolations.</t>
  </si>
  <si>
    <t>doppler</t>
  </si>
  <si>
    <t>Doppler</t>
  </si>
  <si>
    <t>A method of surveying in which an object or observer is placed at a specified point by using a Doppler Global Navigation Satellite (GNSS) to determine the difference between the actual location and the desired location and then minimizing this difference.</t>
  </si>
  <si>
    <t>gnssAbsolute</t>
  </si>
  <si>
    <t>Global Navigation Satellite System (GNSS) Absolute</t>
  </si>
  <si>
    <t xml:space="preserve">Direct geodetic point positioning at a stationary, solitary station using a 'geodetic quality' dual frequency Global Navigation Satellite System (GNSS) receiver, a precise ephemerides, satellite clock states, Earth orientation parameters, and solid Earth </t>
  </si>
  <si>
    <t>The location of the point is tied to a known geodetic reference frame such as the World Geodetic System 1984 (WGS 84) or the International Terrestrial Reference Frame (ITRF). The occupation time at a given survey point is 24 hours.</t>
  </si>
  <si>
    <t>gnssClassical</t>
  </si>
  <si>
    <t>Global Navigation Satellite System (GNSS) Classical</t>
  </si>
  <si>
    <t>A combination of both Global Navigation Satellite System (GNSS) and conventional survey techniques is used to determine the position of a point.</t>
  </si>
  <si>
    <t>gnssKinematic</t>
  </si>
  <si>
    <t>Global Navigation Satellite System (GNSS) Kinematic</t>
  </si>
  <si>
    <t>A method of Global Navigation Satellite System (GNSS) surveying in which a known GNSS base station and a roving GNSS receiver are used to establish a comminucation link, allowing the surveyor to move to another location and take measurements, without havi</t>
  </si>
  <si>
    <t>The differences between the known coordinates at the base station and the values determined from the roving GNSS receiver are referred to as 'corrections' to the signals. These corrections are broadcast to the rover antennas via a communication link and used in determining the vector between base and rover. Vectors are measured to the roving, or mobile, satellite receiver 'on-the-fly'. Vectors are post-processed. The occupation time at a given survey point is 1 to 2 minutes.</t>
  </si>
  <si>
    <t>gnssRapidStatic</t>
  </si>
  <si>
    <t>Global Navigation Satellite System (GNSS) Rapid Static</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</si>
  <si>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</si>
  <si>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</si>
  <si>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gnssRealTimeKinematic</t>
  </si>
  <si>
    <t>Global Navigation Satellite System (GNSS) Real-time Kinematic</t>
  </si>
  <si>
    <t>A method of Global Navigation Satellite System (GNSS) surveying that uses a digital communications link to transmit near-instantaneous differential corrections from a known Global Navigation Satellite System (GNSS) base station(s) to a roving GNSS receive</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</si>
  <si>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Vectors are measured to the roving, or mobile, satellite receiver 'on-the-fly'. Vectors are processed 'real-time'. The occupation time at a given survey point is 1 to 2 minutes.</t>
  </si>
  <si>
    <t>gnssRelative</t>
  </si>
  <si>
    <t>Global Navigation Satellite System (GNSS) Relative</t>
  </si>
  <si>
    <t>A method of Global Navigation Satellite System (GNSS) surveying the uses at least two satellite receivers, one usually occupying a known geodetic station, and based on the theory that satellite orbit errors, atmospheric refractive distortions, and satelli</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</si>
  <si>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</si>
  <si>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gnssStatic</t>
  </si>
  <si>
    <t>Global Navigation Satellite System (GNSS) Static</t>
  </si>
  <si>
    <t>A method of surveying involving the collection of precise carrier phase measurements recorded simultaneously at two or more survey control marks using stand-alone Global Navigation Satellite System (GNSS) equipment (comprised of a high precision antenna a</t>
  </si>
  <si>
    <t>The frequency carrier phase integer ambiguities of the satellites are more accurately resolved given that the occupation time at a given survey point is 30 to 60 minutes.</t>
  </si>
  <si>
    <t>gravityAbsolute</t>
  </si>
  <si>
    <t>Gravity Absolute</t>
  </si>
  <si>
    <t>A method of surveying in which a gravimeter is used to measure the local gravity at a specified point in absolute units (gals).</t>
  </si>
  <si>
    <t>gravityExcentric</t>
  </si>
  <si>
    <t>Gravity Excentric</t>
  </si>
  <si>
    <t>A method of surveying in which an eccentric point, usually located outside the facility housing the absolute gravity station, is surveyed by relative gravity techniques.</t>
  </si>
  <si>
    <t>Gravity Excenter</t>
  </si>
  <si>
    <t>gravityRelative</t>
  </si>
  <si>
    <t>Gravity Relative</t>
  </si>
  <si>
    <t>A method of surveying where a gravimeter is used to measure the difference in the acceleration of gravity at a specified point and that of a known accurate gravity point.</t>
  </si>
  <si>
    <t>intersection</t>
  </si>
  <si>
    <t>Intersection</t>
  </si>
  <si>
    <t>A method of surveying in which horizontal position is determined by horizontal angular observation from two or more known survey stations to an unknown survey station, no observations being made over the unknown station itself.</t>
  </si>
  <si>
    <t>The determination of differences of elevation by means of a consecutive series of short horizontal traverses, where the vertical distance along each traverse is determined by direct observation of a graduated rod placed at the end of the traverse and obse</t>
  </si>
  <si>
    <t>lightDetectionRanging</t>
  </si>
  <si>
    <t>Light Detection and Ranging</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</si>
  <si>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</si>
  <si>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</si>
  <si>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mobileScanning</t>
  </si>
  <si>
    <t>Mobile Scanning</t>
  </si>
  <si>
    <t>A method of surveying where a location is determined through the use of a 3D Laser Scanner mounted on a vehicle.</t>
  </si>
  <si>
    <t>Accomplished using either airborne and/or terrestrial LiDAR mounted on a moving vehicle, collecting data on-the-fly.</t>
  </si>
  <si>
    <t>resection</t>
  </si>
  <si>
    <t>Resection</t>
  </si>
  <si>
    <t>A surveying method to determine the geodetic position of an unknown occupied point via horizontal angular observations from three or more known survey points.</t>
  </si>
  <si>
    <t>threeDimenLaserScanning</t>
  </si>
  <si>
    <t>Three Dimensional Laser Scanning</t>
  </si>
  <si>
    <t>A method of surveying where a location is determined through the use of a 3D Laser Scanner set on the ground.</t>
  </si>
  <si>
    <t>Static terrestrial three-dimentional Light Detection and Ranging (LiDAR) used for mapping/modeling.</t>
  </si>
  <si>
    <t>triangulation</t>
  </si>
  <si>
    <t>Triangulation</t>
  </si>
  <si>
    <t>A method of surveying used to extend geodetic control through a series of ground stations located at the vertices of a chain of terrestrial triangles and quadrangles among which position is determined by angular observations on and between triangle apexes</t>
  </si>
  <si>
    <t xml:space="preserve">Distinguished from Trilateration in which distance measurement observations are made of the sides of the triangles. </t>
  </si>
  <si>
    <t>trilateration</t>
  </si>
  <si>
    <t>Trilateration</t>
  </si>
  <si>
    <t>A method of surveying used to extend geodetic control through a series of ground stations located at the vertices of a chain of terrestrial triangles and quadrangles among which position is determimed via electronic distance measurement observations of th</t>
  </si>
  <si>
    <t>Distinguished from Triangulation in which angular observations are made on and between triangle apexes.</t>
  </si>
  <si>
    <t>afloat</t>
  </si>
  <si>
    <t>Afloat</t>
  </si>
  <si>
    <t>Afloat and adrift.</t>
  </si>
  <si>
    <t>May be designated in communications as 'FLOAT' followed by the direction of drift (true bearing; 3 numerics), for example: 'FLOAT 110'.</t>
  </si>
  <si>
    <t>countermined</t>
  </si>
  <si>
    <t>Countermined</t>
  </si>
  <si>
    <t>Disposed of by countermining, consisting of the placement of a mine disposal charge close enough to the mine so that sympathetic detonation occurs.</t>
  </si>
  <si>
    <t>In some cases when a mine is destroyed (countermined) by a remotely operated vehicle (ROV) it may not be known with a degree of certainty whether the mine was actually detonated by the disposal charge. In such cases the minehunter will determine the condition of the mine, using the minehunting sonar, and if required the ROV, taking action to ensure that the mine is effectively countermined. Moored mine sinkers normally remain in place after the mine has been destroyed. However, in some instances the sinkers may be removed and/or taken away. May be designated in communications as 'CMINED' followed by DTG (verified time), for example: 'CMINED 11726Z3'.</t>
  </si>
  <si>
    <t>disposed</t>
  </si>
  <si>
    <t>Disposed</t>
  </si>
  <si>
    <t>Disposed of by mine disposal vessel.</t>
  </si>
  <si>
    <t>In general, when the intention is to annihilate the mine danger, mines are disposed of by the minehunter or by other means (for example: a diving vessel assisting the hunter). Mine disposal is done by countermining or mine neutralisation. For reasons of the particular tactical objective, rendering safe, recovery, and removal of mines are not included in the general term 'Dispose'. May be designated in communications as 'DISP' followed by DTG (verified time), for example: 'DISP 061732Z8'.</t>
  </si>
  <si>
    <t>exploded</t>
  </si>
  <si>
    <t>Exploded</t>
  </si>
  <si>
    <t>Exploded during sweeping and hunting operations (a triggered influence mine, not by disposal techniques).</t>
  </si>
  <si>
    <t>May be designated in communications as 'EXPL' followed by relative bearing RED/GREEN, 3 numerics (000-180) and distance in metres separated by a hyphen (4 numerics).</t>
  </si>
  <si>
    <t>fouled</t>
  </si>
  <si>
    <t>Fouled</t>
  </si>
  <si>
    <t>Fouled the sweep during mechanical sweeping.</t>
  </si>
  <si>
    <t>May be designated in communications as 'FOULED'.</t>
  </si>
  <si>
    <t>neutralized</t>
  </si>
  <si>
    <t>Neutralized</t>
  </si>
  <si>
    <t>Disposed of by neutralization, rendering the mine, by external means, permanently incapable of firing on passing of a ship or sweep (although it may remain dangerous to handle).</t>
  </si>
  <si>
    <t>Neutralisation is accomplished either by disrupting the mine firing mechanism or by separating the firing mechanism from the main explosive charge. It may be achieved by using divers to place a relatively small shaped explosive charge on the mine or by using a vehicle to lay a charge sufficiently close to disrupt the mechanism. Alternatively divers may be used to render the mine safe using EOD procedures. The mine case may remain visually intact. May be designated in communications as 'NEUTR' followed by DTG (verified time), for example: 'NEUTR 270813Z1'.</t>
  </si>
  <si>
    <t>notSwept</t>
  </si>
  <si>
    <t>Not Swept</t>
  </si>
  <si>
    <t>Not dealt with during mine sweeping operations.</t>
  </si>
  <si>
    <t>May be designated in communications as 'NDEALT'.</t>
  </si>
  <si>
    <t>recovered</t>
  </si>
  <si>
    <t>Recovered</t>
  </si>
  <si>
    <t>The mine was recovered in order that a detailed technical evaluation may take place.</t>
  </si>
  <si>
    <t>It is necessary that the mine suffers as little disruption as is safe and practical. May be designated in communications as 'RECVD' followed by DTG (verified time), for example: 'RECVD 211256Z7'.</t>
  </si>
  <si>
    <t>removed</t>
  </si>
  <si>
    <t>Removed</t>
  </si>
  <si>
    <t>Removed from the shipping area (initial position) to an area where its detonation would be acceptable.</t>
  </si>
  <si>
    <t>May be designated in communications as 'RMVD' followed by 3 numerics (true bearing) and distance 4 numerics, separated by a hyphen (indicating metres), for example: 'RMVD 210-1500'.</t>
  </si>
  <si>
    <t>renderedSafe</t>
  </si>
  <si>
    <t>Rendered Safe</t>
  </si>
  <si>
    <t>Disposed of by rendering the mine safe as a result of action to make it inoperative by direct interference with its firing system or explosive train.</t>
  </si>
  <si>
    <t>This may be done underwater, in situ, or after recovery. May be designated in communications as 'RSAFE' followed by DTG (verified time), for example: 'RSAFE 121606Z6'.</t>
  </si>
  <si>
    <t>sunk</t>
  </si>
  <si>
    <t>Sunk</t>
  </si>
  <si>
    <t>Sunk by mine disposal vessel.</t>
  </si>
  <si>
    <t>May be designated in communications as 'SUNK' followed by DTG (verified time), for example 'SUNK 061715Z0'.</t>
  </si>
  <si>
    <t>The channel '100X' is assigned for the Tactical Air Navigation Aid (TACAN) by the responsible authority.</t>
  </si>
  <si>
    <t>The channel '100Y' is assigned for the Tactical Air Navigation Aid (TACAN) by the responsible authority.</t>
  </si>
  <si>
    <t>The channel '100Z' is assigned for the Tactical Air Navigation Aid (TACAN) by the responsible authority.</t>
  </si>
  <si>
    <t>The channel '101X' is assigned for the Tactical Air Navigation Aid (TACAN) by the responsible authority.</t>
  </si>
  <si>
    <t>The channel '101Y' is assigned for the Tactical Air Navigation Aid (TACAN) by the responsible authority.</t>
  </si>
  <si>
    <t>The channel '101Z' is assigned for the Tactical Air Navigation Aid (TACAN) by the responsible authority.</t>
  </si>
  <si>
    <t>The channel '102X' is assigned for the Tactical Air Navigation Aid (TACAN) by the responsible authority.</t>
  </si>
  <si>
    <t>The channel '102Y' is assigned for the Tactical Air Navigation Aid (TACAN) by the responsible authority.</t>
  </si>
  <si>
    <t>The channel '102Z' is assigned for the Tactical Air Navigation Aid (TACAN) by the responsible authority.</t>
  </si>
  <si>
    <t>The channel '103X' is assigned for the Tactical Air Navigation Aid (TACAN) by the responsible authority.</t>
  </si>
  <si>
    <t>The channel '103Y' is assigned for the Tactical Air Navigation Aid (TACAN) by the responsible authority.</t>
  </si>
  <si>
    <t>The channel '103Z' is assigned for the Tactical Air Navigation Aid (TACAN) by the responsible authority.</t>
  </si>
  <si>
    <t>The channel '104X' is assigned for the Tactical Air Navigation Aid (TACAN) by the responsible authority.</t>
  </si>
  <si>
    <t>The channel '104Y' is assigned for the Tactical Air Navigation Aid (TACAN) by the responsible authority.</t>
  </si>
  <si>
    <t>The channel '104Z' is assigned for the Tactical Air Navigation Aid (TACAN) by the responsible authority.</t>
  </si>
  <si>
    <t>The channel '105X' is assigned for the Tactical Air Navigation Aid (TACAN) by the responsible authority.</t>
  </si>
  <si>
    <t>The channel '105Y' is assigned for the Tactical Air Navigation Aid (TACAN) by the responsible authority.</t>
  </si>
  <si>
    <t>The channel '105Z' is assigned for the Tactical Air Navigation Aid (TACAN) by the responsible authority.</t>
  </si>
  <si>
    <t>The channel '106X' is assigned for the Tactical Air Navigation Aid (TACAN) by the responsible authority.</t>
  </si>
  <si>
    <t>The channel '106Y' is assigned for the Tactical Air Navigation Aid (TACAN) by the responsible authority.</t>
  </si>
  <si>
    <t>The channel '106Z' is assigned for the Tactical Air Navigation Aid (TACAN) by the responsible authority.</t>
  </si>
  <si>
    <t>The channel '107X' is assigned for the Tactical Air Navigation Aid (TACAN) by the responsible authority.</t>
  </si>
  <si>
    <t>The channel '107Y' is assigned for the Tactical Air Navigation Aid (TACAN) by the responsible authority.</t>
  </si>
  <si>
    <t>The channel '107Z' is assigned for the Tactical Air Navigation Aid (TACAN) by the responsible authority.</t>
  </si>
  <si>
    <t>The channel '108X' is assigned for the Tactical Air Navigation Aid (TACAN) by the responsible authority.</t>
  </si>
  <si>
    <t>The channel '108Y' is assigned for the Tactical Air Navigation Aid (TACAN) by the responsible authority.</t>
  </si>
  <si>
    <t>The channel '108Z' is assigned for the Tactical Air Navigation Aid (TACAN) by the responsible authority.</t>
  </si>
  <si>
    <t>The channel '109X' is assigned for the Tactical Air Navigation Aid (TACAN) by the responsible authority.</t>
  </si>
  <si>
    <t>The channel '109Y' is assigned for the Tactical Air Navigation Aid (TACAN) by the responsible authority.</t>
  </si>
  <si>
    <t>The channel '109Z' is assigned for the Tactical Air Navigation Aid (TACAN) by the responsible authority.</t>
  </si>
  <si>
    <t>The channel '10X' is assigned for the Tactical Air Navigation Aid (TACAN) by the responsible authority.</t>
  </si>
  <si>
    <t>The channel '10Y' is assigned for the Tactical Air Navigation Aid (TACAN) by the responsible authority.</t>
  </si>
  <si>
    <t>The channel '110X' is assigned for the Tactical Air Navigation Aid (TACAN) by the responsible authority.</t>
  </si>
  <si>
    <t>The channel '110Y' is assigned for the Tactical Air Navigation Aid (TACAN) by the responsible authority.</t>
  </si>
  <si>
    <t>The channel '110Z' is assigned for the Tactical Air Navigation Aid (TACAN) by the responsible authority.</t>
  </si>
  <si>
    <t>The channel '111X' is assigned for the Tactical Air Navigation Aid (TACAN) by the responsible authority.</t>
  </si>
  <si>
    <t>The channel '111Y' is assigned for the Tactical Air Navigation Aid (TACAN) by the responsible authority.</t>
  </si>
  <si>
    <t>The channel '111Z' is assigned for the Tactical Air Navigation Aid (TACAN) by the responsible authority.</t>
  </si>
  <si>
    <t>The channel '112X' is assigned for the Tactical Air Navigation Aid (TACAN) by the responsible authority.</t>
  </si>
  <si>
    <t>The channel '112Y' is assigned for the Tactical Air Navigation Aid (TACAN) by the responsible authority.</t>
  </si>
  <si>
    <t>The channel '112Z' is assigned for the Tactical Air Navigation Aid (TACAN) by the responsible authority.</t>
  </si>
  <si>
    <t>The channel '113X' is assigned for the Tactical Air Navigation Aid (TACAN) by the responsible authority.</t>
  </si>
  <si>
    <t>The channel '113Y' is assigned for the Tactical Air Navigation Aid (TACAN) by the responsible authority.</t>
  </si>
  <si>
    <t>The channel '113Z' is assigned for the Tactical Air Navigation Aid (TACAN) by the responsible authority.</t>
  </si>
  <si>
    <t>The channel '114X' is assigned for the Tactical Air Navigation Aid (TACAN) by the responsible authority.</t>
  </si>
  <si>
    <t>The channel '114Y' is assigned for the Tactical Air Navigation Aid (TACAN) by the responsible authority.</t>
  </si>
  <si>
    <t>The channel '114Z' is assigned for the Tactical Air Navigation Aid (TACAN) by the responsible authority.</t>
  </si>
  <si>
    <t>The channel '115X' is assigned for the Tactical Air Navigation Aid (TACAN) by the responsible authority.</t>
  </si>
  <si>
    <t>The channel '115Y' is assigned for the Tactical Air Navigation Aid (TACAN) by the responsible authority.</t>
  </si>
  <si>
    <t>The channel '115Z' is assigned for the Tactical Air Navigation Aid (TACAN) by the responsible authority.</t>
  </si>
  <si>
    <t>The channel '116X' is assigned for the Tactical Air Navigation Aid (TACAN) by the responsible authority.</t>
  </si>
  <si>
    <t>The channel '116Y' is assigned for the Tactical Air Navigation Aid (TACAN) by the responsible authority.</t>
  </si>
  <si>
    <t>The channel '116Z' is assigned for the Tactical Air Navigation Aid (TACAN) by the responsible authority.</t>
  </si>
  <si>
    <t>The channel '117X' is assigned for the Tactical Air Navigation Aid (TACAN) by the responsible authority.</t>
  </si>
  <si>
    <t>The channel '117Y' is assigned for the Tactical Air Navigation Aid (TACAN) by the responsible authority.</t>
  </si>
  <si>
    <t>The channel '117Z' is assigned for the Tactical Air Navigation Aid (TACAN) by the responsible authority.</t>
  </si>
  <si>
    <t>The channel '118X' is assigned for the Tactical Air Navigation Aid (TACAN) by the responsible authority.</t>
  </si>
  <si>
    <t>The channel '118Y' is assigned for the Tactical Air Navigation Aid (TACAN) by the responsible authority.</t>
  </si>
  <si>
    <t>The channel '118Z' is assigned for the Tactical Air Navigation Aid (TACAN) by the responsible authority.</t>
  </si>
  <si>
    <t>The channel '119X' is assigned for the Tactical Air Navigation Aid (TACAN) by the responsible authority.</t>
  </si>
  <si>
    <t>The channel '119Y' is assigned for the Tactical Air Navigation Aid (TACAN) by the responsible authority.</t>
  </si>
  <si>
    <t>The channel '119Z' is assigned for the Tactical Air Navigation Aid (TACAN) by the responsible authority.</t>
  </si>
  <si>
    <t>The channel '11X' is assigned for the Tactical Air Navigation Aid (TACAN) by the responsible authority.</t>
  </si>
  <si>
    <t>The channel '11Y' is assigned for the Tactical Air Navigation Aid (TACAN) by the responsible authority.</t>
  </si>
  <si>
    <t>The channel '120X' is assigned for the Tactical Air Navigation Aid (TACAN) by the responsible authority.</t>
  </si>
  <si>
    <t>The channel '120Y' is assigned for the Tactical Air Navigation Aid (TACAN) by the responsible authority.</t>
  </si>
  <si>
    <t>The channel '121X' is assigned for the Tactical Air Navigation Aid (TACAN) by the responsible authority.</t>
  </si>
  <si>
    <t>The channel '121Y' is assigned for the Tactical Air Navigation Aid (TACAN) by the responsible authority.</t>
  </si>
  <si>
    <t>The channel '122X' is assigned for the Tactical Air Navigation Aid (TACAN) by the responsible authority.</t>
  </si>
  <si>
    <t>The channel '122Y' is assigned for the Tactical Air Navigation Aid (TACAN) by the responsible authority.</t>
  </si>
  <si>
    <t>The channel '123X' is assigned for the Tactical Air Navigation Aid (TACAN) by the responsible authority.</t>
  </si>
  <si>
    <t>The channel '123Y' is assigned for the Tactical Air Navigation Aid (TACAN) by the responsible authority.</t>
  </si>
  <si>
    <t>The channel '124X' is assigned for the Tactical Air Navigation Aid (TACAN) by the responsible authority.</t>
  </si>
  <si>
    <t>The channel '124Y' is assigned for the Tactical Air Navigation Aid (TACAN) by the responsible authority.</t>
  </si>
  <si>
    <t>The channel '125X' is assigned for the Tactical Air Navigation Aid (TACAN) by the responsible authority.</t>
  </si>
  <si>
    <t>The channel '125Y' is assigned for the Tactical Air Navigation Aid (TACAN) by the responsible authority.</t>
  </si>
  <si>
    <t>The channel '126X' is assigned for the Tactical Air Navigation Aid (TACAN) by the responsible authority.</t>
  </si>
  <si>
    <t>The channel '126Y' is assigned for the Tactical Air Navigation Aid (TACAN) by the responsible authority.</t>
  </si>
  <si>
    <t>The channel '12X' is assigned for the Tactical Air Navigation Aid (TACAN) by the responsible authority.</t>
  </si>
  <si>
    <t>The channel '12Y' is assigned for the Tactical Air Navigation Aid (TACAN) by the responsible authority.</t>
  </si>
  <si>
    <t>The channel '13X' is assigned for the Tactical Air Navigation Aid (TACAN) by the responsible authority.</t>
  </si>
  <si>
    <t>The channel '13Y' is assigned for the Tactical Air Navigation Aid (TACAN) by the responsible authority.</t>
  </si>
  <si>
    <t>The channel '14X' is assigned for the Tactical Air Navigation Aid (TACAN) by the responsible authority.</t>
  </si>
  <si>
    <t>The channel '14Y' is assigned for the Tactical Air Navigation Aid (TACAN) by the responsible authority.</t>
  </si>
  <si>
    <t>The channel '15X' is assigned for the Tactical Air Navigation Aid (TACAN) by the responsible authority.</t>
  </si>
  <si>
    <t>The channel '15Y' is assigned for the Tactical Air Navigation Aid (TACAN) by the responsible authority.</t>
  </si>
  <si>
    <t>The channel '16X' is assigned for the Tactical Air Navigation Aid (TACAN) by the responsible authority.</t>
  </si>
  <si>
    <t>The channel '16Y' is assigned for the Tactical Air Navigation Aid (TACAN) by the responsible authority.</t>
  </si>
  <si>
    <t>The channel '17X' is assigned for the Tactical Air Navigation Aid (TACAN) by the responsible authority.</t>
  </si>
  <si>
    <t>The channel '17Y' is assigned for the Tactical Air Navigation Aid (TACAN) by the responsible authority.</t>
  </si>
  <si>
    <t>The channel '17Z' is assigned for the Tactical Air Navigation Aid (TACAN) by the responsible authority.</t>
  </si>
  <si>
    <t>The channel '18W' is assigned for the Tactical Air Navigation Aid (TACAN) by the responsible authority.</t>
  </si>
  <si>
    <t>The channel '18X' is assigned for the Tactical Air Navigation Aid (TACAN) by the responsible authority.</t>
  </si>
  <si>
    <t>The channel '18Y' is assigned for the Tactical Air Navigation Aid (TACAN) by the responsible authority.</t>
  </si>
  <si>
    <t>The channel '18Z' is assigned for the Tactical Air Navigation Aid (TACAN) by the responsible authority.</t>
  </si>
  <si>
    <t>The channel '19X' is assigned for the Tactical Air Navigation Aid (TACAN) by the responsible authority.</t>
  </si>
  <si>
    <t>The channel '19Y' is assigned for the Tactical Air Navigation Aid (TACAN) by the responsible authority.</t>
  </si>
  <si>
    <t>The channel '19Z' is assigned for the Tactical Air Navigation Aid (TACAN) by the responsible authority.</t>
  </si>
  <si>
    <t>The channel '1X' is assigned for the Tactical Air Navigation Aid (TACAN) by the responsible authority.</t>
  </si>
  <si>
    <t>The channel '1Y' is assigned for the Tactical Air Navigation Aid (TACAN) by the responsible authority.</t>
  </si>
  <si>
    <t>The channel '20W' is assigned for the Tactical Air Navigation Aid (TACAN) by the responsible authority.</t>
  </si>
  <si>
    <t>The channel '20X' is assigned for the Tactical Air Navigation Aid (TACAN) by the responsible authority.</t>
  </si>
  <si>
    <t>The channel '20Y' is assigned for the Tactical Air Navigation Aid (TACAN) by the responsible authority.</t>
  </si>
  <si>
    <t>The channel '20Z' is assigned for the Tactical Air Navigation Aid (TACAN) by the responsible authority.</t>
  </si>
  <si>
    <t>The channel '21X' is assigned for the Tactical Air Navigation Aid (TACAN) by the responsible authority.</t>
  </si>
  <si>
    <t>The channel '21Y' is assigned for the Tactical Air Navigation Aid (TACAN) by the responsible authority.</t>
  </si>
  <si>
    <t>The channel '21Z' is assigned for the Tactical Air Navigation Aid (TACAN) by the responsible authority.</t>
  </si>
  <si>
    <t>The channel '22W' is assigned for the Tactical Air Navigation Aid (TACAN) by the responsible authority.</t>
  </si>
  <si>
    <t>The channel '22X' is assigned for the Tactical Air Navigation Aid (TACAN) by the responsible authority.</t>
  </si>
  <si>
    <t>The channel '22Y' is assigned for the Tactical Air Navigation Aid (TACAN) by the responsible authority.</t>
  </si>
  <si>
    <t>The channel '22Z' is assigned for the Tactical Air Navigation Aid (TACAN) by the responsible authority.</t>
  </si>
  <si>
    <t>The channel '23X' is assigned for the Tactical Air Navigation Aid (TACAN) by the responsible authority.</t>
  </si>
  <si>
    <t>The channel '23Y' is assigned for the Tactical Air Navigation Aid (TACAN) by the responsible authority.</t>
  </si>
  <si>
    <t>The channel '23Z' is assigned for the Tactical Air Navigation Aid (TACAN) by the responsible authority.</t>
  </si>
  <si>
    <t>The channel '24W' is assigned for the Tactical Air Navigation Aid (TACAN) by the responsible authority.</t>
  </si>
  <si>
    <t>The channel '24X' is assigned for the Tactical Air Navigation Aid (TACAN) by the responsible authority.</t>
  </si>
  <si>
    <t>The channel '24Y' is assigned for the Tactical Air Navigation Aid (TACAN) by the responsible authority.</t>
  </si>
  <si>
    <t>The channel '24Z' is assigned for the Tactical Air Navigation Aid (TACAN) by the responsible authority.</t>
  </si>
  <si>
    <t>The channel '25X' is assigned for the Tactical Air Navigation Aid (TACAN) by the responsible authority.</t>
  </si>
  <si>
    <t>The channel '25Y' is assigned for the Tactical Air Navigation Aid (TACAN) by the responsible authority.</t>
  </si>
  <si>
    <t>The channel '25Z' is assigned for the Tactical Air Navigation Aid (TACAN) by the responsible authority.</t>
  </si>
  <si>
    <t>The channel '26W' is assigned for the Tactical Air Navigation Aid (TACAN) by the responsible authority.</t>
  </si>
  <si>
    <t>The channel '26X' is assigned for the Tactical Air Navigation Aid (TACAN) by the responsible authority.</t>
  </si>
  <si>
    <t>The channel '26Y' is assigned for the Tactical Air Navigation Aid (TACAN) by the responsible authority.</t>
  </si>
  <si>
    <t>The channel '26Z' is assigned for the Tactical Air Navigation Aid (TACAN) by the responsible authority.</t>
  </si>
  <si>
    <t>The channel '27X' is assigned for the Tactical Air Navigation Aid (TACAN) by the responsible authority.</t>
  </si>
  <si>
    <t>The channel '27Y' is assigned for the Tactical Air Navigation Aid (TACAN) by the responsible authority.</t>
  </si>
  <si>
    <t>The channel '27Z' is assigned for the Tactical Air Navigation Aid (TACAN) by the responsible authority.</t>
  </si>
  <si>
    <t>The channel '28W' is assigned for the Tactical Air Navigation Aid (TACAN) by the responsible authority.</t>
  </si>
  <si>
    <t>The channel '28X' is assigned for the Tactical Air Navigation Aid (TACAN) by the responsible authority.</t>
  </si>
  <si>
    <t>The channel '28Y' is assigned for the Tactical Air Navigation Aid (TACAN) by the responsible authority.</t>
  </si>
  <si>
    <t>The channel '28Z' is assigned for the Tactical Air Navigation Aid (TACAN) by the responsible authority.</t>
  </si>
  <si>
    <t>The channel '29X' is assigned for the Tactical Air Navigation Aid (TACAN) by the responsible authority.</t>
  </si>
  <si>
    <t>The channel '29Y' is assigned for the Tactical Air Navigation Aid (TACAN) by the responsible authority.</t>
  </si>
  <si>
    <t>The channel '29Z' is assigned for the Tactical Air Navigation Aid (TACAN) by the responsible authority.</t>
  </si>
  <si>
    <t>The channel '2X' is assigned for the Tactical Air Navigation Aid (TACAN) by the responsible authority.</t>
  </si>
  <si>
    <t>The channel '2Y' is assigned for the Tactical Air Navigation Aid (TACAN) by the responsible authority.</t>
  </si>
  <si>
    <t>The channel '30W' is assigned for the Tactical Air Navigation Aid (TACAN) by the responsible authority.</t>
  </si>
  <si>
    <t>The channel '30X' is assigned for the Tactical Air Navigation Aid (TACAN) by the responsible authority.</t>
  </si>
  <si>
    <t>The channel '30Y' is assigned for the Tactical Air Navigation Aid (TACAN) by the responsible authority.</t>
  </si>
  <si>
    <t>The channel '30Z' is assigned for the Tactical Air Navigation Aid (TACAN) by the responsible authority.</t>
  </si>
  <si>
    <t>The channel '31X' is assigned for the Tactical Air Navigation Aid (TACAN) by the responsible authority.</t>
  </si>
  <si>
    <t>The channel '31Y' is assigned for the Tactical Air Navigation Aid (TACAN) by the responsible authority.</t>
  </si>
  <si>
    <t>The channel '31Z' is assigned for the Tactical Air Navigation Aid (TACAN) by the responsible authority.</t>
  </si>
  <si>
    <t>The channel '32W' is assigned for the Tactical Air Navigation Aid (TACAN) by the responsible authority.</t>
  </si>
  <si>
    <t>The channel '32X' is assigned for the Tactical Air Navigation Aid (TACAN) by the responsible authority.</t>
  </si>
  <si>
    <t>The channel '32Y' is assigned for the Tactical Air Navigation Aid (TACAN) by the responsible authority.</t>
  </si>
  <si>
    <t>The channel '32Z' is assigned for the Tactical Air Navigation Aid (TACAN) by the responsible authority.</t>
  </si>
  <si>
    <t>The channel '33X' is assigned for the Tactical Air Navigation Aid (TACAN) by the responsible authority.</t>
  </si>
  <si>
    <t>The channel '33Y' is assigned for the Tactical Air Navigation Aid (TACAN) by the responsible authority.</t>
  </si>
  <si>
    <t>The channel '33Z' is assigned for the Tactical Air Navigation Aid (TACAN) by the responsible authority.</t>
  </si>
  <si>
    <t>The channel '34W' is assigned for the Tactical Air Navigation Aid (TACAN) by the responsible authority.</t>
  </si>
  <si>
    <t>The channel '34X' is assigned for the Tactical Air Navigation Aid (TACAN) by the responsible authority.</t>
  </si>
  <si>
    <t>The channel '34Y' is assigned for the Tactical Air Navigation Aid (TACAN) by the responsible authority.</t>
  </si>
  <si>
    <t>The channel '34Z' is assigned for the Tactical Air Navigation Aid (TACAN) by the responsible authority.</t>
  </si>
  <si>
    <t>The channel '35X' is assigned for the Tactical Air Navigation Aid (TACAN) by the responsible authority.</t>
  </si>
  <si>
    <t>The channel '35Y' is assigned for the Tactical Air Navigation Aid (TACAN) by the responsible authority.</t>
  </si>
  <si>
    <t>The channel '35Z' is assigned for the Tactical Air Navigation Aid (TACAN) by the responsible authority.</t>
  </si>
  <si>
    <t>The channel '36W' is assigned for the Tactical Air Navigation Aid (TACAN) by the responsible authority.</t>
  </si>
  <si>
    <t>The channel '36X' is assigned for the Tactical Air Navigation Aid (TACAN) by the responsible authority.</t>
  </si>
  <si>
    <t>The channel '36Y' is assigned for the Tactical Air Navigation Aid (TACAN) by the responsible authority.</t>
  </si>
  <si>
    <t>The channel '36Z' is assigned for the Tactical Air Navigation Aid (TACAN) by the responsible authority.</t>
  </si>
  <si>
    <t>The channel '37X' is assigned for the Tactical Air Navigation Aid (TACAN) by the responsible authority.</t>
  </si>
  <si>
    <t>The channel '37Y' is assigned for the Tactical Air Navigation Aid (TACAN) by the responsible authority.</t>
  </si>
  <si>
    <t>The channel '37Z' is assigned for the Tactical Air Navigation Aid (TACAN) by the responsible authority.</t>
  </si>
  <si>
    <t>The channel '38W' is assigned for the Tactical Air Navigation Aid (TACAN) by the responsible authority.</t>
  </si>
  <si>
    <t>The channel '38X' is assigned for the Tactical Air Navigation Aid (TACAN) by the responsible authority.</t>
  </si>
  <si>
    <t>The channel '38Y' is assigned for the Tactical Air Navigation Aid (TACAN) by the responsible authority.</t>
  </si>
  <si>
    <t>The channel '38Z' is assigned for the Tactical Air Navigation Aid (TACAN) by the responsible authority.</t>
  </si>
  <si>
    <t>The channel '39X' is assigned for the Tactical Air Navigation Aid (TACAN) by the responsible authority.</t>
  </si>
  <si>
    <t>The channel '39Y' is assigned for the Tactical Air Navigation Aid (TACAN) by the responsible authority.</t>
  </si>
  <si>
    <t>The channel '39Z' is assigned for the Tactical Air Navigation Aid (TACAN) by the responsible authority.</t>
  </si>
  <si>
    <t>The channel '3X' is assigned for the Tactical Air Navigation Aid (TACAN) by the responsible authority.</t>
  </si>
  <si>
    <t>The channel '3Y' is assigned for the Tactical Air Navigation Aid (TACAN) by the responsible authority.</t>
  </si>
  <si>
    <t>The channel '40W' is assigned for the Tactical Air Navigation Aid (TACAN) by the responsible authority.</t>
  </si>
  <si>
    <t>The channel '40X' is assigned for the Tactical Air Navigation Aid (TACAN) by the responsible authority.</t>
  </si>
  <si>
    <t>The channel '40Y' is assigned for the Tactical Air Navigation Aid (TACAN) by the responsible authority.</t>
  </si>
  <si>
    <t>The channel '40Z' is assigned for the Tactical Air Navigation Aid (TACAN) by the responsible authority.</t>
  </si>
  <si>
    <t>The channel '41X' is assigned for the Tactical Air Navigation Aid (TACAN) by the responsible authority.</t>
  </si>
  <si>
    <t>The channel '41Y' is assigned for the Tactical Air Navigation Aid (TACAN) by the responsible authority.</t>
  </si>
  <si>
    <t>The channel '41Z' is assigned for the Tactical Air Navigation Aid (TACAN) by the responsible authority.</t>
  </si>
  <si>
    <t>The channel '42W' is assigned for the Tactical Air Navigation Aid (TACAN) by the responsible authority.</t>
  </si>
  <si>
    <t>The channel '42X' is assigned for the Tactical Air Navigation Aid (TACAN) by the responsible authority.</t>
  </si>
  <si>
    <t>The channel '42Y' is assigned for the Tactical Air Navigation Aid (TACAN) by the responsible authority.</t>
  </si>
  <si>
    <t>The channel '42Z' is assigned for the Tactical Air Navigation Aid (TACAN) by the responsible authority.</t>
  </si>
  <si>
    <t>The channel '43X' is assigned for the Tactical Air Navigation Aid (TACAN) by the responsible authority.</t>
  </si>
  <si>
    <t>The channel '43Y' is assigned for the Tactical Air Navigation Aid (TACAN) by the responsible authority.</t>
  </si>
  <si>
    <t>The channel '43Z' is assigned for the Tactical Air Navigation Aid (TACAN) by the responsible authority.</t>
  </si>
  <si>
    <t>The channel '44W' is assigned for the Tactical Air Navigation Aid (TACAN) by the responsible authority.</t>
  </si>
  <si>
    <t>The channel '44X' is assigned for the Tactical Air Navigation Aid (TACAN) by the responsible authority.</t>
  </si>
  <si>
    <t>The channel '44Y' is assigned for the Tactical Air Navigation Aid (TACAN) by the responsible authority.</t>
  </si>
  <si>
    <t>The channel '44Z' is assigned for the Tactical Air Navigation Aid (TACAN) by the responsible authority.</t>
  </si>
  <si>
    <t>The channel '45X' is assigned for the Tactical Air Navigation Aid (TACAN) by the responsible authority.</t>
  </si>
  <si>
    <t>The channel '45Y' is assigned for the Tactical Air Navigation Aid (TACAN) by the responsible authority.</t>
  </si>
  <si>
    <t>The channel '45Z' is assigned for the Tactical Air Navigation Aid (TACAN) by the responsible authority.</t>
  </si>
  <si>
    <t>The channel '46W' is assigned for the Tactical Air Navigation Aid (TACAN) by the responsible authority.</t>
  </si>
  <si>
    <t>The channel '46X' is assigned for the Tactical Air Navigation Aid (TACAN) by the responsible authority.</t>
  </si>
  <si>
    <t>The channel '46Y' is assigned for the Tactical Air Navigation Aid (TACAN) by the responsible authority.</t>
  </si>
  <si>
    <t>The channel '46Z' is assigned for the Tactical Air Navigation Aid (TACAN) by the responsible authority.</t>
  </si>
  <si>
    <t>The channel '47X' is assigned for the Tactical Air Navigation Aid (TACAN) by the responsible authority.</t>
  </si>
  <si>
    <t>The channel '47Y' is assigned for the Tactical Air Navigation Aid (TACAN) by the responsible authority.</t>
  </si>
  <si>
    <t>The channel '47Z' is assigned for the Tactical Air Navigation Aid (TACAN) by the responsible authority.</t>
  </si>
  <si>
    <t>The channel '48W' is assigned for the Tactical Air Navigation Aid (TACAN) by the responsible authority.</t>
  </si>
  <si>
    <t>The channel '48X' is assigned for the Tactical Air Navigation Aid (TACAN) by the responsible authority.</t>
  </si>
  <si>
    <t>The channel '48Y' is assigned for the Tactical Air Navigation Aid (TACAN) by the responsible authority.</t>
  </si>
  <si>
    <t>The channel '48Z' is assigned for the Tactical Air Navigation Aid (TACAN) by the responsible authority.</t>
  </si>
  <si>
    <t>The channel '49X' is assigned for the Tactical Air Navigation Aid (TACAN) by the responsible authority.</t>
  </si>
  <si>
    <t>The channel '49Y' is assigned for the Tactical Air Navigation Aid (TACAN) by the responsible authority.</t>
  </si>
  <si>
    <t>The channel '49Z' is assigned for the Tactical Air Navigation Aid (TACAN) by the responsible authority.</t>
  </si>
  <si>
    <t>The channel '4X' is assigned for the Tactical Air Navigation Aid (TACAN) by the responsible authority.</t>
  </si>
  <si>
    <t>The channel '4Y' is assigned for the Tactical Air Navigation Aid (TACAN) by the responsible authority.</t>
  </si>
  <si>
    <t>The channel '50W' is assigned for the Tactical Air Navigation Aid (TACAN) by the responsible authority.</t>
  </si>
  <si>
    <t>The channel '50X' is assigned for the Tactical Air Navigation Aid (TACAN) by the responsible authority.</t>
  </si>
  <si>
    <t>The channel '50Y' is assigned for the Tactical Air Navigation Aid (TACAN) by the responsible authority.</t>
  </si>
  <si>
    <t>The channel '50Z' is assigned for the Tactical Air Navigation Aid (TACAN) by the responsible authority.</t>
  </si>
  <si>
    <t>The channel '51X' is assigned for the Tactical Air Navigation Aid (TACAN) by the responsible authority.</t>
  </si>
  <si>
    <t>The channel '51Y' is assigned for the Tactical Air Navigation Aid (TACAN) by the responsible authority.</t>
  </si>
  <si>
    <t>The channel '51Z' is assigned for the Tactical Air Navigation Aid (TACAN) by the responsible authority.</t>
  </si>
  <si>
    <t>The channel '52W' is assigned for the Tactical Air Navigation Aid (TACAN) by the responsible authority.</t>
  </si>
  <si>
    <t>The channel '52X' is assigned for the Tactical Air Navigation Aid (TACAN) by the responsible authority.</t>
  </si>
  <si>
    <t>The channel '52Y' is assigned for the Tactical Air Navigation Aid (TACAN) by the responsible authority.</t>
  </si>
  <si>
    <t>The channel '52Z' is assigned for the Tactical Air Navigation Aid (TACAN) by the responsible authority.</t>
  </si>
  <si>
    <t>The channel '53X' is assigned for the Tactical Air Navigation Aid (TACAN) by the responsible authority.</t>
  </si>
  <si>
    <t>The channel '53Y' is assigned for the Tactical Air Navigation Aid (TACAN) by the responsible authority.</t>
  </si>
  <si>
    <t>The channel '53Z' is assigned for the Tactical Air Navigation Aid (TACAN) by the responsible authority.</t>
  </si>
  <si>
    <t>The channel '54W' is assigned for the Tactical Air Navigation Aid (TACAN) by the responsible authority.</t>
  </si>
  <si>
    <t>The channel '54X' is assigned for the Tactical Air Navigation Aid (TACAN) by the responsible authority.</t>
  </si>
  <si>
    <t>The channel '54Y' is assigned for the Tactical Air Navigation Aid (TACAN) by the responsible authority.</t>
  </si>
  <si>
    <t>The channel '54Z' is assigned for the Tactical Air Navigation Aid (TACAN) by the responsible authority.</t>
  </si>
  <si>
    <t>The channel '55X' is assigned for the Tactical Air Navigation Aid (TACAN) by the responsible authority.</t>
  </si>
  <si>
    <t>The channel '55Y' is assigned for the Tactical Air Navigation Aid (TACAN) by the responsible authority.</t>
  </si>
  <si>
    <t>The channel '55Z' is assigned for the Tactical Air Navigation Aid (TACAN) by the responsible authority.</t>
  </si>
  <si>
    <t>The channel '56W' is assigned for the Tactical Air Navigation Aid (TACAN) by the responsible authority.</t>
  </si>
  <si>
    <t>The channel '56X' is assigned for the Tactical Air Navigation Aid (TACAN) by the responsible authority.</t>
  </si>
  <si>
    <t>The channel '56Y' is assigned for the Tactical Air Navigation Aid (TACAN) by the responsible authority.</t>
  </si>
  <si>
    <t>The channel '56Z' is assigned for the Tactical Air Navigation Aid (TACAN) by the responsible authority.</t>
  </si>
  <si>
    <t>The channel '57X' is assigned for the Tactical Air Navigation Aid (TACAN) by the responsible authority.</t>
  </si>
  <si>
    <t>The channel '57Y' is assigned for the Tactical Air Navigation Aid (TACAN) by the responsible authority.</t>
  </si>
  <si>
    <t>The channel '58X' is assigned for the Tactical Air Navigation Aid (TACAN) by the responsible authority.</t>
  </si>
  <si>
    <t>The channel '58Y' is assigned for the Tactical Air Navigation Aid (TACAN) by the responsible authority.</t>
  </si>
  <si>
    <t>The channel '59X' is assigned for the Tactical Air Navigation Aid (TACAN) by the responsible authority.</t>
  </si>
  <si>
    <t>The channel '59Y' is assigned for the Tactical Air Navigation Aid (TACAN) by the responsible authority.</t>
  </si>
  <si>
    <t>The channel '5X' is assigned for the Tactical Air Navigation Aid (TACAN) by the responsible authority.</t>
  </si>
  <si>
    <t>The channel '5Y' is assigned for the Tactical Air Navigation Aid (TACAN) by the responsible authority.</t>
  </si>
  <si>
    <t>The channel '60X' is assigned for the Tactical Air Navigation Aid (TACAN) by the responsible authority.</t>
  </si>
  <si>
    <t>The channel '60Y' is assigned for the Tactical Air Navigation Aid (TACAN) by the responsible authority.</t>
  </si>
  <si>
    <t>The channel '61X' is assigned for the Tactical Air Navigation Aid (TACAN) by the responsible authority.</t>
  </si>
  <si>
    <t>The channel '61Y' is assigned for the Tactical Air Navigation Aid (TACAN) by the responsible authority.</t>
  </si>
  <si>
    <t>The channel '62X' is assigned for the Tactical Air Navigation Aid (TACAN) by the responsible authority.</t>
  </si>
  <si>
    <t>The channel '62Y' is assigned for the Tactical Air Navigation Aid (TACAN) by the responsible authority.</t>
  </si>
  <si>
    <t>The channel '63X' is assigned for the Tactical Air Navigation Aid (TACAN) by the responsible authority.</t>
  </si>
  <si>
    <t>The channel '63Y' is assigned for the Tactical Air Navigation Aid (TACAN) by the responsible authority.</t>
  </si>
  <si>
    <t>The channel '64X' is assigned for the Tactical Air Navigation Aid (TACAN) by the responsible authority.</t>
  </si>
  <si>
    <t>The channel '64Y' is assigned for the Tactical Air Navigation Aid (TACAN) by the responsible authority.</t>
  </si>
  <si>
    <t>The channel '65X' is assigned for the Tactical Air Navigation Aid (TACAN) by the responsible authority.</t>
  </si>
  <si>
    <t>The channel '65Y' is assigned for the Tactical Air Navigation Aid (TACAN) by the responsible authority.</t>
  </si>
  <si>
    <t>The channel '66X' is assigned for the Tactical Air Navigation Aid (TACAN) by the responsible authority.</t>
  </si>
  <si>
    <t>The channel '66Y' is assigned for the Tactical Air Navigation Aid (TACAN) by the responsible authority.</t>
  </si>
  <si>
    <t>The channel '67X' is assigned for the Tactical Air Navigation Aid (TACAN) by the responsible authority.</t>
  </si>
  <si>
    <t>The channel '67Y' is assigned for the Tactical Air Navigation Aid (TACAN) by the responsible authority.</t>
  </si>
  <si>
    <t>The channel '68X' is assigned for the Tactical Air Navigation Aid (TACAN) by the responsible authority.</t>
  </si>
  <si>
    <t>The channel '68Y' is assigned for the Tactical Air Navigation Aid (TACAN) by the responsible authority.</t>
  </si>
  <si>
    <t>The channel '69X' is assigned for the Tactical Air Navigation Aid (TACAN) by the responsible authority.</t>
  </si>
  <si>
    <t>The channel '69Y' is assigned for the Tactical Air Navigation Aid (TACAN) by the responsible authority.</t>
  </si>
  <si>
    <t>The channel '6X' is assigned for the Tactical Air Navigation Aid (TACAN) by the responsible authority.</t>
  </si>
  <si>
    <t>The channel '6Y' is assigned for the Tactical Air Navigation Aid (TACAN) by the responsible authority.</t>
  </si>
  <si>
    <t>The channel '70X' is assigned for the Tactical Air Navigation Aid (TACAN) by the responsible authority.</t>
  </si>
  <si>
    <t>The channel '70Y' is assigned for the Tactical Air Navigation Aid (TACAN) by the responsible authority.</t>
  </si>
  <si>
    <t>The channel '71X' is assigned for the Tactical Air Navigation Aid (TACAN) by the responsible authority.</t>
  </si>
  <si>
    <t>The channel '71Y' is assigned for the Tactical Air Navigation Aid (TACAN) by the responsible authority.</t>
  </si>
  <si>
    <t>The channel '72X' is assigned for the Tactical Air Navigation Aid (TACAN) by the responsible authority.</t>
  </si>
  <si>
    <t>The channel '72Y' is assigned for the Tactical Air Navigation Aid (TACAN) by the responsible authority.</t>
  </si>
  <si>
    <t>The channel '73X' is assigned for the Tactical Air Navigation Aid (TACAN) by the responsible authority.</t>
  </si>
  <si>
    <t>The channel '73Y' is assigned for the Tactical Air Navigation Aid (TACAN) by the responsible authority.</t>
  </si>
  <si>
    <t>The channel '74X' is assigned for the Tactical Air Navigation Aid (TACAN) by the responsible authority.</t>
  </si>
  <si>
    <t>The channel '74Y' is assigned for the Tactical Air Navigation Aid (TACAN) by the responsible authority.</t>
  </si>
  <si>
    <t>The channel '75X' is assigned for the Tactical Air Navigation Aid (TACAN) by the responsible authority.</t>
  </si>
  <si>
    <t>The channel '75Y' is assigned for the Tactical Air Navigation Aid (TACAN) by the responsible authority.</t>
  </si>
  <si>
    <t>The channel '76X' is assigned for the Tactical Air Navigation Aid (TACAN) by the responsible authority.</t>
  </si>
  <si>
    <t>The channel '76Y' is assigned for the Tactical Air Navigation Aid (TACAN) by the responsible authority.</t>
  </si>
  <si>
    <t>The channel '77X' is assigned for the Tactical Air Navigation Aid (TACAN) by the responsible authority.</t>
  </si>
  <si>
    <t>The channel '77Y' is assigned for the Tactical Air Navigation Aid (TACAN) by the responsible authority.</t>
  </si>
  <si>
    <t>The channel '78X' is assigned for the Tactical Air Navigation Aid (TACAN) by the responsible authority.</t>
  </si>
  <si>
    <t>The channel '78Y' is assigned for the Tactical Air Navigation Aid (TACAN) by the responsible authority.</t>
  </si>
  <si>
    <t>The channel '79X' is assigned for the Tactical Air Navigation Aid (TACAN) by the responsible authority.</t>
  </si>
  <si>
    <t>The channel '79Y' is assigned for the Tactical Air Navigation Aid (TACAN) by the responsible authority.</t>
  </si>
  <si>
    <t>The channel '7X' is assigned for the Tactical Air Navigation Aid (TACAN) by the responsible authority.</t>
  </si>
  <si>
    <t>The channel '7Y' is assigned for the Tactical Air Navigation Aid (TACAN) by the responsible authority.</t>
  </si>
  <si>
    <t>The channel '80X' is assigned for the Tactical Air Navigation Aid (TACAN) by the responsible authority.</t>
  </si>
  <si>
    <t>The channel '80Y' is assigned for the Tactical Air Navigation Aid (TACAN) by the responsible authority.</t>
  </si>
  <si>
    <t>The channel '80Z' is assigned for the Tactical Air Navigation Aid (TACAN) by the responsible authority.</t>
  </si>
  <si>
    <t>The channel '81X' is assigned for the Tactical Air Navigation Aid (TACAN) by the responsible authority.</t>
  </si>
  <si>
    <t>The channel '81Y' is assigned for the Tactical Air Navigation Aid (TACAN) by the responsible authority.</t>
  </si>
  <si>
    <t>The channel '81Z' is assigned for the Tactical Air Navigation Aid (TACAN) by the responsible authority.</t>
  </si>
  <si>
    <t>The channel '82X' is assigned for the Tactical Air Navigation Aid (TACAN) by the responsible authority.</t>
  </si>
  <si>
    <t>The channel '82Y' is assigned for the Tactical Air Navigation Aid (TACAN) by the responsible authority.</t>
  </si>
  <si>
    <t>The channel '82Z' is assigned for the Tactical Air Navigation Aid (TACAN) by the responsible authority.</t>
  </si>
  <si>
    <t>The channel '83X' is assigned for the Tactical Air Navigation Aid (TACAN) by the responsible authority.</t>
  </si>
  <si>
    <t>The channel '83Y' is assigned for the Tactical Air Navigation Aid (TACAN) by the responsible authority.</t>
  </si>
  <si>
    <t>The channel '83Z' is assigned for the Tactical Air Navigation Aid (TACAN) by the responsible authority.</t>
  </si>
  <si>
    <t>The channel '84X' is assigned for the Tactical Air Navigation Aid (TACAN) by the responsible authority.</t>
  </si>
  <si>
    <t>The channel '84Y' is assigned for the Tactical Air Navigation Aid (TACAN) by the responsible authority.</t>
  </si>
  <si>
    <t>The channel '84Z' is assigned for the Tactical Air Navigation Aid (TACAN) by the responsible authority.</t>
  </si>
  <si>
    <t>The channel '85X' is assigned for the Tactical Air Navigation Aid (TACAN) by the responsible authority.</t>
  </si>
  <si>
    <t>The channel '85Y' is assigned for the Tactical Air Navigation Aid (TACAN) by the responsible authority.</t>
  </si>
  <si>
    <t>The channel '85Z' is assigned for the Tactical Air Navigation Aid (TACAN) by the responsible authority.</t>
  </si>
  <si>
    <t>The channel '86X' is assigned for the Tactical Air Navigation Aid (TACAN) by the responsible authority.</t>
  </si>
  <si>
    <t>The channel '86Y' is assigned for the Tactical Air Navigation Aid (TACAN) by the responsible authority.</t>
  </si>
  <si>
    <t>The channel '86Z' is assigned for the Tactical Air Navigation Aid (TACAN) by the responsible authority.</t>
  </si>
  <si>
    <t>The channel '87X' is assigned for the Tactical Air Navigation Aid (TACAN) by the responsible authority.</t>
  </si>
  <si>
    <t>The channel '87Y' is assigned for the Tactical Air Navigation Aid (TACAN) by the responsible authority.</t>
  </si>
  <si>
    <t>The channel '87Z' is assigned for the Tactical Air Navigation Aid (TACAN) by the responsible authority.</t>
  </si>
  <si>
    <t>The channel '88X' is assigned for the Tactical Air Navigation Aid (TACAN) by the responsible authority.</t>
  </si>
  <si>
    <t>The channel '88Y' is assigned for the Tactical Air Navigation Aid (TACAN) by the responsible authority.</t>
  </si>
  <si>
    <t>The channel '88Z' is assigned for the Tactical Air Navigation Aid (TACAN) by the responsible authority.</t>
  </si>
  <si>
    <t>The channel '89X' is assigned for the Tactical Air Navigation Aid (TACAN) by the responsible authority.</t>
  </si>
  <si>
    <t>The channel '89Y' is assigned for the Tactical Air Navigation Aid (TACAN) by the responsible authority.</t>
  </si>
  <si>
    <t>The channel '89Z' is assigned for the Tactical Air Navigation Aid (TACAN) by the responsible authority.</t>
  </si>
  <si>
    <t>The channel '8X' is assigned for the Tactical Air Navigation Aid (TACAN) by the responsible authority.</t>
  </si>
  <si>
    <t>The channel '8Y' is assigned for the Tactical Air Navigation Aid (TACAN) by the responsible authority.</t>
  </si>
  <si>
    <t>The channel '90X' is assigned for the Tactical Air Navigation Aid (TACAN) by the responsible authority.</t>
  </si>
  <si>
    <t>The channel '90Y' is assigned for the Tactical Air Navigation Aid (TACAN) by the responsible authority.</t>
  </si>
  <si>
    <t>The channel '90Z' is assigned for the Tactical Air Navigation Aid (TACAN) by the responsible authority.</t>
  </si>
  <si>
    <t>The channel '91X' is assigned for the Tactical Air Navigation Aid (TACAN) by the responsible authority.</t>
  </si>
  <si>
    <t>The channel '91Y' is assigned for the Tactical Air Navigation Aid (TACAN) by the responsible authority.</t>
  </si>
  <si>
    <t>The channel '91Z' is assigned for the Tactical Air Navigation Aid (TACAN) by the responsible authority.</t>
  </si>
  <si>
    <t>The channel '92X' is assigned for the Tactical Air Navigation Aid (TACAN) by the responsible authority.</t>
  </si>
  <si>
    <t>The channel '92Y' is assigned for the Tactical Air Navigation Aid (TACAN) by the responsible authority.</t>
  </si>
  <si>
    <t>The channel '92Z' is assigned for the Tactical Air Navigation Aid (TACAN) by the responsible authority.</t>
  </si>
  <si>
    <t>The channel '93X' is assigned for the Tactical Air Navigation Aid (TACAN) by the responsible authority.</t>
  </si>
  <si>
    <t>The channel '93Y' is assigned for the Tactical Air Navigation Aid (TACAN) by the responsible authority.</t>
  </si>
  <si>
    <t>The channel '93Z' is assigned for the Tactical Air Navigation Aid (TACAN) by the responsible authority.</t>
  </si>
  <si>
    <t>The channel '94X' is assigned for the Tactical Air Navigation Aid (TACAN) by the responsible authority.</t>
  </si>
  <si>
    <t>The channel '94Y' is assigned for the Tactical Air Navigation Aid (TACAN) by the responsible authority.</t>
  </si>
  <si>
    <t>The channel '94Z' is assigned for the Tactical Air Navigation Aid (TACAN) by the responsible authority.</t>
  </si>
  <si>
    <t>The channel '95X' is assigned for the Tactical Air Navigation Aid (TACAN) by the responsible authority.</t>
  </si>
  <si>
    <t>The channel '95Y' is assigned for the Tactical Air Navigation Aid (TACAN) by the responsible authority.</t>
  </si>
  <si>
    <t>The channel '95Z' is assigned for the Tactical Air Navigation Aid (TACAN) by the responsible authority.</t>
  </si>
  <si>
    <t>The channel '96X' is assigned for the Tactical Air Navigation Aid (TACAN) by the responsible authority.</t>
  </si>
  <si>
    <t>The channel '96Y' is assigned for the Tactical Air Navigation Aid (TACAN) by the responsible authority.</t>
  </si>
  <si>
    <t>The channel '96Z' is assigned for the Tactical Air Navigation Aid (TACAN) by the responsible authority.</t>
  </si>
  <si>
    <t>The channel '97X' is assigned for the Tactical Air Navigation Aid (TACAN) by the responsible authority.</t>
  </si>
  <si>
    <t>The channel '97Y' is assigned for the Tactical Air Navigation Aid (TACAN) by the responsible authority.</t>
  </si>
  <si>
    <t>The channel '97Z' is assigned for the Tactical Air Navigation Aid (TACAN) by the responsible authority.</t>
  </si>
  <si>
    <t>The channel '98X' is assigned for the Tactical Air Navigation Aid (TACAN) by the responsible authority.</t>
  </si>
  <si>
    <t>The channel '98Y' is assigned for the Tactical Air Navigation Aid (TACAN) by the responsible authority.</t>
  </si>
  <si>
    <t>The channel '98Z' is assigned for the Tactical Air Navigation Aid (TACAN) by the responsible authority.</t>
  </si>
  <si>
    <t>The channel '99X' is assigned for the Tactical Air Navigation Aid (TACAN) by the responsible authority.</t>
  </si>
  <si>
    <t>The channel '99Y' is assigned for the Tactical Air Navigation Aid (TACAN) by the responsible authority.</t>
  </si>
  <si>
    <t>The channel '99Z' is assigned for the Tactical Air Navigation Aid (TACAN) by the responsible authority.</t>
  </si>
  <si>
    <t>The channel '9X' is assigned for the Tactical Air Navigation Aid (TACAN) by the responsible authority.</t>
  </si>
  <si>
    <t>The channel '9Y' is assigned for the Tactical Air Navigation Aid (TACAN) by the responsible authority.</t>
  </si>
  <si>
    <t>airTaxiway</t>
  </si>
  <si>
    <t>Air Taxiway</t>
  </si>
  <si>
    <t>A defined path on the surface established for the air taxiing of helicopters.</t>
  </si>
  <si>
    <t>aircraftStandTaxilane</t>
  </si>
  <si>
    <t>Aircraft Stand Taxilane</t>
  </si>
  <si>
    <t>A portion of an apron designated as a taxiway and intended to provide access to aircraft stands only.</t>
  </si>
  <si>
    <t>apronTaxiway</t>
  </si>
  <si>
    <t>Apron Taxiway</t>
  </si>
  <si>
    <t>A portion of a taxiway system located on an apron and intended to provide a through taxi route across the apron.</t>
  </si>
  <si>
    <t>Leads from a runway, taxiway, or apron, to another dispersed runway and associated parking areas, bunkers, and/or hardstands.</t>
  </si>
  <si>
    <t>helicopterGroundTaxiway</t>
  </si>
  <si>
    <t>Helicopter Ground Taxiway</t>
  </si>
  <si>
    <t>A ground taxiway for use by helicopters only.</t>
  </si>
  <si>
    <t>leadInTaxilane</t>
  </si>
  <si>
    <t>Lead-in Taxilane</t>
  </si>
  <si>
    <t>A taxiway whose specific use is as an entrance to an apron or parking area.</t>
  </si>
  <si>
    <t>leadOutTaxilane</t>
  </si>
  <si>
    <t>Lead-out Taxilane</t>
  </si>
  <si>
    <t>A taxiway whose specific use is as an exit to an apron or parking area.</t>
  </si>
  <si>
    <t>loop</t>
  </si>
  <si>
    <t>Loop</t>
  </si>
  <si>
    <t>Leads off either end of a runway or another taxiway to a dispersal or other parking area and then returns to its point of origin.</t>
  </si>
  <si>
    <t>parallelTaxiway</t>
  </si>
  <si>
    <t>Parallel Taxiway</t>
  </si>
  <si>
    <t>A taxiway that parallels a runway.</t>
  </si>
  <si>
    <t>perimeter</t>
  </si>
  <si>
    <t>Perimeter</t>
  </si>
  <si>
    <t>Travels the whole or half of the perimeter of an aerodrome.</t>
  </si>
  <si>
    <t>rapidExitTurnoffTaxiway</t>
  </si>
  <si>
    <t>Rapid Exit and/or Turnoff Taxiway</t>
  </si>
  <si>
    <t>A taxiway connected to a runway at an acute angle and designed to allow landing aircraft to turn off at higher speeds than are achieved on other exit taxiways thereby minimizing runway occupancy times.</t>
  </si>
  <si>
    <t>High-Speed Taxiway</t>
  </si>
  <si>
    <t>stubTaxiway</t>
  </si>
  <si>
    <t>Stub Taxiway</t>
  </si>
  <si>
    <t>Either links a runway with a parallel taxiway, one taxiway with another taxiway, or a runway directly with an apron.</t>
  </si>
  <si>
    <t>Link</t>
  </si>
  <si>
    <t>turnaroundTaxiway</t>
  </si>
  <si>
    <t>Turnaround Taxiway</t>
  </si>
  <si>
    <t>A taxiway specifically designed to enable an aircraft to reverse directions.</t>
  </si>
  <si>
    <t>localAccessTransportArea</t>
  </si>
  <si>
    <t>Local Access and Transport Area (LATA)</t>
  </si>
  <si>
    <t>A territorial region specified through a regulatory process (the 1984 AT&amp;T Divestiture) within which a divested Regional Bell Operating Company (RBOC) is permitted to offer exchange telecommunications and access services.</t>
  </si>
  <si>
    <t>The RBOCs are generally prohibited from providing services that originate in one LATA and terminate in another. LATA boundaries are generally drawn around markets, and not necessarily along existing state, province, or even area (Numbering Plan Area (NPA)) code borders. Area codes and LATAs do not necessarily share boundaries; many LATAs exist in multiple area codes, and many area codes exist in multiple LATAs.</t>
  </si>
  <si>
    <t>localExchCarRateCentre</t>
  </si>
  <si>
    <t>Local Exchange Carrier Rate Centre</t>
  </si>
  <si>
    <t>A territorial region that has been assigned to a Local Exchange Carrier (LEC) for its provision of exchange services.</t>
  </si>
  <si>
    <t>Services include the issuance of phone numbers and setting of rate boundaries for billing.</t>
  </si>
  <si>
    <t>localExchCarWireCentre</t>
  </si>
  <si>
    <t>Local Exchange Carrier Wire Centre</t>
  </si>
  <si>
    <t>A territorial region wherein a Local Exchange Carrier (LEC) terminates local subscriber loops (for example: to the Point of Presence (POP) in homes or businesses) at a Central Office (CO) or telephone switch, each wire center serving a unique set of telephone numbers.</t>
  </si>
  <si>
    <t>A wire center can be a building or space within a building that serves as an aggregation point on a LEC's network, where transmission facilities and circuits are connected or switched. It can also denote a building in which one or more COs, used for the provision of exchange services and access services, are located.</t>
  </si>
  <si>
    <t>localNumPlanArea</t>
  </si>
  <si>
    <t>Local Numbering Plan Area</t>
  </si>
  <si>
    <t>A local territorial region served by a single three-digit telephone Numbering Plan Area (NPA) code, commonly called an 'area code'.</t>
  </si>
  <si>
    <t>The North American Numbering Plan (NANP) is an integrated telephone numbering plan serving 19 North American countries that share its resources. These countries include the United States and its territories, Canada, Bermuda, Anguilla, Antigua and Barbuda, the Bahamas, Barbados, the British Virgin Islands, the Cayman Islands, Dominica, the Dominican Republic, Grenada, Jamaica, Montserrat, St. Kitts and Nevis, St. Lucia, St. Vincent and the Grenadines, Trinidad and Tobago, and Turks and Caicos. NANP numbers are ten-digit numbers consisting of a three-digit Numbering Plan Area (NPA) code, commonly called an area code, followed by a seven-digit local number.</t>
  </si>
  <si>
    <t>publicSafetyAnsPtServ</t>
  </si>
  <si>
    <t>Public Safety Answering Point (PSAP) Service</t>
  </si>
  <si>
    <t>A territorial region for which a facility (a 'call center') is equipped and staffed to receive landline telephone calls for police, firefighting and ambulance services (9-1-1 calls).</t>
  </si>
  <si>
    <t>A given region, in some cases, may be served by more than one PSAP. In these cases, any of the applicable PSAPs may take a 9-1-1 call. Where a specific call is routed may depend on how busy the applicable PSAP is (for load balancing), operational status (for redundancy), or the time or day of the week (for staff management).</t>
  </si>
  <si>
    <t>serviceBasedNumPlanArea</t>
  </si>
  <si>
    <t>Service-based Numbering Plan Area</t>
  </si>
  <si>
    <t>A broad territorial region served by a single three-digit telephone Numbering Plan Area (NPA) code, commonly called an 'area code', that designates a specific service (for example: toll-free calling using 8-0-0, premium services, or United States Governmental use) provided across that region.</t>
  </si>
  <si>
    <t>optical</t>
  </si>
  <si>
    <t>Optical</t>
  </si>
  <si>
    <t>An optical instrument for making distant objects appear nearer and larger, containing an arrangement of lenses, or of curved mirrors and lenses, by which rays of light are collected and focused and the resulting image magnified.</t>
  </si>
  <si>
    <t>parabolicRadioAerial</t>
  </si>
  <si>
    <t>Parabolic Radio Aerial</t>
  </si>
  <si>
    <t>An apparatus or installation for detecting and recording radio waves from the sky, consisting of a large directional parabolic aerial together with a receiver and recording equipment.</t>
  </si>
  <si>
    <t>radioAerialArray</t>
  </si>
  <si>
    <t>Radio Aerial Array</t>
  </si>
  <si>
    <t>An apparatus or installation for detecting and recording radio waves from the sky, consisting of an array of directional aerials together with receivers and recording equipment.</t>
  </si>
  <si>
    <t>leftBase</t>
  </si>
  <si>
    <t>Left Base</t>
  </si>
  <si>
    <t>The TAA area in which the aircraft is required to make a left turn after crossing the Initial Approach Fix (IAF) to be established on the final approach course.</t>
  </si>
  <si>
    <t>rightBase</t>
  </si>
  <si>
    <t>Right Base</t>
  </si>
  <si>
    <t>The TAA area in which the aircraft is required to make a right turn after crossing the Initial Approach Fix (IAF) to be established on the final approach course.</t>
  </si>
  <si>
    <t>The TAA area in which the aircraft is not required to make a turn after crossing the Initial Approach Fix (IAF) to be established on the final approach course.</t>
  </si>
  <si>
    <t>cliff</t>
  </si>
  <si>
    <t>Cliff</t>
  </si>
  <si>
    <t>A high, steep to perpendicular slope overlooking a waterbody or lower area.</t>
  </si>
  <si>
    <t>escarpment</t>
  </si>
  <si>
    <t>Escarpment</t>
  </si>
  <si>
    <t>A long line of cliffs or steep slopes separating level surfaces above and below.</t>
  </si>
  <si>
    <t>Scarp</t>
  </si>
  <si>
    <t>angular</t>
  </si>
  <si>
    <t>Angular</t>
  </si>
  <si>
    <t>An area of sharp rock outcrops.</t>
  </si>
  <si>
    <t>boulderField</t>
  </si>
  <si>
    <t>Boulder Field</t>
  </si>
  <si>
    <t>An area whose surface is covered almost entirely by boulders.</t>
  </si>
  <si>
    <t>Boulders are generally greater than 25 centimetres in diameter; some may be much larger.</t>
  </si>
  <si>
    <t>deepErosionalGullies</t>
  </si>
  <si>
    <t>Deep Erosional Gullies</t>
  </si>
  <si>
    <t>An area with eroded stream channels greater than 3 metres in depth.</t>
  </si>
  <si>
    <t>dissectedFloodplain</t>
  </si>
  <si>
    <t>Dissected Floodplain</t>
  </si>
  <si>
    <t>A level area created by alluvial action that has stream channels eroded into it.</t>
  </si>
  <si>
    <t>frostPolygons</t>
  </si>
  <si>
    <t>Frost Polygons</t>
  </si>
  <si>
    <t>An area of formed patterns of rock, soil and/or vegetation caused by frost action.</t>
  </si>
  <si>
    <t>highlyDissected</t>
  </si>
  <si>
    <t>Highly Dissected</t>
  </si>
  <si>
    <t>A relatively level area whose surface is covered mainly (greater than 50 percent) by eroding stream channels.</t>
  </si>
  <si>
    <t>highlyDistortedSharpRocky</t>
  </si>
  <si>
    <t>Highly Distorted with sharp Rocky Ridges</t>
  </si>
  <si>
    <t>An area that has been altered by mechanical means, resulting in steep-sided, narrow spines of bedrock.</t>
  </si>
  <si>
    <t>highlyFracturedRock</t>
  </si>
  <si>
    <t>Highly Fractured Rock</t>
  </si>
  <si>
    <t>An area of exposed bedrock containing cracks or faults.</t>
  </si>
  <si>
    <t>hummockyKarstLargeHills</t>
  </si>
  <si>
    <t>Hummocky Karst with Large Hills</t>
  </si>
  <si>
    <t>An area of hummocky karst with large cone-shaped hills and scattered depressions.</t>
  </si>
  <si>
    <t>hummockyKarstLowMounds</t>
  </si>
  <si>
    <t>Hummocky Karst with Low Mounds</t>
  </si>
  <si>
    <t>An area of hummocky karst with low broad-based mounds and scattered depressions.</t>
  </si>
  <si>
    <t>hummockyFrostHeaves</t>
  </si>
  <si>
    <t>Hummocky with Frost Heaves</t>
  </si>
  <si>
    <t>An area of small hillocks caused by the freeze-thaw cycle.</t>
  </si>
  <si>
    <t>irregularDeepFoliateFract</t>
  </si>
  <si>
    <t>Irregular with deep Foliation Fractures</t>
  </si>
  <si>
    <t>An uneven area with deep cracks caused by variations in lateral movement of the surface that result in splitting and separation of that surface.</t>
  </si>
  <si>
    <t>karstNumerousSinkholes</t>
  </si>
  <si>
    <t>Karst with numerous Sinkholes</t>
  </si>
  <si>
    <t>An area of karst with numerous depressions caused by the collapse of the underlying limestone, dolomite or gypsum bedrock.</t>
  </si>
  <si>
    <t>karstNumerousSinkSolValley</t>
  </si>
  <si>
    <t>Karst with numerous Sinkholes and Solution Valleys</t>
  </si>
  <si>
    <t>An area of karst with numerous depressions and valleys caused by the collapse of the underlying limestone, dolomite or gypsum bedrock.</t>
  </si>
  <si>
    <t>landslidePotential</t>
  </si>
  <si>
    <t>Landslide Potential</t>
  </si>
  <si>
    <t>An area where the chance for landslides is high due to either composition or slope.</t>
  </si>
  <si>
    <t>levelButUncohesive</t>
  </si>
  <si>
    <t>Level but Uncohesive</t>
  </si>
  <si>
    <t>A relatively level area where the terrain surface is loose or unconsolidated.</t>
  </si>
  <si>
    <t>meanderScarsLakes</t>
  </si>
  <si>
    <t>Meander Scars and Lakes</t>
  </si>
  <si>
    <t>A relatively level area with serpentine depressions and oxbow lakes created by shifting drainage.</t>
  </si>
  <si>
    <t>mineTailings</t>
  </si>
  <si>
    <t>Mine Tailing(s)</t>
  </si>
  <si>
    <t>An area covered by large mounds of spoil produced by mining.</t>
  </si>
  <si>
    <t>Waste Pile(s)</t>
  </si>
  <si>
    <t>moderatelyDissected</t>
  </si>
  <si>
    <t>Moderately Dissected</t>
  </si>
  <si>
    <t>A relatively level area whose surface is covered partially (between 20 to 50 percent) by gullies.</t>
  </si>
  <si>
    <t>moderatelyDissectScatRock</t>
  </si>
  <si>
    <t>Moderately Dissected with scattered Rock Outcrops</t>
  </si>
  <si>
    <t>A relatively level area whose surface is covered almost entirely by a mixture of gullies and bedrock outcrops.</t>
  </si>
  <si>
    <t>noEffect</t>
  </si>
  <si>
    <t>No Effect</t>
  </si>
  <si>
    <t>The surface morphology has no appreciable effect upon military operations.</t>
  </si>
  <si>
    <t>numerousBoulders</t>
  </si>
  <si>
    <t>Numerous Boulders</t>
  </si>
  <si>
    <t>An area whose surface is covered mainly (greater than 55 percent) by boulders.</t>
  </si>
  <si>
    <t>numerousCobblesBoulders</t>
  </si>
  <si>
    <t>Numerous Cobbles and Boulders</t>
  </si>
  <si>
    <t>An area whose surface is covered mainly (greater than 55 percent) by cobbles and boulders.</t>
  </si>
  <si>
    <t>Cobbles are generally greater than 6.4 centimetres in diameter; boulders are much larger.</t>
  </si>
  <si>
    <t>numerousCrevasses</t>
  </si>
  <si>
    <t>Numerous Crevasses</t>
  </si>
  <si>
    <t>An ice field containing an appreciable quantity of nearly vertical fissures.</t>
  </si>
  <si>
    <t>numerousDykedFields</t>
  </si>
  <si>
    <t>Numerous Dyked Fields</t>
  </si>
  <si>
    <t>An area containing numerous fields surrounded by individual embankments designed to flood and/or drain water from the fields.</t>
  </si>
  <si>
    <t>Numerous Diked Fields</t>
  </si>
  <si>
    <t>numerousDykes</t>
  </si>
  <si>
    <t>Numerous Dykes</t>
  </si>
  <si>
    <t>An area containing numerous artificial embankments designed to contain or hold back water.</t>
  </si>
  <si>
    <t>Numerous Dikes</t>
  </si>
  <si>
    <t>numerousFences</t>
  </si>
  <si>
    <t>Numerous Fences</t>
  </si>
  <si>
    <t>An area with numerous fences, typically separating fields and/or habitated areas.</t>
  </si>
  <si>
    <t>The fences are relatively insubstantial for example: barbed wire).</t>
  </si>
  <si>
    <t>numerousHedgerows</t>
  </si>
  <si>
    <t>Numerous Hedgerows</t>
  </si>
  <si>
    <t>An area with numerous hedgerows, typically separating fields and/or habitated areas.</t>
  </si>
  <si>
    <t>A hedgerow is a continuous growth of shrubs planted as a fence, a boundary, and/or a windbreak.</t>
  </si>
  <si>
    <t>numerousManMadeDrainage</t>
  </si>
  <si>
    <t>Numerous Man-made Drainage</t>
  </si>
  <si>
    <t>An area with numerous constructed drainage ways (for example: canals, drains, and ditches) designed to control the flow of water.</t>
  </si>
  <si>
    <t>numerousRockOutcrops</t>
  </si>
  <si>
    <t>Numerous Rock Outcrops</t>
  </si>
  <si>
    <t>An area whose surface is covered mainly (greater than 55 percent) by bedrock outcrops.</t>
  </si>
  <si>
    <t>numerousSmallLakesPonds</t>
  </si>
  <si>
    <t>Numerous Small Lakes and Ponds</t>
  </si>
  <si>
    <t>An area of numerous small lakes and ponds.</t>
  </si>
  <si>
    <t>numerousStoneWalls</t>
  </si>
  <si>
    <t>Numerous Stone Walls</t>
  </si>
  <si>
    <t>An area with numerous stone walls, typically separating fields and/or habitated areas.</t>
  </si>
  <si>
    <t>numerousTerracedFields</t>
  </si>
  <si>
    <t>Numerous Terraced Fields</t>
  </si>
  <si>
    <t>An area with numerous raised shelf-like levelled fields.</t>
  </si>
  <si>
    <t>For example, terraced rice paddies.</t>
  </si>
  <si>
    <t>numerousTerraces</t>
  </si>
  <si>
    <t>Numerous Terraces</t>
  </si>
  <si>
    <t>An area with numerous raised shelf-like naturally occurring levelled terrain surfaces.</t>
  </si>
  <si>
    <t>For example, lava terraces.</t>
  </si>
  <si>
    <t>parallelEarthenRows</t>
  </si>
  <si>
    <t>Parallel Earthen Rows</t>
  </si>
  <si>
    <t>An area of fields where crops have been planted in parallel, raised linear mounds.</t>
  </si>
  <si>
    <t>playa</t>
  </si>
  <si>
    <t>Playa</t>
  </si>
  <si>
    <t>A level area of silt and/or sand, free of vegetation and usually salty, lying at the bottom of a desert basin and dry except after rain.</t>
  </si>
  <si>
    <t>Dry Lake</t>
  </si>
  <si>
    <t>rough</t>
  </si>
  <si>
    <t>Rough</t>
  </si>
  <si>
    <t>An area with an irregular terrain surface of unspecified morphology.</t>
  </si>
  <si>
    <t>rounded</t>
  </si>
  <si>
    <t>Rounded</t>
  </si>
  <si>
    <t>An area consisting mainly of a relatively smooth terrain surface and low relief.</t>
  </si>
  <si>
    <t>ruggedBedrock</t>
  </si>
  <si>
    <t>Rugged Bedrock</t>
  </si>
  <si>
    <t>An area of exposed bedrock that has a irregular surface due to mechanical or weathering effects.</t>
  </si>
  <si>
    <t>ruggedNumerousRockOutcrops</t>
  </si>
  <si>
    <t>Rugged with numerous Rock Outcrops</t>
  </si>
  <si>
    <t>An area whose surface is both rugged and covered mainly (greater than 55 percent) by bedrock outcrops.</t>
  </si>
  <si>
    <t>scatteredBoulders</t>
  </si>
  <si>
    <t>Scattered Boulders</t>
  </si>
  <si>
    <t>An area whose surface is covered partially (between 25 to 55 percent) by boulders.</t>
  </si>
  <si>
    <t>solifluctionLobesFrostScar</t>
  </si>
  <si>
    <t>Solifluction Lobes and Frost Scars</t>
  </si>
  <si>
    <t>An area of tongue-like masses of slow-moving waterlogged soil with steep fronts and gentle upper surfaces interspersed with areas of heaving soil caused by frost action.</t>
  </si>
  <si>
    <t>steepRuggedDissectGullies</t>
  </si>
  <si>
    <t>Steep Rugged Dissected with narrow Gullies</t>
  </si>
  <si>
    <t>An area characterized by high relief and numerous narrow stream channels.</t>
  </si>
  <si>
    <t>stonyAreas</t>
  </si>
  <si>
    <t>Stony Areas</t>
  </si>
  <si>
    <t>An area covered by patches of surface stones.</t>
  </si>
  <si>
    <t>stonySoilNumerousBoulders</t>
  </si>
  <si>
    <t>Stony Soil with numerous Boulders</t>
  </si>
  <si>
    <t>An area of stony soil whose surface is covered mainly (greater than 55 percent) by boulders.</t>
  </si>
  <si>
    <t>stonySoilNumerousGullies</t>
  </si>
  <si>
    <t>Stony Soil with numerous Gullies</t>
  </si>
  <si>
    <t>An area of stony soil whose surface is covered mainly (greater than 55 percent) by eroding stream channels.</t>
  </si>
  <si>
    <t>stonySoilNumerousRockCrops</t>
  </si>
  <si>
    <t>Stony Soil with numerous Rock Outcrops</t>
  </si>
  <si>
    <t>An area of stony soil whose surface is covered mainly (greater than 55 percent) by bedrock outcrops.</t>
  </si>
  <si>
    <t>stonySoilScatteredBoulders</t>
  </si>
  <si>
    <t>Stony Soil with scattered Boulders</t>
  </si>
  <si>
    <t>An area of stony soil whose surface is covered partially (between 25 to 55 percent) by boulders.</t>
  </si>
  <si>
    <t>stonySoilWithSurfaceRock</t>
  </si>
  <si>
    <t>Stony Soil with Surface Rock</t>
  </si>
  <si>
    <t>An area of stony soil with patches of exposed bedrock.</t>
  </si>
  <si>
    <t>A scree slope, consisting of disintegrated material which has fallen from the face of the cliff above.</t>
  </si>
  <si>
    <t>unweatheredLava</t>
  </si>
  <si>
    <t>Unweathered Lava</t>
  </si>
  <si>
    <t>An area of recently cooled magma.</t>
  </si>
  <si>
    <t>weatheredLava</t>
  </si>
  <si>
    <t>Weathered Lava</t>
  </si>
  <si>
    <t>An area of cooled magma that has been altered by the effects of weather.</t>
  </si>
  <si>
    <t>lavaFlow</t>
  </si>
  <si>
    <t>Lava Flow</t>
  </si>
  <si>
    <t>Rock that flowed from a volcano or other fissure in the Earth and subsequently cooled and weathered.</t>
  </si>
  <si>
    <t>Generally ranging between 0.074 millimetres (No. 200 sieve) and 4.76 millimetres (No. 4 sieve) in size. Often a major constituent of a beach, desert, or the bed of a river or sea. Used for various purposes, as in smoothing stone, founding, or as an ingredient in concrete.</t>
  </si>
  <si>
    <t>antiDetonationInjection</t>
  </si>
  <si>
    <t>Anti-detonation Injection (ADI)</t>
  </si>
  <si>
    <t>Anti-Detonation Injection (ADI) fluid for reciprocating engine aircraft.</t>
  </si>
  <si>
    <t>s_1739</t>
  </si>
  <si>
    <t>S-1739</t>
  </si>
  <si>
    <t>100 percent Dematerialised water.</t>
  </si>
  <si>
    <t>WTA</t>
  </si>
  <si>
    <t>s_1744</t>
  </si>
  <si>
    <t>S-1744</t>
  </si>
  <si>
    <t>Grade 45/55, 43.8 percent Methanol, 56.2 percent Dematerialised water mixture.</t>
  </si>
  <si>
    <t>AL-28</t>
  </si>
  <si>
    <t>100 percent Methanol, reagent grade.</t>
  </si>
  <si>
    <t>AL-14</t>
  </si>
  <si>
    <t>Water (W)</t>
  </si>
  <si>
    <t>Water thrust augmentation for jet aircraft.</t>
  </si>
  <si>
    <t>waterAlcohol</t>
  </si>
  <si>
    <t>Water Alcohol Injection (WAI)</t>
  </si>
  <si>
    <t>Water Alcohol injection for thrust augmentation jet aircraft.</t>
  </si>
  <si>
    <t>burialMound</t>
  </si>
  <si>
    <t>Burial Mound</t>
  </si>
  <si>
    <t>A mound of earth and stones raised over one or more graves.</t>
  </si>
  <si>
    <t>A burial mound composed largely or entirely of stones is usually referred to as a 'cairn'.</t>
  </si>
  <si>
    <t>Tumulus(i), Barrow(s), Kurgan(s)</t>
  </si>
  <si>
    <t>catacomb</t>
  </si>
  <si>
    <t>Catacomb</t>
  </si>
  <si>
    <t>A network of underground galleries (for example: caves, grottos, or tunnels) in which burial niches are carved into the walls.</t>
  </si>
  <si>
    <t>A cave serving as a tomb.</t>
  </si>
  <si>
    <t>May be used to contain a single corpse and then have the opening sealed, or may contain one or more burial niches carved into its walls. The cave may be either man-made (excavated directly into the solid rock) or naturally occurring.</t>
  </si>
  <si>
    <t>columbarium</t>
  </si>
  <si>
    <t>Columbarium</t>
  </si>
  <si>
    <t>A compartmentalized structure for holding cremated remains.</t>
  </si>
  <si>
    <t>A columbarium may be enclosed in a building, incorporated into a building, or exist as a freestanding outside structure. Typically, an individual vertical compartment in the columbarium holds an urn of ashes and is covered with a name plaque.</t>
  </si>
  <si>
    <t>crypt</t>
  </si>
  <si>
    <t>Crypt</t>
  </si>
  <si>
    <t>A tomb in the form of an underground chamber or vault located under a religious building (for example: a church).</t>
  </si>
  <si>
    <t>mausoleum</t>
  </si>
  <si>
    <t>Mausoleum</t>
  </si>
  <si>
    <t>A building containing a number of sealed tombs.</t>
  </si>
  <si>
    <t>May also include columbarium niches for cremated remains. Usually each tomb or niche is labeled with a plaque which includes information about the deceased. The term derives from the tomb of Mausolus at Halicarnassus.</t>
  </si>
  <si>
    <t>surfaceVault</t>
  </si>
  <si>
    <t>Surface Vault</t>
  </si>
  <si>
    <t>A tomb constructed as a small building located mostly or completely aboveground.</t>
  </si>
  <si>
    <t>biota</t>
  </si>
  <si>
    <t>Biota</t>
  </si>
  <si>
    <t>flora and/or fauna in natural environment</t>
  </si>
  <si>
    <t>Examples: wildlife, vegetation, biological sciences, ecology, wilderness, sealife, wetlands, habitat</t>
  </si>
  <si>
    <t>boundaries</t>
  </si>
  <si>
    <t>Boundaries</t>
  </si>
  <si>
    <t>legal land descriptions</t>
  </si>
  <si>
    <t>Examples: political and administrative boundaries</t>
  </si>
  <si>
    <t>climatologyMeteorologyAtmosphere</t>
  </si>
  <si>
    <t>Climatology, Meteorology, and Atmosphere</t>
  </si>
  <si>
    <t>processes and phenomena of the atmosphere</t>
  </si>
  <si>
    <t>Examples: cloud cover, weather, climate, atmospheric conditions, climate change, precipitation</t>
  </si>
  <si>
    <t>economy</t>
  </si>
  <si>
    <t>Economy</t>
  </si>
  <si>
    <t>economic activities, conditions and employment</t>
  </si>
  <si>
    <t>Examples: production, labour, revenue, commerce, industry, tourism and ecotourism, forestry, fisheries, commercial or subsistence hunting, exploration and exploitation of resources such as minerals, oil and gas</t>
  </si>
  <si>
    <t>elevation</t>
  </si>
  <si>
    <t>height above or below sea level</t>
  </si>
  <si>
    <t>Examples: altitude, bathymetry, digital elevation models, slope, derived products</t>
  </si>
  <si>
    <t>environment</t>
  </si>
  <si>
    <t>Environment</t>
  </si>
  <si>
    <t>environmental resources, protection and conservation</t>
  </si>
  <si>
    <t>Examples: environmental pollution, waste storage and treatment, environmental impact assessment, monitoring environmental risk, nature reserves, landscape</t>
  </si>
  <si>
    <t>farming</t>
  </si>
  <si>
    <t>Farming</t>
  </si>
  <si>
    <t>rearing of animals and/or cultivation of plants</t>
  </si>
  <si>
    <t>Examples: agriculture, irrigation, aquaculture, plantations, herding, pests and diseases affecting crops and livestock</t>
  </si>
  <si>
    <t>geoscientificInformation</t>
  </si>
  <si>
    <t>Geoscientific Information</t>
  </si>
  <si>
    <t>information pertaining to earth sciences</t>
  </si>
  <si>
    <t>Examples: geophysical features and processes, geology, minerals, sciences dealing with the composition, structure and origin of the earth's rocks, risks of earthquakes, volcanic activity, landslides, gravity information, soils, permafrost, hydrogeology, erosion</t>
  </si>
  <si>
    <t>health</t>
  </si>
  <si>
    <t>Health</t>
  </si>
  <si>
    <t>health, health services, human ecology, and safety</t>
  </si>
  <si>
    <t>Examples: disease and illness, factors affecting health, hygiene, substance abuse, mental and physical health, health services</t>
  </si>
  <si>
    <t>imageryBaseMapsEarthCover</t>
  </si>
  <si>
    <t>Imagery, Base Maps, and Earth Cover</t>
  </si>
  <si>
    <t>base maps</t>
  </si>
  <si>
    <t>Examples: land cover, topographic maps, imagery, unclassified images, annotations</t>
  </si>
  <si>
    <t>inlandWaters</t>
  </si>
  <si>
    <t>Inland Waters</t>
  </si>
  <si>
    <t>inland water features, drainage systems and their characteristics</t>
  </si>
  <si>
    <t>Examples: rivers and glaciers, salt lakes, water utilization plans, dams, currents, floods, water quality, hydrographic charts</t>
  </si>
  <si>
    <t>intelligenceMilitary</t>
  </si>
  <si>
    <t>Intelligence and Military</t>
  </si>
  <si>
    <t>military bases, structures, activities</t>
  </si>
  <si>
    <t>Examples: barracks, training grounds, military transportation, information collection</t>
  </si>
  <si>
    <t>location</t>
  </si>
  <si>
    <t>Location</t>
  </si>
  <si>
    <t>positional information and services</t>
  </si>
  <si>
    <t>Examples: addresses, geodetic networks, control points, postal zones and services, place names</t>
  </si>
  <si>
    <t>oceans</t>
  </si>
  <si>
    <t>Oceans</t>
  </si>
  <si>
    <t>features and characteristics of salt water bodies (excluding inland waters)</t>
  </si>
  <si>
    <t>Examples: tides, tidal waves, coastal information, reefs</t>
  </si>
  <si>
    <t>planningCadastre</t>
  </si>
  <si>
    <t>Planning Cadastre</t>
  </si>
  <si>
    <t>information used for appropriate actions for future use of the land</t>
  </si>
  <si>
    <t>Examples: land use maps, zoning maps, cadastral surveys, land ownership</t>
  </si>
  <si>
    <t>society</t>
  </si>
  <si>
    <t>Society</t>
  </si>
  <si>
    <t>characteristics of society and cultures</t>
  </si>
  <si>
    <t>Examples: settlements, anthropology, archaeology, education, traditional beliefs, manners and customs, demographic data, recreational areas and activities, social impact assessments, crime and justice, census information</t>
  </si>
  <si>
    <t>structure</t>
  </si>
  <si>
    <t>Structure</t>
  </si>
  <si>
    <t>man-made construction</t>
  </si>
  <si>
    <t>Examples: buildings, museums, churches, factories, housing, monuments, shops, towers</t>
  </si>
  <si>
    <t>transportation</t>
  </si>
  <si>
    <t>Transportation</t>
  </si>
  <si>
    <t>means and aids for conveying persons and/or goods</t>
  </si>
  <si>
    <t>Examples: roads, airports/airstrips, shipping routes, tunnels, nautical charts, vehicle or vessel location, aeronautical charts, railways</t>
  </si>
  <si>
    <t>utilitiesCommunication</t>
  </si>
  <si>
    <t>Utilities and Communication</t>
  </si>
  <si>
    <t>energy, water and waste systems and communications infrastructure and services</t>
  </si>
  <si>
    <t>Examples: hydroelectricity, geothermal, solar and nuclear sources of energy, water purification and distribution, sewage collection and disposal, electricity and gas distribution, data communication, telecommunication, radio, communication networks</t>
  </si>
  <si>
    <t>twoConesBaseToBase</t>
  </si>
  <si>
    <t>2 Cones Base to Base</t>
  </si>
  <si>
    <t>Two cones, one above the other, with their bases together in the centre and their vertices pointing up and down.</t>
  </si>
  <si>
    <t>A cone is a solid figure generated by straight lines drawn from a fixed point (the vertex) to a circle in a plane not containing the vertex. The International Association of Lighthouse Authorities (IALA) uses two cones, base to base, as an east cardinal mark.</t>
  </si>
  <si>
    <t>twoConesPointToPoint</t>
  </si>
  <si>
    <t>2 Cones Point to Point</t>
  </si>
  <si>
    <t>Two cones, one above the other, with their vertices together in the centre.</t>
  </si>
  <si>
    <t>A cone is a solid figure generated by straight lines drawn from a fixed point (the vertex) to a circle in a plane not containing the vertex. The International Association of Lighthouse Authorities (IALA) uses two cones, point to point, as a west cardinal mark.</t>
  </si>
  <si>
    <t>twoConesPointsDownward</t>
  </si>
  <si>
    <t>2 Cones Points Downward</t>
  </si>
  <si>
    <t>Two cones, one above the other, with their vertices pointing down.</t>
  </si>
  <si>
    <t>A cone is a solid figure generated by straight lines drawn from a fixed point (the vertex) to a circle in a plane not containing the vertex. The International Association of Lighthouse Authorities (IALA) uses two cones, points down, as a south cardinal mark.</t>
  </si>
  <si>
    <t>twoConesPointsUpward</t>
  </si>
  <si>
    <t>2 Cones Points Upward</t>
  </si>
  <si>
    <t>Two cones, one above the other, with their vertices pointing up.</t>
  </si>
  <si>
    <t>A cone is a solid figure generated by straight lines drawn from a fixed point (the vertex) to a circle in a plane not containing the vertex. The International Association of Lighthouse Authorities (IALA) uses two cones, points up, as a north cardinal mark.</t>
  </si>
  <si>
    <t>twoSpheresOneOverOther</t>
  </si>
  <si>
    <t>2 Spheres One over Other</t>
  </si>
  <si>
    <t>Two spheres, generally vertically disposed one above the other.</t>
  </si>
  <si>
    <t>A sphere is a globular body, the surface of which is at all points equidistant from the centre. The International Association of Lighthouse Authorities (IALA) uses two black balls (spheres) as an isolated danger topmark.</t>
  </si>
  <si>
    <t>2 Balls One over Other</t>
  </si>
  <si>
    <t>twoUprightCrosses</t>
  </si>
  <si>
    <t>2 Upright Crosses</t>
  </si>
  <si>
    <t>Two upright crosses, generally vertically disposed one above the other.</t>
  </si>
  <si>
    <t>An upright cross is a cross with one vertical member and one horizontal member, similar in shape to the character '+'.</t>
  </si>
  <si>
    <t>ballOverCone</t>
  </si>
  <si>
    <t>Ball over Cone</t>
  </si>
  <si>
    <t>One sphere (ball) located above a cone.</t>
  </si>
  <si>
    <t>besomPointDownward</t>
  </si>
  <si>
    <t>Besom Point Downward</t>
  </si>
  <si>
    <t>A broom (bundle of rods or twigs) or a perch (staff) that is pointing down.</t>
  </si>
  <si>
    <t>Broom Point Downward</t>
  </si>
  <si>
    <t>besomPointUpward</t>
  </si>
  <si>
    <t>Besom Point Upward</t>
  </si>
  <si>
    <t>A broom (bundle of rods or twigs) or a perch (staff) that is pointing up.</t>
  </si>
  <si>
    <t>Broom Point Upward</t>
  </si>
  <si>
    <t>board</t>
  </si>
  <si>
    <t>Board</t>
  </si>
  <si>
    <t>A board, usually of rectangular shape, made from timber or metal and used to provide a contrast with the natural background of a daymark.</t>
  </si>
  <si>
    <t>The actual daymark is often painted on to this board.</t>
  </si>
  <si>
    <t>canOverBall</t>
  </si>
  <si>
    <t>Can over Ball</t>
  </si>
  <si>
    <t>One cylinder, vertically oriented located above a non-filled sphere (ball).</t>
  </si>
  <si>
    <t>circle</t>
  </si>
  <si>
    <t>Circle</t>
  </si>
  <si>
    <t>A perfectly round plane figure whose circumference is everywhere equidistant from its centre.</t>
  </si>
  <si>
    <t>circleOverTrianglePointUp</t>
  </si>
  <si>
    <t>Circle over Triangle Point Upward</t>
  </si>
  <si>
    <t>A circle located over a triangle with vertex uppermost.</t>
  </si>
  <si>
    <t>A triangle is a figure having three angles and three sides.</t>
  </si>
  <si>
    <t>coneOverBall</t>
  </si>
  <si>
    <t>Cone over Ball</t>
  </si>
  <si>
    <t>One cone located above one sphere (ball).</t>
  </si>
  <si>
    <t>conePointDownward</t>
  </si>
  <si>
    <t>Cone Point Downward</t>
  </si>
  <si>
    <t>One cone, with its vertex pointing down.</t>
  </si>
  <si>
    <t>A cone is a solid figure generated by straight lines drawn from a fixed point (the vertex) to a circle in a plane not containing the vertex. A single cone pointing down is not used in the International Association of Lighthouse Authorities (IALA) system.</t>
  </si>
  <si>
    <t>conePointUpward</t>
  </si>
  <si>
    <t>Cone Point Upward</t>
  </si>
  <si>
    <t>One cone, with its vertex pointing up.</t>
  </si>
  <si>
    <t>A cone is a solid figure generated by straight lines drawn from a fixed point (the vertex) to a circle in a plane not containing the vertex. The International Association of Lighthouse Authorities (IALA) uses one cone, point up, as a lateral mark.</t>
  </si>
  <si>
    <t>crossOverBall</t>
  </si>
  <si>
    <t>Cross over Ball</t>
  </si>
  <si>
    <t>One vertically elongated cross (+) or x-shaped object located above a non-filled sphere (ball).</t>
  </si>
  <si>
    <t>cylinder</t>
  </si>
  <si>
    <t>Cylinder</t>
  </si>
  <si>
    <t>A cylinder, vertically oriented.</t>
  </si>
  <si>
    <t>A cylinder is a solid geometrical figure generated by straight line fixed in direction and describing with one of its' points a closed curve, especially a circle (in which case the figure is a circular cylinder, its ends being parallel circles). The International Association of Lighthouse Authorities (IALA) uses a cylinder as a topmark on a lateral mark. In this application, the height of the cylinder is greater than the diameter, resulting in a vertical rectangular topmark when viewed from any direction.</t>
  </si>
  <si>
    <t>A plane figure having four equal sides and equal opposite angles (two acute and two obtuse); an oblique equilateral parallelogram.</t>
  </si>
  <si>
    <t>diamondOverBall</t>
  </si>
  <si>
    <t>Diamond over Ball</t>
  </si>
  <si>
    <t>One vertically elongated rhombus located above a filled sphere (ball).</t>
  </si>
  <si>
    <t>diamondOverCircle</t>
  </si>
  <si>
    <t>Diamond over Circle</t>
  </si>
  <si>
    <t>A diamond located above a circle.</t>
  </si>
  <si>
    <t>A diamond (or rhombus) is a plane figure having four equal sides and equal opposite angles (two acute and two obtuse); an oblique equilateral parallelogram.</t>
  </si>
  <si>
    <t>Rhombus over Circle</t>
  </si>
  <si>
    <t>flag</t>
  </si>
  <si>
    <t>Flag</t>
  </si>
  <si>
    <t>A flag mounted on a short pole.</t>
  </si>
  <si>
    <t>horizontalRectangle</t>
  </si>
  <si>
    <t>Horizontal Rectangle</t>
  </si>
  <si>
    <t>A rectangle where the two longer opposite sides are standing horizontally.</t>
  </si>
  <si>
    <t>A rectangle is a plane figure with four right angles and four straight sides, opposite sides being parallel and equal in length.</t>
  </si>
  <si>
    <t>sphere</t>
  </si>
  <si>
    <t>Sphere</t>
  </si>
  <si>
    <t>A sphere.</t>
  </si>
  <si>
    <t>A sphere is a globular body, the surface of which is at all points equidistant from the centre. The International Association of Lighthouse Authorities (IALA) uses a sphere as a safe water topmark.</t>
  </si>
  <si>
    <t>Ball, Circle</t>
  </si>
  <si>
    <t>sphereOverDiamond</t>
  </si>
  <si>
    <t>Sphere over Diamond</t>
  </si>
  <si>
    <t>A sphere (ball) located above a diamond.</t>
  </si>
  <si>
    <t>Ball over Rhombus</t>
  </si>
  <si>
    <t>A plane figure with four right angles and four equal straight sides.</t>
  </si>
  <si>
    <t>trapeziumShortDownward</t>
  </si>
  <si>
    <t>Trapezium Short Downward</t>
  </si>
  <si>
    <t>A trapezium that stands on its shorter parallel side.</t>
  </si>
  <si>
    <t>A trapezium is a quadrilateral having one pair of opposite sides parallel.</t>
  </si>
  <si>
    <t>trapeziumShortUpward</t>
  </si>
  <si>
    <t>Trapezium Short Upward</t>
  </si>
  <si>
    <t>A trapezium that stands on its longer parallel side.</t>
  </si>
  <si>
    <t>trianglePointDownward</t>
  </si>
  <si>
    <t>Triangle Point Downward</t>
  </si>
  <si>
    <t>A triangle with vertex down.</t>
  </si>
  <si>
    <t>trianglePointUpward</t>
  </si>
  <si>
    <t>Triangle Point Upward</t>
  </si>
  <si>
    <t>A triangle with vertex uppermost.</t>
  </si>
  <si>
    <t>trianglePointUpOverCircle</t>
  </si>
  <si>
    <t>Triangle Point Upward over Circle</t>
  </si>
  <si>
    <t>A triangle, vertex uppermost, located above a circle.</t>
  </si>
  <si>
    <t>T-shaped</t>
  </si>
  <si>
    <t>Having a shape like the capital letter 'T'.</t>
  </si>
  <si>
    <t>shapedLikeUprightCross</t>
  </si>
  <si>
    <t>Upright Cross</t>
  </si>
  <si>
    <t>A cross with one vertical member and one horizontal member, similar in shape to the character '+'.</t>
  </si>
  <si>
    <t>St. George's Cross</t>
  </si>
  <si>
    <t>uprightCrossOverCircle</t>
  </si>
  <si>
    <t>Upright Cross over Circle</t>
  </si>
  <si>
    <t>An upright cross located above a circle.</t>
  </si>
  <si>
    <t>verticalRectangle</t>
  </si>
  <si>
    <t>Vertical Rectangle</t>
  </si>
  <si>
    <t>A rectangle where the two longer opposite sides are standing vertically.</t>
  </si>
  <si>
    <t>shapedLikeX</t>
  </si>
  <si>
    <t>X-shaped</t>
  </si>
  <si>
    <t>Having a shape like the capital letter 'X'.</t>
  </si>
  <si>
    <t>The International Association of Lighthouse Authorities (IALA) uses an 'X' shape as a special mark. When so used it should be 3 dimensional in shape, made of at least three crossed bars.</t>
  </si>
  <si>
    <t xml:space="preserve">St. Andrew's Cross  </t>
  </si>
  <si>
    <t>frameShapedLikeA</t>
  </si>
  <si>
    <t>A' Frame</t>
  </si>
  <si>
    <t>Having a structural frame shaped like the capital letter 'A' when viewed from the side.</t>
  </si>
  <si>
    <t>Usually formed from truss-like elements bearing on the ground at four points for stability. When only one or two support points are used then guys may be employed.</t>
  </si>
  <si>
    <t>frameShapedLikeH</t>
  </si>
  <si>
    <t>H' Frame</t>
  </si>
  <si>
    <t>Having a structural frame shaped like the capital letter 'H' when viewed from the side.</t>
  </si>
  <si>
    <t>frameShapedLikeI</t>
  </si>
  <si>
    <t>I' Frame</t>
  </si>
  <si>
    <t>Having a structural frame shaped like the serif capital letter 'I' when viewed from the side.</t>
  </si>
  <si>
    <t>mast</t>
  </si>
  <si>
    <t>Mast</t>
  </si>
  <si>
    <t>A tall but relatively lightweight post (for example: a timber or a hollow cylinder of wood or metal).</t>
  </si>
  <si>
    <t>Often guyed in order to withstand wind loads.</t>
  </si>
  <si>
    <t>pole</t>
  </si>
  <si>
    <t>Pole</t>
  </si>
  <si>
    <t>A slender, more or less cylindrical post constructed from a variety of materials (for example: wood, metal, or fibre-glass) that is less substantial than a mast.</t>
  </si>
  <si>
    <t>May be guyed.</t>
  </si>
  <si>
    <t>Generally solid-faced.</t>
  </si>
  <si>
    <t>frameShapedLikeT</t>
  </si>
  <si>
    <t>T' Frame</t>
  </si>
  <si>
    <t>Having a structural frame shaped like the capital letter 'T' when viewed from the side.</t>
  </si>
  <si>
    <t>towerMill</t>
  </si>
  <si>
    <t>Tower Mill</t>
  </si>
  <si>
    <t>Consisting typically of a squat masonry brick or stone tower on top of which sits a roof or cap which can be turned to face the wind thus ensuring maximal effect on attached sails.</t>
  </si>
  <si>
    <t>A common form of windmill shape in the Netherlands.</t>
  </si>
  <si>
    <t>tripod</t>
  </si>
  <si>
    <t>Tripod</t>
  </si>
  <si>
    <t>A three-legged tower.</t>
  </si>
  <si>
    <t>A structure based on a series of trusses (diagonal frameworks) assembled in various configurations (for example: as an A-frame).</t>
  </si>
  <si>
    <t>For example, the Eiffel Tower.</t>
  </si>
  <si>
    <t>tubular</t>
  </si>
  <si>
    <t>Tubular</t>
  </si>
  <si>
    <t>A tall, heavyweight, hollow cylinder of metal that does not require guying and is capable of withstanding significant wind loads.</t>
  </si>
  <si>
    <t>frameShapedLikeY</t>
  </si>
  <si>
    <t>Y' Frame</t>
  </si>
  <si>
    <t>Having a structural frame shaped like the capital letter 'Y' when viewed from the side.</t>
  </si>
  <si>
    <t>dropTower</t>
  </si>
  <si>
    <t>Drop Tower</t>
  </si>
  <si>
    <t>A tower used in training to simulate fall from a height (for example: aircraft exit, parachute handling, or landing).</t>
  </si>
  <si>
    <t>fireTower</t>
  </si>
  <si>
    <t>Fire Tower</t>
  </si>
  <si>
    <t>A watchtower where a lookout is posted to watch for fires.</t>
  </si>
  <si>
    <t>Usually built on elevated terrain in forests and treed-tracts, especially in areas prone to naturally-occurring fires.</t>
  </si>
  <si>
    <t>guardTower</t>
  </si>
  <si>
    <t>Guard Tower</t>
  </si>
  <si>
    <t>A tower from which a facility (for example: a prison) is guarded.</t>
  </si>
  <si>
    <t>There is often a small building on the top and the tower usually overlooks perimeter walls, fences, and/or gates.</t>
  </si>
  <si>
    <t>industrialTower</t>
  </si>
  <si>
    <t>Industrial Tower</t>
  </si>
  <si>
    <t>A tower used in manufacturing (for example: a shot tower) and/or production (for example: fuel distillation).</t>
  </si>
  <si>
    <t>May also be used for research purposes (for example: simulation of microgravity by free-fall).</t>
  </si>
  <si>
    <t>lookoutTower</t>
  </si>
  <si>
    <t>Lookout Tower</t>
  </si>
  <si>
    <t>A tower from which a watch is habitually kept.</t>
  </si>
  <si>
    <t>There is often a small building on the top.</t>
  </si>
  <si>
    <t>observationTower</t>
  </si>
  <si>
    <t>Observation Tower</t>
  </si>
  <si>
    <t>A tower from which a watch is not habitually kept.</t>
  </si>
  <si>
    <t>May, for example, be used for scientific study.</t>
  </si>
  <si>
    <t>solarPowerTower</t>
  </si>
  <si>
    <t>Solar Power Tower</t>
  </si>
  <si>
    <t>A tower used with an array of heliostats to collect the energy of sunlight in the form of heat.</t>
  </si>
  <si>
    <t>The heat is used to drive a turbine to generate electricity. The heliostats (flat mirrors that track the position of the sun) serve to focus sunlight collected over a large area onto the much smaller tower.</t>
  </si>
  <si>
    <t>telecommunicationTower</t>
  </si>
  <si>
    <t>Telecommunication Tower</t>
  </si>
  <si>
    <t>A tower used to support a set of aerials for transmitting and/or receiving telecommunication signals.</t>
  </si>
  <si>
    <t>craneTrack</t>
  </si>
  <si>
    <t>Crane Track</t>
  </si>
  <si>
    <t>Designed to provide mobility for a travelling crane or a moveable gantry.</t>
  </si>
  <si>
    <t>Often aligned parallel to the face of a wharf in order that the crane may be used to load and unload cargo vessels.</t>
  </si>
  <si>
    <t>drillTrack</t>
  </si>
  <si>
    <t>Drill Track</t>
  </si>
  <si>
    <t>Connects to a ladder track, over which locomotives and rail wagons move back and forth in switching.</t>
  </si>
  <si>
    <t>houseTrack</t>
  </si>
  <si>
    <t>House Track</t>
  </si>
  <si>
    <t>Enters, or is located along side, a freight house.</t>
  </si>
  <si>
    <t>Rail wagons are moved to a house track for loading or unloading.</t>
  </si>
  <si>
    <t>jointTrack</t>
  </si>
  <si>
    <t>Joint Track</t>
  </si>
  <si>
    <t>Owned, operated, or maintained by more than one operating railway company.</t>
  </si>
  <si>
    <t>ladderTrack</t>
  </si>
  <si>
    <t>Ladder Track</t>
  </si>
  <si>
    <t>A series of turnouts providing access to any of several parallel tracks in a railway yard.</t>
  </si>
  <si>
    <t>maglev</t>
  </si>
  <si>
    <t>Maglev</t>
  </si>
  <si>
    <t>A railway using magnetic repulsion to support the train above the track.</t>
  </si>
  <si>
    <t>May also be used in an overhead monorail.</t>
  </si>
  <si>
    <t>monorail</t>
  </si>
  <si>
    <t>Monorail</t>
  </si>
  <si>
    <t>A railway in which the track is a single rail, on or suspended from which vehicles run.</t>
  </si>
  <si>
    <t>pairedTrack</t>
  </si>
  <si>
    <t>Paired Track</t>
  </si>
  <si>
    <t>A pair of adjacent tracks where when two railway companies own single railway line and they have reached an agreement whereby one railway company services one railway track and the other company services the other railway track.</t>
  </si>
  <si>
    <t>ripTrack</t>
  </si>
  <si>
    <t>Rip Track</t>
  </si>
  <si>
    <t>A small repair facility for rail wagons consisting of a single railway track in a small railway yard.</t>
  </si>
  <si>
    <t>The name is derived from 'Repair, Inspect and Paint'.</t>
  </si>
  <si>
    <t>stubTrack</t>
  </si>
  <si>
    <t>Stub Track</t>
  </si>
  <si>
    <t>A form of a side track connected to a running track at one end only, and protected at the other end by an obstruction (for example: a bumping post).</t>
  </si>
  <si>
    <t>teamTrack</t>
  </si>
  <si>
    <t>Team Track</t>
  </si>
  <si>
    <t>A track on which rail wagons are placed for the use of the public in loading or unloading freight.</t>
  </si>
  <si>
    <t>inbound</t>
  </si>
  <si>
    <t>Inbound</t>
  </si>
  <si>
    <t>Traffic flow is in a general direction toward a port or similar destination.</t>
  </si>
  <si>
    <t>Traffic flow is in one general direction only.</t>
  </si>
  <si>
    <t>outbound</t>
  </si>
  <si>
    <t>Outbound</t>
  </si>
  <si>
    <t>Traffic flow is in a general direction away from a port or similar point of origin.</t>
  </si>
  <si>
    <t>twoWay</t>
  </si>
  <si>
    <t>Two-way</t>
  </si>
  <si>
    <t>Traffic flow is in two generally opposite directions.</t>
  </si>
  <si>
    <t>automaticTrafficCounter</t>
  </si>
  <si>
    <t>Automatic Traffic Counter</t>
  </si>
  <si>
    <t>A mechanism for measuring traffic volumes moving past a survey point using one or more proximity sensors.</t>
  </si>
  <si>
    <t>The most common mechanisms are the pressure tube and the inductive loop, which are fixed across (or in) the road at the census point. A tube counter measures the impact of an axle and so traffic flow is derived from counting the number of impulses and dividing them by a factor representing the most common number of axles on a vehicle (for example: two), which can lead to inaccuracy. An inductive loop detects the presence of the vehicle by its metallic mass, whose passage over the loop induces a magnetic field in the loop and thus results in a single count for each vehicle. A combination of sensors may be employed to classify the type of vehicle by the number of axles.</t>
  </si>
  <si>
    <t>A strategically placed camera is used to capture a series of images for either automatic or manual analysis.</t>
  </si>
  <si>
    <t>Cameras are significantly elevated in order to minimize obstruction of the longer view from vehicles located nearby. It is possible to survey up to 400 metres of road from a single vantage point.</t>
  </si>
  <si>
    <t>weighInMotion</t>
  </si>
  <si>
    <t>Weigh-in-motion</t>
  </si>
  <si>
    <t>A weigh-in-motion (WIM) device that is designed to capture and record truck axle weights and/or gross vehicle weights as the trucks drive over a sensor.</t>
  </si>
  <si>
    <t>Modern WIM systems do not require the trucks to stop (as in the past), making them much more efficient.</t>
  </si>
  <si>
    <t>sharpCurves</t>
  </si>
  <si>
    <t>Sharp Curves</t>
  </si>
  <si>
    <t>A stretch along a land transportation route where a series of curves may restrict vehicle traffic.</t>
  </si>
  <si>
    <t>steepGrades</t>
  </si>
  <si>
    <t>Steep Grades</t>
  </si>
  <si>
    <t>A stretch along a land transportation route where there are numerous locations where the slope is high enough to slow, hinder, or even stop traffic.</t>
  </si>
  <si>
    <t>dropGate</t>
  </si>
  <si>
    <t>Drop Gate</t>
  </si>
  <si>
    <t>Drops from overhead.</t>
  </si>
  <si>
    <t>rollingBlock</t>
  </si>
  <si>
    <t>Rolling Block</t>
  </si>
  <si>
    <t>Rolls from alongside.</t>
  </si>
  <si>
    <t>A protection structure, cut into the side of a hill, possessing a natural overhang or a constructed roof sloping upward onto the hill, with only one constructed side, built to protect a transportation route from snow and/or rock avalanches.</t>
  </si>
  <si>
    <t>Located where snow and/or rock avalanches can only happen on one side of a transportation route. The constructed side usually includes a series of openings for light and/or ventilation.</t>
  </si>
  <si>
    <t>protectionShed</t>
  </si>
  <si>
    <t>Protection Shed</t>
  </si>
  <si>
    <t>A protection structure with two constructed sides and a roof built to shield a section of a transportation route from landslides, avalanches, snow accumulations and/or drifting snow.</t>
  </si>
  <si>
    <t>Located where such phenomena can happen on both sides of a transportation route.</t>
  </si>
  <si>
    <t>rockProtectionShed</t>
  </si>
  <si>
    <t>Rock Protection Shed</t>
  </si>
  <si>
    <t>A protection structure with two constructed sides and a roof built to shield a section of a transportation route from rock slides.</t>
  </si>
  <si>
    <t>Located where rock avalanches can happen on both sides of a transportation route.</t>
  </si>
  <si>
    <t>snowProtectionShed</t>
  </si>
  <si>
    <t>Snow Protection Shed</t>
  </si>
  <si>
    <t>A protection structure with two constructed sides and a roof built to shield a section of a transportation route from snow slides, snow accumulations, and/or drifting snow.</t>
  </si>
  <si>
    <t>Located where snow avalanches can happen on both sides of a transportation route.</t>
  </si>
  <si>
    <t>aeronautical</t>
  </si>
  <si>
    <t>Aeronautical</t>
  </si>
  <si>
    <t>Associated with the conveyance of passengers and their goods using aeroplanes.</t>
  </si>
  <si>
    <t>aqueduct</t>
  </si>
  <si>
    <t>Associated with a system of aqueducts for the conveyance of water.</t>
  </si>
  <si>
    <t>For example, as used for irrigation, industrial, or drinking purposes.</t>
  </si>
  <si>
    <t>automotive</t>
  </si>
  <si>
    <t>Automotive</t>
  </si>
  <si>
    <t>Associated with the conveyance of passengers and their goods using generally small and individually owned road vehicles.</t>
  </si>
  <si>
    <t>bus</t>
  </si>
  <si>
    <t>Bus</t>
  </si>
  <si>
    <t>Associated with the conveyance of passengers and their goods using large road vehicles running on fixed routes.</t>
  </si>
  <si>
    <t>Associated with the conveyance of people, goods or equipment using carrier units suspended above the ground.</t>
  </si>
  <si>
    <t>canal</t>
  </si>
  <si>
    <t>Associated with the conveyance of passengers and/or goods using canals.</t>
  </si>
  <si>
    <t>Usually as part of a network of inland waterways including lakes and/or rivers.</t>
  </si>
  <si>
    <t>caravanRoute</t>
  </si>
  <si>
    <t>Caravan Route</t>
  </si>
  <si>
    <t>Associated with the conveyance of passengers and/or goods by caravan (for example: a company of merchants or pilgrims).</t>
  </si>
  <si>
    <t>Especially across the deserts of Asia and North Africa.</t>
  </si>
  <si>
    <t>drove</t>
  </si>
  <si>
    <t>Drove</t>
  </si>
  <si>
    <t>Associated with an unenclosed road or trail, due to the regular movement of animal herds.</t>
  </si>
  <si>
    <t>Chiefly for cattle and/or sheep.</t>
  </si>
  <si>
    <t>Stock Route</t>
  </si>
  <si>
    <t>inlandWaterway</t>
  </si>
  <si>
    <t>Inland Waterway</t>
  </si>
  <si>
    <t>Associated with the conveyance of passengers and/or goods using a network of inland waterways.</t>
  </si>
  <si>
    <t>maritime</t>
  </si>
  <si>
    <t>Maritime</t>
  </si>
  <si>
    <t>Associated with the conveyance of passengers and their goods using ships.</t>
  </si>
  <si>
    <t>noTransportationSystem</t>
  </si>
  <si>
    <t>No Transportation System</t>
  </si>
  <si>
    <t>Not associated with a transportation system.</t>
  </si>
  <si>
    <t>packRoad</t>
  </si>
  <si>
    <t>Pack-road</t>
  </si>
  <si>
    <t>Associated with trails for conveying passengers and/or goods by pack animal.</t>
  </si>
  <si>
    <t>pedestrian</t>
  </si>
  <si>
    <t>Pedestrian</t>
  </si>
  <si>
    <t>Associated with or adapted for walking or walkers.</t>
  </si>
  <si>
    <t>For example, footpaths and hiking trails.</t>
  </si>
  <si>
    <t>Associated with the movement of gases, liquids, and/or slurries through a system of pipelines.</t>
  </si>
  <si>
    <t>The pipelines are often underground and extend over long distances.</t>
  </si>
  <si>
    <t>pipelineMaintenance</t>
  </si>
  <si>
    <t>Pipeline Maintenance</t>
  </si>
  <si>
    <t>Associated with vehicle routes (for example: cart tracks) for conveying crews and equipment along the right-of-way of a pipeline to support its construction and/or maintenance.</t>
  </si>
  <si>
    <t>portage</t>
  </si>
  <si>
    <t>Portage</t>
  </si>
  <si>
    <t>Associated with the conveyance of boats and goods between two navigable waters.</t>
  </si>
  <si>
    <t>powerLineMaintenance</t>
  </si>
  <si>
    <t>Power Line Maintenance</t>
  </si>
  <si>
    <t>Associated with vehicle routes (for example: cart tracks) for conveying crews and equipment along the right-of-way of a power line to support its construction and/or maintenance.</t>
  </si>
  <si>
    <t>railway</t>
  </si>
  <si>
    <t>Associated with a railway-based network for the conveyance of passengers and/or goods.</t>
  </si>
  <si>
    <t>rescueRoad</t>
  </si>
  <si>
    <t>Rescue Road</t>
  </si>
  <si>
    <t>A road that is reserved for rescue vehicles.</t>
  </si>
  <si>
    <t>Associated with a road-based network for the conveyance of passengers and/or goods.</t>
  </si>
  <si>
    <t>Contiguous with but excludes stopways.</t>
  </si>
  <si>
    <t>For example, providing access to/from runways and hard standings, aerodrome terminals, and service and/or other support operations for aircraft.</t>
  </si>
  <si>
    <t>truck</t>
  </si>
  <si>
    <t>Truck</t>
  </si>
  <si>
    <t>Associated with the conveyance of goods using large road vehicles.</t>
  </si>
  <si>
    <t>Associated with the conveyance of passengers and their goods using underground railways.</t>
  </si>
  <si>
    <t>The railway passes especially beneath the streets and buildings of a city.</t>
  </si>
  <si>
    <t>category1</t>
  </si>
  <si>
    <t>Category 1</t>
  </si>
  <si>
    <t>The cyclone has a maximum sustained (1-minute mean) surface (10 metre) wind speed of 64 knots (74 miles per hour) to 82 knots (95 miles per hour), inclusive.</t>
  </si>
  <si>
    <t>May be designated as 'H1'.</t>
  </si>
  <si>
    <t>category2</t>
  </si>
  <si>
    <t>Category 2</t>
  </si>
  <si>
    <t>The cyclone has a maximum sustained (1-minute mean) surface (10 metre) wind speed of 83 knots (96 miles per hour) to 95 knots (110 miles per hour), inclusive.</t>
  </si>
  <si>
    <t>May be designated as 'H2'.</t>
  </si>
  <si>
    <t>category3</t>
  </si>
  <si>
    <t>Category 3</t>
  </si>
  <si>
    <t>The cyclone has a maximum sustained (1-minute mean) surface (10 metre) wind speed of 96 knots (111 miles per hour) to 113 knots (130 miles per hour), inclusive.</t>
  </si>
  <si>
    <t>May be designated as 'H3'.</t>
  </si>
  <si>
    <t>category4</t>
  </si>
  <si>
    <t>Category 4</t>
  </si>
  <si>
    <t>The cyclone has a maximum sustained (1-minute mean) surface (10 metre) wind speed of 114 knots (131 miles per hour) to 135 knots (155 miles per hour), inclusive.</t>
  </si>
  <si>
    <t>May be designated as 'H4'.</t>
  </si>
  <si>
    <t>category5</t>
  </si>
  <si>
    <t>Category 5</t>
  </si>
  <si>
    <t>The cyclone has a maximum sustained (1-minute mean) surface (10 metre) wind speed greater than 135 knots (155 miles per hour).</t>
  </si>
  <si>
    <t>May be designated as 'H5'.</t>
  </si>
  <si>
    <t>eitherLeftRightTurn</t>
  </si>
  <si>
    <t>Either Left Turn or Right Turn</t>
  </si>
  <si>
    <t>Both left and right turns may be utilized.</t>
  </si>
  <si>
    <t>leftTurn</t>
  </si>
  <si>
    <t>Left Turn</t>
  </si>
  <si>
    <t>Only left turns permitted.</t>
  </si>
  <si>
    <t>rightTurn</t>
  </si>
  <si>
    <t>Right Turn</t>
  </si>
  <si>
    <t>Only right turns permitted.</t>
  </si>
  <si>
    <t>horizontal</t>
  </si>
  <si>
    <t>Horizontal</t>
  </si>
  <si>
    <t>Zero slope (0 arc degrees).</t>
  </si>
  <si>
    <t>slopesDownward</t>
  </si>
  <si>
    <t>Slopes Downward</t>
  </si>
  <si>
    <t>A negative slope other than vertical.</t>
  </si>
  <si>
    <t>slopesUpward</t>
  </si>
  <si>
    <t>Slopes Upward</t>
  </si>
  <si>
    <t>A positive slope other than vertical.</t>
  </si>
  <si>
    <t>verticalDown</t>
  </si>
  <si>
    <t>Vertical Down</t>
  </si>
  <si>
    <t>A vertical shaft directly down (-90 arc degrees).</t>
  </si>
  <si>
    <t>verticalUp</t>
  </si>
  <si>
    <t>Vertical Up</t>
  </si>
  <si>
    <t>A vertical shaft directly up (90 arc degrees).</t>
  </si>
  <si>
    <t>drift</t>
  </si>
  <si>
    <t>Drift</t>
  </si>
  <si>
    <t>The targeted mineral seam is located at or above local drainage and outcrops at the surface allowing main entry or access to the mine to be driven directly into the mineral seam.</t>
  </si>
  <si>
    <t>The entry is generally located on the slope of a hill and the removal of minerals (for example: coal) is often facilitated by the construction of a small-gauge railway, roadway or conveyer into the mine.</t>
  </si>
  <si>
    <t>shaft</t>
  </si>
  <si>
    <t>Shaft</t>
  </si>
  <si>
    <t>The targeted mineral seam is located below local drainage and does not outcrop at the surface, and is far enough below the surface as to require access to be by means of a vertical shaft.</t>
  </si>
  <si>
    <t>On the surface above the mine shaft stands a superstructure (termed a 'pit-head' or 'pit-head frame'), which historically contained a winding engine and in modern times contains an electric hoist controller. This raises and lowers a cage within the shaft that serves as a lift for the transportation of minerals, equipment and/or workers.</t>
  </si>
  <si>
    <t>The targeted mineral seam is located below local drainage and does not outcrop at the surface, but is close enough to the surface to allow access to the mineral seam by means of a sloping tunnel.</t>
  </si>
  <si>
    <t>As with a drift mine, transportation of minerals, equipment and/or workers is often facilitated by the construction of a small-gauge railway, roadway or conveyer into the mine.</t>
  </si>
  <si>
    <t>abandonedMine</t>
  </si>
  <si>
    <t>Abandoned Mine</t>
  </si>
  <si>
    <t>A former underground mine that has been modified for the purpose of storage.</t>
  </si>
  <si>
    <t>Typically used to store packaged materials due to its original design and structure.</t>
  </si>
  <si>
    <t>aquifer</t>
  </si>
  <si>
    <t>A natural aquifer that is overlaid with an impermeable cap rock.</t>
  </si>
  <si>
    <t>The water-bearing sedimentary rock formation is pressurized with gas, thus displacing the water and resulting in gas storage.</t>
  </si>
  <si>
    <t>beddedSaltCavern</t>
  </si>
  <si>
    <t>Bedded Salt Cavern</t>
  </si>
  <si>
    <t>An artificially created cavern formed within a salt bed.</t>
  </si>
  <si>
    <t>A salt bed is a naturally-occurring formation in which a thick layer of rock salt occurs between layers of other rock types. The cavern is created through a process of 'solution mining' in which injected fresh water is removed as brine and disposed of elsewhere.</t>
  </si>
  <si>
    <t>depletedReservoir</t>
  </si>
  <si>
    <t>Depleted Reservoir</t>
  </si>
  <si>
    <t>A depleted natural gas or oil field.</t>
  </si>
  <si>
    <t>Conversion of a depleted field from production to natural gas storage takes advantage of existing wells, gathering systems, and pipeline connections. Depleted oil and gas reservoirs are the most commonly used underground natural gas storage sites because of their wide availability. In the future they may also be used to store carbon dioxide for long-term sequestration.</t>
  </si>
  <si>
    <t>hardRockCavern</t>
  </si>
  <si>
    <t>Hard Rock Cavern</t>
  </si>
  <si>
    <t>A purpose-built cavern hollowed out of a generally non-porous rock (for example: granite).</t>
  </si>
  <si>
    <t>Generally used only when location is important, the required volume is not high, and a suitable rock formation is available. May require lining to reduce seepage and/or loss.</t>
  </si>
  <si>
    <t>saltCavern</t>
  </si>
  <si>
    <t>Salt Cavern</t>
  </si>
  <si>
    <t>An artificially created cavern formed within a naturally-occurring salt formation.</t>
  </si>
  <si>
    <t>The salt formation may occur either as a layer (termed a 'salt bed') or as a diaper intruding into an overlying sedimentary stratum (termed a 'salt dome'). Depending on the nature of the salt formation the cavern may be created through a process of 'solution mining' in which injected fresh water is removed as brine and disposed of elsewhere, or using direct bulk-mining techniques.</t>
  </si>
  <si>
    <t>saltDomeCavern</t>
  </si>
  <si>
    <t>Salt Dome Cavern</t>
  </si>
  <si>
    <t>An artificially created cavern formed within a salt dome.</t>
  </si>
  <si>
    <t>A salt dome is a naturally-occurring formation in the form of a diaper intruding into an overlying sedimentary stratum. An individual dome may accommodate multiple caverns, each created through a process of 'solution mining' in which injected fresh water is removed as brine and disposed of elsewhere. Such caverns are typically 100-200 metres in diameter and up to 1 kilometre tall; they may be used to hold either liquids (for example: liquefied petroleum gas or petroleum) or gases (for example: methane). Shallow salt domes may be directly excavated creating storage space similar to that for an abandoned mine.</t>
  </si>
  <si>
    <t>averageDelineation</t>
  </si>
  <si>
    <t>Average Delineation</t>
  </si>
  <si>
    <t>The feature can be delineated with shallow visible optical penetration due to moderate levels of blurring caused by water turbidity.</t>
  </si>
  <si>
    <t>Impaired viewing conditions may result from a slightly choppy water surface and/or moderate levels of sun glint on the water surface.</t>
  </si>
  <si>
    <t>excellentDelineation</t>
  </si>
  <si>
    <t>Excellent Delineation</t>
  </si>
  <si>
    <t>The feature can be delineated with deep visible optical penetration.</t>
  </si>
  <si>
    <t>Ideal viewing conditions include calm to glassy surface waters with no sun glint and no turbidity within the water column.</t>
  </si>
  <si>
    <t>goodDelineation</t>
  </si>
  <si>
    <t>Good Delineation</t>
  </si>
  <si>
    <t>The feature can be delineated to a moderate depth.</t>
  </si>
  <si>
    <t>Impaired viewing conditions may result from a calm to lightly choppy surface water surface and/or low levels of sun glint on the water surface.</t>
  </si>
  <si>
    <t>highlyObscuredDelineation</t>
  </si>
  <si>
    <t>Highly Obscured Delineation</t>
  </si>
  <si>
    <t>The feature can be delineated only by indirectly based on water surface ripples and variations in wave patterns.</t>
  </si>
  <si>
    <t>Impaired viewing conditions may result from high water turbidity and/or almost total sun glint on the water surface.</t>
  </si>
  <si>
    <t>poorDelineation</t>
  </si>
  <si>
    <t>Poor  Delineation</t>
  </si>
  <si>
    <t>The feature can be delineated with very low levels of visible optical penetration resulting in an estimated delineation with a high probability that the feature is larger than the specified delineation.</t>
  </si>
  <si>
    <t>Impaired viewing conditions may result from a choppy to stormy water surface and/or high sun glint on the water surface.</t>
  </si>
  <si>
    <t>algae</t>
  </si>
  <si>
    <t>Algae</t>
  </si>
  <si>
    <t>An area of marine plants that grow in long narrow ribbons.</t>
  </si>
  <si>
    <t>Algae may be moored or floating. For example, sea grass, kelp, or sargasso.</t>
  </si>
  <si>
    <t>grassland</t>
  </si>
  <si>
    <t>grasslandWithTrees</t>
  </si>
  <si>
    <t>Grassland with Trees</t>
  </si>
  <si>
    <t>A tract covered mainly by grasses that have little or no woody tissue but including scattered trees.</t>
  </si>
  <si>
    <t>meadow</t>
  </si>
  <si>
    <t>Meadow</t>
  </si>
  <si>
    <t>A small, poorly drained area dominated by grassy vegetation.</t>
  </si>
  <si>
    <t>seaGrass</t>
  </si>
  <si>
    <t>Sea Grass</t>
  </si>
  <si>
    <t>An area of any of various grasslike marine algae.</t>
  </si>
  <si>
    <t>Eel-grass, Zostera marina, is one of the best known sea grasses.</t>
  </si>
  <si>
    <t>tropicalGrass</t>
  </si>
  <si>
    <t>Tropical Grass</t>
  </si>
  <si>
    <t>An area of plants of the large cosmopolitan family Poaceae (formerly Gramineae) that is found principally in tropical regions.</t>
  </si>
  <si>
    <t>For example, bamboos (Bambuseae).</t>
  </si>
  <si>
    <t>withoutTrees</t>
  </si>
  <si>
    <t>Without Trees</t>
  </si>
  <si>
    <t>An area lacking in treed vegetation.</t>
  </si>
  <si>
    <t>A plant of simple structure that grows chiefly in water, such as the various forms of seaweed.</t>
  </si>
  <si>
    <t>It ranges in size from a microscopic plant, large numbers of which sometimes cause discoloration of water, to the giant kelp which may extend for more than 185 metres (approximately 600 feet) in length.</t>
  </si>
  <si>
    <t>cypress</t>
  </si>
  <si>
    <t>Cypress</t>
  </si>
  <si>
    <t>An evergreen coniferous tree of the Eurasian and North American genus Cupressus having flattened shoots with scalelike leaves.</t>
  </si>
  <si>
    <t>For example, Cupressus sempervirens (also known as Italian cypress), a tall, often fastigiate, tree native to southern Europe and the Middle East, with dark foliage and hard durable wood.</t>
  </si>
  <si>
    <t>kelp</t>
  </si>
  <si>
    <t>Kelp</t>
  </si>
  <si>
    <t>Any of various large brown seaweeds, chiefly members of the orders Fucales and Laminariales.</t>
  </si>
  <si>
    <t>Specifically Macrocystis pyrifera of the Pacific coast of America, the largest of the seaweeds. Often burnt for the substances found in the ashes.</t>
  </si>
  <si>
    <t>Any of various tropical trees or shrubs of the genera Rhizophora and Bruguiera (family Rhizophoraceae) with interlacing aerial roots, which form dense thickets in muddy swamps subject to tidal inundation.</t>
  </si>
  <si>
    <t>For example, Rhizophora mangle (also known as common mangrove or red mangrove). May also be used to describe other tropical trees or shrubs of similar habit and appearance, especially of the genus Avicennia (of the verbena family).</t>
  </si>
  <si>
    <t>nipa</t>
  </si>
  <si>
    <t>Nipa</t>
  </si>
  <si>
    <t>A palm tree, Nypa fruticans, of mangrove swamps in tropical Asia and Australia, having a creeping rhizome and large feathery leaves.</t>
  </si>
  <si>
    <t>Nipa-palm</t>
  </si>
  <si>
    <t>palm</t>
  </si>
  <si>
    <t>Palm</t>
  </si>
  <si>
    <t>Any tree or shrub of the large, chiefly tropical, monocotyledonous family Palmae, typically having an unbranched stem with a crown of very large leaves either palmate or pinnate in shape.</t>
  </si>
  <si>
    <t>Also (with specifying word), any of various palmlike plants of other families, such as cycads.</t>
  </si>
  <si>
    <t>posidonia</t>
  </si>
  <si>
    <t>Posidonia</t>
  </si>
  <si>
    <t>Posidonia oceanica, an alga-like, vascular, flowering plant endemic to the Mediterranean Sea.</t>
  </si>
  <si>
    <t>It forms extensive underwater meadows that spread from the shore to the depth of 40 metres. Most often they are found on silty and sandy floors; less often on hard ground. Its rhizomes, which can grow horizontally or vertically, are densely intertwined and constitute a kind of a secondary bottom. This may be several decimetres thick and can sometimes create actual reefs.</t>
  </si>
  <si>
    <t>Any of various tall broad-leaved firm-stemmed grasses of the genera Phragmites and Arundo growing in water or marshy ground, frequently in large stands.</t>
  </si>
  <si>
    <t>Especially the common reed, Phragmites australis, found in most parts of the world. May also be used, with a specifying word, to describe any of various plants resembling the reed.</t>
  </si>
  <si>
    <t>sargassum</t>
  </si>
  <si>
    <t>Sargassum</t>
  </si>
  <si>
    <t>Any brown alga of the genus Sargassum, the members of which are kept afloat by air-filled bladders and form dense floating masses in warmer parts of the Atlantic.</t>
  </si>
  <si>
    <t>Gulfweed, Sargasso</t>
  </si>
  <si>
    <t>seaTangle</t>
  </si>
  <si>
    <t>Sea-tangle</t>
  </si>
  <si>
    <t>Coarse marine alga of the genus Laminaria.</t>
  </si>
  <si>
    <t>For example, oarweed or Laminaria digitata and Laminaria saccharina, two species of seaweed with long feathery fronds, the young stalk and fronds of which are sometimes eaten.</t>
  </si>
  <si>
    <t>Tangle, Tangle-weed</t>
  </si>
  <si>
    <t>swampCypress</t>
  </si>
  <si>
    <t>Swamp Cypress</t>
  </si>
  <si>
    <t>Any tree species capable of growing in habitats that are regularly covered with freshwater hydric soils, excluding various genera of mangrove (for example: rhizophora species, sonneratia species, aveicennia species, bruguiera species) and nipa palm (nypa species).</t>
  </si>
  <si>
    <t>Various tree species capable of growing in non-tidal swamps Common Northern American species may include Bald Cypress (Taxodium distichum), Atlantic White Cedar (Chamaecyparis thyoides), Water Tupelo (Nyssa aquatic) or Overcup Oak (Quercus lyrata).</t>
  </si>
  <si>
    <t>waterHyacinth</t>
  </si>
  <si>
    <t>Water Hyacinth</t>
  </si>
  <si>
    <t>A free-floating water plant with thick, waxy, rounded, glossy leaves that rise well above the water surface on stalks that grow up to three feet in height.</t>
  </si>
  <si>
    <t>Water hyacinth growth rate is among the highest of any plant known: hyacinth populations can double in as little as 12 days. In addition to blocking boat traffic and preventing swimming and fishing, water hyacinth infestations also prevent sunlight and oxygen from penetrating the water. Decaying plant matter also reduces oxygen in the water and consequently water hyacinth infestations reduce fisheries, shade out and crowd out immersed plants, and reduce biological diversity.</t>
  </si>
  <si>
    <t>automobile</t>
  </si>
  <si>
    <t>Automobile</t>
  </si>
  <si>
    <t>A self-propelled motor vehicle.</t>
  </si>
  <si>
    <t>A flat-bottomed freight-boat that may be either towed or self-propelled (for example: a bulk motor boat).</t>
  </si>
  <si>
    <t>A vehicle having two wheels turned by pedalling, typically with handlebars at the front and a seat or saddle for the rider.</t>
  </si>
  <si>
    <t>boat</t>
  </si>
  <si>
    <t>Boat</t>
  </si>
  <si>
    <t>A small open vessel propelled by oars, engine, or sail.</t>
  </si>
  <si>
    <t>A large passenger road vehicle running on a fixed route.</t>
  </si>
  <si>
    <t>caravan</t>
  </si>
  <si>
    <t>Caravan</t>
  </si>
  <si>
    <t>A trailer that is used as a dwelling, has no permanent foundation, and is designed to be easily moved.</t>
  </si>
  <si>
    <t>caravanette</t>
  </si>
  <si>
    <t>Caravanette</t>
  </si>
  <si>
    <t>A motor vehicle furnished with beds and other domestic equipment.</t>
  </si>
  <si>
    <t>A two-wheeled motor-driven road vehicle without pedal propulsion.</t>
  </si>
  <si>
    <t>ship</t>
  </si>
  <si>
    <t>Ship</t>
  </si>
  <si>
    <t>A large seagoing vessel propelled by sail or engine.</t>
  </si>
  <si>
    <t>Building materials (for example: stone, brick, concrete, hollow-tile, concrete block, gypsum block, or other similar building units or materials and/or a combination of the same) bonded together with mortar to form a structure (for example: a wall, a pier).</t>
  </si>
  <si>
    <t>groundLevel</t>
  </si>
  <si>
    <t>Ground Level</t>
  </si>
  <si>
    <t>A continuous surface over dry land and non-tidal waters (for example: lakes).</t>
  </si>
  <si>
    <t>In the case of non-tidal waters it is necessary to specify hydrologic conditions in order to ensure a precise reference surface specification. Over extensive areas it is often defined by a digital elevation model (for example: a matrix of elevation values or a Triangulated Irregular Network (TIN)). Over tidal waters (for example: oceans) it is usually considered to be extended to cover the remainder of the world based on a Mean Sea Level (MSL) surface.</t>
  </si>
  <si>
    <t>Mean Sea Level (MSL)</t>
  </si>
  <si>
    <t>A continuous surface over the oceans (or its hypothetical extension under the land masses) defined by the mean of sea level surfaces approximated and observed over 19 years.</t>
  </si>
  <si>
    <t>ngvd29</t>
  </si>
  <si>
    <t>National Geodetic Vertical Datum (NGVD) 1929</t>
  </si>
  <si>
    <t>A fixed reference for elevations derived from a general adjustment in 1929 of the first-order leveling nets of both the United States and Canada.</t>
  </si>
  <si>
    <t>In the adjustment, mean sea level was held fixed as observed at 21 tide stations in the United States and 5 in Canada.</t>
  </si>
  <si>
    <t>navd88</t>
  </si>
  <si>
    <t>North American Vertical Datum (NAVD) 1988</t>
  </si>
  <si>
    <t>A fixed reference for elevations derived from a general adjustment of the first-order terrestrial levelling nets of the United States, Canada, and Mexico.</t>
  </si>
  <si>
    <t>In the adjustment, only the height of the primary tidal bench mark, referenced to the International Great Lakes Datum of 1985 local mean sea level height value, at Pointe-au-Pere, Quebec, on the Gulf of St. Lawrence was held fixed, thus providing minimum constraint.</t>
  </si>
  <si>
    <t>wgs84Egm08</t>
  </si>
  <si>
    <t>WGS 84 EGM08 Geoid</t>
  </si>
  <si>
    <t>The geopotential surface defined by the World Geodetic System (WGS) 1984 EGM08 Earth Gravity Model that is closely associated with the mean ocean surface.</t>
  </si>
  <si>
    <t>wgs84Egm96</t>
  </si>
  <si>
    <t>WGS 84 EGM96 Geoid</t>
  </si>
  <si>
    <t>The geopotential surface defined by the World Geodetic System (WGS) 1984 EGM96 Earth Gravity Model that is closely associated with the mean ocean surface.</t>
  </si>
  <si>
    <t>wgs84</t>
  </si>
  <si>
    <t>WGS 84 Ellipsoid</t>
  </si>
  <si>
    <t>The oblate ellipsoidal figure of the Earth defined by the World Geodetic System (WGS) 1984.</t>
  </si>
  <si>
    <t>aboveGround</t>
  </si>
  <si>
    <t>Above Ground</t>
  </si>
  <si>
    <t>The vertical distance measured relative to the ground.</t>
  </si>
  <si>
    <t>aboveMsl</t>
  </si>
  <si>
    <t>Above MSL</t>
  </si>
  <si>
    <t>The vertical distance measured relative to mean sea level.</t>
  </si>
  <si>
    <t>Also known as altitude.</t>
  </si>
  <si>
    <t>aboveWgs84Ellipsoid</t>
  </si>
  <si>
    <t>Above WGS-84 Ellipsoid</t>
  </si>
  <si>
    <t>The vertical distance measured relative to the WGS-84 Ellipsoid.</t>
  </si>
  <si>
    <t>standardPressureDistance</t>
  </si>
  <si>
    <t>Standard Pressure Distance</t>
  </si>
  <si>
    <t>The vertical distance measured relative to mean sea level using standard atmospheric pressure.</t>
  </si>
  <si>
    <t>The altimeter setting is set to standard atmosphere.</t>
  </si>
  <si>
    <t>aboveSurface</t>
  </si>
  <si>
    <t>Above Surface</t>
  </si>
  <si>
    <t>Located above the ground (terrain) or the surface of the waterbody.</t>
  </si>
  <si>
    <t>aboveWaterbodyBottom</t>
  </si>
  <si>
    <t>Above Waterbody Bottom</t>
  </si>
  <si>
    <t>Located above the waterbody bottom but below the waterbody surface.</t>
  </si>
  <si>
    <t>belowGroundSurface</t>
  </si>
  <si>
    <t>Below Ground Surface</t>
  </si>
  <si>
    <t>Buried below the ground (terrain) surface.</t>
  </si>
  <si>
    <t>belowWaterbodyBottom</t>
  </si>
  <si>
    <t>Below Waterbody Bottom</t>
  </si>
  <si>
    <t>Buried below the waterbody bottom.</t>
  </si>
  <si>
    <t>belowWaterbodySurface</t>
  </si>
  <si>
    <t>Below Waterbody Surface</t>
  </si>
  <si>
    <t>Located at all times below the waterbody surface and may be located above, on, or below the waterbody bottom.</t>
  </si>
  <si>
    <t>onSurface</t>
  </si>
  <si>
    <t>On Surface</t>
  </si>
  <si>
    <t>Located on the ground (terrain) or the surface of the waterbody.</t>
  </si>
  <si>
    <t>onWaterbodyBottom</t>
  </si>
  <si>
    <t>On Waterbody Bottom</t>
  </si>
  <si>
    <t>Located on the waterbody bottom.</t>
  </si>
  <si>
    <t>gangway</t>
  </si>
  <si>
    <t>Gangway</t>
  </si>
  <si>
    <t>Walked up the gangway.</t>
  </si>
  <si>
    <t>grapplingHook</t>
  </si>
  <si>
    <t>Grappling-hook</t>
  </si>
  <si>
    <t>Used a grappling-hook, an iron-clawed instrument intended to be thrown with a rope attached in order to get a firm hold on an object (for example: a wall or an enemy ship vessel).</t>
  </si>
  <si>
    <t>jumped</t>
  </si>
  <si>
    <t>Jumped</t>
  </si>
  <si>
    <t>Jumped aboard from an adjacent object (for example: a pier or another vessel) without use of other equipment.</t>
  </si>
  <si>
    <t>towLine</t>
  </si>
  <si>
    <t>Tow-line</t>
  </si>
  <si>
    <t>Climbed a tow-line.</t>
  </si>
  <si>
    <t>amidships</t>
  </si>
  <si>
    <t>Amidships</t>
  </si>
  <si>
    <t>At or near or toward the center of a vessel.</t>
  </si>
  <si>
    <t>bridgeWing</t>
  </si>
  <si>
    <t>Bridge Wing</t>
  </si>
  <si>
    <t>A narrow walkway extending outward from both sides of a pilothouse to the full width of a vessel.</t>
  </si>
  <si>
    <t>Officers use bridge wings when docking or maneuvering in locks and narrow waterways.</t>
  </si>
  <si>
    <t>engineRoom</t>
  </si>
  <si>
    <t>Engine Room</t>
  </si>
  <si>
    <t>The room containing the vessel's engines.</t>
  </si>
  <si>
    <t>fantail</t>
  </si>
  <si>
    <t>Fantail</t>
  </si>
  <si>
    <t>An overhang consisting of the fan-shaped part of the deck extending aft of the sternpost of a vessel.</t>
  </si>
  <si>
    <t>stern</t>
  </si>
  <si>
    <t>Stern</t>
  </si>
  <si>
    <t>That part of the vessel built around the sternpost, from the counter up to the taffrail.</t>
  </si>
  <si>
    <t>A machine that can be flown in the air (for example: an aeroplane or helicopter).</t>
  </si>
  <si>
    <t>aircraftCarrier</t>
  </si>
  <si>
    <t>Aircraft Carrier</t>
  </si>
  <si>
    <t>A warship designed to serve as a base for aircraft.</t>
  </si>
  <si>
    <t>amphibiousWarfareVessel</t>
  </si>
  <si>
    <t>Amphibious Warfare Vessel</t>
  </si>
  <si>
    <t>Any of a class of naval ships designed specifically to conduct Amphibious Warfare by the landing of infantry troops on a beachhead.</t>
  </si>
  <si>
    <t>ancientMerchant</t>
  </si>
  <si>
    <t>Ancient Merchant</t>
  </si>
  <si>
    <t>A vessel from long ago used by an armed force.</t>
  </si>
  <si>
    <t>ancientMilitaryVessel</t>
  </si>
  <si>
    <t>Ancient Military Vessel</t>
  </si>
  <si>
    <t>antiSubmarineBarrier</t>
  </si>
  <si>
    <t>Anti-submarine Barrier</t>
  </si>
  <si>
    <t>A man-made obstacle that bars advance or access to submarines.</t>
  </si>
  <si>
    <t>armedVessel</t>
  </si>
  <si>
    <t>Armed Vessel</t>
  </si>
  <si>
    <t>A vessel carrying weapons.</t>
  </si>
  <si>
    <t>auxiliary</t>
  </si>
  <si>
    <t>Auxiliary</t>
  </si>
  <si>
    <t>A vessel functioning in a subsidiary and/or supplementary capacity.</t>
  </si>
  <si>
    <t>In naval terms, not a fighting ship.</t>
  </si>
  <si>
    <t>A usually flat bottomed boat, used principally in harbours and inland waterways though is often seagoing, for the transport of goods or sometimes passengers and usually propelled by towing.</t>
  </si>
  <si>
    <t>barque</t>
  </si>
  <si>
    <t>Barque</t>
  </si>
  <si>
    <t>A small square sterned ocean-going sailing vessel without head rails.</t>
  </si>
  <si>
    <t>Specifically, such a ship with the aftermost mast fore-and-aft rigged and the other masts square-rigged.</t>
  </si>
  <si>
    <t>battleCruiser</t>
  </si>
  <si>
    <t>Battle-cruiser</t>
  </si>
  <si>
    <t>A heavy-gunned warship of higher speed and lighter armour than a battleship.</t>
  </si>
  <si>
    <t>battleship</t>
  </si>
  <si>
    <t>Battleship</t>
  </si>
  <si>
    <t>A warship of the most heavily armed and armoured class, of sufficient size to take part in a main attack.</t>
  </si>
  <si>
    <t>Generally having at least 10 inches of armour and carrying a main battery of 12 inch guns or larger.</t>
  </si>
  <si>
    <t>beamTrawler</t>
  </si>
  <si>
    <t>Beam Trawler</t>
  </si>
  <si>
    <t>A fishing vessel equipped with a trawl net with its mouth held apart by a beam.</t>
  </si>
  <si>
    <t>blockShip</t>
  </si>
  <si>
    <t>Block-ship</t>
  </si>
  <si>
    <t>A ship moored or grounded in order to block a channel.</t>
  </si>
  <si>
    <t>boardingVessel</t>
  </si>
  <si>
    <t>Boarding Vessel</t>
  </si>
  <si>
    <t>Generally, a vessel used to convey passengers to another vessel for embarkation.</t>
  </si>
  <si>
    <t>Specifically, used by a military force to enter a ship for the purposes of providing information or inspection of the ship, its crew or contents.</t>
  </si>
  <si>
    <t>bombardon</t>
  </si>
  <si>
    <t>Bombardon</t>
  </si>
  <si>
    <t>A floating breakwater used to create a man-made harbour.</t>
  </si>
  <si>
    <t>brigantine</t>
  </si>
  <si>
    <t>Brigantine</t>
  </si>
  <si>
    <t>A two-masted sailing ship with a square-rigged foremast and a fore-and-aft-rigged mainmast.</t>
  </si>
  <si>
    <t>bulkCarrier</t>
  </si>
  <si>
    <t>Bulk Carrier</t>
  </si>
  <si>
    <t>A vessel designed to carry (large) quantities of cargo, such as grain, that is not in the form of separate packages.</t>
  </si>
  <si>
    <t>A floating object moored to the bottom in a particular (charted) place, as an navigation or for other specific purposes.</t>
  </si>
  <si>
    <t>cabinCruiser</t>
  </si>
  <si>
    <t>Cabin Cruiser</t>
  </si>
  <si>
    <t>A power-driven vessel equipped with a cabin and living accommodation.</t>
  </si>
  <si>
    <t>A large watertight chamber open at the bottom, from which the water is kept out by air pressure, used in laying foundations under water.</t>
  </si>
  <si>
    <t>The goods (load) previously carried by a vessel.</t>
  </si>
  <si>
    <t>carrier</t>
  </si>
  <si>
    <t>Carrier</t>
  </si>
  <si>
    <t>In general, a vessel engaged in the transport of goods or passengers for payment.</t>
  </si>
  <si>
    <t>Specifically, a boat that takes the catch from a fishing fleet to market.</t>
  </si>
  <si>
    <t>catameran</t>
  </si>
  <si>
    <t>Catameran</t>
  </si>
  <si>
    <t>A boat with two hulls side by side.</t>
  </si>
  <si>
    <t>coastGuardVessel</t>
  </si>
  <si>
    <t>Coast Guard Vessel</t>
  </si>
  <si>
    <t>A vessel used by a military or naval force to guard a coastline and specified area of water and to police the regulations, safety, order and effective operation of marine traffic in its jurisdiction.</t>
  </si>
  <si>
    <t>coaster</t>
  </si>
  <si>
    <t>Coaster</t>
  </si>
  <si>
    <t>A vessel employed in sailing along a coast, trading from port to port, especially of the same country.</t>
  </si>
  <si>
    <t>collier</t>
  </si>
  <si>
    <t>Collier</t>
  </si>
  <si>
    <t>A vessel that carries coal.</t>
  </si>
  <si>
    <t>containerShip</t>
  </si>
  <si>
    <t>Container-ship</t>
  </si>
  <si>
    <t>A vessel designed to carry goods stored in (large) containers.</t>
  </si>
  <si>
    <t>corvette</t>
  </si>
  <si>
    <t>Corvette</t>
  </si>
  <si>
    <t>An escort vessel smaller than a frigate used especially for protecting convoys against submarines in the war of 1939-45.</t>
  </si>
  <si>
    <t>cruiser</t>
  </si>
  <si>
    <t>Cruiser</t>
  </si>
  <si>
    <t>A high-speed warship less heavily armed than a battleship.</t>
  </si>
  <si>
    <t>militaryCruiser</t>
  </si>
  <si>
    <t>Cruiser (Military)</t>
  </si>
  <si>
    <t>A light pilot or patrol vessel.</t>
  </si>
  <si>
    <t>Also used to describe a sailing-yacht with one mainsail and two foresails; originally a small fore-and-aft rigged boat with one mast, more than one head-sail, and a running bowsprit, formerly used especially as a fast auxiliary.</t>
  </si>
  <si>
    <t>derrickBarge</t>
  </si>
  <si>
    <t>Derrick Barge</t>
  </si>
  <si>
    <t>A barge upon which is mounted a mechanism for hoisting materials by a boom hung from a central post.</t>
  </si>
  <si>
    <t>Lifting Barge</t>
  </si>
  <si>
    <t>destroyer</t>
  </si>
  <si>
    <t>Destroyer</t>
  </si>
  <si>
    <t>A fast warship of a type designed to protect other ships (for example: by attacking submarines) with guns and torpedoes.</t>
  </si>
  <si>
    <t>dinghy</t>
  </si>
  <si>
    <t>Dinghy</t>
  </si>
  <si>
    <t>A small open boat, propelled by oars, sails or an outboard motor.</t>
  </si>
  <si>
    <t>dreadnoughtBattleship</t>
  </si>
  <si>
    <t>Dreadnought Battleship</t>
  </si>
  <si>
    <t>Any of a class of battleships (originally superior to all their predecessors) whose main armament was entirely big guns of the same calibre.</t>
  </si>
  <si>
    <t>dredger</t>
  </si>
  <si>
    <t>Dredger</t>
  </si>
  <si>
    <t>A vessel or floating structure equipped with machinery for excavating ditches or canals, deepening channels and harbours, and removing solid matter from the bottom of a water area.</t>
  </si>
  <si>
    <t>drifter</t>
  </si>
  <si>
    <t>Drifter</t>
  </si>
  <si>
    <t>A vessel (for example: a fishing vessel) used by the UK Royal Navy, especially in wartime, for patrolling, conveying stores, and other duties.</t>
  </si>
  <si>
    <t>Generally, a vessel engaged in fishing with a drift-net.</t>
  </si>
  <si>
    <t>drillVesselOrRig</t>
  </si>
  <si>
    <t>Drill Vessel or Drill Rig</t>
  </si>
  <si>
    <t>A floating offshore vessel or platform supporting the complete apparatus and structure required for drilling an oil or gas well.</t>
  </si>
  <si>
    <t>eastIndiaman</t>
  </si>
  <si>
    <t>East Indiaman</t>
  </si>
  <si>
    <t>A ship engaged in trade with the Indian subcontinent.</t>
  </si>
  <si>
    <t>escortVessel</t>
  </si>
  <si>
    <t>Escort Vessel</t>
  </si>
  <si>
    <t>A vessel accompanying another vessel for security or protection.</t>
  </si>
  <si>
    <t>explorationVessel</t>
  </si>
  <si>
    <t>Exploration Vessel</t>
  </si>
  <si>
    <t>A vessel engaged in visiting undiscovered or uninvestigated territory, especially to get scientific information.</t>
  </si>
  <si>
    <t>factoryShip</t>
  </si>
  <si>
    <t>Factory Ship</t>
  </si>
  <si>
    <t>A fishing ship with facilities for immediate processing of the catch.</t>
  </si>
  <si>
    <t>A vessel for transporting passengers, vehicles, and/or goods across a stretch of water, especially as a regular service.</t>
  </si>
  <si>
    <t>fishingVessel</t>
  </si>
  <si>
    <t>Fishing Vessel</t>
  </si>
  <si>
    <t>A vessel engaged in harvesting fish or other products from the sea for commercial gain.</t>
  </si>
  <si>
    <t>freighter</t>
  </si>
  <si>
    <t>Freighter</t>
  </si>
  <si>
    <t>A ship for transporting freight.</t>
  </si>
  <si>
    <t>frigate</t>
  </si>
  <si>
    <t>Frigate</t>
  </si>
  <si>
    <t>A general-purpose warship with mixed armament, usually lighter than, or, in the US and some other navies, heavier than a destroyer.</t>
  </si>
  <si>
    <t>Generally between a corvette and a destroyer in size and designed for convoy escort work.</t>
  </si>
  <si>
    <t>gasTurbineVessel</t>
  </si>
  <si>
    <t>Gas Turbine Vessel</t>
  </si>
  <si>
    <t>A vessel driven by a rotary motor in which a wheel or drum with curved vanes is driven by expanding hot air admitted to it and allowed to escape.</t>
  </si>
  <si>
    <t>gunboat</t>
  </si>
  <si>
    <t>Gunboat</t>
  </si>
  <si>
    <t>A small vessel of shallow draught (fitted for) carrying relatively heavy guns.</t>
  </si>
  <si>
    <t>heavyCruiser</t>
  </si>
  <si>
    <t>Heavy Cruiser</t>
  </si>
  <si>
    <t>A large naval cruiser whose principal armament usually consists of 8 guns.</t>
  </si>
  <si>
    <t>An aircraft deriving both lift and propulsive power from horizontally revolving, usually engine-driven, blades or rotors and capable of ascending and descending vertically.</t>
  </si>
  <si>
    <t>hospitalShip</t>
  </si>
  <si>
    <t>Hospital Ship</t>
  </si>
  <si>
    <t>A ship fitted out exclusively for the treatment and transport of the sick and wounded.</t>
  </si>
  <si>
    <t>hovercraft</t>
  </si>
  <si>
    <t>Hovercraft</t>
  </si>
  <si>
    <t>A vehicle or craft supported by a cushion of air ejected downwards against the surface (of land or sea).</t>
  </si>
  <si>
    <t>hydrofoil</t>
  </si>
  <si>
    <t>Hydrofoil</t>
  </si>
  <si>
    <t>A boat equipped with a device consisting of planes for lifting its hull out of the water to increase its speed.</t>
  </si>
  <si>
    <t>iceBreaker</t>
  </si>
  <si>
    <t>Ice-breaker</t>
  </si>
  <si>
    <t>A ship specially built or adapted for breaking a channel through ice.</t>
  </si>
  <si>
    <t>inshoreVessel</t>
  </si>
  <si>
    <t>Inshore Vessel</t>
  </si>
  <si>
    <t>A vessel that operates close to the shore.</t>
  </si>
  <si>
    <t>junk</t>
  </si>
  <si>
    <t>Junk</t>
  </si>
  <si>
    <t>A flat-bottomed type of sailing vessel used in the China seas, with a square prow, prominent stem, full stern, suspended rudder, and lugsails.</t>
  </si>
  <si>
    <t>ketch</t>
  </si>
  <si>
    <t>Ketch</t>
  </si>
  <si>
    <t>A two-masted, fore-and-aft rigged sailing vessel in which the mizzen-mast is shorter than the mainmast and stepped forward of the rudder post.</t>
  </si>
  <si>
    <t>Formerly used especially for coastal trading.</t>
  </si>
  <si>
    <t>landingCraftInfantry</t>
  </si>
  <si>
    <t>Landing Craft, Infantry (LCI)</t>
  </si>
  <si>
    <t>Any of several types of naval assault landing craft especially designed for putting troops and equipment directly ashore.</t>
  </si>
  <si>
    <t>landingShipInfantry</t>
  </si>
  <si>
    <t>Landing Ship, Infantry (LSI)</t>
  </si>
  <si>
    <t>A naval vessel intended to ferry infantry that could not beach directly, but instead carries a number of smaller assault landing craft that can ferry infantry to a beach.</t>
  </si>
  <si>
    <t>During World War II, often converted cross channel ferries and other similar ships of the same size.</t>
  </si>
  <si>
    <t>landingShipTank</t>
  </si>
  <si>
    <t>Landing Ship, Tank (LST)</t>
  </si>
  <si>
    <t>The largest naval vessels designed to put their bows directly onto a beach, open their bow doors and lower a ramp supporting vehicle entry and/or exit.</t>
  </si>
  <si>
    <t>Typically about 5000 tons and capable of landing a squadron of tanks or a large number of other vehicles.</t>
  </si>
  <si>
    <t>landingStage</t>
  </si>
  <si>
    <t>Landing-stage</t>
  </si>
  <si>
    <t>A floating platform, for the landing of passengers and goods.</t>
  </si>
  <si>
    <t>largeContainerShip</t>
  </si>
  <si>
    <t>Large Container Ship</t>
  </si>
  <si>
    <t>A container ship capable of transporting over 7,000 Twenty-foot Equivalent Unit (TEU).</t>
  </si>
  <si>
    <t>The TEU number is the number of standard 20-foot containers measuring 20 x 8.0 x 8.5 feet (6.1 x 2.4 x 2.6 metres) that a vessel can carry.</t>
  </si>
  <si>
    <t>seaBeeLashBarge</t>
  </si>
  <si>
    <t>LASH Lighter</t>
  </si>
  <si>
    <t>A lighter comprising part of cargo carrying system using specially built ships.</t>
  </si>
  <si>
    <t>Cargoes are loaded into LASH lighters which are towed to a LASH ship where they are embarked. At their destination the LASH lighters are disembarked and towed away to their unloading berths. Special berths or anchorages are sometimes designated for LASH ships.</t>
  </si>
  <si>
    <t>LASH Barge</t>
  </si>
  <si>
    <t>launch</t>
  </si>
  <si>
    <t>Launch</t>
  </si>
  <si>
    <t>A small motor boat carried on a cruising yacht.</t>
  </si>
  <si>
    <t>Also, a similar boat, usually partly open, used as a pleasure-boat.</t>
  </si>
  <si>
    <t>libertyShip</t>
  </si>
  <si>
    <t>Liberty Ship</t>
  </si>
  <si>
    <t>A type of merchant vessel built in the US by rapid mass-production methods during the war of 1939-45.</t>
  </si>
  <si>
    <t>lightCruiser</t>
  </si>
  <si>
    <t>Light Cruiser</t>
  </si>
  <si>
    <t>A large naval cruiser whose principal armament usually consists of 6 guns.</t>
  </si>
  <si>
    <t>lighterAboardShipVessel</t>
  </si>
  <si>
    <t>Lighter Aboard Ship (LASH) Vessel</t>
  </si>
  <si>
    <t>A cargo carrying system using specially built ships and lighters.</t>
  </si>
  <si>
    <t>lighterVessel</t>
  </si>
  <si>
    <t>Lighter Vessel</t>
  </si>
  <si>
    <t>A boat, usually flat-bottomed, for transferring goods from a ship to a wharf or another ship.</t>
  </si>
  <si>
    <t>lightship</t>
  </si>
  <si>
    <t>Lightship</t>
  </si>
  <si>
    <t>liner</t>
  </si>
  <si>
    <t>Liner</t>
  </si>
  <si>
    <t>A ship belonging to a line of passenger ships.</t>
  </si>
  <si>
    <t>liquefiedNaturalGasCarrier</t>
  </si>
  <si>
    <t>Liquefied Natural Gas Carrier</t>
  </si>
  <si>
    <t>Ship designed for transporting liquefied natural gas.</t>
  </si>
  <si>
    <t>liquefiedPetroGasCarrier</t>
  </si>
  <si>
    <t>Liquefied Petroleum Gas Carrier</t>
  </si>
  <si>
    <t>A ship designed for transporting liquefied petroleum gas (primarily propane).</t>
  </si>
  <si>
    <t>mailboat</t>
  </si>
  <si>
    <t>Mailboat</t>
  </si>
  <si>
    <t>A vessel carrying letters and parcels.</t>
  </si>
  <si>
    <t>merchantShip</t>
  </si>
  <si>
    <t>Merchant Ship</t>
  </si>
  <si>
    <t>A vessel operated by a merchant marine organisation, engaged in the transport of goods for payment.</t>
  </si>
  <si>
    <t>militaryVessel</t>
  </si>
  <si>
    <t>Military Vessel</t>
  </si>
  <si>
    <t>A vessel used by a countries armed forces, sometimes engaged in the pursuit of warfare.</t>
  </si>
  <si>
    <t>minelayer</t>
  </si>
  <si>
    <t>Minelayer</t>
  </si>
  <si>
    <t>A ship or aircraft equipped to lay explosive mines.</t>
  </si>
  <si>
    <t>minelayerOrMinesweeper</t>
  </si>
  <si>
    <t>Minelayer or Minesweeper</t>
  </si>
  <si>
    <t>A ship equipped to lay or clear away floating and submarine mines.</t>
  </si>
  <si>
    <t>A ship for clearing away floating and submarine mines.</t>
  </si>
  <si>
    <t>mobileCrane</t>
  </si>
  <si>
    <t>Mobile Crane</t>
  </si>
  <si>
    <t>A machine for moving heavy objects, usually by suspending them from a projecting arm or beam, mounted on a floating platform.</t>
  </si>
  <si>
    <t>motorVessel</t>
  </si>
  <si>
    <t>Motor Vessel</t>
  </si>
  <si>
    <t>A craft or structure for transport by water, driven by an engine.</t>
  </si>
  <si>
    <t>mulberryUnit</t>
  </si>
  <si>
    <t>Mulberry Unit</t>
  </si>
  <si>
    <t>A concrete caisson used to create a man-made harbour.</t>
  </si>
  <si>
    <t>netTender</t>
  </si>
  <si>
    <t>Net Tender</t>
  </si>
  <si>
    <t>A type of small auxiliary ship built for the US Navy during World War II, built to lay and maintain steel anti-torpedo or anti-submarine nets.</t>
  </si>
  <si>
    <t>nonPropelledRollOnRollOff</t>
  </si>
  <si>
    <t>Non-propelled Roll-on Roll-off</t>
  </si>
  <si>
    <t>A vessel with no means of self-propulsion on which vehicles are driven directly on at the start of the voyage and off at the end of it.</t>
  </si>
  <si>
    <t>oceanTug</t>
  </si>
  <si>
    <t>Ocean Tug</t>
  </si>
  <si>
    <t>A small powerful boat for towing larger boats and ships that can operate in ocean conditions.</t>
  </si>
  <si>
    <t>paddleBoat</t>
  </si>
  <si>
    <t>Paddle-boat</t>
  </si>
  <si>
    <t>A vessel propelled through the use of wheels having paddle-boards fitted radially which press backwards against the water.</t>
  </si>
  <si>
    <t>passengerCargo</t>
  </si>
  <si>
    <t>Passenger Cargo</t>
  </si>
  <si>
    <t>A cargo vessel having accommodations for limited numbers of passengers.</t>
  </si>
  <si>
    <t>For example, ubiquitous twelve-passenger freighters once common on the seas in which the transport of passengers is secondary to the carriage of freight.</t>
  </si>
  <si>
    <t>patrolBoat</t>
  </si>
  <si>
    <t>Patrol Boat</t>
  </si>
  <si>
    <t>A vessel which moves systematically around an area for the purposes of watching, repressing, protecting, and/or inspecting.</t>
  </si>
  <si>
    <t>pilotBoat</t>
  </si>
  <si>
    <t>Pilot-boat</t>
  </si>
  <si>
    <t>A boat used by a pilot to meet an incoming ship.</t>
  </si>
  <si>
    <t>pleasureCraft</t>
  </si>
  <si>
    <t>Pleasure Craft</t>
  </si>
  <si>
    <t>A boat used for pleasure or amusement.</t>
  </si>
  <si>
    <t>rescueBoat</t>
  </si>
  <si>
    <t>Rescue Boat</t>
  </si>
  <si>
    <t>A vessel used for the purpose of saving people from danger.</t>
  </si>
  <si>
    <t>researchVessel</t>
  </si>
  <si>
    <t>Research Vessel</t>
  </si>
  <si>
    <t>A vessel engaged in the business of conducting investigation into the sea and its environs to increase the sum of knowledge.</t>
  </si>
  <si>
    <t>riverboat</t>
  </si>
  <si>
    <t>Riverboat</t>
  </si>
  <si>
    <t>A boat designed for use on rivers.</t>
  </si>
  <si>
    <t>Typically has a shallow draft.</t>
  </si>
  <si>
    <t>rollOnRollOff</t>
  </si>
  <si>
    <t>Roll-on Roll-off</t>
  </si>
  <si>
    <t>A ship (especially a passenger ferry) onto which vehicles are driven directly at the start of the voyage and off at the end.</t>
  </si>
  <si>
    <t>sailingShip</t>
  </si>
  <si>
    <t>Sailing Ship</t>
  </si>
  <si>
    <t>A vessel propelled by means of a sail or sails extended on rigging to catch the wind.</t>
  </si>
  <si>
    <t>salvageVessel</t>
  </si>
  <si>
    <t>Salvage Vessel</t>
  </si>
  <si>
    <t>A vessel used in the business of raising sunken or wrecked ships or their contents.</t>
  </si>
  <si>
    <t>schooner</t>
  </si>
  <si>
    <t>Schooner</t>
  </si>
  <si>
    <t>A small seagoing fore-and-aft rigged vessel, originally with two masts, later often with three or four, the foremast being equal to or smaller than the other masts.</t>
  </si>
  <si>
    <t>shipDebris</t>
  </si>
  <si>
    <t>Ship Debris</t>
  </si>
  <si>
    <t>Ship debris (for example: plates, miscellaneous metal) are present however the specific wreck type has not been determined.</t>
  </si>
  <si>
    <t>shipsLifeboat</t>
  </si>
  <si>
    <t>Ship's Lifeboat</t>
  </si>
  <si>
    <t>A ship's small boat for use in emergency.</t>
  </si>
  <si>
    <t>sloop</t>
  </si>
  <si>
    <t>Sloop</t>
  </si>
  <si>
    <t>A small one-masted fore-and-aft rigged vessel with mainsail and jib.</t>
  </si>
  <si>
    <t>smack</t>
  </si>
  <si>
    <t>Smack</t>
  </si>
  <si>
    <t>A single-masted fore-and-aft rigged sailing vessel, usually employed for coasting or fishing.</t>
  </si>
  <si>
    <t>smallDefenceVessel</t>
  </si>
  <si>
    <t>Small Defence Vessel</t>
  </si>
  <si>
    <t>A small vessel used for military purposes.</t>
  </si>
  <si>
    <t>A high-speed motor boat.</t>
  </si>
  <si>
    <t>steamShip</t>
  </si>
  <si>
    <t>Steam Ship</t>
  </si>
  <si>
    <t>A vessel driven by water in the form of gas or vapour.</t>
  </si>
  <si>
    <t>sternTrawler</t>
  </si>
  <si>
    <t>Stern Trawler</t>
  </si>
  <si>
    <t>A fishing vessel that drags its trawl from the rear of the vessel.</t>
  </si>
  <si>
    <t>subchaser</t>
  </si>
  <si>
    <t>Subchaser</t>
  </si>
  <si>
    <t>A vessel used for the detection and pursuit of submarines.</t>
  </si>
  <si>
    <t>A vessel, especially a warship, capable of operating under water and usually equipped with torpedoes, missiles, and a periscope.</t>
  </si>
  <si>
    <t>supplyVessel</t>
  </si>
  <si>
    <t>Supply Vessel</t>
  </si>
  <si>
    <t>A vessel carrying provisions and/or equipment.</t>
  </si>
  <si>
    <t>surfaceWarshipDestSmall</t>
  </si>
  <si>
    <t>Surface Warship (Destroyer or smaller)</t>
  </si>
  <si>
    <t>An armoured surface vessel that is no larger than a destroyer.</t>
  </si>
  <si>
    <t>A destroyer is a fast warship of a type designed to protect other ships (for example: by attacking submarines) with guns and torpedoes.</t>
  </si>
  <si>
    <t>surveyVessel</t>
  </si>
  <si>
    <t>Survey Vessel</t>
  </si>
  <si>
    <t>A ship or vessel specially equipped for carrying out hydrographic and/or oceanographic surveys.</t>
  </si>
  <si>
    <t>tanker</t>
  </si>
  <si>
    <t>Tanker</t>
  </si>
  <si>
    <t>A ship fitted with tanks for transporting oil or other fluids in bulk.</t>
  </si>
  <si>
    <t>targetShip</t>
  </si>
  <si>
    <t>Target-ship</t>
  </si>
  <si>
    <t>An obsolete vessel providing a mark to shot at for practice.</t>
  </si>
  <si>
    <t>tenderVessel</t>
  </si>
  <si>
    <t>Tender Vessel</t>
  </si>
  <si>
    <t>A ship or boat used to attend a larger one, especially to supply goods and provisions, convey orders, and/or carry passengers to and from shore.</t>
  </si>
  <si>
    <t>torpedoBoat</t>
  </si>
  <si>
    <t>Torpedo Boat</t>
  </si>
  <si>
    <t>A small, fast and lightly armed warship for carrying or discharging torpedoes.</t>
  </si>
  <si>
    <t>transportShip</t>
  </si>
  <si>
    <t>Transport-ship</t>
  </si>
  <si>
    <t>A ship used to carry soldiers and/or supplies.</t>
  </si>
  <si>
    <t>trawler</t>
  </si>
  <si>
    <t>Trawler</t>
  </si>
  <si>
    <t>A vessel that fishes by dragging an open-mouthed bag-net along the sea-bed.</t>
  </si>
  <si>
    <t>trimaran</t>
  </si>
  <si>
    <t>Trimaran</t>
  </si>
  <si>
    <t>A sailing boat with three hulls.</t>
  </si>
  <si>
    <t>tug</t>
  </si>
  <si>
    <t>Tug</t>
  </si>
  <si>
    <t>A small stoutly built powerful boat used to tow larger vessels.</t>
  </si>
  <si>
    <t>Tugboat</t>
  </si>
  <si>
    <t>turboElectricVessel</t>
  </si>
  <si>
    <t>Turbo-electric Vessel</t>
  </si>
  <si>
    <t>A vessel using a form of electric drive in which turbine-driven generators supply electric power to motors coupled to the propeller.</t>
  </si>
  <si>
    <t>twinMotorVessel</t>
  </si>
  <si>
    <t>Twin Motor Vessel</t>
  </si>
  <si>
    <t>A craft or structure for transport by water, driven by two engines.</t>
  </si>
  <si>
    <t>victoryShip</t>
  </si>
  <si>
    <t>Victory Ship</t>
  </si>
  <si>
    <t>A type of cargo ship produced in large numbers by American shipyards during World War II to replace losses caused by German submarines.</t>
  </si>
  <si>
    <t>wreckLikeAnomaly</t>
  </si>
  <si>
    <t>Wreck-like Anomaly</t>
  </si>
  <si>
    <t>A wreck-like anomaly is present on the sea floor, however the specific wreck type has not been determined.</t>
  </si>
  <si>
    <t>A light sailing vessel, especially equipped for racing or a larger, usually power driven vessel equipped for cruising.</t>
  </si>
  <si>
    <t>conventionalVor</t>
  </si>
  <si>
    <t>Conventional VOR</t>
  </si>
  <si>
    <t>A ground-based electronic navigation aid transmitting Very High Frequency (VHF) navigation signals, 360 degrees in azimuth, oriented from magnetic North.</t>
  </si>
  <si>
    <t>dopplerVor</t>
  </si>
  <si>
    <t>Doppler VOR</t>
  </si>
  <si>
    <t>A ground-based navigational aid operating at Very High Frequency (VHF) and using a wide-aperture radiation system to reduce azimuth errors caused by reflection from terrain and other obstacles.</t>
  </si>
  <si>
    <t>vorTestFacility</t>
  </si>
  <si>
    <t>VOR Test Facility</t>
  </si>
  <si>
    <t>A ground-based navigational aid operating at Very High Frequency (VHF) which transmits a test signal used to determine the operational status and accuracy of a VHF Omnidirectional Radio Beacon (VOR) receiver while on the ground where a VOR test facility is located.</t>
  </si>
  <si>
    <t>commEquipmentDestroyed</t>
  </si>
  <si>
    <t>Communication Equipment Destroyed</t>
  </si>
  <si>
    <t>All communication equipment was destroyed but the vessel was otherwise undamaged and remained fully operable.</t>
  </si>
  <si>
    <t>This includes both ship (for example: ship-to-shore radio) and personal (for example: cell phone) communication devices.</t>
  </si>
  <si>
    <t>Sustained damage but remained operable.</t>
  </si>
  <si>
    <t>Sustained significant damage and was no longer operable.</t>
  </si>
  <si>
    <t>disabled</t>
  </si>
  <si>
    <t>Disabled</t>
  </si>
  <si>
    <t>Rendered inoperable but not otherwise damaged.</t>
  </si>
  <si>
    <t>stolen</t>
  </si>
  <si>
    <t>Stolen</t>
  </si>
  <si>
    <t>Stolen by the aggressor(s).</t>
  </si>
  <si>
    <t>Sustained significant damage and was sunk.</t>
  </si>
  <si>
    <t>Did not sustain any damage, remaining fully operable.</t>
  </si>
  <si>
    <t>anchored</t>
  </si>
  <si>
    <t>Anchored</t>
  </si>
  <si>
    <t>The vessel was anchored offshore.</t>
  </si>
  <si>
    <t>docked</t>
  </si>
  <si>
    <t>Docked</t>
  </si>
  <si>
    <t>The vessel was docked at a pier.</t>
  </si>
  <si>
    <t>underway</t>
  </si>
  <si>
    <t>Underway</t>
  </si>
  <si>
    <t>The vessel was underway to its destination.</t>
  </si>
  <si>
    <t>Container Ship</t>
  </si>
  <si>
    <t>A vessel designed to carry (large) quantities of cargo in specially constructed containers designed for rapid and efficient loading and unloading.</t>
  </si>
  <si>
    <t>The most widely used type of container is the general purpose (dry cargo) container having a nominal length and height of 20' x 8.5', 40' x 8.5', and 40' x 9.5' ('high cube').</t>
  </si>
  <si>
    <t>A boat engaged in harvesting fish or other products from the sea for commercial gain.</t>
  </si>
  <si>
    <t>A vessel designed to carry quantities of cargo in the form of separate packages (for example: boxed, baled or crated).</t>
  </si>
  <si>
    <t>vasis2Bar</t>
  </si>
  <si>
    <t>2 Bar VASIS</t>
  </si>
  <si>
    <t>A visual approach slope guidance system consisting of light units situated on the left side of the runway in the form of two wing bars.</t>
  </si>
  <si>
    <t>In Canada a 2-bar VASIS system of V1 is used by aircraft with eye-to-wheel height of 3 metres (10feet), V2 eye-to-wheel height of 7.5 metres (25 feet).</t>
  </si>
  <si>
    <t>abbreviatedTeeVasis3Bar</t>
  </si>
  <si>
    <t>3 Bar Abbreviated 'T'-shaped VASIS</t>
  </si>
  <si>
    <t>A 'T'-shaped VASIS consisting of light units arranged on one side of the runway in the form of two wing bars with a bisecting longitudinal line of lights.</t>
  </si>
  <si>
    <t>A VASIS is a 'Visual Approach Slope Indicator System'.</t>
  </si>
  <si>
    <t>abbreviatedVasis3Bar</t>
  </si>
  <si>
    <t>3 Bar Abbreviated VASIS</t>
  </si>
  <si>
    <t>A 3-Bar VASIS consisting of only one light unit per bar for aircraft with eye-to-wheel height up to 14 metres (45 feet).</t>
  </si>
  <si>
    <t>vasis3Bar</t>
  </si>
  <si>
    <t>3 Bar VASIS</t>
  </si>
  <si>
    <t>A VASIS which provides two visual glide paths to the same runway through the use of three bars.</t>
  </si>
  <si>
    <t>abbreviatedPapi</t>
  </si>
  <si>
    <t>Abbreviated PAPI</t>
  </si>
  <si>
    <t>A Precision Approach Path Indicator (PAPI) system consisting of a wing bar of only 2 sharp transition multi-lamp (or paired single lamp) units.</t>
  </si>
  <si>
    <t>The system shall be located on the left side of the runway unless it is physically impracticable to do so.</t>
  </si>
  <si>
    <t>A-PAPI</t>
  </si>
  <si>
    <t>abbreviatedTeeVasis</t>
  </si>
  <si>
    <t>Abbreviated 'T'-shaped VASIS</t>
  </si>
  <si>
    <t>A 'T'-shaped VASIS consisting of only ten light units arranged on one side of the runway in the form of a single wing bar of four light units with a bisecting longitudinal line of six lights.</t>
  </si>
  <si>
    <t>AT-VASIS</t>
  </si>
  <si>
    <t>abbreviatedVasis</t>
  </si>
  <si>
    <t>Abbreviated VASIS</t>
  </si>
  <si>
    <t>A 2-Bar VASIS consisting of only one light unit per bar for aircraft with eye-to-wheel height up to 3 metres (10 feet).</t>
  </si>
  <si>
    <t>2-Bar VASIS (V1)</t>
  </si>
  <si>
    <t>heliApproachPathIndicator</t>
  </si>
  <si>
    <t>Helicopter Approach Path Indicator (HAPI)</t>
  </si>
  <si>
    <t>A helicopter visual slope guidance system consisting of a single light unit providing guidance to a FATO.</t>
  </si>
  <si>
    <t>HAPIs consist of green and red lights, which may be steady or flashing to indicate position.</t>
  </si>
  <si>
    <t>Chase Helicopter Approach Path Indicator, CHAPI</t>
  </si>
  <si>
    <t>lowCostVasi</t>
  </si>
  <si>
    <t>Low Cost VASI</t>
  </si>
  <si>
    <t>Low cost visual approach slope indicator: A low cost system consisting of painted black, white, or fluorescent orange panels that may or may not be lighted.</t>
  </si>
  <si>
    <t>Alignment of Elements System</t>
  </si>
  <si>
    <t>multipleIdenticalLightUnits</t>
  </si>
  <si>
    <t>Multiple Identical Light Units</t>
  </si>
  <si>
    <t>A number of identical light units.</t>
  </si>
  <si>
    <t>opticalLandingSystem</t>
  </si>
  <si>
    <t>Optical Landing System (OLS)</t>
  </si>
  <si>
    <t>Optical landing system for ship decks and aircraft carriers (sometimes available on ground air bases for training purpose).</t>
  </si>
  <si>
    <t>precApproachPathIndicator</t>
  </si>
  <si>
    <t>Precision Approach Path Indicator (PAPI)</t>
  </si>
  <si>
    <t>A visual approach slope guidance system consisting of a wing bar of 4 sharp transition multi-lamp (or paired single lamp) units equally spaced.</t>
  </si>
  <si>
    <t>The system shall be located on the left side of the runway unless it is physically impracticable to do so. In Canada a PAPI system of P1 is used by aircraft with eye-to-wheel height of 3 metres(10 feet), P2 eye-to-wheel height of 7.5 metres(25 feet), P3 eye-to-wheel height of 14 metres(45 feet).</t>
  </si>
  <si>
    <t>pulsatingVasi</t>
  </si>
  <si>
    <t>Pulsating VASI</t>
  </si>
  <si>
    <t>A pulsating steady-burning Visual Approach Slope Indicator (VASI).</t>
  </si>
  <si>
    <t>Normally a single light unit projecting two colours.</t>
  </si>
  <si>
    <t>triColourVasi</t>
  </si>
  <si>
    <t>Tri-colour VASI</t>
  </si>
  <si>
    <t>A tri-colour Visual Approach Slope Indicator (VASI).</t>
  </si>
  <si>
    <t>Normally a single light unit projecting steady red, amber, and green lights.</t>
  </si>
  <si>
    <t>teeVasis</t>
  </si>
  <si>
    <t>T'-shaped VASIS</t>
  </si>
  <si>
    <t>A visual approach slope guidance system consisting of twenty light units symmetrically disposed about the runway centre line in the form of two wing bars of four light units each, with bisecting longitudinal lines of six lights.</t>
  </si>
  <si>
    <t>T-VASIS</t>
  </si>
  <si>
    <t>cloudCover</t>
  </si>
  <si>
    <t>Cloud Cover</t>
  </si>
  <si>
    <t>An area in the imagery source that was covered by clouds.</t>
  </si>
  <si>
    <t>darkShade</t>
  </si>
  <si>
    <t>Dark Shade</t>
  </si>
  <si>
    <t>An area in the imagery source with insufficient contrast due to intense shading.</t>
  </si>
  <si>
    <t>flooded</t>
  </si>
  <si>
    <t>Flooded</t>
  </si>
  <si>
    <t>An area in the imagery source that was flooded, and thus covered, by water.</t>
  </si>
  <si>
    <t>inaccessible</t>
  </si>
  <si>
    <t>Inaccessible</t>
  </si>
  <si>
    <t>An area whose conditions makes it impossible to conduct a survey.</t>
  </si>
  <si>
    <t>noAvailableImagery</t>
  </si>
  <si>
    <t>No Available Imagery</t>
  </si>
  <si>
    <t>An area for which no imagery source was available.</t>
  </si>
  <si>
    <t>noAvailableMapSource</t>
  </si>
  <si>
    <t>No Available Map Source</t>
  </si>
  <si>
    <t>An area for which no map source was available.</t>
  </si>
  <si>
    <t>noAvailableSurvey</t>
  </si>
  <si>
    <t>No Available Survey</t>
  </si>
  <si>
    <t>An area for which no survey source was available.</t>
  </si>
  <si>
    <t>noSuitableImagery</t>
  </si>
  <si>
    <t>No Suitable Imagery</t>
  </si>
  <si>
    <t>An area for which no suitable imagery was available.</t>
  </si>
  <si>
    <t>notRequested</t>
  </si>
  <si>
    <t>Not Requested</t>
  </si>
  <si>
    <t>The data was not requested by the user.</t>
  </si>
  <si>
    <t>notRequired</t>
  </si>
  <si>
    <t>Not Required</t>
  </si>
  <si>
    <t>The data is not required.</t>
  </si>
  <si>
    <t>snowCover</t>
  </si>
  <si>
    <t>Snow Cover</t>
  </si>
  <si>
    <t>An area in the imagery source that was covered by snow.</t>
  </si>
  <si>
    <t>vegetationCover</t>
  </si>
  <si>
    <t>Vegetation Cover</t>
  </si>
  <si>
    <t>An area in the imagery source that was covered by dense vegetation canopy.</t>
  </si>
  <si>
    <t>bathymetry</t>
  </si>
  <si>
    <t>Bathymetry</t>
  </si>
  <si>
    <t>Data specifying the depth of different parts of the Earth's waterbodies (for example: oceans, seas, or lakes).</t>
  </si>
  <si>
    <t>hypsography</t>
  </si>
  <si>
    <t>Hypsography</t>
  </si>
  <si>
    <t>Data specifying the altitude of different parts of the Earth's surface.</t>
  </si>
  <si>
    <t>waterbodyBottomComposition</t>
  </si>
  <si>
    <t>Waterbody Bottom Composition</t>
  </si>
  <si>
    <t>Data specifying the composition of different parts of the floor of the Earth's waterbodies (for example: oceans, seas, or lakes).</t>
  </si>
  <si>
    <t>noInformation</t>
  </si>
  <si>
    <t>No Information</t>
  </si>
  <si>
    <t>There is no information specified regarding the attribute value.</t>
  </si>
  <si>
    <t>Depending on the nature and quality of available source, the state of the data collection/update process, and other conditions, it may not be possible to populate a value due to lack of knowledge. The reasons for the lack of a value may include, but are not limited to, the following: not populated (for example: the data store has been initialized but not yet populated); unknown (for example: an attempt was made to determine the value but the source materials were inadequate); missing (for example: a determination was attempted and despite source materials being adequate the attempt failed); withheld (for example: a determination was successful but for policy reasons the value was not retained/stored).</t>
  </si>
  <si>
    <t>notApplicable</t>
  </si>
  <si>
    <t>Not Applicable</t>
  </si>
  <si>
    <t>There is no possible value in the attribute range that would be applicable.</t>
  </si>
  <si>
    <t>May occur when the attribute is not applicable to the feature type (for example: the 'Airfield Type' attribute of a 'Settlement' feature type).</t>
  </si>
  <si>
    <t>unknown</t>
  </si>
  <si>
    <t>Unknown</t>
  </si>
  <si>
    <t>The attribute value is unknown.</t>
  </si>
  <si>
    <t>unpopulated</t>
  </si>
  <si>
    <t>Unpopulated</t>
  </si>
  <si>
    <t>The attribute value is known, but due to policy considerations it cannot be given.</t>
  </si>
  <si>
    <t>valueSpecified</t>
  </si>
  <si>
    <t>Value Specified</t>
  </si>
  <si>
    <t>The attribute value is specified.</t>
  </si>
  <si>
    <t>other</t>
  </si>
  <si>
    <t>Other</t>
  </si>
  <si>
    <t>The attribute value is known, but is not currently a valid member of the attribute range.</t>
  </si>
  <si>
    <t>The actual value may have been previously, or may become in the future, a valid member of the attribute range.</t>
  </si>
  <si>
    <t>active</t>
  </si>
  <si>
    <t>Active</t>
  </si>
  <si>
    <t>A volcano that erupts frequently.</t>
  </si>
  <si>
    <t>It may be currently erupting or showing signs of unrest, such as unusual earthquake activity or significant new gas emissions.</t>
  </si>
  <si>
    <t>dormant</t>
  </si>
  <si>
    <t>Dormant</t>
  </si>
  <si>
    <t>A volcano that has erupted in historical times but is now quiet.</t>
  </si>
  <si>
    <t>It may become active again if conditions are right.</t>
  </si>
  <si>
    <t>inactiveOrExtinct</t>
  </si>
  <si>
    <t>Inactive or Extinct</t>
  </si>
  <si>
    <t>A volcano that has not erupted in historical times and based on tectonic conditions is considered unlikely to do so again.</t>
  </si>
  <si>
    <t>extremelyLarge_6</t>
  </si>
  <si>
    <t>Extremely Large (6)</t>
  </si>
  <si>
    <t>A colossal eruption whose plume rises more than 25 kilometres and whose ejecta volume exceeds 10 cubic kilometres.</t>
  </si>
  <si>
    <t>It is of the Plinian-type and this type of eruption typically occurs every hundred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1783 of the Laki volcano in Iceland was of this type.</t>
  </si>
  <si>
    <t>large_4</t>
  </si>
  <si>
    <t>Large (4)</t>
  </si>
  <si>
    <t>A cataclysmic eruption whose plume rises 10 to 25 kilometres and whose ejecta volume exceeds 0.1 cubic kilometres.</t>
  </si>
  <si>
    <t>It may be either of the Pelean- or Plinian-type and this type of eruption typically occurs every ten or more years around the world. In Pelean-type eruptions (for example: the 1968 activity of Mayan Volcano in the Philippines), a large quantity of gas, dust, ash, and incandescent lava fragments are blown out of a central crater, fall back, and form tongue-like, glowing avalanches that move down-slope at velocities as great as 100 miles per hour. Such eruptive activity can cause great destruction and loss of life if it occurs in populated areas, as demonstrated by the devastation of St. Pierre during the 1902 eruption of Mount Pelee on Martinique, West Indies.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t>
  </si>
  <si>
    <t>megaLarge_8</t>
  </si>
  <si>
    <t>Mega-large (8)</t>
  </si>
  <si>
    <t>A colossal eruption whose plume rises more than 25 kilometres and whose ejecta volume exceeds 1,000 cubic kilometres.</t>
  </si>
  <si>
    <t>It is of the Plinian-type and this type of eruption typically occurs every ten thousand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26,500 years ago (the Oruanui eruption) of the Taupo volcano in New Zealand was of this type.</t>
  </si>
  <si>
    <t>moderate_2</t>
  </si>
  <si>
    <t>Moderate (2)</t>
  </si>
  <si>
    <t>An explosive eruption whose plume rises 1 to 5 kilometres and whose ejecta volume exceeds 1,000,000 cubic metres.</t>
  </si>
  <si>
    <t>It may be either of the Strombolian- or Vulcanian-type and this type of eruption typically occurs weekly around the world; the Galeras volcano (Columbia) is a typical example. In Strombolian-type eruptions (for example: observed during the 1965 activity of Irazu Volcano in Costa Rica) huge clots of molten lava burst from the summit crater to form luminous arcs through the sky. Collecting on the flanks of the cone, lava clots combine to stream down the slopes in fiery rivulets. In Vulcanian-type eruptions (for example: observed during the 1947 activity of Paricutin Volcano in Mexico), a dense cloud of ash-laden gas explodes from the crater and rises high above the peak. Steaming ash forms a whitish cloud near the upper level of the cone.</t>
  </si>
  <si>
    <t>moderateLarge_3</t>
  </si>
  <si>
    <t>Moderate-large (3)</t>
  </si>
  <si>
    <t>A severe, explosive eruption whose plume rises 3 to 15 kilometres and whose ejecta volume exceeds 10,000,000 cubic metres.</t>
  </si>
  <si>
    <t>It may be either of the Vulcanian- or Pelean-type and this type of eruption typically occurs yearly around the world. In Vulcanian-type eruptions (for example: observed during the 1947 activity of Paricutin Volcano in Mexico), a dense cloud of ash-laden gas explodes from the crater and rises high above the peak. Steaming ash forms a whitish cloud near the upper level of the cone. In Pelean-type eruptions (for example: the 1968 activity of Mayan Volcano in the Philippines), a large quantity of gas, dust, ash, and incandescent lava fragments are blown out of a central crater, fall back, and form tongue-like, glowing avalanches that move down-slope at velocities as great as 100 miles per hour. Such eruptive activity can cause great destruction and loss of life if it occurs in populated areas, as demonstrated by the devastation of St. Pierre during the 1902 eruption of Mount Pelee on Martinique, West Indies.</t>
  </si>
  <si>
    <t>nonExplosive_0</t>
  </si>
  <si>
    <t>Non-explosive (0)</t>
  </si>
  <si>
    <t>A non-explosive eruption whose plume is less than 100 metres in height and whose ejecta volume is less than 10,000 cubic metres.</t>
  </si>
  <si>
    <t>It is of the Hawaiian-type and this type of eruption typically occurs daily around the world. Hawaiian-type eruptions may occur along fissures or fractures that serve as linear vents, such as during the eruption of Mauna Loa Volcano in Hawaii in 1950, or they may occur at a central vent such as during the 1959 eruption in Kilauea Iki Crater of Kilauea Volcano, Hawaii. In fissure-type eruptions, molten, incandescent lava spurts from a fissure on the volcano's rift zone and feeds lava streams that flow downslope. In central-vent eruptions, a fountain of fiery lava spurts to a height of several hundred feet or more. Such lava may collect in old pit craters to form lava lakes, or form cones, or feed radiating flows.</t>
  </si>
  <si>
    <t>small_1</t>
  </si>
  <si>
    <t>Small (1)</t>
  </si>
  <si>
    <t>A gentle, effusive eruption whose plume rises 100 to 1000 metres and whose ejecta volume exceeds 10,000 cubic metres.</t>
  </si>
  <si>
    <t>It may be either of the Hawaiian- or Strombolian-type and this type of eruption typically occurs daily around the world. Hawaiian-type eruptions may occur along fissures or fractures that serve as linear vents, such as during the eruption of Mauna Loa Volcano in Hawaii in 1950, or they may occur at a central vent such as during the 1959 eruption in Kilauea Iki Crater of Kilauea Volcano, Hawaii. In fissure-type eruptions, molten, incandescent lava spurts from a fissure on the volcano's rift zone and feeds lava streams that flow downslope. In central-vent eruptions, a fountain of fiery lava spurts to a height of several hundred feet or more. Such lava may collect in old pit craters to form lava lakes, or form cones, or feed radiating flows. In Strombolian-type eruptions (for example: observed during the 1965 activity of Irazu Volcano in Costa Rica) huge clots of molten lava burst from the summit crater to form luminous arcs through the sky. Collecting on the flanks of the cone, lava clots combine to stream down the slopes in fiery rivulets.</t>
  </si>
  <si>
    <t>superLarge_7</t>
  </si>
  <si>
    <t>Super-large (7)</t>
  </si>
  <si>
    <t>A colossal eruption whose plume rises more than 25 kilometres and whose ejecta volume exceeds 100 cubic kilometres.</t>
  </si>
  <si>
    <t>It is of the Plinian-type and this type of eruption typically occurs every thousand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1815 of the Tambora volcano in Indonesia was of this type.</t>
  </si>
  <si>
    <t>veryLarge_5</t>
  </si>
  <si>
    <t>Very Large (5)</t>
  </si>
  <si>
    <t>A paroxysmal eruption whose plume rises more than 25 kilometres and whose ejecta volume exceeds 1 cubic kilometre.</t>
  </si>
  <si>
    <t>It is of the Plinian-type and this type of eruption typically occurs every fifty or more years around the world. In Plinian-type eruptions (also known as 'Vesuvian eruptions', being marked by their similarity to the eruption of Mount Vesuvius in AD 79 as described in a letter written by Pliny the Younger), columns of gas and volcanic ash extend high into the stratosphere. The key characteristics are ejection of large amount of pumice and very powerful continuous gas blast eruptions. The eruption in 1963 of the Agung volcano in Bali was of this type.</t>
  </si>
  <si>
    <t>caldera</t>
  </si>
  <si>
    <t>Caldera</t>
  </si>
  <si>
    <t>Crater of great size whose breadth greatly exceeds that of the vent(s) within it.</t>
  </si>
  <si>
    <t>cinderCone</t>
  </si>
  <si>
    <t>Cinder Cone</t>
  </si>
  <si>
    <t>Cone formed round the mouth of a volcano by debris cast up during eruption.</t>
  </si>
  <si>
    <t>composite</t>
  </si>
  <si>
    <t>Composite</t>
  </si>
  <si>
    <t>Large, conical, and composed of alternating layers of lava and pyroclastic materials.</t>
  </si>
  <si>
    <t>cone</t>
  </si>
  <si>
    <t>Cone</t>
  </si>
  <si>
    <t>Cone-shaped mountain or peak composed of layers of lava.</t>
  </si>
  <si>
    <t>shield</t>
  </si>
  <si>
    <t>Shield</t>
  </si>
  <si>
    <t>Broad, gently sloping, and resembling a flattened dome or shield, generally formed by overlapping and interfingering basaltic lava flows.</t>
  </si>
  <si>
    <t>freeStanding</t>
  </si>
  <si>
    <t>Free-standing</t>
  </si>
  <si>
    <t>A wall that is neither attached to another structure nor is serving a retaining function.</t>
  </si>
  <si>
    <t>retaining</t>
  </si>
  <si>
    <t>Retaining</t>
  </si>
  <si>
    <t>A wall supporting or confining a mass of earth or water.</t>
  </si>
  <si>
    <t>Often located at the edge of a terrace or excavation.</t>
  </si>
  <si>
    <t>alwaysDry</t>
  </si>
  <si>
    <t>Always Dry</t>
  </si>
  <si>
    <t>Not covered at high water under average meteorological conditions.</t>
  </si>
  <si>
    <t>alwaysSubmerged</t>
  </si>
  <si>
    <t>Always Submerged</t>
  </si>
  <si>
    <t>Remains covered by water at all times under average meteorological conditions.</t>
  </si>
  <si>
    <t>awashAtChartDatum</t>
  </si>
  <si>
    <t>Awash at Chart Datum</t>
  </si>
  <si>
    <t>Flush with, or washed by the waves at chart datum under average meteorological conditions.</t>
  </si>
  <si>
    <t>awashAtLowWater</t>
  </si>
  <si>
    <t>Awash at Low Water</t>
  </si>
  <si>
    <t>Flush with, or washed by the waves at low water under average meteorological conditions.</t>
  </si>
  <si>
    <t>coversAndUncovers</t>
  </si>
  <si>
    <t>Covers and Uncovers</t>
  </si>
  <si>
    <t>An area projecting from the bottom of a body of water (for example: a reef) that periodically extends above and is submerged below the surface.</t>
  </si>
  <si>
    <t>partlySubmerged</t>
  </si>
  <si>
    <t>Partly Submerged</t>
  </si>
  <si>
    <t>Partially covered and partially dry at high water.</t>
  </si>
  <si>
    <t>contaminated</t>
  </si>
  <si>
    <t>Contaminated</t>
  </si>
  <si>
    <t>Incapable of being easily treated to become potable.</t>
  </si>
  <si>
    <t>For example, requiring distillation or reverse osmosis treatment.</t>
  </si>
  <si>
    <t>nonpotable</t>
  </si>
  <si>
    <t>Nonpotable</t>
  </si>
  <si>
    <t>Unsuitable for, or not intended for, consumption by humans.</t>
  </si>
  <si>
    <t>potable</t>
  </si>
  <si>
    <t>Potable</t>
  </si>
  <si>
    <t>Suitable for consumption by humans.</t>
  </si>
  <si>
    <t>treatable</t>
  </si>
  <si>
    <t>Treatable</t>
  </si>
  <si>
    <t>Capable of being relatively easily treated to become potable.</t>
  </si>
  <si>
    <t>For example, treatable using simple filtration and/or disinfection.</t>
  </si>
  <si>
    <t>flume</t>
  </si>
  <si>
    <t>Flume</t>
  </si>
  <si>
    <t>An open artificial watercourse normally inclined and having no gate, which conveys water for the purposes of material transport including water, hydraulic mining operations, or the study of water and sediment movement.</t>
  </si>
  <si>
    <t>Flumes are used in hydraulic or placer mining and in the logging industry. Unlike a sluice, a flume will not be controlled by a gate. A flume may be either on the ground or elevated above the ground surface.</t>
  </si>
  <si>
    <t>headrace</t>
  </si>
  <si>
    <t>Headrace</t>
  </si>
  <si>
    <t>An artificial channel that feeds water to a point of industrial application (for example: a millwheel or turbine) before use.</t>
  </si>
  <si>
    <t>Millrace</t>
  </si>
  <si>
    <t>sluice</t>
  </si>
  <si>
    <t>Sluice</t>
  </si>
  <si>
    <t>An open artificial watercourse or passageway for water, having a gate or valve to regulate its flow.</t>
  </si>
  <si>
    <t>May be employed in mine ore washing operations or for irrigation. Sluices are usually located on the ground.</t>
  </si>
  <si>
    <t>tailrace</t>
  </si>
  <si>
    <t>Tailrace</t>
  </si>
  <si>
    <t>An artificial channel for conveying water away from a point of industrial application (for example: a millwheel or turbine) after use.</t>
  </si>
  <si>
    <t>breakers</t>
  </si>
  <si>
    <t>Breakers</t>
  </si>
  <si>
    <t>Waves breaking, usually caused by a shallowing of the water body.</t>
  </si>
  <si>
    <t>Roughly classified into the three types of: spilling, plunging, and surging. The French word 'brisant' is used for the obstacle causing the breaking of the wave.</t>
  </si>
  <si>
    <t>confusedSeas</t>
  </si>
  <si>
    <t>Confused Seas</t>
  </si>
  <si>
    <t>Wind driven waves from differing directions, resulting in waves that are irregular, unpredictable and that may be difficult to navigate.</t>
  </si>
  <si>
    <t>Confused sea conditions occur as a result of major shifts in wind direction that occur quickly, generally after major fronts or hurricanes.</t>
  </si>
  <si>
    <t>eddies</t>
  </si>
  <si>
    <t>Eddies</t>
  </si>
  <si>
    <t>A circular movement of water usually formed, where currents pass obstructions between two adjacent currents flowing counter to each other, or along the edge of a permanent current.</t>
  </si>
  <si>
    <t>overfalls</t>
  </si>
  <si>
    <t>Overfalls</t>
  </si>
  <si>
    <t>Short, breaking waves occurring when a strong current passes over a shoal or other submarine obstruction or meets a contrary current or wind.</t>
  </si>
  <si>
    <t>plungingBreakers</t>
  </si>
  <si>
    <t>Plunging Breakers</t>
  </si>
  <si>
    <t>Waves tending to curl over and break with a crash.</t>
  </si>
  <si>
    <t>spillingBreakers</t>
  </si>
  <si>
    <t>Spilling Breakers</t>
  </si>
  <si>
    <t>Waves breaking gradually over a considerable distance.</t>
  </si>
  <si>
    <t>surgingBreakers</t>
  </si>
  <si>
    <t>Surging Breakers</t>
  </si>
  <si>
    <t>Waves peak up, but then instead of spilling or plunging they surge up on the beach face.</t>
  </si>
  <si>
    <t>tideRips</t>
  </si>
  <si>
    <t>Tide Rips</t>
  </si>
  <si>
    <t>Small waves formed on the surface of water by the meeting of opposing tidal currents.</t>
  </si>
  <si>
    <t>whirlpool</t>
  </si>
  <si>
    <t>Whirlpool</t>
  </si>
  <si>
    <t>A turbulent, potentially dangerous rotating movement of water in a waterbody.</t>
  </si>
  <si>
    <t>The waterbody may be inland (for example: a river) or not (for example: a sea).</t>
  </si>
  <si>
    <t>alkaline</t>
  </si>
  <si>
    <t>Alkaline</t>
  </si>
  <si>
    <t>Water with a pH above 7.0.</t>
  </si>
  <si>
    <t>brackish</t>
  </si>
  <si>
    <t>Brackish</t>
  </si>
  <si>
    <t>Water containing dissolved salts and minerals greater than 1,000 to less than or equal to 15,000 milligrams per litre.</t>
  </si>
  <si>
    <t>Brackish water may result from mixing of seawater with fresh water, as in estuaries, or it may occur naturally, as in brackish fossil aquifers.</t>
  </si>
  <si>
    <t>Water containing greater than 40,000 milligrams per litre of total dissolved solids (TDS).</t>
  </si>
  <si>
    <t>Saltier than full strength seawater.</t>
  </si>
  <si>
    <t>fresh</t>
  </si>
  <si>
    <t>Fresh</t>
  </si>
  <si>
    <t>Containing less than 1,000 milligrams per litre of dissolved salts or minerals.</t>
  </si>
  <si>
    <t>Chloride is less than or equal to 600 milligrams per litre and sulphates are less than or equal to 300 milligrams per litre.</t>
  </si>
  <si>
    <t>mineral</t>
  </si>
  <si>
    <t>Mineral</t>
  </si>
  <si>
    <t>Water which has natural mineral salts or gases (carbon dioxide) and contains at least 250 milligrams per litre of dissolved salts and minerals.</t>
  </si>
  <si>
    <t>saline</t>
  </si>
  <si>
    <t>Saline</t>
  </si>
  <si>
    <t>Water containing greater than 15,000 to less than or equal 30,000 milligrams per litre of total dissolved solids (TDS).</t>
  </si>
  <si>
    <t>seawater</t>
  </si>
  <si>
    <t>Seawater</t>
  </si>
  <si>
    <t>Water containing greater than 30,000 to less than or equal 40,000 milligrams per litre of total dissolved solids (TDS).</t>
  </si>
  <si>
    <t>agriculturalIrrigation</t>
  </si>
  <si>
    <t>Agricultural Irrigation</t>
  </si>
  <si>
    <t>Water applied to lands specifically to assist in the growing of crops and pastures.</t>
  </si>
  <si>
    <t>commercial</t>
  </si>
  <si>
    <t>Commercial</t>
  </si>
  <si>
    <t>Water for motels, hotels, restaurants, office buildings, and other commercial facilities.</t>
  </si>
  <si>
    <t>Excludes specifically industrial purposes.</t>
  </si>
  <si>
    <t>domesticIrrigation</t>
  </si>
  <si>
    <t xml:space="preserve">Domestic Irrigation </t>
  </si>
  <si>
    <t>Water used for household gardening and/or watering of grounds plantings (for example: shrubs and lawns).</t>
  </si>
  <si>
    <t>May also include additional exterior domestic purposes (for example: washing of vehicles).</t>
  </si>
  <si>
    <t>industrial</t>
  </si>
  <si>
    <t>Industrial</t>
  </si>
  <si>
    <t>Water used for industrial purposes such as fabrication, processing, washing, and cooling.</t>
  </si>
  <si>
    <t>For example, used by industries as steel, chemical and allied products, paper and allied products, mining, and petroleum refining.</t>
  </si>
  <si>
    <t>institutional</t>
  </si>
  <si>
    <t>Institutional</t>
  </si>
  <si>
    <t>Water use by facilities that meet a social purpose (for example: charity or imprisonment) and/or to serve the general social welfare (for example: health care or education).</t>
  </si>
  <si>
    <t>livestock</t>
  </si>
  <si>
    <t>Livestock</t>
  </si>
  <si>
    <t>Water used for watering livestock, feeding lots, dairy operations, fish farming, and other on-farm agricultural purposes excepting irrigation.</t>
  </si>
  <si>
    <t>Water used for street cleaning, firefighting and other municipal purposes.</t>
  </si>
  <si>
    <t>May also include additional domestic or commercial uses.</t>
  </si>
  <si>
    <t>Water used to either directly generate hydroelectric power or for the purpose of cooling at a thermal power station (one that utilizes combustion of hydrocarbons).</t>
  </si>
  <si>
    <t>recreational</t>
  </si>
  <si>
    <t>Recreational</t>
  </si>
  <si>
    <t>Water used to maintain vegetative growth in recreational lands such as parks and golf courses, or in support of other recreational uses (for example: swimming pools).</t>
  </si>
  <si>
    <t>sanitaryDomestic</t>
  </si>
  <si>
    <t xml:space="preserve">Sanitary Domestic </t>
  </si>
  <si>
    <t>Water used for household purposes, such as drinking, food preparation, bathing, and washing clothes and dishes.</t>
  </si>
  <si>
    <t>Residential</t>
  </si>
  <si>
    <t>testDepthsGtZoneLimit</t>
  </si>
  <si>
    <t>Depths within test zone which are deeper than zone limits</t>
  </si>
  <si>
    <t>testDepthsLtZoneLimit</t>
  </si>
  <si>
    <t>Depths within test zone which are shallower than zone limits</t>
  </si>
  <si>
    <t>featureGte0r6MetreHgt</t>
  </si>
  <si>
    <t>Feature 0.6 metre or greater in height</t>
  </si>
  <si>
    <t>rockAndLedgesGt2MetreHgt</t>
  </si>
  <si>
    <t>Rock and ledges greater than 2 metres in height</t>
  </si>
  <si>
    <t>rockAndLedgesLte2MetreHgt</t>
  </si>
  <si>
    <t>Rock and ledges less than or equal to 2 metres in height</t>
  </si>
  <si>
    <t>roughHardBottom</t>
  </si>
  <si>
    <t>Rough, hard bottom</t>
  </si>
  <si>
    <t>scourChanSlopeMayExceed</t>
  </si>
  <si>
    <t>Scour channels - slope may exceed 10 arc degrees</t>
  </si>
  <si>
    <t>slopeGt10ArcDegrees</t>
  </si>
  <si>
    <t>Slope exceeding 10 arc degrees</t>
  </si>
  <si>
    <t>slumpLocalSlopeMayExceed</t>
  </si>
  <si>
    <t>Slumping where local slope may exceed 10 arc degrees</t>
  </si>
  <si>
    <t>smoothHardBottom</t>
  </si>
  <si>
    <t>Smooth, hard bottom</t>
  </si>
  <si>
    <t>abyssalHills</t>
  </si>
  <si>
    <t>Abyssal Hills</t>
  </si>
  <si>
    <t>A tract, on occasion extensive, of often low (100-500 metre) elevations on the deep sea floor.</t>
  </si>
  <si>
    <t>abyssalPlain</t>
  </si>
  <si>
    <t>Abyssal Plain</t>
  </si>
  <si>
    <t>An extensive, flat, gently sloping or nearly level region at abyssal depths.</t>
  </si>
  <si>
    <t>A gently dipping featureless surface, underlain primarily by sediment, at the base of any steeper slope.</t>
  </si>
  <si>
    <t>A low bulge around the southeastern end of the island of Hawaii.</t>
  </si>
  <si>
    <t>archipelagicApron</t>
  </si>
  <si>
    <t>Archipelagic Apron</t>
  </si>
  <si>
    <t>A gentle slope with a generally smooth surface on the sea floor, characteristically found around groups of islands or seamounts.</t>
  </si>
  <si>
    <t>arrugado</t>
  </si>
  <si>
    <t>Arrugado</t>
  </si>
  <si>
    <t>An area of subdued corrugations off Baja California.</t>
  </si>
  <si>
    <t>bank</t>
  </si>
  <si>
    <t>Bank</t>
  </si>
  <si>
    <t>An elevation over which the depth of water is relatively shallow, but normally sufficient for safe surface navigation.</t>
  </si>
  <si>
    <t>Typically located on a shelf (continental or insular).</t>
  </si>
  <si>
    <t>A depression in the sea floor of variable extent.</t>
  </si>
  <si>
    <t>basinRangeProvince</t>
  </si>
  <si>
    <t>Basin-and-Range Province</t>
  </si>
  <si>
    <t>A regional geologic structure dominated by generally subparallel fault-block mountains separated by broad alluvium-filled basins.</t>
  </si>
  <si>
    <t>bay</t>
  </si>
  <si>
    <t>Bay</t>
  </si>
  <si>
    <t>An indentation in the coastline.</t>
  </si>
  <si>
    <t>Cove, Inlet</t>
  </si>
  <si>
    <t>A small terrace.</t>
  </si>
  <si>
    <t>bight</t>
  </si>
  <si>
    <t>Bight</t>
  </si>
  <si>
    <t>An open body of water forming a slight recession in a coastline.</t>
  </si>
  <si>
    <t>borderland</t>
  </si>
  <si>
    <t>Borderland</t>
  </si>
  <si>
    <t>A region adjacent to a continent, normally occupied by or bordering a shelf, that is highly irregular with depths well in excess of those typical of a shelf.</t>
  </si>
  <si>
    <t>A collapsed or partially-collapsed seamount, commonly of annular shape.</t>
  </si>
  <si>
    <t>A relatively narrow, deep depression with steep sides, the bottom of which generally has a continuous slope.</t>
  </si>
  <si>
    <t>Developed characteristically on some continental slopes.</t>
  </si>
  <si>
    <t>channel</t>
  </si>
  <si>
    <t>The deepest part of a stream, bay, lagoon, or strait, through which the main current flows.</t>
  </si>
  <si>
    <t>continentalMargin</t>
  </si>
  <si>
    <t>Continental Margin</t>
  </si>
  <si>
    <t>The zone, generally consisting of shelf, slope and rise, separating the continent from the abyssal plain or deep sea floor.</t>
  </si>
  <si>
    <t>continentalRise</t>
  </si>
  <si>
    <t>Continental Rise</t>
  </si>
  <si>
    <t>A gentle slope rising from the oceanic depths towards the foot of a continental slope.</t>
  </si>
  <si>
    <t>cordillera</t>
  </si>
  <si>
    <t>Cordillera</t>
  </si>
  <si>
    <t>An entire mountain system including the subordinate ranges, interior plateaus, and basins.</t>
  </si>
  <si>
    <t>cove</t>
  </si>
  <si>
    <t>Cove</t>
  </si>
  <si>
    <t>A small coastal indentation, smaller than a bay.</t>
  </si>
  <si>
    <t>deep</t>
  </si>
  <si>
    <t>Deep</t>
  </si>
  <si>
    <t>An obsolete term which was generally restricted to depths greater than 6,000 metres.</t>
  </si>
  <si>
    <t>deeperLandwardTrenchWall</t>
  </si>
  <si>
    <t>Deeper Landward Trench Wall</t>
  </si>
  <si>
    <t>As a feature of a trench, the deeper landward trench wall is found closer to the bottom of the trench running along the landward trench slope.</t>
  </si>
  <si>
    <t>deepSeaTrench</t>
  </si>
  <si>
    <t>Deep-sea Trench</t>
  </si>
  <si>
    <t>Trenches that are emphasized coupled with subduction processes along the regional contacts between continents and basins.</t>
  </si>
  <si>
    <t>deformationZone</t>
  </si>
  <si>
    <t>Deformation Zone</t>
  </si>
  <si>
    <t>An area where there exists a change in the geometry of a body of rock due to folding, faulting, shearing, or compression.</t>
  </si>
  <si>
    <t>An elongated and comparatively steep slope separating or gently sloping areas.</t>
  </si>
  <si>
    <t>estuary</t>
  </si>
  <si>
    <t>Estuary</t>
  </si>
  <si>
    <t>A funnel-shaped stream mouth or embayment where fresh water mixes with sea water under tidal influences.</t>
  </si>
  <si>
    <t>fan</t>
  </si>
  <si>
    <t>Fan</t>
  </si>
  <si>
    <t>A relatively smooth, fan-like, depositional feature normally sloping away from the outer termination of a canyon or canyon system.</t>
  </si>
  <si>
    <t>faultLine</t>
  </si>
  <si>
    <t>Fault Line</t>
  </si>
  <si>
    <t>A break or shear in the earth's crust with an observable displacement between the two sides of the break, and parallel to the end of the break.</t>
  </si>
  <si>
    <t>Fjord</t>
  </si>
  <si>
    <t>A long, narrow, steep-walled, deep-water arm of the sea at high latitudes, usually along mountainous coasts.</t>
  </si>
  <si>
    <t>A small level or nearly level area.</t>
  </si>
  <si>
    <t>A branch of a canyon or valley.</t>
  </si>
  <si>
    <t>fractureZone</t>
  </si>
  <si>
    <t>Fracture Zone</t>
  </si>
  <si>
    <t>An extensive linear zone of irregular topography of the sea floor, characterized by steep-sided or asymmetrical ridges, troughs or escarpments.</t>
  </si>
  <si>
    <t>A closed, linear, narrow, shallow depression.</t>
  </si>
  <si>
    <t>A narrow break in a ridge or a rise.</t>
  </si>
  <si>
    <t>gat</t>
  </si>
  <si>
    <t>Gat</t>
  </si>
  <si>
    <t>A natural or artificial passage or channel through shoals or steep banks, or across a line of banks lying between two channels.</t>
  </si>
  <si>
    <t>gulf</t>
  </si>
  <si>
    <t>Gulf</t>
  </si>
  <si>
    <t>A large recess in the coastline, larger than a bay.</t>
  </si>
  <si>
    <t>gully</t>
  </si>
  <si>
    <t>Gully</t>
  </si>
  <si>
    <t>A small valley-like feature.</t>
  </si>
  <si>
    <t>guyot</t>
  </si>
  <si>
    <t>Guyot</t>
  </si>
  <si>
    <t>A seamount having a comparatively smooth flat top.</t>
  </si>
  <si>
    <t>Tablemount</t>
  </si>
  <si>
    <t>hill</t>
  </si>
  <si>
    <t>A small isolated elevation of the sea floor.</t>
  </si>
  <si>
    <t>hole</t>
  </si>
  <si>
    <t>Hole</t>
  </si>
  <si>
    <t>A local depression, often steep sided, of the sea floor.</t>
  </si>
  <si>
    <t>inlet</t>
  </si>
  <si>
    <t>Inlet</t>
  </si>
  <si>
    <t>A narrow waterway extending into the land, or connecting a bay or lagoon with a larger body of water.</t>
  </si>
  <si>
    <t>insularPlatform</t>
  </si>
  <si>
    <t>Insular Platform</t>
  </si>
  <si>
    <t>An elevated and generally planar region along a shelf surrounding an island.</t>
  </si>
  <si>
    <t>knoll</t>
  </si>
  <si>
    <t>Knoll</t>
  </si>
  <si>
    <t>A relatively small isolated elevation of a rounded shape.</t>
  </si>
  <si>
    <t>landwardSlopeApron</t>
  </si>
  <si>
    <t>Landward Slope Apron</t>
  </si>
  <si>
    <t>A delta-shaped sedimentary unit lying on a trench floor on the regional slope adjacent to a continental margin.</t>
  </si>
  <si>
    <t>landwardSlopeCanyon</t>
  </si>
  <si>
    <t>Landward Slope Canyon</t>
  </si>
  <si>
    <t>A deep valley-like incision into the continental slope, thought to be eroded by turbidity currents.</t>
  </si>
  <si>
    <t>Submarine Canyon</t>
  </si>
  <si>
    <t>landwardUpperSlope</t>
  </si>
  <si>
    <t>Landward Upper Slope</t>
  </si>
  <si>
    <t>A shallower descent along a regional slope adjacent to a continental margin, usually associated with a subduction zone.</t>
  </si>
  <si>
    <t>ledge</t>
  </si>
  <si>
    <t>Ledge</t>
  </si>
  <si>
    <t>A rocky formation continuous with and fringing the shore.</t>
  </si>
  <si>
    <t>A depositional embankment bordering a canyon, valley or deep-sea channel.</t>
  </si>
  <si>
    <t>marginalEscarpment</t>
  </si>
  <si>
    <t>Marginal Escarpment</t>
  </si>
  <si>
    <t>A relatively elongated and comparatively steep slope separating more gently sloping areas.</t>
  </si>
  <si>
    <t>marginalPlateau</t>
  </si>
  <si>
    <t>Marginal Plateau</t>
  </si>
  <si>
    <t>A relatively flat shelf adjacent to a continent and similar topographically to, but deeper than, a continental shelf.</t>
  </si>
  <si>
    <t>marginalTrench</t>
  </si>
  <si>
    <t>Marginal Trench</t>
  </si>
  <si>
    <t>A narrow, steep-sided trough roughly parallel to a continental margin at the seaward base of a continental platform, and associated with plate subduction.</t>
  </si>
  <si>
    <t>medianValley</t>
  </si>
  <si>
    <t>Median Valley</t>
  </si>
  <si>
    <t>The axial depression of the mid-oceanic ridge system.</t>
  </si>
  <si>
    <t>An isolated, extensive, flat-topped elevation on a shelf, with relatively steep sides.</t>
  </si>
  <si>
    <t>midOceanRidge</t>
  </si>
  <si>
    <t>Mid-ocean Ridge</t>
  </si>
  <si>
    <t>A ridge that extend through all of the oceans, with a total length of 80,000 kilometres and an average depth of about 2500 metres.</t>
  </si>
  <si>
    <t>It occurs in the middle part of the oceans (except in the North Pacific where it is confined to the far eastern region). The mid-ocean ridge essentially represents a broad undersea cordillera or mountain range that rises to its highest elevation at the axis and slopes away on either flank.</t>
  </si>
  <si>
    <t>midSlopeTerrace</t>
  </si>
  <si>
    <t>Mid-slope Terrace</t>
  </si>
  <si>
    <t>A planar region within a regional slope along a continental margin or the flanks of a subduction zone.</t>
  </si>
  <si>
    <t>moat</t>
  </si>
  <si>
    <t>An annular depression that may not be continuous, located at the base of many seamounts, islands and other isolated elevations.</t>
  </si>
  <si>
    <t>A low, isolated, rounded hill.</t>
  </si>
  <si>
    <t>mountains</t>
  </si>
  <si>
    <t>Mountains</t>
  </si>
  <si>
    <t>A large and complex grouping of ridges and seamounts.</t>
  </si>
  <si>
    <t>mudFlats</t>
  </si>
  <si>
    <t>Mud Flats</t>
  </si>
  <si>
    <t>A level tract of land, as the bed of a dry lake or an area frequently uncovered at low tide.</t>
  </si>
  <si>
    <t>Mud Flat</t>
  </si>
  <si>
    <t>narrows</t>
  </si>
  <si>
    <t>Narrows</t>
  </si>
  <si>
    <t>A navigable narrow part of a bay, strait, or river.</t>
  </si>
  <si>
    <t>ocean</t>
  </si>
  <si>
    <t>Ocean</t>
  </si>
  <si>
    <t>One of the major divisions of the vast expanse of salt water covering part of the Earth.</t>
  </si>
  <si>
    <t>oceanTrench</t>
  </si>
  <si>
    <t>Ocean Trench</t>
  </si>
  <si>
    <t>An emphasized trench that is coupled with subduction processes, particularly within the oceans.</t>
  </si>
  <si>
    <t>oceanBasinHills</t>
  </si>
  <si>
    <t>Ocean-Basin Hills</t>
  </si>
  <si>
    <t>Abyssal hills that are emphasized by the hilly- and/or seamount-covered deep ocean provinces that are covered only by pelagic deposits and locally derived material eroded from adjacent hills and/or seamounts.</t>
  </si>
  <si>
    <t>A prominent elevation either pointed or of a very limited extent across the summit.</t>
  </si>
  <si>
    <t>Any high tower or spire-shaped pillar or rock or coral, alone or cresting a summit.</t>
  </si>
  <si>
    <t>It may extend above the surface of the water. If completely submerged it may or may not be a hazard to surface navigation.</t>
  </si>
  <si>
    <t>A flat, gently sloping or nearly level region.</t>
  </si>
  <si>
    <t>A flat or nearly flat area of considerable extent, dropping off abruptly on one or more sides.</t>
  </si>
  <si>
    <t>A flat or gently sloping underwater surface that may extend seaward from the shore, and is often seaward of the shelfbreak.</t>
  </si>
  <si>
    <t>platformUpperSlope</t>
  </si>
  <si>
    <t>Platform Upper Slope</t>
  </si>
  <si>
    <t>An upper/shallower descending margin from a platform.</t>
  </si>
  <si>
    <t>A region identifiable by a group of similar physiographic features whose characteristics are markedly in contrast with surrounding areas.</t>
  </si>
  <si>
    <t>A gentle slope connecting areas of different elevations.</t>
  </si>
  <si>
    <t>range</t>
  </si>
  <si>
    <t>A series of associated ridges or seamounts.</t>
  </si>
  <si>
    <t>ravine</t>
  </si>
  <si>
    <t>Ravine</t>
  </si>
  <si>
    <t>A small canyon.</t>
  </si>
  <si>
    <t>reef</t>
  </si>
  <si>
    <t>A rock lying at or near the sea surface that may constitute a hazard to surface navigation.</t>
  </si>
  <si>
    <t>A long, narrow elevation with steep sides often separating ocean basins.</t>
  </si>
  <si>
    <t>Mid-oceanic Ridge</t>
  </si>
  <si>
    <t>ridgesValleys</t>
  </si>
  <si>
    <t>Ridges and Valleys</t>
  </si>
  <si>
    <t>A surface characterized by a close succession of parallel or nearly parallel ridges and valleys, and resulting from the differential erosion of highly folded strata of varying resistances.</t>
  </si>
  <si>
    <t>ridgeValleyComplex</t>
  </si>
  <si>
    <t>Ridge-Valley Complex</t>
  </si>
  <si>
    <t>A complex physiography of generally adjacent and linear ridges and valleys.</t>
  </si>
  <si>
    <t>The genesis of this morphology is initial expression due to rising magna and the creation of a seafloor spreading zone.</t>
  </si>
  <si>
    <t>riftValley</t>
  </si>
  <si>
    <t>Rift Valley</t>
  </si>
  <si>
    <t>A valley that has developed along a rift.</t>
  </si>
  <si>
    <t>It is 1 to 2 kilometres deep, a few tens of kilometres wide, and lies along the axis of the ridge.</t>
  </si>
  <si>
    <t>rise</t>
  </si>
  <si>
    <t>Rise</t>
  </si>
  <si>
    <t>A broad elevation that rises gently and generally smoothly from the sea floor.</t>
  </si>
  <si>
    <t>May occasionally be used to refer to the linked major mid-oceanic mountain systems of global extent.</t>
  </si>
  <si>
    <t>A broad pass, resembling in shape a riding saddle, in a ridge or between contiguous seamounts.</t>
  </si>
  <si>
    <t>sea</t>
  </si>
  <si>
    <t>Sea</t>
  </si>
  <si>
    <t>A large body of salt water more or less confined by continuous land or chains of islands forming a subdivision of an ocean.</t>
  </si>
  <si>
    <t>seaChannel</t>
  </si>
  <si>
    <t>Sea Channel</t>
  </si>
  <si>
    <t>A continuously sloping, elongated narrow depression commonly found in fans or abyssal plains and customarily bordered by levees on one or both sides.</t>
  </si>
  <si>
    <t>seamount</t>
  </si>
  <si>
    <t>Seamount</t>
  </si>
  <si>
    <t>A large isolated elevation, greater than 1000 metres in relief above the sea floor, characteristically of conical form.</t>
  </si>
  <si>
    <t>seamountChain</t>
  </si>
  <si>
    <t>Seamount Chain</t>
  </si>
  <si>
    <t>Several seamounts in linear or arcuate alignment.</t>
  </si>
  <si>
    <t>Seamounts</t>
  </si>
  <si>
    <t>shelf</t>
  </si>
  <si>
    <t>Shelf</t>
  </si>
  <si>
    <t>A zone adjacent to a continent (or around an island) and extending from the low water line to a depth at which there is usually a marked increase of slope towards oceanic depths.</t>
  </si>
  <si>
    <t>shelfValley</t>
  </si>
  <si>
    <t>Shelf Valley</t>
  </si>
  <si>
    <t>A valley on a shelf, generally the shoreward extension of a canyon.</t>
  </si>
  <si>
    <t>shelfEdge</t>
  </si>
  <si>
    <t>Shelf-edge</t>
  </si>
  <si>
    <t>A narrow zone at the seaward margin of a shelf along which is a marked increase of slope.</t>
  </si>
  <si>
    <t>Shelf Break</t>
  </si>
  <si>
    <t>shoal</t>
  </si>
  <si>
    <t>Shoal</t>
  </si>
  <si>
    <t>An offshore hazard to surface navigation that is composed of unconsolidated material.</t>
  </si>
  <si>
    <t>sill</t>
  </si>
  <si>
    <t>Sill</t>
  </si>
  <si>
    <t>A sea floor barrier of relatively shallow depth restricting water movement between basins.</t>
  </si>
  <si>
    <t>The slope seaward from the shelf edge to the upper edge of a continental rise or the point where there is a general reduction in slope.</t>
  </si>
  <si>
    <t>slopeBasin</t>
  </si>
  <si>
    <t>Slope Basin</t>
  </si>
  <si>
    <t>A sedimentary basin located along the slope portion of a continental margin.</t>
  </si>
  <si>
    <t>slump</t>
  </si>
  <si>
    <t>Slump</t>
  </si>
  <si>
    <t>A type of sediment slide where the downward slipping mass of rock or unconsolidated material of any size moves as a single unit or as several related units.</t>
  </si>
  <si>
    <t>sound</t>
  </si>
  <si>
    <t>Sound</t>
  </si>
  <si>
    <t>A long arm of the sea either forming a channel between the mainland and an island or islands, or connecting two larger bodies of water.</t>
  </si>
  <si>
    <t>springs</t>
  </si>
  <si>
    <t>Spring(s)</t>
  </si>
  <si>
    <t>The natural issue of fresh water from the bottom of the sea at one or more locations.</t>
  </si>
  <si>
    <t>These fresh water emission(s) may affect buoyancy and/or anchorages within the area.</t>
  </si>
  <si>
    <t>A subordinate elevation, ridge or rise projecting outward from a larger feature.</t>
  </si>
  <si>
    <t>strait</t>
  </si>
  <si>
    <t>Strait</t>
  </si>
  <si>
    <t>A relatively narrow waterway, usually narrower and less extensive than a sound, connecting two larger bodies of water.</t>
  </si>
  <si>
    <t>A relatively flat horizontal or gently inclined surface, sometimes long and narrow, that is bounded by a steeper ascending slope on one side and by a steeper descending slope on the opposite side.</t>
  </si>
  <si>
    <t>tidalFlat</t>
  </si>
  <si>
    <t>Tidal Flat</t>
  </si>
  <si>
    <t>A large flat area of mud or sand attached to the shore and alternately covered and uncovered by the tide.</t>
  </si>
  <si>
    <t>tongue</t>
  </si>
  <si>
    <t>Tongue</t>
  </si>
  <si>
    <t>An elongate (tongue-like) extension of a flat sea floor into an adjacent higher feature.</t>
  </si>
  <si>
    <t>trench</t>
  </si>
  <si>
    <t>Trench</t>
  </si>
  <si>
    <t>A long narrow, characteristically very deep and asymmetrical depression of the sea floor, with relatively steep sides, commonly between abyssal hills and continental margins.</t>
  </si>
  <si>
    <t>Trenches are commonly associated with subduction zones, the trench then paralleling a volcanic arc.</t>
  </si>
  <si>
    <t>trenchFloor</t>
  </si>
  <si>
    <t>Trench Floor</t>
  </si>
  <si>
    <t>A floor of a trench as contrasted with the adjacent walls of the trench.</t>
  </si>
  <si>
    <t>trough</t>
  </si>
  <si>
    <t>Trough</t>
  </si>
  <si>
    <t>A long depression of the sea floor characteristically flat bottomed and steep sided and normally shallower than a trench.</t>
  </si>
  <si>
    <t>upperTrenchSlope</t>
  </si>
  <si>
    <t>Upper Trench Slope</t>
  </si>
  <si>
    <t>The slope of the overriding plate where two plates collide, one plate bends downward and a trench is formed.</t>
  </si>
  <si>
    <t>A relatively shallow, wide depression, the bottom of which usually has a continuous gradient.</t>
  </si>
  <si>
    <t>This term is generally not used for features that have canyon-like characteristics for a significant portion of their extent.</t>
  </si>
  <si>
    <t>Sea Valley, Submarine Valley</t>
  </si>
  <si>
    <t>braidedStream</t>
  </si>
  <si>
    <t>Braided Stream</t>
  </si>
  <si>
    <t>A watercourse divided into an intricate network of interlacing channels.</t>
  </si>
  <si>
    <t>Generally shallow, the smaller channels are continually shifting and are separated by bar deposits.</t>
  </si>
  <si>
    <t>channelizedStream</t>
  </si>
  <si>
    <t>Channelized Stream</t>
  </si>
  <si>
    <t>A permanent or relocated watercourse that has been diverted, dredged, straightened and/or dyked.</t>
  </si>
  <si>
    <t>A deep, narrow, V-shaped channel with steep rocky sides.</t>
  </si>
  <si>
    <t>normalChannel</t>
  </si>
  <si>
    <t>Normal Channel</t>
  </si>
  <si>
    <t>A watercourse that has not been channelized or relocated.</t>
  </si>
  <si>
    <t>Follows a normal meandering channel with variations in channel bed morphology.</t>
  </si>
  <si>
    <t>wadi</t>
  </si>
  <si>
    <t>Wadi</t>
  </si>
  <si>
    <t>A dry, intermittent, or ephemeral drainage course marked by deposits of alluvial material that are not confined to a specific channel.</t>
  </si>
  <si>
    <t>The channels are commonly shallow and braided, can cover a wide area being nearly level with the surrounding floodplain, and are separated by flat, low lying segments.</t>
  </si>
  <si>
    <t>Arroyo, Wash, Dry Wash</t>
  </si>
  <si>
    <t>abandoned</t>
  </si>
  <si>
    <t>Abandoned</t>
  </si>
  <si>
    <t>A former watercourse or distributary no longer carrying flowing water, but still evident due to lakes, wetland, topographic and/or vegetation patterns.</t>
  </si>
  <si>
    <t>anabranch</t>
  </si>
  <si>
    <t>Anabranch</t>
  </si>
  <si>
    <t>A diverging branch flowing out of a main watercourse and rejoining it downstream.</t>
  </si>
  <si>
    <t>bend</t>
  </si>
  <si>
    <t>Bend</t>
  </si>
  <si>
    <t>A point where a watercourse noticeably changes direction.</t>
  </si>
  <si>
    <t>canalized</t>
  </si>
  <si>
    <t>Canalized</t>
  </si>
  <si>
    <t>A watercourse that has been substantially ditched, dyked and/or straightened.</t>
  </si>
  <si>
    <t>confluence</t>
  </si>
  <si>
    <t>Confluence</t>
  </si>
  <si>
    <t>A place where two or more watercourses join or flow together.</t>
  </si>
  <si>
    <t>craterLake</t>
  </si>
  <si>
    <t>Crater-lake</t>
  </si>
  <si>
    <t>A lake formed by the collection of water in the crater of an inactive volcano.</t>
  </si>
  <si>
    <t>cutOff</t>
  </si>
  <si>
    <t>Cut-off</t>
  </si>
  <si>
    <t>A channel formed as a result of a watercourse cutting through a meander neck.</t>
  </si>
  <si>
    <t>distributary</t>
  </si>
  <si>
    <t>Distributary</t>
  </si>
  <si>
    <t>A watercourse branch which flows away from the main channel, as in a delta or irrigation canal.</t>
  </si>
  <si>
    <t>headwaters</t>
  </si>
  <si>
    <t>Headwaters</t>
  </si>
  <si>
    <t>The source and upper part of a watercourse, including the upper drainage basin.</t>
  </si>
  <si>
    <t>meander</t>
  </si>
  <si>
    <t>Meander</t>
  </si>
  <si>
    <t>A pronounced meander or horseshoe-shaped loop in a watercourse.</t>
  </si>
  <si>
    <t>mouth</t>
  </si>
  <si>
    <t>Mouth</t>
  </si>
  <si>
    <t>An area where a watercourse enters a larger body of water (for example: a lagoon, a lake or a bay).</t>
  </si>
  <si>
    <t>oxbowLake</t>
  </si>
  <si>
    <t>Oxbow Lake</t>
  </si>
  <si>
    <t>A crescent-shaped lake commonly found adjacent to meandering watercourses.</t>
  </si>
  <si>
    <t>pool</t>
  </si>
  <si>
    <t>Pool</t>
  </si>
  <si>
    <t>A small, and comparatively still, deep part of a larger body of water (for example: a stream or a harbour), or a small body of standing water.</t>
  </si>
  <si>
    <t>reach</t>
  </si>
  <si>
    <t>Reach</t>
  </si>
  <si>
    <t>A straight section of a navigable watercourse or channel between two bends.</t>
  </si>
  <si>
    <t>disappearing</t>
  </si>
  <si>
    <t>Disappearing</t>
  </si>
  <si>
    <t>Disappears suddenly into the ground and partially or completely ceases flowing on the surface.</t>
  </si>
  <si>
    <t>dissipating</t>
  </si>
  <si>
    <t>Dissipating</t>
  </si>
  <si>
    <t>Gradually dissipates due to a lowering of the water table.</t>
  </si>
  <si>
    <t>Disappears into holes in the ground other than a sinkhole.</t>
  </si>
  <si>
    <t>Disappears into a sinkhole (a closed depression caused by a collapse of soil or overlying formation above fractured or cavernous bedrock).</t>
  </si>
  <si>
    <t>named</t>
  </si>
  <si>
    <t>Named</t>
  </si>
  <si>
    <t>A way-point with an official five character identifier.</t>
  </si>
  <si>
    <t>Named way-points are required within the airspace structure and are used as a primary means of navigation and reporting to air traffic control while travelling along a published navigation route.</t>
  </si>
  <si>
    <t>unnamed</t>
  </si>
  <si>
    <t>Unnamed</t>
  </si>
  <si>
    <t>A way-point that does not have an official five character identifier.</t>
  </si>
  <si>
    <t>Unnamed way-points are required within the airspace structure for various reasons (for example: marking boundaries along a route), but are generally not reported to air traffic control during navigation.</t>
  </si>
  <si>
    <t>flyBy</t>
  </si>
  <si>
    <t>Fly By</t>
  </si>
  <si>
    <t>A waypoint which requires turn anticipation to allow tangential interception of the next segment of a route or procedure.</t>
  </si>
  <si>
    <t>flyover</t>
  </si>
  <si>
    <t>Flyover</t>
  </si>
  <si>
    <t>A waypoint at which a turn is initiated in order to join the next segment of a route or procedure.</t>
  </si>
  <si>
    <t>Area Navigation (RNAV) Way-point</t>
  </si>
  <si>
    <t>A way-point which is specifically designed for use within designated Area Navigation (RNAV) airspace.</t>
  </si>
  <si>
    <t>navigationReferenceSystem</t>
  </si>
  <si>
    <t>Navigation Reference System (NRS) Way-point</t>
  </si>
  <si>
    <t>A way-point which exists within a sectioned part of high altitude airspace, specifically designed for navigation using a reference system within the aircraft.</t>
  </si>
  <si>
    <t>This is commonly termed within the aviation community as the 'free flight airspace', navigating solely by Navigation Reference System (NRS) way-points, with no published air traffic routes.</t>
  </si>
  <si>
    <t>offRoute</t>
  </si>
  <si>
    <t>Off Route</t>
  </si>
  <si>
    <t>A way-point which exists within the airspace structure as a stand-alone point.</t>
  </si>
  <si>
    <t>The way-point is not attached to any published routeing.</t>
  </si>
  <si>
    <t>specialUsageAirspace</t>
  </si>
  <si>
    <t>Special Usage Airspace Waypoint</t>
  </si>
  <si>
    <t>A way-point which is specifically designed for use within either the high altitude air traffic control assigned airspace or the high altitude special use airspace structures.</t>
  </si>
  <si>
    <t>demolitionArea</t>
  </si>
  <si>
    <t>Demolition Area</t>
  </si>
  <si>
    <t>An area allocated for breaking up of structures and/or equipment (for example: destruction of arms by international agreement) by explosive blasting.</t>
  </si>
  <si>
    <t>fieldArtillery</t>
  </si>
  <si>
    <t>Field Artillery</t>
  </si>
  <si>
    <t>Suitable for training with and testing large-calibre field artillery weapons (for example: a howitzer or a cannon).</t>
  </si>
  <si>
    <t>Suitable for training with and testing grenades.</t>
  </si>
  <si>
    <t>A grenade is a small explosive or chemical bomb detonated by a fuse and which may be thrown by hand or launched from a special device attached to a rifle or carbine.</t>
  </si>
  <si>
    <t>impactArea</t>
  </si>
  <si>
    <t>Impact Area</t>
  </si>
  <si>
    <t>smallArms</t>
  </si>
  <si>
    <t>Small Arms</t>
  </si>
  <si>
    <t>Suitable for training with and testing pistols, rifles, machine guns, and other small calibre weapons.</t>
  </si>
  <si>
    <t>tank</t>
  </si>
  <si>
    <t>Tank</t>
  </si>
  <si>
    <t>Suitable for training with and testing the large-caliber high-velocity main gun of a battle tank, as well as other weapons found on armoured vehicles.</t>
  </si>
  <si>
    <t>The main gun is usually capable of firing kinetic energy penetrators, high explosive anti-tank rounds, and in some cases guided missiles. Such practice may include maneuver as well as discharge of weapons.</t>
  </si>
  <si>
    <t>capped</t>
  </si>
  <si>
    <t>Capped</t>
  </si>
  <si>
    <t>A well lacking wellbore-attached equipment (for example: a wellhead, a christmas tree and a pipeline connection) and therefore no longer in production.</t>
  </si>
  <si>
    <t>The well may remain capable of production and be temporarily capped, or it may be permanently abandoned and sealed (for example: by pumping a grout mixture into the wellbore).</t>
  </si>
  <si>
    <t>christmasTree</t>
  </si>
  <si>
    <t>Christmas Tree</t>
  </si>
  <si>
    <t>An assembly of valves, spools, pressure gauges and chokes fitted to the wellhead of a completed well to control production.</t>
  </si>
  <si>
    <t>The christmas tree also incorporates facilities to enable safe access for well intervention operations such as slickline, electric wireline or coiled tubing. Its function is to both prevent the release of petroleum or gas from a well into the environment and also to direct and control the flow of formation fluids from the well. When the well is ready to produce petroleum or natural gas, valves are opened and the release of the formation fluids is allowed through a pipeline leading (eventually) to a refinery.</t>
  </si>
  <si>
    <t>manifold</t>
  </si>
  <si>
    <t>Manifold</t>
  </si>
  <si>
    <t>An arrangement of piping or valves designed to control, distribute and often monitor fluid flow.</t>
  </si>
  <si>
    <t>For smaller subsea fields, for example, the wellhead and christmas tree are installed directly on the seabed, with production from several wells co-mingled at a subsea manifold. Subsea manifolds are often linked by pipelines and umbilical control lines back to a nearby platform, where engineers can control and monitor the petroleum and natural gas production.</t>
  </si>
  <si>
    <t>protectiveStructure</t>
  </si>
  <si>
    <t>Protective Structure</t>
  </si>
  <si>
    <t>A subsea structure covering the equipment (for example: a wellhead or a manifold) in order to protect against trawl gear damage.</t>
  </si>
  <si>
    <t>The structure may be designed to allow trawl gear to pass over it without snagging or stopping the vessel (termed 'overtrawl'), or to either deflect or to deliberately snag fishing gear but allow easy retrieval (termed 'fisher friendly').</t>
  </si>
  <si>
    <t>pump</t>
  </si>
  <si>
    <t>Pump</t>
  </si>
  <si>
    <t>A downhole pump and supporting equipment used to ensure flowing production of fluids at the desired or necessary rate.</t>
  </si>
  <si>
    <t>Pumps are required when the formation pressure is insufficient. Most petroleum wells are eventually put on pumps as pressure declines during production. The exceptions are in strong waterdrive reservoirs or in settings where pressure maintenance by gas or water injection is sufficient to maintain a high reservoir pressure.</t>
  </si>
  <si>
    <t>rodPump</t>
  </si>
  <si>
    <t>Rod Pump</t>
  </si>
  <si>
    <t>An artificial-lift pumping system using a surface power source to drive a downhole pump assembly.</t>
  </si>
  <si>
    <t>A beam and crank assembly creates reciprocating motion in a sucker-rod string that connects to the downhole pump assembly. The pump contains a plunger and valve assembly to convert the reciprocating motion to vertical fluid movement.</t>
  </si>
  <si>
    <t>separator</t>
  </si>
  <si>
    <t>Separator</t>
  </si>
  <si>
    <t>A cylindrical or spherical vessel used to separate petroleum, natural gas and water from the total fluid stream produced by a well.</t>
  </si>
  <si>
    <t>Gravity segregation is the main force that accomplishes the separation, thus the heaviest fluid settles to the bottom and the lightest fluid rises to the top. The objective is to maximize the hydrocarbon liquid recovery and to provide maximum stabilization to the resultant phases (liquid and gas) leaving the final separator.</t>
  </si>
  <si>
    <t>stockTank</t>
  </si>
  <si>
    <t>Stock Tank</t>
  </si>
  <si>
    <t>A tank in which the petroleum is stored after treatment (for example: to remove water).</t>
  </si>
  <si>
    <t>treater</t>
  </si>
  <si>
    <t>Treater</t>
  </si>
  <si>
    <t>A vessel used to treat oil-water emulsions so that the oil can be accepted by the pipeline or transport.</t>
  </si>
  <si>
    <t>Treater mechanisms break down the emulsion using either heat, gravity segregation, chemical additives and/or electric current.</t>
  </si>
  <si>
    <t>The assembly of fittings, valves, and controls located at the surface and connected to the flow lines, tubing, and casing of the well so as to control the flow from the reservoir.</t>
  </si>
  <si>
    <t>It also serves as a facility for installing casing hangers as well as christmas trees and other production control devices.</t>
  </si>
  <si>
    <t>artesian</t>
  </si>
  <si>
    <t>Artesian</t>
  </si>
  <si>
    <t>Created by a perpendicular boring into a confined aquifer, the water rising spontaneously above the water-table (strictly, to the surface).</t>
  </si>
  <si>
    <t>drilled</t>
  </si>
  <si>
    <t>Drilled</t>
  </si>
  <si>
    <t>Created by specialized equipment using methods specific to the nature of the strata penetrated (for example: drilled, driven, bored, and/or jetted).</t>
  </si>
  <si>
    <t>Generally employed to tap deep groundwater reservoirs. The resulting bore is narrow, typically only a few inches in diameter.</t>
  </si>
  <si>
    <t>dug</t>
  </si>
  <si>
    <t>Dug</t>
  </si>
  <si>
    <t>Created through a (generally manual) process of digging to tap shallow groundwater.</t>
  </si>
  <si>
    <t>The resulting bore is wide, typically several feet or more in diameter.</t>
  </si>
  <si>
    <t>dugOrDrilled</t>
  </si>
  <si>
    <t>Dug or Drilled</t>
  </si>
  <si>
    <t>Created by either digging or drilling.</t>
  </si>
  <si>
    <t>walledIn</t>
  </si>
  <si>
    <t>Walled-in</t>
  </si>
  <si>
    <t>A well whose wall is faced, generally with masonry, to prevent collapse.</t>
  </si>
  <si>
    <t>Usually circular with a stone border and a structure built above it for lowering and raising a bucket.</t>
  </si>
  <si>
    <t>nonWaterWell</t>
  </si>
  <si>
    <t>waterWell</t>
  </si>
  <si>
    <t>air</t>
  </si>
  <si>
    <t>Air</t>
  </si>
  <si>
    <t>Air-based compressed gas mixtures (often enhanced with oxygen or ozone) used to support fireflooding (an in-situ combustion method for producing heavy oil).</t>
  </si>
  <si>
    <t>Note that air is not suitable for reservoir pressure because it tends to cause deterioration of the oil, thus carbon dioxide or natural gas is normally used for pressure restoration.</t>
  </si>
  <si>
    <t>Compressed gaseous, or liquefied, carbon dioxide injected into underground formations.</t>
  </si>
  <si>
    <t>Underground injection of carbon dioxide for purposes such as enhanced oil recovery (EOR) and enhanced gas recovery (EGR) is a long-standing practice. Carbon dioxide injection for geologic sequestration involves different technical issues and potentially much larger volumes of carbon dioxide and larger scale projects than for EOR and EGR.</t>
  </si>
  <si>
    <t>chemicals</t>
  </si>
  <si>
    <t>Chemicals</t>
  </si>
  <si>
    <t>A special chemical solution used to improve oil recovery, remove formation damage, clean blocked perforations or formation layers, reduce or inhibit corrosion, upgrade crude oil, or address crude oil flow-assurance issues.</t>
  </si>
  <si>
    <t>Chemical injections can be administered either continuously or in batches, typically in injection wells, although at times in production wells.</t>
  </si>
  <si>
    <t>coalSlurry</t>
  </si>
  <si>
    <t>Coal Slurry</t>
  </si>
  <si>
    <t>A fluid consisting of water, fine particles derived from the coal, and chemicals used in coal washing, that is produced when coal is prepared for market.</t>
  </si>
  <si>
    <t>Coal washing reduces the amount of non-combustible materials (including sulphur) from the coal. In addition to containing chemicals used during washing, coal slurry contains heavy metals naturally present in coal, such as arsenic, mercury, chromium, cadmium, boron, selenium and nickel.</t>
  </si>
  <si>
    <t>detergent</t>
  </si>
  <si>
    <t>Detergent</t>
  </si>
  <si>
    <t>A surfactant-type chemical solution used to improve oil recovery, clean blocked perforations or formation layers, or address crude oil flow-assurance issues.</t>
  </si>
  <si>
    <t>fireFlooding</t>
  </si>
  <si>
    <t>Fire Flooding</t>
  </si>
  <si>
    <t>A method of thermal recovery in which a flame front is generated in the reservoir by igniting a fire at the sandface of an injection well followed by continuous injection of air or other gas mixture with high oxygen content to maintain the flame front.</t>
  </si>
  <si>
    <t>As the fire burns, it moves through the reservoir toward production wells. Heat from the fire reduces oil viscosity and helps vaporize reservoir water to steam. The steam, hot water, combustion gas and a bank of distilled solvent all act to drive oil in front of the fire toward production wells.</t>
  </si>
  <si>
    <t>A mixture of light hydrocarbons that are gases at atmospheric temperature and pressure, but held in the liquid state by pressure to facilitate storage, transport and handling.</t>
  </si>
  <si>
    <t>Commercial liquefied gas consists essentially of either propane or butane, or mixtures thereof. It is often stored in metal cylinders (bottled gas) and used as fuel for tractors, trucks, and buses, and as a domestic cooking or heating fuel in rural areas.</t>
  </si>
  <si>
    <t>liquids</t>
  </si>
  <si>
    <t>Liquids</t>
  </si>
  <si>
    <t>Any of a number of liquids that may be used to enhance oil recovery (for example: chemicals, detergents, liquefied carbon dioxide, sea water) or stored for later retrieval (for example: light crude, liquefied petroleum gas, water).</t>
  </si>
  <si>
    <t>naturalGas</t>
  </si>
  <si>
    <t>Natural Gas</t>
  </si>
  <si>
    <t>Natural gas injected into an underground formation, typically one already containing both natural gas and crude oil, to maintain or restore reservoir pressure.</t>
  </si>
  <si>
    <t>Other reasons for gas injection are gas-lift operations, cycling in gas-condensate reservoirs or for storing gas in an underground reservoir.</t>
  </si>
  <si>
    <t>A complex mixture of naturally occurring hydrocarbon compounds found in rock.</t>
  </si>
  <si>
    <t>Petroleum can range from solid to gas, but the term is generally used to refer to liquid crude oil. Impurities such as sulphur, oxygen and nitrogen are common in petroleum. There is considerable variation in color, gravity, odor, sulphur content and viscosity in petroleum from different areas.</t>
  </si>
  <si>
    <t>squeezeLiquids</t>
  </si>
  <si>
    <t>Squeeze Liquids</t>
  </si>
  <si>
    <t>The injection of generally small volumes of various treating fluids into a underground formation under pressure.</t>
  </si>
  <si>
    <t>steam</t>
  </si>
  <si>
    <t>Steam</t>
  </si>
  <si>
    <t>The injection of superheated steam in order to extract viscous crude oil; an enhanced oil recovery (EOR) method that is the main type of thermal stimulation of oil reservoirs.</t>
  </si>
  <si>
    <t>Steam may be either cyclically injected, followed by a 'soak' and then recovery from a single well, or injected into a well separate from the production well.</t>
  </si>
  <si>
    <t>thermalFluids</t>
  </si>
  <si>
    <t>Thermal Fluids</t>
  </si>
  <si>
    <t>The injection of superheated fluids in order to extract viscous crude oil.</t>
  </si>
  <si>
    <t>For example: steam.</t>
  </si>
  <si>
    <t>Water injected into an underground formation to pressurize and displace hydrocarbons towards producing wells.</t>
  </si>
  <si>
    <t>Water-injection wells are common offshore, where filtered and treated seawater is injected into a lower water-bearing section of the reservoir. Injection water is also used in water-storage operations in offshore and remote locations with economic and environmental constraints.</t>
  </si>
  <si>
    <t>The well has ceased production (for example: because there is insufficient hydrocarbon potential to complete the well, or production operations have drained the reservoir) or the borehole ceased serving its intended function (for example: injection operations are no longer necessary) and all recoverable equipment has been salvaged.</t>
  </si>
  <si>
    <t>The well is in operation for its intended purpose (for example: natural gas recovery or waste disposal) or the borehole is serving its intended function.</t>
  </si>
  <si>
    <t>Producing</t>
  </si>
  <si>
    <t>buried</t>
  </si>
  <si>
    <t>Buried</t>
  </si>
  <si>
    <t>The wellhead is not immediately accessible from the surface, being covered by a significant amount of overburden.</t>
  </si>
  <si>
    <t>The wellbore is being drilled.</t>
  </si>
  <si>
    <t>The wellbore has not encountered hydrocarbons in economically producible quantities.</t>
  </si>
  <si>
    <t>Most wells contain salt water in some zones. In addition, the wellbore usually encounters small amounts of crude oil and natural gas. Whether the well is a 'duster' depends on many factors of the economic equation, including proximity to transport and processing infrastructures, local market conditions, expected completion costs, tax and investment recovery conditions of the jurisdiction and projected oil and gas prices during the productive life of the well.</t>
  </si>
  <si>
    <t>The mineral rights lease governing the operation of the well has expired.</t>
  </si>
  <si>
    <t>The well or borehole is planned but drilling has not yet commenced.</t>
  </si>
  <si>
    <t>plugged</t>
  </si>
  <si>
    <t>Plugged</t>
  </si>
  <si>
    <t>The well has permanently ceased production or the borehole ceased serving its intended function and has been plugged.</t>
  </si>
  <si>
    <t>Different regulatory bodies have differing requirements for plugging operations, typically requiring that cement plugs be placed and tested across any open hydrocarbon-bearing formations, across all casing shoes, across freshwater aquifers, and perhaps several other areas near the surface, including the top 6 to 15 metres (20 to 50 feet) of the wellbore.</t>
  </si>
  <si>
    <t>pluggedBack</t>
  </si>
  <si>
    <t>Plugged-back</t>
  </si>
  <si>
    <t>Unproductive drilling operations continued to a greater depth than that at which a potentially productive formation was found, and the well was subsequently completed in the shallower formation with the length of the well bore from the deepest depth at which the well is completed to the maximum depth drilled plugged to ensure against cross-strata fluid migration.</t>
  </si>
  <si>
    <t>shutIn</t>
  </si>
  <si>
    <t>Shut-in</t>
  </si>
  <si>
    <t>The well or borehole has been closed off, the well being shut so that it does not produce a fluid product of any kind, or the borehole is no longer serving its intended function.</t>
  </si>
  <si>
    <t>The well has been capped off temporarily.</t>
  </si>
  <si>
    <t>temporarilyAbandoned</t>
  </si>
  <si>
    <t>Temporarily Abandoned</t>
  </si>
  <si>
    <t>The well has temporarily ceased production or the borehole ceased serving its intended function, some or all recoverable equipment has been salvaged, but the site has been left in a state to readily enable the future resumption of operations.</t>
  </si>
  <si>
    <t>The well has not entered full production, being used only for the extraction of limited quantities.</t>
  </si>
  <si>
    <t>waitingOnCompletion</t>
  </si>
  <si>
    <t>Waiting on Completion</t>
  </si>
  <si>
    <t>The well has not yet been 'completed' by the addition of downhole pipe and equipment required to enable safe and efficient production.</t>
  </si>
  <si>
    <t>It is subject to frequent or tidal inundations, but not considered to be continually under water. It lacks trees.</t>
  </si>
  <si>
    <t>It is covered with water all or most of the year, and accumulating dead vegetation does not rapidly decay. It can exist on flat-lying areas created by certain geomorphic environments. The vegetation mainly consists of hydrophytic trees and/or scrubs whose roots are adapted to wet conditions, with an open to very dense canopy closure.</t>
  </si>
  <si>
    <t>tetrahedron</t>
  </si>
  <si>
    <t>Tetrahedron</t>
  </si>
  <si>
    <t>A device designed like an arrow whose small end points into the wind.</t>
  </si>
  <si>
    <t>windTee</t>
  </si>
  <si>
    <t>Wind Tee</t>
  </si>
  <si>
    <t>A weather vane shaped like the letter 'T' or like an aeroplane, located on an aerodrome or landing area to show the wind direction to flying aircraft.</t>
  </si>
  <si>
    <t>windsock</t>
  </si>
  <si>
    <t>Windsock</t>
  </si>
  <si>
    <t>A conical textile tube designed to indicate wind direction and relative wind speed.</t>
  </si>
  <si>
    <t>cellularPhone</t>
  </si>
  <si>
    <t>Cellular Phone</t>
  </si>
  <si>
    <t>A radio apparatus functioning similar to a telephone but operating by means of radio waves transmitted between the instruments in full duplex mode over a cellular network of base stations.</t>
  </si>
  <si>
    <t>microwaveRadioRelay</t>
  </si>
  <si>
    <t>Microwave Radio Relay</t>
  </si>
  <si>
    <t>A system for transmitting digital and analog signals (for example: long-distance telephone calls and the relay of television programs) between two locations on a line of sight radio path using directional antennas to form a fixed radio connection.</t>
  </si>
  <si>
    <t>Long daisy-chained series of such links may be used to form transcontinental telephone and/or television communication systems.</t>
  </si>
  <si>
    <t>mobilePhone</t>
  </si>
  <si>
    <t>Mobile Phone</t>
  </si>
  <si>
    <t>A radio apparatus functioning similar to a telephone but operating by means of radio waves transmitted between the instruments in full duplex mode.</t>
  </si>
  <si>
    <t>The radiotelephone equivalent of land dial phone service, operating through a system of relatively widely separated base stations or satellites.</t>
  </si>
  <si>
    <t>radioBroadcast</t>
  </si>
  <si>
    <t>Radio Broadcast</t>
  </si>
  <si>
    <t>A broadcast system for transmitting radio-frequency electromagnetic waves as a means of communication.</t>
  </si>
  <si>
    <t>Most often used for broadcasting a variety of entertainment (for example: music and news) shows interspersed with commercial messages.</t>
  </si>
  <si>
    <t>radioTelephone</t>
  </si>
  <si>
    <t>Radio Telephone</t>
  </si>
  <si>
    <t>A radio apparatus functioning similar to a telephone but operating by means of radio waves transmitted between the instruments and usually only in simplex (either single or dual-frequency) mode.</t>
  </si>
  <si>
    <t>For example, a 'walkie-talkie'. The user presses a special switch on the transmitter when they wish to speak. A special code-word such as the phrase 'over' may be used to signal that the speaker has finished transmitting. Radio telephones have been largely superseded by digital mobile phones however they are still widely used in specialized applications, for example police communications, emergency services, taxi services, and private mobile radio networks (PMR).</t>
  </si>
  <si>
    <t>radioTelegraph</t>
  </si>
  <si>
    <t>Radio-telegraph</t>
  </si>
  <si>
    <t>A radio apparatus functioning similar to a telegraph but operating by means of radio waves transmitted between the instruments.</t>
  </si>
  <si>
    <t>Messages are sent using a code such as the 'dot-dash' Morse code.</t>
  </si>
  <si>
    <t>television</t>
  </si>
  <si>
    <t>Television (TV)</t>
  </si>
  <si>
    <t>A system for reproducing on a screen visual images transmitted (usually with sound) by radio signals.</t>
  </si>
  <si>
    <t>funnelShowing</t>
  </si>
  <si>
    <t>Funnel Showing</t>
  </si>
  <si>
    <t>Only the funnels are showing.</t>
  </si>
  <si>
    <t>hullShowing</t>
  </si>
  <si>
    <t>Hull Showing</t>
  </si>
  <si>
    <t>Any portion of the hull is showing.</t>
  </si>
  <si>
    <t>mastsFunnelShowing</t>
  </si>
  <si>
    <t>Masts and Funnel Showing</t>
  </si>
  <si>
    <t>A portion of the masts and funnel are showing.</t>
  </si>
  <si>
    <t>mastsShowing</t>
  </si>
  <si>
    <t>Masts Showing</t>
  </si>
  <si>
    <t>Only the masts are showing.</t>
  </si>
  <si>
    <t>notExposed</t>
  </si>
  <si>
    <t>Not Exposed</t>
  </si>
  <si>
    <t>No portion is persistently showing above the water surface.</t>
  </si>
  <si>
    <t>superstructureShowing</t>
  </si>
  <si>
    <t>Superstructure Showing</t>
  </si>
  <si>
    <t>Any portion of the superstructure is showing.</t>
  </si>
  <si>
    <t>This URI may be revised to reference an alternative resource site; all hyperlinks in this workbook are relative to this URI.</t>
  </si>
  <si>
    <t>This workbook documents the NATO Geospatial Feature Concept Dictionary (NGFCD), a component of the NATO Geospatial Information Framework (NGIF).  It uses content specified by the Joint Geospatial Standards Working Group (JGSWG) and structure specified by the ISO 19100-series of International Standards. It exists as an online information resource maintained by DGIWG on behalf of JGSWG. This workbook includes four sheets that specify a subset of information from valid items in the NGFCD register as of the date it was created; for complete information regarding a given item a hyperlink is provided to the complete specification of that specific item in the online resource. Additional information available online that is not included in this workbook includes an item source, zero or more item lineages, and zero or more alternative expressions in languages other than that of NGFCD (which uses English in accordance with the Oxford English Dictionary).  Other information available online includes items that are not currently valid but may have historically been related to a valid item.</t>
  </si>
  <si>
    <r>
      <rPr>
        <b/>
        <sz val="14"/>
        <color theme="1"/>
        <rFont val="Arial"/>
        <family val="2"/>
      </rPr>
      <t>NATO Geospatial Information Framework (NGIF)</t>
    </r>
    <r>
      <rPr>
        <b/>
        <sz val="18"/>
        <color theme="3"/>
        <rFont val="Arial"/>
        <family val="2"/>
      </rPr>
      <t xml:space="preserve">
NATO Geospatial Feature Concept Dictionary (NGFCD) 1.0 - Normative Content
</t>
    </r>
    <r>
      <rPr>
        <b/>
        <sz val="14"/>
        <color theme="3"/>
        <rFont val="Arial"/>
        <family val="2"/>
      </rPr>
      <t>DGIWG-203-1</t>
    </r>
    <r>
      <rPr>
        <b/>
        <sz val="11"/>
        <color theme="3"/>
        <rFont val="Arial"/>
        <family val="2"/>
      </rPr>
      <t xml:space="preserve">
</t>
    </r>
    <r>
      <rPr>
        <sz val="11"/>
        <color theme="3"/>
        <rFont val="Arial"/>
        <family val="2"/>
      </rPr>
      <t>(DGIWG STD-13-021)</t>
    </r>
  </si>
  <si>
    <t>https://www.dgiwg.org/FAD/</t>
  </si>
  <si>
    <t>BH192</t>
  </si>
  <si>
    <t>DENAT</t>
  </si>
  <si>
    <t xml:space="preserve">   deliveryPoint</t>
  </si>
  <si>
    <t xml:space="preserve">   city</t>
  </si>
  <si>
    <t xml:space="preserve">   administrativeArea</t>
  </si>
  <si>
    <t xml:space="preserve">   postalCode</t>
  </si>
  <si>
    <t xml:space="preserve">   country</t>
  </si>
  <si>
    <t xml:space="preserve">   electronicMailAddress</t>
  </si>
  <si>
    <t xml:space="preserve">   value</t>
  </si>
  <si>
    <t xml:space="preserve">   reason</t>
  </si>
  <si>
    <t xml:space="preserve">   title</t>
  </si>
  <si>
    <t xml:space="preserve">   alternateTitle</t>
  </si>
  <si>
    <t xml:space="preserve">   date</t>
  </si>
  <si>
    <t xml:space="preserve">   edition</t>
  </si>
  <si>
    <t xml:space="preserve">   editionDate</t>
  </si>
  <si>
    <t xml:space="preserve">   identifier</t>
  </si>
  <si>
    <t xml:space="preserve">   citedResponsibleParty</t>
  </si>
  <si>
    <t xml:space="preserve">   presentationForm</t>
  </si>
  <si>
    <t xml:space="preserve">   series</t>
  </si>
  <si>
    <t xml:space="preserve">   otherCitationDetails</t>
  </si>
  <si>
    <t xml:space="preserve">   collectiveTitle</t>
  </si>
  <si>
    <t xml:space="preserve">   isbn</t>
  </si>
  <si>
    <t xml:space="preserve">   issn</t>
  </si>
  <si>
    <t xml:space="preserve">   phone</t>
  </si>
  <si>
    <t xml:space="preserve">   address</t>
  </si>
  <si>
    <t xml:space="preserve">   onlineResource</t>
  </si>
  <si>
    <t xml:space="preserve">   hoursOfService</t>
  </si>
  <si>
    <t xml:space="preserve">   contactInstructions</t>
  </si>
  <si>
    <t xml:space="preserve">   lowerValue</t>
  </si>
  <si>
    <t xml:space="preserve">   upperValue</t>
  </si>
  <si>
    <t xml:space="preserve">   closure</t>
  </si>
  <si>
    <t xml:space="preserve">   dateType</t>
  </si>
  <si>
    <t xml:space="preserve">   vertDatum</t>
  </si>
  <si>
    <t xml:space="preserve">   accuracy</t>
  </si>
  <si>
    <t xml:space="preserve">   geoDatum</t>
  </si>
  <si>
    <t xml:space="preserve">   horizEvalMethod</t>
  </si>
  <si>
    <t xml:space="preserve">   authority</t>
  </si>
  <si>
    <t xml:space="preserve">   code</t>
  </si>
  <si>
    <t xml:space="preserve">   linkage</t>
  </si>
  <si>
    <t xml:space="preserve">   protocol</t>
  </si>
  <si>
    <t xml:space="preserve">   applicationProfile</t>
  </si>
  <si>
    <t xml:space="preserve">   name</t>
  </si>
  <si>
    <t xml:space="preserve">   description</t>
  </si>
  <si>
    <t xml:space="preserve">   function</t>
  </si>
  <si>
    <t xml:space="preserve">   individualName</t>
  </si>
  <si>
    <t xml:space="preserve">   organisationName</t>
  </si>
  <si>
    <t xml:space="preserve">   positionName</t>
  </si>
  <si>
    <t xml:space="preserve">   contactInfo</t>
  </si>
  <si>
    <t xml:space="preserve">   role</t>
  </si>
  <si>
    <t xml:space="preserve">   issueIdentification</t>
  </si>
  <si>
    <t xml:space="preserve">   page</t>
  </si>
  <si>
    <t xml:space="preserve">   voice</t>
  </si>
  <si>
    <t xml:space="preserve">   facsimile</t>
  </si>
  <si>
    <t xml:space="preserve">   vertEvalMethod</t>
  </si>
  <si>
    <t>Datatype Element
[AlphaCode]</t>
  </si>
  <si>
    <t>Datatype Element Name</t>
  </si>
  <si>
    <r>
      <rPr>
        <b/>
        <sz val="10"/>
        <color rgb="FF0000FF"/>
        <rFont val="Arial"/>
        <family val="2"/>
      </rPr>
      <t>Datatype and Type</t>
    </r>
    <r>
      <rPr>
        <b/>
        <sz val="10"/>
        <color indexed="48"/>
        <rFont val="Arial"/>
        <family val="2"/>
      </rPr>
      <t xml:space="preserve"> </t>
    </r>
    <r>
      <rPr>
        <b/>
        <sz val="10"/>
        <color rgb="FF0000FF"/>
        <rFont val="Arial"/>
        <family val="2"/>
      </rPr>
      <t>Specification</t>
    </r>
  </si>
  <si>
    <t>Non-comparable
Unit of Measure</t>
  </si>
  <si>
    <t>Datatype Element Datatype</t>
  </si>
  <si>
    <t>Datatype and Type Specification</t>
  </si>
  <si>
    <r>
      <t>Indicates whether the concept is profiled from the DFDD proper, or the DFDD US National Extensions</t>
    </r>
    <r>
      <rPr>
        <sz val="10"/>
        <rFont val="Arial"/>
        <family val="2"/>
      </rPr>
      <t>.</t>
    </r>
  </si>
  <si>
    <t>Datatype         Multiplicity</t>
  </si>
  <si>
    <t>An alternative textual value that is used to denote this domain member in data interchange outside of the scope of the register.</t>
  </si>
  <si>
    <t xml:space="preserve">A textual value specifying the number of discrete domain values that may be assigned to the attribute concept. The default value is 1. </t>
  </si>
  <si>
    <t>Identifies the Datatype of the Datatype Element.</t>
  </si>
  <si>
    <t>Datatype
Multiplicity</t>
  </si>
  <si>
    <t>Datatype          Collection</t>
  </si>
  <si>
    <t>Datatype
Collection</t>
  </si>
  <si>
    <t>A compact and human-readable designator that, if the field is not directly encodable using a data primitive, is used to denote the datatype concept and is intended for information processing.</t>
  </si>
  <si>
    <r>
      <t>This is either a description of the datatype (</t>
    </r>
    <r>
      <rPr>
        <i/>
        <sz val="10"/>
        <rFont val="Arial"/>
        <family val="2"/>
      </rPr>
      <t>e.g.,</t>
    </r>
    <r>
      <rPr>
        <sz val="10"/>
        <rFont val="Arial"/>
        <family val="2"/>
      </rPr>
      <t xml:space="preserve"> "StructuredText") or is hyperlinked to its specification elsewhere in the </t>
    </r>
    <r>
      <rPr>
        <b/>
        <sz val="10"/>
        <color indexed="12"/>
        <rFont val="Arial"/>
        <family val="2"/>
      </rPr>
      <t>Datatypes</t>
    </r>
    <r>
      <rPr>
        <sz val="10"/>
        <rFont val="Arial"/>
        <family val="2"/>
      </rPr>
      <t xml:space="preserve"> tab/sheet.
- In the case that the datatype domain is a set of Listed Values (enumerants) then the specification is hyperlinked (in </t>
    </r>
    <r>
      <rPr>
        <sz val="10"/>
        <color indexed="17"/>
        <rFont val="Arial"/>
        <family val="2"/>
      </rPr>
      <t>green</t>
    </r>
    <r>
      <rPr>
        <sz val="10"/>
        <rFont val="Arial"/>
        <family val="2"/>
      </rPr>
      <t xml:space="preserve">) to that set in the </t>
    </r>
    <r>
      <rPr>
        <b/>
        <sz val="10"/>
        <color indexed="12"/>
        <rFont val="Arial"/>
        <family val="2"/>
      </rPr>
      <t>DatatypeListedValues</t>
    </r>
    <r>
      <rPr>
        <sz val="10"/>
        <rFont val="Arial"/>
        <family val="2"/>
      </rPr>
      <t xml:space="preserve"> tab/sheet.
- In the case that the datatype field is directly encodable using a standard representation (</t>
    </r>
    <r>
      <rPr>
        <i/>
        <sz val="10"/>
        <rFont val="Arial"/>
        <family val="2"/>
      </rPr>
      <t>e.g.,</t>
    </r>
    <r>
      <rPr>
        <sz val="10"/>
        <rFont val="Arial"/>
        <family val="2"/>
      </rPr>
      <t xml:space="preserve"> an IEEE 8-byte floating point data element) then the Note field specifies additional information.</t>
    </r>
  </si>
  <si>
    <t>A textual value that is used to denote the Datatype Element.</t>
  </si>
  <si>
    <t>NGFCD Identifier</t>
  </si>
  <si>
    <t>NGFCD
Identifier</t>
  </si>
  <si>
    <t>[Column H]</t>
  </si>
  <si>
    <t>[Hidden column used to construct full URI for the item in the online information resource.]</t>
  </si>
  <si>
    <t>[Column P]</t>
  </si>
  <si>
    <t>[Column T]</t>
  </si>
  <si>
    <t>[Column K]</t>
  </si>
  <si>
    <t>[Column I]</t>
  </si>
  <si>
    <t>acceleration_metrePerSecondSquare</t>
  </si>
  <si>
    <t>acceleration_gal</t>
  </si>
  <si>
    <t>acceleration_milligal</t>
  </si>
  <si>
    <t>acceleration_footPerSecondSquare</t>
  </si>
  <si>
    <t>amountOfSubstance_mole</t>
  </si>
  <si>
    <t>area_squareMetre</t>
  </si>
  <si>
    <t>area_squareKilometre</t>
  </si>
  <si>
    <t>area_hectare</t>
  </si>
  <si>
    <t>area_squareDecametre</t>
  </si>
  <si>
    <t>area_squareDecimetre</t>
  </si>
  <si>
    <t>area_squareCentimetre</t>
  </si>
  <si>
    <t>area_squareMillimetre</t>
  </si>
  <si>
    <t>area_squareStatuteMile</t>
  </si>
  <si>
    <t>area_acre</t>
  </si>
  <si>
    <t>area_squareYard</t>
  </si>
  <si>
    <t>area_squareFoot</t>
  </si>
  <si>
    <t>area_squareInch</t>
  </si>
  <si>
    <t>capacitance_farad</t>
  </si>
  <si>
    <t>capacitance_microfarad</t>
  </si>
  <si>
    <t>capacitance_nanofarad</t>
  </si>
  <si>
    <t>capacitance_picofarad</t>
  </si>
  <si>
    <t>electricCharge_coulomb</t>
  </si>
  <si>
    <t>electricCharge_millicoulomb</t>
  </si>
  <si>
    <t>electricCharge_microcoulomb</t>
  </si>
  <si>
    <t>electricCharge_nanocoulomb</t>
  </si>
  <si>
    <t>electricConductance_siemens</t>
  </si>
  <si>
    <t>electricConductance_millisiemens</t>
  </si>
  <si>
    <t>electricConductance_microsiemens</t>
  </si>
  <si>
    <t>electricConductivity_siemensPerCentimetre</t>
  </si>
  <si>
    <t>electricConductivity_siemensPerMetre</t>
  </si>
  <si>
    <t>electricConductivity_microsiemensPerCentimetre</t>
  </si>
  <si>
    <t>electricConductivity_microsiemensPerMetre</t>
  </si>
  <si>
    <t>electricConductivity_siemensPerInch</t>
  </si>
  <si>
    <t>electricConductivity_siemensPerFoot</t>
  </si>
  <si>
    <t>electricConductivity_microsiemensPerInch</t>
  </si>
  <si>
    <t>electricConductivity_microsiemensPerFoot</t>
  </si>
  <si>
    <t>electricCurrent_kiloampere</t>
  </si>
  <si>
    <t>electricCurrent_ampere</t>
  </si>
  <si>
    <t>electricCurrent_milliampere</t>
  </si>
  <si>
    <t>electricCurrent_microampere</t>
  </si>
  <si>
    <t>electricResistance_megaohm</t>
  </si>
  <si>
    <t>electricResistance_kilohm</t>
  </si>
  <si>
    <t>electricResistance_ohm</t>
  </si>
  <si>
    <t>electricResistivity_ohmMetre</t>
  </si>
  <si>
    <t>electricResistivity_ohmCentimetre</t>
  </si>
  <si>
    <t xml:space="preserve">electricResistivity_ohmFoot </t>
  </si>
  <si>
    <t xml:space="preserve">electricResistivity_ohmInch </t>
  </si>
  <si>
    <t>electromotiveForce_kilovolt</t>
  </si>
  <si>
    <t>electromotiveForce_volt</t>
  </si>
  <si>
    <t>electromotiveForce_millivolt</t>
  </si>
  <si>
    <t>electromotiveForce_microvolt</t>
  </si>
  <si>
    <t>energy_kilojoule</t>
  </si>
  <si>
    <t>energy_joule</t>
  </si>
  <si>
    <t>energy_erg</t>
  </si>
  <si>
    <t>energy_thermochemicalCalorie</t>
  </si>
  <si>
    <t>energy_electronVolt</t>
  </si>
  <si>
    <t>energy_kilogramForceMetre</t>
  </si>
  <si>
    <t>energy_footPoundForce</t>
  </si>
  <si>
    <t>energy_megawattHour</t>
  </si>
  <si>
    <t>energy_kilowattHour</t>
  </si>
  <si>
    <t>energy_wattHour</t>
  </si>
  <si>
    <t>force_kilopoundForce</t>
  </si>
  <si>
    <t>force_kilogramForce</t>
  </si>
  <si>
    <t>force_poundForce</t>
  </si>
  <si>
    <t>force_newton</t>
  </si>
  <si>
    <t>force_dyne</t>
  </si>
  <si>
    <t>frequency_gigahertz</t>
  </si>
  <si>
    <t>frequency_megahertz</t>
  </si>
  <si>
    <t>frequency_kilohertz</t>
  </si>
  <si>
    <t>frequency_hertz</t>
  </si>
  <si>
    <t>geopotentialEnergyLength_geopotentialMetre</t>
  </si>
  <si>
    <t>illuminance_lux</t>
  </si>
  <si>
    <t>illuminance_kilolux</t>
  </si>
  <si>
    <t>illuminance_millilux</t>
  </si>
  <si>
    <t>inductance_henry</t>
  </si>
  <si>
    <t>inductance_microhenry</t>
  </si>
  <si>
    <t>irradiance_wattPerSquareMetre</t>
  </si>
  <si>
    <t>irradiance_ergsPerSqCmPerSecond</t>
  </si>
  <si>
    <t>length_metre</t>
  </si>
  <si>
    <t>length_hectokilometre</t>
  </si>
  <si>
    <t>length_decakilometre</t>
  </si>
  <si>
    <t>length_kilometre</t>
  </si>
  <si>
    <t>length_hectometre</t>
  </si>
  <si>
    <t>length_halfHectometre</t>
  </si>
  <si>
    <t>length_decametre</t>
  </si>
  <si>
    <t>length_halfMetre</t>
  </si>
  <si>
    <t>length_decimetre</t>
  </si>
  <si>
    <t>length_centimetre</t>
  </si>
  <si>
    <t>length_millimetre</t>
  </si>
  <si>
    <t>length_micrometre</t>
  </si>
  <si>
    <t>length_nanometre</t>
  </si>
  <si>
    <t>length_picometre</t>
  </si>
  <si>
    <t>length_nauticalMile</t>
  </si>
  <si>
    <t>length_deciNauticalMile</t>
  </si>
  <si>
    <t>length_statuteMile</t>
  </si>
  <si>
    <t>length_dataMile</t>
  </si>
  <si>
    <t>length_kiloyard</t>
  </si>
  <si>
    <t>length_kilofoot</t>
  </si>
  <si>
    <t>length_hectofoot</t>
  </si>
  <si>
    <t>length_decafoot</t>
  </si>
  <si>
    <t>length_yard</t>
  </si>
  <si>
    <t>length_foot</t>
  </si>
  <si>
    <t>length_halfFoot</t>
  </si>
  <si>
    <t>length_decifoot</t>
  </si>
  <si>
    <t>length_inch</t>
  </si>
  <si>
    <t>length_fathom</t>
  </si>
  <si>
    <t>length_usSurveyMile</t>
  </si>
  <si>
    <t>length_usSurveyFoot</t>
  </si>
  <si>
    <t>length_astronomicUnit</t>
  </si>
  <si>
    <t>linearDensity_metrePerSquareMetre</t>
  </si>
  <si>
    <t>linearDensity_kilometrePerSquareKilometre</t>
  </si>
  <si>
    <t>linearEnergyTransfer_joulePerMetre</t>
  </si>
  <si>
    <t>linearEnergyTransfer_joulePerKilometre</t>
  </si>
  <si>
    <t>luminousFlux_lumen</t>
  </si>
  <si>
    <t>luminousIntensity_candela</t>
  </si>
  <si>
    <t>magneticFlux_weber</t>
  </si>
  <si>
    <t>magneticFlux_milliweber</t>
  </si>
  <si>
    <t>magneticFlux_microweber</t>
  </si>
  <si>
    <t>magneticFlux_nanoweber</t>
  </si>
  <si>
    <t>magneticFluxDensity_tesla</t>
  </si>
  <si>
    <t>magneticFluxDensity_nanotesla</t>
  </si>
  <si>
    <t>magneticFluxDensity_gauss</t>
  </si>
  <si>
    <t>magneticFluxDensityGradient_teslaPerMetre</t>
  </si>
  <si>
    <t>magneticFluxDensityGradient_nanoteslaPerMetre</t>
  </si>
  <si>
    <t>mass_tonne</t>
  </si>
  <si>
    <t>mass_kilogram</t>
  </si>
  <si>
    <t>mass_gram</t>
  </si>
  <si>
    <t>mass_milligram</t>
  </si>
  <si>
    <t>mass_microgram</t>
  </si>
  <si>
    <t>mass_longTon</t>
  </si>
  <si>
    <t>mass_shortTon</t>
  </si>
  <si>
    <t>mass_pound</t>
  </si>
  <si>
    <t>mass_ounce</t>
  </si>
  <si>
    <t>mass_unifiedAtomicMassUnit</t>
  </si>
  <si>
    <t>mass_kilopound</t>
  </si>
  <si>
    <t>massDensity_tonnePerCubicMetre</t>
  </si>
  <si>
    <t>massDensity_kilogramPerCubicMetre</t>
  </si>
  <si>
    <t>massDensity_gramPerLitre</t>
  </si>
  <si>
    <t>massDensity_gramPerCubicMetre</t>
  </si>
  <si>
    <t>massDensity_kilogramPerLitre</t>
  </si>
  <si>
    <t>massDensity_gramPerCubicCentimetre</t>
  </si>
  <si>
    <t>massDensity_microgramPerCubicMetre</t>
  </si>
  <si>
    <t>massFraction_kilogramPerKilogram</t>
  </si>
  <si>
    <t>massFraction_gramPerKilogram</t>
  </si>
  <si>
    <t>massFraction_gramPerGram</t>
  </si>
  <si>
    <t>massRate_kilogramPerSecond</t>
  </si>
  <si>
    <t>massRate_tonnePerHour</t>
  </si>
  <si>
    <t>massRate_tonnePerAnnum</t>
  </si>
  <si>
    <t>massRate_tonnePerDay</t>
  </si>
  <si>
    <t>monetaryUnit_usDollar</t>
  </si>
  <si>
    <t>monetaryUnit_euro</t>
  </si>
  <si>
    <t>monetaryUnit_poundSterling</t>
  </si>
  <si>
    <t>noncomparable_flightLevel</t>
  </si>
  <si>
    <t>noncomparable_militaryLoadClass</t>
  </si>
  <si>
    <t>planeAngle_radian</t>
  </si>
  <si>
    <t>planeAngle_arcDecadegree</t>
  </si>
  <si>
    <t>planeAngle_arcQuintdegree</t>
  </si>
  <si>
    <t>planeAngle_arcDegree</t>
  </si>
  <si>
    <t>planeAngle_arcDecidegree</t>
  </si>
  <si>
    <t>planeAngle_arcCentidegree</t>
  </si>
  <si>
    <t>planeAngle_arcMillidegree</t>
  </si>
  <si>
    <t>planeAngle_arcDecimillidegree</t>
  </si>
  <si>
    <t>planeAngle_arcCentimilllidegree</t>
  </si>
  <si>
    <t>planeAngle_arcMicrodegree</t>
  </si>
  <si>
    <t>planeAngle_arcMinute</t>
  </si>
  <si>
    <t>planeAngle_arcDeciminute</t>
  </si>
  <si>
    <t>planeAngle_arcCentiminute</t>
  </si>
  <si>
    <t>planeAngle_arcMilliminute</t>
  </si>
  <si>
    <t>planeAngle_arcDecimilliminute</t>
  </si>
  <si>
    <t>planeAngle_arcSecond</t>
  </si>
  <si>
    <t>planeAngle_arcDecisecond</t>
  </si>
  <si>
    <t>planeAngle_arcCentisecond</t>
  </si>
  <si>
    <t>planeAngle_arcMillisecond</t>
  </si>
  <si>
    <t>planeAngle_grad</t>
  </si>
  <si>
    <t>planeAngle_hectomil</t>
  </si>
  <si>
    <t>planeAngle_decamil</t>
  </si>
  <si>
    <t>planeAngle_mil</t>
  </si>
  <si>
    <t>planeAngle_millimil</t>
  </si>
  <si>
    <t>power_megawatt</t>
  </si>
  <si>
    <t>power_kilowatt</t>
  </si>
  <si>
    <t>power_watt</t>
  </si>
  <si>
    <t>power_milliwatt</t>
  </si>
  <si>
    <t>power_microwatt</t>
  </si>
  <si>
    <t>power_horsepowerElectric</t>
  </si>
  <si>
    <t>power_horsepowerMechanic</t>
  </si>
  <si>
    <t>power_horsepowerMetric</t>
  </si>
  <si>
    <t>power_kgForceMetrePerSecond</t>
  </si>
  <si>
    <t>power_footPoundForcePerSecond</t>
  </si>
  <si>
    <t>power_gigajoulePerAnnum</t>
  </si>
  <si>
    <t>power_kilowattHourPerAnnum</t>
  </si>
  <si>
    <t>power_voltAmpere</t>
  </si>
  <si>
    <t>power_kilovoltAmpere</t>
  </si>
  <si>
    <t>powerLevelDifference_neper</t>
  </si>
  <si>
    <t>powerLevelDifference_bel</t>
  </si>
  <si>
    <t>powerLevelDifference_decibel</t>
  </si>
  <si>
    <t>powerLevelDiffLenGradient_neperPerMetre</t>
  </si>
  <si>
    <t>powerLevelDiffLenGradient_belPerMetre</t>
  </si>
  <si>
    <t>powerLevelDiffLenGradient_decibelPerMetre</t>
  </si>
  <si>
    <t>pressure_megaPascal</t>
  </si>
  <si>
    <t>pressure_kiloPascal</t>
  </si>
  <si>
    <t>pressure_hectoPascal</t>
  </si>
  <si>
    <t>pressure_pascal</t>
  </si>
  <si>
    <t>pressure_kilobar</t>
  </si>
  <si>
    <t>pressure_bar</t>
  </si>
  <si>
    <t>pressure_centibar</t>
  </si>
  <si>
    <t>pressure_millibar</t>
  </si>
  <si>
    <t>pressure_standardAtmosphere</t>
  </si>
  <si>
    <t>pressure_kilogramForcePerSquareMetre</t>
  </si>
  <si>
    <t>pressure_poundForcePerSquareInch</t>
  </si>
  <si>
    <t>pressure_torr</t>
  </si>
  <si>
    <t>pressure_millimetresOfMercury</t>
  </si>
  <si>
    <t>pureNumber_unitless</t>
  </si>
  <si>
    <t>pureNumber_ratio</t>
  </si>
  <si>
    <t>pureNumber_percent</t>
  </si>
  <si>
    <t>pureNumber_partsPerMillion</t>
  </si>
  <si>
    <t>pureNumber_partsPerBillion</t>
  </si>
  <si>
    <t>pureNumber_partsPerThousand</t>
  </si>
  <si>
    <t>pureNumber_partsPerTrillion</t>
  </si>
  <si>
    <t>radiationAbsorbedDose_gray</t>
  </si>
  <si>
    <t>radiationAbsorbedDose_radiationAbsorbedDose</t>
  </si>
  <si>
    <t>radiationDoseEquivalent_sievert</t>
  </si>
  <si>
    <t>radiationDoseEquivalent_rontgenEquivalentMan</t>
  </si>
  <si>
    <t>radionuclideActivity_gigabecquerel</t>
  </si>
  <si>
    <t>radionuclideActivity_megabecquerel</t>
  </si>
  <si>
    <t>radionuclideActivity_kilobecquerel</t>
  </si>
  <si>
    <t>radionuclideActivity_becquerel</t>
  </si>
  <si>
    <t>rate_perSecond</t>
  </si>
  <si>
    <t>rate_perMinute</t>
  </si>
  <si>
    <t>rate_perHour</t>
  </si>
  <si>
    <t>rate_perDay</t>
  </si>
  <si>
    <t>rate_perAnnum</t>
  </si>
  <si>
    <t>rate_percentPerAnnum</t>
  </si>
  <si>
    <t>rate_partsPerThousandPerAnnum</t>
  </si>
  <si>
    <t>reciprocalArea_perSquareMetre</t>
  </si>
  <si>
    <t>reciprocalArea_perSquareKilometre</t>
  </si>
  <si>
    <t>reciprocalArea_perSquareStatuteMile</t>
  </si>
  <si>
    <t>reciprocalTime_reciprocalSecond</t>
  </si>
  <si>
    <t>reciprocalTime_reciprocalMinute</t>
  </si>
  <si>
    <t>reciprocalTime_reciprocalHour</t>
  </si>
  <si>
    <t>reciprocalTime_reciprocalDay</t>
  </si>
  <si>
    <t>reciprocalTime_reciprocalYear</t>
  </si>
  <si>
    <t>solidAngle_steradian</t>
  </si>
  <si>
    <t>soundSpeedRatio_machNumber</t>
  </si>
  <si>
    <t>soundSpeedRatio_deciMachNumber</t>
  </si>
  <si>
    <t>speed_metrePerSecond</t>
  </si>
  <si>
    <t>speed_decimetrePerSecond</t>
  </si>
  <si>
    <t>speed_kilometrePerHour</t>
  </si>
  <si>
    <t>speed_hectometrePerHour</t>
  </si>
  <si>
    <t>speed_decaknot</t>
  </si>
  <si>
    <t>speed_knot</t>
  </si>
  <si>
    <t>speed_statuteMilePerHour</t>
  </si>
  <si>
    <t>speed_footPerSecond</t>
  </si>
  <si>
    <t>speed_dataMilePerHour</t>
  </si>
  <si>
    <t>speed_kilometrePerDay</t>
  </si>
  <si>
    <t>speed_metrePerDay</t>
  </si>
  <si>
    <t>speed_millimetrePerDay</t>
  </si>
  <si>
    <t>speed_millimetrePerHour</t>
  </si>
  <si>
    <t>surfaceMassDensityRate_kilogramPerSqMetreSecond</t>
  </si>
  <si>
    <t>surfaceMassDensityRate_microgramPerSqMetreSecond</t>
  </si>
  <si>
    <t>thermodynamicTemperature_kelvin</t>
  </si>
  <si>
    <t>thermodynamicTemperature_degreeCelsius</t>
  </si>
  <si>
    <t>thermodynamicTemperature_degreeFahrenheit</t>
  </si>
  <si>
    <t>time_tropicalYear</t>
  </si>
  <si>
    <t>time_siderealYear</t>
  </si>
  <si>
    <t>time_week</t>
  </si>
  <si>
    <t>time_day</t>
  </si>
  <si>
    <t>time_hour</t>
  </si>
  <si>
    <t>time_minute</t>
  </si>
  <si>
    <t>time_second</t>
  </si>
  <si>
    <t>time_millisecond</t>
  </si>
  <si>
    <t>volume_cubicMetre</t>
  </si>
  <si>
    <t>volume_cubicDecimetre</t>
  </si>
  <si>
    <t>volume_cubicCentimetre</t>
  </si>
  <si>
    <t>volume_cubicMillimetre</t>
  </si>
  <si>
    <t>volume_cubicYard</t>
  </si>
  <si>
    <t>volume_cubicFoot</t>
  </si>
  <si>
    <t>volume_cubicInch</t>
  </si>
  <si>
    <t>volume_litre</t>
  </si>
  <si>
    <t>volume_decilitre</t>
  </si>
  <si>
    <t>volume_millilitre</t>
  </si>
  <si>
    <t>volume_usGallon</t>
  </si>
  <si>
    <t>volume_usQuart</t>
  </si>
  <si>
    <t>volume_usPint</t>
  </si>
  <si>
    <t>volume_usCup</t>
  </si>
  <si>
    <t>volume_usFluidOunce</t>
  </si>
  <si>
    <t>volume_usBarrelOil</t>
  </si>
  <si>
    <t>volumeFlowRate_cubicMetrePerSecond</t>
  </si>
  <si>
    <t>volumeFlowRate_litrePerSecond</t>
  </si>
  <si>
    <t>volumeFlowRate_cubicMetrePerMinute</t>
  </si>
  <si>
    <t>volumeFlowRate_litrePerMinute</t>
  </si>
  <si>
    <t>volumeFlowRate_cubicMetrePerHour</t>
  </si>
  <si>
    <t>volumeFlowRate_litrePerHour</t>
  </si>
  <si>
    <t>volumeFlowRate_cubicMetrePerAnnum</t>
  </si>
  <si>
    <t>volumeFraction_cubicMetrePerCubicMetre</t>
  </si>
  <si>
    <t>[Column J]</t>
  </si>
  <si>
    <t>AbsHorizAccEvalMethodCode_analystEstimate</t>
  </si>
  <si>
    <t>AbsHorizAccEvalMethodCode_digitalProductWithoutMeth</t>
  </si>
  <si>
    <t>AbsHorizAccEvalMethodCode_errorBudgetEvaluation</t>
  </si>
  <si>
    <t>AbsHorizAccEvalMethodCode_evaluationDeferred</t>
  </si>
  <si>
    <t>AbsHorizAccEvalMethodCode_extrapolation</t>
  </si>
  <si>
    <t>AbsHorizAccEvalMethodCode_geodeticSurveyAdequate</t>
  </si>
  <si>
    <t>AbsHorizAccEvalMethodCode_geodeticSurveySmall</t>
  </si>
  <si>
    <t>AbsHorizAccEvalMethodCode_insufficientControl</t>
  </si>
  <si>
    <t>AbsHorizAccEvalMethodCode_insufficientGraticule</t>
  </si>
  <si>
    <t>AbsHorizAccEvalMethodCode_insufficientIdentFeatures</t>
  </si>
  <si>
    <t>AbsHorizAccEvalMethodCode_oldEvaluation</t>
  </si>
  <si>
    <t>AbsHorizAccEvalMethodCode_photogrammAdequate</t>
  </si>
  <si>
    <t>AbsHorizAccEvalMethodCode_photogrammGdasAdequate</t>
  </si>
  <si>
    <t>AbsHorizAccEvalMethodCode_photogrammGdasSmall</t>
  </si>
  <si>
    <t>AbsHorizAccEvalMethodCode_photogrammNonGdasAdequate</t>
  </si>
  <si>
    <t>AbsHorizAccEvalMethodCode_photogrammNonGdasSmall</t>
  </si>
  <si>
    <t>AbsHorizAccEvalMethodCode_photogrammSmall</t>
  </si>
  <si>
    <t>AbsHorizAccEvalMethodCode_photogrammWithBias</t>
  </si>
  <si>
    <t>AbsHorizAccEvalMethodCode_postProductionSampling</t>
  </si>
  <si>
    <t>AbsHorizAccEvalMethodCode_productSpecification</t>
  </si>
  <si>
    <t>AbsHorizAccEvalMethodCode_scaleTooSmall</t>
  </si>
  <si>
    <t>AbsHorizAccEvalMethodCode_sourceAccuracy</t>
  </si>
  <si>
    <t>AbsHorizAccEvalMethodCode_unableToPerformEvaluation</t>
  </si>
  <si>
    <t>AbsVertAccEvalMethodCode_analystEstimate</t>
  </si>
  <si>
    <t>AbsVertAccEvalMethodCode_digitalProductWithoutMeth</t>
  </si>
  <si>
    <t>AbsVertAccEvalMethodCode_errorBudgetEvaluation</t>
  </si>
  <si>
    <t>AbsVertAccEvalMethodCode_evaluationDeferred</t>
  </si>
  <si>
    <t>AbsVertAccEvalMethodCode_extrapolation</t>
  </si>
  <si>
    <t>AbsVertAccEvalMethodCode_geodeticSurveyAdequate</t>
  </si>
  <si>
    <t>AbsVertAccEvalMethodCode_geodeticSurveySmall</t>
  </si>
  <si>
    <t>AbsVertAccEvalMethodCode_insufficientControl</t>
  </si>
  <si>
    <t>AbsVertAccEvalMethodCode_insufficientGraticule</t>
  </si>
  <si>
    <t>AbsVertAccEvalMethodCode_insufficientIdentFeatures</t>
  </si>
  <si>
    <t>AbsVertAccEvalMethodCode_oldEvaluation</t>
  </si>
  <si>
    <t>AbsVertAccEvalMethodCode_photogrammAdequate</t>
  </si>
  <si>
    <t>AbsVertAccEvalMethodCode_photogrammGdasAdequate</t>
  </si>
  <si>
    <t>AbsVertAccEvalMethodCode_photogrammGdasSmall</t>
  </si>
  <si>
    <t>AbsVertAccEvalMethodCode_photogrammNonGdasAdequate</t>
  </si>
  <si>
    <t>AbsVertAccEvalMethodCode_photogrammNonGdasSmall</t>
  </si>
  <si>
    <t>AbsVertAccEvalMethodCode_photogrammSmall</t>
  </si>
  <si>
    <t>AbsVertAccEvalMethodCode_photogrammWithBias</t>
  </si>
  <si>
    <t>AbsVertAccEvalMethodCode_postProductionSampling</t>
  </si>
  <si>
    <t>AbsVertAccEvalMethodCode_productSpecification</t>
  </si>
  <si>
    <t>AbsVertAccEvalMethodCode_scaleTooSmall</t>
  </si>
  <si>
    <t>AbsVertAccEvalMethodCode_sourceAccuracy</t>
  </si>
  <si>
    <t>AbsVertAccEvalMethodCode_unableToPerformEvaluation</t>
  </si>
  <si>
    <t>AccessibilityStatusCode_closed</t>
  </si>
  <si>
    <t>AccessibilityStatusCode_limited</t>
  </si>
  <si>
    <t>AccessibilityStatusCode_locked</t>
  </si>
  <si>
    <t>AccessibilityStatusCode_lockedClosed</t>
  </si>
  <si>
    <t>AccessibilityStatusCode_lockedOpen</t>
  </si>
  <si>
    <t>AccessibilityStatusCode_open</t>
  </si>
  <si>
    <t>AccessibilityStatusCode_restricted</t>
  </si>
  <si>
    <t>AccessibleUtilityTypeCode_cableTelevision</t>
  </si>
  <si>
    <t>AccessibleUtilityTypeCode_coolingFluidCirculation</t>
  </si>
  <si>
    <t>AccessibleUtilityTypeCode_digitalFibreOpticSystem</t>
  </si>
  <si>
    <t>AccessibleUtilityTypeCode_electricPowerDistribution</t>
  </si>
  <si>
    <t>AccessibleUtilityTypeCode_heatingFluidCirculation</t>
  </si>
  <si>
    <t>AccessibleUtilityTypeCode_naturalGasDistribution</t>
  </si>
  <si>
    <t>AccessibleUtilityTypeCode_sewage</t>
  </si>
  <si>
    <t>AccessibleUtilityTypeCode_stormSewer</t>
  </si>
  <si>
    <t>AccessibleUtilityTypeCode_streetLight</t>
  </si>
  <si>
    <t>AccessibleUtilityTypeCode_telegraph</t>
  </si>
  <si>
    <t>AccessibleUtilityTypeCode_telephone</t>
  </si>
  <si>
    <t>AccessibleUtilityTypeCode_trafficLight</t>
  </si>
  <si>
    <t>AccessibleUtilityTypeCode_waterDistribution</t>
  </si>
  <si>
    <t>AccomodationTypeCode_resident</t>
  </si>
  <si>
    <t>AccomodationTypeCode_transient</t>
  </si>
  <si>
    <t>AdminDivisionCode_interSupranational</t>
  </si>
  <si>
    <t>AdminDivisionCode_local</t>
  </si>
  <si>
    <t>AdminDivisionCode_municipal</t>
  </si>
  <si>
    <t>AdminDivisionCode_national</t>
  </si>
  <si>
    <t>AdminDivisionCode_sublocal</t>
  </si>
  <si>
    <t>AdminDivisionCode_subnational</t>
  </si>
  <si>
    <t>AerialRefuelReceiveChanCode_chan001X</t>
  </si>
  <si>
    <t>AerialRefuelReceiveChanCode_chan001Y</t>
  </si>
  <si>
    <t>AerialRefuelReceiveChanCode_chan002X</t>
  </si>
  <si>
    <t>AerialRefuelReceiveChanCode_chan002Y</t>
  </si>
  <si>
    <t>AerialRefuelReceiveChanCode_chan003X</t>
  </si>
  <si>
    <t>AerialRefuelReceiveChanCode_chan003Y</t>
  </si>
  <si>
    <t>AerialRefuelReceiveChanCode_chan004X</t>
  </si>
  <si>
    <t>AerialRefuelReceiveChanCode_chan004Y</t>
  </si>
  <si>
    <t>AerialRefuelReceiveChanCode_chan005X</t>
  </si>
  <si>
    <t>AerialRefuelReceiveChanCode_chan005Y</t>
  </si>
  <si>
    <t>AerialRefuelReceiveChanCode_chan006X</t>
  </si>
  <si>
    <t>AerialRefuelReceiveChanCode_chan006Y</t>
  </si>
  <si>
    <t>AerialRefuelReceiveChanCode_chan007X</t>
  </si>
  <si>
    <t>AerialRefuelReceiveChanCode_chan007Y</t>
  </si>
  <si>
    <t>AerialRefuelReceiveChanCode_chan008X</t>
  </si>
  <si>
    <t>AerialRefuelReceiveChanCode_chan008Y</t>
  </si>
  <si>
    <t>AerialRefuelReceiveChanCode_chan009X</t>
  </si>
  <si>
    <t>AerialRefuelReceiveChanCode_chan009Y</t>
  </si>
  <si>
    <t>AerialRefuelReceiveChanCode_chan010X</t>
  </si>
  <si>
    <t>AerialRefuelReceiveChanCode_chan010Y</t>
  </si>
  <si>
    <t>AerialRefuelReceiveChanCode_chan011X</t>
  </si>
  <si>
    <t>AerialRefuelReceiveChanCode_chan011Y</t>
  </si>
  <si>
    <t>AerialRefuelReceiveChanCode_chan012X</t>
  </si>
  <si>
    <t>AerialRefuelReceiveChanCode_chan012Y</t>
  </si>
  <si>
    <t>AerialRefuelReceiveChanCode_chan013X</t>
  </si>
  <si>
    <t>AerialRefuelReceiveChanCode_chan013Y</t>
  </si>
  <si>
    <t>AerialRefuelReceiveChanCode_chan014X</t>
  </si>
  <si>
    <t>AerialRefuelReceiveChanCode_chan014Y</t>
  </si>
  <si>
    <t>AerialRefuelReceiveChanCode_chan015X</t>
  </si>
  <si>
    <t>AerialRefuelReceiveChanCode_chan015Y</t>
  </si>
  <si>
    <t>AerialRefuelReceiveChanCode_chan016X</t>
  </si>
  <si>
    <t>AerialRefuelReceiveChanCode_chan016Y</t>
  </si>
  <si>
    <t>AerialRefuelReceiveChanCode_chan017X</t>
  </si>
  <si>
    <t>AerialRefuelReceiveChanCode_chan017Y</t>
  </si>
  <si>
    <t>AerialRefuelReceiveChanCode_chan017Z</t>
  </si>
  <si>
    <t>AerialRefuelReceiveChanCode_chan018W</t>
  </si>
  <si>
    <t>AerialRefuelReceiveChanCode_chan018X</t>
  </si>
  <si>
    <t>AerialRefuelReceiveChanCode_chan018Y</t>
  </si>
  <si>
    <t>AerialRefuelReceiveChanCode_chan018Z</t>
  </si>
  <si>
    <t>AerialRefuelReceiveChanCode_chan019X</t>
  </si>
  <si>
    <t>AerialRefuelReceiveChanCode_chan019Y</t>
  </si>
  <si>
    <t>AerialRefuelReceiveChanCode_chan019Z</t>
  </si>
  <si>
    <t>AerialRefuelReceiveChanCode_chan020W</t>
  </si>
  <si>
    <t>AerialRefuelReceiveChanCode_chan020X</t>
  </si>
  <si>
    <t>AerialRefuelReceiveChanCode_chan020Y</t>
  </si>
  <si>
    <t>AerialRefuelReceiveChanCode_chan020Z</t>
  </si>
  <si>
    <t>AerialRefuelReceiveChanCode_chan021X</t>
  </si>
  <si>
    <t>AerialRefuelReceiveChanCode_chan021Y</t>
  </si>
  <si>
    <t>AerialRefuelReceiveChanCode_chan021Z</t>
  </si>
  <si>
    <t>AerialRefuelReceiveChanCode_chan022W</t>
  </si>
  <si>
    <t>AerialRefuelReceiveChanCode_chan022X</t>
  </si>
  <si>
    <t>AerialRefuelReceiveChanCode_chan022Y</t>
  </si>
  <si>
    <t>AerialRefuelReceiveChanCode_chan022Z</t>
  </si>
  <si>
    <t>AerialRefuelReceiveChanCode_chan023X</t>
  </si>
  <si>
    <t>AerialRefuelReceiveChanCode_chan023Y</t>
  </si>
  <si>
    <t>AerialRefuelReceiveChanCode_chan023Z</t>
  </si>
  <si>
    <t>AerialRefuelReceiveChanCode_chan024W</t>
  </si>
  <si>
    <t>AerialRefuelReceiveChanCode_chan024X</t>
  </si>
  <si>
    <t>AerialRefuelReceiveChanCode_chan024Y</t>
  </si>
  <si>
    <t>AerialRefuelReceiveChanCode_chan024Z</t>
  </si>
  <si>
    <t>AerialRefuelReceiveChanCode_chan025X</t>
  </si>
  <si>
    <t>AerialRefuelReceiveChanCode_chan025Y</t>
  </si>
  <si>
    <t>AerialRefuelReceiveChanCode_chan025Z</t>
  </si>
  <si>
    <t>AerialRefuelReceiveChanCode_chan026W</t>
  </si>
  <si>
    <t>AerialRefuelReceiveChanCode_chan026X</t>
  </si>
  <si>
    <t>AerialRefuelReceiveChanCode_chan026Y</t>
  </si>
  <si>
    <t>AerialRefuelReceiveChanCode_chan026Z</t>
  </si>
  <si>
    <t>AerialRefuelReceiveChanCode_chan027X</t>
  </si>
  <si>
    <t>AerialRefuelReceiveChanCode_chan027Y</t>
  </si>
  <si>
    <t>AerialRefuelReceiveChanCode_chan027Z</t>
  </si>
  <si>
    <t>AerialRefuelReceiveChanCode_chan028W</t>
  </si>
  <si>
    <t>AerialRefuelReceiveChanCode_chan028X</t>
  </si>
  <si>
    <t>AerialRefuelReceiveChanCode_chan028Y</t>
  </si>
  <si>
    <t>AerialRefuelReceiveChanCode_chan028Z</t>
  </si>
  <si>
    <t>AerialRefuelReceiveChanCode_chan029X</t>
  </si>
  <si>
    <t>AerialRefuelReceiveChanCode_chan029Y</t>
  </si>
  <si>
    <t>AerialRefuelReceiveChanCode_chan029Z</t>
  </si>
  <si>
    <t>AerialRefuelReceiveChanCode_chan030W</t>
  </si>
  <si>
    <t>AerialRefuelReceiveChanCode_chan030X</t>
  </si>
  <si>
    <t>AerialRefuelReceiveChanCode_chan030Y</t>
  </si>
  <si>
    <t>AerialRefuelReceiveChanCode_chan030Z</t>
  </si>
  <si>
    <t>AerialRefuelReceiveChanCode_chan031X</t>
  </si>
  <si>
    <t>AerialRefuelReceiveChanCode_chan031Y</t>
  </si>
  <si>
    <t>AerialRefuelReceiveChanCode_chan031Z</t>
  </si>
  <si>
    <t>AerialRefuelReceiveChanCode_chan032W</t>
  </si>
  <si>
    <t>AerialRefuelReceiveChanCode_chan032X</t>
  </si>
  <si>
    <t>AerialRefuelReceiveChanCode_chan032Y</t>
  </si>
  <si>
    <t>AerialRefuelReceiveChanCode_chan032Z</t>
  </si>
  <si>
    <t>AerialRefuelReceiveChanCode_chan033X</t>
  </si>
  <si>
    <t>AerialRefuelReceiveChanCode_chan033Y</t>
  </si>
  <si>
    <t>AerialRefuelReceiveChanCode_chan033Z</t>
  </si>
  <si>
    <t>AerialRefuelReceiveChanCode_chan034W</t>
  </si>
  <si>
    <t>AerialRefuelReceiveChanCode_chan034X</t>
  </si>
  <si>
    <t>AerialRefuelReceiveChanCode_chan034Y</t>
  </si>
  <si>
    <t>AerialRefuelReceiveChanCode_chan034Z</t>
  </si>
  <si>
    <t>AerialRefuelReceiveChanCode_chan035X</t>
  </si>
  <si>
    <t>AerialRefuelReceiveChanCode_chan035Y</t>
  </si>
  <si>
    <t>AerialRefuelReceiveChanCode_chan035Z</t>
  </si>
  <si>
    <t>AerialRefuelReceiveChanCode_chan036W</t>
  </si>
  <si>
    <t>AerialRefuelReceiveChanCode_chan036X</t>
  </si>
  <si>
    <t>AerialRefuelReceiveChanCode_chan036Y</t>
  </si>
  <si>
    <t>AerialRefuelReceiveChanCode_chan036Z</t>
  </si>
  <si>
    <t>AerialRefuelReceiveChanCode_chan037X</t>
  </si>
  <si>
    <t>AerialRefuelReceiveChanCode_chan037Y</t>
  </si>
  <si>
    <t>AerialRefuelReceiveChanCode_chan037Z</t>
  </si>
  <si>
    <t>AerialRefuelReceiveChanCode_chan038W</t>
  </si>
  <si>
    <t>AerialRefuelReceiveChanCode_chan038X</t>
  </si>
  <si>
    <t>AerialRefuelReceiveChanCode_chan038Y</t>
  </si>
  <si>
    <t>AerialRefuelReceiveChanCode_chan038Z</t>
  </si>
  <si>
    <t>AerialRefuelReceiveChanCode_chan039X</t>
  </si>
  <si>
    <t>AerialRefuelReceiveChanCode_chan039Y</t>
  </si>
  <si>
    <t>AerialRefuelReceiveChanCode_chan039Z</t>
  </si>
  <si>
    <t>AerialRefuelReceiveChanCode_chan040W</t>
  </si>
  <si>
    <t>AerialRefuelReceiveChanCode_chan040X</t>
  </si>
  <si>
    <t>AerialRefuelReceiveChanCode_chan040Y</t>
  </si>
  <si>
    <t>AerialRefuelReceiveChanCode_chan040Z</t>
  </si>
  <si>
    <t>AerialRefuelReceiveChanCode_chan041X</t>
  </si>
  <si>
    <t>AerialRefuelReceiveChanCode_chan041Y</t>
  </si>
  <si>
    <t>AerialRefuelReceiveChanCode_chan041Z</t>
  </si>
  <si>
    <t>AerialRefuelReceiveChanCode_chan042W</t>
  </si>
  <si>
    <t>AerialRefuelReceiveChanCode_chan042X</t>
  </si>
  <si>
    <t>AerialRefuelReceiveChanCode_chan042Y</t>
  </si>
  <si>
    <t>AerialRefuelReceiveChanCode_chan042Z</t>
  </si>
  <si>
    <t>AerialRefuelReceiveChanCode_chan043X</t>
  </si>
  <si>
    <t>AerialRefuelReceiveChanCode_chan043Y</t>
  </si>
  <si>
    <t>AerialRefuelReceiveChanCode_chan043Z</t>
  </si>
  <si>
    <t>AerialRefuelReceiveChanCode_chan044W</t>
  </si>
  <si>
    <t>AerialRefuelReceiveChanCode_chan044X</t>
  </si>
  <si>
    <t>AerialRefuelReceiveChanCode_chan044Y</t>
  </si>
  <si>
    <t>AerialRefuelReceiveChanCode_chan044Z</t>
  </si>
  <si>
    <t>AerialRefuelReceiveChanCode_chan045X</t>
  </si>
  <si>
    <t>AerialRefuelReceiveChanCode_chan045Y</t>
  </si>
  <si>
    <t>AerialRefuelReceiveChanCode_chan045Z</t>
  </si>
  <si>
    <t>AerialRefuelReceiveChanCode_chan046W</t>
  </si>
  <si>
    <t>AerialRefuelReceiveChanCode_chan046X</t>
  </si>
  <si>
    <t>AerialRefuelReceiveChanCode_chan046Y</t>
  </si>
  <si>
    <t>AerialRefuelReceiveChanCode_chan046Z</t>
  </si>
  <si>
    <t>AerialRefuelReceiveChanCode_chan047X</t>
  </si>
  <si>
    <t>AerialRefuelReceiveChanCode_chan047Y</t>
  </si>
  <si>
    <t>AerialRefuelReceiveChanCode_chan047Z</t>
  </si>
  <si>
    <t>AerialRefuelReceiveChanCode_chan048W</t>
  </si>
  <si>
    <t>AerialRefuelReceiveChanCode_chan048X</t>
  </si>
  <si>
    <t>AerialRefuelReceiveChanCode_chan048Y</t>
  </si>
  <si>
    <t>AerialRefuelReceiveChanCode_chan048Z</t>
  </si>
  <si>
    <t>AerialRefuelReceiveChanCode_chan049X</t>
  </si>
  <si>
    <t>AerialRefuelReceiveChanCode_chan049Y</t>
  </si>
  <si>
    <t>AerialRefuelReceiveChanCode_chan049Z</t>
  </si>
  <si>
    <t>AerialRefuelReceiveChanCode_chan050W</t>
  </si>
  <si>
    <t>AerialRefuelReceiveChanCode_chan050X</t>
  </si>
  <si>
    <t>AerialRefuelReceiveChanCode_chan050Y</t>
  </si>
  <si>
    <t>AerialRefuelReceiveChanCode_chan050Z</t>
  </si>
  <si>
    <t>AerialRefuelReceiveChanCode_chan051X</t>
  </si>
  <si>
    <t>AerialRefuelReceiveChanCode_chan051Y</t>
  </si>
  <si>
    <t>AerialRefuelReceiveChanCode_chan051Z</t>
  </si>
  <si>
    <t>AerialRefuelReceiveChanCode_chan052W</t>
  </si>
  <si>
    <t>AerialRefuelReceiveChanCode_chan052X</t>
  </si>
  <si>
    <t>AerialRefuelReceiveChanCode_chan052Y</t>
  </si>
  <si>
    <t>AerialRefuelReceiveChanCode_chan052Z</t>
  </si>
  <si>
    <t>AerialRefuelReceiveChanCode_chan053X</t>
  </si>
  <si>
    <t>AerialRefuelReceiveChanCode_chan053Y</t>
  </si>
  <si>
    <t>AerialRefuelReceiveChanCode_chan053Z</t>
  </si>
  <si>
    <t>AerialRefuelReceiveChanCode_chan054W</t>
  </si>
  <si>
    <t>AerialRefuelReceiveChanCode_chan054X</t>
  </si>
  <si>
    <t>AerialRefuelReceiveChanCode_chan054Y</t>
  </si>
  <si>
    <t>AerialRefuelReceiveChanCode_chan054Z</t>
  </si>
  <si>
    <t>AerialRefuelReceiveChanCode_chan055X</t>
  </si>
  <si>
    <t>AerialRefuelReceiveChanCode_chan055Y</t>
  </si>
  <si>
    <t>AerialRefuelReceiveChanCode_chan055Z</t>
  </si>
  <si>
    <t>AerialRefuelReceiveChanCode_chan056W</t>
  </si>
  <si>
    <t>AerialRefuelReceiveChanCode_chan056X</t>
  </si>
  <si>
    <t>AerialRefuelReceiveChanCode_chan056Y</t>
  </si>
  <si>
    <t>AerialRefuelReceiveChanCode_chan056Z</t>
  </si>
  <si>
    <t>AerialRefuelReceiveChanCode_chan057X</t>
  </si>
  <si>
    <t>AerialRefuelReceiveChanCode_chan057Y</t>
  </si>
  <si>
    <t>AerialRefuelReceiveChanCode_chan058X</t>
  </si>
  <si>
    <t>AerialRefuelReceiveChanCode_chan058Y</t>
  </si>
  <si>
    <t>AerialRefuelReceiveChanCode_chan059X</t>
  </si>
  <si>
    <t>AerialRefuelReceiveChanCode_chan059Y</t>
  </si>
  <si>
    <t>AerialRefuelReceiveChanCode_chan060X</t>
  </si>
  <si>
    <t>AerialRefuelReceiveChanCode_chan060Y</t>
  </si>
  <si>
    <t>AerialRefuelReceiveChanCode_chan061X</t>
  </si>
  <si>
    <t>AerialRefuelReceiveChanCode_chan061Y</t>
  </si>
  <si>
    <t>AerialRefuelReceiveChanCode_chan062X</t>
  </si>
  <si>
    <t>AerialRefuelReceiveChanCode_chan062Y</t>
  </si>
  <si>
    <t>AerialRefuelReceiveChanCode_chan063X</t>
  </si>
  <si>
    <t>AerialRefuelReceiveChanCode_chan063Y</t>
  </si>
  <si>
    <t>AerialRefuelReceiveChanCode_chan064X</t>
  </si>
  <si>
    <t>AerialRefuelReceiveChanCode_chan064Y</t>
  </si>
  <si>
    <t>AerialRefuelReceiveChanCode_chan065X</t>
  </si>
  <si>
    <t>AerialRefuelReceiveChanCode_chan065Y</t>
  </si>
  <si>
    <t>AerialRefuelReceiveChanCode_chan066X</t>
  </si>
  <si>
    <t>AerialRefuelReceiveChanCode_chan066Y</t>
  </si>
  <si>
    <t>AerialRefuelReceiveChanCode_chan067X</t>
  </si>
  <si>
    <t>AerialRefuelReceiveChanCode_chan067Y</t>
  </si>
  <si>
    <t>AerialRefuelReceiveChanCode_chan068X</t>
  </si>
  <si>
    <t>AerialRefuelReceiveChanCode_chan068Y</t>
  </si>
  <si>
    <t>AerialRefuelReceiveChanCode_chan069X</t>
  </si>
  <si>
    <t>AerialRefuelReceiveChanCode_chan069Y</t>
  </si>
  <si>
    <t>AerialRefuelReceiveChanCode_chan070X</t>
  </si>
  <si>
    <t>AerialRefuelReceiveChanCode_chan070Y</t>
  </si>
  <si>
    <t>AerialRefuelReceiveChanCode_chan071X</t>
  </si>
  <si>
    <t>AerialRefuelReceiveChanCode_chan071Y</t>
  </si>
  <si>
    <t>AerialRefuelReceiveChanCode_chan072X</t>
  </si>
  <si>
    <t>AerialRefuelReceiveChanCode_chan072Y</t>
  </si>
  <si>
    <t>AerialRefuelReceiveChanCode_chan073X</t>
  </si>
  <si>
    <t>AerialRefuelReceiveChanCode_chan073Y</t>
  </si>
  <si>
    <t>AerialRefuelReceiveChanCode_chan074X</t>
  </si>
  <si>
    <t>AerialRefuelReceiveChanCode_chan074Y</t>
  </si>
  <si>
    <t>AerialRefuelReceiveChanCode_chan075X</t>
  </si>
  <si>
    <t>AerialRefuelReceiveChanCode_chan075Y</t>
  </si>
  <si>
    <t>AerialRefuelReceiveChanCode_chan076X</t>
  </si>
  <si>
    <t>AerialRefuelReceiveChanCode_chan076Y</t>
  </si>
  <si>
    <t>AerialRefuelReceiveChanCode_chan077X</t>
  </si>
  <si>
    <t>AerialRefuelReceiveChanCode_chan077Y</t>
  </si>
  <si>
    <t>AerialRefuelReceiveChanCode_chan078X</t>
  </si>
  <si>
    <t>AerialRefuelReceiveChanCode_chan078Y</t>
  </si>
  <si>
    <t>AerialRefuelReceiveChanCode_chan079X</t>
  </si>
  <si>
    <t>AerialRefuelReceiveChanCode_chan079Y</t>
  </si>
  <si>
    <t>AerialRefuelReceiveChanCode_chan080X</t>
  </si>
  <si>
    <t>AerialRefuelReceiveChanCode_chan080Y</t>
  </si>
  <si>
    <t>AerialRefuelReceiveChanCode_chan080Z</t>
  </si>
  <si>
    <t>AerialRefuelReceiveChanCode_chan081X</t>
  </si>
  <si>
    <t>AerialRefuelReceiveChanCode_chan081Y</t>
  </si>
  <si>
    <t>AerialRefuelReceiveChanCode_chan081Z</t>
  </si>
  <si>
    <t>AerialRefuelReceiveChanCode_chan082X</t>
  </si>
  <si>
    <t>AerialRefuelReceiveChanCode_chan082Y</t>
  </si>
  <si>
    <t>AerialRefuelReceiveChanCode_chan082Z</t>
  </si>
  <si>
    <t>AerialRefuelReceiveChanCode_chan083X</t>
  </si>
  <si>
    <t>AerialRefuelReceiveChanCode_chan083Y</t>
  </si>
  <si>
    <t>AerialRefuelReceiveChanCode_chan083Z</t>
  </si>
  <si>
    <t>AerialRefuelReceiveChanCode_chan084X</t>
  </si>
  <si>
    <t>AerialRefuelReceiveChanCode_chan084Y</t>
  </si>
  <si>
    <t>AerialRefuelReceiveChanCode_chan084Z</t>
  </si>
  <si>
    <t>AerialRefuelReceiveChanCode_chan085X</t>
  </si>
  <si>
    <t>AerialRefuelReceiveChanCode_chan085Y</t>
  </si>
  <si>
    <t>AerialRefuelReceiveChanCode_chan085Z</t>
  </si>
  <si>
    <t>AerialRefuelReceiveChanCode_chan086X</t>
  </si>
  <si>
    <t>AerialRefuelReceiveChanCode_chan086Y</t>
  </si>
  <si>
    <t>AerialRefuelReceiveChanCode_chan086Z</t>
  </si>
  <si>
    <t>AerialRefuelReceiveChanCode_chan087X</t>
  </si>
  <si>
    <t>AerialRefuelReceiveChanCode_chan087Y</t>
  </si>
  <si>
    <t>AerialRefuelReceiveChanCode_chan087Z</t>
  </si>
  <si>
    <t>AerialRefuelReceiveChanCode_chan088X</t>
  </si>
  <si>
    <t>AerialRefuelReceiveChanCode_chan088Y</t>
  </si>
  <si>
    <t>AerialRefuelReceiveChanCode_chan088Z</t>
  </si>
  <si>
    <t>AerialRefuelReceiveChanCode_chan089X</t>
  </si>
  <si>
    <t>AerialRefuelReceiveChanCode_chan089Y</t>
  </si>
  <si>
    <t>AerialRefuelReceiveChanCode_chan089Z</t>
  </si>
  <si>
    <t>AerialRefuelReceiveChanCode_chan090X</t>
  </si>
  <si>
    <t>AerialRefuelReceiveChanCode_chan090Y</t>
  </si>
  <si>
    <t>AerialRefuelReceiveChanCode_chan090Z</t>
  </si>
  <si>
    <t>AerialRefuelReceiveChanCode_chan091X</t>
  </si>
  <si>
    <t>AerialRefuelReceiveChanCode_chan091Y</t>
  </si>
  <si>
    <t>AerialRefuelReceiveChanCode_chan091Z</t>
  </si>
  <si>
    <t>AerialRefuelReceiveChanCode_chan092X</t>
  </si>
  <si>
    <t>AerialRefuelReceiveChanCode_chan092Y</t>
  </si>
  <si>
    <t>AerialRefuelReceiveChanCode_chan092Z</t>
  </si>
  <si>
    <t>AerialRefuelReceiveChanCode_chan093X</t>
  </si>
  <si>
    <t>AerialRefuelReceiveChanCode_chan093Y</t>
  </si>
  <si>
    <t>AerialRefuelReceiveChanCode_chan093Z</t>
  </si>
  <si>
    <t>AerialRefuelReceiveChanCode_chan094X</t>
  </si>
  <si>
    <t>AerialRefuelReceiveChanCode_chan094Y</t>
  </si>
  <si>
    <t>AerialRefuelReceiveChanCode_chan094Z</t>
  </si>
  <si>
    <t>AerialRefuelReceiveChanCode_chan095X</t>
  </si>
  <si>
    <t>AerialRefuelReceiveChanCode_chan095Y</t>
  </si>
  <si>
    <t>AerialRefuelReceiveChanCode_chan095Z</t>
  </si>
  <si>
    <t>AerialRefuelReceiveChanCode_chan096X</t>
  </si>
  <si>
    <t>AerialRefuelReceiveChanCode_chan096Y</t>
  </si>
  <si>
    <t>AerialRefuelReceiveChanCode_chan096Z</t>
  </si>
  <si>
    <t>AerialRefuelReceiveChanCode_chan097X</t>
  </si>
  <si>
    <t>AerialRefuelReceiveChanCode_chan097Y</t>
  </si>
  <si>
    <t>AerialRefuelReceiveChanCode_chan097Z</t>
  </si>
  <si>
    <t>AerialRefuelReceiveChanCode_chan098X</t>
  </si>
  <si>
    <t>AerialRefuelReceiveChanCode_chan098Y</t>
  </si>
  <si>
    <t>AerialRefuelReceiveChanCode_chan098Z</t>
  </si>
  <si>
    <t>AerialRefuelReceiveChanCode_chan099X</t>
  </si>
  <si>
    <t>AerialRefuelReceiveChanCode_chan099Y</t>
  </si>
  <si>
    <t>AerialRefuelReceiveChanCode_chan099Z</t>
  </si>
  <si>
    <t>AerialRefuelReceiveChanCode_chan100X</t>
  </si>
  <si>
    <t>AerialRefuelReceiveChanCode_chan100Y</t>
  </si>
  <si>
    <t>AerialRefuelReceiveChanCode_chan100Z</t>
  </si>
  <si>
    <t>AerialRefuelReceiveChanCode_chan101X</t>
  </si>
  <si>
    <t>AerialRefuelReceiveChanCode_chan101Y</t>
  </si>
  <si>
    <t>AerialRefuelReceiveChanCode_chan101Z</t>
  </si>
  <si>
    <t>AerialRefuelReceiveChanCode_chan102X</t>
  </si>
  <si>
    <t>AerialRefuelReceiveChanCode_chan102Y</t>
  </si>
  <si>
    <t>AerialRefuelReceiveChanCode_chan102Z</t>
  </si>
  <si>
    <t>AerialRefuelReceiveChanCode_chan103X</t>
  </si>
  <si>
    <t>AerialRefuelReceiveChanCode_chan103Y</t>
  </si>
  <si>
    <t>AerialRefuelReceiveChanCode_chan103Z</t>
  </si>
  <si>
    <t>AerialRefuelReceiveChanCode_chan104X</t>
  </si>
  <si>
    <t>AerialRefuelReceiveChanCode_chan104Y</t>
  </si>
  <si>
    <t>AerialRefuelReceiveChanCode_chan104Z</t>
  </si>
  <si>
    <t>AerialRefuelReceiveChanCode_chan105X</t>
  </si>
  <si>
    <t>AerialRefuelReceiveChanCode_chan105Y</t>
  </si>
  <si>
    <t>AerialRefuelReceiveChanCode_chan105Z</t>
  </si>
  <si>
    <t>AerialRefuelReceiveChanCode_chan106X</t>
  </si>
  <si>
    <t>AerialRefuelReceiveChanCode_chan106Y</t>
  </si>
  <si>
    <t>AerialRefuelReceiveChanCode_chan106Z</t>
  </si>
  <si>
    <t>AerialRefuelReceiveChanCode_chan107X</t>
  </si>
  <si>
    <t>AerialRefuelReceiveChanCode_chan107Y</t>
  </si>
  <si>
    <t>AerialRefuelReceiveChanCode_chan107Z</t>
  </si>
  <si>
    <t>AerialRefuelReceiveChanCode_chan108X</t>
  </si>
  <si>
    <t>AerialRefuelReceiveChanCode_chan108Y</t>
  </si>
  <si>
    <t>AerialRefuelReceiveChanCode_chan108Z</t>
  </si>
  <si>
    <t>AerialRefuelReceiveChanCode_chan109X</t>
  </si>
  <si>
    <t>AerialRefuelReceiveChanCode_chan109Y</t>
  </si>
  <si>
    <t>AerialRefuelReceiveChanCode_chan109Z</t>
  </si>
  <si>
    <t>AerialRefuelReceiveChanCode_chan110X</t>
  </si>
  <si>
    <t>AerialRefuelReceiveChanCode_chan110Y</t>
  </si>
  <si>
    <t>AerialRefuelReceiveChanCode_chan110Z</t>
  </si>
  <si>
    <t>AerialRefuelReceiveChanCode_chan111X</t>
  </si>
  <si>
    <t>AerialRefuelReceiveChanCode_chan111Y</t>
  </si>
  <si>
    <t>AerialRefuelReceiveChanCode_chan111Z</t>
  </si>
  <si>
    <t>AerialRefuelReceiveChanCode_chan112X</t>
  </si>
  <si>
    <t>AerialRefuelReceiveChanCode_chan112Y</t>
  </si>
  <si>
    <t>AerialRefuelReceiveChanCode_chan112Z</t>
  </si>
  <si>
    <t>AerialRefuelReceiveChanCode_chan113X</t>
  </si>
  <si>
    <t>AerialRefuelReceiveChanCode_chan113Y</t>
  </si>
  <si>
    <t>AerialRefuelReceiveChanCode_chan113Z</t>
  </si>
  <si>
    <t>AerialRefuelReceiveChanCode_chan114X</t>
  </si>
  <si>
    <t>AerialRefuelReceiveChanCode_chan114Y</t>
  </si>
  <si>
    <t>AerialRefuelReceiveChanCode_chan114Z</t>
  </si>
  <si>
    <t>AerialRefuelReceiveChanCode_chan115X</t>
  </si>
  <si>
    <t>AerialRefuelReceiveChanCode_chan115Y</t>
  </si>
  <si>
    <t>AerialRefuelReceiveChanCode_chan115Z</t>
  </si>
  <si>
    <t>AerialRefuelReceiveChanCode_chan116X</t>
  </si>
  <si>
    <t>AerialRefuelReceiveChanCode_chan116Y</t>
  </si>
  <si>
    <t>AerialRefuelReceiveChanCode_chan116Z</t>
  </si>
  <si>
    <t>AerialRefuelReceiveChanCode_chan117X</t>
  </si>
  <si>
    <t>AerialRefuelReceiveChanCode_chan117Y</t>
  </si>
  <si>
    <t>AerialRefuelReceiveChanCode_chan117Z</t>
  </si>
  <si>
    <t>AerialRefuelReceiveChanCode_chan118X</t>
  </si>
  <si>
    <t>AerialRefuelReceiveChanCode_chan118Y</t>
  </si>
  <si>
    <t>AerialRefuelReceiveChanCode_chan118Z</t>
  </si>
  <si>
    <t>AerialRefuelReceiveChanCode_chan119X</t>
  </si>
  <si>
    <t>AerialRefuelReceiveChanCode_chan119Y</t>
  </si>
  <si>
    <t>AerialRefuelReceiveChanCode_chan119Z</t>
  </si>
  <si>
    <t>AerialRefuelReceiveChanCode_chan120X</t>
  </si>
  <si>
    <t>AerialRefuelReceiveChanCode_chan120Y</t>
  </si>
  <si>
    <t>AerialRefuelReceiveChanCode_chan121X</t>
  </si>
  <si>
    <t>AerialRefuelReceiveChanCode_chan121Y</t>
  </si>
  <si>
    <t>AerialRefuelReceiveChanCode_chan122X</t>
  </si>
  <si>
    <t>AerialRefuelReceiveChanCode_chan122Y</t>
  </si>
  <si>
    <t>AerialRefuelReceiveChanCode_chan123X</t>
  </si>
  <si>
    <t>AerialRefuelReceiveChanCode_chan123Y</t>
  </si>
  <si>
    <t>AerialRefuelReceiveChanCode_chan124X</t>
  </si>
  <si>
    <t>AerialRefuelReceiveChanCode_chan124Y</t>
  </si>
  <si>
    <t>AerialRefuelReceiveChanCode_chan125X</t>
  </si>
  <si>
    <t>AerialRefuelReceiveChanCode_chan125Y</t>
  </si>
  <si>
    <t>AerialRefuelReceiveChanCode_chan126X</t>
  </si>
  <si>
    <t>AerialRefuelReceiveChanCode_chan126Y</t>
  </si>
  <si>
    <t>AerialRefuelTankerChanCode_chan001X</t>
  </si>
  <si>
    <t>AerialRefuelTankerChanCode_chan001Y</t>
  </si>
  <si>
    <t>AerialRefuelTankerChanCode_chan002X</t>
  </si>
  <si>
    <t>AerialRefuelTankerChanCode_chan002Y</t>
  </si>
  <si>
    <t>AerialRefuelTankerChanCode_chan003X</t>
  </si>
  <si>
    <t>AerialRefuelTankerChanCode_chan003Y</t>
  </si>
  <si>
    <t>AerialRefuelTankerChanCode_chan004X</t>
  </si>
  <si>
    <t>AerialRefuelTankerChanCode_chan004Y</t>
  </si>
  <si>
    <t>AerialRefuelTankerChanCode_chan005X</t>
  </si>
  <si>
    <t>AerialRefuelTankerChanCode_chan005Y</t>
  </si>
  <si>
    <t>AerialRefuelTankerChanCode_chan006X</t>
  </si>
  <si>
    <t>AerialRefuelTankerChanCode_chan006Y</t>
  </si>
  <si>
    <t>AerialRefuelTankerChanCode_chan007X</t>
  </si>
  <si>
    <t>AerialRefuelTankerChanCode_chan007Y</t>
  </si>
  <si>
    <t>AerialRefuelTankerChanCode_chan008X</t>
  </si>
  <si>
    <t>AerialRefuelTankerChanCode_chan008Y</t>
  </si>
  <si>
    <t>AerialRefuelTankerChanCode_chan009X</t>
  </si>
  <si>
    <t>AerialRefuelTankerChanCode_chan009Y</t>
  </si>
  <si>
    <t>AerialRefuelTankerChanCode_chan010X</t>
  </si>
  <si>
    <t>AerialRefuelTankerChanCode_chan010Y</t>
  </si>
  <si>
    <t>AerialRefuelTankerChanCode_chan011X</t>
  </si>
  <si>
    <t>AerialRefuelTankerChanCode_chan011Y</t>
  </si>
  <si>
    <t>AerialRefuelTankerChanCode_chan012X</t>
  </si>
  <si>
    <t>AerialRefuelTankerChanCode_chan012Y</t>
  </si>
  <si>
    <t>AerialRefuelTankerChanCode_chan013X</t>
  </si>
  <si>
    <t>AerialRefuelTankerChanCode_chan013Y</t>
  </si>
  <si>
    <t>AerialRefuelTankerChanCode_chan014X</t>
  </si>
  <si>
    <t>AerialRefuelTankerChanCode_chan014Y</t>
  </si>
  <si>
    <t>AerialRefuelTankerChanCode_chan015X</t>
  </si>
  <si>
    <t>AerialRefuelTankerChanCode_chan015Y</t>
  </si>
  <si>
    <t>AerialRefuelTankerChanCode_chan016X</t>
  </si>
  <si>
    <t>AerialRefuelTankerChanCode_chan016Y</t>
  </si>
  <si>
    <t>AerialRefuelTankerChanCode_chan017X</t>
  </si>
  <si>
    <t>AerialRefuelTankerChanCode_chan017Y</t>
  </si>
  <si>
    <t>AerialRefuelTankerChanCode_chan017Z</t>
  </si>
  <si>
    <t>AerialRefuelTankerChanCode_chan018W</t>
  </si>
  <si>
    <t>AerialRefuelTankerChanCode_chan018X</t>
  </si>
  <si>
    <t>AerialRefuelTankerChanCode_chan018Y</t>
  </si>
  <si>
    <t>AerialRefuelTankerChanCode_chan018Z</t>
  </si>
  <si>
    <t>AerialRefuelTankerChanCode_chan019X</t>
  </si>
  <si>
    <t>AerialRefuelTankerChanCode_chan019Y</t>
  </si>
  <si>
    <t>AerialRefuelTankerChanCode_chan019Z</t>
  </si>
  <si>
    <t>AerialRefuelTankerChanCode_chan020W</t>
  </si>
  <si>
    <t>AerialRefuelTankerChanCode_chan020X</t>
  </si>
  <si>
    <t>AerialRefuelTankerChanCode_chan020Y</t>
  </si>
  <si>
    <t>AerialRefuelTankerChanCode_chan020Z</t>
  </si>
  <si>
    <t>AerialRefuelTankerChanCode_chan021X</t>
  </si>
  <si>
    <t>AerialRefuelTankerChanCode_chan021Y</t>
  </si>
  <si>
    <t>AerialRefuelTankerChanCode_chan021Z</t>
  </si>
  <si>
    <t>AerialRefuelTankerChanCode_chan022W</t>
  </si>
  <si>
    <t>AerialRefuelTankerChanCode_chan022X</t>
  </si>
  <si>
    <t>AerialRefuelTankerChanCode_chan022Y</t>
  </si>
  <si>
    <t>AerialRefuelTankerChanCode_chan022Z</t>
  </si>
  <si>
    <t>AerialRefuelTankerChanCode_chan023X</t>
  </si>
  <si>
    <t>AerialRefuelTankerChanCode_chan023Y</t>
  </si>
  <si>
    <t>AerialRefuelTankerChanCode_chan023Z</t>
  </si>
  <si>
    <t>AerialRefuelTankerChanCode_chan024W</t>
  </si>
  <si>
    <t>AerialRefuelTankerChanCode_chan024X</t>
  </si>
  <si>
    <t>AerialRefuelTankerChanCode_chan024Y</t>
  </si>
  <si>
    <t>AerialRefuelTankerChanCode_chan024Z</t>
  </si>
  <si>
    <t>AerialRefuelTankerChanCode_chan025X</t>
  </si>
  <si>
    <t>AerialRefuelTankerChanCode_chan025Y</t>
  </si>
  <si>
    <t>AerialRefuelTankerChanCode_chan025Z</t>
  </si>
  <si>
    <t>AerialRefuelTankerChanCode_chan026W</t>
  </si>
  <si>
    <t>AerialRefuelTankerChanCode_chan026X</t>
  </si>
  <si>
    <t>AerialRefuelTankerChanCode_chan026Y</t>
  </si>
  <si>
    <t>AerialRefuelTankerChanCode_chan026Z</t>
  </si>
  <si>
    <t>AerialRefuelTankerChanCode_chan027X</t>
  </si>
  <si>
    <t>AerialRefuelTankerChanCode_chan027Y</t>
  </si>
  <si>
    <t>AerialRefuelTankerChanCode_chan027Z</t>
  </si>
  <si>
    <t>AerialRefuelTankerChanCode_chan028W</t>
  </si>
  <si>
    <t>AerialRefuelTankerChanCode_chan028X</t>
  </si>
  <si>
    <t>AerialRefuelTankerChanCode_chan028Y</t>
  </si>
  <si>
    <t>AerialRefuelTankerChanCode_chan028Z</t>
  </si>
  <si>
    <t>AerialRefuelTankerChanCode_chan029X</t>
  </si>
  <si>
    <t>AerialRefuelTankerChanCode_chan029Y</t>
  </si>
  <si>
    <t>AerialRefuelTankerChanCode_chan029Z</t>
  </si>
  <si>
    <t>AerialRefuelTankerChanCode_chan030W</t>
  </si>
  <si>
    <t>AerialRefuelTankerChanCode_chan030X</t>
  </si>
  <si>
    <t>AerialRefuelTankerChanCode_chan030Y</t>
  </si>
  <si>
    <t>AerialRefuelTankerChanCode_chan030Z</t>
  </si>
  <si>
    <t>AerialRefuelTankerChanCode_chan031X</t>
  </si>
  <si>
    <t>AerialRefuelTankerChanCode_chan031Y</t>
  </si>
  <si>
    <t>AerialRefuelTankerChanCode_chan031Z</t>
  </si>
  <si>
    <t>AerialRefuelTankerChanCode_chan032W</t>
  </si>
  <si>
    <t>AerialRefuelTankerChanCode_chan032X</t>
  </si>
  <si>
    <t>AerialRefuelTankerChanCode_chan032Y</t>
  </si>
  <si>
    <t>AerialRefuelTankerChanCode_chan032Z</t>
  </si>
  <si>
    <t>AerialRefuelTankerChanCode_chan033X</t>
  </si>
  <si>
    <t>AerialRefuelTankerChanCode_chan033Y</t>
  </si>
  <si>
    <t>AerialRefuelTankerChanCode_chan033Z</t>
  </si>
  <si>
    <t>AerialRefuelTankerChanCode_chan034W</t>
  </si>
  <si>
    <t>AerialRefuelTankerChanCode_chan034X</t>
  </si>
  <si>
    <t>AerialRefuelTankerChanCode_chan034Y</t>
  </si>
  <si>
    <t>AerialRefuelTankerChanCode_chan034Z</t>
  </si>
  <si>
    <t>AerialRefuelTankerChanCode_chan035X</t>
  </si>
  <si>
    <t>AerialRefuelTankerChanCode_chan035Y</t>
  </si>
  <si>
    <t>AerialRefuelTankerChanCode_chan035Z</t>
  </si>
  <si>
    <t>AerialRefuelTankerChanCode_chan036W</t>
  </si>
  <si>
    <t>AerialRefuelTankerChanCode_chan036X</t>
  </si>
  <si>
    <t>AerialRefuelTankerChanCode_chan036Y</t>
  </si>
  <si>
    <t>AerialRefuelTankerChanCode_chan036Z</t>
  </si>
  <si>
    <t>AerialRefuelTankerChanCode_chan037X</t>
  </si>
  <si>
    <t>AerialRefuelTankerChanCode_chan037Y</t>
  </si>
  <si>
    <t>AerialRefuelTankerChanCode_chan037Z</t>
  </si>
  <si>
    <t>AerialRefuelTankerChanCode_chan038W</t>
  </si>
  <si>
    <t>AerialRefuelTankerChanCode_chan038X</t>
  </si>
  <si>
    <t>AerialRefuelTankerChanCode_chan038Y</t>
  </si>
  <si>
    <t>AerialRefuelTankerChanCode_chan038Z</t>
  </si>
  <si>
    <t>AerialRefuelTankerChanCode_chan039X</t>
  </si>
  <si>
    <t>AerialRefuelTankerChanCode_chan039Y</t>
  </si>
  <si>
    <t>AerialRefuelTankerChanCode_chan039Z</t>
  </si>
  <si>
    <t>AerialRefuelTankerChanCode_chan040W</t>
  </si>
  <si>
    <t>AerialRefuelTankerChanCode_chan040X</t>
  </si>
  <si>
    <t>AerialRefuelTankerChanCode_chan040Y</t>
  </si>
  <si>
    <t>AerialRefuelTankerChanCode_chan040Z</t>
  </si>
  <si>
    <t>AerialRefuelTankerChanCode_chan041X</t>
  </si>
  <si>
    <t>AerialRefuelTankerChanCode_chan041Y</t>
  </si>
  <si>
    <t>AerialRefuelTankerChanCode_chan041Z</t>
  </si>
  <si>
    <t>AerialRefuelTankerChanCode_chan042W</t>
  </si>
  <si>
    <t>AerialRefuelTankerChanCode_chan042X</t>
  </si>
  <si>
    <t>AerialRefuelTankerChanCode_chan042Y</t>
  </si>
  <si>
    <t>AerialRefuelTankerChanCode_chan042Z</t>
  </si>
  <si>
    <t>AerialRefuelTankerChanCode_chan043X</t>
  </si>
  <si>
    <t>AerialRefuelTankerChanCode_chan043Y</t>
  </si>
  <si>
    <t>AerialRefuelTankerChanCode_chan043Z</t>
  </si>
  <si>
    <t>AerialRefuelTankerChanCode_chan044W</t>
  </si>
  <si>
    <t>AerialRefuelTankerChanCode_chan044X</t>
  </si>
  <si>
    <t>AerialRefuelTankerChanCode_chan044Y</t>
  </si>
  <si>
    <t>AerialRefuelTankerChanCode_chan044Z</t>
  </si>
  <si>
    <t>AerialRefuelTankerChanCode_chan045X</t>
  </si>
  <si>
    <t>AerialRefuelTankerChanCode_chan045Y</t>
  </si>
  <si>
    <t>AerialRefuelTankerChanCode_chan045Z</t>
  </si>
  <si>
    <t>AerialRefuelTankerChanCode_chan046W</t>
  </si>
  <si>
    <t>AerialRefuelTankerChanCode_chan046X</t>
  </si>
  <si>
    <t>AerialRefuelTankerChanCode_chan046Y</t>
  </si>
  <si>
    <t>AerialRefuelTankerChanCode_chan046Z</t>
  </si>
  <si>
    <t>AerialRefuelTankerChanCode_chan047X</t>
  </si>
  <si>
    <t>AerialRefuelTankerChanCode_chan047Y</t>
  </si>
  <si>
    <t>AerialRefuelTankerChanCode_chan047Z</t>
  </si>
  <si>
    <t>AerialRefuelTankerChanCode_chan048W</t>
  </si>
  <si>
    <t>AerialRefuelTankerChanCode_chan048X</t>
  </si>
  <si>
    <t>AerialRefuelTankerChanCode_chan048Y</t>
  </si>
  <si>
    <t>AerialRefuelTankerChanCode_chan048Z</t>
  </si>
  <si>
    <t>AerialRefuelTankerChanCode_chan049X</t>
  </si>
  <si>
    <t>AerialRefuelTankerChanCode_chan049Y</t>
  </si>
  <si>
    <t>AerialRefuelTankerChanCode_chan049Z</t>
  </si>
  <si>
    <t>AerialRefuelTankerChanCode_chan050W</t>
  </si>
  <si>
    <t>AerialRefuelTankerChanCode_chan050X</t>
  </si>
  <si>
    <t>AerialRefuelTankerChanCode_chan050Y</t>
  </si>
  <si>
    <t>AerialRefuelTankerChanCode_chan050Z</t>
  </si>
  <si>
    <t>AerialRefuelTankerChanCode_chan051X</t>
  </si>
  <si>
    <t>AerialRefuelTankerChanCode_chan051Y</t>
  </si>
  <si>
    <t>AerialRefuelTankerChanCode_chan051Z</t>
  </si>
  <si>
    <t>AerialRefuelTankerChanCode_chan052W</t>
  </si>
  <si>
    <t>AerialRefuelTankerChanCode_chan052X</t>
  </si>
  <si>
    <t>AerialRefuelTankerChanCode_chan052Y</t>
  </si>
  <si>
    <t>AerialRefuelTankerChanCode_chan052Z</t>
  </si>
  <si>
    <t>AerialRefuelTankerChanCode_chan053X</t>
  </si>
  <si>
    <t>AerialRefuelTankerChanCode_chan053Y</t>
  </si>
  <si>
    <t>AerialRefuelTankerChanCode_chan053Z</t>
  </si>
  <si>
    <t>AerialRefuelTankerChanCode_chan054W</t>
  </si>
  <si>
    <t>AerialRefuelTankerChanCode_chan054X</t>
  </si>
  <si>
    <t>AerialRefuelTankerChanCode_chan054Y</t>
  </si>
  <si>
    <t>AerialRefuelTankerChanCode_chan054Z</t>
  </si>
  <si>
    <t>AerialRefuelTankerChanCode_chan055X</t>
  </si>
  <si>
    <t>AerialRefuelTankerChanCode_chan055Y</t>
  </si>
  <si>
    <t>AerialRefuelTankerChanCode_chan055Z</t>
  </si>
  <si>
    <t>AerialRefuelTankerChanCode_chan056W</t>
  </si>
  <si>
    <t>AerialRefuelTankerChanCode_chan056X</t>
  </si>
  <si>
    <t>AerialRefuelTankerChanCode_chan056Y</t>
  </si>
  <si>
    <t>AerialRefuelTankerChanCode_chan056Z</t>
  </si>
  <si>
    <t>AerialRefuelTankerChanCode_chan057X</t>
  </si>
  <si>
    <t>AerialRefuelTankerChanCode_chan057Y</t>
  </si>
  <si>
    <t>AerialRefuelTankerChanCode_chan058X</t>
  </si>
  <si>
    <t>AerialRefuelTankerChanCode_chan058Y</t>
  </si>
  <si>
    <t>AerialRefuelTankerChanCode_chan059X</t>
  </si>
  <si>
    <t>AerialRefuelTankerChanCode_chan059Y</t>
  </si>
  <si>
    <t>AerialRefuelTankerChanCode_chan060X</t>
  </si>
  <si>
    <t>AerialRefuelTankerChanCode_chan060Y</t>
  </si>
  <si>
    <t>AerialRefuelTankerChanCode_chan061X</t>
  </si>
  <si>
    <t>AerialRefuelTankerChanCode_chan061Y</t>
  </si>
  <si>
    <t>AerialRefuelTankerChanCode_chan062X</t>
  </si>
  <si>
    <t>AerialRefuelTankerChanCode_chan062Y</t>
  </si>
  <si>
    <t>AerialRefuelTankerChanCode_chan063X</t>
  </si>
  <si>
    <t>AerialRefuelTankerChanCode_chan063Y</t>
  </si>
  <si>
    <t>AerialRefuelTankerChanCode_chan064X</t>
  </si>
  <si>
    <t>AerialRefuelTankerChanCode_chan064Y</t>
  </si>
  <si>
    <t>AerialRefuelTankerChanCode_chan065X</t>
  </si>
  <si>
    <t>AerialRefuelTankerChanCode_chan065Y</t>
  </si>
  <si>
    <t>AerialRefuelTankerChanCode_chan066X</t>
  </si>
  <si>
    <t>AerialRefuelTankerChanCode_chan066Y</t>
  </si>
  <si>
    <t>AerialRefuelTankerChanCode_chan067X</t>
  </si>
  <si>
    <t>AerialRefuelTankerChanCode_chan067Y</t>
  </si>
  <si>
    <t>AerialRefuelTankerChanCode_chan068X</t>
  </si>
  <si>
    <t>AerialRefuelTankerChanCode_chan068Y</t>
  </si>
  <si>
    <t>AerialRefuelTankerChanCode_chan069X</t>
  </si>
  <si>
    <t>AerialRefuelTankerChanCode_chan069Y</t>
  </si>
  <si>
    <t>AerialRefuelTankerChanCode_chan070X</t>
  </si>
  <si>
    <t>AerialRefuelTankerChanCode_chan070Y</t>
  </si>
  <si>
    <t>AerialRefuelTankerChanCode_chan071X</t>
  </si>
  <si>
    <t>AerialRefuelTankerChanCode_chan071Y</t>
  </si>
  <si>
    <t>AerialRefuelTankerChanCode_chan072X</t>
  </si>
  <si>
    <t>AerialRefuelTankerChanCode_chan072Y</t>
  </si>
  <si>
    <t>AerialRefuelTankerChanCode_chan073X</t>
  </si>
  <si>
    <t>AerialRefuelTankerChanCode_chan073Y</t>
  </si>
  <si>
    <t>AerialRefuelTankerChanCode_chan074X</t>
  </si>
  <si>
    <t>AerialRefuelTankerChanCode_chan074Y</t>
  </si>
  <si>
    <t>AerialRefuelTankerChanCode_chan075X</t>
  </si>
  <si>
    <t>AerialRefuelTankerChanCode_chan075Y</t>
  </si>
  <si>
    <t>AerialRefuelTankerChanCode_chan076X</t>
  </si>
  <si>
    <t>AerialRefuelTankerChanCode_chan076Y</t>
  </si>
  <si>
    <t>AerialRefuelTankerChanCode_chan077X</t>
  </si>
  <si>
    <t>AerialRefuelTankerChanCode_chan077Y</t>
  </si>
  <si>
    <t>AerialRefuelTankerChanCode_chan078X</t>
  </si>
  <si>
    <t>AerialRefuelTankerChanCode_chan078Y</t>
  </si>
  <si>
    <t>AerialRefuelTankerChanCode_chan079X</t>
  </si>
  <si>
    <t>AerialRefuelTankerChanCode_chan079Y</t>
  </si>
  <si>
    <t>AerialRefuelTankerChanCode_chan080X</t>
  </si>
  <si>
    <t>AerialRefuelTankerChanCode_chan080Y</t>
  </si>
  <si>
    <t>AerialRefuelTankerChanCode_chan080Z</t>
  </si>
  <si>
    <t>AerialRefuelTankerChanCode_chan081X</t>
  </si>
  <si>
    <t>AerialRefuelTankerChanCode_chan081Y</t>
  </si>
  <si>
    <t>AerialRefuelTankerChanCode_chan081Z</t>
  </si>
  <si>
    <t>AerialRefuelTankerChanCode_chan082X</t>
  </si>
  <si>
    <t>AerialRefuelTankerChanCode_chan082Y</t>
  </si>
  <si>
    <t>AerialRefuelTankerChanCode_chan082Z</t>
  </si>
  <si>
    <t>AerialRefuelTankerChanCode_chan083X</t>
  </si>
  <si>
    <t>AerialRefuelTankerChanCode_chan083Y</t>
  </si>
  <si>
    <t>AerialRefuelTankerChanCode_chan083Z</t>
  </si>
  <si>
    <t>AerialRefuelTankerChanCode_chan084X</t>
  </si>
  <si>
    <t>AerialRefuelTankerChanCode_chan084Y</t>
  </si>
  <si>
    <t>AerialRefuelTankerChanCode_chan084Z</t>
  </si>
  <si>
    <t>AerialRefuelTankerChanCode_chan085X</t>
  </si>
  <si>
    <t>AerialRefuelTankerChanCode_chan085Y</t>
  </si>
  <si>
    <t>AerialRefuelTankerChanCode_chan085Z</t>
  </si>
  <si>
    <t>AerialRefuelTankerChanCode_chan086X</t>
  </si>
  <si>
    <t>AerialRefuelTankerChanCode_chan086Y</t>
  </si>
  <si>
    <t>AerialRefuelTankerChanCode_chan086Z</t>
  </si>
  <si>
    <t>AerialRefuelTankerChanCode_chan087X</t>
  </si>
  <si>
    <t>AerialRefuelTankerChanCode_chan087Y</t>
  </si>
  <si>
    <t>AerialRefuelTankerChanCode_chan087Z</t>
  </si>
  <si>
    <t>AerialRefuelTankerChanCode_chan088X</t>
  </si>
  <si>
    <t>AerialRefuelTankerChanCode_chan088Y</t>
  </si>
  <si>
    <t>AerialRefuelTankerChanCode_chan088Z</t>
  </si>
  <si>
    <t>AerialRefuelTankerChanCode_chan089X</t>
  </si>
  <si>
    <t>AerialRefuelTankerChanCode_chan089Y</t>
  </si>
  <si>
    <t>AerialRefuelTankerChanCode_chan089Z</t>
  </si>
  <si>
    <t>AerialRefuelTankerChanCode_chan090X</t>
  </si>
  <si>
    <t>AerialRefuelTankerChanCode_chan090Y</t>
  </si>
  <si>
    <t>AerialRefuelTankerChanCode_chan090Z</t>
  </si>
  <si>
    <t>AerialRefuelTankerChanCode_chan091X</t>
  </si>
  <si>
    <t>AerialRefuelTankerChanCode_chan091Y</t>
  </si>
  <si>
    <t>AerialRefuelTankerChanCode_chan091Z</t>
  </si>
  <si>
    <t>AerialRefuelTankerChanCode_chan092X</t>
  </si>
  <si>
    <t>AerialRefuelTankerChanCode_chan092Y</t>
  </si>
  <si>
    <t>AerialRefuelTankerChanCode_chan092Z</t>
  </si>
  <si>
    <t>AerialRefuelTankerChanCode_chan093X</t>
  </si>
  <si>
    <t>AerialRefuelTankerChanCode_chan093Y</t>
  </si>
  <si>
    <t>AerialRefuelTankerChanCode_chan093Z</t>
  </si>
  <si>
    <t>AerialRefuelTankerChanCode_chan094X</t>
  </si>
  <si>
    <t>AerialRefuelTankerChanCode_chan094Y</t>
  </si>
  <si>
    <t>AerialRefuelTankerChanCode_chan094Z</t>
  </si>
  <si>
    <t>AerialRefuelTankerChanCode_chan095X</t>
  </si>
  <si>
    <t>AerialRefuelTankerChanCode_chan095Y</t>
  </si>
  <si>
    <t>AerialRefuelTankerChanCode_chan095Z</t>
  </si>
  <si>
    <t>AerialRefuelTankerChanCode_chan096X</t>
  </si>
  <si>
    <t>AerialRefuelTankerChanCode_chan096Y</t>
  </si>
  <si>
    <t>AerialRefuelTankerChanCode_chan096Z</t>
  </si>
  <si>
    <t>AerialRefuelTankerChanCode_chan097X</t>
  </si>
  <si>
    <t>AerialRefuelTankerChanCode_chan097Y</t>
  </si>
  <si>
    <t>AerialRefuelTankerChanCode_chan097Z</t>
  </si>
  <si>
    <t>AerialRefuelTankerChanCode_chan098X</t>
  </si>
  <si>
    <t>AerialRefuelTankerChanCode_chan098Y</t>
  </si>
  <si>
    <t>AerialRefuelTankerChanCode_chan098Z</t>
  </si>
  <si>
    <t>AerialRefuelTankerChanCode_chan099X</t>
  </si>
  <si>
    <t>AerialRefuelTankerChanCode_chan099Y</t>
  </si>
  <si>
    <t>AerialRefuelTankerChanCode_chan099Z</t>
  </si>
  <si>
    <t>AerialRefuelTankerChanCode_chan100X</t>
  </si>
  <si>
    <t>AerialRefuelTankerChanCode_chan100Y</t>
  </si>
  <si>
    <t>AerialRefuelTankerChanCode_chan100Z</t>
  </si>
  <si>
    <t>AerialRefuelTankerChanCode_chan101X</t>
  </si>
  <si>
    <t>AerialRefuelTankerChanCode_chan101Y</t>
  </si>
  <si>
    <t>AerialRefuelTankerChanCode_chan101Z</t>
  </si>
  <si>
    <t>AerialRefuelTankerChanCode_chan102X</t>
  </si>
  <si>
    <t>AerialRefuelTankerChanCode_chan102Y</t>
  </si>
  <si>
    <t>AerialRefuelTankerChanCode_chan102Z</t>
  </si>
  <si>
    <t>AerialRefuelTankerChanCode_chan103X</t>
  </si>
  <si>
    <t>AerialRefuelTankerChanCode_chan103Y</t>
  </si>
  <si>
    <t>AerialRefuelTankerChanCode_chan103Z</t>
  </si>
  <si>
    <t>AerialRefuelTankerChanCode_chan104X</t>
  </si>
  <si>
    <t>AerialRefuelTankerChanCode_chan104Y</t>
  </si>
  <si>
    <t>AerialRefuelTankerChanCode_chan104Z</t>
  </si>
  <si>
    <t>AerialRefuelTankerChanCode_chan105X</t>
  </si>
  <si>
    <t>AerialRefuelTankerChanCode_chan105Y</t>
  </si>
  <si>
    <t>AerialRefuelTankerChanCode_chan105Z</t>
  </si>
  <si>
    <t>AerialRefuelTankerChanCode_chan106X</t>
  </si>
  <si>
    <t>AerialRefuelTankerChanCode_chan106Y</t>
  </si>
  <si>
    <t>AerialRefuelTankerChanCode_chan106Z</t>
  </si>
  <si>
    <t>AerialRefuelTankerChanCode_chan107X</t>
  </si>
  <si>
    <t>AerialRefuelTankerChanCode_chan107Y</t>
  </si>
  <si>
    <t>AerialRefuelTankerChanCode_chan107Z</t>
  </si>
  <si>
    <t>AerialRefuelTankerChanCode_chan108X</t>
  </si>
  <si>
    <t>AerialRefuelTankerChanCode_chan108Y</t>
  </si>
  <si>
    <t>AerialRefuelTankerChanCode_chan108Z</t>
  </si>
  <si>
    <t>AerialRefuelTankerChanCode_chan109X</t>
  </si>
  <si>
    <t>AerialRefuelTankerChanCode_chan109Y</t>
  </si>
  <si>
    <t>AerialRefuelTankerChanCode_chan109Z</t>
  </si>
  <si>
    <t>AerialRefuelTankerChanCode_chan110X</t>
  </si>
  <si>
    <t>AerialRefuelTankerChanCode_chan110Y</t>
  </si>
  <si>
    <t>AerialRefuelTankerChanCode_chan110Z</t>
  </si>
  <si>
    <t>AerialRefuelTankerChanCode_chan111X</t>
  </si>
  <si>
    <t>AerialRefuelTankerChanCode_chan111Y</t>
  </si>
  <si>
    <t>AerialRefuelTankerChanCode_chan111Z</t>
  </si>
  <si>
    <t>AerialRefuelTankerChanCode_chan112X</t>
  </si>
  <si>
    <t>AerialRefuelTankerChanCode_chan112Y</t>
  </si>
  <si>
    <t>AerialRefuelTankerChanCode_chan112Z</t>
  </si>
  <si>
    <t>AerialRefuelTankerChanCode_chan113X</t>
  </si>
  <si>
    <t>AerialRefuelTankerChanCode_chan113Y</t>
  </si>
  <si>
    <t>AerialRefuelTankerChanCode_chan113Z</t>
  </si>
  <si>
    <t>AerialRefuelTankerChanCode_chan114X</t>
  </si>
  <si>
    <t>AerialRefuelTankerChanCode_chan114Y</t>
  </si>
  <si>
    <t>AerialRefuelTankerChanCode_chan114Z</t>
  </si>
  <si>
    <t>AerialRefuelTankerChanCode_chan115X</t>
  </si>
  <si>
    <t>AerialRefuelTankerChanCode_chan115Y</t>
  </si>
  <si>
    <t>AerialRefuelTankerChanCode_chan115Z</t>
  </si>
  <si>
    <t>AerialRefuelTankerChanCode_chan116X</t>
  </si>
  <si>
    <t>AerialRefuelTankerChanCode_chan116Y</t>
  </si>
  <si>
    <t>AerialRefuelTankerChanCode_chan116Z</t>
  </si>
  <si>
    <t>AerialRefuelTankerChanCode_chan117X</t>
  </si>
  <si>
    <t>AerialRefuelTankerChanCode_chan117Y</t>
  </si>
  <si>
    <t>AerialRefuelTankerChanCode_chan117Z</t>
  </si>
  <si>
    <t>AerialRefuelTankerChanCode_chan118X</t>
  </si>
  <si>
    <t>AerialRefuelTankerChanCode_chan118Y</t>
  </si>
  <si>
    <t>AerialRefuelTankerChanCode_chan118Z</t>
  </si>
  <si>
    <t>AerialRefuelTankerChanCode_chan119X</t>
  </si>
  <si>
    <t>AerialRefuelTankerChanCode_chan119Y</t>
  </si>
  <si>
    <t>AerialRefuelTankerChanCode_chan119Z</t>
  </si>
  <si>
    <t>AerialRefuelTankerChanCode_chan120X</t>
  </si>
  <si>
    <t>AerialRefuelTankerChanCode_chan120Y</t>
  </si>
  <si>
    <t>AerialRefuelTankerChanCode_chan121X</t>
  </si>
  <si>
    <t>AerialRefuelTankerChanCode_chan121Y</t>
  </si>
  <si>
    <t>AerialRefuelTankerChanCode_chan122X</t>
  </si>
  <si>
    <t>AerialRefuelTankerChanCode_chan122Y</t>
  </si>
  <si>
    <t>AerialRefuelTankerChanCode_chan123X</t>
  </si>
  <si>
    <t>AerialRefuelTankerChanCode_chan123Y</t>
  </si>
  <si>
    <t>AerialRefuelTankerChanCode_chan124X</t>
  </si>
  <si>
    <t>AerialRefuelTankerChanCode_chan124Y</t>
  </si>
  <si>
    <t>AerialRefuelTankerChanCode_chan125X</t>
  </si>
  <si>
    <t>AerialRefuelTankerChanCode_chan125Y</t>
  </si>
  <si>
    <t>AerialRefuelTankerChanCode_chan126X</t>
  </si>
  <si>
    <t>AerialRefuelTankerChanCode_chan126Y</t>
  </si>
  <si>
    <t>AerodromeAppLightSysTypeCode_airForceOverrun</t>
  </si>
  <si>
    <t>AerodromeAppLightSysTypeCode_alsfType1</t>
  </si>
  <si>
    <t>AerodromeAppLightSysTypeCode_alsfType2</t>
  </si>
  <si>
    <t>AerodromeAppLightSysTypeCode_calvertBritish</t>
  </si>
  <si>
    <t>AerodromeAppLightSysTypeCode_cross</t>
  </si>
  <si>
    <t>AerodromeAppLightSysTypeCode_formerNatoStandard</t>
  </si>
  <si>
    <t>AerodromeAppLightSysTypeCode_hialCategory1</t>
  </si>
  <si>
    <t>AerodromeAppLightSysTypeCode_hialCategory2</t>
  </si>
  <si>
    <t>AerodromeAppLightSysTypeCode_leadInLightSystem</t>
  </si>
  <si>
    <t>AerodromeAppLightSysTypeCode_leftSingleRow</t>
  </si>
  <si>
    <t>AerodromeAppLightSysTypeCode_lowApproachLightSystem</t>
  </si>
  <si>
    <t>AerodromeAppLightSysTypeCode_malsWithRunwayAlignInd</t>
  </si>
  <si>
    <t>AerodromeAppLightSysTypeCode_malsWithSeqFlashingLights</t>
  </si>
  <si>
    <t>AerodromeAppLightSysTypeCode_mediumApproachLightSystem</t>
  </si>
  <si>
    <t>AerodromeAppLightSysTypeCode_narrowMultiCross</t>
  </si>
  <si>
    <t>AerodromeAppLightSysTypeCode_natoStandard</t>
  </si>
  <si>
    <t>AerodromeAppLightSysTypeCode_omniApproachLightSystem</t>
  </si>
  <si>
    <t>AerodromeAppLightSysTypeCode_runwayAlignmentIndicator</t>
  </si>
  <si>
    <t>AerodromeAppLightSysTypeCode_salsWithSeqFlashingLights</t>
  </si>
  <si>
    <t>AerodromeAppLightSysTypeCode_shortApproachLightSystem</t>
  </si>
  <si>
    <t>AerodromeAppLightSysTypeCode_singleRowCentreline</t>
  </si>
  <si>
    <t>AerodromeAppLightSysTypeCode_ssalWithRunwayAlignInd</t>
  </si>
  <si>
    <t>AerodromeAppLightSysTypeCode_twoParallelRow</t>
  </si>
  <si>
    <t>AerodromeControlStationTypeCode_primary</t>
  </si>
  <si>
    <t>AerodromeControlStationTypeCode_secondary</t>
  </si>
  <si>
    <t>AerodromeFireFightingCatCode_aircraftRescueFireCat1</t>
  </si>
  <si>
    <t>AerodromeFireFightingCatCode_aircraftRescueFireCat10</t>
  </si>
  <si>
    <t>AerodromeFireFightingCatCode_aircraftRescueFireCat2</t>
  </si>
  <si>
    <t>AerodromeFireFightingCatCode_aircraftRescueFireCat3</t>
  </si>
  <si>
    <t>AerodromeFireFightingCatCode_aircraftRescueFireCat4</t>
  </si>
  <si>
    <t>AerodromeFireFightingCatCode_aircraftRescueFireCat5</t>
  </si>
  <si>
    <t>AerodromeFireFightingCatCode_aircraftRescueFireCat6</t>
  </si>
  <si>
    <t>AerodromeFireFightingCatCode_aircraftRescueFireCat7</t>
  </si>
  <si>
    <t>AerodromeFireFightingCatCode_aircraftRescueFireCat8</t>
  </si>
  <si>
    <t>AerodromeFireFightingCatCode_aircraftRescueFireCat9</t>
  </si>
  <si>
    <t>AerodromeFireFightingCatCode_helicopterRescueFireCat1</t>
  </si>
  <si>
    <t>AerodromeFireFightingCatCode_helicopterRescueFireCat2</t>
  </si>
  <si>
    <t>AerodromeFireFightingCatCode_helicopterRescueFireCat3</t>
  </si>
  <si>
    <t>AeroMoveAreaLightSysTypeCode_aircraftStandManeuver</t>
  </si>
  <si>
    <t>AeroMoveAreaLightSysTypeCode_apronFlood</t>
  </si>
  <si>
    <t>AeroMoveAreaLightSysTypeCode_deicingAreaExit</t>
  </si>
  <si>
    <t>AeroMoveAreaLightSysTypeCode_finalApproachTakeOffArea</t>
  </si>
  <si>
    <t>AeroMoveAreaLightSysTypeCode_intermediateHolding</t>
  </si>
  <si>
    <t>AeroMoveAreaLightSysTypeCode_landandHoldShort</t>
  </si>
  <si>
    <t>AeroMoveAreaLightSysTypeCode_rapidExitTaxiwayIndicator</t>
  </si>
  <si>
    <t>AeroMoveAreaLightSysTypeCode_roadHoldingPosition</t>
  </si>
  <si>
    <t>AeroMoveAreaLightSysTypeCode_runwayCenterline</t>
  </si>
  <si>
    <t>AeroMoveAreaLightSysTypeCode_runwayEdge</t>
  </si>
  <si>
    <t>AeroMoveAreaLightSysTypeCode_runwayEnd</t>
  </si>
  <si>
    <t>AeroMoveAreaLightSysTypeCode_runwayEndIdentifierLight</t>
  </si>
  <si>
    <t>AeroMoveAreaLightSysTypeCode_runwayGuard</t>
  </si>
  <si>
    <t>AeroMoveAreaLightSysTypeCode_runwayTurnPad</t>
  </si>
  <si>
    <t>AeroMoveAreaLightSysTypeCode_stopbars</t>
  </si>
  <si>
    <t>AeroMoveAreaLightSysTypeCode_stopwayEdge</t>
  </si>
  <si>
    <t>AeroMoveAreaLightSysTypeCode_taxiwayCenterline</t>
  </si>
  <si>
    <t>AeroMoveAreaLightSysTypeCode_taxiwayEdge</t>
  </si>
  <si>
    <t>AeroMoveAreaLightSysTypeCode_taxiwayExitCenterLights</t>
  </si>
  <si>
    <t>AeroMoveAreaLightSysTypeCode_threshold</t>
  </si>
  <si>
    <t>AeroMoveAreaLightSysTypeCode_touchdownAndLiftOffArea</t>
  </si>
  <si>
    <t>AeroMoveAreaLightSysTypeCode_touchdownZone</t>
  </si>
  <si>
    <t>AeroMoveAreaLightSysTypeCode_visualDockingGuidance</t>
  </si>
  <si>
    <t>AeroMoveAreaPaveCondCode_damaged</t>
  </si>
  <si>
    <t>AeroMoveAreaPaveCondCode_destroyed</t>
  </si>
  <si>
    <t>AeroMoveAreaPaveCondCode_deteriorated</t>
  </si>
  <si>
    <t>AeroMoveAreaPaveCondCode_fair</t>
  </si>
  <si>
    <t>AeroMoveAreaPaveCondCode_good</t>
  </si>
  <si>
    <t>AeroMoveAreaPaveCondCode_ruined</t>
  </si>
  <si>
    <t>AeroMoveAreaPaveCondCode_underConstruction</t>
  </si>
  <si>
    <t>AeroMoveAreaSurfaceCatCode_completelyPaved</t>
  </si>
  <si>
    <t>AeroMoveAreaSurfaceCatCode_mostlyPaved</t>
  </si>
  <si>
    <t>AeroMoveAreaSurfaceCatCode_partiallyPaved</t>
  </si>
  <si>
    <t>AeroMoveAreaSurfaceCatCode_unpaved</t>
  </si>
  <si>
    <t>AeroMoveAreaSurfaceCatCode_unprepared</t>
  </si>
  <si>
    <t>AeroMoveAreaSurfaceCompCode_asphalt</t>
  </si>
  <si>
    <t>AeroMoveAreaSurfaceCompCode_asphaltOverConcrete</t>
  </si>
  <si>
    <t>AeroMoveAreaSurfaceCompCode_bituminousMix</t>
  </si>
  <si>
    <t>AeroMoveAreaSurfaceCompCode_brick</t>
  </si>
  <si>
    <t>AeroMoveAreaSurfaceCompCode_clay</t>
  </si>
  <si>
    <t>AeroMoveAreaSurfaceCompCode_concrete</t>
  </si>
  <si>
    <t>AeroMoveAreaSurfaceCompCode_coral</t>
  </si>
  <si>
    <t>AeroMoveAreaSurfaceCompCode_earthen</t>
  </si>
  <si>
    <t>AeroMoveAreaSurfaceCompCode_gravel</t>
  </si>
  <si>
    <t>AeroMoveAreaSurfaceCompCode_ice</t>
  </si>
  <si>
    <t>AeroMoveAreaSurfaceCompCode_landingMat</t>
  </si>
  <si>
    <t>AeroMoveAreaSurfaceCompCode_laterite</t>
  </si>
  <si>
    <t>AeroMoveAreaSurfaceCompCode_macadam</t>
  </si>
  <si>
    <t>AeroMoveAreaSurfaceCompCode_membrane</t>
  </si>
  <si>
    <t>AeroMoveAreaSurfaceCompCode_nonBituminousMix</t>
  </si>
  <si>
    <t>AeroMoveAreaSurfaceCompCode_piercedSteelPlanking</t>
  </si>
  <si>
    <t>AeroMoveAreaSurfaceCompCode_sand</t>
  </si>
  <si>
    <t>AeroMoveAreaSurfaceCompCode_snow</t>
  </si>
  <si>
    <t>AeroMoveAreaSurfaceCompCode_stone</t>
  </si>
  <si>
    <t>AeroMoveAreaSurfaceCompCode_water</t>
  </si>
  <si>
    <t>AeroMoveAreaSurfaceCompCode_wood</t>
  </si>
  <si>
    <t>AeroMoveAreaSurfacePrepCode_aggregateSealCoat</t>
  </si>
  <si>
    <t>AeroMoveAreaSurfacePrepCode_graded</t>
  </si>
  <si>
    <t>AeroMoveAreaSurfacePrepCode_grass</t>
  </si>
  <si>
    <t>AeroMoveAreaSurfacePrepCode_grooved</t>
  </si>
  <si>
    <t>AeroMoveAreaSurfacePrepCode_oiled</t>
  </si>
  <si>
    <t>AeroMoveAreaSurfacePrepCode_porousFrictionCourse</t>
  </si>
  <si>
    <t>AeroMoveAreaSurfacePrepCode_rolled</t>
  </si>
  <si>
    <t>AeroMoveAreaSurfacePrepCode_rubberizedSealCoat</t>
  </si>
  <si>
    <t>AeroMoveAreaTypeCode_apron</t>
  </si>
  <si>
    <t>AeroMoveAreaTypeCode_finalApproachTakeOffArea</t>
  </si>
  <si>
    <t>AeroMoveAreaTypeCode_helipad</t>
  </si>
  <si>
    <t>AeroMoveAreaTypeCode_runway</t>
  </si>
  <si>
    <t>AeroMoveAreaTypeCode_runwayElement</t>
  </si>
  <si>
    <t>AeroMoveAreaTypeCode_runwayIntersection</t>
  </si>
  <si>
    <t>AeroMoveAreaTypeCode_runwayTurnPad</t>
  </si>
  <si>
    <t>AeroMoveAreaTypeCode_taxiway</t>
  </si>
  <si>
    <t>AeroMoveAreaTypeCode_taxiwayElement</t>
  </si>
  <si>
    <t>AeroMoveAreaTypeCode_touchdownAndLiftOffArea</t>
  </si>
  <si>
    <t>AeroPavementFuncStatusCode_excellent</t>
  </si>
  <si>
    <t>AeroPavementFuncStatusCode_fair</t>
  </si>
  <si>
    <t>AeroPavementFuncStatusCode_fairEstimated</t>
  </si>
  <si>
    <t>AeroPavementFuncStatusCode_good</t>
  </si>
  <si>
    <t>AeroPavementFuncStatusCode_goodEstimated</t>
  </si>
  <si>
    <t>AeroPavementFuncStatusCode_poor</t>
  </si>
  <si>
    <t>AeroPavementFuncStatusCode_poorEstimated</t>
  </si>
  <si>
    <t>AeroPavementFuncStatusCode_underConstruction</t>
  </si>
  <si>
    <t>AeroPavementFuncStatusCode_unserviceable</t>
  </si>
  <si>
    <t>AerodromeSurfaceStatusCode_closed</t>
  </si>
  <si>
    <t>AerodromeSurfaceStatusCode_open</t>
  </si>
  <si>
    <t>AerodromeSurfaceStatusCode_parkedDisabledAircraft</t>
  </si>
  <si>
    <t>AerodromeSurfaceStatusCode_workInProgress</t>
  </si>
  <si>
    <t>AerodromeTypeCode_heliport</t>
  </si>
  <si>
    <t>AerodromeTypeCode_landAerodrome</t>
  </si>
  <si>
    <t>AerodromeTypeCode_waterAerodrome</t>
  </si>
  <si>
    <t>AeroAdviceInfoServiceTypeCode_aerodromeFlightInfoServ</t>
  </si>
  <si>
    <t>AeroAdviceInfoServiceTypeCode_aeronauticalInfoService</t>
  </si>
  <si>
    <t>AeroAdviceInfoServiceTypeCode_airmetService</t>
  </si>
  <si>
    <t>AeroAdviceInfoServiceTypeCode_altimeterService</t>
  </si>
  <si>
    <t>AeroAdviceInfoServiceTypeCode_automaticFlightInfoServ</t>
  </si>
  <si>
    <t>AeroAdviceInfoServiceTypeCode_autoSurfaceObsSystem</t>
  </si>
  <si>
    <t>AeroAdviceInfoServiceTypeCode_autoTerminalInfoService</t>
  </si>
  <si>
    <t>AeroAdviceInfoServiceTypeCode_autoWeatherObsService</t>
  </si>
  <si>
    <t>AeroAdviceInfoServiceTypeCode_autoWeatherSensorSystem</t>
  </si>
  <si>
    <t>AeroAdviceInfoServiceTypeCode_briefingService</t>
  </si>
  <si>
    <t>AeroAdviceInfoServiceTypeCode_enRouteFlightAdvisoryServ</t>
  </si>
  <si>
    <t>AeroAdviceInfoServiceTypeCode_flightInfoService</t>
  </si>
  <si>
    <t>AeroAdviceInfoServiceTypeCode_hfOperationFlightInfoServ</t>
  </si>
  <si>
    <t>AeroAdviceInfoServiceTypeCode_highAltWeatherObsSystem</t>
  </si>
  <si>
    <t>AeroAdviceInfoServiceTypeCode_infoService</t>
  </si>
  <si>
    <t>AeroAdviceInfoServiceTypeCode_meteorologicalService</t>
  </si>
  <si>
    <t>AeroAdviceInfoServiceTypeCode_notamService</t>
  </si>
  <si>
    <t>AeroAdviceInfoServiceTypeCode_sigmetService</t>
  </si>
  <si>
    <t>AeroAdviceInfoServiceTypeCode_transcribedWxBroadcastServ</t>
  </si>
  <si>
    <t>AeroAdviceInfoServiceTypeCode_vhfOperationFlightInfoServ</t>
  </si>
  <si>
    <t>AeroAdviceInfoServiceTypeCode_volmetService</t>
  </si>
  <si>
    <t>AeroBeaconTypeCode_controlTowerSignalBeacon</t>
  </si>
  <si>
    <t>AeroBeaconTypeCode_generalAeronauticalBeacon</t>
  </si>
  <si>
    <t>AeroBeaconTypeCode_hazardBeacon</t>
  </si>
  <si>
    <t>AeroBeaconTypeCode_identificationBeacon</t>
  </si>
  <si>
    <t>AeroBeaconTypeCode_lightedHeliport</t>
  </si>
  <si>
    <t>AeroBeaconTypeCode_lightedLandAerodrome</t>
  </si>
  <si>
    <t>AeroBeaconTypeCode_lightedWaterAerodrome</t>
  </si>
  <si>
    <t>AeroBeaconTypeCode_marineBeacon</t>
  </si>
  <si>
    <t>AeroBeaconTypeCode_militaryAerodrome</t>
  </si>
  <si>
    <t>AeroBeaconTypeCode_responderBeacon</t>
  </si>
  <si>
    <t>AeroCommChannelModeCode_adsB</t>
  </si>
  <si>
    <t>AeroCommChannelModeCode_adsB_with_VDL</t>
  </si>
  <si>
    <t>AeroCommChannelModeCode_amss</t>
  </si>
  <si>
    <t>AeroCommChannelModeCode_channelSpacing8r33</t>
  </si>
  <si>
    <t>AeroCommChannelModeCode_hf</t>
  </si>
  <si>
    <t>AeroCommChannelModeCode_hfdl</t>
  </si>
  <si>
    <t>AeroCommChannelModeCode_uhf</t>
  </si>
  <si>
    <t>AeroCommChannelModeCode_vdl1</t>
  </si>
  <si>
    <t>AeroCommChannelModeCode_vdl2</t>
  </si>
  <si>
    <t>AeroCommChannelModeCode_vdl4</t>
  </si>
  <si>
    <t>AeroCommChannelModeCode_vhf</t>
  </si>
  <si>
    <t>AeroResponsibleAuthTypeCode_airspaceDelegation</t>
  </si>
  <si>
    <t>AeroResponsibleAuthTypeCode_airspaceOwnership</t>
  </si>
  <si>
    <t>AeroResponsibleAuthTypeCode_aisAuthority</t>
  </si>
  <si>
    <t>AeroResponsibleAuthTypeCode_otherResponsibleAuthority</t>
  </si>
  <si>
    <t>AeroRouteCategoryCode_both</t>
  </si>
  <si>
    <t>AeroRouteCategoryCode_high</t>
  </si>
  <si>
    <t>AeroRouteCategoryCode_low</t>
  </si>
  <si>
    <t>AeroServiceOperStatusCode_conditional</t>
  </si>
  <si>
    <t>AeroServiceOperStatusCode_displaced</t>
  </si>
  <si>
    <t>AeroServiceOperStatusCode_falseIndicationDefinite</t>
  </si>
  <si>
    <t>AeroServiceOperStatusCode_falseIndicationPossible</t>
  </si>
  <si>
    <t>AeroServiceOperStatusCode_inConstruction</t>
  </si>
  <si>
    <t>AeroServiceOperStatusCode_intermittent</t>
  </si>
  <si>
    <t>AeroServiceOperStatusCode_interrupt</t>
  </si>
  <si>
    <t>AeroServiceOperStatusCode_irregular</t>
  </si>
  <si>
    <t>AeroServiceOperStatusCode_navaidDmeOutOfService</t>
  </si>
  <si>
    <t>AeroServiceOperStatusCode_navaidFreqOutOfService</t>
  </si>
  <si>
    <t>AeroServiceOperStatusCode_navaidPartialService</t>
  </si>
  <si>
    <t>AeroServiceOperStatusCode_onTest</t>
  </si>
  <si>
    <t>AeroServiceOperStatusCode_operational</t>
  </si>
  <si>
    <t>AeroServiceOperStatusCode_unserviceable</t>
  </si>
  <si>
    <t>AeroServiceOperStatusCode_withdrawn</t>
  </si>
  <si>
    <t>AeroServiceRankingCode_alternate</t>
  </si>
  <si>
    <t>AeroServiceRankingCode_emergency</t>
  </si>
  <si>
    <t>AeroServiceRankingCode_guarded</t>
  </si>
  <si>
    <t>AeroServiceRankingCode_primary</t>
  </si>
  <si>
    <t>AeroServiceRankingCode_secondary</t>
  </si>
  <si>
    <t>AeronauticalUnitTypeCode_advisoryCentre</t>
  </si>
  <si>
    <t>AeronauticalUnitTypeCode_aerodromeAisUnit</t>
  </si>
  <si>
    <t>AeronauticalUnitTypeCode_aerodromeControlTower</t>
  </si>
  <si>
    <t>AeronauticalUnitTypeCode_aerodromeMetOffice</t>
  </si>
  <si>
    <t>AeronauticalUnitTypeCode_aeroInfoServicesHeadOffice</t>
  </si>
  <si>
    <t>AeronauticalUnitTypeCode_airliftCommandPost</t>
  </si>
  <si>
    <t>AeronauticalUnitTypeCode_airRouteTraffControlCentre</t>
  </si>
  <si>
    <t>AeronauticalUnitTypeCode_airTrafficControlCentre</t>
  </si>
  <si>
    <t>AeronauticalUnitTypeCode_airTrafficFlowManagement</t>
  </si>
  <si>
    <t>AeronauticalUnitTypeCode_airTrafficManagementUnit</t>
  </si>
  <si>
    <t>AeronauticalUnitTypeCode_airTrafficServicesReporting</t>
  </si>
  <si>
    <t>AeronauticalUnitTypeCode_airTrafficServicesUnit</t>
  </si>
  <si>
    <t>AeronauticalUnitTypeCode_alertingPost</t>
  </si>
  <si>
    <t>AeronauticalUnitTypeCode_approachControlUnit</t>
  </si>
  <si>
    <t>AeronauticalUnitTypeCode_areaControlCentre</t>
  </si>
  <si>
    <t>AeronauticalUnitTypeCode_arrivalsApproachControl</t>
  </si>
  <si>
    <t>AeronauticalUnitTypeCode_autoDependSurveillanceUnit</t>
  </si>
  <si>
    <t>AeronauticalUnitTypeCode_commandPost</t>
  </si>
  <si>
    <t>AeronauticalUnitTypeCode_commercialBroadcastStation</t>
  </si>
  <si>
    <t>AeronauticalUnitTypeCode_departuresApproachControl</t>
  </si>
  <si>
    <t>AeronauticalUnitTypeCode_flightInformationCentre</t>
  </si>
  <si>
    <t>AeronauticalUnitTypeCode_flightServiceStation</t>
  </si>
  <si>
    <t>AeronauticalUnitTypeCode_generalCommunicationsUnit</t>
  </si>
  <si>
    <t>AeronauticalUnitTypeCode_internationalNotamOffice</t>
  </si>
  <si>
    <t>AeronauticalUnitTypeCode_meteorologicalOffice</t>
  </si>
  <si>
    <t>AeronauticalUnitTypeCode_oceanicControlCentre</t>
  </si>
  <si>
    <t>AeronauticalUnitTypeCode_radarApproachControlFac</t>
  </si>
  <si>
    <t>AeronauticalUnitTypeCode_regionalAreaForecastCentre</t>
  </si>
  <si>
    <t>AeronauticalUnitTypeCode_rescueCoOrdinationCentre</t>
  </si>
  <si>
    <t>AeronauticalUnitTypeCode_rescueSubCentre</t>
  </si>
  <si>
    <t>AeronauticalUnitTypeCode_surfaceMovementRadarOffice</t>
  </si>
  <si>
    <t>AeronauticalUnitTypeCode_tempReservedAirspaceMonitor</t>
  </si>
  <si>
    <t>AeronauticalUnitTypeCode_uhfDirectionFindingStation</t>
  </si>
  <si>
    <t>AeronauticalUnitTypeCode_upperAreaControlCentre</t>
  </si>
  <si>
    <t>AeronauticalUnitTypeCode_upperInformationCentre</t>
  </si>
  <si>
    <t>AeronauticalUnitTypeCode_vhfDirectionFindingStation</t>
  </si>
  <si>
    <t>AeronauticalUnitTypeCode_worldAreaForecastCentre</t>
  </si>
  <si>
    <t>AggressorAffiliationCode_criminalSyndicate</t>
  </si>
  <si>
    <t>AggressorAffiliationCode_localGang</t>
  </si>
  <si>
    <t>AggressorAffiliationCode_military</t>
  </si>
  <si>
    <t>AirRefuelPointUsageCode_anchorPattern</t>
  </si>
  <si>
    <t>AirRefuelPointUsageCode_anchorPoint</t>
  </si>
  <si>
    <t>AirRefuelPointUsageCode_controlPoint</t>
  </si>
  <si>
    <t>AirRefuelPointUsageCode_controlPointNato</t>
  </si>
  <si>
    <t>AirRefuelPointUsageCode_entryPoint</t>
  </si>
  <si>
    <t>AirRefuelPointUsageCode_exitPoint</t>
  </si>
  <si>
    <t>AirRefuelPointUsageCode_initialPoint</t>
  </si>
  <si>
    <t>AirRefuelPointUsageCode_navigationCheckPoint</t>
  </si>
  <si>
    <t>AirRefuelPointUsageCode_rendezvousPoint</t>
  </si>
  <si>
    <t>AirRefuelPointUsageCode_turningPoint</t>
  </si>
  <si>
    <t>AirRefuelProcDirectionCode_east</t>
  </si>
  <si>
    <t>AirRefuelProcDirectionCode_north</t>
  </si>
  <si>
    <t>AirRefuelProcDirectionCode_northeast</t>
  </si>
  <si>
    <t>AirRefuelProcDirectionCode_northwest</t>
  </si>
  <si>
    <t>AirRefuelProcDirectionCode_south</t>
  </si>
  <si>
    <t>AirRefuelProcDirectionCode_southeast</t>
  </si>
  <si>
    <t>AirRefuelProcDirectionCode_southwest</t>
  </si>
  <si>
    <t>AirRefuelProcDirectionCode_west</t>
  </si>
  <si>
    <t>AirRefuelProcTypeCode_anchorPattern</t>
  </si>
  <si>
    <t>AirRefuelProcTypeCode_both</t>
  </si>
  <si>
    <t>AirRefuelProcTypeCode_track</t>
  </si>
  <si>
    <t>AtcRequiredReportTypeCode_compulsory</t>
  </si>
  <si>
    <t>AtcRequiredReportTypeCode_noReport</t>
  </si>
  <si>
    <t>AtcRequiredReportTypeCode_onRequest</t>
  </si>
  <si>
    <t>AirTrafControlServiceTypeCode_advSurfMoveGuidControlSys</t>
  </si>
  <si>
    <t>AirTrafControlServiceTypeCode_aerodromeControlService</t>
  </si>
  <si>
    <t>AirTrafControlServiceTypeCode_airportAdvisoryService</t>
  </si>
  <si>
    <t>AirTrafControlServiceTypeCode_airTrafficAdvisoryService</t>
  </si>
  <si>
    <t>AirTrafControlServiceTypeCode_alertingService</t>
  </si>
  <si>
    <t>AirTrafControlServiceTypeCode_approachControlService</t>
  </si>
  <si>
    <t>AirTrafControlServiceTypeCode_areaControlService</t>
  </si>
  <si>
    <t>AirTrafControlServiceTypeCode_arrivalControlService</t>
  </si>
  <si>
    <t>AirTrafControlServiceTypeCode_commonTraffAdviseFreqServ</t>
  </si>
  <si>
    <t>AirTrafControlServiceTypeCode_departureControlService</t>
  </si>
  <si>
    <t>AirTrafControlServiceTypeCode_lowAltitudeRadarService</t>
  </si>
  <si>
    <t>AirTrafControlServiceTypeCode_oceanicAreaControlService</t>
  </si>
  <si>
    <t>AirTrafControlServiceTypeCode_terminalControlService</t>
  </si>
  <si>
    <t>AirTrafControlServiceTypeCode_terminalRadarService</t>
  </si>
  <si>
    <t>AirTrafControlServiceTypeCode_upperAreaControlService</t>
  </si>
  <si>
    <t>AirTrafManageServiceTypeCode_airTrafficFlowManageServ</t>
  </si>
  <si>
    <t>AirTrafManageServiceTypeCode_clearance</t>
  </si>
  <si>
    <t>AirTrafManageServiceTypeCode_flightPlanningService</t>
  </si>
  <si>
    <t>AirTrafManageServiceTypeCode_flightPlanningValidServ</t>
  </si>
  <si>
    <t>AirTrafManageServiceTypeCode_scheduling</t>
  </si>
  <si>
    <t>AirTrafficTypePermittedCode_civil</t>
  </si>
  <si>
    <t>AirTrafficTypePermittedCode_instrumentFlightRules</t>
  </si>
  <si>
    <t>AirTrafficTypePermittedCode_international</t>
  </si>
  <si>
    <t>AirTrafficTypePermittedCode_military</t>
  </si>
  <si>
    <t>AirTrafficTypePermittedCode_national</t>
  </si>
  <si>
    <t>AirTrafficTypePermittedCode_nonScheduled</t>
  </si>
  <si>
    <t>AirTrafficTypePermittedCode_private</t>
  </si>
  <si>
    <t>AirTrafficTypePermittedCode_scheduled</t>
  </si>
  <si>
    <t>AirTrafficTypePermittedCode_visualFlightRules</t>
  </si>
  <si>
    <t>AtsRouteDesignatorSuffixCode_fAdvisoryOnly</t>
  </si>
  <si>
    <t>AtsRouteDesignatorSuffixCode_gFlightInformationOnly</t>
  </si>
  <si>
    <t>AtsRouteDesignatorSuffixCode_yTurnTolerance22p5NM</t>
  </si>
  <si>
    <t>AtsRouteDesignatorSuffixCode_zTurnTolerance15NM</t>
  </si>
  <si>
    <t>AtsRouteSegmentAvailableCode_alternate</t>
  </si>
  <si>
    <t>AtsRouteSegmentAvailableCode_closed</t>
  </si>
  <si>
    <t>AtsRouteSegmentAvailableCode_conditionalRouteType1</t>
  </si>
  <si>
    <t>AtsRouteSegmentAvailableCode_conditionalRouteType2</t>
  </si>
  <si>
    <t>AtsRouteSegmentAvailableCode_conditionalRouteType3</t>
  </si>
  <si>
    <t>AtsRouteSegmentAvailableCode_open</t>
  </si>
  <si>
    <t>AtsRouteSegmentAvailableCode_seasonal</t>
  </si>
  <si>
    <t>AtsRouteSegmentAvailableCode_specialUse</t>
  </si>
  <si>
    <t>AtsRouteSegmentAvailableCode_timetable</t>
  </si>
  <si>
    <t>AtsRouteSegmentPathBasisCode_arcByEdge</t>
  </si>
  <si>
    <t>AtsRouteSegmentPathBasisCode_clockwiseArc</t>
  </si>
  <si>
    <t>AtsRouteSegmentPathBasisCode_counterClockwiseArc</t>
  </si>
  <si>
    <t>AtsRouteSegmentPathBasisCode_geoBorderVertices</t>
  </si>
  <si>
    <t>AtsRouteSegmentPathBasisCode_geodesic</t>
  </si>
  <si>
    <t>AtsRouteSegmentPathBasisCode_greatCircle</t>
  </si>
  <si>
    <t>AtsRouteSegmentPathBasisCode_rhumbline</t>
  </si>
  <si>
    <t>AtsRouteSegmentUsageDirCode_backward</t>
  </si>
  <si>
    <t>AtsRouteSegmentUsageDirCode_both</t>
  </si>
  <si>
    <t>AtsRouteSegmentUsageDirCode_forward</t>
  </si>
  <si>
    <t>AtsRouteTypeCode_advisoryRoute</t>
  </si>
  <si>
    <t>AtsRouteTypeCode_areaNavigationRoute</t>
  </si>
  <si>
    <t>AtsRouteTypeCode_conventionalRoute</t>
  </si>
  <si>
    <t>AtsRouteTypeCode_corridorRoute</t>
  </si>
  <si>
    <t>AtsRouteTypeCode_direct</t>
  </si>
  <si>
    <t>AtsRouteTypeCode_helicopterRoute</t>
  </si>
  <si>
    <t>AtsRouteTypeCode_militaryRoute</t>
  </si>
  <si>
    <t>AtsRouteTypeCode_visualRoute</t>
  </si>
  <si>
    <t>AircraftApproachCatCode_categoryA</t>
  </si>
  <si>
    <t>AircraftApproachCatCode_categoryB</t>
  </si>
  <si>
    <t>AircraftApproachCatCode_categoryC</t>
  </si>
  <si>
    <t>AircraftApproachCatCode_categoryD</t>
  </si>
  <si>
    <t>AircraftApproachCatCode_categoryE</t>
  </si>
  <si>
    <t>AircraftApproachCatCode_categoryH</t>
  </si>
  <si>
    <t>AircraftDeIcingFluidTypeCode_milA_8243</t>
  </si>
  <si>
    <t>AircraftDeIcingFluidTypeCode_pressurizedAir</t>
  </si>
  <si>
    <t>AircraftDeIcingFluidTypeCode_s_1745</t>
  </si>
  <si>
    <t>AircraftDeIcingFluidTypeCode_s_745</t>
  </si>
  <si>
    <t>AircraftDeIcingFluidTypeCode_s_747</t>
  </si>
  <si>
    <t>AircraftDeIcingFluidTypeCode_tl_6850_0010</t>
  </si>
  <si>
    <t>AircraftDeIcingFluidTypeCode_tl_6850_0043</t>
  </si>
  <si>
    <t>AircraftFuelServiceUnitTypeCode_ma1</t>
  </si>
  <si>
    <t>AircraftFuelServiceUnitTypeCode_mh</t>
  </si>
  <si>
    <t>AircraftFuelServiceUnitTypeCode_t4</t>
  </si>
  <si>
    <t>AircraftFuelTransferInfCode_overWing</t>
  </si>
  <si>
    <t>AircraftFuelTransferInfCode_overWingDrums</t>
  </si>
  <si>
    <t>AircraftFuelTransferInfCode_underWing</t>
  </si>
  <si>
    <t>AircraftGroundServiceTypeCode_aircraftDeIcing</t>
  </si>
  <si>
    <t>AircraftGroundServiceTypeCode_aircraftHandling</t>
  </si>
  <si>
    <t>AircraftGroundServiceTypeCode_aircraftHangaring</t>
  </si>
  <si>
    <t>AircraftGroundServiceTypeCode_aircraftMaintenance</t>
  </si>
  <si>
    <t>AircraftGroundServiceTypeCode_aircraftRemoval</t>
  </si>
  <si>
    <t>AircraftGroundServiceTypeCode_aircraftRepair</t>
  </si>
  <si>
    <t>AircraftGroundServiceTypeCode_cargoHandling</t>
  </si>
  <si>
    <t>AircraftGroundServiceTypeCode_security</t>
  </si>
  <si>
    <t>AircraftSpeedReferenceCode_calibratedAirspeed</t>
  </si>
  <si>
    <t>AircraftSpeedReferenceCode_equivalentAirspeed</t>
  </si>
  <si>
    <t>AircraftSpeedReferenceCode_groundSpeed</t>
  </si>
  <si>
    <t>AircraftSpeedReferenceCode_indicatedAirspeed</t>
  </si>
  <si>
    <t>AircraftSpeedReferenceCode_trueAirspeed</t>
  </si>
  <si>
    <t>AircraftStandTypeCode_angledNoseIn</t>
  </si>
  <si>
    <t>AircraftStandTypeCode_angledNoseOut</t>
  </si>
  <si>
    <t>AircraftStandTypeCode_isolated</t>
  </si>
  <si>
    <t>AircraftStandTypeCode_noseIn</t>
  </si>
  <si>
    <t>AircraftStandTypeCode_parallel</t>
  </si>
  <si>
    <t>AircraftStandTypeCode_remote</t>
  </si>
  <si>
    <t>AirfieldSymbolTypeCode_abandonedClosedNotUsable</t>
  </si>
  <si>
    <t>AirfieldSymbolTypeCode_activeCivHeliLessMinFac</t>
  </si>
  <si>
    <t>AirfieldSymbolTypeCode_activeCivilHeliport</t>
  </si>
  <si>
    <t>AirfieldSymbolTypeCode_activeCivilian</t>
  </si>
  <si>
    <t>AirfieldSymbolTypeCode_activeJointCivMil</t>
  </si>
  <si>
    <t>AirfieldSymbolTypeCode_activeJointCivMilHeli</t>
  </si>
  <si>
    <t>AirfieldSymbolTypeCode_activeLessMinFac</t>
  </si>
  <si>
    <t>AirfieldSymbolTypeCode_activeMilHeliLessMinFac</t>
  </si>
  <si>
    <t>AirfieldSymbolTypeCode_activeMilitary</t>
  </si>
  <si>
    <t>AirfieldSymbolTypeCode_activeMilitaryHeliport</t>
  </si>
  <si>
    <t>AirfieldSymbolTypeCode_decoy</t>
  </si>
  <si>
    <t>AirfieldSymbolTypeCode_highwayStrip</t>
  </si>
  <si>
    <t>AirfieldSymbolTypeCode_unusableLandingOrTakeOff</t>
  </si>
  <si>
    <t>AirfieldTypeCode_major</t>
  </si>
  <si>
    <t>AirfieldTypeCode_minor</t>
  </si>
  <si>
    <t>AirfieldTypeCode_minorAndHard</t>
  </si>
  <si>
    <t>AirfieldTypeCode_minorSoft</t>
  </si>
  <si>
    <t>AirfieldUseCode_emergency</t>
  </si>
  <si>
    <t>AirfieldUseCode_generalAviatAircraftOper</t>
  </si>
  <si>
    <t>AirfieldUseCode_gliderSite</t>
  </si>
  <si>
    <t>AirfieldUseCode_hangGliderSite</t>
  </si>
  <si>
    <t>AirfieldUseCode_majorAirfield</t>
  </si>
  <si>
    <t>AirfieldUseCode_minorAirfield</t>
  </si>
  <si>
    <t>AirfieldUseCode_parascendingSite</t>
  </si>
  <si>
    <t>AirfieldUseCode_searchRescue</t>
  </si>
  <si>
    <t>AirfieldUseCode_ultralightSite</t>
  </si>
  <si>
    <t>AirfieldUseCode_winchLaunchHangGliderSite</t>
  </si>
  <si>
    <t>AirportCommunicationClassCode_uhfEmergencyFreq243r0</t>
  </si>
  <si>
    <t>AirportCommunicationClassCode_vhfEmergencyFreq121r5</t>
  </si>
  <si>
    <t>AirportCommunicationClassCode_vhfUhfEmergencyFreq</t>
  </si>
  <si>
    <t>AirspaceActivityCode_accidentInvestigation</t>
  </si>
  <si>
    <t>AirspaceActivityCode_aerialGunnery</t>
  </si>
  <si>
    <t>AirspaceActivityCode_aerialSporting</t>
  </si>
  <si>
    <t>AirspaceActivityCode_aerialWork</t>
  </si>
  <si>
    <t>AirspaceActivityCode_aerobatics</t>
  </si>
  <si>
    <t>AirspaceActivityCode_aerodromeTraffic</t>
  </si>
  <si>
    <t>AirspaceActivityCode_airCombatOrExercises</t>
  </si>
  <si>
    <t>AirspaceActivityCode_airRefuelling</t>
  </si>
  <si>
    <t>AirspaceActivityCode_airShow</t>
  </si>
  <si>
    <t>AirspaceActivityCode_airTrafficServices</t>
  </si>
  <si>
    <t>AirspaceActivityCode_antiHailRocketFiring</t>
  </si>
  <si>
    <t>AirspaceActivityCode_artilleryFiring</t>
  </si>
  <si>
    <t>AirspaceActivityCode_birdHazard</t>
  </si>
  <si>
    <t>AirspaceActivityCode_birdMigration</t>
  </si>
  <si>
    <t>AirspaceActivityCode_blastingOperations</t>
  </si>
  <si>
    <t>AirspaceActivityCode_channelSpacingEquip8r33</t>
  </si>
  <si>
    <t>AirspaceActivityCode_chemicalPlant</t>
  </si>
  <si>
    <t>AirspaceActivityCode_climbOutJetAircraft</t>
  </si>
  <si>
    <t>AirspaceActivityCode_droppings</t>
  </si>
  <si>
    <t>AirspaceActivityCode_fireworks</t>
  </si>
  <si>
    <t>AirspaceActivityCode_flightGuidedMissiles</t>
  </si>
  <si>
    <t>AirspaceActivityCode_gasFieldOrGasolineVapor</t>
  </si>
  <si>
    <t>AirspaceActivityCode_gliding</t>
  </si>
  <si>
    <t>AirspaceActivityCode_hangGliding</t>
  </si>
  <si>
    <t>AirspaceActivityCode_heavyFireSuppressionWork</t>
  </si>
  <si>
    <t>AirspaceActivityCode_helicopterGyroTraffic</t>
  </si>
  <si>
    <t>AirspaceActivityCode_highIntensityLights</t>
  </si>
  <si>
    <t>AirspaceActivityCode_highIntensityRadioTrans</t>
  </si>
  <si>
    <t>AirspaceActivityCode_highlyPopulatedArea</t>
  </si>
  <si>
    <t>AirspaceActivityCode_hotAirBalloons</t>
  </si>
  <si>
    <t>AirspaceActivityCode_laserUsage</t>
  </si>
  <si>
    <t>AirspaceActivityCode_militaryOperations</t>
  </si>
  <si>
    <t>AirspaceActivityCode_naturalReserve</t>
  </si>
  <si>
    <t>AirspaceActivityCode_navalFiringAndOrPractice</t>
  </si>
  <si>
    <t>AirspaceActivityCode_noiseAbatement</t>
  </si>
  <si>
    <t>AirspaceActivityCode_nuclearEnergyPlant</t>
  </si>
  <si>
    <t>AirspaceActivityCode_oilField</t>
  </si>
  <si>
    <t>AirspaceActivityCode_parachuteJumping</t>
  </si>
  <si>
    <t>AirspaceActivityCode_paragliding</t>
  </si>
  <si>
    <t>AirspaceActivityCode_petrochemicalRefinery</t>
  </si>
  <si>
    <t>AirspaceActivityCode_president</t>
  </si>
  <si>
    <t>AirspaceActivityCode_radiosonde</t>
  </si>
  <si>
    <t>AirspaceActivityCode_rnavEquipment</t>
  </si>
  <si>
    <t>AirspaceActivityCode_rvsmEquipment</t>
  </si>
  <si>
    <t>AirspaceActivityCode_seasonalCropDusting</t>
  </si>
  <si>
    <t>AirspaceActivityCode_sensitiveFauna</t>
  </si>
  <si>
    <t>AirspaceActivityCode_shootingFromGround</t>
  </si>
  <si>
    <t>AirspaceActivityCode_spaceFlightOperations</t>
  </si>
  <si>
    <t>AirspaceActivityCode_specialEquipment</t>
  </si>
  <si>
    <t>AirspaceActivityCode_specialProcedure</t>
  </si>
  <si>
    <t>AirspaceActivityCode_targetTowing</t>
  </si>
  <si>
    <t>AirspaceActivityCode_technicalActivity</t>
  </si>
  <si>
    <t>AirspaceActivityCode_training</t>
  </si>
  <si>
    <t>AirspaceActivityCode_ultraLightFlights</t>
  </si>
  <si>
    <t>AirspaceActivityCode_underwaterExplosions</t>
  </si>
  <si>
    <t>AirspaceActivityCode_unmannedAerialVehicles</t>
  </si>
  <si>
    <t>AirspaceActivityCode_vipPublicFigure</t>
  </si>
  <si>
    <t>AirspaceActivityCode_vipVicePresident</t>
  </si>
  <si>
    <t>AirspaceClassCode_classA</t>
  </si>
  <si>
    <t>AirspaceClassCode_classB</t>
  </si>
  <si>
    <t>AirspaceClassCode_classC</t>
  </si>
  <si>
    <t>AirspaceClassCode_classD</t>
  </si>
  <si>
    <t>AirspaceClassCode_classE</t>
  </si>
  <si>
    <t>AirspaceClassCode_classF</t>
  </si>
  <si>
    <t>AirspaceClassCode_classG</t>
  </si>
  <si>
    <t>AirspaceControlCode_bothCivilMilitaryControl</t>
  </si>
  <si>
    <t>AirspaceControlCode_civilControl</t>
  </si>
  <si>
    <t>AirspaceControlCode_militaryControl</t>
  </si>
  <si>
    <t>AirspaceTypeCode_advisoryArea</t>
  </si>
  <si>
    <t>AirspaceTypeCode_aerodromeTrafficZone</t>
  </si>
  <si>
    <t>AirspaceTypeCode_airDefenseIdentZone</t>
  </si>
  <si>
    <t>AirspaceTypeCode_airway</t>
  </si>
  <si>
    <t>AirspaceTypeCode_alertArea</t>
  </si>
  <si>
    <t>AirspaceTypeCode_altimeterSettingRegion</t>
  </si>
  <si>
    <t>AirspaceTypeCode_amcManageableDangerArea</t>
  </si>
  <si>
    <t>AirspaceTypeCode_amcManageableRestrictArea</t>
  </si>
  <si>
    <t>AirspaceTypeCode_areaMinimumAltitude</t>
  </si>
  <si>
    <t>AirspaceTypeCode_controlArea</t>
  </si>
  <si>
    <t>AirspaceTypeCode_controlSector</t>
  </si>
  <si>
    <t>AirspaceTypeCode_controlZone</t>
  </si>
  <si>
    <t>AirspaceTypeCode_crossBorderArea</t>
  </si>
  <si>
    <t>AirspaceTypeCode_dangerArea</t>
  </si>
  <si>
    <t>AirspaceTypeCode_flightInformationRegion</t>
  </si>
  <si>
    <t>AirspaceTypeCode_frenchPeripheralZone</t>
  </si>
  <si>
    <t>AirspaceTypeCode_germanDeconflictionLine</t>
  </si>
  <si>
    <t>AirspaceTypeCode_germanLowFlyAreas250Feet</t>
  </si>
  <si>
    <t>AirspaceTypeCode_germanNightLowFlyingSys</t>
  </si>
  <si>
    <t>AirspaceTypeCode_lowerTrafficArea</t>
  </si>
  <si>
    <t>AirspaceTypeCode_milAerodromeTrafficZone</t>
  </si>
  <si>
    <t>AirspaceTypeCode_militaryOperationsArea</t>
  </si>
  <si>
    <t>AirspaceTypeCode_milTerminalControlArea</t>
  </si>
  <si>
    <t>AirspaceTypeCode_noFlyArea</t>
  </si>
  <si>
    <t>AirspaceTypeCode_oceanicControlArea</t>
  </si>
  <si>
    <t>AirspaceTypeCode_prohibitedArea</t>
  </si>
  <si>
    <t>AirspaceTypeCode_reducedCoOrdinationArea</t>
  </si>
  <si>
    <t>AirspaceTypeCode_restrictedArea</t>
  </si>
  <si>
    <t>AirspaceTypeCode_specialRulesZone</t>
  </si>
  <si>
    <t>AirspaceTypeCode_standardPressureRegion</t>
  </si>
  <si>
    <t>AirspaceTypeCode_temporaryReservedArea</t>
  </si>
  <si>
    <t>AirspaceTypeCode_temporarySegregatedArea</t>
  </si>
  <si>
    <t>AirspaceTypeCode_terminalControlArea</t>
  </si>
  <si>
    <t>AirspaceTypeCode_upperAdvisoryArea</t>
  </si>
  <si>
    <t>AirspaceTypeCode_upperControlArea</t>
  </si>
  <si>
    <t>AirspaceTypeCode_upperFlightInfoRegion</t>
  </si>
  <si>
    <t>AirspaceTypeCode_warningArea</t>
  </si>
  <si>
    <t>AllowedAircraftOnRouteCode_helicopterPerformanceClass</t>
  </si>
  <si>
    <t>AllowedAircraftOnRouteCode_helicopterPropeller</t>
  </si>
  <si>
    <t>AllowedAircraftOnRouteCode_jet</t>
  </si>
  <si>
    <t>AllowedAircraftOnRouteCode_jetPropeller</t>
  </si>
  <si>
    <t>AllowedAircraftOnRouteCode_jetPropellerHelicopter</t>
  </si>
  <si>
    <t>AllowedAircraftOnRouteCode_propeller</t>
  </si>
  <si>
    <t>AltitudeDescriptionCode_asAssigned</t>
  </si>
  <si>
    <t>AltitudeDescriptionCode_atOrAbove</t>
  </si>
  <si>
    <t>AltitudeDescriptionCode_atOrBelow</t>
  </si>
  <si>
    <t>AltitudeDescriptionCode_between</t>
  </si>
  <si>
    <t>AltitudeDescriptionCode_expected</t>
  </si>
  <si>
    <t>AltitudeDescriptionCode_mandatory</t>
  </si>
  <si>
    <t>AltitudeDescriptionCode_recommended</t>
  </si>
  <si>
    <t>AmusementAttractionTypeCode_artificialMountain</t>
  </si>
  <si>
    <t>AmusementAttractionTypeCode_ferrisWheel</t>
  </si>
  <si>
    <t>AmusementAttractionTypeCode_rollerCoaster</t>
  </si>
  <si>
    <t>AmusementAttractionTypeCode_spherical</t>
  </si>
  <si>
    <t>AmusementAttractionTypeCode_verticalRide</t>
  </si>
  <si>
    <t>AmusementAttractionTypeCode_waterAttraction</t>
  </si>
  <si>
    <t>AnchorageTypeCode_anchorageBerth</t>
  </si>
  <si>
    <t>AnchorageTypeCode_anchorageUpTo24Hours</t>
  </si>
  <si>
    <t>AnchorageTypeCode_deepWaterAnchorage</t>
  </si>
  <si>
    <t>AnchorageTypeCode_explosivesAnchorage</t>
  </si>
  <si>
    <t>AnchorageTypeCode_navalReserveAnchorage</t>
  </si>
  <si>
    <t>AnchorageTypeCode_quarantineAnchorage</t>
  </si>
  <si>
    <t>AnchorageTypeCode_reservedAnchorage</t>
  </si>
  <si>
    <t>AnchorageTypeCode_seaplaneAnchorage</t>
  </si>
  <si>
    <t>AnchorageTypeCode_smallCraftAnchorage</t>
  </si>
  <si>
    <t>AnchorageTypeCode_smallCraftMooringArea</t>
  </si>
  <si>
    <t>AnchorageTypeCode_tankerAnchorage</t>
  </si>
  <si>
    <t>AnchorageTypeCode_timeLimited</t>
  </si>
  <si>
    <t>AnchorageTypeCode_unrestrictedAnchorage</t>
  </si>
  <si>
    <t>ApproachCapMarkingsCode_nonPrecision</t>
  </si>
  <si>
    <t>ApproachCapMarkingsCode_precision</t>
  </si>
  <si>
    <t>ApproachCapMarkingsCode_visual</t>
  </si>
  <si>
    <t>ApproachPrefixCode_converging</t>
  </si>
  <si>
    <t>ApproachPrefixCode_copter</t>
  </si>
  <si>
    <t>ApproachPrefixCode_hi</t>
  </si>
  <si>
    <t>ApproachTypeCode_airborneRadarApproach</t>
  </si>
  <si>
    <t>ApproachTypeCode_airportSurveillanceRadar</t>
  </si>
  <si>
    <t>ApproachTypeCode_airRouteSurveillanceRadar</t>
  </si>
  <si>
    <t>ApproachTypeCode_areaNavigation</t>
  </si>
  <si>
    <t>ApproachTypeCode_distanceMeasuringEquipment</t>
  </si>
  <si>
    <t>ApproachTypeCode_dmeWithDistMeasuringEquip</t>
  </si>
  <si>
    <t>ApproachTypeCode_globalNavSatelliteSystem</t>
  </si>
  <si>
    <t>ApproachTypeCode_globalPositioningSystem</t>
  </si>
  <si>
    <t>ApproachTypeCode_ilsUsingPrecRunwayMonitor</t>
  </si>
  <si>
    <t>ApproachTypeCode_ilsWithDistMeasuringEquip</t>
  </si>
  <si>
    <t>ApproachTypeCode_instrumentGuidanceSystem</t>
  </si>
  <si>
    <t>ApproachTypeCode_instrumentLandingSystem</t>
  </si>
  <si>
    <t>ApproachTypeCode_ldaWithDistMeasuringEquip</t>
  </si>
  <si>
    <t>ApproachTypeCode_localizer</t>
  </si>
  <si>
    <t>ApproachTypeCode_localizerBackCourse</t>
  </si>
  <si>
    <t>ApproachTypeCode_localizerTypeDirectionAid</t>
  </si>
  <si>
    <t>ApproachTypeCode_localizerWithDme</t>
  </si>
  <si>
    <t>ApproachTypeCode_localizerWithDmeBackCourse</t>
  </si>
  <si>
    <t>ApproachTypeCode_microwaveLandingSystem</t>
  </si>
  <si>
    <t>ApproachTypeCode_mlsWithDistMeasuringEquip</t>
  </si>
  <si>
    <t>ApproachTypeCode_ndbWithDistMeasuringEquip</t>
  </si>
  <si>
    <t>ApproachTypeCode_nonDirectionalBeacon</t>
  </si>
  <si>
    <t>ApproachTypeCode_precisionApproachRadar</t>
  </si>
  <si>
    <t>ApproachTypeCode_requiredNavPerformance</t>
  </si>
  <si>
    <t>ApproachTypeCode_rnavToInstLandingSys</t>
  </si>
  <si>
    <t>ApproachTypeCode_satelliteBasedAugSystem</t>
  </si>
  <si>
    <t>ApproachTypeCode_simplifiedDirectionalFac</t>
  </si>
  <si>
    <t>ApproachTypeCode_specAircraftCrewApproval</t>
  </si>
  <si>
    <t>ApproachTypeCode_transponderLandingSystem</t>
  </si>
  <si>
    <t>ApproachTypeCode_uhfTacticalAirNavBeacon</t>
  </si>
  <si>
    <t>ApproachTypeCode_vhfOmnidirectionalRadio</t>
  </si>
  <si>
    <t>ApproachTypeCode_visual</t>
  </si>
  <si>
    <t>ApproachTypeCode_vorWithDistMeasuringEquip</t>
  </si>
  <si>
    <t>ApproachTypeCode_vorWithTacanBeacon</t>
  </si>
  <si>
    <t>ApronTypeCode_cargo</t>
  </si>
  <si>
    <t>ApronTypeCode_dispersal</t>
  </si>
  <si>
    <t>ApronTypeCode_generalAviation</t>
  </si>
  <si>
    <t>ApronTypeCode_holding</t>
  </si>
  <si>
    <t>ApronTypeCode_military</t>
  </si>
  <si>
    <t>ApronTypeCode_passenger</t>
  </si>
  <si>
    <t>ApronTypeCode_remoteParking</t>
  </si>
  <si>
    <t>ApronTypeCode_servicesHangar</t>
  </si>
  <si>
    <t>ApronUsageCode_alert</t>
  </si>
  <si>
    <t>ApronUsageCode_compassRose</t>
  </si>
  <si>
    <t>ApronUsageCode_decontamination</t>
  </si>
  <si>
    <t>ApronUsageCode_deIcingAntiIcing</t>
  </si>
  <si>
    <t>ApronUsageCode_engineRunUp</t>
  </si>
  <si>
    <t>ApronUsageCode_firingIn</t>
  </si>
  <si>
    <t>ApronUsageCode_fuelling</t>
  </si>
  <si>
    <t>ApronUsageCode_hotRefuelling</t>
  </si>
  <si>
    <t>ApronUsageCode_insAlignment</t>
  </si>
  <si>
    <t>ApronUsageCode_loadingUnloading</t>
  </si>
  <si>
    <t>ApronUsageCode_maintenance</t>
  </si>
  <si>
    <t>ApronUsageCode_parking</t>
  </si>
  <si>
    <t>ApronUsageCode_transient</t>
  </si>
  <si>
    <t>ApronUsageCode_weaponLoading</t>
  </si>
  <si>
    <t>AquacultureFacilityTypeCode_fishFarm</t>
  </si>
  <si>
    <t>AquacultureFacilityTypeCode_fishHatchery</t>
  </si>
  <si>
    <t>AquacultureFacilityTypeCode_freshwaterPrawnFarm</t>
  </si>
  <si>
    <t>AquacultureFacilityTypeCode_kelpFarm</t>
  </si>
  <si>
    <t>AquacultureFacilityTypeCode_marineCulture</t>
  </si>
  <si>
    <t>AquacultureFacilityTypeCode_seaRanch</t>
  </si>
  <si>
    <t>AquacultureFacilityTypeCode_shrimpFarm</t>
  </si>
  <si>
    <t>AquaticVegGrowthHabitCode_emergent</t>
  </si>
  <si>
    <t>AquaticVegGrowthHabitCode_freeFloating</t>
  </si>
  <si>
    <t>AquaticVegGrowthHabitCode_submerged</t>
  </si>
  <si>
    <t>AquaticVegGrowthHabitCode_waterlogged</t>
  </si>
  <si>
    <t>AqueductTypeCode_qanat</t>
  </si>
  <si>
    <t>AqueductTypeCode_surface</t>
  </si>
  <si>
    <t>AqueductTypeCode_underground</t>
  </si>
  <si>
    <t>AqueductTypeCode_underwater</t>
  </si>
  <si>
    <t>AquiferCompositionCode_basalt</t>
  </si>
  <si>
    <t>AquiferCompositionCode_boulders</t>
  </si>
  <si>
    <t>AquiferCompositionCode_clay</t>
  </si>
  <si>
    <t>AquiferCompositionCode_conglomerate</t>
  </si>
  <si>
    <t>AquiferCompositionCode_dolomite</t>
  </si>
  <si>
    <t>AquiferCompositionCode_granite</t>
  </si>
  <si>
    <t>AquiferCompositionCode_gravel</t>
  </si>
  <si>
    <t>AquiferCompositionCode_igneousRock</t>
  </si>
  <si>
    <t>AquiferCompositionCode_karst</t>
  </si>
  <si>
    <t>AquiferCompositionCode_limestone</t>
  </si>
  <si>
    <t>AquiferCompositionCode_marl</t>
  </si>
  <si>
    <t>AquiferCompositionCode_metamorphicRock</t>
  </si>
  <si>
    <t>AquiferCompositionCode_mud</t>
  </si>
  <si>
    <t>AquiferCompositionCode_sand</t>
  </si>
  <si>
    <t>AquiferCompositionCode_schist</t>
  </si>
  <si>
    <t>AquiferCompositionCode_semiConsolidatedVolcanicAsh</t>
  </si>
  <si>
    <t>AquiferCompositionCode_unconsolidated</t>
  </si>
  <si>
    <t>AquiferCompositionCode_volcanicRock</t>
  </si>
  <si>
    <t>AquiferOverburdenCode_basalt</t>
  </si>
  <si>
    <t>AquiferOverburdenCode_boulders</t>
  </si>
  <si>
    <t>AquiferOverburdenCode_clay</t>
  </si>
  <si>
    <t>AquiferOverburdenCode_conglomerate</t>
  </si>
  <si>
    <t>AquiferOverburdenCode_dolomite</t>
  </si>
  <si>
    <t>AquiferOverburdenCode_granite</t>
  </si>
  <si>
    <t>AquiferOverburdenCode_gravel</t>
  </si>
  <si>
    <t>AquiferOverburdenCode_igneousRock</t>
  </si>
  <si>
    <t>AquiferOverburdenCode_karst</t>
  </si>
  <si>
    <t>AquiferOverburdenCode_limestone</t>
  </si>
  <si>
    <t>AquiferOverburdenCode_marl</t>
  </si>
  <si>
    <t>AquiferOverburdenCode_metamorphicRock</t>
  </si>
  <si>
    <t>AquiferOverburdenCode_mud</t>
  </si>
  <si>
    <t>AquiferOverburdenCode_sand</t>
  </si>
  <si>
    <t>AquiferOverburdenCode_schist</t>
  </si>
  <si>
    <t>AquiferOverburdenCode_semiConsolidatedVolcanicAsh</t>
  </si>
  <si>
    <t>AquiferOverburdenCode_unconsolidated</t>
  </si>
  <si>
    <t>AquiferOverburdenCode_volcanicRock</t>
  </si>
  <si>
    <t>ArrestSysCommandCode_argentinianAirForce</t>
  </si>
  <si>
    <t>ArrestSysCommandCode_australianDeptOfSupply</t>
  </si>
  <si>
    <t>ArrestSysCommandCode_austrianAirForce</t>
  </si>
  <si>
    <t>ArrestSysCommandCode_bangladeshDeptCivAviation</t>
  </si>
  <si>
    <t>ArrestSysCommandCode_belgiumAirForce</t>
  </si>
  <si>
    <t>ArrestSysCommandCode_brazilianAirForce</t>
  </si>
  <si>
    <t>ArrestSysCommandCode_canadianArmedForces</t>
  </si>
  <si>
    <t>ArrestSysCommandCode_chileanAirForce</t>
  </si>
  <si>
    <t>ArrestSysCommandCode_chineseAirForce</t>
  </si>
  <si>
    <t>ArrestSysCommandCode_civilian</t>
  </si>
  <si>
    <t>ArrestSysCommandCode_colombianAirForce</t>
  </si>
  <si>
    <t>ArrestSysCommandCode_finnishDefenseForces</t>
  </si>
  <si>
    <t>ArrestSysCommandCode_frenchAirForce</t>
  </si>
  <si>
    <t>ArrestSysCommandCode_frenchNavy</t>
  </si>
  <si>
    <t>ArrestSysCommandCode_germanAirForce</t>
  </si>
  <si>
    <t>ArrestSysCommandCode_germanNavy</t>
  </si>
  <si>
    <t>ArrestSysCommandCode_hellenicAirForceCommand</t>
  </si>
  <si>
    <t>ArrestSysCommandCode_indianAirForce</t>
  </si>
  <si>
    <t>ArrestSysCommandCode_indonesianAirForce</t>
  </si>
  <si>
    <t>ArrestSysCommandCode_iranianAirForce</t>
  </si>
  <si>
    <t>ArrestSysCommandCode_israeliAirForce</t>
  </si>
  <si>
    <t>ArrestSysCommandCode_italianAirForce</t>
  </si>
  <si>
    <t>ArrestSysCommandCode_japanAirSelfDefenseForce</t>
  </si>
  <si>
    <t>ArrestSysCommandCode_japanCivilAviationBureau</t>
  </si>
  <si>
    <t>ArrestSysCommandCode_japanGndSelfDefenseForce</t>
  </si>
  <si>
    <t>ArrestSysCommandCode_japanMarSelfDefenseForce</t>
  </si>
  <si>
    <t>ArrestSysCommandCode_libyanAirForce</t>
  </si>
  <si>
    <t>ArrestSysCommandCode_mexicanAirForce</t>
  </si>
  <si>
    <t>ArrestSysCommandCode_omanAirForce</t>
  </si>
  <si>
    <t>ArrestSysCommandCode_pacificAirForces</t>
  </si>
  <si>
    <t>ArrestSysCommandCode_pakistaniAirForce</t>
  </si>
  <si>
    <t>ArrestSysCommandCode_peruvianAirForce</t>
  </si>
  <si>
    <t>ArrestSysCommandCode_philippineAirForce</t>
  </si>
  <si>
    <t>ArrestSysCommandCode_portugueseAirForce</t>
  </si>
  <si>
    <t>ArrestSysCommandCode_republicOfKoreaAirForce</t>
  </si>
  <si>
    <t>ArrestSysCommandCode_royalAirForce</t>
  </si>
  <si>
    <t>ArrestSysCommandCode_royalAustralianAirForce</t>
  </si>
  <si>
    <t>ArrestSysCommandCode_royalAustralianNavy</t>
  </si>
  <si>
    <t>ArrestSysCommandCode_royalDanishAirForce</t>
  </si>
  <si>
    <t>ArrestSysCommandCode_royalJordanianAirForce</t>
  </si>
  <si>
    <t>ArrestSysCommandCode_royalMalaysianAirForce</t>
  </si>
  <si>
    <t>ArrestSysCommandCode_royalNavyUnitedKingdom</t>
  </si>
  <si>
    <t>ArrestSysCommandCode_royalNetherlandsAirForce</t>
  </si>
  <si>
    <t>ArrestSysCommandCode_royalNetherlandsNavy</t>
  </si>
  <si>
    <t>ArrestSysCommandCode_royalNewZealandAirForce</t>
  </si>
  <si>
    <t>ArrestSysCommandCode_royalNorwegianAirForce</t>
  </si>
  <si>
    <t>ArrestSysCommandCode_royalSaudiArabianAirForce</t>
  </si>
  <si>
    <t>ArrestSysCommandCode_royalSwedishAirForce</t>
  </si>
  <si>
    <t>ArrestSysCommandCode_royalThaiAirForce</t>
  </si>
  <si>
    <t>ArrestSysCommandCode_singaporeArmedForces</t>
  </si>
  <si>
    <t>ArrestSysCommandCode_southAfricanAirForce</t>
  </si>
  <si>
    <t>ArrestSysCommandCode_spanishAirForce</t>
  </si>
  <si>
    <t>ArrestSysCommandCode_swissAirForce</t>
  </si>
  <si>
    <t>ArrestSysCommandCode_turkishAirForce</t>
  </si>
  <si>
    <t>ArrestSysCommandCode_usAirForceAirCombatCmd</t>
  </si>
  <si>
    <t>ArrestSysCommandCode_usAirForceAirMobilityCmd</t>
  </si>
  <si>
    <t>ArrestSysCommandCode_usAirForceEducTrainCmd</t>
  </si>
  <si>
    <t>ArrestSysCommandCode_usAirForceElecSecurityCmd</t>
  </si>
  <si>
    <t>ArrestSysCommandCode_usAirForceEurope</t>
  </si>
  <si>
    <t>ArrestSysCommandCode_usAirForceMaterialCmd</t>
  </si>
  <si>
    <t>ArrestSysCommandCode_usAirForceReserve</t>
  </si>
  <si>
    <t>ArrestSysCommandCode_usAirForceSpaceCmd</t>
  </si>
  <si>
    <t>ArrestSysCommandCode_usAirNationalGuard</t>
  </si>
  <si>
    <t>ArrestSysCommandCode_usNavyMarineCorps</t>
  </si>
  <si>
    <t>ArrestSysCommandCode_usNavyNavalAirAtlantic</t>
  </si>
  <si>
    <t>ArrestSysCommandCode_usNavyNavalAirPacific</t>
  </si>
  <si>
    <t>ArrestSysCommandCode_usNavyNavalAirTraining</t>
  </si>
  <si>
    <t>ArrestSysCommandCode_usNavyNavalForcesEurope</t>
  </si>
  <si>
    <t>ArrestSysCommandCode_usNavyNavalMaterial</t>
  </si>
  <si>
    <t>ArrestSysEnergyAbsCode_barrierDiskSafeland</t>
  </si>
  <si>
    <t>ArrestSysEnergyAbsCode_chainCHAG</t>
  </si>
  <si>
    <t>ArrestSysEnergyAbsCode_chainE5</t>
  </si>
  <si>
    <t>ArrestSysEnergyAbsCode_chainE5_1</t>
  </si>
  <si>
    <t>ArrestSysEnergyAbsCode_chainE5_2</t>
  </si>
  <si>
    <t>ArrestSysEnergyAbsCode_chainE5_3</t>
  </si>
  <si>
    <t>ArrestSysEnergyAbsCode_chainE6</t>
  </si>
  <si>
    <t>ArrestSysEnergyAbsCode_diskBEFAB_12_3</t>
  </si>
  <si>
    <t>ArrestSysEnergyAbsCode_diskBEFAB_20_4</t>
  </si>
  <si>
    <t>ArrestSysEnergyAbsCode_diskBEFAB_21_2</t>
  </si>
  <si>
    <t>ArrestSysEnergyAbsCode_diskBEFAB_24_4</t>
  </si>
  <si>
    <t>ArrestSysEnergyAbsCode_diskBEFAB_56_2</t>
  </si>
  <si>
    <t>ArrestSysEnergyAbsCode_diskBEFAB_6_3</t>
  </si>
  <si>
    <t>ArrestSysEnergyAbsCode_diskBEFAB_60_2</t>
  </si>
  <si>
    <t>ArrestSysEnergyAbsCode_diskBEFAB_8_3</t>
  </si>
  <si>
    <t>ArrestSysEnergyAbsCode_diskRAF_MK_12A</t>
  </si>
  <si>
    <t>ArrestSysEnergyAbsCode_diskRAF_MK_6</t>
  </si>
  <si>
    <t>ArrestSysEnergyAbsCode_diskRafTypeA_BEFAB_6_3</t>
  </si>
  <si>
    <t>ArrestSysEnergyAbsCode_diskRafTypeB_BEFAB_12_3</t>
  </si>
  <si>
    <t>ArrestSysEnergyAbsCode_engMatArrestSystem</t>
  </si>
  <si>
    <t>ArrestSysEnergyAbsCode_linearBAK_6</t>
  </si>
  <si>
    <t>ArrestSysEnergyAbsCode_linearSPRAG_MK_1</t>
  </si>
  <si>
    <t>ArrestSysEnergyAbsCode_mobileRotaryHydraulicWater</t>
  </si>
  <si>
    <t>ArrestSysEnergyAbsCode_mobileRotaryM21</t>
  </si>
  <si>
    <t>ArrestSysEnergyAbsCode_mobileRotaryMAAS</t>
  </si>
  <si>
    <t>ArrestSysEnergyAbsCode_mobileRotaryMAG_I</t>
  </si>
  <si>
    <t>ArrestSysEnergyAbsCode_mobileRotaryMAG_II</t>
  </si>
  <si>
    <t>ArrestSysEnergyAbsCode_mobileRotaryMAG_III</t>
  </si>
  <si>
    <t>ArrestSysEnergyAbsCode_mobileRotaryMAG_IV</t>
  </si>
  <si>
    <t>ArrestSysEnergyAbsCode_mobileRotaryMAG_IX</t>
  </si>
  <si>
    <t>ArrestSysEnergyAbsCode_mobileRotaryMAG_VI</t>
  </si>
  <si>
    <t>ArrestSysEnergyAbsCode_mobileRotaryMAG_VII</t>
  </si>
  <si>
    <t>ArrestSysEnergyAbsCode_mobileRotaryMAG_VIII</t>
  </si>
  <si>
    <t>ArrestSysEnergyAbsCode_mobileRotaryMAG_X</t>
  </si>
  <si>
    <t>ArrestSysEnergyAbsCode_rafPortableArrestingGear</t>
  </si>
  <si>
    <t>ArrestSysEnergyAbsCode_rotary1300</t>
  </si>
  <si>
    <t>ArrestSysEnergyAbsCode_rotary2800</t>
  </si>
  <si>
    <t>ArrestSysEnergyAbsCode_rotary34B_1A</t>
  </si>
  <si>
    <t>ArrestSysEnergyAbsCode_rotary34B_1B</t>
  </si>
  <si>
    <t>ArrestSysEnergyAbsCode_rotary34B_1C</t>
  </si>
  <si>
    <t>ArrestSysEnergyAbsCode_rotary34D_1F</t>
  </si>
  <si>
    <t>ArrestSysEnergyAbsCode_rotary44B_2C</t>
  </si>
  <si>
    <t>ArrestSysEnergyAbsCode_rotary44B_2D</t>
  </si>
  <si>
    <t>ArrestSysEnergyAbsCode_rotary44B_2E</t>
  </si>
  <si>
    <t>ArrestSysEnergyAbsCode_rotary44B_2F</t>
  </si>
  <si>
    <t>ArrestSysEnergyAbsCode_rotary44B_2H</t>
  </si>
  <si>
    <t>ArrestSysEnergyAbsCode_rotary44B_2I</t>
  </si>
  <si>
    <t>ArrestSysEnergyAbsCode_rotary44B_2L</t>
  </si>
  <si>
    <t>ArrestSysEnergyAbsCode_rotary44B_3A</t>
  </si>
  <si>
    <t>ArrestSysEnergyAbsCode_rotary44B_3H</t>
  </si>
  <si>
    <t>ArrestSysEnergyAbsCode_rotary44B_3L</t>
  </si>
  <si>
    <t>ArrestSysEnergyAbsCode_rotary44B_4C</t>
  </si>
  <si>
    <t>ArrestSysEnergyAbsCode_rotary44B_4E</t>
  </si>
  <si>
    <t>ArrestSysEnergyAbsCode_rotary44B_4H</t>
  </si>
  <si>
    <t>ArrestSysEnergyAbsCode_rotary500S</t>
  </si>
  <si>
    <t>ArrestSysEnergyAbsCode_rotary500S_4</t>
  </si>
  <si>
    <t>ArrestSysEnergyAbsCode_rotary500S_6</t>
  </si>
  <si>
    <t>ArrestSysEnergyAbsCode_rotary500S_8</t>
  </si>
  <si>
    <t>ArrestSysEnergyAbsCode_rotaryAAE_64</t>
  </si>
  <si>
    <t>ArrestSysEnergyAbsCode_rotaryBAK_12A</t>
  </si>
  <si>
    <t>ArrestSysEnergyAbsCode_rotaryBAK_12B</t>
  </si>
  <si>
    <t>ArrestSysEnergyAbsCode_rotaryBAK_13</t>
  </si>
  <si>
    <t>ArrestSysEnergyAbsCode_rotaryBAK_9</t>
  </si>
  <si>
    <t>ArrestSysEnergyAbsCode_rotaryChainJetStop</t>
  </si>
  <si>
    <t>ArrestSysEnergyAbsCode_rotaryDualBAK_12</t>
  </si>
  <si>
    <t>ArrestSysEnergyAbsCode_rotaryE15</t>
  </si>
  <si>
    <t>ArrestSysEnergyAbsCode_rotaryE27</t>
  </si>
  <si>
    <t>ArrestSysEnergyAbsCode_rotaryE28</t>
  </si>
  <si>
    <t>ArrestSysEnergyAbsCode_rotaryHydraulicWater</t>
  </si>
  <si>
    <t>ArrestSysEnergyAbsCode_rotaryPUAG_MK_21</t>
  </si>
  <si>
    <t>ArrestSysEnergyAbsCode_rotaryRHAG_MK_1</t>
  </si>
  <si>
    <t>ArrestSysEnergyAbsCode_rotaryTrans500S_8</t>
  </si>
  <si>
    <t>ArrestSysEnergyAbsCode_textileMB_100</t>
  </si>
  <si>
    <t>ArrestSysEnergyAbsCode_textileMB_60</t>
  </si>
  <si>
    <t>ArrestSysEngageDevCode_barricadeNet61QSII</t>
  </si>
  <si>
    <t>ArrestSysEngageDevCode_hook63PI</t>
  </si>
  <si>
    <t>ArrestSysEngageDevCode_hookBAK_14</t>
  </si>
  <si>
    <t>ArrestSysEngageDevCode_hookCable</t>
  </si>
  <si>
    <t>ArrestSysEngageDevCode_hookTypeH</t>
  </si>
  <si>
    <t>ArrestSysEngageDevCode_hpNet</t>
  </si>
  <si>
    <t>ArrestSysEngageDevCode_jayBar</t>
  </si>
  <si>
    <t>ArrestSysEngageDevCode_jetBarrier</t>
  </si>
  <si>
    <t>ArrestSysEngageDevCode_net</t>
  </si>
  <si>
    <t>ArrestSysEngageDevCode_netA30</t>
  </si>
  <si>
    <t>ArrestSysEngageDevCode_netA40</t>
  </si>
  <si>
    <t>ArrestSysEngageDevCode_netMA_1</t>
  </si>
  <si>
    <t>ArrestSysEngageDevCode_netMA_1a</t>
  </si>
  <si>
    <t>ArrestSysEngageDevCode_netWithHook62NI</t>
  </si>
  <si>
    <t>ArrestSysEngageDevCode_stanchionNetBAK_15</t>
  </si>
  <si>
    <t>ArrestSysEngageDevCode_strutBAK_11</t>
  </si>
  <si>
    <t>ArrestSysEngageDevCode_withHookBAK_15</t>
  </si>
  <si>
    <t>ArrestSysEngageDevCode_withHookCableMA_1a</t>
  </si>
  <si>
    <t>ArrestSysEngageDirectCode_bidirectional</t>
  </si>
  <si>
    <t>ArrestSysEngageDirectCode_highEnd</t>
  </si>
  <si>
    <t>ArrestSysEngageDirectCode_lowEnd</t>
  </si>
  <si>
    <t>AutomatedWeatherStationTypeCode_transmissometer</t>
  </si>
  <si>
    <t>AvailabilityCategoryCode_confirmedAvailable</t>
  </si>
  <si>
    <t>AvailabilityCategoryCode_notAvailable</t>
  </si>
  <si>
    <t>AvailabilityCategoryCode_unconfirmedAvailable</t>
  </si>
  <si>
    <t>AvailablePolCode_aviationFuel</t>
  </si>
  <si>
    <t>AvailablePolCode_biodiesel</t>
  </si>
  <si>
    <t>AvailablePolCode_biodieselBlend</t>
  </si>
  <si>
    <t>AvailablePolCode_butane</t>
  </si>
  <si>
    <t>AvailablePolCode_coal</t>
  </si>
  <si>
    <t>AvailablePolCode_compressedNaturalGas</t>
  </si>
  <si>
    <t>AvailablePolCode_dieselOil</t>
  </si>
  <si>
    <t>AvailablePolCode_ethanol</t>
  </si>
  <si>
    <t>AvailablePolCode_ethanol85</t>
  </si>
  <si>
    <t>AvailablePolCode_hydrogen</t>
  </si>
  <si>
    <t>AvailablePolCode_hythane</t>
  </si>
  <si>
    <t>AvailablePolCode_kerosene</t>
  </si>
  <si>
    <t>AvailablePolCode_liquefiedNaturalGas</t>
  </si>
  <si>
    <t>AvailablePolCode_liquefiedPetroleumGas</t>
  </si>
  <si>
    <t>AvailablePolCode_lubricants</t>
  </si>
  <si>
    <t>AvailablePolCode_methane</t>
  </si>
  <si>
    <t>AvailablePolCode_noPolAvailable</t>
  </si>
  <si>
    <t>AvailablePolCode_oil</t>
  </si>
  <si>
    <t>AvailablePolCode_petrol</t>
  </si>
  <si>
    <t>AvailablePolCode_propane</t>
  </si>
  <si>
    <t>AvailablePolCode_specialFuel</t>
  </si>
  <si>
    <t>AvailablePolCode_water</t>
  </si>
  <si>
    <t>AvailableVesselServiceCode_boatHoist</t>
  </si>
  <si>
    <t>AvailableVesselServiceCode_boatPark</t>
  </si>
  <si>
    <t>AvailableVesselServiceCode_boatYard</t>
  </si>
  <si>
    <t>AvailableVesselServiceCode_bottleGas</t>
  </si>
  <si>
    <t>AvailableVesselServiceCode_campingSite</t>
  </si>
  <si>
    <t>AvailableVesselServiceCode_caravanSite</t>
  </si>
  <si>
    <t>AvailableVesselServiceCode_carPark</t>
  </si>
  <si>
    <t>AvailableVesselServiceCode_chandler</t>
  </si>
  <si>
    <t>AvailableVesselServiceCode_drinkingWater</t>
  </si>
  <si>
    <t>AvailableVesselServiceCode_electricity</t>
  </si>
  <si>
    <t>AvailableVesselServiceCode_emergencyTelephone</t>
  </si>
  <si>
    <t>AvailableVesselServiceCode_fuelStation</t>
  </si>
  <si>
    <t>AvailableVesselServiceCode_hotel</t>
  </si>
  <si>
    <t>AvailableVesselServiceCode_launderette</t>
  </si>
  <si>
    <t>AvailableVesselServiceCode_mechanicsWorkshop</t>
  </si>
  <si>
    <t>AvailableVesselServiceCode_noneAvailable</t>
  </si>
  <si>
    <t>AvailableVesselServiceCode_pharmacy</t>
  </si>
  <si>
    <t>AvailableVesselServiceCode_physician</t>
  </si>
  <si>
    <t>AvailableVesselServiceCode_picnicArea</t>
  </si>
  <si>
    <t>AvailableVesselServiceCode_postBox</t>
  </si>
  <si>
    <t>AvailableVesselServiceCode_provisions</t>
  </si>
  <si>
    <t>AvailableVesselServiceCode_publicTelephone</t>
  </si>
  <si>
    <t>AvailableVesselServiceCode_publicToilets</t>
  </si>
  <si>
    <t>AvailableVesselServiceCode_rampMarine</t>
  </si>
  <si>
    <t>AvailableVesselServiceCode_refuseBin</t>
  </si>
  <si>
    <t>AvailableVesselServiceCode_restaurant</t>
  </si>
  <si>
    <t>AvailableVesselServiceCode_sailmaker</t>
  </si>
  <si>
    <t>AvailableVesselServiceCode_scrubbingBerth</t>
  </si>
  <si>
    <t>AvailableVesselServiceCode_securityService</t>
  </si>
  <si>
    <t>AvailableVesselServiceCode_seweragePumpOutStation</t>
  </si>
  <si>
    <t>AvailableVesselServiceCode_showers</t>
  </si>
  <si>
    <t>AvailableVesselServiceCode_visitorsBerth</t>
  </si>
  <si>
    <t>AvailableVesselServiceCode_visitorsMooring</t>
  </si>
  <si>
    <t>AvailableVesselServiceCode_yachtClub</t>
  </si>
  <si>
    <t>AviationFuelTypeCode_a</t>
  </si>
  <si>
    <t>AviationFuelTypeCode_a1</t>
  </si>
  <si>
    <t>AviationFuelTypeCode_a1_Plus</t>
  </si>
  <si>
    <t>AviationFuelTypeCode_all</t>
  </si>
  <si>
    <t>AviationFuelTypeCode_avGas</t>
  </si>
  <si>
    <t>AviationFuelTypeCode_avGas_LL</t>
  </si>
  <si>
    <t>AviationFuelTypeCode_b</t>
  </si>
  <si>
    <t>AviationFuelTypeCode_b_Plus</t>
  </si>
  <si>
    <t>AviationFuelTypeCode_jet</t>
  </si>
  <si>
    <t>AviationFuelTypeCode_jp1</t>
  </si>
  <si>
    <t>AviationFuelTypeCode_jp10</t>
  </si>
  <si>
    <t>AviationFuelTypeCode_jp2</t>
  </si>
  <si>
    <t>AviationFuelTypeCode_jp3</t>
  </si>
  <si>
    <t>AviationFuelTypeCode_jp4</t>
  </si>
  <si>
    <t>AviationFuelTypeCode_jp5</t>
  </si>
  <si>
    <t>AviationFuelTypeCode_jp6</t>
  </si>
  <si>
    <t>AviationFuelTypeCode_jp7</t>
  </si>
  <si>
    <t>AviationFuelTypeCode_jp8</t>
  </si>
  <si>
    <t>AviationFuelTypeCode_jp8_Plus100</t>
  </si>
  <si>
    <t>AviationFuelTypeCode_jp9</t>
  </si>
  <si>
    <t>AviationFuelTypeCode_mogas</t>
  </si>
  <si>
    <t>AviationFuelTypeCode_octane100_130</t>
  </si>
  <si>
    <t>AviationFuelTypeCode_octane108_135</t>
  </si>
  <si>
    <t>AviationFuelTypeCode_octane115_145</t>
  </si>
  <si>
    <t>AviationFuelTypeCode_octane73</t>
  </si>
  <si>
    <t>AviationFuelTypeCode_octane80</t>
  </si>
  <si>
    <t>AviationFuelTypeCode_octane80_87</t>
  </si>
  <si>
    <t>AviationFuelTypeCode_octane82Unleaded</t>
  </si>
  <si>
    <t>AviationFuelTypeCode_octane91_98</t>
  </si>
  <si>
    <t>AviationFuelTypeCode_rt</t>
  </si>
  <si>
    <t>AviationFuelTypeCode_tr0</t>
  </si>
  <si>
    <t>AviationFuelTypeCode_tr4</t>
  </si>
  <si>
    <t>AviationHydraulicFluidTypeCode_c_635</t>
  </si>
  <si>
    <t>AviationHydraulicFluidTypeCode_h_515</t>
  </si>
  <si>
    <t>AviationHydraulicFluidTypeCode_h_520</t>
  </si>
  <si>
    <t>AviationHydraulicFluidTypeCode_h_537</t>
  </si>
  <si>
    <t>AviationHydraulicFluidTypeCode_h_538</t>
  </si>
  <si>
    <t>AviationHydraulicFluidTypeCode_h_544</t>
  </si>
  <si>
    <t>AviationHydraulicFluidTypeCode_skydrol</t>
  </si>
  <si>
    <t>AviationNitrogenSupplyTypeCode_bottle</t>
  </si>
  <si>
    <t>AviationNitrogenSupplyTypeCode_directTransfer</t>
  </si>
  <si>
    <t>AviationNitrogenSupplyTypeCode_gasDirectTransfer</t>
  </si>
  <si>
    <t>AviationNitrogenSupplyTypeCode_highPressureBottle</t>
  </si>
  <si>
    <t>AviationNitrogenSupplyTypeCode_highPressureDirectTransfer</t>
  </si>
  <si>
    <t>AviationNitrogenSupplyTypeCode_liquidDirectTransfer</t>
  </si>
  <si>
    <t>AviationNitrogenSupplyTypeCode_lowPressureBottle</t>
  </si>
  <si>
    <t>AviationNitrogenSupplyTypeCode_lowPressureDirectTransfer</t>
  </si>
  <si>
    <t>AviationOilTypeCode_o_113</t>
  </si>
  <si>
    <t>AviationOilTypeCode_o_117</t>
  </si>
  <si>
    <t>AviationOilTypeCode_o_117Plus</t>
  </si>
  <si>
    <t>AviationOilTypeCode_o_123</t>
  </si>
  <si>
    <t>AviationOilTypeCode_o_128</t>
  </si>
  <si>
    <t>AviationOilTypeCode_o_132</t>
  </si>
  <si>
    <t>AviationOilTypeCode_o_133</t>
  </si>
  <si>
    <t>AviationOilTypeCode_o_135</t>
  </si>
  <si>
    <t>AviationOilTypeCode_o_138</t>
  </si>
  <si>
    <t>AviationOilTypeCode_o_147</t>
  </si>
  <si>
    <t>AviationOilTypeCode_o_148</t>
  </si>
  <si>
    <t>AviationOilTypeCode_o_149</t>
  </si>
  <si>
    <t>AviationOilTypeCode_o_153</t>
  </si>
  <si>
    <t>AviationOilTypeCode_o_155</t>
  </si>
  <si>
    <t>AviationOilTypeCode_o_156</t>
  </si>
  <si>
    <t>AviationOilTypeCode_o_160</t>
  </si>
  <si>
    <t>AviationOilTypeCode_o_190</t>
  </si>
  <si>
    <t>AviationOilTypeCode_o_226</t>
  </si>
  <si>
    <t>AviationOxygenSupplyTypeCode_bottle</t>
  </si>
  <si>
    <t>AviationOxygenSupplyTypeCode_directTransfer</t>
  </si>
  <si>
    <t>AviationOxygenSupplyTypeCode_gasDirectTransfer</t>
  </si>
  <si>
    <t>AviationOxygenSupplyTypeCode_highPressureBottle</t>
  </si>
  <si>
    <t>AviationOxygenSupplyTypeCode_highPressureDirectTransfer</t>
  </si>
  <si>
    <t>AviationOxygenSupplyTypeCode_liquidDirectTransfer</t>
  </si>
  <si>
    <t>AviationOxygenSupplyTypeCode_lowPressureBottle</t>
  </si>
  <si>
    <t>AviationOxygenSupplyTypeCode_lowPressureDirectTransfer</t>
  </si>
  <si>
    <t>AviationPortOfEntryStatusCode_airportOfEntry</t>
  </si>
  <si>
    <t>AviationPortOfEntryStatusCode_airportOfEntryLandRights</t>
  </si>
  <si>
    <t>AviationPortOfEntryStatusCode_landingRightsAirport</t>
  </si>
  <si>
    <t>AviationPortOfEntryStatusCode_limitedAirportOfEntry</t>
  </si>
  <si>
    <t>AviationPortOfEntryStatusCode_limitedLandingRightsAirport</t>
  </si>
  <si>
    <t>AviationPortOfEntryStatusCode_regularAirportOfEntry</t>
  </si>
  <si>
    <t>AviationPortOfEntryStatusCode_regularLandingRightsAirport</t>
  </si>
  <si>
    <t>BackcourseLocalizerUseTypeCode_no</t>
  </si>
  <si>
    <t>BackcourseLocalizerUseTypeCode_restricted</t>
  </si>
  <si>
    <t>BackcourseLocalizerUseTypeCode_yes</t>
  </si>
  <si>
    <t>BankOrientationCode_indeterminate</t>
  </si>
  <si>
    <t>BankOrientationCode_left</t>
  </si>
  <si>
    <t>BankOrientationCode_noFlow</t>
  </si>
  <si>
    <t>BankOrientationCode_right</t>
  </si>
  <si>
    <t>BankVegetationCharacterCode_bog</t>
  </si>
  <si>
    <t>BankVegetationCharacterCode_brush</t>
  </si>
  <si>
    <t>BankVegetationCharacterCode_cropLand</t>
  </si>
  <si>
    <t>BankVegetationCharacterCode_forestClearing</t>
  </si>
  <si>
    <t>BankVegetationCharacterCode_grass</t>
  </si>
  <si>
    <t>BankVegetationCharacterCode_jungle</t>
  </si>
  <si>
    <t>BankVegetationCharacterCode_reclaimedLand</t>
  </si>
  <si>
    <t>BankVegetationCharacterCode_scrubland</t>
  </si>
  <si>
    <t>BankVegetationCharacterCode_shrub</t>
  </si>
  <si>
    <t>BankVegetationCharacterCode_swamp</t>
  </si>
  <si>
    <t>BankVegetationCharacterCode_thicket</t>
  </si>
  <si>
    <t>BankVegetationCharacterCode_unvegetatedLand</t>
  </si>
  <si>
    <t>BankVegetationCharacterCode_wood</t>
  </si>
  <si>
    <t>BarrierTopTypeCode_barbedWire</t>
  </si>
  <si>
    <t>BarrierTopTypeCode_chainLink</t>
  </si>
  <si>
    <t>BarrierTopTypeCode_concertinaWire</t>
  </si>
  <si>
    <t>BarrierTopTypeCode_electricWire</t>
  </si>
  <si>
    <t>BarrierTopTypeCode_spiked</t>
  </si>
  <si>
    <t>BasinGateTypeCode_caisson</t>
  </si>
  <si>
    <t>BasinGateTypeCode_lockGate</t>
  </si>
  <si>
    <t>BasinGateTypeCode_tideLock</t>
  </si>
  <si>
    <t>BathyMeasureQualityCatCode_depthDoubtful</t>
  </si>
  <si>
    <t>BathyMeasureQualityCatCode_depthKnown</t>
  </si>
  <si>
    <t>BathyMeasureQualityCatCode_depthUnknown</t>
  </si>
  <si>
    <t>BathyMeasureQualityCatCode_depthUnreliable</t>
  </si>
  <si>
    <t>BathyMeasureQualityCatCode_leastDepth</t>
  </si>
  <si>
    <t>BathyMeasureQualityCatCode_maintainedDepth</t>
  </si>
  <si>
    <t>BathyMeasureQualityCatCode_noBottom</t>
  </si>
  <si>
    <t>BathyMeasureQualityCatCode_reportedDepth</t>
  </si>
  <si>
    <t>BathyMeasureQualityCatCode_safeClearanceKnown</t>
  </si>
  <si>
    <t>BathyMeasureQualityCatCode_unconfirmedDepth</t>
  </si>
  <si>
    <t>BathyMeasureQualityCatCode_unmaintainedDepth</t>
  </si>
  <si>
    <t>BathyMeasureTechniqueCode_areaSweptbySideScanSonar</t>
  </si>
  <si>
    <t>BathyMeasureTechniqueCode_areaSweptVertAcousticSys</t>
  </si>
  <si>
    <t>BathyMeasureTechniqueCode_areaSweptWireDrag</t>
  </si>
  <si>
    <t>BathyMeasureTechniqueCode_bathymetricLidar</t>
  </si>
  <si>
    <t>BathyMeasureTechniqueCode_computerGenerated</t>
  </si>
  <si>
    <t>BathyMeasureTechniqueCode_diver</t>
  </si>
  <si>
    <t>BathyMeasureTechniqueCode_echoSounder</t>
  </si>
  <si>
    <t>BathyMeasureTechniqueCode_electromagneticSensor</t>
  </si>
  <si>
    <t>BathyMeasureTechniqueCode_leadLine</t>
  </si>
  <si>
    <t>BathyMeasureTechniqueCode_levelling</t>
  </si>
  <si>
    <t>BathyMeasureTechniqueCode_multiBeamEchoSounder</t>
  </si>
  <si>
    <t>BathyMeasureTechniqueCode_photogrammetry</t>
  </si>
  <si>
    <t>BathyMeasureTechniqueCode_satelliteImagery</t>
  </si>
  <si>
    <t>BathyMeasureTechniqueCode_sideScanSonar</t>
  </si>
  <si>
    <t>BathyMeasureTechniqueCode_singlebeam</t>
  </si>
  <si>
    <t>BathyMeasureTechniqueCode_underwaterUtilityVehicle</t>
  </si>
  <si>
    <t>BeachConfigurationCode_concave</t>
  </si>
  <si>
    <t>BeachConfigurationCode_convex</t>
  </si>
  <si>
    <t>BeachConfigurationCode_irregular</t>
  </si>
  <si>
    <t>BeachConfigurationCode_straight</t>
  </si>
  <si>
    <t>BeachTypeCode_beachLandingSite</t>
  </si>
  <si>
    <t>BgnAdminLevelCode_firstOrder</t>
  </si>
  <si>
    <t>BgnAdminLevelCode_fourthOrder</t>
  </si>
  <si>
    <t>BgnAdminLevelCode_secondOrder</t>
  </si>
  <si>
    <t>BgnAdminLevelCode_thirdOrder</t>
  </si>
  <si>
    <t>BgnAdminLevelCode_undifferentiated</t>
  </si>
  <si>
    <t>BogTypeCode_atlanticPlateauBog</t>
  </si>
  <si>
    <t>BogTypeCode_basinBog</t>
  </si>
  <si>
    <t>BogTypeCode_blanketBog</t>
  </si>
  <si>
    <t>BogTypeCode_cranberryBog</t>
  </si>
  <si>
    <t>BogTypeCode_domedBog</t>
  </si>
  <si>
    <t>BogTypeCode_fen</t>
  </si>
  <si>
    <t>BogTypeCode_flatBog</t>
  </si>
  <si>
    <t>BogTypeCode_horizontalFen</t>
  </si>
  <si>
    <t>BogTypeCode_lowlandPolygonBog</t>
  </si>
  <si>
    <t>BogTypeCode_northernRibbedFen</t>
  </si>
  <si>
    <t>BogTypeCode_palsaBog</t>
  </si>
  <si>
    <t>BogTypeCode_peatBog</t>
  </si>
  <si>
    <t>BogTypeCode_peatPlateauBog</t>
  </si>
  <si>
    <t>BogTypeCode_polygonalPeatPlateauBog</t>
  </si>
  <si>
    <t>BogTypeCode_shoreFen</t>
  </si>
  <si>
    <t>BogTypeCode_slopeBog</t>
  </si>
  <si>
    <t>BogTypeCode_slopeFen</t>
  </si>
  <si>
    <t>BogTypeCode_stringBog</t>
  </si>
  <si>
    <t>BogTypeCode_veneerBog</t>
  </si>
  <si>
    <t>BollardTypeCode_mooring</t>
  </si>
  <si>
    <t>BollardTypeCode_safetySecurity</t>
  </si>
  <si>
    <t>BorderCrossingTypeCode_bridge</t>
  </si>
  <si>
    <t>BorderCrossingTypeCode_crossing</t>
  </si>
  <si>
    <t>BorderCrossingTypeCode_dam</t>
  </si>
  <si>
    <t>BorderCrossingTypeCode_ferry</t>
  </si>
  <si>
    <t>BorderCrossingTypeCode_tunnel</t>
  </si>
  <si>
    <t>BoreholeTypeCode_cathodicProtectionWell</t>
  </si>
  <si>
    <t>BoreholeTypeCode_disposalWell</t>
  </si>
  <si>
    <t>BoreholeTypeCode_enhancedOilRecoveryWell</t>
  </si>
  <si>
    <t>BoreholeTypeCode_injectionWell</t>
  </si>
  <si>
    <t>BoreholeTypeCode_observationWell</t>
  </si>
  <si>
    <t>BoreholeTypeCode_radioactiveHole</t>
  </si>
  <si>
    <t>BoreholeTypeCode_serviceWell</t>
  </si>
  <si>
    <t>BoreholeTypeCode_storageWell</t>
  </si>
  <si>
    <t>BoreholeTypeCode_stratigraphicWell</t>
  </si>
  <si>
    <t>BoreholeTypeCode_weaponTest</t>
  </si>
  <si>
    <t>BottomContactStatusCode_classified</t>
  </si>
  <si>
    <t>BottomContactStatusCode_detected</t>
  </si>
  <si>
    <t>BottomContactStatusCode_identified</t>
  </si>
  <si>
    <t>BottomMaterialTypeCode_bedrock</t>
  </si>
  <si>
    <t>BottomMaterialTypeCode_claySilt</t>
  </si>
  <si>
    <t>BottomMaterialTypeCode_concrete</t>
  </si>
  <si>
    <t>BottomMaterialTypeCode_coral</t>
  </si>
  <si>
    <t>BottomMaterialTypeCode_gravelCobble</t>
  </si>
  <si>
    <t>BottomMaterialTypeCode_masonry</t>
  </si>
  <si>
    <t>BottomMaterialTypeCode_paved</t>
  </si>
  <si>
    <t>BottomMaterialTypeCode_peat</t>
  </si>
  <si>
    <t>BottomMaterialTypeCode_reinforcedConcrete</t>
  </si>
  <si>
    <t>BottomMaterialTypeCode_rocksBoulders</t>
  </si>
  <si>
    <t>BottomMaterialTypeCode_sand</t>
  </si>
  <si>
    <t>BottomMaterialTypeCode_sandGravel</t>
  </si>
  <si>
    <t>BottomMaterialTypeCode_sandOverMud</t>
  </si>
  <si>
    <t>BottomMaterialTypeCode_siltySands</t>
  </si>
  <si>
    <t>BottomMaterialTypeCode_soil</t>
  </si>
  <si>
    <t>BottomObjectTypeCode_anchor</t>
  </si>
  <si>
    <t>BottomObjectTypeCode_buoy</t>
  </si>
  <si>
    <t>BottomObjectTypeCode_cable</t>
  </si>
  <si>
    <t>BottomObjectTypeCode_caisson</t>
  </si>
  <si>
    <t>BottomObjectTypeCode_crane</t>
  </si>
  <si>
    <t>BottomObjectTypeCode_dryDock</t>
  </si>
  <si>
    <t>BottomObjectTypeCode_pilings</t>
  </si>
  <si>
    <t>BoundaryDetermineMethodCode_anthropogeographic</t>
  </si>
  <si>
    <t>BoundaryDetermineMethodCode_arc</t>
  </si>
  <si>
    <t>BoundaryDetermineMethodCode_archipelagicBaseline</t>
  </si>
  <si>
    <t>BoundaryDetermineMethodCode_cadastral</t>
  </si>
  <si>
    <t>BoundaryDetermineMethodCode_drainageLimit</t>
  </si>
  <si>
    <t>BoundaryDetermineMethodCode_drainageLine</t>
  </si>
  <si>
    <t>BoundaryDetermineMethodCode_economic</t>
  </si>
  <si>
    <t>BoundaryDetermineMethodCode_elevationContour</t>
  </si>
  <si>
    <t>BoundaryDetermineMethodCode_ethnic</t>
  </si>
  <si>
    <t>BoundaryDetermineMethodCode_extendedContinentalShelf</t>
  </si>
  <si>
    <t>BoundaryDetermineMethodCode_geodesic</t>
  </si>
  <si>
    <t>BoundaryDetermineMethodCode_greatCircle</t>
  </si>
  <si>
    <t>BoundaryDetermineMethodCode_historic</t>
  </si>
  <si>
    <t>BoundaryDetermineMethodCode_lakeTransect</t>
  </si>
  <si>
    <t>BoundaryDetermineMethodCode_leftBank</t>
  </si>
  <si>
    <t>BoundaryDetermineMethodCode_mainChannel</t>
  </si>
  <si>
    <t>BoundaryDetermineMethodCode_median</t>
  </si>
  <si>
    <t>BoundaryDetermineMethodCode_meridian</t>
  </si>
  <si>
    <t>BoundaryDetermineMethodCode_militaryEngagement</t>
  </si>
  <si>
    <t>BoundaryDetermineMethodCode_municipal</t>
  </si>
  <si>
    <t>BoundaryDetermineMethodCode_normalBaseline</t>
  </si>
  <si>
    <t>BoundaryDetermineMethodCode_normalContinentalShelf</t>
  </si>
  <si>
    <t>BoundaryDetermineMethodCode_parallel</t>
  </si>
  <si>
    <t>BoundaryDetermineMethodCode_ridgeline</t>
  </si>
  <si>
    <t>BoundaryDetermineMethodCode_rightBank</t>
  </si>
  <si>
    <t>BoundaryDetermineMethodCode_shoreline</t>
  </si>
  <si>
    <t>BoundaryDetermineMethodCode_straight</t>
  </si>
  <si>
    <t>BoundaryDetermineMethodCode_straightBaseline</t>
  </si>
  <si>
    <t>BoundaryDetermineMethodCode_straightSegmented</t>
  </si>
  <si>
    <t>BoundaryDetermineMethodCode_thalweg</t>
  </si>
  <si>
    <t>BoundaryDetermineMethodCode_thalwegToPeak</t>
  </si>
  <si>
    <t>BoundaryDisputeTypeCode_deFacto</t>
  </si>
  <si>
    <t>BoundaryDisputeTypeCode_deJure</t>
  </si>
  <si>
    <t>BoundaryDisputeTypeCode_inDispute</t>
  </si>
  <si>
    <t>BoundaryDisputeTypeCode_undisputed</t>
  </si>
  <si>
    <t>BoundaryRepresentatPolicyCode_administerAsInternational</t>
  </si>
  <si>
    <t>BoundaryRepresentatPolicyCode_definite</t>
  </si>
  <si>
    <t>BoundaryRepresentatPolicyCode_indefinite</t>
  </si>
  <si>
    <t>BoundaryRepresentatPolicyCode_inDispute</t>
  </si>
  <si>
    <t>BoundaryRepresentatPolicyCode_showNoLine</t>
  </si>
  <si>
    <t>BoundaryStatusCode_definite</t>
  </si>
  <si>
    <t>BoundaryStatusCode_indefinite</t>
  </si>
  <si>
    <t>BoundaryStatusCode_inDispute</t>
  </si>
  <si>
    <t>BoundaryStatusCode_noDefinedBoundary</t>
  </si>
  <si>
    <t>BranchRailwayTypeCode_passing</t>
  </si>
  <si>
    <t>BranchRailwayTypeCode_siding</t>
  </si>
  <si>
    <t>BranchRailwayTypeCode_spur</t>
  </si>
  <si>
    <t>BridgeInfoReliabilityCode_estimated</t>
  </si>
  <si>
    <t>BridgeInfoReliabilityCode_known</t>
  </si>
  <si>
    <t>BridgeOpeningTypeCode_bascule</t>
  </si>
  <si>
    <t>BridgeOpeningTypeCode_drawbridge</t>
  </si>
  <si>
    <t>BridgeOpeningTypeCode_fixed</t>
  </si>
  <si>
    <t>BridgeOpeningTypeCode_liftBridge</t>
  </si>
  <si>
    <t>BridgeOpeningTypeCode_opening</t>
  </si>
  <si>
    <t>BridgeOpeningTypeCode_retractable</t>
  </si>
  <si>
    <t>BridgeOpeningTypeCode_submersible</t>
  </si>
  <si>
    <t>BridgeOpeningTypeCode_swingBridge</t>
  </si>
  <si>
    <t>BridgeStructureTypeCode_arch</t>
  </si>
  <si>
    <t>BridgeStructureTypeCode_bowstringBridge</t>
  </si>
  <si>
    <t>BridgeStructureTypeCode_cableStayed</t>
  </si>
  <si>
    <t>BridgeStructureTypeCode_cantilever</t>
  </si>
  <si>
    <t>BridgeStructureTypeCode_closedSpandrelArch</t>
  </si>
  <si>
    <t>BridgeStructureTypeCode_covered</t>
  </si>
  <si>
    <t>BridgeStructureTypeCode_deck</t>
  </si>
  <si>
    <t>BridgeStructureTypeCode_floating</t>
  </si>
  <si>
    <t>BridgeStructureTypeCode_girder</t>
  </si>
  <si>
    <t>BridgeStructureTypeCode_openSpandrelArch</t>
  </si>
  <si>
    <t>BridgeStructureTypeCode_slab</t>
  </si>
  <si>
    <t>BridgeStructureTypeCode_stringerBeam</t>
  </si>
  <si>
    <t>BridgeStructureTypeCode_suspension</t>
  </si>
  <si>
    <t>BridgeStructureTypeCode_towerSuspension</t>
  </si>
  <si>
    <t>BridgeStructureTypeCode_transporter</t>
  </si>
  <si>
    <t>BridgeStructureTypeCode_trestle</t>
  </si>
  <si>
    <t>BridgeStructureTypeCode_truss</t>
  </si>
  <si>
    <t>BridgeStructureTypeCode_viaduct</t>
  </si>
  <si>
    <t>BuildingSuperstructTypeCode_chimney</t>
  </si>
  <si>
    <t>BuildingSuperstructTypeCode_clerestory</t>
  </si>
  <si>
    <t>BuildingSuperstructTypeCode_cupola</t>
  </si>
  <si>
    <t>BuildingSuperstructTypeCode_dome</t>
  </si>
  <si>
    <t>BuildingSuperstructTypeCode_elevatorMachineRoom</t>
  </si>
  <si>
    <t>BuildingSuperstructTypeCode_hvacEquipment</t>
  </si>
  <si>
    <t>BuildingSuperstructTypeCode_lightningRod</t>
  </si>
  <si>
    <t>BuildingSuperstructTypeCode_minaret</t>
  </si>
  <si>
    <t>BuildingSuperstructTypeCode_ornamentalElement</t>
  </si>
  <si>
    <t>BuildingSuperstructTypeCode_parapet</t>
  </si>
  <si>
    <t>BuildingSuperstructTypeCode_roofDeck</t>
  </si>
  <si>
    <t>BuildingSuperstructTypeCode_roofGarden</t>
  </si>
  <si>
    <t>BuildingSuperstructTypeCode_signage</t>
  </si>
  <si>
    <t>BuildingSuperstructTypeCode_skylight</t>
  </si>
  <si>
    <t>BuildingSuperstructTypeCode_steeple</t>
  </si>
  <si>
    <t>BuildingSuperstructTypeCode_tower</t>
  </si>
  <si>
    <t>BuildingSuperstructTypeCode_turret</t>
  </si>
  <si>
    <t>BuildingTypeCode_aircraftHangar</t>
  </si>
  <si>
    <t>BuildingTypeCode_arena</t>
  </si>
  <si>
    <t>BuildingTypeCode_astronomicalObservatory</t>
  </si>
  <si>
    <t>BuildingTypeCode_barn</t>
  </si>
  <si>
    <t>BuildingTypeCode_castle</t>
  </si>
  <si>
    <t>BuildingTypeCode_controlTower</t>
  </si>
  <si>
    <t>BuildingTypeCode_countryHouse</t>
  </si>
  <si>
    <t>BuildingTypeCode_ferryStation</t>
  </si>
  <si>
    <t>BuildingTypeCode_fortifiedBuilding</t>
  </si>
  <si>
    <t>BuildingTypeCode_greenhouse</t>
  </si>
  <si>
    <t>BuildingTypeCode_hardenedAircraftShelter</t>
  </si>
  <si>
    <t>BuildingTypeCode_hut</t>
  </si>
  <si>
    <t>BuildingTypeCode_lighthouse</t>
  </si>
  <si>
    <t>BuildingTypeCode_maritimeSignalStation</t>
  </si>
  <si>
    <t>BuildingTypeCode_motorVehicleStation</t>
  </si>
  <si>
    <t>BuildingTypeCode_parkingGarage</t>
  </si>
  <si>
    <t>BuildingTypeCode_roundhouse</t>
  </si>
  <si>
    <t>BuildingTypeCode_shed</t>
  </si>
  <si>
    <t>BuildingTypeCode_stable</t>
  </si>
  <si>
    <t>BuildingTypeCode_transportationStation</t>
  </si>
  <si>
    <t>BuildingTypeCode_waterMill</t>
  </si>
  <si>
    <t>BuildingTypeCode_weighStation</t>
  </si>
  <si>
    <t>BuiltUpAreaDensityCatCode_dense</t>
  </si>
  <si>
    <t>BuiltUpAreaDensityCatCode_moderate</t>
  </si>
  <si>
    <t>BuiltUpAreaDensityCatCode_sparse</t>
  </si>
  <si>
    <t>BuoyShapeCode_barrel</t>
  </si>
  <si>
    <t>BuoyShapeCode_can</t>
  </si>
  <si>
    <t>BuoyShapeCode_conical</t>
  </si>
  <si>
    <t>BuoyShapeCode_diamond</t>
  </si>
  <si>
    <t>BuoyShapeCode_icebuoy</t>
  </si>
  <si>
    <t>BuoyShapeCode_pillar</t>
  </si>
  <si>
    <t>BuoyShapeCode_spar</t>
  </si>
  <si>
    <t>BuoyShapeCode_spherical</t>
  </si>
  <si>
    <t>BuoyShapeCode_superBuoy</t>
  </si>
  <si>
    <t>BuoyTypeCode_accelerometer</t>
  </si>
  <si>
    <t>BuoyTypeCode_aeronauticalAnchorage</t>
  </si>
  <si>
    <t>BuoyTypeCode_anchorage</t>
  </si>
  <si>
    <t>BuoyTypeCode_anchoringProhibited</t>
  </si>
  <si>
    <t>BuoyTypeCode_apexFloat</t>
  </si>
  <si>
    <t>BuoyTypeCode_articulatedLight</t>
  </si>
  <si>
    <t>BuoyTypeCode_artificialReef</t>
  </si>
  <si>
    <t>BuoyTypeCode_barge</t>
  </si>
  <si>
    <t>BuoyTypeCode_berthingPermitted</t>
  </si>
  <si>
    <t>BuoyTypeCode_berthingProhibited</t>
  </si>
  <si>
    <t>BuoyTypeCode_bifurcation</t>
  </si>
  <si>
    <t>BuoyTypeCode_cable</t>
  </si>
  <si>
    <t>BuoyTypeCode_channelEdgeGradient</t>
  </si>
  <si>
    <t>BuoyTypeCode_clearingLine</t>
  </si>
  <si>
    <t>BuoyTypeCode_compassAdjustment</t>
  </si>
  <si>
    <t>BuoyTypeCode_control</t>
  </si>
  <si>
    <t>BuoyTypeCode_degaussingRange</t>
  </si>
  <si>
    <t>BuoyTypeCode_diving</t>
  </si>
  <si>
    <t>BuoyTypeCode_eastCardinal</t>
  </si>
  <si>
    <t>BuoyTypeCode_entryProhibited</t>
  </si>
  <si>
    <t>BuoyTypeCode_exerciseArea</t>
  </si>
  <si>
    <t>BuoyTypeCode_explosiveAnchorage</t>
  </si>
  <si>
    <t>BuoyTypeCode_fairway</t>
  </si>
  <si>
    <t>BuoyTypeCode_ferryCrossing</t>
  </si>
  <si>
    <t>BuoyTypeCode_firingDangerArea</t>
  </si>
  <si>
    <t>BuoyTypeCode_fishTrap</t>
  </si>
  <si>
    <t>BuoyTypeCode_foulGround</t>
  </si>
  <si>
    <t>BuoyTypeCode_generalWarning</t>
  </si>
  <si>
    <t>BuoyTypeCode_gpsMark</t>
  </si>
  <si>
    <t>BuoyTypeCode_heliport</t>
  </si>
  <si>
    <t>BuoyTypeCode_iceBuoy</t>
  </si>
  <si>
    <t>BuoyTypeCode_installation</t>
  </si>
  <si>
    <t>BuoyTypeCode_isolatedDanger</t>
  </si>
  <si>
    <t>BuoyTypeCode_junction</t>
  </si>
  <si>
    <t>BuoyTypeCode_landfall</t>
  </si>
  <si>
    <t>BuoyTypeCode_largeAutomaticNavBuoy</t>
  </si>
  <si>
    <t>BuoyTypeCode_leadingLine</t>
  </si>
  <si>
    <t>BuoyTypeCode_lightFloat</t>
  </si>
  <si>
    <t>BuoyTypeCode_marineFarm</t>
  </si>
  <si>
    <t>BuoyTypeCode_markerShip</t>
  </si>
  <si>
    <t>BuoyTypeCode_maximumVesselsDraft</t>
  </si>
  <si>
    <t>BuoyTypeCode_measuredDistance</t>
  </si>
  <si>
    <t>BuoyTypeCode_midChannel</t>
  </si>
  <si>
    <t>BuoyTypeCode_mooring</t>
  </si>
  <si>
    <t>BuoyTypeCode_nccbBuoy</t>
  </si>
  <si>
    <t>BuoyTypeCode_northCardinal</t>
  </si>
  <si>
    <t>BuoyTypeCode_notice</t>
  </si>
  <si>
    <t>BuoyTypeCode_obstruction</t>
  </si>
  <si>
    <t>BuoyTypeCode_odasBuoy</t>
  </si>
  <si>
    <t>BuoyTypeCode_outfall</t>
  </si>
  <si>
    <t>BuoyTypeCode_overheadPowerCable</t>
  </si>
  <si>
    <t>BuoyTypeCode_overtakingProhibited</t>
  </si>
  <si>
    <t>BuoyTypeCode_pipeline</t>
  </si>
  <si>
    <t>BuoyTypeCode_portHandEdge</t>
  </si>
  <si>
    <t>BuoyTypeCode_preferredChannelPort</t>
  </si>
  <si>
    <t>BuoyTypeCode_preferredChannelStarboard</t>
  </si>
  <si>
    <t>BuoyTypeCode_private</t>
  </si>
  <si>
    <t>BuoyTypeCode_quarantine</t>
  </si>
  <si>
    <t>BuoyTypeCode_recording</t>
  </si>
  <si>
    <t>BuoyTypeCode_recreationZone</t>
  </si>
  <si>
    <t>BuoyTypeCode_reducedWake</t>
  </si>
  <si>
    <t>BuoyTypeCode_refuge</t>
  </si>
  <si>
    <t>BuoyTypeCode_restrictedHorizClearance</t>
  </si>
  <si>
    <t>BuoyTypeCode_restrictedVertClearance</t>
  </si>
  <si>
    <t>BuoyTypeCode_safeWater</t>
  </si>
  <si>
    <t>BuoyTypeCode_seaplaneLanding</t>
  </si>
  <si>
    <t>BuoyTypeCode_soundShipsSiren</t>
  </si>
  <si>
    <t>BuoyTypeCode_southCardinal</t>
  </si>
  <si>
    <t>BuoyTypeCode_special</t>
  </si>
  <si>
    <t>BuoyTypeCode_speedLimit</t>
  </si>
  <si>
    <t>BuoyTypeCode_spoilGround</t>
  </si>
  <si>
    <t>BuoyTypeCode_starboardHandEdge</t>
  </si>
  <si>
    <t>BuoyTypeCode_stop</t>
  </si>
  <si>
    <t>BuoyTypeCode_strongCurrentWarning</t>
  </si>
  <si>
    <t>BuoyTypeCode_swim</t>
  </si>
  <si>
    <t>BuoyTypeCode_target</t>
  </si>
  <si>
    <t>BuoyTypeCode_telegraphCable</t>
  </si>
  <si>
    <t>BuoyTypeCode_telephone</t>
  </si>
  <si>
    <t>BuoyTypeCode_trot</t>
  </si>
  <si>
    <t>BuoyTypeCode_tss</t>
  </si>
  <si>
    <t>BuoyTypeCode_twoWayTrafficProhibited</t>
  </si>
  <si>
    <t>BuoyTypeCode_warping</t>
  </si>
  <si>
    <t>BuoyTypeCode_waterColumnSensor</t>
  </si>
  <si>
    <t>BuoyTypeCode_wavemeter</t>
  </si>
  <si>
    <t>BuoyTypeCode_wellhead</t>
  </si>
  <si>
    <t>BuoyTypeCode_westCardinal</t>
  </si>
  <si>
    <t>BuoyTypeCode_workInProgress</t>
  </si>
  <si>
    <t>BuoyTypeCode_wreck</t>
  </si>
  <si>
    <t>BuoyTypeCode_yachting</t>
  </si>
  <si>
    <t>BuriedUtilityTypeCode_districtHeatingCooling</t>
  </si>
  <si>
    <t>BuriedUtilityTypeCode_gas</t>
  </si>
  <si>
    <t>BuriedUtilityTypeCode_power</t>
  </si>
  <si>
    <t>BuriedUtilityTypeCode_sewage</t>
  </si>
  <si>
    <t>BuriedUtilityTypeCode_telecommunication</t>
  </si>
  <si>
    <t>BuriedUtilityTypeCode_water</t>
  </si>
  <si>
    <t>BypassConditionCode_difficult</t>
  </si>
  <si>
    <t>BypassConditionCode_easy</t>
  </si>
  <si>
    <t>BypassConditionCode_impossible</t>
  </si>
  <si>
    <t>ByProductCode_ash</t>
  </si>
  <si>
    <t>ByProductCode_cinders</t>
  </si>
  <si>
    <t>ByProductCode_noByproduct</t>
  </si>
  <si>
    <t>ByProductCode_radioactiveMaterial</t>
  </si>
  <si>
    <t>ByProductCode_refuse</t>
  </si>
  <si>
    <t>ByProductCode_scrapMetal</t>
  </si>
  <si>
    <t>ByProductCode_sewage</t>
  </si>
  <si>
    <t>ByProductCode_slag</t>
  </si>
  <si>
    <t>ByProductCode_sludge</t>
  </si>
  <si>
    <t>ByProductCode_spoil</t>
  </si>
  <si>
    <t>CableSuspendedShapeCode_mountainCatenary</t>
  </si>
  <si>
    <t>CableSuspendedShapeCode_overwaterCatenary</t>
  </si>
  <si>
    <t>CableSuspendedShapeCode_symmetricCatenary</t>
  </si>
  <si>
    <t>CableTypeCode_barrier</t>
  </si>
  <si>
    <t>CableTypeCode_cableway</t>
  </si>
  <si>
    <t>CableTypeCode_communicationLine</t>
  </si>
  <si>
    <t>CableTypeCode_digitalCommunicationLine</t>
  </si>
  <si>
    <t>CableTypeCode_fibreOptic</t>
  </si>
  <si>
    <t>CableTypeCode_guide</t>
  </si>
  <si>
    <t>CableTypeCode_loadBearing</t>
  </si>
  <si>
    <t>CableTypeCode_powerLine</t>
  </si>
  <si>
    <t>CableTypeCode_restraining</t>
  </si>
  <si>
    <t>CableTypeCode_telegraph</t>
  </si>
  <si>
    <t>CableTypeCode_telephone</t>
  </si>
  <si>
    <t>CableTypeCode_tethering</t>
  </si>
  <si>
    <t>CableTypeCode_towing</t>
  </si>
  <si>
    <t>CableTypeCode_transmissionLine</t>
  </si>
  <si>
    <t>CablewayTypeCode_aerialTramway</t>
  </si>
  <si>
    <t>CablewayTypeCode_chairLift</t>
  </si>
  <si>
    <t>CablewayTypeCode_gondolaLift</t>
  </si>
  <si>
    <t>CablewayTypeCode_industrialRopeway</t>
  </si>
  <si>
    <t>CablewayTypeCode_materialTramway</t>
  </si>
  <si>
    <t>CablewayTypeCode_skiTow</t>
  </si>
  <si>
    <t>CablewayTypeCode_teeBarLift</t>
  </si>
  <si>
    <t>CadastralSourceTypeCode_collateralEvidence</t>
  </si>
  <si>
    <t>CadastralSourceTypeCode_fieldNotes</t>
  </si>
  <si>
    <t>CadastralSourceTypeCode_fieldSketch</t>
  </si>
  <si>
    <t>CadastralSourceTypeCode_gnssSurvey</t>
  </si>
  <si>
    <t>CadastralSourceTypeCode_officialCadastralSurvey</t>
  </si>
  <si>
    <t>CadastralSourceTypeCode_orthophoto</t>
  </si>
  <si>
    <t>CadastralSourceTypeCode_plat</t>
  </si>
  <si>
    <t>CadastralSourceTypeCode_relativeMeasurement</t>
  </si>
  <si>
    <t>CadastralSourceTypeCode_resurvey</t>
  </si>
  <si>
    <t>CadastralSourceTypeCode_survey</t>
  </si>
  <si>
    <t>CadastralSourceTypeCode_tenureMap</t>
  </si>
  <si>
    <t>CadastralSourceTypeCode_topographicMap</t>
  </si>
  <si>
    <t>CadastralSourceTypeCode_usePlat</t>
  </si>
  <si>
    <t>CadastralSourceTypeCode_video</t>
  </si>
  <si>
    <t>CamouflageMethodCode_artificial</t>
  </si>
  <si>
    <t>CamouflageMethodCode_natural</t>
  </si>
  <si>
    <t>CaveTypeCode_aeolian</t>
  </si>
  <si>
    <t>CaveTypeCode_erosional</t>
  </si>
  <si>
    <t>CaveTypeCode_glacier</t>
  </si>
  <si>
    <t>CaveTypeCode_lava</t>
  </si>
  <si>
    <t>CaveTypeCode_solution</t>
  </si>
  <si>
    <t>CaveTypeCode_talus</t>
  </si>
  <si>
    <t>CaveTypeCode_waterbody</t>
  </si>
  <si>
    <t>ChannelTypeCode_lagoonalChannel</t>
  </si>
  <si>
    <t>ChannelTypeCode_lakeChannel</t>
  </si>
  <si>
    <t>ChannelTypeCode_marineChannel</t>
  </si>
  <si>
    <t>ChannelTypeCode_riverChannel</t>
  </si>
  <si>
    <t>CoastTypeCode_flatCoast</t>
  </si>
  <si>
    <t>CoastTypeCode_glacier</t>
  </si>
  <si>
    <t>CoastTypeCode_hillocks</t>
  </si>
  <si>
    <t>CoastTypeCode_iceCoast</t>
  </si>
  <si>
    <t>CoastTypeCode_steepCoast</t>
  </si>
  <si>
    <t>CoastalWorkTypeCode_constructionOfStructures</t>
  </si>
  <si>
    <t>CoastalWorkTypeCode_landReclamation</t>
  </si>
  <si>
    <t>ColourPatternCode_borderStripe</t>
  </si>
  <si>
    <t>ColourPatternCode_diagonalStripes</t>
  </si>
  <si>
    <t>ColourPatternCode_horizontalStripes</t>
  </si>
  <si>
    <t>ColourPatternCode_singleColor</t>
  </si>
  <si>
    <t>ColourPatternCode_squared</t>
  </si>
  <si>
    <t>ColourPatternCode_stripes</t>
  </si>
  <si>
    <t>ColourPatternCode_verticalStripes</t>
  </si>
  <si>
    <t>CommercialShipActivityLevelCode_heavyShippingActivity</t>
  </si>
  <si>
    <t>CommercialShipActivityLevelCode_infrequentShippingActivity</t>
  </si>
  <si>
    <t>CommercialShipActivityLevelCode_lightShippingActivity</t>
  </si>
  <si>
    <t>CommercialShipActivityLevelCode_moderateShippingActivity</t>
  </si>
  <si>
    <t>CommercialShipActivityLevelCode_veryHeavyShippingActivity</t>
  </si>
  <si>
    <t>CommissionedStatusCode_commissionedOnTest</t>
  </si>
  <si>
    <t>CommissionedStatusCode_commissionedOperational</t>
  </si>
  <si>
    <t>CommissionedStatusCode_commissionedOutOfService</t>
  </si>
  <si>
    <t>CommissionedStatusCode_notCommissionOutOfService</t>
  </si>
  <si>
    <t>CommissionedStatusCode_onTestNotCommissioned</t>
  </si>
  <si>
    <t>CommissionedStatusCode_operationalNotCommissioned</t>
  </si>
  <si>
    <t>CommunicationTypeCode_aerodromeFlightInfoServ</t>
  </si>
  <si>
    <t>CommunicationTypeCode_airGround</t>
  </si>
  <si>
    <t>CommunicationTypeCode_airliftCommandPost</t>
  </si>
  <si>
    <t>CommunicationTypeCode_airportAdvisoryService</t>
  </si>
  <si>
    <t>CommunicationTypeCode_airportRadarServiceCenter</t>
  </si>
  <si>
    <t>CommunicationTypeCode_airportWxInfoBroadcast</t>
  </si>
  <si>
    <t>CommunicationTypeCode_airRouteTrafficControl</t>
  </si>
  <si>
    <t>CommunicationTypeCode_approachControl</t>
  </si>
  <si>
    <t>CommunicationTypeCode_approachDepartureControl</t>
  </si>
  <si>
    <t>CommunicationTypeCode_areaControlCenter</t>
  </si>
  <si>
    <t>CommunicationTypeCode_arrivalControl</t>
  </si>
  <si>
    <t>CommunicationTypeCode_automatedSurfaceObsSystem</t>
  </si>
  <si>
    <t>CommunicationTypeCode_automaticTermInfoService</t>
  </si>
  <si>
    <t>CommunicationTypeCode_automaticWxObsStation</t>
  </si>
  <si>
    <t>CommunicationTypeCode_center</t>
  </si>
  <si>
    <t>CommunicationTypeCode_centralApproachControl</t>
  </si>
  <si>
    <t>CommunicationTypeCode_clearanceDelivery</t>
  </si>
  <si>
    <t>CommunicationTypeCode_commandPost</t>
  </si>
  <si>
    <t>CommunicationTypeCode_commonTrafficAdvisoryFreq</t>
  </si>
  <si>
    <t>CommunicationTypeCode_departureControl</t>
  </si>
  <si>
    <t>CommunicationTypeCode_directorRadarApproachCont</t>
  </si>
  <si>
    <t>CommunicationTypeCode_emergency</t>
  </si>
  <si>
    <t>CommunicationTypeCode_flightCommCenter</t>
  </si>
  <si>
    <t>CommunicationTypeCode_flightOperationCenter</t>
  </si>
  <si>
    <t>CommunicationTypeCode_flightServiceStation</t>
  </si>
  <si>
    <t>CommunicationTypeCode_gateControl</t>
  </si>
  <si>
    <t>CommunicationTypeCode_groundCommsOutlet</t>
  </si>
  <si>
    <t>CommunicationTypeCode_groundControl</t>
  </si>
  <si>
    <t>CommunicationTypeCode_groundControlApproach</t>
  </si>
  <si>
    <t>CommunicationTypeCode_groundControlClearDeliv</t>
  </si>
  <si>
    <t>CommunicationTypeCode_helicopterFrequency</t>
  </si>
  <si>
    <t>CommunicationTypeCode_information</t>
  </si>
  <si>
    <t>CommunicationTypeCode_miscellaneous</t>
  </si>
  <si>
    <t>CommunicationTypeCode_multicom</t>
  </si>
  <si>
    <t>CommunicationTypeCode_operations</t>
  </si>
  <si>
    <t>CommunicationTypeCode_parametersFrenchRadio</t>
  </si>
  <si>
    <t>CommunicationTypeCode_pilotToDispatcher</t>
  </si>
  <si>
    <t>CommunicationTypeCode_pilotToMetroService</t>
  </si>
  <si>
    <t>CommunicationTypeCode_preflight</t>
  </si>
  <si>
    <t>CommunicationTypeCode_radarOnlyFrequency</t>
  </si>
  <si>
    <t>CommunicationTypeCode_radio</t>
  </si>
  <si>
    <t>CommunicationTypeCode_rampControl</t>
  </si>
  <si>
    <t>CommunicationTypeCode_remoteCommsOutlet</t>
  </si>
  <si>
    <t>CommunicationTypeCode_remoteFlightServStation</t>
  </si>
  <si>
    <t>CommunicationTypeCode_singleFrequencyApproach</t>
  </si>
  <si>
    <t>CommunicationTypeCode_terminalControlArea</t>
  </si>
  <si>
    <t>CommunicationTypeCode_terminalRadarService</t>
  </si>
  <si>
    <t>CommunicationTypeCode_tower</t>
  </si>
  <si>
    <t>CommunicationTypeCode_unicomOrCtafUnicom</t>
  </si>
  <si>
    <t>ConservationAreaManageCatCode_breedingGround</t>
  </si>
  <si>
    <t>ConservationAreaManageCatCode_habitatManagement</t>
  </si>
  <si>
    <t>ConservationAreaManageCatCode_habitatSpeciesManagement</t>
  </si>
  <si>
    <t>ConservationAreaManageCatCode_managedForestProtected</t>
  </si>
  <si>
    <t>ConservationAreaManageCatCode_managedResourceProtected</t>
  </si>
  <si>
    <t>ConservationAreaManageCatCode_nationalPark</t>
  </si>
  <si>
    <t>ConservationAreaManageCatCode_naturalMonument</t>
  </si>
  <si>
    <t>ConservationAreaManageCatCode_protectedLandSeascape</t>
  </si>
  <si>
    <t>ConservationAreaManageCatCode_speciesManagement</t>
  </si>
  <si>
    <t>ConservationAreaManageCatCode_strictNatureReserve</t>
  </si>
  <si>
    <t>ConservationAreaManageCatCode_wildernessArea</t>
  </si>
  <si>
    <t>ConspicuousAirCategoryCode_notConspicuous</t>
  </si>
  <si>
    <t>ConspicuousAirCategoryCode_radar</t>
  </si>
  <si>
    <t>ConspicuousAirCategoryCode_visual</t>
  </si>
  <si>
    <t>ConspicuousAirCategoryCode_visualRadar</t>
  </si>
  <si>
    <t>ConspicuousGroundCategoryCode_notConspicuous</t>
  </si>
  <si>
    <t>ConspicuousGroundCategoryCode_radar</t>
  </si>
  <si>
    <t>ConspicuousGroundCategoryCode_visual</t>
  </si>
  <si>
    <t>ConspicuousGroundCategoryCode_visualRadar</t>
  </si>
  <si>
    <t>ConspicuousSeaCategoryCode_notConspicuous</t>
  </si>
  <si>
    <t>ConspicuousSeaCategoryCode_radar</t>
  </si>
  <si>
    <t>ConspicuousSeaCategoryCode_radarSonar</t>
  </si>
  <si>
    <t>ConspicuousSeaCategoryCode_sonar</t>
  </si>
  <si>
    <t>ConspicuousSeaCategoryCode_visual</t>
  </si>
  <si>
    <t>ConspicuousSeaCategoryCode_visualRadar</t>
  </si>
  <si>
    <t>ConspicuousSeaCategoryCode_visualRadarSonar</t>
  </si>
  <si>
    <t>ConspicuousSeaCategoryCode_visualSonar</t>
  </si>
  <si>
    <t>ContactMineActuationCode_direct</t>
  </si>
  <si>
    <t>ContactMineActuationCode_rod</t>
  </si>
  <si>
    <t>ContactMineActuationCode_snagline</t>
  </si>
  <si>
    <t>ContactStatusCode_identifiedExplosiveMine</t>
  </si>
  <si>
    <t>ContactStatusCode_mineLikeContact</t>
  </si>
  <si>
    <t>ContactStatusCode_mineLikeEcho</t>
  </si>
  <si>
    <t>ContactStatusCode_nonMineLikeContact</t>
  </si>
  <si>
    <t>ContactStatusCode_nonMineMineLikeBotObject</t>
  </si>
  <si>
    <t>ContactStatusCode_unexplodedOrdnance</t>
  </si>
  <si>
    <t>ContaminantCategoryCode_biological</t>
  </si>
  <si>
    <t>ContaminantCategoryCode_chemical</t>
  </si>
  <si>
    <t>ContaminantCategoryCode_nuclearRadiological</t>
  </si>
  <si>
    <t>ContaminantCategoryCode_thermal</t>
  </si>
  <si>
    <t>ContaminantSourceCode_dredging</t>
  </si>
  <si>
    <t>ContaminantSourceCode_factories</t>
  </si>
  <si>
    <t>ContaminantSourceCode_farmRunOff</t>
  </si>
  <si>
    <t>ContaminantSourceCode_militaryOperations</t>
  </si>
  <si>
    <t>ContaminantSourceCode_naturallyOccurring</t>
  </si>
  <si>
    <t>ContaminantSourceCode_sewers</t>
  </si>
  <si>
    <t>ContaminantSourceCode_spoil</t>
  </si>
  <si>
    <t>ContaminantSourceCode_wrecks</t>
  </si>
  <si>
    <t>ControllingAuthorityCode_civilian</t>
  </si>
  <si>
    <t>ControllingAuthorityCode_international</t>
  </si>
  <si>
    <t>ControllingAuthorityCode_jointMilitaryCivilian</t>
  </si>
  <si>
    <t>ControllingAuthorityCode_military</t>
  </si>
  <si>
    <t>ControllingAuthorityCode_municipal</t>
  </si>
  <si>
    <t>ControllingAuthorityCode_national</t>
  </si>
  <si>
    <t>ControllingAuthorityCode_private</t>
  </si>
  <si>
    <t>ControllingAuthorityCode_province</t>
  </si>
  <si>
    <t>ControllingAuthorityCode_public</t>
  </si>
  <si>
    <t>ControllingAuthorityCode_regional</t>
  </si>
  <si>
    <t>ControllingAuthorityCode_state</t>
  </si>
  <si>
    <t>ControllingAuthorityCode_tribal</t>
  </si>
  <si>
    <t>CourseTypeCode_heading</t>
  </si>
  <si>
    <t>CourseTypeCode_magneticBearing</t>
  </si>
  <si>
    <t>CourseTypeCode_magneticTrack</t>
  </si>
  <si>
    <t>CourseTypeCode_trueBearing</t>
  </si>
  <si>
    <t>CourseTypeCode_trueTrack</t>
  </si>
  <si>
    <t>CourseTypeCode_vorRadial</t>
  </si>
  <si>
    <t>CoverClosureTypeCode_complete</t>
  </si>
  <si>
    <t>CoverClosureTypeCode_moveable</t>
  </si>
  <si>
    <t>CoverClosureTypeCode_open</t>
  </si>
  <si>
    <t>CoverClosureTypeCode_partial</t>
  </si>
  <si>
    <t>CraneMobilityTypeCode_fixed</t>
  </si>
  <si>
    <t>CraneMobilityTypeCode_floating</t>
  </si>
  <si>
    <t>CraneMobilityTypeCode_mobile</t>
  </si>
  <si>
    <t>CraneMobilityTypeCode_travelling</t>
  </si>
  <si>
    <t>CraneTypeCode_bridgeCrane</t>
  </si>
  <si>
    <t>CraneTypeCode_containerCrane</t>
  </si>
  <si>
    <t>CraneTypeCode_rotatingCrane</t>
  </si>
  <si>
    <t>CraneTypeCode_towerCrane</t>
  </si>
  <si>
    <t>CrewInjuriesCode_handToHandInjuries</t>
  </si>
  <si>
    <t>CrewInjuriesCode_shot</t>
  </si>
  <si>
    <t>CrewInjuriesCode_stabbed</t>
  </si>
  <si>
    <t>CrewInjuriesCode_unharmed</t>
  </si>
  <si>
    <t>CropSpeciesCode_almond</t>
  </si>
  <si>
    <t>CropSpeciesCode_apple</t>
  </si>
  <si>
    <t>CropSpeciesCode_bamboo</t>
  </si>
  <si>
    <t>CropSpeciesCode_banana</t>
  </si>
  <si>
    <t>CropSpeciesCode_barley</t>
  </si>
  <si>
    <t>CropSpeciesCode_berry</t>
  </si>
  <si>
    <t>CropSpeciesCode_cacao</t>
  </si>
  <si>
    <t>CropSpeciesCode_cannabis</t>
  </si>
  <si>
    <t>CropSpeciesCode_carob</t>
  </si>
  <si>
    <t>CropSpeciesCode_chestnut</t>
  </si>
  <si>
    <t>CropSpeciesCode_citrus</t>
  </si>
  <si>
    <t>CropSpeciesCode_coconut</t>
  </si>
  <si>
    <t>CropSpeciesCode_coffee</t>
  </si>
  <si>
    <t>CropSpeciesCode_corkOak</t>
  </si>
  <si>
    <t>CropSpeciesCode_cotton</t>
  </si>
  <si>
    <t>CropSpeciesCode_date</t>
  </si>
  <si>
    <t>CropSpeciesCode_dryCrop</t>
  </si>
  <si>
    <t>CropSpeciesCode_fibreCrop</t>
  </si>
  <si>
    <t>CropSpeciesCode_fruitTree</t>
  </si>
  <si>
    <t>CropSpeciesCode_grape</t>
  </si>
  <si>
    <t>CropSpeciesCode_hazelnut</t>
  </si>
  <si>
    <t>CropSpeciesCode_hop</t>
  </si>
  <si>
    <t>CropSpeciesCode_maize</t>
  </si>
  <si>
    <t>CropSpeciesCode_maple</t>
  </si>
  <si>
    <t>CropSpeciesCode_millet</t>
  </si>
  <si>
    <t>CropSpeciesCode_oat</t>
  </si>
  <si>
    <t>CropSpeciesCode_oilCrop</t>
  </si>
  <si>
    <t>CropSpeciesCode_oilPalm</t>
  </si>
  <si>
    <t>CropSpeciesCode_olive</t>
  </si>
  <si>
    <t>CropSpeciesCode_opiumPoppy</t>
  </si>
  <si>
    <t>CropSpeciesCode_ornamentalCrop</t>
  </si>
  <si>
    <t>CropSpeciesCode_palmetto</t>
  </si>
  <si>
    <t>CropSpeciesCode_peach</t>
  </si>
  <si>
    <t>CropSpeciesCode_peanut</t>
  </si>
  <si>
    <t>CropSpeciesCode_potato</t>
  </si>
  <si>
    <t>CropSpeciesCode_pulse</t>
  </si>
  <si>
    <t>CropSpeciesCode_rice</t>
  </si>
  <si>
    <t>CropSpeciesCode_rubber</t>
  </si>
  <si>
    <t>CropSpeciesCode_rye</t>
  </si>
  <si>
    <t>CropSpeciesCode_sisal</t>
  </si>
  <si>
    <t>CropSpeciesCode_sorghum</t>
  </si>
  <si>
    <t>CropSpeciesCode_sugarCane</t>
  </si>
  <si>
    <t>CropSpeciesCode_sugarCrop</t>
  </si>
  <si>
    <t>CropSpeciesCode_tea</t>
  </si>
  <si>
    <t>CropSpeciesCode_timber</t>
  </si>
  <si>
    <t>CropSpeciesCode_tobacco</t>
  </si>
  <si>
    <t>CropSpeciesCode_tuber</t>
  </si>
  <si>
    <t>CropSpeciesCode_vegetableCrop</t>
  </si>
  <si>
    <t>CropSpeciesCode_walnut</t>
  </si>
  <si>
    <t>CropSpeciesCode_wheat</t>
  </si>
  <si>
    <t>CrossSectionalProfileCode_arch</t>
  </si>
  <si>
    <t>CrossSectionalProfileCode_box</t>
  </si>
  <si>
    <t>CrossSectionalProfileCode_semicircular</t>
  </si>
  <si>
    <t>CrossSectionalShapeCode_circular</t>
  </si>
  <si>
    <t>CrossSectionalShapeCode_elliptical</t>
  </si>
  <si>
    <t>CrossSectionalShapeCode_hexagonal</t>
  </si>
  <si>
    <t>CrossSectionalShapeCode_irregular</t>
  </si>
  <si>
    <t>CrossSectionalShapeCode_octagonal</t>
  </si>
  <si>
    <t>CrossSectionalShapeCode_pentagonal</t>
  </si>
  <si>
    <t>CrossSectionalShapeCode_rectangular</t>
  </si>
  <si>
    <t>CrossSectionalShapeCode_semicircular</t>
  </si>
  <si>
    <t>CrossSectionalShapeCode_square</t>
  </si>
  <si>
    <t>CrossSectionalShapeCode_triangular</t>
  </si>
  <si>
    <t>CruisingLevelDirectionCode_even</t>
  </si>
  <si>
    <t>CruisingLevelDirectionCode_odd</t>
  </si>
  <si>
    <t>CulturalContextTypeCode_clan</t>
  </si>
  <si>
    <t>CulturalContextTypeCode_ethnicGroup</t>
  </si>
  <si>
    <t>CulturalContextTypeCode_language</t>
  </si>
  <si>
    <t>CulturalContextTypeCode_nationalIdentity</t>
  </si>
  <si>
    <t>CulturalContextTypeCode_religion</t>
  </si>
  <si>
    <t>CulturalContextTypeCode_tribe</t>
  </si>
  <si>
    <t>CulturalSignificanceCode_culturallySensitive</t>
  </si>
  <si>
    <t>CulturalSignificanceCode_manMadeHistoric</t>
  </si>
  <si>
    <t>CulturalSignificanceCode_manMadeReligious</t>
  </si>
  <si>
    <t>CulturalSignificanceCode_naturalHistoric</t>
  </si>
  <si>
    <t>CulturalSignificanceCode_naturalReligious</t>
  </si>
  <si>
    <t>CulvertTypeCode_boxWithLoad</t>
  </si>
  <si>
    <t>CulvertTypeCode_boxWithSoil</t>
  </si>
  <si>
    <t>CulvertTypeCode_regularWithSoil</t>
  </si>
  <si>
    <t>CurrentTypeCategoryCode_ebbStream</t>
  </si>
  <si>
    <t>CurrentTypeCategoryCode_floodStream</t>
  </si>
  <si>
    <t>CurrentTypeCategoryCode_longshore</t>
  </si>
  <si>
    <t>CurrentTypeCategoryCode_oceanCurrent</t>
  </si>
  <si>
    <t>CurrentTypeCategoryCode_rip</t>
  </si>
  <si>
    <t>CurrentTypeCategoryCode_riverFlow</t>
  </si>
  <si>
    <t>CurrentTypeCategoryCode_tidalFlow</t>
  </si>
  <si>
    <t>CurrentTypeCategoryCode_underwaterRiverFlow</t>
  </si>
  <si>
    <t>DamFaceTypeCode_slope</t>
  </si>
  <si>
    <t>DamFaceTypeCode_vertical</t>
  </si>
  <si>
    <t>DamTypeCode_floodControl</t>
  </si>
  <si>
    <t>DamTypeCode_hydroPowerGeneration</t>
  </si>
  <si>
    <t>DamTypeCode_navigation</t>
  </si>
  <si>
    <t>DamTypeCode_weir</t>
  </si>
  <si>
    <t>CI_DateTypeCode_creation</t>
  </si>
  <si>
    <t>CI_DateTypeCode_expired</t>
  </si>
  <si>
    <t>CI_DateTypeCode_publication</t>
  </si>
  <si>
    <t>CI_DateTypeCode_reviewed</t>
  </si>
  <si>
    <t>CI_DateTypeCode_revision</t>
  </si>
  <si>
    <t>CI_DateTypeCode_superseded</t>
  </si>
  <si>
    <t>CI_DateTypeCode_withdrawn</t>
  </si>
  <si>
    <t>DaymarkShapeCode_cage</t>
  </si>
  <si>
    <t>DaymarkShapeCode_circular</t>
  </si>
  <si>
    <t>DaymarkShapeCode_diamond</t>
  </si>
  <si>
    <t>DaymarkShapeCode_rectangle</t>
  </si>
  <si>
    <t>DaymarkShapeCode_square</t>
  </si>
  <si>
    <t>DaymarkShapeCode_trapezoidal</t>
  </si>
  <si>
    <t>DaymarkShapeCode_triangle</t>
  </si>
  <si>
    <t>DepthExpositionCode_coveredGte20ButLt30Metres</t>
  </si>
  <si>
    <t>DepthExpositionCode_coveredGte30Metres</t>
  </si>
  <si>
    <t>DepthExpositionCode_coveredLt20Metres</t>
  </si>
  <si>
    <t>DesignatedPointTypeCode_aerodromeHeliport</t>
  </si>
  <si>
    <t>DesignatedPointTypeCode_coordinateBased</t>
  </si>
  <si>
    <t>DesignatedPointTypeCode_icao</t>
  </si>
  <si>
    <t>DirectionBasisCode_magneticBearing</t>
  </si>
  <si>
    <t>DirectionBasisCode_magneticHeading</t>
  </si>
  <si>
    <t>DirectionBasisCode_magneticTrack</t>
  </si>
  <si>
    <t>DirectionBasisCode_trueBearing</t>
  </si>
  <si>
    <t>DirectionBasisCode_trueHeading</t>
  </si>
  <si>
    <t>DirectionBasisCode_vorOrTacanRadial</t>
  </si>
  <si>
    <t>DirectivityCode_bidirectional</t>
  </si>
  <si>
    <t>DirectivityCode_leftUnidirectional</t>
  </si>
  <si>
    <t>DirectivityCode_omnidirectional</t>
  </si>
  <si>
    <t>DirectivityCode_rightUnidirectional</t>
  </si>
  <si>
    <t>DirectivityCode_unidirectional</t>
  </si>
  <si>
    <t>DisplaySignTypeCode_billboard</t>
  </si>
  <si>
    <t>DisplaySignTypeCode_scoreboard</t>
  </si>
  <si>
    <t>DmeChannelCode_chan001X</t>
  </si>
  <si>
    <t>DmeChannelCode_chan001Y</t>
  </si>
  <si>
    <t>DmeChannelCode_chan002X</t>
  </si>
  <si>
    <t>DmeChannelCode_chan002Y</t>
  </si>
  <si>
    <t>DmeChannelCode_chan003X</t>
  </si>
  <si>
    <t>DmeChannelCode_chan003Y</t>
  </si>
  <si>
    <t>DmeChannelCode_chan004X</t>
  </si>
  <si>
    <t>DmeChannelCode_chan004Y</t>
  </si>
  <si>
    <t>DmeChannelCode_chan005X</t>
  </si>
  <si>
    <t>DmeChannelCode_chan005Y</t>
  </si>
  <si>
    <t>DmeChannelCode_chan006X</t>
  </si>
  <si>
    <t>DmeChannelCode_chan006Y</t>
  </si>
  <si>
    <t>DmeChannelCode_chan007X</t>
  </si>
  <si>
    <t>DmeChannelCode_chan007Y</t>
  </si>
  <si>
    <t>DmeChannelCode_chan008X</t>
  </si>
  <si>
    <t>DmeChannelCode_chan008Y</t>
  </si>
  <si>
    <t>DmeChannelCode_chan009X</t>
  </si>
  <si>
    <t>DmeChannelCode_chan009Y</t>
  </si>
  <si>
    <t>DmeChannelCode_chan010X</t>
  </si>
  <si>
    <t>DmeChannelCode_chan010Y</t>
  </si>
  <si>
    <t>DmeChannelCode_chan011X</t>
  </si>
  <si>
    <t>DmeChannelCode_chan011Y</t>
  </si>
  <si>
    <t>DmeChannelCode_chan012X</t>
  </si>
  <si>
    <t>DmeChannelCode_chan012Y</t>
  </si>
  <si>
    <t>DmeChannelCode_chan013X</t>
  </si>
  <si>
    <t>DmeChannelCode_chan013Y</t>
  </si>
  <si>
    <t>DmeChannelCode_chan014X</t>
  </si>
  <si>
    <t>DmeChannelCode_chan014Y</t>
  </si>
  <si>
    <t>DmeChannelCode_chan015X</t>
  </si>
  <si>
    <t>DmeChannelCode_chan015Y</t>
  </si>
  <si>
    <t>DmeChannelCode_chan016X</t>
  </si>
  <si>
    <t>DmeChannelCode_chan016Y</t>
  </si>
  <si>
    <t>DmeChannelCode_chan017X</t>
  </si>
  <si>
    <t>DmeChannelCode_chan017Y</t>
  </si>
  <si>
    <t>DmeChannelCode_chan017Z</t>
  </si>
  <si>
    <t>DmeChannelCode_chan018W</t>
  </si>
  <si>
    <t>DmeChannelCode_chan018X</t>
  </si>
  <si>
    <t>DmeChannelCode_chan018Y</t>
  </si>
  <si>
    <t>DmeChannelCode_chan018Z</t>
  </si>
  <si>
    <t>DmeChannelCode_chan019X</t>
  </si>
  <si>
    <t>DmeChannelCode_chan019Y</t>
  </si>
  <si>
    <t>DmeChannelCode_chan019Z</t>
  </si>
  <si>
    <t>DmeChannelCode_chan020W</t>
  </si>
  <si>
    <t>DmeChannelCode_chan020X</t>
  </si>
  <si>
    <t>DmeChannelCode_chan020Y</t>
  </si>
  <si>
    <t>DmeChannelCode_chan020Z</t>
  </si>
  <si>
    <t>DmeChannelCode_chan021X</t>
  </si>
  <si>
    <t>DmeChannelCode_chan021Y</t>
  </si>
  <si>
    <t>DmeChannelCode_chan021Z</t>
  </si>
  <si>
    <t>DmeChannelCode_chan022W</t>
  </si>
  <si>
    <t>DmeChannelCode_chan022X</t>
  </si>
  <si>
    <t>DmeChannelCode_chan022Y</t>
  </si>
  <si>
    <t>DmeChannelCode_chan022Z</t>
  </si>
  <si>
    <t>DmeChannelCode_chan023X</t>
  </si>
  <si>
    <t>DmeChannelCode_chan023Y</t>
  </si>
  <si>
    <t>DmeChannelCode_chan023Z</t>
  </si>
  <si>
    <t>DmeChannelCode_chan024W</t>
  </si>
  <si>
    <t>DmeChannelCode_chan024X</t>
  </si>
  <si>
    <t>DmeChannelCode_chan024Y</t>
  </si>
  <si>
    <t>DmeChannelCode_chan024Z</t>
  </si>
  <si>
    <t>DmeChannelCode_chan025X</t>
  </si>
  <si>
    <t>DmeChannelCode_chan025Y</t>
  </si>
  <si>
    <t>DmeChannelCode_chan025Z</t>
  </si>
  <si>
    <t>DmeChannelCode_chan026W</t>
  </si>
  <si>
    <t>DmeChannelCode_chan026X</t>
  </si>
  <si>
    <t>DmeChannelCode_chan026Y</t>
  </si>
  <si>
    <t>DmeChannelCode_chan026Z</t>
  </si>
  <si>
    <t>DmeChannelCode_chan027X</t>
  </si>
  <si>
    <t>DmeChannelCode_chan027Y</t>
  </si>
  <si>
    <t>DmeChannelCode_chan027Z</t>
  </si>
  <si>
    <t>DmeChannelCode_chan028W</t>
  </si>
  <si>
    <t>DmeChannelCode_chan028X</t>
  </si>
  <si>
    <t>DmeChannelCode_chan028Y</t>
  </si>
  <si>
    <t>DmeChannelCode_chan028Z</t>
  </si>
  <si>
    <t>DmeChannelCode_chan029X</t>
  </si>
  <si>
    <t>DmeChannelCode_chan029Y</t>
  </si>
  <si>
    <t>DmeChannelCode_chan029Z</t>
  </si>
  <si>
    <t>DmeChannelCode_chan030W</t>
  </si>
  <si>
    <t>DmeChannelCode_chan030X</t>
  </si>
  <si>
    <t>DmeChannelCode_chan030Y</t>
  </si>
  <si>
    <t>DmeChannelCode_chan030Z</t>
  </si>
  <si>
    <t>DmeChannelCode_chan031X</t>
  </si>
  <si>
    <t>DmeChannelCode_chan031Y</t>
  </si>
  <si>
    <t>DmeChannelCode_chan031Z</t>
  </si>
  <si>
    <t>DmeChannelCode_chan032W</t>
  </si>
  <si>
    <t>DmeChannelCode_chan032X</t>
  </si>
  <si>
    <t>DmeChannelCode_chan032Y</t>
  </si>
  <si>
    <t>DmeChannelCode_chan032Z</t>
  </si>
  <si>
    <t>DmeChannelCode_chan033X</t>
  </si>
  <si>
    <t>DmeChannelCode_chan033Y</t>
  </si>
  <si>
    <t>DmeChannelCode_chan033Z</t>
  </si>
  <si>
    <t>DmeChannelCode_chan034W</t>
  </si>
  <si>
    <t>DmeChannelCode_chan034X</t>
  </si>
  <si>
    <t>DmeChannelCode_chan034Y</t>
  </si>
  <si>
    <t>DmeChannelCode_chan034Z</t>
  </si>
  <si>
    <t>DmeChannelCode_chan035X</t>
  </si>
  <si>
    <t>DmeChannelCode_chan035Y</t>
  </si>
  <si>
    <t>DmeChannelCode_chan035Z</t>
  </si>
  <si>
    <t>DmeChannelCode_chan036W</t>
  </si>
  <si>
    <t>DmeChannelCode_chan036X</t>
  </si>
  <si>
    <t>DmeChannelCode_chan036Y</t>
  </si>
  <si>
    <t>DmeChannelCode_chan036Z</t>
  </si>
  <si>
    <t>DmeChannelCode_chan037X</t>
  </si>
  <si>
    <t>DmeChannelCode_chan037Y</t>
  </si>
  <si>
    <t>DmeChannelCode_chan037Z</t>
  </si>
  <si>
    <t>DmeChannelCode_chan038W</t>
  </si>
  <si>
    <t>DmeChannelCode_chan038X</t>
  </si>
  <si>
    <t>DmeChannelCode_chan038Y</t>
  </si>
  <si>
    <t>DmeChannelCode_chan038Z</t>
  </si>
  <si>
    <t>DmeChannelCode_chan039X</t>
  </si>
  <si>
    <t>DmeChannelCode_chan039Y</t>
  </si>
  <si>
    <t>DmeChannelCode_chan039Z</t>
  </si>
  <si>
    <t>DmeChannelCode_chan040W</t>
  </si>
  <si>
    <t>DmeChannelCode_chan040X</t>
  </si>
  <si>
    <t>DmeChannelCode_chan040Y</t>
  </si>
  <si>
    <t>DmeChannelCode_chan040Z</t>
  </si>
  <si>
    <t>DmeChannelCode_chan041X</t>
  </si>
  <si>
    <t>DmeChannelCode_chan041Y</t>
  </si>
  <si>
    <t>DmeChannelCode_chan041Z</t>
  </si>
  <si>
    <t>DmeChannelCode_chan042W</t>
  </si>
  <si>
    <t>DmeChannelCode_chan042X</t>
  </si>
  <si>
    <t>DmeChannelCode_chan042Y</t>
  </si>
  <si>
    <t>DmeChannelCode_chan042Z</t>
  </si>
  <si>
    <t>DmeChannelCode_chan043X</t>
  </si>
  <si>
    <t>DmeChannelCode_chan043Y</t>
  </si>
  <si>
    <t>DmeChannelCode_chan043Z</t>
  </si>
  <si>
    <t>DmeChannelCode_chan044W</t>
  </si>
  <si>
    <t>DmeChannelCode_chan044X</t>
  </si>
  <si>
    <t>DmeChannelCode_chan044Y</t>
  </si>
  <si>
    <t>DmeChannelCode_chan044Z</t>
  </si>
  <si>
    <t>DmeChannelCode_chan045X</t>
  </si>
  <si>
    <t>DmeChannelCode_chan045Y</t>
  </si>
  <si>
    <t>DmeChannelCode_chan045Z</t>
  </si>
  <si>
    <t>DmeChannelCode_chan046W</t>
  </si>
  <si>
    <t>DmeChannelCode_chan046X</t>
  </si>
  <si>
    <t>DmeChannelCode_chan046Y</t>
  </si>
  <si>
    <t>DmeChannelCode_chan046Z</t>
  </si>
  <si>
    <t>DmeChannelCode_chan047X</t>
  </si>
  <si>
    <t>DmeChannelCode_chan047Y</t>
  </si>
  <si>
    <t>DmeChannelCode_chan047Z</t>
  </si>
  <si>
    <t>DmeChannelCode_chan048W</t>
  </si>
  <si>
    <t>DmeChannelCode_chan048X</t>
  </si>
  <si>
    <t>DmeChannelCode_chan048Y</t>
  </si>
  <si>
    <t>DmeChannelCode_chan048Z</t>
  </si>
  <si>
    <t>DmeChannelCode_chan049X</t>
  </si>
  <si>
    <t>DmeChannelCode_chan049Y</t>
  </si>
  <si>
    <t>DmeChannelCode_chan049Z</t>
  </si>
  <si>
    <t>DmeChannelCode_chan050W</t>
  </si>
  <si>
    <t>DmeChannelCode_chan050X</t>
  </si>
  <si>
    <t>DmeChannelCode_chan050Y</t>
  </si>
  <si>
    <t>DmeChannelCode_chan050Z</t>
  </si>
  <si>
    <t>DmeChannelCode_chan051X</t>
  </si>
  <si>
    <t>DmeChannelCode_chan051Y</t>
  </si>
  <si>
    <t>DmeChannelCode_chan051Z</t>
  </si>
  <si>
    <t>DmeChannelCode_chan052W</t>
  </si>
  <si>
    <t>DmeChannelCode_chan052X</t>
  </si>
  <si>
    <t>DmeChannelCode_chan052Y</t>
  </si>
  <si>
    <t>DmeChannelCode_chan052Z</t>
  </si>
  <si>
    <t>DmeChannelCode_chan053X</t>
  </si>
  <si>
    <t>DmeChannelCode_chan053Y</t>
  </si>
  <si>
    <t>DmeChannelCode_chan053Z</t>
  </si>
  <si>
    <t>DmeChannelCode_chan054W</t>
  </si>
  <si>
    <t>DmeChannelCode_chan054X</t>
  </si>
  <si>
    <t>DmeChannelCode_chan054Y</t>
  </si>
  <si>
    <t>DmeChannelCode_chan054Z</t>
  </si>
  <si>
    <t>DmeChannelCode_chan055X</t>
  </si>
  <si>
    <t>DmeChannelCode_chan055Y</t>
  </si>
  <si>
    <t>DmeChannelCode_chan055Z</t>
  </si>
  <si>
    <t>DmeChannelCode_chan056W</t>
  </si>
  <si>
    <t>DmeChannelCode_chan056X</t>
  </si>
  <si>
    <t>DmeChannelCode_chan056Y</t>
  </si>
  <si>
    <t>DmeChannelCode_chan056Z</t>
  </si>
  <si>
    <t>DmeChannelCode_chan057X</t>
  </si>
  <si>
    <t>DmeChannelCode_chan057Y</t>
  </si>
  <si>
    <t>DmeChannelCode_chan058X</t>
  </si>
  <si>
    <t>DmeChannelCode_chan058Y</t>
  </si>
  <si>
    <t>DmeChannelCode_chan059X</t>
  </si>
  <si>
    <t>DmeChannelCode_chan059Y</t>
  </si>
  <si>
    <t>DmeChannelCode_chan060X</t>
  </si>
  <si>
    <t>DmeChannelCode_chan060Y</t>
  </si>
  <si>
    <t>DmeChannelCode_chan061X</t>
  </si>
  <si>
    <t>DmeChannelCode_chan061Y</t>
  </si>
  <si>
    <t>DmeChannelCode_chan062X</t>
  </si>
  <si>
    <t>DmeChannelCode_chan062Y</t>
  </si>
  <si>
    <t>DmeChannelCode_chan063X</t>
  </si>
  <si>
    <t>DmeChannelCode_chan063Y</t>
  </si>
  <si>
    <t>DmeChannelCode_chan064X</t>
  </si>
  <si>
    <t>DmeChannelCode_chan064Y</t>
  </si>
  <si>
    <t>DmeChannelCode_chan065X</t>
  </si>
  <si>
    <t>DmeChannelCode_chan065Y</t>
  </si>
  <si>
    <t>DmeChannelCode_chan066X</t>
  </si>
  <si>
    <t>DmeChannelCode_chan066Y</t>
  </si>
  <si>
    <t>DmeChannelCode_chan067X</t>
  </si>
  <si>
    <t>DmeChannelCode_chan067Y</t>
  </si>
  <si>
    <t>DmeChannelCode_chan068X</t>
  </si>
  <si>
    <t>DmeChannelCode_chan068Y</t>
  </si>
  <si>
    <t>DmeChannelCode_chan069X</t>
  </si>
  <si>
    <t>DmeChannelCode_chan069Y</t>
  </si>
  <si>
    <t>DmeChannelCode_chan070X</t>
  </si>
  <si>
    <t>DmeChannelCode_chan070Y</t>
  </si>
  <si>
    <t>DmeChannelCode_chan071X</t>
  </si>
  <si>
    <t>DmeChannelCode_chan071Y</t>
  </si>
  <si>
    <t>DmeChannelCode_chan072X</t>
  </si>
  <si>
    <t>DmeChannelCode_chan072Y</t>
  </si>
  <si>
    <t>DmeChannelCode_chan073X</t>
  </si>
  <si>
    <t>DmeChannelCode_chan073Y</t>
  </si>
  <si>
    <t>DmeChannelCode_chan074X</t>
  </si>
  <si>
    <t>DmeChannelCode_chan074Y</t>
  </si>
  <si>
    <t>DmeChannelCode_chan075X</t>
  </si>
  <si>
    <t>DmeChannelCode_chan075Y</t>
  </si>
  <si>
    <t>DmeChannelCode_chan076X</t>
  </si>
  <si>
    <t>DmeChannelCode_chan076Y</t>
  </si>
  <si>
    <t>DmeChannelCode_chan077X</t>
  </si>
  <si>
    <t>DmeChannelCode_chan077Y</t>
  </si>
  <si>
    <t>DmeChannelCode_chan078X</t>
  </si>
  <si>
    <t>DmeChannelCode_chan078Y</t>
  </si>
  <si>
    <t>DmeChannelCode_chan079X</t>
  </si>
  <si>
    <t>DmeChannelCode_chan079Y</t>
  </si>
  <si>
    <t>DmeChannelCode_chan080X</t>
  </si>
  <si>
    <t>DmeChannelCode_chan080Y</t>
  </si>
  <si>
    <t>DmeChannelCode_chan080Z</t>
  </si>
  <si>
    <t>DmeChannelCode_chan081X</t>
  </si>
  <si>
    <t>DmeChannelCode_chan081Y</t>
  </si>
  <si>
    <t>DmeChannelCode_chan081Z</t>
  </si>
  <si>
    <t>DmeChannelCode_chan082X</t>
  </si>
  <si>
    <t>DmeChannelCode_chan082Y</t>
  </si>
  <si>
    <t>DmeChannelCode_chan082Z</t>
  </si>
  <si>
    <t>DmeChannelCode_chan083X</t>
  </si>
  <si>
    <t>DmeChannelCode_chan083Y</t>
  </si>
  <si>
    <t>DmeChannelCode_chan083Z</t>
  </si>
  <si>
    <t>DmeChannelCode_chan084X</t>
  </si>
  <si>
    <t>DmeChannelCode_chan084Y</t>
  </si>
  <si>
    <t>DmeChannelCode_chan084Z</t>
  </si>
  <si>
    <t>DmeChannelCode_chan085X</t>
  </si>
  <si>
    <t>DmeChannelCode_chan085Y</t>
  </si>
  <si>
    <t>DmeChannelCode_chan085Z</t>
  </si>
  <si>
    <t>DmeChannelCode_chan086X</t>
  </si>
  <si>
    <t>DmeChannelCode_chan086Y</t>
  </si>
  <si>
    <t>DmeChannelCode_chan086Z</t>
  </si>
  <si>
    <t>DmeChannelCode_chan087X</t>
  </si>
  <si>
    <t>DmeChannelCode_chan087Y</t>
  </si>
  <si>
    <t>DmeChannelCode_chan087Z</t>
  </si>
  <si>
    <t>DmeChannelCode_chan088X</t>
  </si>
  <si>
    <t>DmeChannelCode_chan088Y</t>
  </si>
  <si>
    <t>DmeChannelCode_chan088Z</t>
  </si>
  <si>
    <t>DmeChannelCode_chan089X</t>
  </si>
  <si>
    <t>DmeChannelCode_chan089Y</t>
  </si>
  <si>
    <t>DmeChannelCode_chan089Z</t>
  </si>
  <si>
    <t>DmeChannelCode_chan090X</t>
  </si>
  <si>
    <t>DmeChannelCode_chan090Y</t>
  </si>
  <si>
    <t>DmeChannelCode_chan090Z</t>
  </si>
  <si>
    <t>DmeChannelCode_chan091X</t>
  </si>
  <si>
    <t>DmeChannelCode_chan091Y</t>
  </si>
  <si>
    <t>DmeChannelCode_chan091Z</t>
  </si>
  <si>
    <t>DmeChannelCode_chan092X</t>
  </si>
  <si>
    <t>DmeChannelCode_chan092Y</t>
  </si>
  <si>
    <t>DmeChannelCode_chan092Z</t>
  </si>
  <si>
    <t>DmeChannelCode_chan093X</t>
  </si>
  <si>
    <t>DmeChannelCode_chan093Y</t>
  </si>
  <si>
    <t>DmeChannelCode_chan093Z</t>
  </si>
  <si>
    <t>DmeChannelCode_chan094X</t>
  </si>
  <si>
    <t>DmeChannelCode_chan094Y</t>
  </si>
  <si>
    <t>DmeChannelCode_chan094Z</t>
  </si>
  <si>
    <t>DmeChannelCode_chan095X</t>
  </si>
  <si>
    <t>DmeChannelCode_chan095Y</t>
  </si>
  <si>
    <t>DmeChannelCode_chan095Z</t>
  </si>
  <si>
    <t>DmeChannelCode_chan096X</t>
  </si>
  <si>
    <t>DmeChannelCode_chan096Y</t>
  </si>
  <si>
    <t>DmeChannelCode_chan096Z</t>
  </si>
  <si>
    <t>DmeChannelCode_chan097X</t>
  </si>
  <si>
    <t>DmeChannelCode_chan097Y</t>
  </si>
  <si>
    <t>DmeChannelCode_chan097Z</t>
  </si>
  <si>
    <t>DmeChannelCode_chan098X</t>
  </si>
  <si>
    <t>DmeChannelCode_chan098Y</t>
  </si>
  <si>
    <t>DmeChannelCode_chan098Z</t>
  </si>
  <si>
    <t>DmeChannelCode_chan099X</t>
  </si>
  <si>
    <t>DmeChannelCode_chan099Y</t>
  </si>
  <si>
    <t>DmeChannelCode_chan099Z</t>
  </si>
  <si>
    <t>DmeChannelCode_chan100X</t>
  </si>
  <si>
    <t>DmeChannelCode_chan100Y</t>
  </si>
  <si>
    <t>DmeChannelCode_chan100Z</t>
  </si>
  <si>
    <t>DmeChannelCode_chan101X</t>
  </si>
  <si>
    <t>DmeChannelCode_chan101Y</t>
  </si>
  <si>
    <t>DmeChannelCode_chan101Z</t>
  </si>
  <si>
    <t>DmeChannelCode_chan102X</t>
  </si>
  <si>
    <t>DmeChannelCode_chan102Y</t>
  </si>
  <si>
    <t>DmeChannelCode_chan102Z</t>
  </si>
  <si>
    <t>DmeChannelCode_chan103X</t>
  </si>
  <si>
    <t>DmeChannelCode_chan103Y</t>
  </si>
  <si>
    <t>DmeChannelCode_chan103Z</t>
  </si>
  <si>
    <t>DmeChannelCode_chan104X</t>
  </si>
  <si>
    <t>DmeChannelCode_chan104Y</t>
  </si>
  <si>
    <t>DmeChannelCode_chan104Z</t>
  </si>
  <si>
    <t>DmeChannelCode_chan105X</t>
  </si>
  <si>
    <t>DmeChannelCode_chan105Y</t>
  </si>
  <si>
    <t>DmeChannelCode_chan105Z</t>
  </si>
  <si>
    <t>DmeChannelCode_chan106X</t>
  </si>
  <si>
    <t>DmeChannelCode_chan106Y</t>
  </si>
  <si>
    <t>DmeChannelCode_chan106Z</t>
  </si>
  <si>
    <t>DmeChannelCode_chan107X</t>
  </si>
  <si>
    <t>DmeChannelCode_chan107Y</t>
  </si>
  <si>
    <t>DmeChannelCode_chan107Z</t>
  </si>
  <si>
    <t>DmeChannelCode_chan108X</t>
  </si>
  <si>
    <t>DmeChannelCode_chan108Y</t>
  </si>
  <si>
    <t>DmeChannelCode_chan108Z</t>
  </si>
  <si>
    <t>DmeChannelCode_chan109X</t>
  </si>
  <si>
    <t>DmeChannelCode_chan109Y</t>
  </si>
  <si>
    <t>DmeChannelCode_chan109Z</t>
  </si>
  <si>
    <t>DmeChannelCode_chan110X</t>
  </si>
  <si>
    <t>DmeChannelCode_chan110Y</t>
  </si>
  <si>
    <t>DmeChannelCode_chan110Z</t>
  </si>
  <si>
    <t>DmeChannelCode_chan111X</t>
  </si>
  <si>
    <t>DmeChannelCode_chan111Y</t>
  </si>
  <si>
    <t>DmeChannelCode_chan111Z</t>
  </si>
  <si>
    <t>DmeChannelCode_chan112X</t>
  </si>
  <si>
    <t>DmeChannelCode_chan112Y</t>
  </si>
  <si>
    <t>DmeChannelCode_chan112Z</t>
  </si>
  <si>
    <t>DmeChannelCode_chan113X</t>
  </si>
  <si>
    <t>DmeChannelCode_chan113Y</t>
  </si>
  <si>
    <t>DmeChannelCode_chan113Z</t>
  </si>
  <si>
    <t>DmeChannelCode_chan114X</t>
  </si>
  <si>
    <t>DmeChannelCode_chan114Y</t>
  </si>
  <si>
    <t>DmeChannelCode_chan114Z</t>
  </si>
  <si>
    <t>DmeChannelCode_chan115X</t>
  </si>
  <si>
    <t>DmeChannelCode_chan115Y</t>
  </si>
  <si>
    <t>DmeChannelCode_chan115Z</t>
  </si>
  <si>
    <t>DmeChannelCode_chan116X</t>
  </si>
  <si>
    <t>DmeChannelCode_chan116Y</t>
  </si>
  <si>
    <t>DmeChannelCode_chan116Z</t>
  </si>
  <si>
    <t>DmeChannelCode_chan117X</t>
  </si>
  <si>
    <t>DmeChannelCode_chan117Y</t>
  </si>
  <si>
    <t>DmeChannelCode_chan117Z</t>
  </si>
  <si>
    <t>DmeChannelCode_chan118X</t>
  </si>
  <si>
    <t>DmeChannelCode_chan118Y</t>
  </si>
  <si>
    <t>DmeChannelCode_chan118Z</t>
  </si>
  <si>
    <t>DmeChannelCode_chan119X</t>
  </si>
  <si>
    <t>DmeChannelCode_chan119Y</t>
  </si>
  <si>
    <t>DmeChannelCode_chan119Z</t>
  </si>
  <si>
    <t>DmeChannelCode_chan120X</t>
  </si>
  <si>
    <t>DmeChannelCode_chan120Y</t>
  </si>
  <si>
    <t>DmeChannelCode_chan121X</t>
  </si>
  <si>
    <t>DmeChannelCode_chan121Y</t>
  </si>
  <si>
    <t>DmeChannelCode_chan122X</t>
  </si>
  <si>
    <t>DmeChannelCode_chan122Y</t>
  </si>
  <si>
    <t>DmeChannelCode_chan123X</t>
  </si>
  <si>
    <t>DmeChannelCode_chan123Y</t>
  </si>
  <si>
    <t>DmeChannelCode_chan124X</t>
  </si>
  <si>
    <t>DmeChannelCode_chan124Y</t>
  </si>
  <si>
    <t>DmeChannelCode_chan125X</t>
  </si>
  <si>
    <t>DmeChannelCode_chan125Y</t>
  </si>
  <si>
    <t>DmeChannelCode_chan126X</t>
  </si>
  <si>
    <t>DmeChannelCode_chan126Y</t>
  </si>
  <si>
    <t>DmeTypeCode_dmeN</t>
  </si>
  <si>
    <t>DmeTypeCode_dmeP</t>
  </si>
  <si>
    <t>DmeTypeCode_dmeW</t>
  </si>
  <si>
    <t>DitchFunctionCode_drainage</t>
  </si>
  <si>
    <t>DitchFunctionCode_irrigation</t>
  </si>
  <si>
    <t>DitchFunctionCode_sewage</t>
  </si>
  <si>
    <t>DockTypeCode_ungated</t>
  </si>
  <si>
    <t>DockTypeCode_wetDock</t>
  </si>
  <si>
    <t>DoorStructureCode_concreteSteelPlating</t>
  </si>
  <si>
    <t>DoorStructureCode_filledSteelShell</t>
  </si>
  <si>
    <t>DoorStructureCode_hollowSteelShell</t>
  </si>
  <si>
    <t>DoorStructureCode_solidSteel</t>
  </si>
  <si>
    <t>DumpingGroundTypeCode_chemicalWaste</t>
  </si>
  <si>
    <t>DumpingGroundTypeCode_explosives</t>
  </si>
  <si>
    <t>DumpingGroundTypeCode_hazardousMaterial</t>
  </si>
  <si>
    <t>DumpingGroundTypeCode_nuclearWaste</t>
  </si>
  <si>
    <t>DumpingGroundTypeCode_spoil</t>
  </si>
  <si>
    <t>DumpingGroundTypeCode_vessels</t>
  </si>
  <si>
    <t>EarthquakeMagSourceCode_abe_1981</t>
  </si>
  <si>
    <t>EarthquakeMagSourceCode_abe_1984</t>
  </si>
  <si>
    <t>EarthquakeMagSourceCode_abeNoguchi_1983a</t>
  </si>
  <si>
    <t>EarthquakeMagSourceCode_abeNoguchi_1983b</t>
  </si>
  <si>
    <t>EarthquakeMagSourceCode_adakObservatory</t>
  </si>
  <si>
    <t>EarthquakeMagSourceCode_alaskaTsunamiWarning</t>
  </si>
  <si>
    <t>EarthquakeMagSourceCode_ando_1979</t>
  </si>
  <si>
    <t>EarthquakeMagSourceCode_archuletaEtAl_1982</t>
  </si>
  <si>
    <t>EarthquakeMagSourceCode_armbrusterSeeber_1987</t>
  </si>
  <si>
    <t>EarthquakeMagSourceCode_bakerLangston_1987</t>
  </si>
  <si>
    <t>EarthquakeMagSourceCode_bakun_1984</t>
  </si>
  <si>
    <t>EarthquakeMagSourceCode_barstowEtAl_1981</t>
  </si>
  <si>
    <t>EarthquakeMagSourceCode_bashamEtAl_1979</t>
  </si>
  <si>
    <t>EarthquakeMagSourceCode_bollinger_1979</t>
  </si>
  <si>
    <t>EarthquakeMagSourceCode_bollinger_1986</t>
  </si>
  <si>
    <t>EarthquakeMagSourceCode_bolt_1978</t>
  </si>
  <si>
    <t>EarthquakeMagSourceCode_bolt_1984</t>
  </si>
  <si>
    <t>EarthquakeMagSourceCode_boltEtAl_1981</t>
  </si>
  <si>
    <t>EarthquakeMagSourceCode_bostonCollege</t>
  </si>
  <si>
    <t>EarthquakeMagSourceCode_burgerLangston_1985</t>
  </si>
  <si>
    <t>EarthquakeMagSourceCode_califDeptWaterResources</t>
  </si>
  <si>
    <t>EarthquakeMagSourceCode_califDivisionMinesGeology</t>
  </si>
  <si>
    <t>EarthquakeMagSourceCode_califInstituteTechnology</t>
  </si>
  <si>
    <t>EarthquakeMagSourceCode_carlson_1984</t>
  </si>
  <si>
    <t>EarthquakeMagSourceCode_carverEtAl_1983</t>
  </si>
  <si>
    <t>EarthquakeMagSourceCode_coloradoSchoolMines</t>
  </si>
  <si>
    <t>EarthquakeMagSourceCode_columbiaUniversity</t>
  </si>
  <si>
    <t>EarthquakeMagSourceCode_cox_1985</t>
  </si>
  <si>
    <t>EarthquakeMagSourceCode_dewey_1987</t>
  </si>
  <si>
    <t>EarthquakeMagSourceCode_deweyGordon_1984</t>
  </si>
  <si>
    <t>EarthquakeMagSourceCode_doser_1985</t>
  </si>
  <si>
    <t>EarthquakeMagSourceCode_doser_1989</t>
  </si>
  <si>
    <t>EarthquakeMagSourceCode_dovserSmith_1982</t>
  </si>
  <si>
    <t>EarthquakeMagSourceCode_duda_1965</t>
  </si>
  <si>
    <t>EarthquakeMagSourceCode_ebelEtAl_1986</t>
  </si>
  <si>
    <t>EarthquakeMagSourceCode_eberhartPhillipsEtAl_1981</t>
  </si>
  <si>
    <t>EarthquakeMagSourceCode_ekstromDziewonski_1985</t>
  </si>
  <si>
    <t>EarthquakeMagSourceCode_ellsworth_1990</t>
  </si>
  <si>
    <t>EarthquakeMagSourceCode_frankel_1984</t>
  </si>
  <si>
    <t>EarthquakeMagSourceCode_geologicalSurveyCanada</t>
  </si>
  <si>
    <t>EarthquakeMagSourceCode_georgiaInstituteTech</t>
  </si>
  <si>
    <t>EarthquakeMagSourceCode_gordon_1990</t>
  </si>
  <si>
    <t>EarthquakeMagSourceCode_gutenbergRichter_1954</t>
  </si>
  <si>
    <t>EarthquakeMagSourceCode_hanksEtAl_1975</t>
  </si>
  <si>
    <t>EarthquakeMagSourceCode_hanksKanamori_1979</t>
  </si>
  <si>
    <t>EarthquakeMagSourceCode_hartEtAl_1977</t>
  </si>
  <si>
    <t>EarthquakeMagSourceCode_hartzellBrune_1979</t>
  </si>
  <si>
    <t>EarthquakeMagSourceCode_harvardUniversity</t>
  </si>
  <si>
    <t>EarthquakeMagSourceCode_hasegawaEtAl_1980</t>
  </si>
  <si>
    <t>EarthquakeMagSourceCode_hawaiianVolcanoObs</t>
  </si>
  <si>
    <t>EarthquakeMagSourceCode_heatonHeimberger_1978</t>
  </si>
  <si>
    <t>EarthquakeMagSourceCode_hermann_1979</t>
  </si>
  <si>
    <t>EarthquakeMagSourceCode_hermann_1986</t>
  </si>
  <si>
    <t>EarthquakeMagSourceCode_hermannEtAl_1980</t>
  </si>
  <si>
    <t>EarthquakeMagSourceCode_hermannEtAl_1981</t>
  </si>
  <si>
    <t>EarthquakeMagSourceCode_hermannEtAl_1982</t>
  </si>
  <si>
    <t>EarthquakeMagSourceCode_institutePhysicsEarth</t>
  </si>
  <si>
    <t>EarthquakeMagSourceCode_intSeismologicalCentre</t>
  </si>
  <si>
    <t>EarthquakeMagSourceCode_johnson_1994</t>
  </si>
  <si>
    <t>EarthquakeMagSourceCode_johnsonEtAl_1974</t>
  </si>
  <si>
    <t>EarthquakeMagSourceCode_johnsonEtAl_1992</t>
  </si>
  <si>
    <t>EarthquakeMagSourceCode_jones_1975</t>
  </si>
  <si>
    <t>EarthquakeMagSourceCode_jonesEtAl_1977</t>
  </si>
  <si>
    <t>EarthquakeMagSourceCode_jordanEtAl_1967</t>
  </si>
  <si>
    <t>EarthquakeMagSourceCode_kanamori_1977</t>
  </si>
  <si>
    <t>EarthquakeMagSourceCode_kanamoriAnderson_1975</t>
  </si>
  <si>
    <t>EarthquakeMagSourceCode_kanamoriJennings_1978</t>
  </si>
  <si>
    <t>EarthquakeMagSourceCode_kirkhamRogers_1986</t>
  </si>
  <si>
    <t>EarthquakeMagSourceCode_kirunaSeismographStation</t>
  </si>
  <si>
    <t>EarthquakeMagSourceCode_langstonBlum_1977</t>
  </si>
  <si>
    <t>EarthquakeMagSourceCode_matushiroSeismologicalObs</t>
  </si>
  <si>
    <t>EarthquakeMagSourceCode_memphisStateUniversity</t>
  </si>
  <si>
    <t>EarthquakeMagSourceCode_montanaBureauMinesGeology</t>
  </si>
  <si>
    <t>EarthquakeMagSourceCode_montanaCollegeMineralSci</t>
  </si>
  <si>
    <t>EarthquakeMagSourceCode_moriHartzell_1990</t>
  </si>
  <si>
    <t>EarthquakeMagSourceCode_nataliSbar_1982</t>
  </si>
  <si>
    <t>EarthquakeMagSourceCode_newMexicoInstMiningTech</t>
  </si>
  <si>
    <t>EarthquakeMagSourceCode_noson_1988</t>
  </si>
  <si>
    <t>EarthquakeMagSourceCode_nuttli_1973</t>
  </si>
  <si>
    <t>EarthquakeMagSourceCode_nuttli_1974</t>
  </si>
  <si>
    <t>EarthquakeMagSourceCode_nuttli_1979</t>
  </si>
  <si>
    <t>EarthquakeMagSourceCode_nuttli_1983</t>
  </si>
  <si>
    <t>EarthquakeMagSourceCode_nuttli_1987</t>
  </si>
  <si>
    <t>EarthquakeMagSourceCode_nuttliEtAl_1977</t>
  </si>
  <si>
    <t>EarthquakeMagSourceCode_oklahomaGeologicalSurvey</t>
  </si>
  <si>
    <t>EarthquakeMagSourceCode_plafkerThatcher_1982</t>
  </si>
  <si>
    <t>EarthquakeMagSourceCode_qamarEtAl_1986</t>
  </si>
  <si>
    <t>EarthquakeMagSourceCode_richter_1935</t>
  </si>
  <si>
    <t>EarthquakeMagSourceCode_richter_1958</t>
  </si>
  <si>
    <t>EarthquakeMagSourceCode_rogers_1983</t>
  </si>
  <si>
    <t>EarthquakeMagSourceCode_rothe_1969</t>
  </si>
  <si>
    <t>EarthquakeMagSourceCode_ruffEtAl_1985</t>
  </si>
  <si>
    <t>EarthquakeMagSourceCode_saintLouisUniversity</t>
  </si>
  <si>
    <t>EarthquakeMagSourceCode_sanfordToppozada_1974</t>
  </si>
  <si>
    <t>EarthquakeMagSourceCode_schellRuff_1986</t>
  </si>
  <si>
    <t>EarthquakeMagSourceCode_scholzEtAl_1986</t>
  </si>
  <si>
    <t>EarthquakeMagSourceCode_schwartzChristensen_1988</t>
  </si>
  <si>
    <t>EarthquakeMagSourceCode_slemmonsEtAl_1965</t>
  </si>
  <si>
    <t>EarthquakeMagSourceCode_somervilleEtAl_1987</t>
  </si>
  <si>
    <t>EarthquakeMagSourceCode_stoverCoffman_1993a</t>
  </si>
  <si>
    <t>EarthquakeMagSourceCode_street_1967</t>
  </si>
  <si>
    <t>EarthquakeMagSourceCode_street_1982</t>
  </si>
  <si>
    <t>EarthquakeMagSourceCode_street_1984</t>
  </si>
  <si>
    <t>EarthquakeMagSourceCode_street_1989</t>
  </si>
  <si>
    <t>EarthquakeMagSourceCode_streetEtAl_1975</t>
  </si>
  <si>
    <t>EarthquakeMagSourceCode_streetGreen_1984</t>
  </si>
  <si>
    <t>EarthquakeMagSourceCode_streetTurcotte_1977</t>
  </si>
  <si>
    <t>EarthquakeMagSourceCode_taggartBaldwin_1982</t>
  </si>
  <si>
    <t>EarthquakeMagSourceCode_thatcher_1975</t>
  </si>
  <si>
    <t>EarthquakeMagSourceCode_thatcherEtAl_1975</t>
  </si>
  <si>
    <t>EarthquakeMagSourceCode_thatcherHanks_1973</t>
  </si>
  <si>
    <t>EarthquakeMagSourceCode_universityCalBerkeley</t>
  </si>
  <si>
    <t>EarthquakeMagSourceCode_universityConnecticut</t>
  </si>
  <si>
    <t>EarthquakeMagSourceCode_universityHawaii</t>
  </si>
  <si>
    <t>EarthquakeMagSourceCode_universityMichigan</t>
  </si>
  <si>
    <t>EarthquakeMagSourceCode_universityMontana</t>
  </si>
  <si>
    <t>EarthquakeMagSourceCode_universityNevadaReno</t>
  </si>
  <si>
    <t>EarthquakeMagSourceCode_universityUppsala</t>
  </si>
  <si>
    <t>EarthquakeMagSourceCode_universityUtah</t>
  </si>
  <si>
    <t>EarthquakeMagSourceCode_universityWashington</t>
  </si>
  <si>
    <t>EarthquakeMagSourceCode_usgsGolden</t>
  </si>
  <si>
    <t>EarthquakeMagSourceCode_usgsMenloPark</t>
  </si>
  <si>
    <t>EarthquakeMagSourceCode_usgsPasadena</t>
  </si>
  <si>
    <t>EarthquakeMagSourceCode_victoriaGeophysicalObs</t>
  </si>
  <si>
    <t>EarthquakeMagSourceCode_virginiaPolyInstitute</t>
  </si>
  <si>
    <t>EarthquakeMagSourceCode_wallace_1984</t>
  </si>
  <si>
    <t>EarthquakeMagSourceCode_webbKanamori_1985</t>
  </si>
  <si>
    <t>EarthquakeMagSourceCode_wood_1947</t>
  </si>
  <si>
    <t>EarthquakeMagSourceCode_wyssBrune_1968</t>
  </si>
  <si>
    <t>EarthquakeMagSourceCode_wyssKoyanagi_1992</t>
  </si>
  <si>
    <t>EarthquakeMagSourceCode_yellin_1991</t>
  </si>
  <si>
    <t>EarthquakeMagSourceCode_yellinPatton_1991</t>
  </si>
  <si>
    <t>EarthquakeMagTypeCode_bodyWaveMagnitude</t>
  </si>
  <si>
    <t>EarthquakeMagTypeCode_durationMagnitude</t>
  </si>
  <si>
    <t>EarthquakeMagTypeCode_energyMagnitude</t>
  </si>
  <si>
    <t>EarthquakeMagTypeCode_feltAreaMagnitude</t>
  </si>
  <si>
    <t>EarthquakeMagTypeCode_localMagnitude</t>
  </si>
  <si>
    <t>EarthquakeMagTypeCode_localRegionalMagnitude</t>
  </si>
  <si>
    <t>EarthquakeMagTypeCode_momentMagnitude</t>
  </si>
  <si>
    <t>EarthquakeMagTypeCode_surfaceWaveMagnitude</t>
  </si>
  <si>
    <t>EconomicReserveBasisCode_agricultural</t>
  </si>
  <si>
    <t>EconomicReserveBasisCode_hunting</t>
  </si>
  <si>
    <t>EconomicReserveBasisCode_palmTree</t>
  </si>
  <si>
    <t>ElecPowerManageRegionTypeCode_energyControlRegion</t>
  </si>
  <si>
    <t>ElecPowerManageRegionTypeCode_independentSysOpRegion</t>
  </si>
  <si>
    <t>ElecPowerManageRegionTypeCode_nercRegion</t>
  </si>
  <si>
    <t>ElecPowerManageRegionTypeCode_nercSubregion</t>
  </si>
  <si>
    <t>ElecPowerManageRegionTypeCode_serviceTerritory</t>
  </si>
  <si>
    <t>ElevationAccuracyCategoryCode_accurate</t>
  </si>
  <si>
    <t>ElevationAccuracyCategoryCode_approximate</t>
  </si>
  <si>
    <t>ElevationSurfaceCategoryCode_inlandWater</t>
  </si>
  <si>
    <t>ElevationSurfaceCategoryCode_land</t>
  </si>
  <si>
    <t>ElevationSurfaceCategoryCode_snowIceField</t>
  </si>
  <si>
    <t>ElevationSurfaceCategoryCode_tidalWater</t>
  </si>
  <si>
    <t>ElevationSurfaceCategoryCode_vegetation</t>
  </si>
  <si>
    <t>EmbankmentTypeCode_divider</t>
  </si>
  <si>
    <t>EmbankmentTypeCode_dyke</t>
  </si>
  <si>
    <t>EmbankmentTypeCode_fill</t>
  </si>
  <si>
    <t>EmbankmentTypeCode_levee</t>
  </si>
  <si>
    <t>EmbankmentTypeCode_mound</t>
  </si>
  <si>
    <t>EmergencyPlanningZoneTypeCode_radIngestionExposure</t>
  </si>
  <si>
    <t>EmergencyPlanningZoneTypeCode_radPlumeExposure</t>
  </si>
  <si>
    <t>EmergResponseVehicleTypeCode_bulldozer</t>
  </si>
  <si>
    <t>EmergResponseVehicleTypeCode_crane</t>
  </si>
  <si>
    <t>EmergResponseVehicleTypeCode_crashTruck</t>
  </si>
  <si>
    <t>EmergResponseVehicleTypeCode_demolitionVehicle</t>
  </si>
  <si>
    <t>EmergResponseVehicleTypeCode_fireEngine</t>
  </si>
  <si>
    <t>EmergResponseVehicleTypeCode_frontEndLoader</t>
  </si>
  <si>
    <t>EmergResponseVehicleTypeCode_salvageTrailer</t>
  </si>
  <si>
    <t>EmergResponseVehicleTypeCode_snowRemovalVehicle</t>
  </si>
  <si>
    <t>EmergResponseVehicleTypeCode_towingTractor</t>
  </si>
  <si>
    <t>EngineTestCellTypeCode_jetEngineDismounted</t>
  </si>
  <si>
    <t>EngineTestCellTypeCode_jetEngineMounted</t>
  </si>
  <si>
    <t>EngineTestCellTypeCode_rocketEngineHorizontal</t>
  </si>
  <si>
    <t>EngineTestCellTypeCode_rocketEngineUpright</t>
  </si>
  <si>
    <t>EngineeredEarthworkTypeCode_battery</t>
  </si>
  <si>
    <t>EngineeredEarthworkTypeCode_militaryParapet</t>
  </si>
  <si>
    <t>EngineeredEarthworkTypeCode_militaryTrench</t>
  </si>
  <si>
    <t>EngineeredEarthworkTypeCode_rampart</t>
  </si>
  <si>
    <t>EngineeredEarthworkTypeCode_redoubt</t>
  </si>
  <si>
    <t>EnhFujitaTornadoScaleCode_considerableDamage_EF2</t>
  </si>
  <si>
    <t>EnhFujitaTornadoScaleCode_devastatingDamage_EF4</t>
  </si>
  <si>
    <t>EnhFujitaTornadoScaleCode_incredibleDamage_EF5</t>
  </si>
  <si>
    <t>EnhFujitaTornadoScaleCode_lightDamage_EF0</t>
  </si>
  <si>
    <t>EnhFujitaTornadoScaleCode_moderateDamage_EF1</t>
  </si>
  <si>
    <t>EnhFujitaTornadoScaleCode_severeDamage_EF3</t>
  </si>
  <si>
    <t>EntityIdentifierTypeCode_basicEncyclopediaNumber</t>
  </si>
  <si>
    <t>EntityIdentifierTypeCode_gidiFeatIdentifier</t>
  </si>
  <si>
    <t>EntityIdentifierTypeCode_marginNumber</t>
  </si>
  <si>
    <t>EntityIdentifierTypeCode_verticalObstIdentifier</t>
  </si>
  <si>
    <t>EntranceExitClosureMethodCode_curtainVerticalLift</t>
  </si>
  <si>
    <t>EntranceExitClosureMethodCode_hinged</t>
  </si>
  <si>
    <t>EntranceExitClosureMethodCode_sliding</t>
  </si>
  <si>
    <t>EntranceExitClosureMethodCode_swing</t>
  </si>
  <si>
    <t>EntranceExitTypeCode_caveMouth</t>
  </si>
  <si>
    <t>EntranceExitTypeCode_tunnelMouth</t>
  </si>
  <si>
    <t>EvacuationRouteUseCode_coastalStorm</t>
  </si>
  <si>
    <t>EvacuationRouteUseCode_fire</t>
  </si>
  <si>
    <t>EvacuationRouteUseCode_flood</t>
  </si>
  <si>
    <t>EvacuationRouteUseCode_nonEmergencyRoute</t>
  </si>
  <si>
    <t>EvacuationRouteUseCode_nuclear</t>
  </si>
  <si>
    <t>ExistenceCertaintyCatCode_definite</t>
  </si>
  <si>
    <t>ExistenceCertaintyCatCode_doubtful</t>
  </si>
  <si>
    <t>ExistenceCertaintyCatCode_reported</t>
  </si>
  <si>
    <t>ExtractionMineTypeCode_areaStripMine</t>
  </si>
  <si>
    <t>ExtractionMineTypeCode_belowSurface</t>
  </si>
  <si>
    <t>ExtractionMineTypeCode_borrowPit</t>
  </si>
  <si>
    <t>ExtractionMineTypeCode_contourStripMine</t>
  </si>
  <si>
    <t>ExtractionMineTypeCode_dredge</t>
  </si>
  <si>
    <t>ExtractionMineTypeCode_opencast</t>
  </si>
  <si>
    <t>ExtractionMineTypeCode_peatery</t>
  </si>
  <si>
    <t>ExtractionMineTypeCode_placer</t>
  </si>
  <si>
    <t>ExtractionMineTypeCode_prospect</t>
  </si>
  <si>
    <t>ExtractionMineTypeCode_quarry</t>
  </si>
  <si>
    <t>ExtractionMineTypeCode_stripMine</t>
  </si>
  <si>
    <t>FabricationFacilityTypeCode_heavy</t>
  </si>
  <si>
    <t>FabricationFacilityTypeCode_light</t>
  </si>
  <si>
    <t>FacilityOperationalStatusCode_continuous</t>
  </si>
  <si>
    <t>FacilityOperationalStatusCode_intermittent</t>
  </si>
  <si>
    <t>FacilityOperationalStatusCode_nonOperational</t>
  </si>
  <si>
    <t>FacilityOperationalStatusCode_notInOperation</t>
  </si>
  <si>
    <t>FacilityOperationalStatusCode_operational</t>
  </si>
  <si>
    <t>FacilityOperationalStatusCode_partiallyOperational</t>
  </si>
  <si>
    <t>FacilityOperationalStatusCode_planned</t>
  </si>
  <si>
    <t>FacilityOperationalStatusCode_scheduled</t>
  </si>
  <si>
    <t>FacilityOperationalStatusCode_temporarilyNonOperational</t>
  </si>
  <si>
    <t>FacilityTypeCode_aerialFarm</t>
  </si>
  <si>
    <t>FacilityTypeCode_amusementPark</t>
  </si>
  <si>
    <t>FacilityTypeCode_antiAircraftArtillerySite</t>
  </si>
  <si>
    <t>FacilityTypeCode_caravanPark</t>
  </si>
  <si>
    <t>FacilityTypeCode_castleComplex</t>
  </si>
  <si>
    <t>FacilityTypeCode_cemetery</t>
  </si>
  <si>
    <t>FacilityTypeCode_coolingFacility</t>
  </si>
  <si>
    <t>FacilityTypeCode_driveInTheatre</t>
  </si>
  <si>
    <t>FacilityTypeCode_electricPowerStation</t>
  </si>
  <si>
    <t>FacilityTypeCode_fairground</t>
  </si>
  <si>
    <t>FacilityTypeCode_farm</t>
  </si>
  <si>
    <t>FacilityTypeCode_fishFarmFacility</t>
  </si>
  <si>
    <t>FacilityTypeCode_fuelStorageFacility</t>
  </si>
  <si>
    <t>FacilityTypeCode_golfCourse</t>
  </si>
  <si>
    <t>FacilityTypeCode_heatingFacility</t>
  </si>
  <si>
    <t>FacilityTypeCode_hydrocarbonProdFacility</t>
  </si>
  <si>
    <t>FacilityTypeCode_industrialFarm</t>
  </si>
  <si>
    <t>FacilityTypeCode_industrialPark</t>
  </si>
  <si>
    <t>FacilityTypeCode_missileSite</t>
  </si>
  <si>
    <t>FacilityTypeCode_mobileHomePark</t>
  </si>
  <si>
    <t>FacilityTypeCode_munitionStorageFacility</t>
  </si>
  <si>
    <t>FacilityTypeCode_officePark</t>
  </si>
  <si>
    <t>FacilityTypeCode_port</t>
  </si>
  <si>
    <t>FacilityTypeCode_powerSubstation</t>
  </si>
  <si>
    <t>FacilityTypeCode_pumpingStation</t>
  </si>
  <si>
    <t>FacilityTypeCode_radarStation</t>
  </si>
  <si>
    <t>FacilityTypeCode_railwaard</t>
  </si>
  <si>
    <t>FacilityTypeCode_ranch</t>
  </si>
  <si>
    <t>FacilityTypeCode_roadsideRestArea</t>
  </si>
  <si>
    <t>FacilityTypeCode_sewageTreatmentPlant</t>
  </si>
  <si>
    <t>FacilityTypeCode_shipyard</t>
  </si>
  <si>
    <t>FacilityTypeCode_shoppingComplex</t>
  </si>
  <si>
    <t>FacilityTypeCode_smallCraftFacility</t>
  </si>
  <si>
    <t>FacilityTypeCode_solarFarm</t>
  </si>
  <si>
    <t>FacilityTypeCode_spa</t>
  </si>
  <si>
    <t>FacilityTypeCode_spaceFacility</t>
  </si>
  <si>
    <t>FacilityTypeCode_storageDepot</t>
  </si>
  <si>
    <t>FacilityTypeCode_tankFarm</t>
  </si>
  <si>
    <t>FacilityTypeCode_trainingSite</t>
  </si>
  <si>
    <t>FacilityTypeCode_waterwork</t>
  </si>
  <si>
    <t>FacilityTypeCode_windFarm</t>
  </si>
  <si>
    <t>FacilityTypeCode_zoo</t>
  </si>
  <si>
    <t>FarmingMethodCode_fallow</t>
  </si>
  <si>
    <t>FarmingMethodCode_grazing</t>
  </si>
  <si>
    <t>FarmingMethodCode_permanent</t>
  </si>
  <si>
    <t>FarmingMethodCode_permanentIrrigation</t>
  </si>
  <si>
    <t>FarmingMethodCode_slashAndBurn</t>
  </si>
  <si>
    <t>FarmingPatternCode_intermingledTrees</t>
  </si>
  <si>
    <t>FarmingPatternCode_intermingledWoods</t>
  </si>
  <si>
    <t>FarmingPatternCode_irregular</t>
  </si>
  <si>
    <t>FarmingPatternCode_linear</t>
  </si>
  <si>
    <t>FarmingPatternCode_regular</t>
  </si>
  <si>
    <t>FarmingPatternCode_terraced</t>
  </si>
  <si>
    <t>FarmingPatternCode_treeless</t>
  </si>
  <si>
    <t>FarmingPatternCode_trellised</t>
  </si>
  <si>
    <t>FeatureConfigurationCode_dividedDifferent</t>
  </si>
  <si>
    <t>FeatureConfigurationCode_dividedSame</t>
  </si>
  <si>
    <t>FeatureConfigurationCode_nonDivided</t>
  </si>
  <si>
    <t>FeatureExtractProcessTypeCode_arcGIS</t>
  </si>
  <si>
    <t>FeatureExtractProcessTypeCode_erdas</t>
  </si>
  <si>
    <t>FeatureExtractProcessTypeCode_remoteView</t>
  </si>
  <si>
    <t>FeatureExtractProcessTypeCode_socetGxp</t>
  </si>
  <si>
    <t>FeatureExtractProcessTypeCode_socetSet</t>
  </si>
  <si>
    <t>FeatureFunctionCode_accommodation</t>
  </si>
  <si>
    <t>FeatureFunctionCode_accounting</t>
  </si>
  <si>
    <t>FeatureFunctionCode_administration</t>
  </si>
  <si>
    <t>FeatureFunctionCode_adultEntertainment</t>
  </si>
  <si>
    <t>FeatureFunctionCode_advertising</t>
  </si>
  <si>
    <t>FeatureFunctionCode_agriculture</t>
  </si>
  <si>
    <t>FeatureFunctionCode_aircraftManufac</t>
  </si>
  <si>
    <t>FeatureFunctionCode_aircraftRepair</t>
  </si>
  <si>
    <t>FeatureFunctionCode_airTrafficControl</t>
  </si>
  <si>
    <t>FeatureFunctionCode_airTransport</t>
  </si>
  <si>
    <t>FeatureFunctionCode_amusement</t>
  </si>
  <si>
    <t>FeatureFunctionCode_animalBoarding</t>
  </si>
  <si>
    <t>FeatureFunctionCode_animalFeedManufac</t>
  </si>
  <si>
    <t>FeatureFunctionCode_apparelManufac</t>
  </si>
  <si>
    <t>FeatureFunctionCode_aquaculture</t>
  </si>
  <si>
    <t>FeatureFunctionCode_aquarium</t>
  </si>
  <si>
    <t>FeatureFunctionCode_architectureConsulting</t>
  </si>
  <si>
    <t>FeatureFunctionCode_armory</t>
  </si>
  <si>
    <t>FeatureFunctionCode_auditorium</t>
  </si>
  <si>
    <t>FeatureFunctionCode_baking</t>
  </si>
  <si>
    <t>FeatureFunctionCode_banquetHall</t>
  </si>
  <si>
    <t>FeatureFunctionCode_bar</t>
  </si>
  <si>
    <t>FeatureFunctionCode_beautyTreatment</t>
  </si>
  <si>
    <t>FeatureFunctionCode_beverageManufac</t>
  </si>
  <si>
    <t>FeatureFunctionCode_botanZooReserveActivities</t>
  </si>
  <si>
    <t>FeatureFunctionCode_branchTelephoneExchange</t>
  </si>
  <si>
    <t>FeatureFunctionCode_brewing</t>
  </si>
  <si>
    <t>FeatureFunctionCode_businessManagement</t>
  </si>
  <si>
    <t>FeatureFunctionCode_businessPersonalSupport</t>
  </si>
  <si>
    <t>FeatureFunctionCode_callCentre</t>
  </si>
  <si>
    <t>FeatureFunctionCode_canalTransport</t>
  </si>
  <si>
    <t>FeatureFunctionCode_capitol</t>
  </si>
  <si>
    <t>FeatureFunctionCode_cargoHandling</t>
  </si>
  <si>
    <t>FeatureFunctionCode_cbrneCivilianSupport</t>
  </si>
  <si>
    <t>FeatureFunctionCode_cementMill</t>
  </si>
  <si>
    <t>FeatureFunctionCode_cementProdManufac</t>
  </si>
  <si>
    <t>FeatureFunctionCode_centralBanking</t>
  </si>
  <si>
    <t>FeatureFunctionCode_ceramicProdManufac</t>
  </si>
  <si>
    <t>FeatureFunctionCode_chemicalManufac</t>
  </si>
  <si>
    <t>FeatureFunctionCode_chemicalMining</t>
  </si>
  <si>
    <t>FeatureFunctionCode_cinema</t>
  </si>
  <si>
    <t>FeatureFunctionCode_civilActivities</t>
  </si>
  <si>
    <t>FeatureFunctionCode_civilIntelligence</t>
  </si>
  <si>
    <t>FeatureFunctionCode_clayProdManufac</t>
  </si>
  <si>
    <t>FeatureFunctionCode_climateControl</t>
  </si>
  <si>
    <t>FeatureFunctionCode_club</t>
  </si>
  <si>
    <t>FeatureFunctionCode_cokeManufac</t>
  </si>
  <si>
    <t>FeatureFunctionCode_commerce</t>
  </si>
  <si>
    <t>FeatureFunctionCode_communityCentre</t>
  </si>
  <si>
    <t>FeatureFunctionCode_confectionManufac</t>
  </si>
  <si>
    <t>FeatureFunctionCode_consul</t>
  </si>
  <si>
    <t>FeatureFunctionCode_convenienceStore</t>
  </si>
  <si>
    <t>FeatureFunctionCode_conventionCentre</t>
  </si>
  <si>
    <t>FeatureFunctionCode_cooling</t>
  </si>
  <si>
    <t>FeatureFunctionCode_courierActivities</t>
  </si>
  <si>
    <t>FeatureFunctionCode_cremation</t>
  </si>
  <si>
    <t>FeatureFunctionCode_culturalArtsEntertainment</t>
  </si>
  <si>
    <t>FeatureFunctionCode_custodialService</t>
  </si>
  <si>
    <t>FeatureFunctionCode_customsCheckpoint</t>
  </si>
  <si>
    <t>FeatureFunctionCode_dairying</t>
  </si>
  <si>
    <t>FeatureFunctionCode_dayCare</t>
  </si>
  <si>
    <t>FeatureFunctionCode_deathCareServices</t>
  </si>
  <si>
    <t>FeatureFunctionCode_defenceActivities</t>
  </si>
  <si>
    <t>FeatureFunctionCode_dependentsHousing</t>
  </si>
  <si>
    <t>FeatureFunctionCode_diningHall</t>
  </si>
  <si>
    <t>FeatureFunctionCode_diplomacy</t>
  </si>
  <si>
    <t>FeatureFunctionCode_diplomaticMission</t>
  </si>
  <si>
    <t>FeatureFunctionCode_dormitory</t>
  </si>
  <si>
    <t>FeatureFunctionCode_drilling</t>
  </si>
  <si>
    <t>FeatureFunctionCode_education</t>
  </si>
  <si>
    <t>FeatureFunctionCode_electricalEquipManufac</t>
  </si>
  <si>
    <t>FeatureFunctionCode_electricalEquipRepair</t>
  </si>
  <si>
    <t>FeatureFunctionCode_electronicEquipManufac</t>
  </si>
  <si>
    <t>FeatureFunctionCode_electronicEquipRepair</t>
  </si>
  <si>
    <t>FeatureFunctionCode_embassy</t>
  </si>
  <si>
    <t>FeatureFunctionCode_emergencyOperations</t>
  </si>
  <si>
    <t>FeatureFunctionCode_emergencyReliefServices</t>
  </si>
  <si>
    <t>FeatureFunctionCode_emergencyShelter</t>
  </si>
  <si>
    <t>FeatureFunctionCode_emergencyYouthShelter</t>
  </si>
  <si>
    <t>FeatureFunctionCode_employmentAgency</t>
  </si>
  <si>
    <t>FeatureFunctionCode_engineeringDesign</t>
  </si>
  <si>
    <t>FeatureFunctionCode_executiveActivities</t>
  </si>
  <si>
    <t>FeatureFunctionCode_fabricMetalProdManufac</t>
  </si>
  <si>
    <t>FeatureFunctionCode_fabricMetalProdRepair</t>
  </si>
  <si>
    <t>FeatureFunctionCode_financialMarketAdmin</t>
  </si>
  <si>
    <t>FeatureFunctionCode_financialServices</t>
  </si>
  <si>
    <t>FeatureFunctionCode_firefighting</t>
  </si>
  <si>
    <t>FeatureFunctionCode_fishing</t>
  </si>
  <si>
    <t>FeatureFunctionCode_fitnessCentre</t>
  </si>
  <si>
    <t>FeatureFunctionCode_foodProcessing</t>
  </si>
  <si>
    <t>FeatureFunctionCode_foodProductManufac</t>
  </si>
  <si>
    <t>FeatureFunctionCode_foodService</t>
  </si>
  <si>
    <t>FeatureFunctionCode_footwearManufac</t>
  </si>
  <si>
    <t>FeatureFunctionCode_forestryLogging</t>
  </si>
  <si>
    <t>FeatureFunctionCode_forestWarden</t>
  </si>
  <si>
    <t>FeatureFunctionCode_foundry</t>
  </si>
  <si>
    <t>FeatureFunctionCode_fruitVegProcessing</t>
  </si>
  <si>
    <t>FeatureFunctionCode_fundManagement</t>
  </si>
  <si>
    <t>FeatureFunctionCode_funeralServices</t>
  </si>
  <si>
    <t>FeatureFunctionCode_furnitureManufac</t>
  </si>
  <si>
    <t>FeatureFunctionCode_gambling</t>
  </si>
  <si>
    <t>FeatureFunctionCode_gameToyManufac</t>
  </si>
  <si>
    <t>FeatureFunctionCode_gasOilSeparation</t>
  </si>
  <si>
    <t>FeatureFunctionCode_generalRepair</t>
  </si>
  <si>
    <t>FeatureFunctionCode_glassProdManufac</t>
  </si>
  <si>
    <t>FeatureFunctionCode_government</t>
  </si>
  <si>
    <t>FeatureFunctionCode_grainMilling</t>
  </si>
  <si>
    <t>FeatureFunctionCode_grazing</t>
  </si>
  <si>
    <t>FeatureFunctionCode_grocery</t>
  </si>
  <si>
    <t>FeatureFunctionCode_growingOfCrops</t>
  </si>
  <si>
    <t>FeatureFunctionCode_guard</t>
  </si>
  <si>
    <t>FeatureFunctionCode_guestHouse</t>
  </si>
  <si>
    <t>FeatureFunctionCode_harbourControl</t>
  </si>
  <si>
    <t>FeatureFunctionCode_headOffice</t>
  </si>
  <si>
    <t>FeatureFunctionCode_headquarters</t>
  </si>
  <si>
    <t>FeatureFunctionCode_heating</t>
  </si>
  <si>
    <t>FeatureFunctionCode_higherEducation</t>
  </si>
  <si>
    <t>FeatureFunctionCode_hobbyLeisureActivities</t>
  </si>
  <si>
    <t>FeatureFunctionCode_homelessShelter</t>
  </si>
  <si>
    <t>FeatureFunctionCode_hostel</t>
  </si>
  <si>
    <t>FeatureFunctionCode_hotel</t>
  </si>
  <si>
    <t>FeatureFunctionCode_humanHealthActivities</t>
  </si>
  <si>
    <t>FeatureFunctionCode_humanTissueRepository</t>
  </si>
  <si>
    <t>FeatureFunctionCode_hunting</t>
  </si>
  <si>
    <t>FeatureFunctionCode_iceManufacture</t>
  </si>
  <si>
    <t>FeatureFunctionCode_immigrationControl</t>
  </si>
  <si>
    <t>FeatureFunctionCode_imprisonment</t>
  </si>
  <si>
    <t>FeatureFunctionCode_InformationService</t>
  </si>
  <si>
    <t>FeatureFunctionCode_inlandWatersTransport</t>
  </si>
  <si>
    <t>FeatureFunctionCode_inPatientCare</t>
  </si>
  <si>
    <t>FeatureFunctionCode_inspection</t>
  </si>
  <si>
    <t>FeatureFunctionCode_inspectionStation</t>
  </si>
  <si>
    <t>FeatureFunctionCode_insurance</t>
  </si>
  <si>
    <t>FeatureFunctionCode_intermediateCare</t>
  </si>
  <si>
    <t>FeatureFunctionCode_islamicPrayerHall</t>
  </si>
  <si>
    <t>FeatureFunctionCode_jewelleryManufac</t>
  </si>
  <si>
    <t>FeatureFunctionCode_judicialActivities</t>
  </si>
  <si>
    <t>FeatureFunctionCode_juvenileCorrections</t>
  </si>
  <si>
    <t>FeatureFunctionCode_landscapingService</t>
  </si>
  <si>
    <t>FeatureFunctionCode_laundry</t>
  </si>
  <si>
    <t>FeatureFunctionCode_lawEnforcement</t>
  </si>
  <si>
    <t>FeatureFunctionCode_leatherProdManufac</t>
  </si>
  <si>
    <t>FeatureFunctionCode_legalActivities</t>
  </si>
  <si>
    <t>FeatureFunctionCode_legislativeActivities</t>
  </si>
  <si>
    <t>FeatureFunctionCode_leprosyCare</t>
  </si>
  <si>
    <t>FeatureFunctionCode_library</t>
  </si>
  <si>
    <t>FeatureFunctionCode_localGovernment</t>
  </si>
  <si>
    <t>FeatureFunctionCode_longTermAccommodation</t>
  </si>
  <si>
    <t>FeatureFunctionCode_machineryManufac</t>
  </si>
  <si>
    <t>FeatureFunctionCode_machineryRepair</t>
  </si>
  <si>
    <t>FeatureFunctionCode_mailPackagetransport</t>
  </si>
  <si>
    <t>FeatureFunctionCode_mainTelephoneExchange</t>
  </si>
  <si>
    <t>FeatureFunctionCode_manufacturing</t>
  </si>
  <si>
    <t>FeatureFunctionCode_maritimeDefense</t>
  </si>
  <si>
    <t>FeatureFunctionCode_maritimePilotage</t>
  </si>
  <si>
    <t>FeatureFunctionCode_market</t>
  </si>
  <si>
    <t>FeatureFunctionCode_materialsRecovery</t>
  </si>
  <si>
    <t>FeatureFunctionCode_meatProcessing</t>
  </si>
  <si>
    <t>FeatureFunctionCode_medDentalEquipManufac</t>
  </si>
  <si>
    <t>FeatureFunctionCode_medicinalProdManufac</t>
  </si>
  <si>
    <t>FeatureFunctionCode_meetingPlace</t>
  </si>
  <si>
    <t>FeatureFunctionCode_membershipOrganization</t>
  </si>
  <si>
    <t>FeatureFunctionCode_metalOreMining</t>
  </si>
  <si>
    <t>FeatureFunctionCode_metalProdManufac</t>
  </si>
  <si>
    <t>FeatureFunctionCode_metalRefining</t>
  </si>
  <si>
    <t>FeatureFunctionCode_migrantLabour</t>
  </si>
  <si>
    <t>FeatureFunctionCode_militaryRecruitment</t>
  </si>
  <si>
    <t>FeatureFunctionCode_militaryReserveActivities</t>
  </si>
  <si>
    <t>FeatureFunctionCode_militaryVehicleManufac</t>
  </si>
  <si>
    <t>FeatureFunctionCode_mineralMining</t>
  </si>
  <si>
    <t>FeatureFunctionCode_miningQuarrying</t>
  </si>
  <si>
    <t>FeatureFunctionCode_miscellaneousManufac</t>
  </si>
  <si>
    <t>FeatureFunctionCode_mixedFarming</t>
  </si>
  <si>
    <t>FeatureFunctionCode_mobilePhoneService</t>
  </si>
  <si>
    <t>FeatureFunctionCode_mooring</t>
  </si>
  <si>
    <t>FeatureFunctionCode_mortuaryServices</t>
  </si>
  <si>
    <t>FeatureFunctionCode_motel</t>
  </si>
  <si>
    <t>FeatureFunctionCode_motorVehicleManufac</t>
  </si>
  <si>
    <t>FeatureFunctionCode_motorVehicleParking</t>
  </si>
  <si>
    <t>FeatureFunctionCode_motorVehicleRental</t>
  </si>
  <si>
    <t>FeatureFunctionCode_motorVehicleRepair</t>
  </si>
  <si>
    <t>FeatureFunctionCode_munitionsManufac</t>
  </si>
  <si>
    <t>FeatureFunctionCode_museum</t>
  </si>
  <si>
    <t>FeatureFunctionCode_musicalInstManufac</t>
  </si>
  <si>
    <t>FeatureFunctionCode_nationalGovernment</t>
  </si>
  <si>
    <t>FeatureFunctionCode_navigation</t>
  </si>
  <si>
    <t>FeatureFunctionCode_nightClub</t>
  </si>
  <si>
    <t>FeatureFunctionCode_nonMetalMineralManufac</t>
  </si>
  <si>
    <t>FeatureFunctionCode_nonSpecializedStore</t>
  </si>
  <si>
    <t>FeatureFunctionCode_nuclearResearchCentre</t>
  </si>
  <si>
    <t>FeatureFunctionCode_observationStation</t>
  </si>
  <si>
    <t>FeatureFunctionCode_officeAdministration</t>
  </si>
  <si>
    <t>FeatureFunctionCode_oilMill</t>
  </si>
  <si>
    <t>FeatureFunctionCode_operaHouse</t>
  </si>
  <si>
    <t>FeatureFunctionCode_oreDressing</t>
  </si>
  <si>
    <t>FeatureFunctionCode_outPatientCare</t>
  </si>
  <si>
    <t>FeatureFunctionCode_palace</t>
  </si>
  <si>
    <t>FeatureFunctionCode_paperMill</t>
  </si>
  <si>
    <t>FeatureFunctionCode_pastaManufac</t>
  </si>
  <si>
    <t>FeatureFunctionCode_peatExtraction</t>
  </si>
  <si>
    <t>FeatureFunctionCode_pedestrianTransport</t>
  </si>
  <si>
    <t>FeatureFunctionCode_petroleumCoalProdManufac</t>
  </si>
  <si>
    <t>FeatureFunctionCode_petroleumGasExtract</t>
  </si>
  <si>
    <t>FeatureFunctionCode_petroleumRefining</t>
  </si>
  <si>
    <t>FeatureFunctionCode_petrolSale</t>
  </si>
  <si>
    <t>FeatureFunctionCode_petShop</t>
  </si>
  <si>
    <t>FeatureFunctionCode_pharmacy</t>
  </si>
  <si>
    <t>FeatureFunctionCode_photography</t>
  </si>
  <si>
    <t>FeatureFunctionCode_pilotStation</t>
  </si>
  <si>
    <t>FeatureFunctionCode_pipelineTransport</t>
  </si>
  <si>
    <t>FeatureFunctionCode_placeOfWorship</t>
  </si>
  <si>
    <t>FeatureFunctionCode_plasticProdManufac</t>
  </si>
  <si>
    <t>FeatureFunctionCode_pollingStation</t>
  </si>
  <si>
    <t>FeatureFunctionCode_portControl</t>
  </si>
  <si>
    <t>FeatureFunctionCode_postalActivities</t>
  </si>
  <si>
    <t>FeatureFunctionCode_powerGeneration</t>
  </si>
  <si>
    <t>FeatureFunctionCode_preciousMetalMerchant</t>
  </si>
  <si>
    <t>FeatureFunctionCode_preparedMealManufac</t>
  </si>
  <si>
    <t>FeatureFunctionCode_primaryEducation</t>
  </si>
  <si>
    <t>FeatureFunctionCode_primaryMetalManufac</t>
  </si>
  <si>
    <t>FeatureFunctionCode_printing</t>
  </si>
  <si>
    <t>FeatureFunctionCode_printPublishing</t>
  </si>
  <si>
    <t>FeatureFunctionCode_professionalScientificTech</t>
  </si>
  <si>
    <t>FeatureFunctionCode_propaneSale</t>
  </si>
  <si>
    <t>FeatureFunctionCode_psychiatricInPatientCare</t>
  </si>
  <si>
    <t>FeatureFunctionCode_publicAdministration</t>
  </si>
  <si>
    <t>FeatureFunctionCode_publicHealthActivities</t>
  </si>
  <si>
    <t>FeatureFunctionCode_publicOrder</t>
  </si>
  <si>
    <t>FeatureFunctionCode_publicOrderSafetySecurity</t>
  </si>
  <si>
    <t>FeatureFunctionCode_publicRecords</t>
  </si>
  <si>
    <t>FeatureFunctionCode_publishingBroadcasting</t>
  </si>
  <si>
    <t>FeatureFunctionCode_pumping</t>
  </si>
  <si>
    <t>FeatureFunctionCode_radioBroadcasting</t>
  </si>
  <si>
    <t>FeatureFunctionCode_railwayPassengerTransport</t>
  </si>
  <si>
    <t>FeatureFunctionCode_railwayTransport</t>
  </si>
  <si>
    <t>FeatureFunctionCode_railwayVehicleManufac</t>
  </si>
  <si>
    <t>FeatureFunctionCode_railwayVehicleRepair</t>
  </si>
  <si>
    <t>FeatureFunctionCode_raisingOfAnimals</t>
  </si>
  <si>
    <t>FeatureFunctionCode_realEstateActivities</t>
  </si>
  <si>
    <t>FeatureFunctionCode_recreation</t>
  </si>
  <si>
    <t>FeatureFunctionCode_refractoryProdManufac</t>
  </si>
  <si>
    <t>FeatureFunctionCode_refugeeShelter</t>
  </si>
  <si>
    <t>FeatureFunctionCode_religiousActivities</t>
  </si>
  <si>
    <t>FeatureFunctionCode_rescueParamedical</t>
  </si>
  <si>
    <t>FeatureFunctionCode_residence</t>
  </si>
  <si>
    <t>FeatureFunctionCode_residentialCare</t>
  </si>
  <si>
    <t>FeatureFunctionCode_resort</t>
  </si>
  <si>
    <t>FeatureFunctionCode_restaurant</t>
  </si>
  <si>
    <t>FeatureFunctionCode_restroom</t>
  </si>
  <si>
    <t>FeatureFunctionCode_retailBanking</t>
  </si>
  <si>
    <t>FeatureFunctionCode_retailSale</t>
  </si>
  <si>
    <t>FeatureFunctionCode_retailTelecom</t>
  </si>
  <si>
    <t>FeatureFunctionCode_roadFreightTransport</t>
  </si>
  <si>
    <t>FeatureFunctionCode_roadPassengerTransport</t>
  </si>
  <si>
    <t>FeatureFunctionCode_roadTransport</t>
  </si>
  <si>
    <t>FeatureFunctionCode_rubberProdManufac</t>
  </si>
  <si>
    <t>FeatureFunctionCode_safety</t>
  </si>
  <si>
    <t>FeatureFunctionCode_salesYard</t>
  </si>
  <si>
    <t>FeatureFunctionCode_saltExtraction</t>
  </si>
  <si>
    <t>FeatureFunctionCode_satelliteGroundControl</t>
  </si>
  <si>
    <t>FeatureFunctionCode_satelliteTelecom</t>
  </si>
  <si>
    <t>FeatureFunctionCode_sawmilling</t>
  </si>
  <si>
    <t>FeatureFunctionCode_scientificResearchDevel</t>
  </si>
  <si>
    <t>FeatureFunctionCode_seafoodProcessing</t>
  </si>
  <si>
    <t>FeatureFunctionCode_secondaryEducation</t>
  </si>
  <si>
    <t>FeatureFunctionCode_securityBrokerage</t>
  </si>
  <si>
    <t>FeatureFunctionCode_securityEnforcement</t>
  </si>
  <si>
    <t>FeatureFunctionCode_securityServices</t>
  </si>
  <si>
    <t>FeatureFunctionCode_sewerage</t>
  </si>
  <si>
    <t>FeatureFunctionCode_sewerageScreening</t>
  </si>
  <si>
    <t>FeatureFunctionCode_shipConstruction</t>
  </si>
  <si>
    <t>FeatureFunctionCode_shipRepair</t>
  </si>
  <si>
    <t>FeatureFunctionCode_shootingRange</t>
  </si>
  <si>
    <t>FeatureFunctionCode_shortTermAccommodation</t>
  </si>
  <si>
    <t>FeatureFunctionCode_signalling</t>
  </si>
  <si>
    <t>FeatureFunctionCode_silviculture</t>
  </si>
  <si>
    <t>FeatureFunctionCode_socialWork</t>
  </si>
  <si>
    <t>FeatureFunctionCode_softDrinkManufac</t>
  </si>
  <si>
    <t>FeatureFunctionCode_solidMineralFuelMining</t>
  </si>
  <si>
    <t>FeatureFunctionCode_specializedStore</t>
  </si>
  <si>
    <t>FeatureFunctionCode_spiritDistillery</t>
  </si>
  <si>
    <t>FeatureFunctionCode_sportsAmusementRecreation</t>
  </si>
  <si>
    <t>FeatureFunctionCode_sportsCentre</t>
  </si>
  <si>
    <t>FeatureFunctionCode_sportsGoodsManufac</t>
  </si>
  <si>
    <t>FeatureFunctionCode_station</t>
  </si>
  <si>
    <t>FeatureFunctionCode_steelMill</t>
  </si>
  <si>
    <t>FeatureFunctionCode_stoneProdManufac</t>
  </si>
  <si>
    <t>FeatureFunctionCode_stop</t>
  </si>
  <si>
    <t>FeatureFunctionCode_storageHumanRemains</t>
  </si>
  <si>
    <t>FeatureFunctionCode_structMetalProdManufac</t>
  </si>
  <si>
    <t>FeatureFunctionCode_subnationalGovernment</t>
  </si>
  <si>
    <t>FeatureFunctionCode_sugarManufac</t>
  </si>
  <si>
    <t>FeatureFunctionCode_sugarMilling</t>
  </si>
  <si>
    <t>FeatureFunctionCode_sugarRefining</t>
  </si>
  <si>
    <t>FeatureFunctionCode_surveying</t>
  </si>
  <si>
    <t>FeatureFunctionCode_telecommunications</t>
  </si>
  <si>
    <t>FeatureFunctionCode_televisionBroadcasting</t>
  </si>
  <si>
    <t>FeatureFunctionCode_terminal</t>
  </si>
  <si>
    <t>FeatureFunctionCode_textileAppLeatherManufac</t>
  </si>
  <si>
    <t>FeatureFunctionCode_textileManufac</t>
  </si>
  <si>
    <t>FeatureFunctionCode_theatre</t>
  </si>
  <si>
    <t>FeatureFunctionCode_tobaccoProdManufac</t>
  </si>
  <si>
    <t>FeatureFunctionCode_transferHub</t>
  </si>
  <si>
    <t>FeatureFunctionCode_transport</t>
  </si>
  <si>
    <t>FeatureFunctionCode_transportationHub</t>
  </si>
  <si>
    <t>FeatureFunctionCode_transportationSupport</t>
  </si>
  <si>
    <t>FeatureFunctionCode_transportEquipManufac</t>
  </si>
  <si>
    <t>FeatureFunctionCode_transportSystemMaint</t>
  </si>
  <si>
    <t>FeatureFunctionCode_travelAgency</t>
  </si>
  <si>
    <t>FeatureFunctionCode_urgentMedicalCare</t>
  </si>
  <si>
    <t>FeatureFunctionCode_utilities</t>
  </si>
  <si>
    <t>FeatureFunctionCode_vacationCottage</t>
  </si>
  <si>
    <t>FeatureFunctionCode_veterinary</t>
  </si>
  <si>
    <t>FeatureFunctionCode_vocationalEducation</t>
  </si>
  <si>
    <t>FeatureFunctionCode_warehousingStorage</t>
  </si>
  <si>
    <t>FeatureFunctionCode_wasteTreatmentDisposal</t>
  </si>
  <si>
    <t>FeatureFunctionCode_waterCollection</t>
  </si>
  <si>
    <t>FeatureFunctionCode_waterDistribution</t>
  </si>
  <si>
    <t>FeatureFunctionCode_waterSupply</t>
  </si>
  <si>
    <t>FeatureFunctionCode_waterTransport</t>
  </si>
  <si>
    <t>FeatureFunctionCode_waterTreatment</t>
  </si>
  <si>
    <t>FeatureFunctionCode_weatherStation</t>
  </si>
  <si>
    <t>FeatureFunctionCode_wholesaleMerchant</t>
  </si>
  <si>
    <t>FeatureFunctionCode_windTunnel</t>
  </si>
  <si>
    <t>FeatureFunctionCode_winery</t>
  </si>
  <si>
    <t>FeatureFunctionCode_wiredRepeater</t>
  </si>
  <si>
    <t>FeatureFunctionCode_wiredTelecom</t>
  </si>
  <si>
    <t>FeatureFunctionCode_wirelessRepeater</t>
  </si>
  <si>
    <t>FeatureFunctionCode_wirelessTelecom</t>
  </si>
  <si>
    <t>FeatureFunctionCode_woodBasedManufac</t>
  </si>
  <si>
    <t>FeatureFunctionCode_woodConstructProdManufac</t>
  </si>
  <si>
    <t>FeatureFunctionCode_yachtClub</t>
  </si>
  <si>
    <t>FenceFunctionCode_animalContainment</t>
  </si>
  <si>
    <t>FenceFunctionCode_erosionControl</t>
  </si>
  <si>
    <t>FenceFunctionCode_exclusion</t>
  </si>
  <si>
    <t>FenceFunctionCode_security</t>
  </si>
  <si>
    <t>FenceFunctionCode_wind</t>
  </si>
  <si>
    <t>FenceTypeCode_barbedWire</t>
  </si>
  <si>
    <t>FenceTypeCode_chainLink</t>
  </si>
  <si>
    <t>FenceTypeCode_electricWire</t>
  </si>
  <si>
    <t>FenceTypeCode_geotextile</t>
  </si>
  <si>
    <t>FenceTypeCode_metal</t>
  </si>
  <si>
    <t>FenceTypeCode_netting</t>
  </si>
  <si>
    <t>FenceTypeCode_wood</t>
  </si>
  <si>
    <t>FerryCrossingTypeCode_cable</t>
  </si>
  <si>
    <t>FerryCrossingTypeCode_freeMoving</t>
  </si>
  <si>
    <t>FerryCrossingTypeCode_ice</t>
  </si>
  <si>
    <t>FinalApproachAlignmentCode_circling</t>
  </si>
  <si>
    <t>FinalApproachAlignmentCode_sidestep</t>
  </si>
  <si>
    <t>FinalApproachAlignmentCode_straightIn</t>
  </si>
  <si>
    <t>finalApproachGuideSystemCode_airborneRadarApproach</t>
  </si>
  <si>
    <t>finalApproachGuideSystemCode_airportSurveillanceRadar</t>
  </si>
  <si>
    <t>finalApproachGuideSystemCode_airRouteSurveillanceRadar</t>
  </si>
  <si>
    <t>finalApproachGuideSystemCode_areaNavigation</t>
  </si>
  <si>
    <t>finalApproachGuideSystemCode_distanceMeasuringEquipment</t>
  </si>
  <si>
    <t>finalApproachGuideSystemCode_dmeWithDistMeasuringEquip</t>
  </si>
  <si>
    <t>finalApproachGuideSystemCode_globalNavSatelliteSystem</t>
  </si>
  <si>
    <t>finalApproachGuideSystemCode_globalPositioningSystem</t>
  </si>
  <si>
    <t>finalApproachGuideSystemCode_ilsUsingPrecRunwayMonitor</t>
  </si>
  <si>
    <t>finalApproachGuideSystemCode_ilsWithDistMeasuringEquip</t>
  </si>
  <si>
    <t>finalApproachGuideSystemCode_instrumentGuidanceSystem</t>
  </si>
  <si>
    <t>finalApproachGuideSystemCode_instrumentLandingSystem</t>
  </si>
  <si>
    <t>finalApproachGuideSystemCode_lateralNavigation</t>
  </si>
  <si>
    <t>finalApproachGuideSystemCode_lateralNavigationVerticalNav</t>
  </si>
  <si>
    <t>finalApproachGuideSystemCode_ldaWithDistMeasuringEquip</t>
  </si>
  <si>
    <t>finalApproachGuideSystemCode_localizer</t>
  </si>
  <si>
    <t>finalApproachGuideSystemCode_localizerBackCourse</t>
  </si>
  <si>
    <t>finalApproachGuideSystemCode_localizerPerformance</t>
  </si>
  <si>
    <t>finalApproachGuideSystemCode_localizerPerfVertGuidance</t>
  </si>
  <si>
    <t>finalApproachGuideSystemCode_localizerTypeDirectionAid</t>
  </si>
  <si>
    <t>finalApproachGuideSystemCode_localizerWithDme</t>
  </si>
  <si>
    <t>finalApproachGuideSystemCode_localizerWithDmeBackCourse</t>
  </si>
  <si>
    <t>finalApproachGuideSystemCode_microwaveLandingSystem</t>
  </si>
  <si>
    <t>finalApproachGuideSystemCode_mlsWithDistMeasuringEquip</t>
  </si>
  <si>
    <t>finalApproachGuideSystemCode_ndbWithDistMeasuringEquip</t>
  </si>
  <si>
    <t>finalApproachGuideSystemCode_nonDirectionalBeacon</t>
  </si>
  <si>
    <t>finalApproachGuideSystemCode_precisionApproachRadar</t>
  </si>
  <si>
    <t>finalApproachGuideSystemCode_requiredNavPerformance</t>
  </si>
  <si>
    <t>finalApproachGuideSystemCode_rnavToInstLandingSys</t>
  </si>
  <si>
    <t>finalApproachGuideSystemCode_satelliteBasedAugSystem</t>
  </si>
  <si>
    <t>finalApproachGuideSystemCode_simplifiedDirectionalFac</t>
  </si>
  <si>
    <t>finalApproachGuideSystemCode_specAircraftCrewApproval</t>
  </si>
  <si>
    <t>finalApproachGuideSystemCode_transponderLandingSystem</t>
  </si>
  <si>
    <t>finalApproachGuideSystemCode_uhfTacticalAirNavBeacon</t>
  </si>
  <si>
    <t>finalApproachGuideSystemCode_verticalNavigation</t>
  </si>
  <si>
    <t>finalApproachGuideSystemCode_vhfOmnidirectionalRadio</t>
  </si>
  <si>
    <t>finalApproachGuideSystemCode_visual</t>
  </si>
  <si>
    <t>finalApproachGuideSystemCode_vorWithDistMeasuringEquip</t>
  </si>
  <si>
    <t>finalApproachGuideSystemCode_vorWithTacanBeacon</t>
  </si>
  <si>
    <t>FireExtinguishAgentTypeCode_airPressurizedWater</t>
  </si>
  <si>
    <t>FireExtinguishAgentTypeCode_alcoholResistAqFilmFoam</t>
  </si>
  <si>
    <t>FireExtinguishAgentTypeCode_ammoniumPhosphate</t>
  </si>
  <si>
    <t>FireExtinguishAgentTypeCode_aqueousFilmFormingFoam</t>
  </si>
  <si>
    <t>FireExtinguishAgentTypeCode_arcticFire</t>
  </si>
  <si>
    <t>FireExtinguishAgentTypeCode_carbonDioxide</t>
  </si>
  <si>
    <t>FireExtinguishAgentTypeCode_compressedAirFoamSystem</t>
  </si>
  <si>
    <t>FireExtinguishAgentTypeCode_copperPowderNavy125S</t>
  </si>
  <si>
    <t>FireExtinguishAgentTypeCode_filmFormingFluoroprotein</t>
  </si>
  <si>
    <t>FireExtinguishAgentTypeCode_fireAde</t>
  </si>
  <si>
    <t>FireExtinguishAgentTypeCode_foamCompatible</t>
  </si>
  <si>
    <t>FireExtinguishAgentTypeCode_graphite</t>
  </si>
  <si>
    <t>FireExtinguishAgentTypeCode_halon</t>
  </si>
  <si>
    <t>FireExtinguishAgentTypeCode_metlkylPyrokyl</t>
  </si>
  <si>
    <t>FireExtinguishAgentTypeCode_potassiumBicarbonate</t>
  </si>
  <si>
    <t>FireExtinguishAgentTypeCode_potassiumBicarbUreaComplex</t>
  </si>
  <si>
    <t>FireExtinguishAgentTypeCode_potassiumChloride</t>
  </si>
  <si>
    <t>FireExtinguishAgentTypeCode_sodiumBicarbonate</t>
  </si>
  <si>
    <t>FireExtinguishAgentTypeCode_sodiumCarbonite</t>
  </si>
  <si>
    <t>FireExtinguishAgentTypeCode_sodiumChloride</t>
  </si>
  <si>
    <t>FireExtinguishAgentTypeCode_waterMist</t>
  </si>
  <si>
    <t>FireExtinguishAgentTypeCode_wetChemical</t>
  </si>
  <si>
    <t>FishingActivityLevelCode_lightModerateActivity</t>
  </si>
  <si>
    <t>FishingActivityLevelCode_moderateHeavyActivity</t>
  </si>
  <si>
    <t>FishingActivityLevelCode_veryLightActivity</t>
  </si>
  <si>
    <t>FishingGearTypeCode_beachSeine</t>
  </si>
  <si>
    <t>FishingGearTypeCode_boatDredge</t>
  </si>
  <si>
    <t>FishingGearTypeCode_boatSeine</t>
  </si>
  <si>
    <t>FishingGearTypeCode_bottomTrawl</t>
  </si>
  <si>
    <t>FishingGearTypeCode_crabGillnet</t>
  </si>
  <si>
    <t>FishingGearTypeCode_danishSeine</t>
  </si>
  <si>
    <t>FishingGearTypeCode_dredge</t>
  </si>
  <si>
    <t>FishingGearTypeCode_dutchBeamTrawl</t>
  </si>
  <si>
    <t>FishingGearTypeCode_fishAggregatingDevice</t>
  </si>
  <si>
    <t>FishingGearTypeCode_fixedBagNet</t>
  </si>
  <si>
    <t>FishingGearTypeCode_floatingGillnet</t>
  </si>
  <si>
    <t>FishingGearTypeCode_floatingLongline</t>
  </si>
  <si>
    <t>FishingGearTypeCode_foldingTrap</t>
  </si>
  <si>
    <t>FishingGearTypeCode_fykeNet</t>
  </si>
  <si>
    <t>FishingGearTypeCode_handDredge</t>
  </si>
  <si>
    <t>FishingGearTypeCode_hook</t>
  </si>
  <si>
    <t>FishingGearTypeCode_jigging</t>
  </si>
  <si>
    <t>FishingGearTypeCode_lamparaNet</t>
  </si>
  <si>
    <t>FishingGearTypeCode_lampgear</t>
  </si>
  <si>
    <t>FishingGearTypeCode_liftNet</t>
  </si>
  <si>
    <t>FishingGearTypeCode_lightedTrawl</t>
  </si>
  <si>
    <t>FishingGearTypeCode_lineGear</t>
  </si>
  <si>
    <t>FishingGearTypeCode_longline</t>
  </si>
  <si>
    <t>FishingGearTypeCode_mechanizedDredge</t>
  </si>
  <si>
    <t>FishingGearTypeCode_midwaterTrawl</t>
  </si>
  <si>
    <t>FishingGearTypeCode_net</t>
  </si>
  <si>
    <t>FishingGearTypeCode_pot</t>
  </si>
  <si>
    <t>FishingGearTypeCode_pushNet</t>
  </si>
  <si>
    <t>FishingGearTypeCode_seineNet</t>
  </si>
  <si>
    <t>FishingGearTypeCode_setNet</t>
  </si>
  <si>
    <t>FishingGearTypeCode_spear</t>
  </si>
  <si>
    <t>FishingGearTypeCode_sportFishingGear</t>
  </si>
  <si>
    <t>FishingGearTypeCode_stakeNet</t>
  </si>
  <si>
    <t>FishingGearTypeCode_sternTrawl</t>
  </si>
  <si>
    <t>FishingGearTypeCode_surroundingNet</t>
  </si>
  <si>
    <t>FishingGearTypeCode_trammelNet</t>
  </si>
  <si>
    <t>FishingGearTypeCode_trolliingLine</t>
  </si>
  <si>
    <t>FlightRuleTypeCode_instrumentFlightRules</t>
  </si>
  <si>
    <t>FlightRuleTypeCode_instrumentVisualFlightRules</t>
  </si>
  <si>
    <t>FlightRuleTypeCode_visualFlightRules</t>
  </si>
  <si>
    <t>FloatingBarrierTypeCode_containment</t>
  </si>
  <si>
    <t>FloatingBarrierTypeCode_dredge</t>
  </si>
  <si>
    <t>FloatingBarrierTypeCode_log</t>
  </si>
  <si>
    <t>FloatingBarrierTypeCode_protection</t>
  </si>
  <si>
    <t>FloodControlStrucTypeCode_dykeGate</t>
  </si>
  <si>
    <t>FloodControlStrucTypeCode_emergencyGate</t>
  </si>
  <si>
    <t>FloodControlStrucTypeCode_fixedBarrage</t>
  </si>
  <si>
    <t>FloodControlStrucTypeCode_floodGate</t>
  </si>
  <si>
    <t>FloodControlStrucTypeCode_movableBarrage</t>
  </si>
  <si>
    <t>FogSignalTypeCode_bell</t>
  </si>
  <si>
    <t>FogSignalTypeCode_diaphone</t>
  </si>
  <si>
    <t>FogSignalTypeCode_explosive</t>
  </si>
  <si>
    <t>FogSignalTypeCode_gong</t>
  </si>
  <si>
    <t>FogSignalTypeCode_horn</t>
  </si>
  <si>
    <t>FogSignalTypeCode_nautophone</t>
  </si>
  <si>
    <t>FogSignalTypeCode_none</t>
  </si>
  <si>
    <t>FogSignalTypeCode_radio</t>
  </si>
  <si>
    <t>FogSignalTypeCode_reed</t>
  </si>
  <si>
    <t>FogSignalTypeCode_siren</t>
  </si>
  <si>
    <t>FogSignalTypeCode_submarineBell</t>
  </si>
  <si>
    <t>FogSignalTypeCode_tyfon</t>
  </si>
  <si>
    <t>FogSignalTypeCode_whistle</t>
  </si>
  <si>
    <t>FoliageTypeCode_deciduous</t>
  </si>
  <si>
    <t>FoliageTypeCode_evergreen</t>
  </si>
  <si>
    <t>FoliageTypeCode_mixed</t>
  </si>
  <si>
    <t>FortifiedBuildingTypeCode_blockhouse</t>
  </si>
  <si>
    <t>FortifiedBuildingTypeCode_casement</t>
  </si>
  <si>
    <t>FortifiedBuildingTypeCode_keep</t>
  </si>
  <si>
    <t>FortifiedBuildingTypeCode_martelloTower</t>
  </si>
  <si>
    <t>FortifiedBuildingTypeCode_nonSpecificFortified</t>
  </si>
  <si>
    <t>FortifiedBuildingTypeCode_pillbox</t>
  </si>
  <si>
    <t>FrequencyClassificationCode_ehf</t>
  </si>
  <si>
    <t>FrequencyClassificationCode_elf</t>
  </si>
  <si>
    <t>FrequencyClassificationCode_hf</t>
  </si>
  <si>
    <t>FrequencyClassificationCode_lf</t>
  </si>
  <si>
    <t>FrequencyClassificationCode_mf</t>
  </si>
  <si>
    <t>FrequencyClassificationCode_shf</t>
  </si>
  <si>
    <t>FrequencyClassificationCode_uhf</t>
  </si>
  <si>
    <t>FrequencyClassificationCode_vf</t>
  </si>
  <si>
    <t>FrequencyClassificationCode_vhf</t>
  </si>
  <si>
    <t>FrequencyClassificationCode_vlf</t>
  </si>
  <si>
    <t>FrozenCoverTypeCode_iceField</t>
  </si>
  <si>
    <t>FrozenCoverTypeCode_snowfield</t>
  </si>
  <si>
    <t>FuelStorageMethodCode_aboveBuriedTank</t>
  </si>
  <si>
    <t>FuelStorageMethodCode_abovegroundTank</t>
  </si>
  <si>
    <t>FuelStorageMethodCode_aboveSemiBuriedTank</t>
  </si>
  <si>
    <t>FuelStorageMethodCode_buriedSemiBuriedTank</t>
  </si>
  <si>
    <t>FuelStorageMethodCode_buriedTank</t>
  </si>
  <si>
    <t>FuelStorageMethodCode_container</t>
  </si>
  <si>
    <t>FuelStorageMethodCode_railwayTankWagon</t>
  </si>
  <si>
    <t>FuelStorageMethodCode_semiBuriedTank</t>
  </si>
  <si>
    <t>FuelStorageMethodCode_tankerTruck</t>
  </si>
  <si>
    <t>FuelStorageMethodCode_tankMix</t>
  </si>
  <si>
    <t>FujitaTornadoScaleCode_considerableDamage_F2</t>
  </si>
  <si>
    <t>FujitaTornadoScaleCode_devastatingDamage_F4</t>
  </si>
  <si>
    <t>FujitaTornadoScaleCode_incredibleDamage_F5</t>
  </si>
  <si>
    <t>FujitaTornadoScaleCode_lightDamage_F0</t>
  </si>
  <si>
    <t>FujitaTornadoScaleCode_moderateDamage_F1</t>
  </si>
  <si>
    <t>FujitaTornadoScaleCode_severeDamage_F3</t>
  </si>
  <si>
    <t>GateUseCode_borderCrossing</t>
  </si>
  <si>
    <t>GateUseCode_crossing</t>
  </si>
  <si>
    <t>GateUseCode_entrance</t>
  </si>
  <si>
    <t>GateUseCode_tollGate</t>
  </si>
  <si>
    <t>GeographicNameTypeCode_conventional</t>
  </si>
  <si>
    <t>GeographicNameTypeCode_historicalOriginal</t>
  </si>
  <si>
    <t>GeographicNameTypeCode_historicalTransliterated</t>
  </si>
  <si>
    <t>GeographicNameTypeCode_nativeOriginal</t>
  </si>
  <si>
    <t>GeographicNameTypeCode_nativeTransliterated</t>
  </si>
  <si>
    <t>GeographicNameTypeCode_provisional</t>
  </si>
  <si>
    <t>GeographicNameTypeCode_unverifiedOriginal</t>
  </si>
  <si>
    <t>GeographicNameTypeCode_unverifiedTransliterated</t>
  </si>
  <si>
    <t>GeographicNameTypeCode_variantOriginal</t>
  </si>
  <si>
    <t>GeographicNameTypeCode_variantTransliterated</t>
  </si>
  <si>
    <t>GeomorphicTypeCode_abruptSlopeChange</t>
  </si>
  <si>
    <t>GeomorphicTypeCode_centerlineDrain</t>
  </si>
  <si>
    <t>GeomorphicTypeCode_cliffBottom</t>
  </si>
  <si>
    <t>GeomorphicTypeCode_cliffTop</t>
  </si>
  <si>
    <t>GeomorphicTypeCode_faultlineBottom</t>
  </si>
  <si>
    <t>GeomorphicTypeCode_faultlineTop</t>
  </si>
  <si>
    <t>GeomorphicTypeCode_peak</t>
  </si>
  <si>
    <t>GeomorphicTypeCode_pit</t>
  </si>
  <si>
    <t>GeomorphicTypeCode_ridgeline</t>
  </si>
  <si>
    <t>GeomorphicTypeCode_valleyLine</t>
  </si>
  <si>
    <t>GeonameCharacterSetCode_region1</t>
  </si>
  <si>
    <t>GeonameCharacterSetCode_region2</t>
  </si>
  <si>
    <t>GeonameCharacterSetCode_region3</t>
  </si>
  <si>
    <t>GeonameCharacterSetCode_region4</t>
  </si>
  <si>
    <t>GeonameCharacterSetCode_region5</t>
  </si>
  <si>
    <t>GeonameCharacterSetCode_region6</t>
  </si>
  <si>
    <t>GeopoliticalEntityTypeCode_areaOfNoSovereignty</t>
  </si>
  <si>
    <t>GeopoliticalEntityTypeCode_bufferZone</t>
  </si>
  <si>
    <t>GeopoliticalEntityTypeCode_demilitarizedZone</t>
  </si>
  <si>
    <t>GeopoliticalEntityTypeCode_dependentPoliticalEntity</t>
  </si>
  <si>
    <t>GeopoliticalEntityTypeCode_economicRegion</t>
  </si>
  <si>
    <t>GeopoliticalEntityTypeCode_freelyAssociatedState</t>
  </si>
  <si>
    <t>GeopoliticalEntityTypeCode_independentPoliEntity</t>
  </si>
  <si>
    <t>GeopoliticalEntityTypeCode_leasedArea</t>
  </si>
  <si>
    <t>GeopoliticalEntityTypeCode_politicalEntity</t>
  </si>
  <si>
    <t>GeopoliticalEntityTypeCode_semiIndependPolitEntity</t>
  </si>
  <si>
    <t>GeopoliticalEntityTypeCode_territory</t>
  </si>
  <si>
    <t>GeopoliticalEntityTypeCode_zoneOfOccupation</t>
  </si>
  <si>
    <t>GeopoliticalLineTypeCode_armisticeLine</t>
  </si>
  <si>
    <t>GeopoliticalLineTypeCode_ceaseFireLine</t>
  </si>
  <si>
    <t>GeopoliticalLineTypeCode_claimLine</t>
  </si>
  <si>
    <t>GeopoliticalLineTypeCode_conventionLine</t>
  </si>
  <si>
    <t>GeopoliticalLineTypeCode_demarcationLine</t>
  </si>
  <si>
    <t>GeopoliticalLineTypeCode_genericAdminBoundary</t>
  </si>
  <si>
    <t>GeopoliticalLineTypeCode_genericIntBoundary</t>
  </si>
  <si>
    <t>GeopoliticalLineTypeCode_intercolonialLine</t>
  </si>
  <si>
    <t>GeopoliticalLineTypeCode_interentityLine</t>
  </si>
  <si>
    <t>GeopoliticalLineTypeCode_lineOfAdjacency</t>
  </si>
  <si>
    <t>GeopoliticalLineTypeCode_lineOfControl</t>
  </si>
  <si>
    <t>GeopoliticalLineTypeCode_lineOfConvenience</t>
  </si>
  <si>
    <t>GeopoliticalLineTypeCode_lineOfWithdrawal</t>
  </si>
  <si>
    <t>GeopoliticalLineTypeCode_militaryDisengagementLine</t>
  </si>
  <si>
    <t>GeopoliticalLineTypeCode_provisionalAdminLine</t>
  </si>
  <si>
    <t>GeopoliticalLineTypeCode_treatyLine</t>
  </si>
  <si>
    <t>GeopoliticalLineTypeCode_unclosClaimBoundary</t>
  </si>
  <si>
    <t>GeothermalOutletTypeCode_fissure</t>
  </si>
  <si>
    <t>GeothermalOutletTypeCode_fumarole</t>
  </si>
  <si>
    <t>GeothermalOutletTypeCode_geyser</t>
  </si>
  <si>
    <t>GeothermalOutletTypeCode_hotSpring</t>
  </si>
  <si>
    <t>GeothermalOutletTypeCode_sulphurSpring</t>
  </si>
  <si>
    <t>GnssConstellationCode_globalOrbitNavSatelliteSys</t>
  </si>
  <si>
    <t>GnssConstellationCode_globalPositioningSystem</t>
  </si>
  <si>
    <t>GradingTypeCode_manySides</t>
  </si>
  <si>
    <t>GradingTypeCode_noSides</t>
  </si>
  <si>
    <t>GradingTypeCode_oneSide</t>
  </si>
  <si>
    <t>GradingTypeCode_twoSides</t>
  </si>
  <si>
    <t>HangarTypeCategoryCode_doubleBay</t>
  </si>
  <si>
    <t>HangarTypeCategoryCode_multiBay</t>
  </si>
  <si>
    <t>HangarTypeCategoryCode_noseIn</t>
  </si>
  <si>
    <t>HangarTypeCategoryCode_openEnd</t>
  </si>
  <si>
    <t>HangarTypeCategoryCode_shapedLikeT</t>
  </si>
  <si>
    <t>HangarTypeCategoryCode_singleBay</t>
  </si>
  <si>
    <t>HangarTypeCategoryCode_underground</t>
  </si>
  <si>
    <t>HarbourFacilityFunctionCode_bulkTerminal</t>
  </si>
  <si>
    <t>HarbourFacilityFunctionCode_containerTerminal</t>
  </si>
  <si>
    <t>HarbourFacilityFunctionCode_ferryTerminal</t>
  </si>
  <si>
    <t>HarbourFacilityFunctionCode_fishingHarbour</t>
  </si>
  <si>
    <t>HarbourFacilityFunctionCode_marina</t>
  </si>
  <si>
    <t>HarbourFacilityFunctionCode_navalBase</t>
  </si>
  <si>
    <t>HarbourFacilityFunctionCode_passengerTerminal</t>
  </si>
  <si>
    <t>HarbourFacilityFunctionCode_roRoTerminal</t>
  </si>
  <si>
    <t>HarbourFacilityFunctionCode_shipyard</t>
  </si>
  <si>
    <t>HarbourFacilityFunctionCode_tankerTerminal</t>
  </si>
  <si>
    <t>HarbourFacilityFunctionCode_timberYard</t>
  </si>
  <si>
    <t>HazardShelterIntendedUseCode_bombShelter</t>
  </si>
  <si>
    <t>HazardShelterIntendedUseCode_falloutShelter</t>
  </si>
  <si>
    <t>HazardShelterIntendedUseCode_stormShelter</t>
  </si>
  <si>
    <t>HealthCareCapabilityCode_adultDayCare</t>
  </si>
  <si>
    <t>HealthCareCapabilityCode_ambulatoryOutpatSurgery</t>
  </si>
  <si>
    <t>HealthCareCapabilityCode_angioplasty</t>
  </si>
  <si>
    <t>HealthCareCapabilityCode_arthritisTreatment</t>
  </si>
  <si>
    <t>HealthCareCapabilityCode_assistedLiving</t>
  </si>
  <si>
    <t>HealthCareCapabilityCode_auxiliaryOrganization</t>
  </si>
  <si>
    <t>HealthCareCapabilityCode_bloodBank</t>
  </si>
  <si>
    <t>HealthCareCapabilityCode_breastCancerScreening</t>
  </si>
  <si>
    <t>HealthCareCapabilityCode_burnCare</t>
  </si>
  <si>
    <t>HealthCareCapabilityCode_cancerCare</t>
  </si>
  <si>
    <t>HealthCareCapabilityCode_cardiacCatheterization</t>
  </si>
  <si>
    <t>HealthCareCapabilityCode_cardiacIntensiveCare</t>
  </si>
  <si>
    <t>HealthCareCapabilityCode_cardiacRehabilitation</t>
  </si>
  <si>
    <t>HealthCareCapabilityCode_caseManagement</t>
  </si>
  <si>
    <t>HealthCareCapabilityCode_chemicalDependInpatient</t>
  </si>
  <si>
    <t>HealthCareCapabilityCode_chemicalDependOutpatient</t>
  </si>
  <si>
    <t>HealthCareCapabilityCode_childbirthCare</t>
  </si>
  <si>
    <t>HealthCareCapabilityCode_clinicalLaboratory</t>
  </si>
  <si>
    <t>HealthCareCapabilityCode_communHealthReporting</t>
  </si>
  <si>
    <t>HealthCareCapabilityCode_communHealthStatAssessment</t>
  </si>
  <si>
    <t>HealthCareCapabilityCode_communHealthStatBasedPlan</t>
  </si>
  <si>
    <t>HealthCareCapabilityCode_communOutreach</t>
  </si>
  <si>
    <t>HealthCareCapabilityCode_computedTomographyImaging</t>
  </si>
  <si>
    <t>HealthCareCapabilityCode_continuousOperation</t>
  </si>
  <si>
    <t>HealthCareCapabilityCode_copdCare</t>
  </si>
  <si>
    <t>HealthCareCapabilityCode_crisisPrevention</t>
  </si>
  <si>
    <t>HealthCareCapabilityCode_dentalCare</t>
  </si>
  <si>
    <t>HealthCareCapabilityCode_diagnosticRadioImaging</t>
  </si>
  <si>
    <t>HealthCareCapabilityCode_diagnosticUltrasound</t>
  </si>
  <si>
    <t>HealthCareCapabilityCode_emergencyMedicine</t>
  </si>
  <si>
    <t>HealthCareCapabilityCode_eswlTherapy</t>
  </si>
  <si>
    <t>HealthCareCapabilityCode_ethicsCommittee</t>
  </si>
  <si>
    <t>HealthCareCapabilityCode_fitnessCentre</t>
  </si>
  <si>
    <t>HealthCareCapabilityCode_freestandingAmbulatoryCare</t>
  </si>
  <si>
    <t>HealthCareCapabilityCode_geriatricCare</t>
  </si>
  <si>
    <t>HealthCareCapabilityCode_geriatricPsychiatry</t>
  </si>
  <si>
    <t>HealthCareCapabilityCode_healthFacilityTransport</t>
  </si>
  <si>
    <t>HealthCareCapabilityCode_healthFair</t>
  </si>
  <si>
    <t>HealthCareCapabilityCode_healthInformationCentre</t>
  </si>
  <si>
    <t>HealthCareCapabilityCode_healthScreening</t>
  </si>
  <si>
    <t>HealthCareCapabilityCode_hemodialysis</t>
  </si>
  <si>
    <t>HealthCareCapabilityCode_histopathologyLaboratory</t>
  </si>
  <si>
    <t>HealthCareCapabilityCode_hivAidsCare</t>
  </si>
  <si>
    <t>HealthCareCapabilityCode_homeHealthCare</t>
  </si>
  <si>
    <t>HealthCareCapabilityCode_hospiceCare</t>
  </si>
  <si>
    <t>HealthCareCapabilityCode_inHousePharmacy</t>
  </si>
  <si>
    <t>HealthCareCapabilityCode_mealsOnWheels</t>
  </si>
  <si>
    <t>HealthCareCapabilityCode_medicalLibrary</t>
  </si>
  <si>
    <t>HealthCareCapabilityCode_medicalSurgicalIntCare</t>
  </si>
  <si>
    <t>HealthCareCapabilityCode_mriImaging</t>
  </si>
  <si>
    <t>HealthCareCapabilityCode_neonatalIntensiveCare</t>
  </si>
  <si>
    <t>HealthCareCapabilityCode_nonInvasiveCardiacAssess</t>
  </si>
  <si>
    <t>HealthCareCapabilityCode_nutritionProgram</t>
  </si>
  <si>
    <t>HealthCareCapabilityCode_obstetricCare</t>
  </si>
  <si>
    <t>HealthCareCapabilityCode_occupationalHealthCare</t>
  </si>
  <si>
    <t>HealthCareCapabilityCode_occupationalTherapy</t>
  </si>
  <si>
    <t>HealthCareCapabilityCode_openHeartSurgery</t>
  </si>
  <si>
    <t>HealthCareCapabilityCode_orthopedicSurgery</t>
  </si>
  <si>
    <t>HealthCareCapabilityCode_outpatientCare</t>
  </si>
  <si>
    <t>HealthCareCapabilityCode_outpatientPsychiatry</t>
  </si>
  <si>
    <t>HealthCareCapabilityCode_painManagement</t>
  </si>
  <si>
    <t>HealthCareCapabilityCode_pastoralCare</t>
  </si>
  <si>
    <t>HealthCareCapabilityCode_patientEducation</t>
  </si>
  <si>
    <t>HealthCareCapabilityCode_patientRepresentative</t>
  </si>
  <si>
    <t>HealthCareCapabilityCode_pediatricCare</t>
  </si>
  <si>
    <t>HealthCareCapabilityCode_pediatricIntensiveCare</t>
  </si>
  <si>
    <t>HealthCareCapabilityCode_pediatricPsychiatry</t>
  </si>
  <si>
    <t>HealthCareCapabilityCode_pediatricWellness</t>
  </si>
  <si>
    <t>HealthCareCapabilityCode_petImaging</t>
  </si>
  <si>
    <t>HealthCareCapabilityCode_physicalRehabInpatient</t>
  </si>
  <si>
    <t>HealthCareCapabilityCode_physicalRehabOutpatient</t>
  </si>
  <si>
    <t>HealthCareCapabilityCode_physicalTherapy</t>
  </si>
  <si>
    <t>HealthCareCapabilityCode_primaryCare</t>
  </si>
  <si>
    <t>HealthCareCapabilityCode_psychiatricCare</t>
  </si>
  <si>
    <t>HealthCareCapabilityCode_psychiatricConsultLiaison</t>
  </si>
  <si>
    <t>HealthCareCapabilityCode_psychiatricEducation</t>
  </si>
  <si>
    <t>HealthCareCapabilityCode_psychiatricEmergencyCare</t>
  </si>
  <si>
    <t>HealthCareCapabilityCode_psychiatricPartialHospCare</t>
  </si>
  <si>
    <t>HealthCareCapabilityCode_radiationTherapy</t>
  </si>
  <si>
    <t>HealthCareCapabilityCode_recreationalTherapy</t>
  </si>
  <si>
    <t>HealthCareCapabilityCode_reproductiveHealthCare</t>
  </si>
  <si>
    <t>HealthCareCapabilityCode_respiratoryTherapy</t>
  </si>
  <si>
    <t>HealthCareCapabilityCode_retirementHousing</t>
  </si>
  <si>
    <t>HealthCareCapabilityCode_skilledNursingLongTermCare</t>
  </si>
  <si>
    <t>HealthCareCapabilityCode_socialWork</t>
  </si>
  <si>
    <t>HealthCareCapabilityCode_spectImaging</t>
  </si>
  <si>
    <t>HealthCareCapabilityCode_speechTherapy</t>
  </si>
  <si>
    <t>HealthCareCapabilityCode_sportsMedicine</t>
  </si>
  <si>
    <t>HealthCareCapabilityCode_subAcuteCare</t>
  </si>
  <si>
    <t>HealthCareCapabilityCode_supportGroup</t>
  </si>
  <si>
    <t>HealthCareCapabilityCode_teenOutreach</t>
  </si>
  <si>
    <t>HealthCareCapabilityCode_transplantCentre</t>
  </si>
  <si>
    <t>HealthCareCapabilityCode_traumaCentre</t>
  </si>
  <si>
    <t>HealthCareCapabilityCode_urgentCare</t>
  </si>
  <si>
    <t>HealthCareCapabilityCode_volunteerService</t>
  </si>
  <si>
    <t>HealthCareCapabilityCode_womensHealthCare</t>
  </si>
  <si>
    <t>CopterPerformanceClassCode_helicopterClass1</t>
  </si>
  <si>
    <t>CopterPerformanceClassCode_helicopterClass2</t>
  </si>
  <si>
    <t>CopterPerformanceClassCode_helicopterClass3</t>
  </si>
  <si>
    <t>HelipadAssociatedFacilityCode_heliport</t>
  </si>
  <si>
    <t>HelipadAssociatedFacilityCode_hospital</t>
  </si>
  <si>
    <t>HelipadAssociatedFacilityCode_landAerodrome</t>
  </si>
  <si>
    <t>HelipadAssociatedFacilityCode_militaryInstallation</t>
  </si>
  <si>
    <t>HelipadAssociatedFacilityCode_nonHospitalBuilding</t>
  </si>
  <si>
    <t>HelipadAssociatedFacilityCode_offshoreConstruction</t>
  </si>
  <si>
    <t>HelipadAssociatedFacilityCode_rig</t>
  </si>
  <si>
    <t>HelipadAssociatedFacilityCode_waterAerodrome</t>
  </si>
  <si>
    <t>HistoricSignificanceCode_ancient</t>
  </si>
  <si>
    <t>HistoricSignificanceCode_battlefield</t>
  </si>
  <si>
    <t>HistoricSignificanceCode_historic</t>
  </si>
  <si>
    <t>HistoricSignificanceCode_military</t>
  </si>
  <si>
    <t>HistoricSignificanceCode_national</t>
  </si>
  <si>
    <t>HistoricSignificanceCode_notSignificant</t>
  </si>
  <si>
    <t>HistoricSignificanceCode_political</t>
  </si>
  <si>
    <t>HistoricSignificanceCode_religious</t>
  </si>
  <si>
    <t>HitsTestZoneCode_zoneA</t>
  </si>
  <si>
    <t>HitsTestZoneCode_zoneB</t>
  </si>
  <si>
    <t>HitsTestZoneCode_zoneC</t>
  </si>
  <si>
    <t>HitsTestZoneCode_zoneD</t>
  </si>
  <si>
    <t>HitsTestZoneCode_zoneE</t>
  </si>
  <si>
    <t>HoldingProcTypeCode_enRoute</t>
  </si>
  <si>
    <t>HoldingProcTypeCode_terminalArea</t>
  </si>
  <si>
    <t>HorizAccuracyCategoryCode_accurate</t>
  </si>
  <si>
    <t>HorizAccuracyCategoryCode_approximate</t>
  </si>
  <si>
    <t>HorizAccuracyCategoryCode_doubtful</t>
  </si>
  <si>
    <t>HorizAccuracyCategoryCode_precise</t>
  </si>
  <si>
    <t>HulkTypeCode_accommodation</t>
  </si>
  <si>
    <t>HulkTypeCode_casino</t>
  </si>
  <si>
    <t>HulkTypeCode_derelict</t>
  </si>
  <si>
    <t>HulkTypeCode_floatingBreakwater</t>
  </si>
  <si>
    <t>HulkTypeCode_floatingRestaurant</t>
  </si>
  <si>
    <t>HulkTypeCode_historicShip</t>
  </si>
  <si>
    <t>HulkTypeCode_hospital</t>
  </si>
  <si>
    <t>HulkTypeCode_hotel</t>
  </si>
  <si>
    <t>HulkTypeCode_museum</t>
  </si>
  <si>
    <t>HulkTypeCode_storage</t>
  </si>
  <si>
    <t>HulkTypeCode_temporaryHousing</t>
  </si>
  <si>
    <t>HumanHazardCode_abrasion</t>
  </si>
  <si>
    <t>HumanHazardCode_biological</t>
  </si>
  <si>
    <t>HumanHazardCode_drowning</t>
  </si>
  <si>
    <t>HumanHazardCode_entanglement</t>
  </si>
  <si>
    <t>HumanHazardCode_puncture</t>
  </si>
  <si>
    <t>HumanHazardCode_slipping</t>
  </si>
  <si>
    <t>HumReliefAdminRegionTypeCode_americanRedCross</t>
  </si>
  <si>
    <t>HydroBaseSoundingDatumCode_highestHighWater</t>
  </si>
  <si>
    <t>HydroBaseSoundingDatumCode_indianSpringHighWater</t>
  </si>
  <si>
    <t>HydroBaseSoundingDatumCode_meanHigherHighWater</t>
  </si>
  <si>
    <t>HydroBaseSoundingDatumCode_meanHigherHighWaterSprings</t>
  </si>
  <si>
    <t>HydroBaseSoundingDatumCode_meanHighWater</t>
  </si>
  <si>
    <t>HydroBaseSoundingDatumCode_meanHighWaterSprings</t>
  </si>
  <si>
    <t>HydroBaseSoundingDatumCode_meanSeaLevel</t>
  </si>
  <si>
    <t>HydrographicNavaidSystemCode_ialaRegionA</t>
  </si>
  <si>
    <t>HydrographicNavaidSystemCode_ialaRegionB</t>
  </si>
  <si>
    <t>HydrographicNavaidSystemCode_noSystem</t>
  </si>
  <si>
    <t>HydrographicNavaidSystemCode_signi</t>
  </si>
  <si>
    <t>HydrographicNavaidSystemCode_usIntracoastalWaterway</t>
  </si>
  <si>
    <t>HydrographicNavaidSystemCode_usUniformState</t>
  </si>
  <si>
    <t>HydrographicNavaidSystemCode_usWesternRivers</t>
  </si>
  <si>
    <t>HydrologicPersistenceCode_dry</t>
  </si>
  <si>
    <t>HydrologicPersistenceCode_intermittent</t>
  </si>
  <si>
    <t>HydrologicPersistenceCode_perennial</t>
  </si>
  <si>
    <t>HypsographyPortrayalTypeCode_approxAuxiliaryContour</t>
  </si>
  <si>
    <t>HypsographyPortrayalTypeCode_approxDepAuxiliaryContour</t>
  </si>
  <si>
    <t>HypsographyPortrayalTypeCode_approxDepIndexContour</t>
  </si>
  <si>
    <t>HypsographyPortrayalTypeCode_approxDepIntermedContour</t>
  </si>
  <si>
    <t>HypsographyPortrayalTypeCode_approxIndexContour</t>
  </si>
  <si>
    <t>HypsographyPortrayalTypeCode_approxIntermediateContour</t>
  </si>
  <si>
    <t>HypsographyPortrayalTypeCode_auxiliaryCarryingContour</t>
  </si>
  <si>
    <t>HypsographyPortrayalTypeCode_auxiliaryContour</t>
  </si>
  <si>
    <t>HypsographyPortrayalTypeCode_connectorLine</t>
  </si>
  <si>
    <t>HypsographyPortrayalTypeCode_depressionAuxiliaryContour</t>
  </si>
  <si>
    <t>HypsographyPortrayalTypeCode_depressionIndexContour</t>
  </si>
  <si>
    <t>HypsographyPortrayalTypeCode_depressionIntermedContour</t>
  </si>
  <si>
    <t>HypsographyPortrayalTypeCode_formLine</t>
  </si>
  <si>
    <t>HypsographyPortrayalTypeCode_halfAuxiliaryContour</t>
  </si>
  <si>
    <t>HypsographyPortrayalTypeCode_indexCarryingContour</t>
  </si>
  <si>
    <t>HypsographyPortrayalTypeCode_indexContour</t>
  </si>
  <si>
    <t>HypsographyPortrayalTypeCode_intermedCarryingContour</t>
  </si>
  <si>
    <t>HypsographyPortrayalTypeCode_intermediateContour</t>
  </si>
  <si>
    <t>HypsographyPortrayalTypeCode_moundIndexContour</t>
  </si>
  <si>
    <t>HypsographyPortrayalTypeCode_moundIntermediateContour</t>
  </si>
  <si>
    <t>HypsographyPortrayalTypeCode_quarterAuxiliaryContour</t>
  </si>
  <si>
    <t>HypsographyPortrayalTypeCode_transitionLine</t>
  </si>
  <si>
    <t>IcaoPathTerminatorTypeCode_arcToFix</t>
  </si>
  <si>
    <t>IcaoPathTerminatorTypeCode_courseToAltitude</t>
  </si>
  <si>
    <t>IcaoPathTerminatorTypeCode_courseToDmeDistance</t>
  </si>
  <si>
    <t>IcaoPathTerminatorTypeCode_courseToFix</t>
  </si>
  <si>
    <t>IcaoPathTerminatorTypeCode_courseToLegFollowed</t>
  </si>
  <si>
    <t>IcaoPathTerminatorTypeCode_courseToRadialTermination</t>
  </si>
  <si>
    <t>IcaoPathTerminatorTypeCode_directToFix</t>
  </si>
  <si>
    <t>IcaoPathTerminatorTypeCode_fixDuringSpecifiedTime</t>
  </si>
  <si>
    <t>IcaoPathTerminatorTypeCode_fixToAltitude</t>
  </si>
  <si>
    <t>IcaoPathTerminatorTypeCode_fixToDistance</t>
  </si>
  <si>
    <t>IcaoPathTerminatorTypeCode_fixToDmeDistance</t>
  </si>
  <si>
    <t>IcaoPathTerminatorTypeCode_fixToManualTermination</t>
  </si>
  <si>
    <t>IcaoPathTerminatorTypeCode_holdAfterAltitude</t>
  </si>
  <si>
    <t>IcaoPathTerminatorTypeCode_holdAtFix</t>
  </si>
  <si>
    <t>IcaoPathTerminatorTypeCode_holdTerminatingManually</t>
  </si>
  <si>
    <t>IcaoPathTerminatorTypeCode_initialFix</t>
  </si>
  <si>
    <t>IcaoPathTerminatorTypeCode_procedureCourseToFix</t>
  </si>
  <si>
    <t>IcaoPathTerminatorTypeCode_procedureTurn</t>
  </si>
  <si>
    <t>IcaoPathTerminatorTypeCode_radiusToFix</t>
  </si>
  <si>
    <t>IcaoPathTerminatorTypeCode_trackBetweenTwoFixes</t>
  </si>
  <si>
    <t>IcaoPathTerminatorTypeCode_vectorToAltitude</t>
  </si>
  <si>
    <t>IcaoPathTerminatorTypeCode_vectorToDmeDistance</t>
  </si>
  <si>
    <t>IcaoPathTerminatorTypeCode_vectorToManualTermination</t>
  </si>
  <si>
    <t>IcaoPathTerminatorTypeCode_vectorToNextLeg</t>
  </si>
  <si>
    <t>IcaoPathTerminatorTypeCode_vectorToRadialTermination</t>
  </si>
  <si>
    <t>ImageRectificationMethodCode_imageToMap</t>
  </si>
  <si>
    <t>ImageRectificationMethodCode_imageToRectifiedImage</t>
  </si>
  <si>
    <t>ImageRectificationMethodCode_orthorectification</t>
  </si>
  <si>
    <t>ImageRectificationMethodCode_sensorModelBased</t>
  </si>
  <si>
    <t>InfluenceMineActuationCode_acoustic</t>
  </si>
  <si>
    <t>InfluenceMineActuationCode_combined</t>
  </si>
  <si>
    <t>InfluenceMineActuationCode_magnetic</t>
  </si>
  <si>
    <t>InfluenceMineActuationCode_pressure</t>
  </si>
  <si>
    <t>InlandWaterTypeCode_basin</t>
  </si>
  <si>
    <t>InlandWaterTypeCode_lake</t>
  </si>
  <si>
    <t>InlandWaterTypeCode_landlockedSea</t>
  </si>
  <si>
    <t>InlandWaterTypeCode_pond</t>
  </si>
  <si>
    <t>InlandWaterTypeCode_reservoir</t>
  </si>
  <si>
    <t>InlandWaterTypeCode_undifferentiatedWaterBody</t>
  </si>
  <si>
    <t>InlandWaterTypeCode_waterHole</t>
  </si>
  <si>
    <t>InstallationTypeCode_militaryInstallation</t>
  </si>
  <si>
    <t>InstApproachProcFixRoleCode_finalApproachFix</t>
  </si>
  <si>
    <t>InstApproachProcFixRoleCode_initialApproachFix</t>
  </si>
  <si>
    <t>InstApproachProcFixRoleCode_intermediateApproachFix</t>
  </si>
  <si>
    <t>InstApproachProcFixRoleCode_missedApproachPoint</t>
  </si>
  <si>
    <t>IlsFacilityPerfCategoryCode_catIIIaOps</t>
  </si>
  <si>
    <t>IlsFacilityPerfCategoryCode_catIIIbOps</t>
  </si>
  <si>
    <t>IlsFacilityPerfCategoryCode_catIIIcOps</t>
  </si>
  <si>
    <t>IlsFacilityPerfCategoryCode_catIIIOps</t>
  </si>
  <si>
    <t>IlsFacilityPerfCategoryCode_catIIOps</t>
  </si>
  <si>
    <t>IlsFacilityPerfCategoryCode_catIOps</t>
  </si>
  <si>
    <t>IlsFacilityPerfCategoryCode_mlsCatIOps</t>
  </si>
  <si>
    <t>InstProcAddEquipmentCode_adfForIlsApproach</t>
  </si>
  <si>
    <t>InstProcAddEquipmentCode_adfForMissedApproach</t>
  </si>
  <si>
    <t>InstProcAddEquipmentCode_automaticDirectionFinder</t>
  </si>
  <si>
    <t>InstProcAddEquipmentCode_distanceMeasuringEquipment</t>
  </si>
  <si>
    <t>InstProcAddEquipmentCode_dualAdfAndDme</t>
  </si>
  <si>
    <t>InstProcAddEquipmentCode_dualAutoDirectionFinder</t>
  </si>
  <si>
    <t>InstProcAddEquipmentCode_dualVeryHighFreqRadios</t>
  </si>
  <si>
    <t>InstProcAddEquipmentCode_dualVorOrVorWithDme</t>
  </si>
  <si>
    <t>InstProcAddEquipmentCode_globalPosSysOrRnp3Equip</t>
  </si>
  <si>
    <t>InstProcAddEquipmentCode_radar</t>
  </si>
  <si>
    <t>InstProcAddEquipmentCode_radarOrDistMeasuringEquip</t>
  </si>
  <si>
    <t>InstProcAddEquipmentCode_radarOrRnav</t>
  </si>
  <si>
    <t>InstProcAddEquipmentCode_special</t>
  </si>
  <si>
    <t>InstProcAddEquipmentCode_vorBeaconAndIlsLocalizer</t>
  </si>
  <si>
    <t>IntersectionControlTypeCode_groundMarking</t>
  </si>
  <si>
    <t>IntersectionControlTypeCode_noControl</t>
  </si>
  <si>
    <t>IntersectionControlTypeCode_prioritySign</t>
  </si>
  <si>
    <t>IntersectionControlTypeCode_signalDevice</t>
  </si>
  <si>
    <t>IntersectionControlTypeCode_stopSign</t>
  </si>
  <si>
    <t>IntersectionControlTypeCode_yieldSign</t>
  </si>
  <si>
    <t>IncCode_closedInterval</t>
  </si>
  <si>
    <t>IncCode_gteSemiInterval</t>
  </si>
  <si>
    <t>IncCode_gteToLtInterval</t>
  </si>
  <si>
    <t>IncCode_gtSemiInterval</t>
  </si>
  <si>
    <t>IncCode_gtToLteInterval</t>
  </si>
  <si>
    <t>IncCode_lteSemiInterval</t>
  </si>
  <si>
    <t>IncCode_ltSemiInterval</t>
  </si>
  <si>
    <t>IncCode_openInterval</t>
  </si>
  <si>
    <t>IncCode_singleValue</t>
  </si>
  <si>
    <t>InundationTypeCode_controlled</t>
  </si>
  <si>
    <t>InundationTypeCode_natural</t>
  </si>
  <si>
    <t>IrrigationMethodCode_centerPivot</t>
  </si>
  <si>
    <t>IrrigationMethodCode_drip</t>
  </si>
  <si>
    <t>IrrigationMethodCode_furrow</t>
  </si>
  <si>
    <t>IrrigationMethodCode_lateralMove</t>
  </si>
  <si>
    <t>IrrigationMethodCode_linearMove</t>
  </si>
  <si>
    <t>IrrigationMethodCode_overhead</t>
  </si>
  <si>
    <t>IrrigationMethodCode_subirrigation</t>
  </si>
  <si>
    <t>IrrigationMethodCode_terrace</t>
  </si>
  <si>
    <t>JetAircraftStartUnitTypeCode_a_3AE</t>
  </si>
  <si>
    <t>JetAircraftStartUnitTypeCode_a_M32A_86</t>
  </si>
  <si>
    <t>JetAircraftStartUnitTypeCode_a_M47A_4</t>
  </si>
  <si>
    <t>JetAircraftStartUnitTypeCode_a1</t>
  </si>
  <si>
    <t>JetAircraftStartUnitTypeCode_a2</t>
  </si>
  <si>
    <t>JetAircraftStartUnitTypeCode_a3</t>
  </si>
  <si>
    <t>JetAircraftStartUnitTypeCode_a4</t>
  </si>
  <si>
    <t>JetAircraftStartUnitTypeCode_a5</t>
  </si>
  <si>
    <t>JetAircraftStartUnitTypeCode_a6</t>
  </si>
  <si>
    <t>JetAircraftStartUnitTypeCode_ac_35</t>
  </si>
  <si>
    <t>JetAircraftStartUnitTypeCode_ace_37A</t>
  </si>
  <si>
    <t>JetAircraftStartUnitTypeCode_aeg_30_KVA</t>
  </si>
  <si>
    <t>JetAircraftStartUnitTypeCode_af_M32A_10</t>
  </si>
  <si>
    <t>JetAircraftStartUnitTypeCode_af_M32M_10</t>
  </si>
  <si>
    <t>JetAircraftStartUnitTypeCode_agpu</t>
  </si>
  <si>
    <t>JetAircraftStartUnitTypeCode_am32_95</t>
  </si>
  <si>
    <t>JetAircraftStartUnitTypeCode_am32A_108</t>
  </si>
  <si>
    <t>JetAircraftStartUnitTypeCode_am32A_60</t>
  </si>
  <si>
    <t>JetAircraftStartUnitTypeCode_am32A_60A</t>
  </si>
  <si>
    <t>JetAircraftStartUnitTypeCode_am32A_60B</t>
  </si>
  <si>
    <t>JetAircraftStartUnitTypeCode_am32A_95</t>
  </si>
  <si>
    <t>JetAircraftStartUnitTypeCode_b10_or_B10A_or_B10B</t>
  </si>
  <si>
    <t>JetAircraftStartUnitTypeCode_bc_3500</t>
  </si>
  <si>
    <t>JetAircraftStartUnitTypeCode_c_21</t>
  </si>
  <si>
    <t>JetAircraftStartUnitTypeCode_c_21_B</t>
  </si>
  <si>
    <t>JetAircraftStartUnitTypeCode_c_22</t>
  </si>
  <si>
    <t>JetAircraftStartUnitTypeCode_c_22A</t>
  </si>
  <si>
    <t>JetAircraftStartUnitTypeCode_c_22B</t>
  </si>
  <si>
    <t>JetAircraftStartUnitTypeCode_c_26_B_or_C_26_C</t>
  </si>
  <si>
    <t>JetAircraftStartUnitTypeCode_c_26_M</t>
  </si>
  <si>
    <t>JetAircraftStartUnitTypeCode_c_26B</t>
  </si>
  <si>
    <t>JetAircraftStartUnitTypeCode_c_26B_1</t>
  </si>
  <si>
    <t>JetAircraftStartUnitTypeCode_c_Cartridge</t>
  </si>
  <si>
    <t>JetAircraftStartUnitTypeCode_c1</t>
  </si>
  <si>
    <t>JetAircraftStartUnitTypeCode_c1_Cartridge</t>
  </si>
  <si>
    <t>JetAircraftStartUnitTypeCode_c2_Cartridge</t>
  </si>
  <si>
    <t>JetAircraftStartUnitTypeCode_c3</t>
  </si>
  <si>
    <t>JetAircraftStartUnitTypeCode_c3_Cartridge</t>
  </si>
  <si>
    <t>JetAircraftStartUnitTypeCode_c4_Cartridge</t>
  </si>
  <si>
    <t>JetAircraftStartUnitTypeCode_c5_Cartridge</t>
  </si>
  <si>
    <t>JetAircraftStartUnitTypeCode_c6_Cartridge</t>
  </si>
  <si>
    <t>JetAircraftStartUnitTypeCode_c7_Cartridge</t>
  </si>
  <si>
    <t>JetAircraftStartUnitTypeCode_ca1</t>
  </si>
  <si>
    <t>JetAircraftStartUnitTypeCode_ca2</t>
  </si>
  <si>
    <t>JetAircraftStartUnitTypeCode_ca3</t>
  </si>
  <si>
    <t>JetAircraftStartUnitTypeCode_ce1</t>
  </si>
  <si>
    <t>JetAircraftStartUnitTypeCode_ce10</t>
  </si>
  <si>
    <t>JetAircraftStartUnitTypeCode_ce11</t>
  </si>
  <si>
    <t>JetAircraftStartUnitTypeCode_ce12</t>
  </si>
  <si>
    <t>JetAircraftStartUnitTypeCode_ce13</t>
  </si>
  <si>
    <t>JetAircraftStartUnitTypeCode_ce14</t>
  </si>
  <si>
    <t>JetAircraftStartUnitTypeCode_ce15</t>
  </si>
  <si>
    <t>JetAircraftStartUnitTypeCode_ce16</t>
  </si>
  <si>
    <t>JetAircraftStartUnitTypeCode_ce2</t>
  </si>
  <si>
    <t>JetAircraftStartUnitTypeCode_ce3</t>
  </si>
  <si>
    <t>JetAircraftStartUnitTypeCode_ce4</t>
  </si>
  <si>
    <t>JetAircraftStartUnitTypeCode_ce5</t>
  </si>
  <si>
    <t>JetAircraftStartUnitTypeCode_ce6</t>
  </si>
  <si>
    <t>JetAircraftStartUnitTypeCode_ce7</t>
  </si>
  <si>
    <t>JetAircraftStartUnitTypeCode_ce8</t>
  </si>
  <si>
    <t>JetAircraftStartUnitTypeCode_ce9</t>
  </si>
  <si>
    <t>JetAircraftStartUnitTypeCode_cea1</t>
  </si>
  <si>
    <t>JetAircraftStartUnitTypeCode_cea2</t>
  </si>
  <si>
    <t>JetAircraftStartUnitTypeCode_cm_Cartridge</t>
  </si>
  <si>
    <t>JetAircraftStartUnitTypeCode_dsa_150</t>
  </si>
  <si>
    <t>JetAircraftStartUnitTypeCode_dsa_300</t>
  </si>
  <si>
    <t>JetAircraftStartUnitTypeCode_dsa_560</t>
  </si>
  <si>
    <t>JetAircraftStartUnitTypeCode_e1</t>
  </si>
  <si>
    <t>JetAircraftStartUnitTypeCode_e1_PacAustNewZea</t>
  </si>
  <si>
    <t>JetAircraftStartUnitTypeCode_e10</t>
  </si>
  <si>
    <t>JetAircraftStartUnitTypeCode_e10_PacAustNewZea</t>
  </si>
  <si>
    <t>JetAircraftStartUnitTypeCode_e11</t>
  </si>
  <si>
    <t>JetAircraftStartUnitTypeCode_e11_PacAustNewZea</t>
  </si>
  <si>
    <t>JetAircraftStartUnitTypeCode_e12</t>
  </si>
  <si>
    <t>JetAircraftStartUnitTypeCode_e12_PacAustNewZea</t>
  </si>
  <si>
    <t>JetAircraftStartUnitTypeCode_e13</t>
  </si>
  <si>
    <t>JetAircraftStartUnitTypeCode_e13_PacAustNewZea</t>
  </si>
  <si>
    <t>JetAircraftStartUnitTypeCode_e14</t>
  </si>
  <si>
    <t>JetAircraftStartUnitTypeCode_e14_PacAustNewZea</t>
  </si>
  <si>
    <t>JetAircraftStartUnitTypeCode_e15_PacAustNewZea</t>
  </si>
  <si>
    <t>JetAircraftStartUnitTypeCode_e16_PacAustNewZea</t>
  </si>
  <si>
    <t>JetAircraftStartUnitTypeCode_e2</t>
  </si>
  <si>
    <t>JetAircraftStartUnitTypeCode_e2_PacAustNewZea</t>
  </si>
  <si>
    <t>JetAircraftStartUnitTypeCode_e3</t>
  </si>
  <si>
    <t>JetAircraftStartUnitTypeCode_e3_PacAustNewZea</t>
  </si>
  <si>
    <t>JetAircraftStartUnitTypeCode_e4</t>
  </si>
  <si>
    <t>JetAircraftStartUnitTypeCode_e4_PacAustNewZea</t>
  </si>
  <si>
    <t>JetAircraftStartUnitTypeCode_e5</t>
  </si>
  <si>
    <t>JetAircraftStartUnitTypeCode_e5_PacAustNewZea</t>
  </si>
  <si>
    <t>JetAircraftStartUnitTypeCode_e6</t>
  </si>
  <si>
    <t>JetAircraftStartUnitTypeCode_e6_PacAustNewZea</t>
  </si>
  <si>
    <t>JetAircraftStartUnitTypeCode_e7</t>
  </si>
  <si>
    <t>JetAircraftStartUnitTypeCode_e7_PacAustNewZea</t>
  </si>
  <si>
    <t>JetAircraftStartUnitTypeCode_e8</t>
  </si>
  <si>
    <t>JetAircraftStartUnitTypeCode_e8_PacAustNewZea</t>
  </si>
  <si>
    <t>JetAircraftStartUnitTypeCode_e9</t>
  </si>
  <si>
    <t>JetAircraftStartUnitTypeCode_e9_PacAustNewZea</t>
  </si>
  <si>
    <t>JetAircraftStartUnitTypeCode_ea1_PacAustNewZea</t>
  </si>
  <si>
    <t>JetAircraftStartUnitTypeCode_ea3_or_EA3A_PacAustNewZea</t>
  </si>
  <si>
    <t>JetAircraftStartUnitTypeCode_ea7_PacAustNewZea</t>
  </si>
  <si>
    <t>JetAircraftStartUnitTypeCode_ecu_9M_PacAustNewZea</t>
  </si>
  <si>
    <t>JetAircraftStartUnitTypeCode_ernst</t>
  </si>
  <si>
    <t>JetAircraftStartUnitTypeCode_essex809</t>
  </si>
  <si>
    <t>JetAircraftStartUnitTypeCode_f_52372</t>
  </si>
  <si>
    <t>JetAircraftStartUnitTypeCode_f1_Cartridge</t>
  </si>
  <si>
    <t>JetAircraftStartUnitTypeCode_g_10</t>
  </si>
  <si>
    <t>JetAircraftStartUnitTypeCode_g_38_PacAustNewZea</t>
  </si>
  <si>
    <t>JetAircraftStartUnitTypeCode_g_40</t>
  </si>
  <si>
    <t>JetAircraftStartUnitTypeCode_g_6_PacAustNewZea</t>
  </si>
  <si>
    <t>JetAircraftStartUnitTypeCode_g_91_Cartridge</t>
  </si>
  <si>
    <t>JetAircraftStartUnitTypeCode_gpe_160</t>
  </si>
  <si>
    <t>JetAircraftStartUnitTypeCode_gsu_160</t>
  </si>
  <si>
    <t>JetAircraftStartUnitTypeCode_gtc_85_GTE_85</t>
  </si>
  <si>
    <t>JetAircraftStartUnitTypeCode_houchin_265_3488249</t>
  </si>
  <si>
    <t>JetAircraftStartUnitTypeCode_jas</t>
  </si>
  <si>
    <t>JetAircraftStartUnitTypeCode_jasu_20_KVA</t>
  </si>
  <si>
    <t>JetAircraftStartUnitTypeCode_jasu_59B2_1B</t>
  </si>
  <si>
    <t>JetAircraftStartUnitTypeCode_jasu_90G_20P</t>
  </si>
  <si>
    <t>JetAircraftStartUnitTypeCode_jeas</t>
  </si>
  <si>
    <t>JetAircraftStartUnitTypeCode_km1</t>
  </si>
  <si>
    <t>JetAircraftStartUnitTypeCode_km2</t>
  </si>
  <si>
    <t>JetAircraftStartUnitTypeCode_km3</t>
  </si>
  <si>
    <t>JetAircraftStartUnitTypeCode_km4</t>
  </si>
  <si>
    <t>JetAircraftStartUnitTypeCode_lass</t>
  </si>
  <si>
    <t>JetAircraftStartUnitTypeCode_m32A_13</t>
  </si>
  <si>
    <t>JetAircraftStartUnitTypeCode_ma_1</t>
  </si>
  <si>
    <t>JetAircraftStartUnitTypeCode_ma_1A</t>
  </si>
  <si>
    <t>JetAircraftStartUnitTypeCode_ma_1MPSU</t>
  </si>
  <si>
    <t>JetAircraftStartUnitTypeCode_ma_2</t>
  </si>
  <si>
    <t>JetAircraftStartUnitTypeCode_ma_2MPSU</t>
  </si>
  <si>
    <t>JetAircraftStartUnitTypeCode_ma_3MPSU</t>
  </si>
  <si>
    <t>JetAircraftStartUnitTypeCode_mb_1</t>
  </si>
  <si>
    <t>JetAircraftStartUnitTypeCode_mb_9</t>
  </si>
  <si>
    <t>JetAircraftStartUnitTypeCode_mc_1</t>
  </si>
  <si>
    <t>JetAircraftStartUnitTypeCode_mc_1_Modified</t>
  </si>
  <si>
    <t>JetAircraftStartUnitTypeCode_mc_11</t>
  </si>
  <si>
    <t>JetAircraftStartUnitTypeCode_mc_1A</t>
  </si>
  <si>
    <t>JetAircraftStartUnitTypeCode_mc_1A_1</t>
  </si>
  <si>
    <t>JetAircraftStartUnitTypeCode_mc_2A</t>
  </si>
  <si>
    <t>JetAircraftStartUnitTypeCode_mc_8A_A1</t>
  </si>
  <si>
    <t>JetAircraftStartUnitTypeCode_md_1</t>
  </si>
  <si>
    <t>JetAircraftStartUnitTypeCode_md_2</t>
  </si>
  <si>
    <t>JetAircraftStartUnitTypeCode_md_3</t>
  </si>
  <si>
    <t>JetAircraftStartUnitTypeCode_md_3A</t>
  </si>
  <si>
    <t>JetAircraftStartUnitTypeCode_md_3B</t>
  </si>
  <si>
    <t>JetAircraftStartUnitTypeCode_md_3M</t>
  </si>
  <si>
    <t>JetAircraftStartUnitTypeCode_md_4</t>
  </si>
  <si>
    <t>JetAircraftStartUnitTypeCode_mep_116A</t>
  </si>
  <si>
    <t>JetAircraftStartUnitTypeCode_mj_1</t>
  </si>
  <si>
    <t>JetAircraftStartUnitTypeCode_mmg_1_1A</t>
  </si>
  <si>
    <t>JetAircraftStartUnitTypeCode_mmg_2</t>
  </si>
  <si>
    <t>JetAircraftStartUnitTypeCode_msu_200NAV_A_UA47A_5</t>
  </si>
  <si>
    <t>JetAircraftStartUnitTypeCode_mxu_129A_Cartridge</t>
  </si>
  <si>
    <t>JetAircraftStartUnitTypeCode_mxu_4A_Cartridge</t>
  </si>
  <si>
    <t>JetAircraftStartUnitTypeCode_nc_10A_A1_B_C</t>
  </si>
  <si>
    <t>JetAircraftStartUnitTypeCode_ncpp_105_RCPT</t>
  </si>
  <si>
    <t>JetAircraftStartUnitTypeCode_pe_75_PacAustNewZea</t>
  </si>
  <si>
    <t>JetAircraftStartUnitTypeCode_rst_180</t>
  </si>
  <si>
    <t>JetAircraftStartUnitTypeCode_sgnsc</t>
  </si>
  <si>
    <t>JetAircraftStartUnitTypeCode_st_22_28_PacAustNewZea</t>
  </si>
  <si>
    <t>JetAircraftStartUnitTypeCode_st_38_PacAustNewZea</t>
  </si>
  <si>
    <t>JetAircraftStartUnitTypeCode_st_45_PacAustNewZea</t>
  </si>
  <si>
    <t>JetAircraftStartUnitTypeCode_st_56_PacAustNewZea</t>
  </si>
  <si>
    <t>JetAircraftStartUnitTypeCode_st_60_PacAustNewZea</t>
  </si>
  <si>
    <t>JetAircraftStartUnitTypeCode_str_30_PacAustNewZea</t>
  </si>
  <si>
    <t>JetAircraftStartUnitTypeCode_str_45_PacAustNewZea</t>
  </si>
  <si>
    <t>JetAircraftStartUnitTypeCode_tasu</t>
  </si>
  <si>
    <t>JetAircraftStartUnitTypeCode_tc_50</t>
  </si>
  <si>
    <t>JetAircraftStartUnitTypeCode_tc1_PacAustNewZea</t>
  </si>
  <si>
    <t>JetAircraftStartUnitTypeCode_u1000_PacAustNewZea</t>
  </si>
  <si>
    <t>JetAircraftStartUnitTypeCode_u1003_PacAustNewZea</t>
  </si>
  <si>
    <t>JetAircraftStartUnitTypeCode_wellsAirStart</t>
  </si>
  <si>
    <t>LandMorphologyCode_alluvialFan</t>
  </si>
  <si>
    <t>LandMorphologyCode_arch</t>
  </si>
  <si>
    <t>LandMorphologyCode_atoll</t>
  </si>
  <si>
    <t>LandMorphologyCode_badlands</t>
  </si>
  <si>
    <t>LandMorphologyCode_barrierIsland</t>
  </si>
  <si>
    <t>LandMorphologyCode_beachRidge</t>
  </si>
  <si>
    <t>LandMorphologyCode_bench</t>
  </si>
  <si>
    <t>LandMorphologyCode_blowhole</t>
  </si>
  <si>
    <t>LandMorphologyCode_blowOut</t>
  </si>
  <si>
    <t>LandMorphologyCode_butte</t>
  </si>
  <si>
    <t>LandMorphologyCode_canyon</t>
  </si>
  <si>
    <t>LandMorphologyCode_cape</t>
  </si>
  <si>
    <t>LandMorphologyCode_cirque</t>
  </si>
  <si>
    <t>LandMorphologyCode_cleft</t>
  </si>
  <si>
    <t>LandMorphologyCode_coalfield</t>
  </si>
  <si>
    <t>LandMorphologyCode_coast</t>
  </si>
  <si>
    <t>LandMorphologyCode_continentalIsland</t>
  </si>
  <si>
    <t>LandMorphologyCode_corridor</t>
  </si>
  <si>
    <t>LandMorphologyCode_cuesta</t>
  </si>
  <si>
    <t>LandMorphologyCode_depression</t>
  </si>
  <si>
    <t>LandMorphologyCode_divide</t>
  </si>
  <si>
    <t>LandMorphologyCode_drainageBasin</t>
  </si>
  <si>
    <t>LandMorphologyCode_eyot</t>
  </si>
  <si>
    <t>LandMorphologyCode_fjord</t>
  </si>
  <si>
    <t>LandMorphologyCode_gap</t>
  </si>
  <si>
    <t>LandMorphologyCode_gorge</t>
  </si>
  <si>
    <t>LandMorphologyCode_hangingValley</t>
  </si>
  <si>
    <t>LandMorphologyCode_headland</t>
  </si>
  <si>
    <t>LandMorphologyCode_interduneTrough</t>
  </si>
  <si>
    <t>LandMorphologyCode_interfluve</t>
  </si>
  <si>
    <t>LandMorphologyCode_isthmus</t>
  </si>
  <si>
    <t>LandMorphologyCode_karst</t>
  </si>
  <si>
    <t>LandMorphologyCode_lakeRegion</t>
  </si>
  <si>
    <t>LandMorphologyCode_lavaField</t>
  </si>
  <si>
    <t>LandMorphologyCode_mangroveIsland</t>
  </si>
  <si>
    <t>LandMorphologyCode_meanderNeck</t>
  </si>
  <si>
    <t>LandMorphologyCode_mesa</t>
  </si>
  <si>
    <t>LandMorphologyCode_microcontinentalIsland</t>
  </si>
  <si>
    <t>LandMorphologyCode_miningArea</t>
  </si>
  <si>
    <t>LandMorphologyCode_moor</t>
  </si>
  <si>
    <t>LandMorphologyCode_mountain</t>
  </si>
  <si>
    <t>LandMorphologyCode_oceanicIsland</t>
  </si>
  <si>
    <t>LandMorphologyCode_pan</t>
  </si>
  <si>
    <t>LandMorphologyCode_peak</t>
  </si>
  <si>
    <t>LandMorphologyCode_peninsula</t>
  </si>
  <si>
    <t>LandMorphologyCode_petroleumBasin</t>
  </si>
  <si>
    <t>LandMorphologyCode_plain</t>
  </si>
  <si>
    <t>LandMorphologyCode_plateau</t>
  </si>
  <si>
    <t>LandMorphologyCode_point</t>
  </si>
  <si>
    <t>LandMorphologyCode_polder</t>
  </si>
  <si>
    <t>LandMorphologyCode_promontory</t>
  </si>
  <si>
    <t>LandMorphologyCode_quicksand</t>
  </si>
  <si>
    <t>LandMorphologyCode_ridge</t>
  </si>
  <si>
    <t>LandMorphologyCode_saddle</t>
  </si>
  <si>
    <t>LandMorphologyCode_sinkhole</t>
  </si>
  <si>
    <t>LandMorphologyCode_slope</t>
  </si>
  <si>
    <t>LandMorphologyCode_spit</t>
  </si>
  <si>
    <t>LandMorphologyCode_spur</t>
  </si>
  <si>
    <t>LandMorphologyCode_talusSlope</t>
  </si>
  <si>
    <t>LandMorphologyCode_terrace</t>
  </si>
  <si>
    <t>LandMorphologyCode_upland</t>
  </si>
  <si>
    <t>LandMorphologyCode_valley</t>
  </si>
  <si>
    <t>LandMorphologyCode_watercourseDelta</t>
  </si>
  <si>
    <t>LandslideHazardCategoryCode_highIncidence</t>
  </si>
  <si>
    <t>LandslideHazardCategoryCode_highRisk</t>
  </si>
  <si>
    <t>LandslideHazardCategoryCode_lowIncidence</t>
  </si>
  <si>
    <t>LandslideHazardCategoryCode_lowRisk</t>
  </si>
  <si>
    <t>LandslideHazardCategoryCode_moderateIncidence</t>
  </si>
  <si>
    <t>LandslideHazardCategoryCode_moderateRisk</t>
  </si>
  <si>
    <t>LightSystemIntensityCode_high</t>
  </si>
  <si>
    <t>LightSystemIntensityCode_low</t>
  </si>
  <si>
    <t>LightSystemIntensityCode_medium</t>
  </si>
  <si>
    <t>LightSystemIntVariableCode_fixed</t>
  </si>
  <si>
    <t>LightSystemIntVariableCode_variable</t>
  </si>
  <si>
    <t>LightVisibilityCode_faint</t>
  </si>
  <si>
    <t>LightVisibilityCode_highIntensity</t>
  </si>
  <si>
    <t>LightVisibilityCode_intensified</t>
  </si>
  <si>
    <t>LightVisibilityCode_lowIntensity</t>
  </si>
  <si>
    <t>LightVisibilityCode_obscured</t>
  </si>
  <si>
    <t>LightVisibilityCode_partiallyObscured</t>
  </si>
  <si>
    <t>LightVisibilityCode_unintensified</t>
  </si>
  <si>
    <t>LightVisibilityCode_visDeliberatelyRestricted</t>
  </si>
  <si>
    <t>LinearFeatureArrangementCode_doubleArrangement</t>
  </si>
  <si>
    <t>LinearFeatureArrangementCode_juxtaposition</t>
  </si>
  <si>
    <t>LinearFeatureArrangementCode_multipleArrangements</t>
  </si>
  <si>
    <t>LinearFeatureArrangementCode_singleArrangement</t>
  </si>
  <si>
    <t>LoadClassNumberValidityCode_construction</t>
  </si>
  <si>
    <t>LoadClassNumberValidityCode_estimated</t>
  </si>
  <si>
    <t>LoadClassNumberValidityCode_operations</t>
  </si>
  <si>
    <t>LoadClassNumberValidityCode_reported</t>
  </si>
  <si>
    <t>LoadClassNumberValidityCode_test</t>
  </si>
  <si>
    <t>LocationRefToShorelineCode_atShoreline</t>
  </si>
  <si>
    <t>LocationRefToShorelineCode_inland</t>
  </si>
  <si>
    <t>LocationRefToShorelineCode_offshore</t>
  </si>
  <si>
    <t>LowVisHoldingPositionCatCode_catI</t>
  </si>
  <si>
    <t>LowVisHoldingPositionCatCode_catII_III</t>
  </si>
  <si>
    <t>LowVisHoldingPositionCatCode_none</t>
  </si>
  <si>
    <t>MarineBiogeographyCode_feeding</t>
  </si>
  <si>
    <t>MarineBiogeographyCode_general</t>
  </si>
  <si>
    <t>MarineBiogeographyCode_spawning</t>
  </si>
  <si>
    <t>MarineBiogeographyCode_wintering</t>
  </si>
  <si>
    <t>MarineFarmEncloseMethodCode_fencing</t>
  </si>
  <si>
    <t>MarineFarmEncloseMethodCode_fishingStakes</t>
  </si>
  <si>
    <t>MarineFarmEncloseMethodCode_nets</t>
  </si>
  <si>
    <t>MarineSpeciesCode_alaskaPollock</t>
  </si>
  <si>
    <t>MarineSpeciesCode_albacore</t>
  </si>
  <si>
    <t>MarineSpeciesCode_almacoJack</t>
  </si>
  <si>
    <t>MarineSpeciesCode_americanPlaice</t>
  </si>
  <si>
    <t>MarineSpeciesCode_angler</t>
  </si>
  <si>
    <t>MarineSpeciesCode_atlanticBluefinTuna</t>
  </si>
  <si>
    <t>MarineSpeciesCode_atlanticCod</t>
  </si>
  <si>
    <t>MarineSpeciesCode_atlanticHerring</t>
  </si>
  <si>
    <t>MarineSpeciesCode_atlanticHorseMackerel</t>
  </si>
  <si>
    <t>MarineSpeciesCode_atlanticMackerel</t>
  </si>
  <si>
    <t>MarineSpeciesCode_atlanticPomfret</t>
  </si>
  <si>
    <t>MarineSpeciesCode_atlanticSaury</t>
  </si>
  <si>
    <t>MarineSpeciesCode_atlanticWolffish</t>
  </si>
  <si>
    <t>MarineSpeciesCode_baliSardinella</t>
  </si>
  <si>
    <t>MarineSpeciesCode_beakedRedfish</t>
  </si>
  <si>
    <t>MarineSpeciesCode_bigeyeScad</t>
  </si>
  <si>
    <t>MarineSpeciesCode_bigeyeTuna</t>
  </si>
  <si>
    <t>MarineSpeciesCode_blackBelliedAngler</t>
  </si>
  <si>
    <t>MarineSpeciesCode_blackMarlin</t>
  </si>
  <si>
    <t>MarineSpeciesCode_blackSkipjackTuna</t>
  </si>
  <si>
    <t>MarineSpeciesCode_blackStreakedMonocleBream</t>
  </si>
  <si>
    <t>MarineSpeciesCode_blueJackMackerel</t>
  </si>
  <si>
    <t>MarineSpeciesCode_blueMarlin</t>
  </si>
  <si>
    <t>MarineSpeciesCode_blueShark</t>
  </si>
  <si>
    <t>MarineSpeciesCode_bluespotMullet</t>
  </si>
  <si>
    <t>MarineSpeciesCode_blueWhitingPoutassou</t>
  </si>
  <si>
    <t>MarineSpeciesCode_bombayDuck</t>
  </si>
  <si>
    <t>MarineSpeciesCode_bulletTuna</t>
  </si>
  <si>
    <t>MarineSpeciesCode_capelin</t>
  </si>
  <si>
    <t>MarineSpeciesCode_chilhuilSeacatfish</t>
  </si>
  <si>
    <t>MarineSpeciesCode_chocolateHind</t>
  </si>
  <si>
    <t>MarineSpeciesCode_chubMackerel</t>
  </si>
  <si>
    <t>MarineSpeciesCode_clarkesBrotula</t>
  </si>
  <si>
    <t>MarineSpeciesCode_commonDab</t>
  </si>
  <si>
    <t>MarineSpeciesCode_commonDolphinfish</t>
  </si>
  <si>
    <t>MarineSpeciesCode_commonShrimp</t>
  </si>
  <si>
    <t>MarineSpeciesCode_commonSole</t>
  </si>
  <si>
    <t>MarineSpeciesCode_cuttlefish</t>
  </si>
  <si>
    <t>MarineSpeciesCode_daggertoothPikeConger</t>
  </si>
  <si>
    <t>MarineSpeciesCode_dogteethWeakfish</t>
  </si>
  <si>
    <t>MarineSpeciesCode_dogtoothTuna</t>
  </si>
  <si>
    <t>MarineSpeciesCode_edibleCrab</t>
  </si>
  <si>
    <t>MarineSpeciesCode_europeanAnchovy</t>
  </si>
  <si>
    <t>MarineSpeciesCode_europeanConger</t>
  </si>
  <si>
    <t>MarineSpeciesCode_europeanFlounder</t>
  </si>
  <si>
    <t>MarineSpeciesCode_europeanHake</t>
  </si>
  <si>
    <t>MarineSpeciesCode_europeanPilchard</t>
  </si>
  <si>
    <t>MarineSpeciesCode_europeanPlaice</t>
  </si>
  <si>
    <t>MarineSpeciesCode_europeanSprat</t>
  </si>
  <si>
    <t>MarineSpeciesCode_flatheadGreyMullet</t>
  </si>
  <si>
    <t>MarineSpeciesCode_frigateTuna</t>
  </si>
  <si>
    <t>MarineSpeciesCode_garfish</t>
  </si>
  <si>
    <t>MarineSpeciesCode_giantTrevally</t>
  </si>
  <si>
    <t>MarineSpeciesCode_goldenRedfish</t>
  </si>
  <si>
    <t>MarineSpeciesCode_goldenThreadfinBream</t>
  </si>
  <si>
    <t>MarineSpeciesCode_goldstripeSardinella</t>
  </si>
  <si>
    <t>MarineSpeciesCode_greasyGrouper</t>
  </si>
  <si>
    <t>MarineSpeciesCode_greaterArgentine</t>
  </si>
  <si>
    <t>MarineSpeciesCode_greaterLizardfish</t>
  </si>
  <si>
    <t>MarineSpeciesCode_greenJack</t>
  </si>
  <si>
    <t>MarineSpeciesCode_greenlandHalibut</t>
  </si>
  <si>
    <t>MarineSpeciesCode_gulfConeyRoosterHind</t>
  </si>
  <si>
    <t>MarineSpeciesCode_haddock</t>
  </si>
  <si>
    <t>MarineSpeciesCode_haffaraSeabream</t>
  </si>
  <si>
    <t>MarineSpeciesCode_indianHalibut</t>
  </si>
  <si>
    <t>MarineSpeciesCode_indianMackerel</t>
  </si>
  <si>
    <t>MarineSpeciesCode_indianOilSardine</t>
  </si>
  <si>
    <t>MarineSpeciesCode_indianScad</t>
  </si>
  <si>
    <t>MarineSpeciesCode_indoPacificSailfish</t>
  </si>
  <si>
    <t>MarineSpeciesCode_japaneseAnchovy</t>
  </si>
  <si>
    <t>MarineSpeciesCode_japaneseBobtailSquid</t>
  </si>
  <si>
    <t>MarineSpeciesCode_japaneseFlyingSquid</t>
  </si>
  <si>
    <t>MarineSpeciesCode_japaneseJackMackerel</t>
  </si>
  <si>
    <t>MarineSpeciesCode_japanesePilchard</t>
  </si>
  <si>
    <t>MarineSpeciesCode_japaneseSardinella</t>
  </si>
  <si>
    <t>MarineSpeciesCode_japaneseScad</t>
  </si>
  <si>
    <t>MarineSpeciesCode_japaneseSpanishMackerel</t>
  </si>
  <si>
    <t>MarineSpeciesCode_japaneseThreadfinBream</t>
  </si>
  <si>
    <t>MarineSpeciesCode_javelinGrunter</t>
  </si>
  <si>
    <t>MarineSpeciesCode_kawakawa</t>
  </si>
  <si>
    <t>MarineSpeciesCode_kingSoldierBream</t>
  </si>
  <si>
    <t>MarineSpeciesCode_largeheadHairtail</t>
  </si>
  <si>
    <t>MarineSpeciesCode_lemonSole</t>
  </si>
  <si>
    <t>MarineSpeciesCode_lesserSandeelSandlance</t>
  </si>
  <si>
    <t>MarineSpeciesCode_ling</t>
  </si>
  <si>
    <t>MarineSpeciesCode_longtailTuna</t>
  </si>
  <si>
    <t>MarineSpeciesCode_malabarBloodSnapper</t>
  </si>
  <si>
    <t>MarineSpeciesCode_megrim</t>
  </si>
  <si>
    <t>MarineSpeciesCode_mexicanBarracuda</t>
  </si>
  <si>
    <t>MarineSpeciesCode_mexicanBarredSnapper</t>
  </si>
  <si>
    <t>MarineSpeciesCode_narrowBarredSpanishMackerel</t>
  </si>
  <si>
    <t>MarineSpeciesCode_northernPrawn</t>
  </si>
  <si>
    <t>MarineSpeciesCode_norwayLobster</t>
  </si>
  <si>
    <t>MarineSpeciesCode_oilfish</t>
  </si>
  <si>
    <t>MarineSpeciesCode_okhotskAtkaMackerel</t>
  </si>
  <si>
    <t>MarineSpeciesCode_orangeRoughy</t>
  </si>
  <si>
    <t>MarineSpeciesCode_orangeSpottedGrouper</t>
  </si>
  <si>
    <t>MarineSpeciesCode_pacificAnchoveta</t>
  </si>
  <si>
    <t>MarineSpeciesCode_pacificCod</t>
  </si>
  <si>
    <t>MarineSpeciesCode_pacificCrevalleJack</t>
  </si>
  <si>
    <t>MarineSpeciesCode_pacificHerring</t>
  </si>
  <si>
    <t>MarineSpeciesCode_pacificRedSnapper</t>
  </si>
  <si>
    <t>MarineSpeciesCode_pacificSandlance</t>
  </si>
  <si>
    <t>MarineSpeciesCode_pacificSaury</t>
  </si>
  <si>
    <t>MarineSpeciesCode_pacificSierra</t>
  </si>
  <si>
    <t>MarineSpeciesCode_pacificTripletail</t>
  </si>
  <si>
    <t>MarineSpeciesCode_pinkEarEmperor</t>
  </si>
  <si>
    <t>MarineSpeciesCode_polarCod</t>
  </si>
  <si>
    <t>MarineSpeciesCode_redEyeRoundHerring</t>
  </si>
  <si>
    <t>MarineSpeciesCode_redKingCrab</t>
  </si>
  <si>
    <t>MarineSpeciesCode_redSeacatfish</t>
  </si>
  <si>
    <t>MarineSpeciesCode_roundnoseGrenadier</t>
  </si>
  <si>
    <t>MarineSpeciesCode_saffronCod</t>
  </si>
  <si>
    <t>MarineSpeciesCode_saithe</t>
  </si>
  <si>
    <t>MarineSpeciesCode_shortfinMako</t>
  </si>
  <si>
    <t>MarineSpeciesCode_shortMackerel</t>
  </si>
  <si>
    <t>MarineSpeciesCode_silkyShark</t>
  </si>
  <si>
    <t>MarineSpeciesCode_silverPomfret</t>
  </si>
  <si>
    <t>MarineSpeciesCode_skipjackTuna</t>
  </si>
  <si>
    <t>MarineSpeciesCode_slenderRainbowSardine</t>
  </si>
  <si>
    <t>MarineSpeciesCode_smallSandeelSandlance</t>
  </si>
  <si>
    <t>MarineSpeciesCode_smallSpottedCatshark</t>
  </si>
  <si>
    <t>MarineSpeciesCode_snubnoseEmperor</t>
  </si>
  <si>
    <t>MarineSpeciesCode_spottailShark</t>
  </si>
  <si>
    <t>MarineSpeciesCode_spottedRoseSnapper</t>
  </si>
  <si>
    <t>MarineSpeciesCode_stripedMarlin</t>
  </si>
  <si>
    <t>MarineSpeciesCode_swordfish</t>
  </si>
  <si>
    <t>MarineSpeciesCode_talangQueenfish</t>
  </si>
  <si>
    <t>MarineSpeciesCode_thresher</t>
  </si>
  <si>
    <t>MarineSpeciesCode_tigertoothCroaker</t>
  </si>
  <si>
    <t>MarineSpeciesCode_torpedoScad</t>
  </si>
  <si>
    <t>MarineSpeciesCode_tubGurnard</t>
  </si>
  <si>
    <t>MarineSpeciesCode_turbot</t>
  </si>
  <si>
    <t>MarineSpeciesCode_tusk</t>
  </si>
  <si>
    <t>MarineSpeciesCode_twobarSeabream</t>
  </si>
  <si>
    <t>MarineSpeciesCode_whiteTrevally</t>
  </si>
  <si>
    <t>MarineSpeciesCode_whiting</t>
  </si>
  <si>
    <t>MarineSpeciesCode_witchFlounder</t>
  </si>
  <si>
    <t>MarineSpeciesCode_yellowCroaker</t>
  </si>
  <si>
    <t>MarineSpeciesCode_yellowfinTuna</t>
  </si>
  <si>
    <t>MarineSpeciesCode_yellowSnapper</t>
  </si>
  <si>
    <t>MarineSpeciesCode_yellowStripedFlounder</t>
  </si>
  <si>
    <t>MarineSpeciesCode_yellowstripedScad</t>
  </si>
  <si>
    <t>MarineSpeciesHabitatCode_demersal</t>
  </si>
  <si>
    <t>MarineSpeciesHabitatCode_pelagic</t>
  </si>
  <si>
    <t>MaritimeAggressiveActionCode_attack</t>
  </si>
  <si>
    <t>MaritimeAggressiveActionCode_pirateBoarding</t>
  </si>
  <si>
    <t>MaritimeAggressiveActionCode_suspiciousApproach</t>
  </si>
  <si>
    <t>MaritimeAggressorTransportCode_aircraft</t>
  </si>
  <si>
    <t>MaritimeAggressorTransportCode_fishingBoat</t>
  </si>
  <si>
    <t>MaritimeAggressorTransportCode_inflatableSmallCraft</t>
  </si>
  <si>
    <t>MaritimeAggressorTransportCode_militaryTransport</t>
  </si>
  <si>
    <t>MaritimeAggressorTransportCode_onFoot</t>
  </si>
  <si>
    <t>MaritimeAggressorTransportCode_speedboat</t>
  </si>
  <si>
    <t>MaritimeAggressorTransportCode_swim</t>
  </si>
  <si>
    <t>MaritimeAggressorTransportCode_yacht</t>
  </si>
  <si>
    <t>MaritimeAreaRestrictionCode_birdSanctuary</t>
  </si>
  <si>
    <t>MaritimeAreaRestrictionCode_compassAdjustment</t>
  </si>
  <si>
    <t>MaritimeAreaRestrictionCode_conserveManageZone</t>
  </si>
  <si>
    <t>MaritimeAreaRestrictionCode_contiguousZone</t>
  </si>
  <si>
    <t>MaritimeAreaRestrictionCode_continentalShelfArea</t>
  </si>
  <si>
    <t>MaritimeAreaRestrictionCode_degaussingRange</t>
  </si>
  <si>
    <t>MaritimeAreaRestrictionCode_dredgingArea</t>
  </si>
  <si>
    <t>MaritimeAreaRestrictionCode_ecologicalReserve</t>
  </si>
  <si>
    <t>MaritimeAreaRestrictionCode_exclusiveEconomicZone</t>
  </si>
  <si>
    <t>MaritimeAreaRestrictionCode_extendContinentShelfArea</t>
  </si>
  <si>
    <t>MaritimeAreaRestrictionCode_fairway</t>
  </si>
  <si>
    <t>MaritimeAreaRestrictionCode_fisheryZone</t>
  </si>
  <si>
    <t>MaritimeAreaRestrictionCode_fishingGround</t>
  </si>
  <si>
    <t>MaritimeAreaRestrictionCode_fishSanctuary</t>
  </si>
  <si>
    <t>MaritimeAreaRestrictionCode_foreignFishingRightsZone</t>
  </si>
  <si>
    <t>MaritimeAreaRestrictionCode_formerMineDangerArea</t>
  </si>
  <si>
    <t>MaritimeAreaRestrictionCode_gamePreserve</t>
  </si>
  <si>
    <t>MaritimeAreaRestrictionCode_historicWreckArea</t>
  </si>
  <si>
    <t>MaritimeAreaRestrictionCode_icesFisheryZone</t>
  </si>
  <si>
    <t>MaritimeAreaRestrictionCode_incinerationArea</t>
  </si>
  <si>
    <t>MaritimeAreaRestrictionCode_internalWaters</t>
  </si>
  <si>
    <t>MaritimeAreaRestrictionCode_jointEconomicDevelopZone</t>
  </si>
  <si>
    <t>MaritimeAreaRestrictionCode_marineNatureReserve</t>
  </si>
  <si>
    <t>MaritimeAreaRestrictionCode_maritimeMassGrave</t>
  </si>
  <si>
    <t>MaritimeAreaRestrictionCode_marpolReportingArea</t>
  </si>
  <si>
    <t>MaritimeAreaRestrictionCode_mineDangerArea</t>
  </si>
  <si>
    <t>MaritimeAreaRestrictionCode_naturalGasField</t>
  </si>
  <si>
    <t>MaritimeAreaRestrictionCode_natureReserve</t>
  </si>
  <si>
    <t>MaritimeAreaRestrictionCode_noWakeArea</t>
  </si>
  <si>
    <t>MaritimeAreaRestrictionCode_petroleumField</t>
  </si>
  <si>
    <t>MaritimeAreaRestrictionCode_reclamationArea</t>
  </si>
  <si>
    <t>MaritimeAreaRestrictionCode_researchArea</t>
  </si>
  <si>
    <t>MaritimeAreaRestrictionCode_sealSanctuary</t>
  </si>
  <si>
    <t>MaritimeAreaRestrictionCode_strandingDangerArea</t>
  </si>
  <si>
    <t>MaritimeAreaRestrictionCode_swimmingArea</t>
  </si>
  <si>
    <t>MaritimeAreaRestrictionCode_swingingArea</t>
  </si>
  <si>
    <t>MaritimeAreaRestrictionCode_territorialSeaArea</t>
  </si>
  <si>
    <t>MaritimeAreaRestrictionCode_trafficServicesLimit</t>
  </si>
  <si>
    <t>MaritimeAreaRestrictionCode_unilateralFishingZone</t>
  </si>
  <si>
    <t>MaritimeAreaRestrictionCode_unrestrictedArea</t>
  </si>
  <si>
    <t>MaritimeAreaRestrictionCode_waitingArea</t>
  </si>
  <si>
    <t>MaritimeAreaRestrictionCode_waterSkiingArea</t>
  </si>
  <si>
    <t>MaritimeCautionTypeCode_cargoTransshipment</t>
  </si>
  <si>
    <t>MaritimeCautionTypeCode_clearingLine</t>
  </si>
  <si>
    <t>MaritimeCautionTypeCode_colregsDemarcationLine</t>
  </si>
  <si>
    <t>MaritimeCautionTypeCode_harbourArea</t>
  </si>
  <si>
    <t>MaritimeCautionTypeCode_iceAdvisory</t>
  </si>
  <si>
    <t>MaritimeCautionTypeCode_intakeArea</t>
  </si>
  <si>
    <t>MaritimeCautionTypeCode_oceanCurrentMargin</t>
  </si>
  <si>
    <t>MaritimeCautionTypeCode_outfallArea</t>
  </si>
  <si>
    <t>MaritimeCautionTypeCode_pollutionZone</t>
  </si>
  <si>
    <t>MaritimeCautionTypeCode_submarineCable</t>
  </si>
  <si>
    <t>MaritimeCautionTypeCode_submarinePipeline</t>
  </si>
  <si>
    <t>MaritimeCautionTypeCode_submarineSewer</t>
  </si>
  <si>
    <t>MaritimeCautionTypeCode_unexplodedOrdnance</t>
  </si>
  <si>
    <t>MaritimeCautionTypeCode_unsurveyedArea</t>
  </si>
  <si>
    <t>MaritimeCautionTypeCode_worksInProgressArea</t>
  </si>
  <si>
    <t>MaritimeGeoLimitTypeCode_contiguousZoneLimit</t>
  </si>
  <si>
    <t>MaritimeGeoLimitTypeCode_continentalShelfLimit</t>
  </si>
  <si>
    <t>MaritimeGeoLimitTypeCode_customsBoundary</t>
  </si>
  <si>
    <t>MaritimeGeoLimitTypeCode_exclusiveEcoZoneLimit</t>
  </si>
  <si>
    <t>MaritimeGeoLimitTypeCode_extendContinentShelfLimit</t>
  </si>
  <si>
    <t>MaritimeGeoLimitTypeCode_internationalBoundary</t>
  </si>
  <si>
    <t>MaritimeGeoLimitTypeCode_territorialSeaBaseline</t>
  </si>
  <si>
    <t>MaritimeGeoLimitTypeCode_territorialWatersLimitSov</t>
  </si>
  <si>
    <t>MaritimeGeoLimitTypeCode_threeNauticalMileLimit</t>
  </si>
  <si>
    <t>MaritimeLightTypeCode_airObstructionLight</t>
  </si>
  <si>
    <t>MaritimeLightTypeCode_bearingLight</t>
  </si>
  <si>
    <t>MaritimeLightTypeCode_directionalFunction</t>
  </si>
  <si>
    <t>MaritimeLightTypeCode_emergencyLight</t>
  </si>
  <si>
    <t>MaritimeLightTypeCode_floodLight</t>
  </si>
  <si>
    <t>MaritimeLightTypeCode_fogDetectorLight</t>
  </si>
  <si>
    <t>MaritimeLightTypeCode_front</t>
  </si>
  <si>
    <t>MaritimeLightTypeCode_horizontallyDisposed</t>
  </si>
  <si>
    <t>MaritimeLightTypeCode_leadingLight</t>
  </si>
  <si>
    <t>MaritimeLightTypeCode_lower</t>
  </si>
  <si>
    <t>MaritimeLightTypeCode_moireEffectLight</t>
  </si>
  <si>
    <t>MaritimeLightTypeCode_occasionalLight</t>
  </si>
  <si>
    <t>MaritimeLightTypeCode_rear</t>
  </si>
  <si>
    <t>MaritimeLightTypeCode_sectoredLight</t>
  </si>
  <si>
    <t>MaritimeLightTypeCode_spotlight</t>
  </si>
  <si>
    <t>MaritimeLightTypeCode_stripLight</t>
  </si>
  <si>
    <t>MaritimeLightTypeCode_subsidiaryLight</t>
  </si>
  <si>
    <t>MaritimeLightTypeCode_upper</t>
  </si>
  <si>
    <t>MaritimeLightTypeCode_verticallyDisposed</t>
  </si>
  <si>
    <t>MariNavBeaconStructTypeCode_articulatedBeacon</t>
  </si>
  <si>
    <t>MariNavBeaconStructTypeCode_beaconTower</t>
  </si>
  <si>
    <t>MariNavBeaconStructTypeCode_cairn</t>
  </si>
  <si>
    <t>MariNavBeaconStructTypeCode_latticeBeacon</t>
  </si>
  <si>
    <t>MariNavBeaconStructTypeCode_pileBeacon</t>
  </si>
  <si>
    <t>MariNavBeaconStructTypeCode_withy</t>
  </si>
  <si>
    <t>MaritimeNavBeaconTypeCode_aeronauticalAnchorage</t>
  </si>
  <si>
    <t>MaritimeNavBeaconTypeCode_anchorage</t>
  </si>
  <si>
    <t>MaritimeNavBeaconTypeCode_anchoringProhibited</t>
  </si>
  <si>
    <t>MaritimeNavBeaconTypeCode_artificialReef</t>
  </si>
  <si>
    <t>MaritimeNavBeaconTypeCode_barge</t>
  </si>
  <si>
    <t>MaritimeNavBeaconTypeCode_berthingPermitted</t>
  </si>
  <si>
    <t>MaritimeNavBeaconTypeCode_berthingProhibited</t>
  </si>
  <si>
    <t>MaritimeNavBeaconTypeCode_bifurcation</t>
  </si>
  <si>
    <t>MaritimeNavBeaconTypeCode_cable</t>
  </si>
  <si>
    <t>MaritimeNavBeaconTypeCode_channelEdgeGradient</t>
  </si>
  <si>
    <t>MaritimeNavBeaconTypeCode_clearingLine</t>
  </si>
  <si>
    <t>MaritimeNavBeaconTypeCode_compassAdjustment</t>
  </si>
  <si>
    <t>MaritimeNavBeaconTypeCode_control</t>
  </si>
  <si>
    <t>MaritimeNavBeaconTypeCode_degaussingRange</t>
  </si>
  <si>
    <t>MaritimeNavBeaconTypeCode_diving</t>
  </si>
  <si>
    <t>MaritimeNavBeaconTypeCode_eastCardinal</t>
  </si>
  <si>
    <t>MaritimeNavBeaconTypeCode_entryProhibited</t>
  </si>
  <si>
    <t>MaritimeNavBeaconTypeCode_exerciseArea</t>
  </si>
  <si>
    <t>MaritimeNavBeaconTypeCode_explosiveAnchorage</t>
  </si>
  <si>
    <t>MaritimeNavBeaconTypeCode_fairway</t>
  </si>
  <si>
    <t>MaritimeNavBeaconTypeCode_ferryCrossing</t>
  </si>
  <si>
    <t>MaritimeNavBeaconTypeCode_firingDangerArea</t>
  </si>
  <si>
    <t>MaritimeNavBeaconTypeCode_fishTrap</t>
  </si>
  <si>
    <t>MaritimeNavBeaconTypeCode_foulGround</t>
  </si>
  <si>
    <t>MaritimeNavBeaconTypeCode_generalWarning</t>
  </si>
  <si>
    <t>MaritimeNavBeaconTypeCode_gpsMark</t>
  </si>
  <si>
    <t>MaritimeNavBeaconTypeCode_heliport</t>
  </si>
  <si>
    <t>MaritimeNavBeaconTypeCode_isolatedDanger</t>
  </si>
  <si>
    <t>MaritimeNavBeaconTypeCode_junction</t>
  </si>
  <si>
    <t>MaritimeNavBeaconTypeCode_landfall</t>
  </si>
  <si>
    <t>MaritimeNavBeaconTypeCode_leadingLine</t>
  </si>
  <si>
    <t>MaritimeNavBeaconTypeCode_marineFarm</t>
  </si>
  <si>
    <t>MaritimeNavBeaconTypeCode_markerShip</t>
  </si>
  <si>
    <t>MaritimeNavBeaconTypeCode_maximumVesselsDraught</t>
  </si>
  <si>
    <t>MaritimeNavBeaconTypeCode_measuredDistance</t>
  </si>
  <si>
    <t>MaritimeNavBeaconTypeCode_midChannel</t>
  </si>
  <si>
    <t>MaritimeNavBeaconTypeCode_mooring</t>
  </si>
  <si>
    <t>MaritimeNavBeaconTypeCode_northCardinal</t>
  </si>
  <si>
    <t>MaritimeNavBeaconTypeCode_notice</t>
  </si>
  <si>
    <t>MaritimeNavBeaconTypeCode_obstruction</t>
  </si>
  <si>
    <t>MaritimeNavBeaconTypeCode_outfall</t>
  </si>
  <si>
    <t>MaritimeNavBeaconTypeCode_overheadPowerCable</t>
  </si>
  <si>
    <t>MaritimeNavBeaconTypeCode_overtakingProhibited</t>
  </si>
  <si>
    <t>MaritimeNavBeaconTypeCode_pipeline</t>
  </si>
  <si>
    <t>MaritimeNavBeaconTypeCode_portHandEdge</t>
  </si>
  <si>
    <t>MaritimeNavBeaconTypeCode_preferredChannelPort</t>
  </si>
  <si>
    <t>MaritimeNavBeaconTypeCode_preferredChannelStarboard</t>
  </si>
  <si>
    <t>MaritimeNavBeaconTypeCode_private</t>
  </si>
  <si>
    <t>MaritimeNavBeaconTypeCode_quarantine</t>
  </si>
  <si>
    <t>MaritimeNavBeaconTypeCode_recording</t>
  </si>
  <si>
    <t>MaritimeNavBeaconTypeCode_recreationZone</t>
  </si>
  <si>
    <t>MaritimeNavBeaconTypeCode_reducedWake</t>
  </si>
  <si>
    <t>MaritimeNavBeaconTypeCode_refuge</t>
  </si>
  <si>
    <t>MaritimeNavBeaconTypeCode_restrictedHorizClearance</t>
  </si>
  <si>
    <t>MaritimeNavBeaconTypeCode_restrictedVerClearance</t>
  </si>
  <si>
    <t>MaritimeNavBeaconTypeCode_safeWater</t>
  </si>
  <si>
    <t>MaritimeNavBeaconTypeCode_seaplaneLanding</t>
  </si>
  <si>
    <t>MaritimeNavBeaconTypeCode_soundShipsSiren</t>
  </si>
  <si>
    <t>MaritimeNavBeaconTypeCode_southCardinal</t>
  </si>
  <si>
    <t>MaritimeNavBeaconTypeCode_special</t>
  </si>
  <si>
    <t>MaritimeNavBeaconTypeCode_speedLimit</t>
  </si>
  <si>
    <t>MaritimeNavBeaconTypeCode_spoilGround</t>
  </si>
  <si>
    <t>MaritimeNavBeaconTypeCode_starboardHandEdge</t>
  </si>
  <si>
    <t>MaritimeNavBeaconTypeCode_stop</t>
  </si>
  <si>
    <t>MaritimeNavBeaconTypeCode_strongCurrentWarning</t>
  </si>
  <si>
    <t>MaritimeNavBeaconTypeCode_swim</t>
  </si>
  <si>
    <t>MaritimeNavBeaconTypeCode_target</t>
  </si>
  <si>
    <t>MaritimeNavBeaconTypeCode_telegraphCable</t>
  </si>
  <si>
    <t>MaritimeNavBeaconTypeCode_telephone</t>
  </si>
  <si>
    <t>MaritimeNavBeaconTypeCode_trot</t>
  </si>
  <si>
    <t>MaritimeNavBeaconTypeCode_tss</t>
  </si>
  <si>
    <t>MaritimeNavBeaconTypeCode_twoWayTrafficProhibited</t>
  </si>
  <si>
    <t>MaritimeNavBeaconTypeCode_warping</t>
  </si>
  <si>
    <t>MaritimeNavBeaconTypeCode_wavemeter</t>
  </si>
  <si>
    <t>MaritimeNavBeaconTypeCode_wellhead</t>
  </si>
  <si>
    <t>MaritimeNavBeaconTypeCode_westCardinal</t>
  </si>
  <si>
    <t>MaritimeNavBeaconTypeCode_workInProgress</t>
  </si>
  <si>
    <t>MaritimeNavBeaconTypeCode_wreck</t>
  </si>
  <si>
    <t>MaritimeNavBeaconTypeCode_yachting</t>
  </si>
  <si>
    <t>MaritimeNavLineFeaturesCode_directionalLight</t>
  </si>
  <si>
    <t>MaritimeNavLineFeaturesCode_directionalRadiobeacon</t>
  </si>
  <si>
    <t>MaritimeNavLineFeaturesCode_leadingRadioTranspondBeac</t>
  </si>
  <si>
    <t>MaritimeNavLineFeaturesCode_measuredDistanceMarkers</t>
  </si>
  <si>
    <t>MaritimeNavLineFeaturesCode_moireEffectLight</t>
  </si>
  <si>
    <t>MaritimeNavLineFeaturesCode_oneOtherThanDirectionLight</t>
  </si>
  <si>
    <t>MaritimeNavLineFeaturesCode_twoBeaconsOrMore</t>
  </si>
  <si>
    <t>MaritimeNavLineFeaturesCode_twoLightsOrMore</t>
  </si>
  <si>
    <t>MaritimeNavLineFeaturesCode_twoNotTwoLightsOrBeacons</t>
  </si>
  <si>
    <t>MaritimeNavRestrictionCode_anchoringProhibited</t>
  </si>
  <si>
    <t>MaritimeNavRestrictionCode_anchoringRestricted</t>
  </si>
  <si>
    <t>MaritimeNavRestrictionCode_artifactRemovalProhib</t>
  </si>
  <si>
    <t>MaritimeNavRestrictionCode_avoidanceArea</t>
  </si>
  <si>
    <t>MaritimeNavRestrictionCode_cargoTranshipmentProhib</t>
  </si>
  <si>
    <t>MaritimeNavRestrictionCode_constructionProhibited</t>
  </si>
  <si>
    <t>MaritimeNavRestrictionCode_dischargingProhibited</t>
  </si>
  <si>
    <t>MaritimeNavRestrictionCode_dischargingRestricted</t>
  </si>
  <si>
    <t>MaritimeNavRestrictionCode_divingProhibited</t>
  </si>
  <si>
    <t>MaritimeNavRestrictionCode_divingRestricted</t>
  </si>
  <si>
    <t>MaritimeNavRestrictionCode_draggingProhibited</t>
  </si>
  <si>
    <t>MaritimeNavRestrictionCode_dredgingProhibited</t>
  </si>
  <si>
    <t>MaritimeNavRestrictionCode_dredgingRestricted</t>
  </si>
  <si>
    <t>MaritimeNavRestrictionCode_drillingProhibited</t>
  </si>
  <si>
    <t>MaritimeNavRestrictionCode_drillingRestricted</t>
  </si>
  <si>
    <t>MaritimeNavRestrictionCode_entryProhibited</t>
  </si>
  <si>
    <t>MaritimeNavRestrictionCode_entryRestricted</t>
  </si>
  <si>
    <t>MaritimeNavRestrictionCode_exploreDevelopProhibited</t>
  </si>
  <si>
    <t>MaritimeNavRestrictionCode_exploreDevelopRestricted</t>
  </si>
  <si>
    <t>MaritimeNavRestrictionCode_fishingProhibited</t>
  </si>
  <si>
    <t>MaritimeNavRestrictionCode_fishingRestricted</t>
  </si>
  <si>
    <t>MaritimeNavRestrictionCode_landingProhibited</t>
  </si>
  <si>
    <t>MaritimeNavRestrictionCode_limitedSpeedArea</t>
  </si>
  <si>
    <t>MaritimeNavRestrictionCode_navigationalAidSafetyZone</t>
  </si>
  <si>
    <t>MaritimeNavRestrictionCode_offshoreSafetyZone</t>
  </si>
  <si>
    <t>MaritimeNavRestrictionCode_reducedWakeArea</t>
  </si>
  <si>
    <t>MaritimeNavRestrictionCode_shippingProhibited</t>
  </si>
  <si>
    <t>MaritimeNavRestrictionCode_stoppingProhibited</t>
  </si>
  <si>
    <t>MaritimeNavRestrictionCode_trawlingProhibited</t>
  </si>
  <si>
    <t>MaritimeNavRestrictionCode_trawlingRestricted</t>
  </si>
  <si>
    <t>MaritimeRadiobeaconTypeCode_automatedIdentSystem</t>
  </si>
  <si>
    <t>MaritimeRadiobeaconTypeCode_circularRadiobeacon</t>
  </si>
  <si>
    <t>MaritimeRadiobeaconTypeCode_directionalRadiobeacon</t>
  </si>
  <si>
    <t>MaritimeRadiobeaconTypeCode_loranC</t>
  </si>
  <si>
    <t>MaritimeRadiobeaconTypeCode_qtgStation</t>
  </si>
  <si>
    <t>MaritimeRadiobeaconTypeCode_radarMarker</t>
  </si>
  <si>
    <t>MaritimeRadiobeaconTypeCode_radarResponderBeacon</t>
  </si>
  <si>
    <t>MaritimeRadiobeaconTypeCode_radioDirectFindStation</t>
  </si>
  <si>
    <t>MaritimeRadiobeaconTypeCode_rotatingPatRadiobeacon</t>
  </si>
  <si>
    <t>MaritimeStationTypeCode_berthingControlStation</t>
  </si>
  <si>
    <t>MaritimeStationTypeCode_bridgeSignalStation</t>
  </si>
  <si>
    <t>MaritimeStationTypeCode_cableWarningStation</t>
  </si>
  <si>
    <t>MaritimeStationTypeCode_clockStation</t>
  </si>
  <si>
    <t>MaritimeStationTypeCode_coastGuardStation</t>
  </si>
  <si>
    <t>MaritimeStationTypeCode_dangerWarningStation</t>
  </si>
  <si>
    <t>MaritimeStationTypeCode_distressWarningStation</t>
  </si>
  <si>
    <t>MaritimeStationTypeCode_divingWarningStation</t>
  </si>
  <si>
    <t>MaritimeStationTypeCode_dockControlStation</t>
  </si>
  <si>
    <t>MaritimeStationTypeCode_dredgingOperationsStation</t>
  </si>
  <si>
    <t>MaritimeStationTypeCode_fireboatStation</t>
  </si>
  <si>
    <t>MaritimeStationTypeCode_floodBarrageControlStation</t>
  </si>
  <si>
    <t>MaritimeStationTypeCode_fogSignal</t>
  </si>
  <si>
    <t>MaritimeStationTypeCode_iceSignalStation</t>
  </si>
  <si>
    <t>MaritimeStationTypeCode_internatPortSigStation</t>
  </si>
  <si>
    <t>MaritimeStationTypeCode_lockSignalStation</t>
  </si>
  <si>
    <t>MaritimeStationTypeCode_maritimeObstWarnStation</t>
  </si>
  <si>
    <t>MaritimeStationTypeCode_militaryPracticeSigStation</t>
  </si>
  <si>
    <t>MaritimeStationTypeCode_pilotLookoutStation</t>
  </si>
  <si>
    <t>MaritimeStationTypeCode_pilotStation</t>
  </si>
  <si>
    <t>MaritimeStationTypeCode_portControlStation</t>
  </si>
  <si>
    <t>MaritimeStationTypeCode_portEntryDepartControl</t>
  </si>
  <si>
    <t>MaritimeStationTypeCode_radarSurveillanceStation</t>
  </si>
  <si>
    <t>MaritimeStationTypeCode_rescueStation</t>
  </si>
  <si>
    <t>MaritimeStationTypeCode_semaphoreStation</t>
  </si>
  <si>
    <t>MaritimeStationTypeCode_signalMast</t>
  </si>
  <si>
    <t>MaritimeStationTypeCode_signalStation</t>
  </si>
  <si>
    <t>MaritimeStationTypeCode_stormSignalStation</t>
  </si>
  <si>
    <t>MaritimeStationTypeCode_tidalStreamStation</t>
  </si>
  <si>
    <t>MaritimeStationTypeCode_tideScaleStation</t>
  </si>
  <si>
    <t>MaritimeStationTypeCode_tideStation</t>
  </si>
  <si>
    <t>MaritimeStationTypeCode_timeBallStation</t>
  </si>
  <si>
    <t>MaritimeStationTypeCode_timeSignalStation</t>
  </si>
  <si>
    <t>MaritimeStationTypeCode_trafficSignalStation</t>
  </si>
  <si>
    <t>MaritimeStationTypeCode_unmannedOceanoStation</t>
  </si>
  <si>
    <t>MaritimeStationTypeCode_warningSignalStation</t>
  </si>
  <si>
    <t>MaritimeStationTypeCode_waterPoliceStation</t>
  </si>
  <si>
    <t>MaritimeStationTypeCode_weatherSignalStation</t>
  </si>
  <si>
    <t>TrafficSchemePartCode_boundary</t>
  </si>
  <si>
    <t>TrafficSchemePartCode_crossing</t>
  </si>
  <si>
    <t>TrafficSchemePartCode_inboundLane</t>
  </si>
  <si>
    <t>TrafficSchemePartCode_inshoreTrafficZone</t>
  </si>
  <si>
    <t>TrafficSchemePartCode_lanePart</t>
  </si>
  <si>
    <t>TrafficSchemePartCode_line</t>
  </si>
  <si>
    <t>TrafficSchemePartCode_outboundLane</t>
  </si>
  <si>
    <t>TrafficSchemePartCode_point</t>
  </si>
  <si>
    <t>TrafficSchemePartCode_precautionaryArea</t>
  </si>
  <si>
    <t>TrafficSchemePartCode_roundabout</t>
  </si>
  <si>
    <t>TrafficSchemePartCode_separationZone</t>
  </si>
  <si>
    <t>MarkerRadioBeaconClassCode_boneShapedFanMarker</t>
  </si>
  <si>
    <t>MarkerRadioBeaconClassCode_fanMarker</t>
  </si>
  <si>
    <t>MarkerRadioBeaconClassCode_lowPoweredFanMarker</t>
  </si>
  <si>
    <t>MarkerRadioBeaconClassCode_zMarker</t>
  </si>
  <si>
    <t>MarkerRadioBeaconTypeCode_backcourse</t>
  </si>
  <si>
    <t>MarkerRadioBeaconTypeCode_inner</t>
  </si>
  <si>
    <t>MarkerRadioBeaconTypeCode_middle</t>
  </si>
  <si>
    <t>MarkerRadioBeaconTypeCode_outer</t>
  </si>
  <si>
    <t>MedicalFacilityTypeCode_chemicalDependency</t>
  </si>
  <si>
    <t>MedicalFacilityTypeCode_chronicDisease</t>
  </si>
  <si>
    <t>MedicalFacilityTypeCode_eyeEarNoseThroat</t>
  </si>
  <si>
    <t>MedicalFacilityTypeCode_generalMedicalSurgical</t>
  </si>
  <si>
    <t>MedicalFacilityTypeCode_intellectDisablementCare</t>
  </si>
  <si>
    <t>MedicalFacilityTypeCode_longTermAcuteCare</t>
  </si>
  <si>
    <t>MedicalFacilityTypeCode_obstetricsGynecology</t>
  </si>
  <si>
    <t>MedicalFacilityTypeCode_orthopedics</t>
  </si>
  <si>
    <t>MedicalFacilityTypeCode_pedChronicDisease</t>
  </si>
  <si>
    <t>MedicalFacilityTypeCode_pedEyeEarNoseThroat</t>
  </si>
  <si>
    <t>MedicalFacilityTypeCode_pedMedicalSurgical</t>
  </si>
  <si>
    <t>MedicalFacilityTypeCode_pedOrthopedic</t>
  </si>
  <si>
    <t>MedicalFacilityTypeCode_pedPsychiatric</t>
  </si>
  <si>
    <t>MedicalFacilityTypeCode_pedRehabilitation</t>
  </si>
  <si>
    <t>MedicalFacilityTypeCode_pedRespiratoryDisease</t>
  </si>
  <si>
    <t>MedicalFacilityTypeCode_pedSpecialtyCare</t>
  </si>
  <si>
    <t>MedicalFacilityTypeCode_pedUnitWithinInstitution</t>
  </si>
  <si>
    <t>MedicalFacilityTypeCode_psychiatric</t>
  </si>
  <si>
    <t>MedicalFacilityTypeCode_rehabilitation</t>
  </si>
  <si>
    <t>MedicalFacilityTypeCode_respiratoryDisease</t>
  </si>
  <si>
    <t>MedicalFacilityTypeCode_specialtyCare</t>
  </si>
  <si>
    <t>MedicalFacilityTypeCode_unitWithinInstIntDisabled</t>
  </si>
  <si>
    <t>MedicalFacilityTypeCode_unitWithinInstitution</t>
  </si>
  <si>
    <t>MemorandumTypeCode_aeronauticalSON</t>
  </si>
  <si>
    <t>MemorandumTypeCode_general</t>
  </si>
  <si>
    <t>MemorandumTypeCode_geographicNaming</t>
  </si>
  <si>
    <t>MemorandumTypeCode_landSON</t>
  </si>
  <si>
    <t>MemorandumTypeCode_maritimeSON</t>
  </si>
  <si>
    <t>MlsChannelCode_chan500</t>
  </si>
  <si>
    <t>MlsChannelCode_chan501</t>
  </si>
  <si>
    <t>MlsChannelCode_chan502</t>
  </si>
  <si>
    <t>MlsChannelCode_chan503</t>
  </si>
  <si>
    <t>MlsChannelCode_chan504</t>
  </si>
  <si>
    <t>MlsChannelCode_chan505</t>
  </si>
  <si>
    <t>MlsChannelCode_chan506</t>
  </si>
  <si>
    <t>MlsChannelCode_chan507</t>
  </si>
  <si>
    <t>MlsChannelCode_chan508</t>
  </si>
  <si>
    <t>MlsChannelCode_chan509</t>
  </si>
  <si>
    <t>MlsChannelCode_chan510</t>
  </si>
  <si>
    <t>MlsChannelCode_chan511</t>
  </si>
  <si>
    <t>MlsChannelCode_chan512</t>
  </si>
  <si>
    <t>MlsChannelCode_chan513</t>
  </si>
  <si>
    <t>MlsChannelCode_chan514</t>
  </si>
  <si>
    <t>MlsChannelCode_chan515</t>
  </si>
  <si>
    <t>MlsChannelCode_chan516</t>
  </si>
  <si>
    <t>MlsChannelCode_chan517</t>
  </si>
  <si>
    <t>MlsChannelCode_chan518</t>
  </si>
  <si>
    <t>MlsChannelCode_chan519</t>
  </si>
  <si>
    <t>MlsChannelCode_chan520</t>
  </si>
  <si>
    <t>MlsChannelCode_chan521</t>
  </si>
  <si>
    <t>MlsChannelCode_chan522</t>
  </si>
  <si>
    <t>MlsChannelCode_chan523</t>
  </si>
  <si>
    <t>MlsChannelCode_chan524</t>
  </si>
  <si>
    <t>MlsChannelCode_chan525</t>
  </si>
  <si>
    <t>MlsChannelCode_chan526</t>
  </si>
  <si>
    <t>MlsChannelCode_chan527</t>
  </si>
  <si>
    <t>MlsChannelCode_chan528</t>
  </si>
  <si>
    <t>MlsChannelCode_chan529</t>
  </si>
  <si>
    <t>MlsChannelCode_chan530</t>
  </si>
  <si>
    <t>MlsChannelCode_chan531</t>
  </si>
  <si>
    <t>MlsChannelCode_chan532</t>
  </si>
  <si>
    <t>MlsChannelCode_chan533</t>
  </si>
  <si>
    <t>MlsChannelCode_chan534</t>
  </si>
  <si>
    <t>MlsChannelCode_chan535</t>
  </si>
  <si>
    <t>MlsChannelCode_chan536</t>
  </si>
  <si>
    <t>MlsChannelCode_chan537</t>
  </si>
  <si>
    <t>MlsChannelCode_chan538</t>
  </si>
  <si>
    <t>MlsChannelCode_chan539</t>
  </si>
  <si>
    <t>MlsChannelCode_chan540</t>
  </si>
  <si>
    <t>MlsChannelCode_chan541</t>
  </si>
  <si>
    <t>MlsChannelCode_chan542</t>
  </si>
  <si>
    <t>MlsChannelCode_chan543</t>
  </si>
  <si>
    <t>MlsChannelCode_chan544</t>
  </si>
  <si>
    <t>MlsChannelCode_chan545</t>
  </si>
  <si>
    <t>MlsChannelCode_chan546</t>
  </si>
  <si>
    <t>MlsChannelCode_chan547</t>
  </si>
  <si>
    <t>MlsChannelCode_chan548</t>
  </si>
  <si>
    <t>MlsChannelCode_chan549</t>
  </si>
  <si>
    <t>MlsChannelCode_chan550</t>
  </si>
  <si>
    <t>MlsChannelCode_chan551</t>
  </si>
  <si>
    <t>MlsChannelCode_chan552</t>
  </si>
  <si>
    <t>MlsChannelCode_chan553</t>
  </si>
  <si>
    <t>MlsChannelCode_chan554</t>
  </si>
  <si>
    <t>MlsChannelCode_chan555</t>
  </si>
  <si>
    <t>MlsChannelCode_chan556</t>
  </si>
  <si>
    <t>MlsChannelCode_chan557</t>
  </si>
  <si>
    <t>MlsChannelCode_chan558</t>
  </si>
  <si>
    <t>MlsChannelCode_chan559</t>
  </si>
  <si>
    <t>MlsChannelCode_chan560</t>
  </si>
  <si>
    <t>MlsChannelCode_chan561</t>
  </si>
  <si>
    <t>MlsChannelCode_chan562</t>
  </si>
  <si>
    <t>MlsChannelCode_chan563</t>
  </si>
  <si>
    <t>MlsChannelCode_chan564</t>
  </si>
  <si>
    <t>MlsChannelCode_chan565</t>
  </si>
  <si>
    <t>MlsChannelCode_chan566</t>
  </si>
  <si>
    <t>MlsChannelCode_chan567</t>
  </si>
  <si>
    <t>MlsChannelCode_chan568</t>
  </si>
  <si>
    <t>MlsChannelCode_chan569</t>
  </si>
  <si>
    <t>MlsChannelCode_chan570</t>
  </si>
  <si>
    <t>MlsChannelCode_chan571</t>
  </si>
  <si>
    <t>MlsChannelCode_chan572</t>
  </si>
  <si>
    <t>MlsChannelCode_chan573</t>
  </si>
  <si>
    <t>MlsChannelCode_chan574</t>
  </si>
  <si>
    <t>MlsChannelCode_chan575</t>
  </si>
  <si>
    <t>MlsChannelCode_chan576</t>
  </si>
  <si>
    <t>MlsChannelCode_chan577</t>
  </si>
  <si>
    <t>MlsChannelCode_chan578</t>
  </si>
  <si>
    <t>MlsChannelCode_chan579</t>
  </si>
  <si>
    <t>MlsChannelCode_chan580</t>
  </si>
  <si>
    <t>MlsChannelCode_chan581</t>
  </si>
  <si>
    <t>MlsChannelCode_chan582</t>
  </si>
  <si>
    <t>MlsChannelCode_chan583</t>
  </si>
  <si>
    <t>MlsChannelCode_chan584</t>
  </si>
  <si>
    <t>MlsChannelCode_chan585</t>
  </si>
  <si>
    <t>MlsChannelCode_chan586</t>
  </si>
  <si>
    <t>MlsChannelCode_chan587</t>
  </si>
  <si>
    <t>MlsChannelCode_chan588</t>
  </si>
  <si>
    <t>MlsChannelCode_chan589</t>
  </si>
  <si>
    <t>MlsChannelCode_chan590</t>
  </si>
  <si>
    <t>MlsChannelCode_chan591</t>
  </si>
  <si>
    <t>MlsChannelCode_chan592</t>
  </si>
  <si>
    <t>MlsChannelCode_chan593</t>
  </si>
  <si>
    <t>MlsChannelCode_chan594</t>
  </si>
  <si>
    <t>MlsChannelCode_chan595</t>
  </si>
  <si>
    <t>MlsChannelCode_chan596</t>
  </si>
  <si>
    <t>MlsChannelCode_chan597</t>
  </si>
  <si>
    <t>MlsChannelCode_chan598</t>
  </si>
  <si>
    <t>MlsChannelCode_chan599</t>
  </si>
  <si>
    <t>MlsChannelCode_chan600</t>
  </si>
  <si>
    <t>MlsChannelCode_chan601</t>
  </si>
  <si>
    <t>MlsChannelCode_chan602</t>
  </si>
  <si>
    <t>MlsChannelCode_chan603</t>
  </si>
  <si>
    <t>MlsChannelCode_chan604</t>
  </si>
  <si>
    <t>MlsChannelCode_chan605</t>
  </si>
  <si>
    <t>MlsChannelCode_chan606</t>
  </si>
  <si>
    <t>MlsChannelCode_chan607</t>
  </si>
  <si>
    <t>MlsChannelCode_chan608</t>
  </si>
  <si>
    <t>MlsChannelCode_chan609</t>
  </si>
  <si>
    <t>MlsChannelCode_chan610</t>
  </si>
  <si>
    <t>MlsChannelCode_chan611</t>
  </si>
  <si>
    <t>MlsChannelCode_chan612</t>
  </si>
  <si>
    <t>MlsChannelCode_chan613</t>
  </si>
  <si>
    <t>MlsChannelCode_chan614</t>
  </si>
  <si>
    <t>MlsChannelCode_chan615</t>
  </si>
  <si>
    <t>MlsChannelCode_chan616</t>
  </si>
  <si>
    <t>MlsChannelCode_chan617</t>
  </si>
  <si>
    <t>MlsChannelCode_chan618</t>
  </si>
  <si>
    <t>MlsChannelCode_chan619</t>
  </si>
  <si>
    <t>MlsChannelCode_chan620</t>
  </si>
  <si>
    <t>MlsChannelCode_chan621</t>
  </si>
  <si>
    <t>MlsChannelCode_chan622</t>
  </si>
  <si>
    <t>MlsChannelCode_chan623</t>
  </si>
  <si>
    <t>MlsChannelCode_chan624</t>
  </si>
  <si>
    <t>MlsChannelCode_chan625</t>
  </si>
  <si>
    <t>MlsChannelCode_chan626</t>
  </si>
  <si>
    <t>MlsChannelCode_chan627</t>
  </si>
  <si>
    <t>MlsChannelCode_chan628</t>
  </si>
  <si>
    <t>MlsChannelCode_chan629</t>
  </si>
  <si>
    <t>MlsChannelCode_chan630</t>
  </si>
  <si>
    <t>MlsChannelCode_chan631</t>
  </si>
  <si>
    <t>MlsChannelCode_chan632</t>
  </si>
  <si>
    <t>MlsChannelCode_chan633</t>
  </si>
  <si>
    <t>MlsChannelCode_chan634</t>
  </si>
  <si>
    <t>MlsChannelCode_chan635</t>
  </si>
  <si>
    <t>MlsChannelCode_chan636</t>
  </si>
  <si>
    <t>MlsChannelCode_chan637</t>
  </si>
  <si>
    <t>MlsChannelCode_chan638</t>
  </si>
  <si>
    <t>MlsChannelCode_chan639</t>
  </si>
  <si>
    <t>MlsChannelCode_chan640</t>
  </si>
  <si>
    <t>MlsChannelCode_chan641</t>
  </si>
  <si>
    <t>MlsChannelCode_chan642</t>
  </si>
  <si>
    <t>MlsChannelCode_chan643</t>
  </si>
  <si>
    <t>MlsChannelCode_chan644</t>
  </si>
  <si>
    <t>MlsChannelCode_chan645</t>
  </si>
  <si>
    <t>MlsChannelCode_chan646</t>
  </si>
  <si>
    <t>MlsChannelCode_chan647</t>
  </si>
  <si>
    <t>MlsChannelCode_chan648</t>
  </si>
  <si>
    <t>MlsChannelCode_chan649</t>
  </si>
  <si>
    <t>MlsChannelCode_chan650</t>
  </si>
  <si>
    <t>MlsChannelCode_chan651</t>
  </si>
  <si>
    <t>MlsChannelCode_chan652</t>
  </si>
  <si>
    <t>MlsChannelCode_chan653</t>
  </si>
  <si>
    <t>MlsChannelCode_chan654</t>
  </si>
  <si>
    <t>MlsChannelCode_chan655</t>
  </si>
  <si>
    <t>MlsChannelCode_chan656</t>
  </si>
  <si>
    <t>MlsChannelCode_chan657</t>
  </si>
  <si>
    <t>MlsChannelCode_chan658</t>
  </si>
  <si>
    <t>MlsChannelCode_chan659</t>
  </si>
  <si>
    <t>MlsChannelCode_chan660</t>
  </si>
  <si>
    <t>MlsChannelCode_chan661</t>
  </si>
  <si>
    <t>MlsChannelCode_chan662</t>
  </si>
  <si>
    <t>MlsChannelCode_chan663</t>
  </si>
  <si>
    <t>MlsChannelCode_chan664</t>
  </si>
  <si>
    <t>MlsChannelCode_chan665</t>
  </si>
  <si>
    <t>MlsChannelCode_chan666</t>
  </si>
  <si>
    <t>MlsChannelCode_chan667</t>
  </si>
  <si>
    <t>MlsChannelCode_chan668</t>
  </si>
  <si>
    <t>MlsChannelCode_chan669</t>
  </si>
  <si>
    <t>MlsChannelCode_chan670</t>
  </si>
  <si>
    <t>MlsChannelCode_chan671</t>
  </si>
  <si>
    <t>MlsChannelCode_chan672</t>
  </si>
  <si>
    <t>MlsChannelCode_chan673</t>
  </si>
  <si>
    <t>MlsChannelCode_chan674</t>
  </si>
  <si>
    <t>MlsChannelCode_chan675</t>
  </si>
  <si>
    <t>MlsChannelCode_chan676</t>
  </si>
  <si>
    <t>MlsChannelCode_chan677</t>
  </si>
  <si>
    <t>MlsChannelCode_chan678</t>
  </si>
  <si>
    <t>MlsChannelCode_chan679</t>
  </si>
  <si>
    <t>MlsChannelCode_chan680</t>
  </si>
  <si>
    <t>MlsChannelCode_chan681</t>
  </si>
  <si>
    <t>MlsChannelCode_chan682</t>
  </si>
  <si>
    <t>MlsChannelCode_chan683</t>
  </si>
  <si>
    <t>MlsChannelCode_chan684</t>
  </si>
  <si>
    <t>MlsChannelCode_chan685</t>
  </si>
  <si>
    <t>MlsChannelCode_chan686</t>
  </si>
  <si>
    <t>MlsChannelCode_chan687</t>
  </si>
  <si>
    <t>MlsChannelCode_chan688</t>
  </si>
  <si>
    <t>MlsChannelCode_chan689</t>
  </si>
  <si>
    <t>MlsChannelCode_chan690</t>
  </si>
  <si>
    <t>MlsChannelCode_chan691</t>
  </si>
  <si>
    <t>MlsChannelCode_chan692</t>
  </si>
  <si>
    <t>MlsChannelCode_chan693</t>
  </si>
  <si>
    <t>MlsChannelCode_chan694</t>
  </si>
  <si>
    <t>MlsChannelCode_chan695</t>
  </si>
  <si>
    <t>MlsChannelCode_chan696</t>
  </si>
  <si>
    <t>MlsChannelCode_chan697</t>
  </si>
  <si>
    <t>MlsChannelCode_chan698</t>
  </si>
  <si>
    <t>MlsChannelCode_chan699</t>
  </si>
  <si>
    <t>MlsUnitAssociationTypeCode_approach</t>
  </si>
  <si>
    <t>MlsUnitAssociationTypeCode_back</t>
  </si>
  <si>
    <t>MilitaryRouteUseCode_nightLowFlying</t>
  </si>
  <si>
    <t>MilitaryRouteUseCode_training</t>
  </si>
  <si>
    <t>MilitaryRouteUseCode_trunk</t>
  </si>
  <si>
    <t>MilitaryServiceBranchCode_airForce</t>
  </si>
  <si>
    <t>MilitaryServiceBranchCode_airNationalGuard</t>
  </si>
  <si>
    <t>MilitaryServiceBranchCode_army</t>
  </si>
  <si>
    <t>MilitaryServiceBranchCode_armyNationalGuard</t>
  </si>
  <si>
    <t>MilitaryServiceBranchCode_coastguard</t>
  </si>
  <si>
    <t>MilitaryServiceBranchCode_joint</t>
  </si>
  <si>
    <t>MilitaryServiceBranchCode_marines</t>
  </si>
  <si>
    <t>MilitaryServiceBranchCode_navy</t>
  </si>
  <si>
    <t>MineAcousticSensitivityCode_audioRange</t>
  </si>
  <si>
    <t>MineAcousticSensitivityCode_high</t>
  </si>
  <si>
    <t>MineAcousticSensitivityCode_low</t>
  </si>
  <si>
    <t>MineAcousticSensitivityCode_multipleRange</t>
  </si>
  <si>
    <t>MineAllegianceCode_friend</t>
  </si>
  <si>
    <t>MineAllegianceCode_hostile</t>
  </si>
  <si>
    <t>MineAllegianceCode_neutral</t>
  </si>
  <si>
    <t>MineAntiHuntingCapabCode_acousticImpedance</t>
  </si>
  <si>
    <t>MineAntiHuntingCapabCode_acousticTransparency</t>
  </si>
  <si>
    <t>MineAntiHuntingCapabCode_anechoicCoating</t>
  </si>
  <si>
    <t>MineAntiHuntingCapabCode_automaticMineBurial</t>
  </si>
  <si>
    <t>MineAntiHuntingCapabCode_irregularShaping</t>
  </si>
  <si>
    <t>MineAntiHuntingCapabCode_nonMetallicCase</t>
  </si>
  <si>
    <t>MineAntiHuntingCapabCode_sonarDecoys</t>
  </si>
  <si>
    <t>MineAntiRecoveryCapabCode_antiRecoverySwitch</t>
  </si>
  <si>
    <t>MineAntiRecoveryCapabCode_antiWatchingDevice</t>
  </si>
  <si>
    <t>MineAntiRecoveryCapabCode_flooder</t>
  </si>
  <si>
    <t>MineAntiRecoveryCapabCode_mooringLeverSafetyCutOut</t>
  </si>
  <si>
    <t>MineAntiRecoveryCapabCode_steriliser</t>
  </si>
  <si>
    <t>MineAntiRecoveryCapabCode_strippingPreventEquipment</t>
  </si>
  <si>
    <t>MineAntiSweepWireCapabCode_chainMooring</t>
  </si>
  <si>
    <t>MineAntiSweepWireCapabCode_cutter</t>
  </si>
  <si>
    <t>MineAntiSweepWireCapabCode_grapnel</t>
  </si>
  <si>
    <t>MineAntiSweepWireCapabCode_sensitiveTubing</t>
  </si>
  <si>
    <t>MineAntiSweepWireCapabCode_sprocket</t>
  </si>
  <si>
    <t>MineAutonomyTypeCode_controlled</t>
  </si>
  <si>
    <t>MineAutonomyTypeCode_selfActuated</t>
  </si>
  <si>
    <t>MineCablelessControlCode_alternatCurrentCommsLink</t>
  </si>
  <si>
    <t>MineCablelessControlCode_explicitCommsLink</t>
  </si>
  <si>
    <t>MineCablelessControlCode_frequencyCommsLink</t>
  </si>
  <si>
    <t>MineControlMethodCode_cable</t>
  </si>
  <si>
    <t>MineControlMethodCode_cableless</t>
  </si>
  <si>
    <t>MineMagneticSensitivityCode_coarse</t>
  </si>
  <si>
    <t>MineMagneticSensitivityCode_magHorizontalComp</t>
  </si>
  <si>
    <t>MineMagneticSensitivityCode_magTotalComp</t>
  </si>
  <si>
    <t>MineMagneticSensitivityCode_magVerticalComp</t>
  </si>
  <si>
    <t>MineMagneticSensitivityCode_midSensitive</t>
  </si>
  <si>
    <t>MineMagneticSensitivityCode_sensitive</t>
  </si>
  <si>
    <t>MineMagneticSensitivityCode_verySensitive</t>
  </si>
  <si>
    <t>MineSelfActuationMethodCode_contact</t>
  </si>
  <si>
    <t>MineSelfActuationMethodCode_influence</t>
  </si>
  <si>
    <t>MineSelfActuationMethodCode_remoteSensing</t>
  </si>
  <si>
    <t>MineSpecialCapabilityCode_anticountermining</t>
  </si>
  <si>
    <t>MineSpecialCapabilityCode_antiHunting</t>
  </si>
  <si>
    <t>MineSpecialCapabilityCode_antilift</t>
  </si>
  <si>
    <t>MineSpecialCapabilityCode_antiRecovery</t>
  </si>
  <si>
    <t>MineSpecialCapabilityCode_antiSweepWire</t>
  </si>
  <si>
    <t>MineSpecialCapabilityCode_antiwatching</t>
  </si>
  <si>
    <t>MineSpecialCapabilityCode_armingDelay</t>
  </si>
  <si>
    <t>MineSpecialCapabilityCode_delayedRising</t>
  </si>
  <si>
    <t>MineSpecialCapabilityCode_flooder</t>
  </si>
  <si>
    <t>MineSpecialCapabilityCode_influenceReleaseSinker</t>
  </si>
  <si>
    <t>MineSpecialCapabilityCode_intermittentArming</t>
  </si>
  <si>
    <t>MineSpecialCapabilityCode_obstructor</t>
  </si>
  <si>
    <t>MineSpecialCapabilityCode_sterilizer</t>
  </si>
  <si>
    <t>MineSpecialCapabilityCode_vesselCount</t>
  </si>
  <si>
    <t>MinehuntingStatusCode_classified</t>
  </si>
  <si>
    <t>MinehuntingStatusCode_detected</t>
  </si>
  <si>
    <t>MinehuntingStatusCode_identified</t>
  </si>
  <si>
    <t>MissileSiteTypeCode_antiBallisticMissile</t>
  </si>
  <si>
    <t>MissileSiteTypeCode_intercontBallisticMissile</t>
  </si>
  <si>
    <t>MissileSiteTypeCode_intermedBallisticMissile</t>
  </si>
  <si>
    <t>MissileSiteTypeCode_medRangeBallisticMissile</t>
  </si>
  <si>
    <t>MissileSiteTypeCode_sa10Grumble</t>
  </si>
  <si>
    <t>MissileSiteTypeCode_sa11Gadfly</t>
  </si>
  <si>
    <t>MissileSiteTypeCode_sa12GladiatorGiant</t>
  </si>
  <si>
    <t>MissileSiteTypeCode_sa13Gopher</t>
  </si>
  <si>
    <t>MissileSiteTypeCode_sa14Gremlin</t>
  </si>
  <si>
    <t>MissileSiteTypeCode_sa15Gauntlet</t>
  </si>
  <si>
    <t>MissileSiteTypeCode_sa16Gimlet</t>
  </si>
  <si>
    <t>MissileSiteTypeCode_sa17Grizzly</t>
  </si>
  <si>
    <t>MissileSiteTypeCode_sa18Grouse</t>
  </si>
  <si>
    <t>MissileSiteTypeCode_sa19Grisom</t>
  </si>
  <si>
    <t>MissileSiteTypeCode_sa1Guild</t>
  </si>
  <si>
    <t>MissileSiteTypeCode_sa2Guideline</t>
  </si>
  <si>
    <t>MissileSiteTypeCode_sa3Goa</t>
  </si>
  <si>
    <t>MissileSiteTypeCode_sa4Ganef</t>
  </si>
  <si>
    <t>MissileSiteTypeCode_sa5Gammon</t>
  </si>
  <si>
    <t>MissileSiteTypeCode_sa6Gainful</t>
  </si>
  <si>
    <t>MissileSiteTypeCode_sa7Grail</t>
  </si>
  <si>
    <t>MissileSiteTypeCode_sa8Gecko</t>
  </si>
  <si>
    <t>MissileSiteTypeCode_sa9Gaskin</t>
  </si>
  <si>
    <t>MissileSiteTypeCode_surfaceToAirMissile</t>
  </si>
  <si>
    <t>MissileSiteTypeCode_surfaceToSurfaceMissile</t>
  </si>
  <si>
    <t>ModifiedMercalliIntensityCode_catastrophic_XII</t>
  </si>
  <si>
    <t>ModifiedMercalliIntensityCode_destructive_VIII</t>
  </si>
  <si>
    <t>ModifiedMercalliIntensityCode_disastrous_X</t>
  </si>
  <si>
    <t>ModifiedMercalliIntensityCode_feeble_II</t>
  </si>
  <si>
    <t>ModifiedMercalliIntensityCode_instrumental_I</t>
  </si>
  <si>
    <t>ModifiedMercalliIntensityCode_moderate_IV</t>
  </si>
  <si>
    <t>ModifiedMercalliIntensityCode_ratherStrong_V</t>
  </si>
  <si>
    <t>ModifiedMercalliIntensityCode_ruinous_IX</t>
  </si>
  <si>
    <t>ModifiedMercalliIntensityCode_slight_III</t>
  </si>
  <si>
    <t>ModifiedMercalliIntensityCode_strong_VI</t>
  </si>
  <si>
    <t>ModifiedMercalliIntensityCode_veryDisastrous_XI</t>
  </si>
  <si>
    <t>ModifiedMercalliIntensityCode_veryStrong_VII</t>
  </si>
  <si>
    <t xml:space="preserve">MonitoringMethodCode_automated    </t>
  </si>
  <si>
    <t>MonitoringMethodCode_staffed</t>
  </si>
  <si>
    <t>MooringWarpingFacTypeCode_deviationDolphin</t>
  </si>
  <si>
    <t>MooringWarpingFacTypeCode_dolphin</t>
  </si>
  <si>
    <t>MooringWarpingFacTypeCode_mooringBuoy</t>
  </si>
  <si>
    <t>MooringWarpingFacTypeCode_warpingBuoy</t>
  </si>
  <si>
    <t>MooringTypeCode_buoyMooring</t>
  </si>
  <si>
    <t>MooringTypeCode_foreAndAftMooring</t>
  </si>
  <si>
    <t>MooringTypeCode_islandMooring</t>
  </si>
  <si>
    <t>MooringTypeCode_swingMooring</t>
  </si>
  <si>
    <t>MooringTypeCode_trotMooring</t>
  </si>
  <si>
    <t>NamedLocationTypeCode_arcticLand</t>
  </si>
  <si>
    <t>NamedLocationTypeCode_area</t>
  </si>
  <si>
    <t>NamedLocationTypeCode_locality</t>
  </si>
  <si>
    <t>NamedLocationTypeCode_populatedLocality</t>
  </si>
  <si>
    <t>NamedLocationTypeCode_region</t>
  </si>
  <si>
    <t>NationalMonIconCategoryCode_locallySignificant</t>
  </si>
  <si>
    <t>NationalMonIconCategoryCode_nationallyCritical</t>
  </si>
  <si>
    <t>NationalMonIconCategoryCode_nationallySignificant</t>
  </si>
  <si>
    <t>NationalMonIconCategoryCode_regionallyCritical</t>
  </si>
  <si>
    <t>NaturalPoolTypeCode_resurgence</t>
  </si>
  <si>
    <t>NaturalPoolTypeCode_spring</t>
  </si>
  <si>
    <t>NaturalPoolTypeCode_walledInSpring</t>
  </si>
  <si>
    <t>NavaidClassCode_highAltitudeService</t>
  </si>
  <si>
    <t>NavaidClassCode_highPowerNdb</t>
  </si>
  <si>
    <t>NavaidClassCode_lowAltitudeService</t>
  </si>
  <si>
    <t>NavaidClassCode_lowPowerCompassLocator</t>
  </si>
  <si>
    <t>NavaidClassCode_lowPowerNdb</t>
  </si>
  <si>
    <t>NavaidClassCode_mediumPowerNdb</t>
  </si>
  <si>
    <t>NavaidClassCode_terminalAreaService</t>
  </si>
  <si>
    <t>NavalFiringPracticeTypeCode_abandNavalTrainMinefield</t>
  </si>
  <si>
    <t>NavalFiringPracticeTypeCode_bombingStrafingTargetsArea</t>
  </si>
  <si>
    <t>NavalFiringPracticeTypeCode_firingDangerArea</t>
  </si>
  <si>
    <t>NavalFiringPracticeTypeCode_inwaterTrackingRange</t>
  </si>
  <si>
    <t>NavalFiringPracticeTypeCode_mineLayingPracticeArea</t>
  </si>
  <si>
    <t>NavalFiringPracticeTypeCode_missileFiringPracticeArea</t>
  </si>
  <si>
    <t>NavalFiringPracticeTypeCode_navalImpactArea</t>
  </si>
  <si>
    <t>NavalFiringPracticeTypeCode_navalTrainingMinefield</t>
  </si>
  <si>
    <t>NavalFiringPracticeTypeCode_torpedoPracticeArea</t>
  </si>
  <si>
    <t>NavalFiringPracticeTypeCode_weaponsRange</t>
  </si>
  <si>
    <t>MineTacticalUseCode_antiHovercraft</t>
  </si>
  <si>
    <t>MineTacticalUseCode_antiHunter</t>
  </si>
  <si>
    <t>MineTacticalUseCode_antiMcmVessel</t>
  </si>
  <si>
    <t>MineTacticalUseCode_antiSurfaceEffectVehicle</t>
  </si>
  <si>
    <t>MineTacticalUseCode_antiSweeper</t>
  </si>
  <si>
    <t>MineTacticalUseCode_drill</t>
  </si>
  <si>
    <t>MineTacticalUseCode_exercise</t>
  </si>
  <si>
    <t>MineTacticalUseCode_exerciseFilled</t>
  </si>
  <si>
    <t>MineTacticalUseCode_minehuntingSonarDecoy</t>
  </si>
  <si>
    <t>MineTacticalUseCode_practice</t>
  </si>
  <si>
    <t>NavalMinePositioningCode_antiInvasionMoored</t>
  </si>
  <si>
    <t>NavalMinePositioningCode_antiSubmarineDeep</t>
  </si>
  <si>
    <t>NavalMinePositioningCode_bouquet</t>
  </si>
  <si>
    <t>NavalMinePositioningCode_buoyantRising</t>
  </si>
  <si>
    <t>NavalMinePositioningCode_closeTethered</t>
  </si>
  <si>
    <t>NavalMinePositioningCode_closeTetheredRising</t>
  </si>
  <si>
    <t>NavalMinePositioningCode_creeping</t>
  </si>
  <si>
    <t>NavalMinePositioningCode_drifting</t>
  </si>
  <si>
    <t>NavalMinePositioningCode_floating</t>
  </si>
  <si>
    <t>NavalMinePositioningCode_free</t>
  </si>
  <si>
    <t>NavalMinePositioningCode_ground</t>
  </si>
  <si>
    <t>NavalMinePositioningCode_moored</t>
  </si>
  <si>
    <t>NavalMinePositioningCode_oscillating</t>
  </si>
  <si>
    <t>NavalMinePositioningCode_rising</t>
  </si>
  <si>
    <t>NavalMinePositioningCode_rocketPropelledRising</t>
  </si>
  <si>
    <t>NavalMinePositioningCode_watching</t>
  </si>
  <si>
    <t>NavalOperationsTypeCode_acronymAreaPurple</t>
  </si>
  <si>
    <t>NavalOperationsTypeCode_alcantGrid</t>
  </si>
  <si>
    <t>NavalOperationsTypeCode_areaFoxtrot</t>
  </si>
  <si>
    <t>NavalOperationsTypeCode_aswOperatingArea</t>
  </si>
  <si>
    <t>NavalOperationsTypeCode_diveTrainingArea</t>
  </si>
  <si>
    <t>NavalOperationsTypeCode_fastPatrolBoatPosition</t>
  </si>
  <si>
    <t>NavalOperationsTypeCode_foracsVLimit</t>
  </si>
  <si>
    <t>NavalOperationsTypeCode_jenoaGrid</t>
  </si>
  <si>
    <t>NavalOperationsTypeCode_lcacArea</t>
  </si>
  <si>
    <t>NavalOperationsTypeCode_majorNavalOperatingArea</t>
  </si>
  <si>
    <t>NavalOperationsTypeCode_mineSweptRegion</t>
  </si>
  <si>
    <t>NavalOperationsTypeCode_minorNavalOperatingArea</t>
  </si>
  <si>
    <t>NavalOperationsTypeCode_namedOperatingArea</t>
  </si>
  <si>
    <t>NavalOperationsTypeCode_navalMinefield</t>
  </si>
  <si>
    <t>NavalOperationsTypeCode_navalNotificationArea</t>
  </si>
  <si>
    <t>NavalOperationsTypeCode_navalSafeBottomingArea</t>
  </si>
  <si>
    <t>NavalOperationsTypeCode_navalSeaDefenceArea</t>
  </si>
  <si>
    <t>NavalOperationsTypeCode_navalVesselTesting</t>
  </si>
  <si>
    <t>NavalOperationsTypeCode_rendezvousLocation</t>
  </si>
  <si>
    <t>NavalOperationsTypeCode_submarineExerciseArea</t>
  </si>
  <si>
    <t>NavalOperationsTypeCode_submarineOperatingArea</t>
  </si>
  <si>
    <t>NavalOperationsTypeCode_submarineStovepipe</t>
  </si>
  <si>
    <t>NavalOperationsTypeCode_submarineTransitLaneSub</t>
  </si>
  <si>
    <t>NavalOperationsTypeCode_submarineTransitLaneSurf</t>
  </si>
  <si>
    <t>NavalOperationsTypeCode_surfaceFreeLane</t>
  </si>
  <si>
    <t>NavalOperationsTypeCode_surfaceShipSafetyLane</t>
  </si>
  <si>
    <t>NavalOperationsTypeCode_underwaterTelephoneTest</t>
  </si>
  <si>
    <t>NavigabilityInformationCode_navigable</t>
  </si>
  <si>
    <t>NavigabilityInformationCode_navigableAndOperational</t>
  </si>
  <si>
    <t>NavigabilityInformationCode_navigableButAbandoned</t>
  </si>
  <si>
    <t>NavigabilityInformationCode_navigablePeriodicRestrict</t>
  </si>
  <si>
    <t>NavigabilityInformationCode_notNavigable</t>
  </si>
  <si>
    <t>NavigationLightCharacterCode_alternating</t>
  </si>
  <si>
    <t>NavigationLightCharacterCode_fixed</t>
  </si>
  <si>
    <t>NavigationLightCharacterCode_fixedAndFlashing</t>
  </si>
  <si>
    <t>NavigationLightCharacterCode_fixedLongFlashing</t>
  </si>
  <si>
    <t>NavigationLightCharacterCode_fixedWithAlternatingFlash</t>
  </si>
  <si>
    <t>NavigationLightCharacterCode_flashing</t>
  </si>
  <si>
    <t>NavigationLightCharacterCode_flashingAlternating</t>
  </si>
  <si>
    <t>NavigationLightCharacterCode_flashingWithLongFlash</t>
  </si>
  <si>
    <t>NavigationLightCharacterCode_groupQuickFlashing</t>
  </si>
  <si>
    <t>NavigationLightCharacterCode_groupVeryQuickFlashing</t>
  </si>
  <si>
    <t>NavigationLightCharacterCode_interruptedQuickFlash</t>
  </si>
  <si>
    <t>NavigationLightCharacterCode_interruptedUltraQuickFlash</t>
  </si>
  <si>
    <t>NavigationLightCharacterCode_interruptedVeryQuickFlash</t>
  </si>
  <si>
    <t>NavigationLightCharacterCode_isophase</t>
  </si>
  <si>
    <t>NavigationLightCharacterCode_longFlashing</t>
  </si>
  <si>
    <t>NavigationLightCharacterCode_longFlashingAlternating</t>
  </si>
  <si>
    <t>NavigationLightCharacterCode_morseCode</t>
  </si>
  <si>
    <t>NavigationLightCharacterCode_occulting</t>
  </si>
  <si>
    <t>NavigationLightCharacterCode_occultingAlternating</t>
  </si>
  <si>
    <t>NavigationLightCharacterCode_occultingFlashing</t>
  </si>
  <si>
    <t>NavigationLightCharacterCode_quickFlashing</t>
  </si>
  <si>
    <t>NavigationLightCharacterCode_quickFlashingWithLongFlash</t>
  </si>
  <si>
    <t>NavigationLightCharacterCode_ultraQuickFlashing</t>
  </si>
  <si>
    <t>NavigationLightCharacterCode_ultraQuickFlashLongFlash</t>
  </si>
  <si>
    <t>NavigationLightCharacterCode_veryQuickFlashing</t>
  </si>
  <si>
    <t>NavigationLightCharacterCode_veryQuickFlashLongFlash</t>
  </si>
  <si>
    <t>NavigationMarkColourCode_amber</t>
  </si>
  <si>
    <t>NavigationMarkColourCode_black</t>
  </si>
  <si>
    <t>NavigationMarkColourCode_blue</t>
  </si>
  <si>
    <t>NavigationMarkColourCode_brown</t>
  </si>
  <si>
    <t>NavigationMarkColourCode_green</t>
  </si>
  <si>
    <t>NavigationMarkColourCode_grey</t>
  </si>
  <si>
    <t>NavigationMarkColourCode_magenta</t>
  </si>
  <si>
    <t>NavigationMarkColourCode_orange</t>
  </si>
  <si>
    <t>NavigationMarkColourCode_pink</t>
  </si>
  <si>
    <t>NavigationMarkColourCode_red</t>
  </si>
  <si>
    <t>NavigationMarkColourCode_violet</t>
  </si>
  <si>
    <t>NavigationMarkColourCode_white</t>
  </si>
  <si>
    <t>NavigationMarkColourCode_yellow</t>
  </si>
  <si>
    <t>NavServiceCheckpointTypeCode_distanceMeasuringEquipment</t>
  </si>
  <si>
    <t>NavServiceCheckpointTypeCode_globalNavSatelliteSystem</t>
  </si>
  <si>
    <t>NavServiceCheckpointTypeCode_inertialNavSystemInitPoint</t>
  </si>
  <si>
    <t>NavServiceCheckpointTypeCode_nonDirectionalBeacon</t>
  </si>
  <si>
    <t>NavServiceCheckpointTypeCode_tacticalAirNavAidBeacon</t>
  </si>
  <si>
    <t>NavServiceCheckpointTypeCode_vhfOmniRadioBeacon</t>
  </si>
  <si>
    <t>NavigationSystemTypeCode_airportSurveillanceRadar</t>
  </si>
  <si>
    <t>NavigationSystemTypeCode_distMeasEquip</t>
  </si>
  <si>
    <t>NavigationSystemTypeCode_fanMarker</t>
  </si>
  <si>
    <t>NavigationSystemTypeCode_glideSlope</t>
  </si>
  <si>
    <t>NavigationSystemTypeCode_ilsGlideSlopeDistMeasEq</t>
  </si>
  <si>
    <t>NavigationSystemTypeCode_innerMarker</t>
  </si>
  <si>
    <t>NavigationSystemTypeCode_instLandSysDistMeasEquip</t>
  </si>
  <si>
    <t>NavigationSystemTypeCode_instrumentLandingSystem</t>
  </si>
  <si>
    <t>NavigationSystemTypeCode_localizer</t>
  </si>
  <si>
    <t>NavigationSystemTypeCode_localizerBackCourseMarker</t>
  </si>
  <si>
    <t>NavigationSystemTypeCode_localizerDistMeasEquip</t>
  </si>
  <si>
    <t>NavigationSystemTypeCode_locatorMiddleMarker</t>
  </si>
  <si>
    <t>NavigationSystemTypeCode_locatorOuterMarker</t>
  </si>
  <si>
    <t>NavigationSystemTypeCode_loran</t>
  </si>
  <si>
    <t>NavigationSystemTypeCode_markerRadioBeacon</t>
  </si>
  <si>
    <t>NavigationSystemTypeCode_microwaveLandingSysAzimuth</t>
  </si>
  <si>
    <t>NavigationSystemTypeCode_microwaveLandingSysElev</t>
  </si>
  <si>
    <t>NavigationSystemTypeCode_microwaveLandingSystem</t>
  </si>
  <si>
    <t>NavigationSystemTypeCode_middleMarker</t>
  </si>
  <si>
    <t>NavigationSystemTypeCode_nonDirRadioBeacon</t>
  </si>
  <si>
    <t>NavigationSystemTypeCode_nonDirRadioBeaDistMeasEq</t>
  </si>
  <si>
    <t>NavigationSystemTypeCode_outerMarker</t>
  </si>
  <si>
    <t>NavigationSystemTypeCode_parTouchdownReflector</t>
  </si>
  <si>
    <t>NavigationSystemTypeCode_precisionApproachRadar</t>
  </si>
  <si>
    <t>NavigationSystemTypeCode_radar</t>
  </si>
  <si>
    <t>NavigationSystemTypeCode_radarAntenna</t>
  </si>
  <si>
    <t>NavigationSystemTypeCode_radiobeaconTypeUnknown</t>
  </si>
  <si>
    <t>NavigationSystemTypeCode_simplifiedDirectFacility</t>
  </si>
  <si>
    <t>NavigationSystemTypeCode_tacticalAirNavigationAid</t>
  </si>
  <si>
    <t>NavigationSystemTypeCode_vhfOmniBeacDistMeasEq</t>
  </si>
  <si>
    <t>NavigationSystemTypeCode_vhfOmniBeacTacAirNav</t>
  </si>
  <si>
    <t>NavigationSystemTypeCode_vhfOmniRadioBeacon</t>
  </si>
  <si>
    <t>NomadicSeasonalLocationCode_autumn</t>
  </si>
  <si>
    <t>NomadicSeasonalLocationCode_spring</t>
  </si>
  <si>
    <t>NomadicSeasonalLocationCode_summer</t>
  </si>
  <si>
    <t>NomadicSeasonalLocationCode_winter</t>
  </si>
  <si>
    <t>NonBuildingStructTypeCode_amusementParkAttraction</t>
  </si>
  <si>
    <t>NonBuildingStructTypeCode_arcade</t>
  </si>
  <si>
    <t>NonBuildingStructTypeCode_bandshell</t>
  </si>
  <si>
    <t>NonBuildingStructTypeCode_blastBarrier</t>
  </si>
  <si>
    <t>NonBuildingStructTypeCode_blastFurnace</t>
  </si>
  <si>
    <t>NonBuildingStructTypeCode_bucketElevator</t>
  </si>
  <si>
    <t>NonBuildingStructTypeCode_catalyticCracker</t>
  </si>
  <si>
    <t>NonBuildingStructTypeCode_cistern</t>
  </si>
  <si>
    <t>NonBuildingStructTypeCode_conveyor</t>
  </si>
  <si>
    <t>NonBuildingStructTypeCode_coolingTower</t>
  </si>
  <si>
    <t>NonBuildingStructTypeCode_crane</t>
  </si>
  <si>
    <t>NonBuildingStructTypeCode_displaySign</t>
  </si>
  <si>
    <t>NonBuildingStructTypeCode_engineTestCell</t>
  </si>
  <si>
    <t>NonBuildingStructTypeCode_excavatingMachine</t>
  </si>
  <si>
    <t>NonBuildingStructTypeCode_flarePipe</t>
  </si>
  <si>
    <t>NonBuildingStructTypeCode_gantry</t>
  </si>
  <si>
    <t>NonBuildingStructTypeCode_grainElevator</t>
  </si>
  <si>
    <t>NonBuildingStructTypeCode_grainStorageStructure</t>
  </si>
  <si>
    <t>NonBuildingStructTypeCode_grandstand</t>
  </si>
  <si>
    <t>NonBuildingStructTypeCode_hopper</t>
  </si>
  <si>
    <t>NonBuildingStructTypeCode_industrialFurnace</t>
  </si>
  <si>
    <t>NonBuildingStructTypeCode_lightSupportStructure</t>
  </si>
  <si>
    <t>NonBuildingStructTypeCode_memorialMonument</t>
  </si>
  <si>
    <t>NonBuildingStructTypeCode_mineShaftSuperstructure</t>
  </si>
  <si>
    <t>NonBuildingStructTypeCode_mooringMast</t>
  </si>
  <si>
    <t>NonBuildingStructTypeCode_nuclearReactorContainment</t>
  </si>
  <si>
    <t>NonBuildingStructTypeCode_offshoreConstruction</t>
  </si>
  <si>
    <t>NonBuildingStructTypeCode_outdoorTheatreScreen</t>
  </si>
  <si>
    <t>NonBuildingStructTypeCode_pylon</t>
  </si>
  <si>
    <t>NonBuildingStructTypeCode_rig</t>
  </si>
  <si>
    <t>NonBuildingStructTypeCode_shippingContainer</t>
  </si>
  <si>
    <t>NonBuildingStructTypeCode_skiJump</t>
  </si>
  <si>
    <t>NonBuildingStructTypeCode_smokestack</t>
  </si>
  <si>
    <t>NonBuildingStructTypeCode_sportsStadium</t>
  </si>
  <si>
    <t>NonBuildingStructTypeCode_storageTank</t>
  </si>
  <si>
    <t>NonBuildingStructTypeCode_tomb</t>
  </si>
  <si>
    <t>NonBuildingStructTypeCode_tower</t>
  </si>
  <si>
    <t>NonBuildingStructTypeCode_vesselLift</t>
  </si>
  <si>
    <t>NonBuildingStructTypeCode_waterIntakeTower</t>
  </si>
  <si>
    <t>NonBuildingStructTypeCode_waterTower</t>
  </si>
  <si>
    <t>NonBuildingStructTypeCode_windmill</t>
  </si>
  <si>
    <t>NonBuildingStructTypeCode_windTurbine</t>
  </si>
  <si>
    <t>NonSubContactReportAgTypeCode_actionReport</t>
  </si>
  <si>
    <t>NonSubContactReportAgTypeCode_casualtyReport</t>
  </si>
  <si>
    <t>NonSubContactReportAgTypeCode_chart</t>
  </si>
  <si>
    <t>NonSubContactReportAgTypeCode_chartRecords</t>
  </si>
  <si>
    <t>NonSubContactReportAgTypeCode_coastGuardRecords</t>
  </si>
  <si>
    <t>NonSubContactReportAgTypeCode_hydroAdmiraltyOffice</t>
  </si>
  <si>
    <t>NonSubContactReportAgTypeCode_madReport</t>
  </si>
  <si>
    <t>NonSubContactReportAgTypeCode_minesweeper</t>
  </si>
  <si>
    <t>NonSubContactReportAgTypeCode_northSeaFishingCharts</t>
  </si>
  <si>
    <t>NonSubContactReportAgTypeCode_noticeToMariners</t>
  </si>
  <si>
    <t>NonSubContactReportAgTypeCode_photographReport</t>
  </si>
  <si>
    <t>NonSubContactReportAgTypeCode_positionAccurateFieldCheck</t>
  </si>
  <si>
    <t>NonSubContactReportAgTypeCode_salvageReport</t>
  </si>
  <si>
    <t>NonSubContactReportAgTypeCode_sonarReport</t>
  </si>
  <si>
    <t>NonSubContactReportAgTypeCode_survey</t>
  </si>
  <si>
    <t>NonSubContactReportAgTypeCode_survivorReport</t>
  </si>
  <si>
    <t>NonSubContactReportAgTypeCode_undiffSonarOrMadReport</t>
  </si>
  <si>
    <t>NonSubContactReportAgTypeCode_usCoastGeodOceanServReport</t>
  </si>
  <si>
    <t>NonSubContactReportAgTypeCode_usNavalHeadCommandsReport</t>
  </si>
  <si>
    <t>NonSubContactReportAgTypeCode_wreckList</t>
  </si>
  <si>
    <t>NorthReferenceTypeCode_gridNorth</t>
  </si>
  <si>
    <t>NorthReferenceTypeCode_magneticNorth</t>
  </si>
  <si>
    <t>NorthReferenceTypeCode_trueNorth</t>
  </si>
  <si>
    <t>ObjectExistCertaintyCatCode_high</t>
  </si>
  <si>
    <t>ObjectExistCertaintyCatCode_low</t>
  </si>
  <si>
    <t>ObjectExistCertaintyCatCode_medium</t>
  </si>
  <si>
    <t>OceanFrontIndicatorCode_debrisLine</t>
  </si>
  <si>
    <t>OceanFrontIndicatorCode_discolouredWater</t>
  </si>
  <si>
    <t>OceanFrontIndicatorCode_foamLine</t>
  </si>
  <si>
    <t>OceanFrontIndicatorCode_ice</t>
  </si>
  <si>
    <t>OceanFrontIndicatorCode_sedimentPlume</t>
  </si>
  <si>
    <t>OceanographicFrontTypeCode_density</t>
  </si>
  <si>
    <t>OceanographicFrontTypeCode_salinity</t>
  </si>
  <si>
    <t>OceanographicFrontTypeCode_thermal</t>
  </si>
  <si>
    <t>OffshoreConstPriStructCode_barge</t>
  </si>
  <si>
    <t>OffshoreConstPriStructCode_catenaryTurntable</t>
  </si>
  <si>
    <t>OffshoreConstPriStructCode_platform</t>
  </si>
  <si>
    <t>OffshoreConstPriStructCode_submergedPlatform</t>
  </si>
  <si>
    <t>OffshoreConstPriStructCode_submergedTurret</t>
  </si>
  <si>
    <t>OffshoreConstPriStructCode_terminalBuoy</t>
  </si>
  <si>
    <t>OffshoreConstPriStructCode_vessel</t>
  </si>
  <si>
    <t>OffshoreConstSupStructCode_artificialIsland</t>
  </si>
  <si>
    <t>OffshoreConstSupStructCode_multiColumn</t>
  </si>
  <si>
    <t>OffshoreConstSupStructCode_singleColumn</t>
  </si>
  <si>
    <t>OffshoreConstSupStructCode_trussTower</t>
  </si>
  <si>
    <t>OffshorePositioningMethodCode_fixed</t>
  </si>
  <si>
    <t>OffshorePositioningMethodCode_floatingDynamicPosition</t>
  </si>
  <si>
    <t>OffshorePositioningMethodCode_floatingMoored</t>
  </si>
  <si>
    <t>OffshorePositioningMethodCode_semiBuoyantMoored</t>
  </si>
  <si>
    <t>OperatingAgencyCode_civil</t>
  </si>
  <si>
    <t>OperatingAgencyCode_federal</t>
  </si>
  <si>
    <t>OperatingAgencyCode_jointMilitaryCivilian</t>
  </si>
  <si>
    <t>OperatingAgencyCode_military</t>
  </si>
  <si>
    <t>OperatingAgencyCode_private</t>
  </si>
  <si>
    <t>OperatingCycleCode_continuouslyOperating</t>
  </si>
  <si>
    <t>OperatingCycleCode_daytime</t>
  </si>
  <si>
    <t>OperatingCycleCode_neverOperating</t>
  </si>
  <si>
    <t>OperatingCycleCode_nighttime</t>
  </si>
  <si>
    <t>OperatingCycleCode_restricted</t>
  </si>
  <si>
    <t>OperatingCycleCode_summerSeason</t>
  </si>
  <si>
    <t>OperatingCycleCode_winterSeason</t>
  </si>
  <si>
    <t>OperatingRestrictionCode_flooding</t>
  </si>
  <si>
    <t>OperatingRestrictionCode_ice</t>
  </si>
  <si>
    <t>OperatingRestrictionCode_icing</t>
  </si>
  <si>
    <t>OperatingRestrictionCode_noRestriction</t>
  </si>
  <si>
    <t>OperatingRestrictionCode_reducedVisibility</t>
  </si>
  <si>
    <t>OperatingRestrictionCode_snow</t>
  </si>
  <si>
    <t>OperatingRestrictionCode_specialRestriction</t>
  </si>
  <si>
    <t>OperatingRestrictionCode_tide</t>
  </si>
  <si>
    <t>OperatingRestrictionCode_time</t>
  </si>
  <si>
    <t>OperatingRestrictionCode_vegetation</t>
  </si>
  <si>
    <t>OperatingRestrictionCode_wind</t>
  </si>
  <si>
    <t>OperationalReadinessCode_capableOfEmergencyLaunch</t>
  </si>
  <si>
    <t>OperationalReadinessCode_fullyReady</t>
  </si>
  <si>
    <t>OperationalReadinessCode_inconclusiveAnalysis</t>
  </si>
  <si>
    <t>OperationalReadinessCode_limitedOperations</t>
  </si>
  <si>
    <t>OperationalReadinessCode_marginallyReady</t>
  </si>
  <si>
    <t>OperationalReadinessCode_nfiReady</t>
  </si>
  <si>
    <t>OperationalReadinessCode_nonOperational</t>
  </si>
  <si>
    <t>OperationalReadinessCode_notImmediatelyReady</t>
  </si>
  <si>
    <t>OperationalReadinessCode_notReady</t>
  </si>
  <si>
    <t>OperationalReadinessCode_oneWorkShift</t>
  </si>
  <si>
    <t>OperationalReadinessCode_operational</t>
  </si>
  <si>
    <t>OperationalReadinessCode_peacetimeOperations</t>
  </si>
  <si>
    <t>OperationalReadinessCode_peacetimeWartimeOps</t>
  </si>
  <si>
    <t>OperationalReadinessCode_reserve</t>
  </si>
  <si>
    <t>OperationalReadinessCode_serviceable</t>
  </si>
  <si>
    <t>OperationalReadinessCode_storage</t>
  </si>
  <si>
    <t>OperationalReadinessCode_substantiallyReady</t>
  </si>
  <si>
    <t>OperationalReadinessCode_threeWorkShifts</t>
  </si>
  <si>
    <t>OperationalReadinessCode_twoWorkShifts</t>
  </si>
  <si>
    <t>OperationalReadinessCode_wartimeOperations</t>
  </si>
  <si>
    <t>OverheadObstructionTypeCode_arcade</t>
  </si>
  <si>
    <t>OverheadObstructionTypeCode_archBridgeSpan</t>
  </si>
  <si>
    <t>OverheadObstructionTypeCode_bridgeSpan</t>
  </si>
  <si>
    <t>OverheadObstructionTypeCode_bridgeSuperstructure</t>
  </si>
  <si>
    <t>OverheadObstructionTypeCode_building</t>
  </si>
  <si>
    <t>OverheadObstructionTypeCode_buildingOverhang</t>
  </si>
  <si>
    <t>OverheadObstructionTypeCode_cable</t>
  </si>
  <si>
    <t>OverheadObstructionTypeCode_cableway</t>
  </si>
  <si>
    <t>OverheadObstructionTypeCode_conveyor</t>
  </si>
  <si>
    <t>OverheadObstructionTypeCode_entranceExit</t>
  </si>
  <si>
    <t>OverheadObstructionTypeCode_frameBridgeSpan</t>
  </si>
  <si>
    <t>OverheadObstructionTypeCode_gantry</t>
  </si>
  <si>
    <t>OverheadObstructionTypeCode_memorialMonument</t>
  </si>
  <si>
    <t>OverheadObstructionTypeCode_nonBuildingStructure</t>
  </si>
  <si>
    <t>OverheadObstructionTypeCode_overheadWalkway</t>
  </si>
  <si>
    <t>OverheadObstructionTypeCode_parkingGarage</t>
  </si>
  <si>
    <t>OverheadObstructionTypeCode_pipeline</t>
  </si>
  <si>
    <t>OverheadObstructionTypeCode_pipelineCrossingPoint</t>
  </si>
  <si>
    <t>OverheadObstructionTypeCode_railwayPowerLine</t>
  </si>
  <si>
    <t>OverheadObstructionTypeCode_roof</t>
  </si>
  <si>
    <t>OverheadObstructionTypeCode_routeRelatedStructure</t>
  </si>
  <si>
    <t>OverheadObstructionTypeCode_scaffold</t>
  </si>
  <si>
    <t>OverheadObstructionTypeCode_trafficSign</t>
  </si>
  <si>
    <t>OverheadObstructionTypeCode_transportationBlock</t>
  </si>
  <si>
    <t>OverheadObstructionTypeCode_transRouteProtectStruct</t>
  </si>
  <si>
    <t>OverheadObstructionTypeCode_tunnel</t>
  </si>
  <si>
    <t>PassengerServiceTypeCode_banking</t>
  </si>
  <si>
    <t>PassengerServiceTypeCode_customs</t>
  </si>
  <si>
    <t>PassengerServiceTypeCode_immigration</t>
  </si>
  <si>
    <t>PassengerServiceTypeCode_internet</t>
  </si>
  <si>
    <t>PassengerServiceTypeCode_lodging</t>
  </si>
  <si>
    <t>PassengerServiceTypeCode_medical</t>
  </si>
  <si>
    <t>PassengerServiceTypeCode_postal</t>
  </si>
  <si>
    <t>PassengerServiceTypeCode_restaurant</t>
  </si>
  <si>
    <t>PassengerServiceTypeCode_sanitation</t>
  </si>
  <si>
    <t>PassengerServiceTypeCode_security</t>
  </si>
  <si>
    <t>PassengerServiceTypeCode_transport</t>
  </si>
  <si>
    <t>PassengerServiceTypeCode_travelerInformation</t>
  </si>
  <si>
    <t>PassengerServiceTypeCode_veterinary</t>
  </si>
  <si>
    <t>PavementTypePCNCode_flexiblePavement</t>
  </si>
  <si>
    <t>PavementTypePCNCode_rigidPavement</t>
  </si>
  <si>
    <t>PcnEvaluationMethodCode_technical</t>
  </si>
  <si>
    <t>PcnEvaluationMethodCode_usingAircraftExperience</t>
  </si>
  <si>
    <t>PcnMaxAllowableTirePressureCode_high</t>
  </si>
  <si>
    <t>PcnMaxAllowableTirePressureCode_low</t>
  </si>
  <si>
    <t>PcnMaxAllowableTirePressureCode_medium</t>
  </si>
  <si>
    <t>PcnMaxAllowableTirePressureCode_veryLow</t>
  </si>
  <si>
    <t>PcnPavementSubgradeStrengthCatCode_highStrengthSubgrade</t>
  </si>
  <si>
    <t>PcnPavementSubgradeStrengthCatCode_lowStrengthSubgrade</t>
  </si>
  <si>
    <t>PcnPavementSubgradeStrengthCatCode_mediumStrengthSubgrade</t>
  </si>
  <si>
    <t>PcnPavementSubgradeStrengthCatCode_ultraLowStrengthSubgrade</t>
  </si>
  <si>
    <t>PhysicalConditionCode_construction</t>
  </si>
  <si>
    <t>PhysicalConditionCode_damaged</t>
  </si>
  <si>
    <t>PhysicalConditionCode_destroyed</t>
  </si>
  <si>
    <t>PhysicalConditionCode_dismantled</t>
  </si>
  <si>
    <t>PhysicalConditionCode_intact</t>
  </si>
  <si>
    <t>PhysicalConditionCode_unmaintained</t>
  </si>
  <si>
    <t>PilotBoardingMethodCode_helicopter</t>
  </si>
  <si>
    <t>PilotBoardingMethodCode_pilotCruisingVessel</t>
  </si>
  <si>
    <t>PilotBoardingMethodCode_requestedVessel</t>
  </si>
  <si>
    <t>PipelineTypeCode_bubblerSystem</t>
  </si>
  <si>
    <t>PipelineTypeCode_intakePipe</t>
  </si>
  <si>
    <t>PipelineTypeCode_outfallPipe</t>
  </si>
  <si>
    <t>PipelineTypeCode_pipelineValve</t>
  </si>
  <si>
    <t>PipelineTypeCode_sewer</t>
  </si>
  <si>
    <t>PipelineTypeCode_transportPipe</t>
  </si>
  <si>
    <t>PortableAggressorWeaponCode_automaticWeapon</t>
  </si>
  <si>
    <t>PortableAggressorWeaponCode_explosives</t>
  </si>
  <si>
    <t>PortableAggressorWeaponCode_explosiveVest</t>
  </si>
  <si>
    <t>PortableAggressorWeaponCode_grenade</t>
  </si>
  <si>
    <t>PortableAggressorWeaponCode_gun</t>
  </si>
  <si>
    <t>PortableAggressorWeaponCode_knife</t>
  </si>
  <si>
    <t>PortableAggressorWeaponCode_pistol</t>
  </si>
  <si>
    <t>PortableAggressorWeaponCode_rocketPropelledGrenade</t>
  </si>
  <si>
    <t>PortableAggressorWeaponCode_sword</t>
  </si>
  <si>
    <t>PowerSourceCode_geothermal</t>
  </si>
  <si>
    <t>PowerSourceCode_hydroElectric</t>
  </si>
  <si>
    <t>PowerSourceCode_nuclear</t>
  </si>
  <si>
    <t>PowerSourceCode_thermal</t>
  </si>
  <si>
    <t>PowerSourceCode_tidal</t>
  </si>
  <si>
    <t>PrimaryStructMatCharCode_bareCleared</t>
  </si>
  <si>
    <t>PrimaryStructMatCharCode_broken</t>
  </si>
  <si>
    <t>PrimaryStructMatCharCode_calcareous</t>
  </si>
  <si>
    <t>PrimaryStructMatCharCode_coarse</t>
  </si>
  <si>
    <t>PrimaryStructMatCharCode_decayed</t>
  </si>
  <si>
    <t>PrimaryStructMatCharCode_fineMinuteParticles</t>
  </si>
  <si>
    <t>PrimaryStructMatCharCode_flinty</t>
  </si>
  <si>
    <t>PrimaryStructMatCharCode_glacial</t>
  </si>
  <si>
    <t>PrimaryStructMatCharCode_gritty</t>
  </si>
  <si>
    <t>PrimaryStructMatCharCode_ground</t>
  </si>
  <si>
    <t>PrimaryStructMatCharCode_hard</t>
  </si>
  <si>
    <t>PrimaryStructMatCharCode_irregular</t>
  </si>
  <si>
    <t>PrimaryStructMatCharCode_large</t>
  </si>
  <si>
    <t>PrimaryStructMatCharCode_medium</t>
  </si>
  <si>
    <t>PrimaryStructMatCharCode_mobileBottom</t>
  </si>
  <si>
    <t>PrimaryStructMatCharCode_rocky</t>
  </si>
  <si>
    <t>PrimaryStructMatCharCode_rotten</t>
  </si>
  <si>
    <t>PrimaryStructMatCharCode_small</t>
  </si>
  <si>
    <t>PrimaryStructMatCharCode_soft</t>
  </si>
  <si>
    <t>PrimaryStructMatCharCode_speckled</t>
  </si>
  <si>
    <t>PrimaryStructMatCharCode_sticky</t>
  </si>
  <si>
    <t>PrimaryStructMatCharCode_stiff</t>
  </si>
  <si>
    <t>PrimaryStructMatCharCode_streaky</t>
  </si>
  <si>
    <t>PrimaryStructMatCharCode_tenacious</t>
  </si>
  <si>
    <t>PrimaryStructMatCharCode_varied</t>
  </si>
  <si>
    <t>PrimaryStructMatCharCode_volcanic</t>
  </si>
  <si>
    <t>PrimaryStructMatTypeCode_adobeBrick</t>
  </si>
  <si>
    <t>PrimaryStructMatTypeCode_aluminum</t>
  </si>
  <si>
    <t>PrimaryStructMatTypeCode_ash</t>
  </si>
  <si>
    <t>PrimaryStructMatTypeCode_asphalt</t>
  </si>
  <si>
    <t>PrimaryStructMatTypeCode_bedrock</t>
  </si>
  <si>
    <t>PrimaryStructMatTypeCode_boulders</t>
  </si>
  <si>
    <t>PrimaryStructMatTypeCode_brick</t>
  </si>
  <si>
    <t>PrimaryStructMatTypeCode_calcareous</t>
  </si>
  <si>
    <t>PrimaryStructMatTypeCode_ceramic</t>
  </si>
  <si>
    <t>PrimaryStructMatTypeCode_chalk</t>
  </si>
  <si>
    <t>PrimaryStructMatTypeCode_cinders</t>
  </si>
  <si>
    <t>PrimaryStructMatTypeCode_cirripedia</t>
  </si>
  <si>
    <t>PrimaryStructMatTypeCode_clay</t>
  </si>
  <si>
    <t>PrimaryStructMatTypeCode_cobbles</t>
  </si>
  <si>
    <t>PrimaryStructMatTypeCode_concrete</t>
  </si>
  <si>
    <t>PrimaryStructMatTypeCode_conglomerate</t>
  </si>
  <si>
    <t>PrimaryStructMatTypeCode_copper</t>
  </si>
  <si>
    <t>PrimaryStructMatTypeCode_coral</t>
  </si>
  <si>
    <t>PrimaryStructMatTypeCode_coralHead</t>
  </si>
  <si>
    <t>PrimaryStructMatTypeCode_diatomaceousEarth</t>
  </si>
  <si>
    <t>PrimaryStructMatTypeCode_evaporite</t>
  </si>
  <si>
    <t>PrimaryStructMatTypeCode_ferrocement</t>
  </si>
  <si>
    <t>PrimaryStructMatTypeCode_fibreglass</t>
  </si>
  <si>
    <t>PrimaryStructMatTypeCode_fibreOptic</t>
  </si>
  <si>
    <t>PrimaryStructMatTypeCode_foraminifera</t>
  </si>
  <si>
    <t>PrimaryStructMatTypeCode_frozenWater</t>
  </si>
  <si>
    <t>PrimaryStructMatTypeCode_fucus</t>
  </si>
  <si>
    <t>PrimaryStructMatTypeCode_glass</t>
  </si>
  <si>
    <t>PrimaryStructMatTypeCode_glassReinforcedPlastic</t>
  </si>
  <si>
    <t>PrimaryStructMatTypeCode_granite</t>
  </si>
  <si>
    <t>PrimaryStructMatTypeCode_gravel</t>
  </si>
  <si>
    <t>PrimaryStructMatTypeCode_groundShell</t>
  </si>
  <si>
    <t>PrimaryStructMatTypeCode_hideTextile</t>
  </si>
  <si>
    <t>PrimaryStructMatTypeCode_iron</t>
  </si>
  <si>
    <t>PrimaryStructMatTypeCode_lava</t>
  </si>
  <si>
    <t>PrimaryStructMatTypeCode_lead</t>
  </si>
  <si>
    <t>PrimaryStructMatTypeCode_loess</t>
  </si>
  <si>
    <t>PrimaryStructMatTypeCode_macadam</t>
  </si>
  <si>
    <t>PrimaryStructMatTypeCode_madrepore</t>
  </si>
  <si>
    <t>PrimaryStructMatTypeCode_manganese</t>
  </si>
  <si>
    <t>PrimaryStructMatTypeCode_marl</t>
  </si>
  <si>
    <t>PrimaryStructMatTypeCode_masonry</t>
  </si>
  <si>
    <t>PrimaryStructMatTypeCode_matte</t>
  </si>
  <si>
    <t>PrimaryStructMatTypeCode_metal</t>
  </si>
  <si>
    <t>PrimaryStructMatTypeCode_mud</t>
  </si>
  <si>
    <t>PrimaryStructMatTypeCode_mudBasedConstruction</t>
  </si>
  <si>
    <t>PrimaryStructMatTypeCode_mussels</t>
  </si>
  <si>
    <t>PrimaryStructMatTypeCode_naturalFibre</t>
  </si>
  <si>
    <t>PrimaryStructMatTypeCode_ooze</t>
  </si>
  <si>
    <t>PrimaryStructMatTypeCode_oysters</t>
  </si>
  <si>
    <t>PrimaryStructMatTypeCode_pebbles</t>
  </si>
  <si>
    <t>PrimaryStructMatTypeCode_plantMaterial</t>
  </si>
  <si>
    <t>PrimaryStructMatTypeCode_plastic</t>
  </si>
  <si>
    <t>PrimaryStructMatTypeCode_prestressedConcrete</t>
  </si>
  <si>
    <t>PrimaryStructMatTypeCode_pteropods</t>
  </si>
  <si>
    <t>PrimaryStructMatTypeCode_pumice</t>
  </si>
  <si>
    <t>PrimaryStructMatTypeCode_quartz</t>
  </si>
  <si>
    <t>PrimaryStructMatTypeCode_radiolaria</t>
  </si>
  <si>
    <t>PrimaryStructMatTypeCode_reinforcedConcrete</t>
  </si>
  <si>
    <t>PrimaryStructMatTypeCode_rock</t>
  </si>
  <si>
    <t>PrimaryStructMatTypeCode_rubble</t>
  </si>
  <si>
    <t>PrimaryStructMatTypeCode_sand</t>
  </si>
  <si>
    <t>PrimaryStructMatTypeCode_schist</t>
  </si>
  <si>
    <t>PrimaryStructMatTypeCode_scoria</t>
  </si>
  <si>
    <t>PrimaryStructMatTypeCode_seaMoss</t>
  </si>
  <si>
    <t>PrimaryStructMatTypeCode_shell</t>
  </si>
  <si>
    <t>PrimaryStructMatTypeCode_shingle</t>
  </si>
  <si>
    <t>PrimaryStructMatTypeCode_silt</t>
  </si>
  <si>
    <t>PrimaryStructMatTypeCode_sod</t>
  </si>
  <si>
    <t>PrimaryStructMatTypeCode_soil</t>
  </si>
  <si>
    <t>PrimaryStructMatTypeCode_spicules</t>
  </si>
  <si>
    <t>PrimaryStructMatTypeCode_sponge</t>
  </si>
  <si>
    <t>PrimaryStructMatTypeCode_steel</t>
  </si>
  <si>
    <t>PrimaryStructMatTypeCode_stone</t>
  </si>
  <si>
    <t>PrimaryStructMatTypeCode_treatedTimber</t>
  </si>
  <si>
    <t>PrimaryStructMatTypeCode_tufa</t>
  </si>
  <si>
    <t>PrimaryStructMatTypeCode_turf</t>
  </si>
  <si>
    <t>PrimaryStructMatTypeCode_vegetation</t>
  </si>
  <si>
    <t>PrimaryStructMatTypeCode_volcanicAsh</t>
  </si>
  <si>
    <t>PrimaryStructMatTypeCode_water</t>
  </si>
  <si>
    <t>PrimaryStructMatTypeCode_wood</t>
  </si>
  <si>
    <t>ProcedureDesignCriteriaCode_national</t>
  </si>
  <si>
    <t>ProcedureDesignCriteriaCode_nato</t>
  </si>
  <si>
    <t>ProcedureDesignCriteriaCode_pansOps</t>
  </si>
  <si>
    <t>ProcedureDesignCriteriaCode_terps</t>
  </si>
  <si>
    <t>ProcedureMinimaTypeCode_alternate</t>
  </si>
  <si>
    <t>ProcedureMinimaTypeCode_primary</t>
  </si>
  <si>
    <t>ProductCode_aircraft</t>
  </si>
  <si>
    <t>ProductCode_aluminum</t>
  </si>
  <si>
    <t>ProductCode_ammunition</t>
  </si>
  <si>
    <t>ProductCode_asphalt</t>
  </si>
  <si>
    <t>ProductCode_basalt</t>
  </si>
  <si>
    <t>ProductCode_bauxite</t>
  </si>
  <si>
    <t>ProductCode_beverage</t>
  </si>
  <si>
    <t>ProductCode_biochemical</t>
  </si>
  <si>
    <t>ProductCode_biodiesel</t>
  </si>
  <si>
    <t>ProductCode_bivalveMollusc</t>
  </si>
  <si>
    <t>ProductCode_brick</t>
  </si>
  <si>
    <t>ProductCode_brine</t>
  </si>
  <si>
    <t>ProductCode_cement</t>
  </si>
  <si>
    <t>ProductCode_chalk</t>
  </si>
  <si>
    <t>ProductCode_charcoal</t>
  </si>
  <si>
    <t>ProductCode_chemical</t>
  </si>
  <si>
    <t>ProductCode_chromium</t>
  </si>
  <si>
    <t>ProductCode_clay</t>
  </si>
  <si>
    <t>ProductCode_clothing</t>
  </si>
  <si>
    <t>ProductCode_coal</t>
  </si>
  <si>
    <t>ProductCode_coalbedMethane</t>
  </si>
  <si>
    <t>ProductCode_cobbles</t>
  </si>
  <si>
    <t>ProductCode_coffee</t>
  </si>
  <si>
    <t>ProductCode_coke</t>
  </si>
  <si>
    <t>ProductCode_concrete</t>
  </si>
  <si>
    <t>ProductCode_consumerGoods</t>
  </si>
  <si>
    <t>ProductCode_copper</t>
  </si>
  <si>
    <t>ProductCode_cotton</t>
  </si>
  <si>
    <t>ProductCode_crustacean</t>
  </si>
  <si>
    <t>ProductCode_cultivatedShellfish</t>
  </si>
  <si>
    <t>ProductCode_desalinatedWater</t>
  </si>
  <si>
    <t>ProductCode_diamond</t>
  </si>
  <si>
    <t>ProductCode_diatomaceousEarth</t>
  </si>
  <si>
    <t>ProductCode_dolomite</t>
  </si>
  <si>
    <t>ProductCode_electricalEquipment</t>
  </si>
  <si>
    <t>ProductCode_electricPower</t>
  </si>
  <si>
    <t>ProductCode_electronicEquipment</t>
  </si>
  <si>
    <t>ProductCode_explosive</t>
  </si>
  <si>
    <t>ProductCode_fertilizer</t>
  </si>
  <si>
    <t>ProductCode_fish</t>
  </si>
  <si>
    <t>ProductCode_fluorine</t>
  </si>
  <si>
    <t>ProductCode_fluorite</t>
  </si>
  <si>
    <t>ProductCode_food</t>
  </si>
  <si>
    <t>ProductCode_frozenWater</t>
  </si>
  <si>
    <t>ProductCode_fruit</t>
  </si>
  <si>
    <t>ProductCode_gas</t>
  </si>
  <si>
    <t>ProductCode_glass</t>
  </si>
  <si>
    <t>ProductCode_gold</t>
  </si>
  <si>
    <t>ProductCode_grain</t>
  </si>
  <si>
    <t>ProductCode_granite</t>
  </si>
  <si>
    <t>ProductCode_gravel</t>
  </si>
  <si>
    <t>ProductCode_heatingSteamAndOrWater</t>
  </si>
  <si>
    <t>ProductCode_helium</t>
  </si>
  <si>
    <t>ProductCode_hydrothermalFluid</t>
  </si>
  <si>
    <t>ProductCode_ice</t>
  </si>
  <si>
    <t>ProductCode_iron</t>
  </si>
  <si>
    <t>ProductCode_lead</t>
  </si>
  <si>
    <t>ProductCode_lime</t>
  </si>
  <si>
    <t>ProductCode_liquefiedNaturalGas</t>
  </si>
  <si>
    <t>ProductCode_liquefiedPetroleumGas</t>
  </si>
  <si>
    <t>ProductCode_lumber</t>
  </si>
  <si>
    <t>ProductCode_manganese</t>
  </si>
  <si>
    <t>ProductCode_marble</t>
  </si>
  <si>
    <t>ProductCode_medicalSupplies</t>
  </si>
  <si>
    <t>ProductCode_metal</t>
  </si>
  <si>
    <t>ProductCode_mica</t>
  </si>
  <si>
    <t>ProductCode_milk</t>
  </si>
  <si>
    <t>ProductCode_milledGrain</t>
  </si>
  <si>
    <t>ProductCode_motorVehicle</t>
  </si>
  <si>
    <t>ProductCode_munitions</t>
  </si>
  <si>
    <t>ProductCode_mussels</t>
  </si>
  <si>
    <t>ProductCode_naturalGasCondensate</t>
  </si>
  <si>
    <t>ProductCode_nickel</t>
  </si>
  <si>
    <t>ProductCode_nonSolidHydrocarbonFuel</t>
  </si>
  <si>
    <t>ProductCode_noProduct</t>
  </si>
  <si>
    <t>ProductCode_nuclearFuel</t>
  </si>
  <si>
    <t>ProductCode_oliveOil</t>
  </si>
  <si>
    <t>ProductCode_oysters</t>
  </si>
  <si>
    <t>ProductCode_paper</t>
  </si>
  <si>
    <t>ProductCode_petrochemical</t>
  </si>
  <si>
    <t>ProductCode_petrol</t>
  </si>
  <si>
    <t>ProductCode_petroleum</t>
  </si>
  <si>
    <t>ProductCode_petroleumLubricant</t>
  </si>
  <si>
    <t>ProductCode_petroleumNaturalGas</t>
  </si>
  <si>
    <t>ProductCode_phosphate</t>
  </si>
  <si>
    <t>ProductCode_phosphorus</t>
  </si>
  <si>
    <t>ProductCode_plastic</t>
  </si>
  <si>
    <t>ProductCode_porphyry</t>
  </si>
  <si>
    <t>ProductCode_pottery</t>
  </si>
  <si>
    <t>ProductCode_prestressedConcrete</t>
  </si>
  <si>
    <t>ProductCode_pumice</t>
  </si>
  <si>
    <t>ProductCode_quartz</t>
  </si>
  <si>
    <t>ProductCode_radioactiveMaterial</t>
  </si>
  <si>
    <t>ProductCode_rice</t>
  </si>
  <si>
    <t>ProductCode_rock</t>
  </si>
  <si>
    <t>ProductCode_rubber</t>
  </si>
  <si>
    <t>ProductCode_salt</t>
  </si>
  <si>
    <t>ProductCode_sand</t>
  </si>
  <si>
    <t>ProductCode_sandstone</t>
  </si>
  <si>
    <t>ProductCode_selenium</t>
  </si>
  <si>
    <t>ProductCode_sewage</t>
  </si>
  <si>
    <t>ProductCode_silver</t>
  </si>
  <si>
    <t>ProductCode_snow</t>
  </si>
  <si>
    <t>ProductCode_steel</t>
  </si>
  <si>
    <t>ProductCode_stone</t>
  </si>
  <si>
    <t>ProductCode_sugar</t>
  </si>
  <si>
    <t>ProductCode_textile</t>
  </si>
  <si>
    <t>ProductCode_timber</t>
  </si>
  <si>
    <t>ProductCode_tin</t>
  </si>
  <si>
    <t>ProductCode_tobacco</t>
  </si>
  <si>
    <t>ProductCode_travertine</t>
  </si>
  <si>
    <t>ProductCode_uranium</t>
  </si>
  <si>
    <t>ProductCode_vanadium</t>
  </si>
  <si>
    <t>ProductCode_vegetationProduct</t>
  </si>
  <si>
    <t>ProductCode_water</t>
  </si>
  <si>
    <t>ProductCode_whaleProducts</t>
  </si>
  <si>
    <t>ProductCode_wine</t>
  </si>
  <si>
    <t>ProductCode_zinc</t>
  </si>
  <si>
    <t>PylonConfigurationCode_shapedLikeA</t>
  </si>
  <si>
    <t>PylonConfigurationCode_shapedLikeH</t>
  </si>
  <si>
    <t>PylonConfigurationCode_shapedLikeI</t>
  </si>
  <si>
    <t>PylonConfigurationCode_shapedLikeT</t>
  </si>
  <si>
    <t>PylonConfigurationCode_shapedLikeY</t>
  </si>
  <si>
    <t>PylonMaterialCode_aluminum</t>
  </si>
  <si>
    <t>PylonMaterialCode_concrete</t>
  </si>
  <si>
    <t>PylonMaterialCode_fibreglass</t>
  </si>
  <si>
    <t>PylonMaterialCode_iron</t>
  </si>
  <si>
    <t>PylonMaterialCode_masonry</t>
  </si>
  <si>
    <t>PylonMaterialCode_metal</t>
  </si>
  <si>
    <t>PylonMaterialCode_steel</t>
  </si>
  <si>
    <t>PylonMaterialCode_wood</t>
  </si>
  <si>
    <t>RacingTypeCode_bicycle</t>
  </si>
  <si>
    <t>RacingTypeCode_camel</t>
  </si>
  <si>
    <t>RacingTypeCode_greyhound</t>
  </si>
  <si>
    <t>RacingTypeCode_harness</t>
  </si>
  <si>
    <t>RacingTypeCode_horse</t>
  </si>
  <si>
    <t>RacingTypeCode_iceSkate</t>
  </si>
  <si>
    <t>RacingTypeCode_motorVehicle</t>
  </si>
  <si>
    <t>RacingTypeCode_rollerSkate</t>
  </si>
  <si>
    <t>RacingTypeCode_trackAndField</t>
  </si>
  <si>
    <t>RacingVehicleTypeCode_formulaOneCar</t>
  </si>
  <si>
    <t>RacingVehicleTypeCode_indyCar</t>
  </si>
  <si>
    <t>RacingVehicleTypeCode_motorcycle</t>
  </si>
  <si>
    <t>RacingVehicleTypeCode_pickupTruck</t>
  </si>
  <si>
    <t>RacingVehicleTypeCode_stockCar</t>
  </si>
  <si>
    <t>RadarAntennaConfigurationCode_domeEnclosed</t>
  </si>
  <si>
    <t>RadarAntennaConfigurationCode_mastMounted</t>
  </si>
  <si>
    <t>RadarAntennaConfigurationCode_radome</t>
  </si>
  <si>
    <t>RadarAntennaConfigurationCode_radomeOnTower</t>
  </si>
  <si>
    <t>RadarAntennaConfigurationCode_scanner</t>
  </si>
  <si>
    <t>RadarAntennaConfigurationCode_towerMounted</t>
  </si>
  <si>
    <t>RadarSignificanceCode_asphalt</t>
  </si>
  <si>
    <t>RadarSignificanceCode_composition</t>
  </si>
  <si>
    <t>RadarSignificanceCode_concrete</t>
  </si>
  <si>
    <t>RadarSignificanceCode_earthen</t>
  </si>
  <si>
    <t>RadarSignificanceCode_frozenWater</t>
  </si>
  <si>
    <t>RadarSignificanceCode_marsh</t>
  </si>
  <si>
    <t>RadarSignificanceCode_masonry</t>
  </si>
  <si>
    <t>RadarSignificanceCode_metal</t>
  </si>
  <si>
    <t>RadarSignificanceCode_partMetal</t>
  </si>
  <si>
    <t>RadarSignificanceCode_rocky</t>
  </si>
  <si>
    <t>RadarSignificanceCode_sandy</t>
  </si>
  <si>
    <t>RadarSignificanceCode_soil</t>
  </si>
  <si>
    <t>RadarSignificanceCode_trees</t>
  </si>
  <si>
    <t>RadarSignificanceCode_water</t>
  </si>
  <si>
    <t>RadarStationFunctionCode_aerodromeGroundSurveillance</t>
  </si>
  <si>
    <t>RadarStationFunctionCode_aircraftFlightTracking</t>
  </si>
  <si>
    <t>RadarStationFunctionCode_coastalRadar</t>
  </si>
  <si>
    <t>RadarStationFunctionCode_earlyWarning</t>
  </si>
  <si>
    <t>RadarStationFunctionCode_fireControlTracking</t>
  </si>
  <si>
    <t>RadarStationFunctionCode_generalSurveillance</t>
  </si>
  <si>
    <t>RadarStationFunctionCode_launchControlTracking</t>
  </si>
  <si>
    <t>RadarStationFunctionCode_precisionApproach</t>
  </si>
  <si>
    <t>RadarStationFunctionCode_satelliteTracking</t>
  </si>
  <si>
    <t>RadarStationFunctionCode_weather</t>
  </si>
  <si>
    <t>RadioCommDirectionCode_bidirectional</t>
  </si>
  <si>
    <t>RadioCommDirectionCode_downcast</t>
  </si>
  <si>
    <t>RadioCommDirectionCode_downlink</t>
  </si>
  <si>
    <t>RadioCommDirectionCode_upcast</t>
  </si>
  <si>
    <t>RadioCommDirectionCode_uplink</t>
  </si>
  <si>
    <t>RadioEmissionClassCode_a2</t>
  </si>
  <si>
    <t>RadioEmissionClassCode_a3A</t>
  </si>
  <si>
    <t>RadioEmissionClassCode_a3B</t>
  </si>
  <si>
    <t>RadioEmissionClassCode_a3E</t>
  </si>
  <si>
    <t>RadioEmissionClassCode_a3H</t>
  </si>
  <si>
    <t>RadioEmissionClassCode_a3J</t>
  </si>
  <si>
    <t>RadioEmissionClassCode_a3L</t>
  </si>
  <si>
    <t>RadioEmissionClassCode_a3U</t>
  </si>
  <si>
    <t>RadioEmissionClassCode_a8W</t>
  </si>
  <si>
    <t>RadioEmissionClassCode_a9W</t>
  </si>
  <si>
    <t>RadioEmissionClassCode_g1D</t>
  </si>
  <si>
    <t>RadioEmissionClassCode_j3E</t>
  </si>
  <si>
    <t>RadioEmissionClassCode_nonA1A</t>
  </si>
  <si>
    <t>RadioEmissionClassCode_nonA2A</t>
  </si>
  <si>
    <t>RadioEmissionClassCode_nox</t>
  </si>
  <si>
    <t>RadioEmissionClassCode_pon</t>
  </si>
  <si>
    <t>RadioNavServCoverageTypeCode_actualCoverage</t>
  </si>
  <si>
    <t>RadioNavServCoverageTypeCode_restricted</t>
  </si>
  <si>
    <t>RadioNavServCoverageTypeCode_theoreticalCoverage</t>
  </si>
  <si>
    <t>RadioNavServLimitationTypeCode_outOfTolerance</t>
  </si>
  <si>
    <t>RadioNavServLimitationTypeCode_roughness</t>
  </si>
  <si>
    <t>RadioNavServLimitationTypeCode_scalloping</t>
  </si>
  <si>
    <t>RadioNavServLimitationTypeCode_unreliable</t>
  </si>
  <si>
    <t>RadioNavServLimitationTypeCode_unusable</t>
  </si>
  <si>
    <t>RailwayClassCode_branchLine</t>
  </si>
  <si>
    <t>RailwayClassCode_highSpeedRail</t>
  </si>
  <si>
    <t>RailwayClassCode_mainLine</t>
  </si>
  <si>
    <t>RailwayGaugeClassCode_broad</t>
  </si>
  <si>
    <t>RailwayGaugeClassCode_narrow</t>
  </si>
  <si>
    <t>RailwayGaugeClassCode_standard</t>
  </si>
  <si>
    <t>RailwayPowerMethodCode_electrifiedTrack</t>
  </si>
  <si>
    <t>RailwayPowerMethodCode_nonElectrified</t>
  </si>
  <si>
    <t>RailwayPowerMethodCode_overheadElectrified</t>
  </si>
  <si>
    <t>RailwayUseCode_automatedTransitSystem</t>
  </si>
  <si>
    <t>RailwayUseCode_carline</t>
  </si>
  <si>
    <t>RailwayUseCode_funicular</t>
  </si>
  <si>
    <t>RailwayUseCode_logging</t>
  </si>
  <si>
    <t>RailwayUseCode_longHaul</t>
  </si>
  <si>
    <t>RailwayUseCode_marineRailway</t>
  </si>
  <si>
    <t>RailwayUseCode_museum</t>
  </si>
  <si>
    <t>RailwayUseCode_railRapidTransit</t>
  </si>
  <si>
    <t>RailwayUseCode_tramway</t>
  </si>
  <si>
    <t>RailwayUseCode_undergroundRailway</t>
  </si>
  <si>
    <t>RapidClassCode_advanced</t>
  </si>
  <si>
    <t>RapidClassCode_easy</t>
  </si>
  <si>
    <t>RapidClassCode_expert</t>
  </si>
  <si>
    <t>RapidClassCode_extremeExploratory</t>
  </si>
  <si>
    <t>RapidClassCode_intermediate</t>
  </si>
  <si>
    <t>RapidClassCode_novice</t>
  </si>
  <si>
    <t>RawMaterialCode_aluminum</t>
  </si>
  <si>
    <t>RawMaterialCode_asphalt</t>
  </si>
  <si>
    <t>RawMaterialCode_bauxite</t>
  </si>
  <si>
    <t>RawMaterialCode_biodiesel</t>
  </si>
  <si>
    <t>RawMaterialCode_cement</t>
  </si>
  <si>
    <t>RawMaterialCode_chemical</t>
  </si>
  <si>
    <t>RawMaterialCode_clay</t>
  </si>
  <si>
    <t>RawMaterialCode_coal</t>
  </si>
  <si>
    <t>RawMaterialCode_coke</t>
  </si>
  <si>
    <t>RawMaterialCode_copper</t>
  </si>
  <si>
    <t>RawMaterialCode_cotton</t>
  </si>
  <si>
    <t>RawMaterialCode_electricPower</t>
  </si>
  <si>
    <t>RawMaterialCode_gas</t>
  </si>
  <si>
    <t>RawMaterialCode_glass</t>
  </si>
  <si>
    <t>RawMaterialCode_gold</t>
  </si>
  <si>
    <t>RawMaterialCode_gravel</t>
  </si>
  <si>
    <t>RawMaterialCode_ice</t>
  </si>
  <si>
    <t>RawMaterialCode_iron</t>
  </si>
  <si>
    <t>RawMaterialCode_lead</t>
  </si>
  <si>
    <t>RawMaterialCode_liquefiedNaturalGas</t>
  </si>
  <si>
    <t>RawMaterialCode_liquefiedPetroleumGas</t>
  </si>
  <si>
    <t>RawMaterialCode_lumber</t>
  </si>
  <si>
    <t>RawMaterialCode_manganese</t>
  </si>
  <si>
    <t>RawMaterialCode_metal</t>
  </si>
  <si>
    <t>RawMaterialCode_noRawMaterial</t>
  </si>
  <si>
    <t>RawMaterialCode_oil</t>
  </si>
  <si>
    <t>RawMaterialCode_ore</t>
  </si>
  <si>
    <t>RawMaterialCode_paper</t>
  </si>
  <si>
    <t>RawMaterialCode_petroleumNaturalGas</t>
  </si>
  <si>
    <t>RawMaterialCode_plantMaterial</t>
  </si>
  <si>
    <t>RawMaterialCode_plastic</t>
  </si>
  <si>
    <t>RawMaterialCode_radioactiveMaterial</t>
  </si>
  <si>
    <t>RawMaterialCode_rubber</t>
  </si>
  <si>
    <t>RawMaterialCode_salt</t>
  </si>
  <si>
    <t>RawMaterialCode_sand</t>
  </si>
  <si>
    <t>RawMaterialCode_sewage</t>
  </si>
  <si>
    <t>RawMaterialCode_silver</t>
  </si>
  <si>
    <t>RawMaterialCode_snow</t>
  </si>
  <si>
    <t>RawMaterialCode_steel</t>
  </si>
  <si>
    <t>RawMaterialCode_stone</t>
  </si>
  <si>
    <t>RawMaterialCode_sugar</t>
  </si>
  <si>
    <t>RawMaterialCode_sulphur</t>
  </si>
  <si>
    <t>RawMaterialCode_textile</t>
  </si>
  <si>
    <t>RawMaterialCode_tobacco</t>
  </si>
  <si>
    <t>RawMaterialCode_uranium</t>
  </si>
  <si>
    <t>RawMaterialCode_vegetation</t>
  </si>
  <si>
    <t>RawMaterialCode_water</t>
  </si>
  <si>
    <t>RawMaterialCode_wood</t>
  </si>
  <si>
    <t>RawMaterialCode_woodFragments</t>
  </si>
  <si>
    <t>RawMaterialCode_zinc</t>
  </si>
  <si>
    <t>RedCrossAdminRegionTypeCode_certServiceDeliveryUnitArea</t>
  </si>
  <si>
    <t>RedCrossAdminRegionTypeCode_chapterArea</t>
  </si>
  <si>
    <t>RedCrossAdminRegionTypeCode_region</t>
  </si>
  <si>
    <t>RedCrossAdminRegionTypeCode_serviceArea</t>
  </si>
  <si>
    <t>RedCrossAdminRegionTypeCode_stateCoordChapterArea</t>
  </si>
  <si>
    <t>RedCrossAdminRegionTypeCode_stateServiceDeliveryArea</t>
  </si>
  <si>
    <t>RvsmPointTypeCode_rvsmEntryExitPoint</t>
  </si>
  <si>
    <t>RvsmPointTypeCode_rvsmEntryPoint</t>
  </si>
  <si>
    <t>RvsmPointTypeCode_rvsmExitPoint</t>
  </si>
  <si>
    <t>RefPointDetermineMethodCode_hostProvided</t>
  </si>
  <si>
    <t>RefPointDetermineMethodCode_intersectRunwaysFormIntTri</t>
  </si>
  <si>
    <t>RefPointDetermineMethodCode_oneRunway</t>
  </si>
  <si>
    <t>RefPointDetermineMethodCode_runwaysIntersectingAtPoint</t>
  </si>
  <si>
    <t>RefPointDetermineMethodCode_threeMoreParaOrNonConnect</t>
  </si>
  <si>
    <t>RefPointDetermineMethodCode_twoParaOrNonConnectSemi</t>
  </si>
  <si>
    <t>RefPointDetermineMethodCode_twoRunwaysDiverge90DegLess</t>
  </si>
  <si>
    <t>RefPointDetermineMethodCode_twoRunwaysDivergeOver90Deg</t>
  </si>
  <si>
    <t>RefPointDetermineMethodCode_widelySeparatedRunways</t>
  </si>
  <si>
    <t>ReferenceWaterLevelCode_highTide</t>
  </si>
  <si>
    <t>ReferenceWaterLevelCode_lowTide</t>
  </si>
  <si>
    <t>RegulatorySignTypeCode_maritimeNoticeBoard</t>
  </si>
  <si>
    <t>RegulatorySignTypeCode_streetSign</t>
  </si>
  <si>
    <t>RelativeLevelCode_depressed</t>
  </si>
  <si>
    <t>RelativeLevelCode_level</t>
  </si>
  <si>
    <t>RelativeLevelCode_raised</t>
  </si>
  <si>
    <t>ReligiousDesignationCode_buddhism</t>
  </si>
  <si>
    <t>ReligiousDesignationCode_chaldean</t>
  </si>
  <si>
    <t>ReligiousDesignationCode_christian</t>
  </si>
  <si>
    <t>ReligiousDesignationCode_hinduism</t>
  </si>
  <si>
    <t>ReligiousDesignationCode_islam</t>
  </si>
  <si>
    <t>ReligiousDesignationCode_judaism</t>
  </si>
  <si>
    <t>ReligiousDesignationCode_nestorian</t>
  </si>
  <si>
    <t>ReligiousDesignationCode_orthodox</t>
  </si>
  <si>
    <t>ReligiousDesignationCode_protestant</t>
  </si>
  <si>
    <t>ReligiousDesignationCode_romanCatholic</t>
  </si>
  <si>
    <t>ReligiousDesignationCode_shia</t>
  </si>
  <si>
    <t>ReligiousDesignationCode_shinto</t>
  </si>
  <si>
    <t>ReligiousDesignationCode_sunni</t>
  </si>
  <si>
    <t>ReligiousFacilityTypeCode_burialSite</t>
  </si>
  <si>
    <t>ReligiousFacilityTypeCode_cathedral</t>
  </si>
  <si>
    <t>ReligiousFacilityTypeCode_chapel</t>
  </si>
  <si>
    <t>ReligiousFacilityTypeCode_church</t>
  </si>
  <si>
    <t>ReligiousFacilityTypeCode_convent</t>
  </si>
  <si>
    <t>ReligiousFacilityTypeCode_hermitage</t>
  </si>
  <si>
    <t>ReligiousFacilityTypeCode_marabout</t>
  </si>
  <si>
    <t>ReligiousFacilityTypeCode_minaret</t>
  </si>
  <si>
    <t>ReligiousFacilityTypeCode_mission</t>
  </si>
  <si>
    <t>ReligiousFacilityTypeCode_monastery</t>
  </si>
  <si>
    <t>ReligiousFacilityTypeCode_mosque</t>
  </si>
  <si>
    <t>ReligiousFacilityTypeCode_noviciate</t>
  </si>
  <si>
    <t>ReligiousFacilityTypeCode_pagoda</t>
  </si>
  <si>
    <t>ReligiousFacilityTypeCode_religiousCommunity</t>
  </si>
  <si>
    <t>ReligiousFacilityTypeCode_retreat</t>
  </si>
  <si>
    <t>ReligiousFacilityTypeCode_seminary</t>
  </si>
  <si>
    <t>ReligiousFacilityTypeCode_shrine</t>
  </si>
  <si>
    <t>ReligiousFacilityTypeCode_stupa</t>
  </si>
  <si>
    <t>ReligiousFacilityTypeCode_synagogue</t>
  </si>
  <si>
    <t>ReligiousFacilityTypeCode_tabernacle</t>
  </si>
  <si>
    <t>ReligiousFacilityTypeCode_temple</t>
  </si>
  <si>
    <t>RemoteSensMineActuateMethCode_electricField</t>
  </si>
  <si>
    <t>RemoteSensMineActuateMethCode_infrared</t>
  </si>
  <si>
    <t>RemoteSensMineActuateMethCode_laserSensors</t>
  </si>
  <si>
    <t>RemoteSensMineActuateMethCode_seismic</t>
  </si>
  <si>
    <t>RemoteSensMineActuateMethCode_velocityField</t>
  </si>
  <si>
    <t>ResCuiCategoryCode_controlledEnhancedSpecified</t>
  </si>
  <si>
    <t>ResCuiCategoryCode_controlledSpecified</t>
  </si>
  <si>
    <t>ResCuiCategoryCode_controlledStandard</t>
  </si>
  <si>
    <t>CI_PresentationFormCode_documentDigital</t>
  </si>
  <si>
    <t>CI_PresentationFormCode_documentHardcopy</t>
  </si>
  <si>
    <t>CI_PresentationFormCode_imageDigital</t>
  </si>
  <si>
    <t>CI_PresentationFormCode_imageHardcopy</t>
  </si>
  <si>
    <t>CI_PresentationFormCode_mapDigital</t>
  </si>
  <si>
    <t>CI_PresentationFormCode_mapHardcopy</t>
  </si>
  <si>
    <t>CI_PresentationFormCode_modelDigital</t>
  </si>
  <si>
    <t>CI_PresentationFormCode_modelHardcopy</t>
  </si>
  <si>
    <t>CI_PresentationFormCode_profileDigital</t>
  </si>
  <si>
    <t>CI_PresentationFormCode_profileHardcopy</t>
  </si>
  <si>
    <t>CI_PresentationFormCode_tableDigital</t>
  </si>
  <si>
    <t>CI_PresentationFormCode_tableHardcopy</t>
  </si>
  <si>
    <t>CI_PresentationFormCode_videoDigital</t>
  </si>
  <si>
    <t>CI_PresentationFormCode_videoHardcopy</t>
  </si>
  <si>
    <t>CI_OnlineFunctionCode_download</t>
  </si>
  <si>
    <t>CI_OnlineFunctionCode_information</t>
  </si>
  <si>
    <t>CI_OnlineFunctionCode_offlineAccess</t>
  </si>
  <si>
    <t>CI_OnlineFunctionCode_order</t>
  </si>
  <si>
    <t>CI_OnlineFunctionCode_search</t>
  </si>
  <si>
    <t>CI_RoleCode_author</t>
  </si>
  <si>
    <t>CI_RoleCode_custodian</t>
  </si>
  <si>
    <t>CI_RoleCode_distributor</t>
  </si>
  <si>
    <t>CI_RoleCode_originator</t>
  </si>
  <si>
    <t>CI_RoleCode_owner</t>
  </si>
  <si>
    <t>CI_RoleCode_pointOfContact</t>
  </si>
  <si>
    <t>CI_RoleCode_principalInvestigator</t>
  </si>
  <si>
    <t>CI_RoleCode_processor</t>
  </si>
  <si>
    <t>CI_RoleCode_provider</t>
  </si>
  <si>
    <t>CI_RoleCode_publisher</t>
  </si>
  <si>
    <t>CI_RoleCode_user</t>
  </si>
  <si>
    <t>RoadInterchangeTypeCode_cloverleaf</t>
  </si>
  <si>
    <t>RoadInterchangeTypeCode_diamond</t>
  </si>
  <si>
    <t>RoadInterchangeTypeCode_fork</t>
  </si>
  <si>
    <t>RoadInterchangeTypeCode_rotary</t>
  </si>
  <si>
    <t>RoadInterchangeTypeCode_staggeredRamps</t>
  </si>
  <si>
    <t>RoadInterchangeTypeCode_standardRamps</t>
  </si>
  <si>
    <t>RoadInterchangeTypeCode_symmetricalRamps</t>
  </si>
  <si>
    <t>RoadInterchangeTypeCode_trumpet</t>
  </si>
  <si>
    <t>RoadInterchangeTypeCode_turban</t>
  </si>
  <si>
    <t>RoadInterchangeTypeCode_wye</t>
  </si>
  <si>
    <t>RoadWeatherRestrictionCode_allWeather</t>
  </si>
  <si>
    <t>RoadWeatherRestrictionCode_closedInWinter</t>
  </si>
  <si>
    <t>RoadWeatherRestrictionCode_fairWeather</t>
  </si>
  <si>
    <t>RoadWeatherRestrictionCode_limitedAllWeather</t>
  </si>
  <si>
    <t>RoadWeatherRestrictionCode_winterOnly</t>
  </si>
  <si>
    <t>RoadwayTypeCode_limitedAccessMotorway</t>
  </si>
  <si>
    <t>RoadwayTypeCode_motorway</t>
  </si>
  <si>
    <t>RoadwayTypeCode_road</t>
  </si>
  <si>
    <t>RoadwayTypeCode_street</t>
  </si>
  <si>
    <t>RockFormationStructureCode_columnar</t>
  </si>
  <si>
    <t>RockFormationStructureCode_fossilizedForest</t>
  </si>
  <si>
    <t>RockFormationStructureCode_needle</t>
  </si>
  <si>
    <t>RockFormationStructureCode_pinnacle</t>
  </si>
  <si>
    <t>RoofShapeCode_conical</t>
  </si>
  <si>
    <t>RoofShapeCode_domed</t>
  </si>
  <si>
    <t>RoofShapeCode_flat</t>
  </si>
  <si>
    <t>RoofShapeCode_flatWithClerestory</t>
  </si>
  <si>
    <t>RoofShapeCode_flatWithParapet</t>
  </si>
  <si>
    <t>RoofShapeCode_pitched</t>
  </si>
  <si>
    <t>RoofShapeCode_pitchedWithClerestory</t>
  </si>
  <si>
    <t>RoofShapeCode_pyramidal</t>
  </si>
  <si>
    <t>RoofShapeCode_sawtoothed</t>
  </si>
  <si>
    <t>RoofShapeCode_semiCylindrical</t>
  </si>
  <si>
    <t>RoofShapeCode_withClerestory</t>
  </si>
  <si>
    <t>RoofShapeCode_withCupola</t>
  </si>
  <si>
    <t>RoofShapeCode_withMinaret</t>
  </si>
  <si>
    <t>RoofShapeCode_withSmokestack</t>
  </si>
  <si>
    <t>RoofShapeCode_withSteeple</t>
  </si>
  <si>
    <t>RoofShapeCode_withTower</t>
  </si>
  <si>
    <t>RoofShapeCode_withTurret</t>
  </si>
  <si>
    <t>RouteConstrictionTypeCode_arcade</t>
  </si>
  <si>
    <t>RouteConstrictionTypeCode_bridgePier</t>
  </si>
  <si>
    <t>RouteConstrictionTypeCode_bridgeSuperstructure</t>
  </si>
  <si>
    <t>RouteConstrictionTypeCode_bridgeTower</t>
  </si>
  <si>
    <t>RouteConstrictionTypeCode_building</t>
  </si>
  <si>
    <t>RouteConstrictionTypeCode_causewayStructure</t>
  </si>
  <si>
    <t>RouteConstrictionTypeCode_cave</t>
  </si>
  <si>
    <t>RouteConstrictionTypeCode_culvert</t>
  </si>
  <si>
    <t>RouteConstrictionTypeCode_curb</t>
  </si>
  <si>
    <t>RouteConstrictionTypeCode_cut</t>
  </si>
  <si>
    <t>RouteConstrictionTypeCode_dam</t>
  </si>
  <si>
    <t>RouteConstrictionTypeCode_dropgate</t>
  </si>
  <si>
    <t>RouteConstrictionTypeCode_embankment</t>
  </si>
  <si>
    <t>RouteConstrictionTypeCode_entranceExit</t>
  </si>
  <si>
    <t>RouteConstrictionTypeCode_fence</t>
  </si>
  <si>
    <t>RouteConstrictionTypeCode_fireHydrant</t>
  </si>
  <si>
    <t>RouteConstrictionTypeCode_ford</t>
  </si>
  <si>
    <t>RouteConstrictionTypeCode_gallery</t>
  </si>
  <si>
    <t>RouteConstrictionTypeCode_gantry</t>
  </si>
  <si>
    <t>RouteConstrictionTypeCode_gate</t>
  </si>
  <si>
    <t>RouteConstrictionTypeCode_hedgerow</t>
  </si>
  <si>
    <t>RouteConstrictionTypeCode_memorialMonument</t>
  </si>
  <si>
    <t>RouteConstrictionTypeCode_nonBuildingStructure</t>
  </si>
  <si>
    <t>RouteConstrictionTypeCode_parkingGarage</t>
  </si>
  <si>
    <t>RouteConstrictionTypeCode_pass</t>
  </si>
  <si>
    <t>RouteConstrictionTypeCode_pipeline</t>
  </si>
  <si>
    <t>RouteConstrictionTypeCode_pipelineCrossingPoint</t>
  </si>
  <si>
    <t>RouteConstrictionTypeCode_preparedWatercourseCross</t>
  </si>
  <si>
    <t>RouteConstrictionTypeCode_railwaySignal</t>
  </si>
  <si>
    <t>RouteConstrictionTypeCode_railwaySwitch</t>
  </si>
  <si>
    <t>RouteConstrictionTypeCode_ramp</t>
  </si>
  <si>
    <t>RouteConstrictionTypeCode_reducedTrackLaneCount</t>
  </si>
  <si>
    <t>RouteConstrictionTypeCode_retailStand</t>
  </si>
  <si>
    <t>RouteConstrictionTypeCode_roadInterchange</t>
  </si>
  <si>
    <t>RouteConstrictionTypeCode_rockFormation</t>
  </si>
  <si>
    <t>RouteConstrictionTypeCode_routeRelatedStructure</t>
  </si>
  <si>
    <t>RouteConstrictionTypeCode_stair</t>
  </si>
  <si>
    <t>RouteConstrictionTypeCode_steepTerrainFace</t>
  </si>
  <si>
    <t>RouteConstrictionTypeCode_transportationBlock</t>
  </si>
  <si>
    <t>RouteConstrictionTypeCode_transRouteProtectStruct</t>
  </si>
  <si>
    <t>RouteConstrictionTypeCode_tunnel</t>
  </si>
  <si>
    <t>RouteConstrictionTypeCode_underpass</t>
  </si>
  <si>
    <t>RouteConstrictionTypeCode_woodenCauseway</t>
  </si>
  <si>
    <t>RouteDesignationTypeCode_international</t>
  </si>
  <si>
    <t>RouteDesignationTypeCode_local</t>
  </si>
  <si>
    <t>RouteDesignationTypeCode_national</t>
  </si>
  <si>
    <t>RouteDesignationTypeCode_nationalMotorway</t>
  </si>
  <si>
    <t>RouteDesignationTypeCode_secondary</t>
  </si>
  <si>
    <t>RouteExpansionTypeCode_increasedTrackLaneCount</t>
  </si>
  <si>
    <t>RouteExpansionTypeCode_railwaySidetrack</t>
  </si>
  <si>
    <t>RouteExpansionTypeCode_roadsideRestArea</t>
  </si>
  <si>
    <t>RouteExpansionTypeCode_shoulder</t>
  </si>
  <si>
    <t>RouteExpansionTypeCode_siding</t>
  </si>
  <si>
    <t>RouteIntendedUseCode_deepWaterRoute</t>
  </si>
  <si>
    <t>RouteIntendedUseCode_qRoute</t>
  </si>
  <si>
    <t>RouteIntendedUseCode_recommendDirectionTraffic</t>
  </si>
  <si>
    <t>RouteIntendedUseCode_recommendRoute</t>
  </si>
  <si>
    <t>RouteIntendedUseCode_recommendTrackDeepDraft</t>
  </si>
  <si>
    <t>RouteIntendedUseCode_recommendTrackOtherDraft</t>
  </si>
  <si>
    <t>RouteIntendedUseCode_transitRoute</t>
  </si>
  <si>
    <t>RouteIntendedUseCode_twoWayRoute</t>
  </si>
  <si>
    <t>RouteSurfaceCompositionCode_aggregate</t>
  </si>
  <si>
    <t>RouteSurfaceCompositionCode_asphalt</t>
  </si>
  <si>
    <t>RouteSurfaceCompositionCode_asphaltOverConcrete</t>
  </si>
  <si>
    <t>RouteSurfaceCompositionCode_boundSurface</t>
  </si>
  <si>
    <t>RouteSurfaceCompositionCode_brick</t>
  </si>
  <si>
    <t>RouteSurfaceCompositionCode_cobblestone</t>
  </si>
  <si>
    <t>RouteSurfaceCompositionCode_concrete</t>
  </si>
  <si>
    <t>RouteSurfaceCompositionCode_corduroy</t>
  </si>
  <si>
    <t>RouteSurfaceCompositionCode_flexiblePavement</t>
  </si>
  <si>
    <t>RouteSurfaceCompositionCode_ice</t>
  </si>
  <si>
    <t>RouteSurfaceCompositionCode_macadam</t>
  </si>
  <si>
    <t>RouteSurfaceCompositionCode_metal</t>
  </si>
  <si>
    <t>RouteSurfaceCompositionCode_rigidPavement</t>
  </si>
  <si>
    <t>RouteSurfaceCompositionCode_snow</t>
  </si>
  <si>
    <t>RouteSurfaceCompositionCode_stabilizedEarth</t>
  </si>
  <si>
    <t>RouteSurfaceCompositionCode_unimproved</t>
  </si>
  <si>
    <t>RouteSurfaceCompositionCode_wood</t>
  </si>
  <si>
    <t>RouteSurfaceCompositionCode_woodPlank</t>
  </si>
  <si>
    <t>RunwayCentreLineLocRoleCode_abeamElevation</t>
  </si>
  <si>
    <t>RunwayCentreLineLocRoleCode_abeamGlideslope</t>
  </si>
  <si>
    <t>RunwayCentreLineLocRoleCode_abeamPrecisionApproachRadar</t>
  </si>
  <si>
    <t>RunwayCentreLineLocRoleCode_abeamRunwayEndReflector</t>
  </si>
  <si>
    <t>RunwayCentreLineLocRoleCode_abeamTouchdownReflector</t>
  </si>
  <si>
    <t>RunwayCentreLineLocRoleCode_highestElevationPoint</t>
  </si>
  <si>
    <t>RunwayCentreLineLocRoleCode_runwayMidpoint</t>
  </si>
  <si>
    <t>RunwayCentreLineLocRoleCode_startRun</t>
  </si>
  <si>
    <t>RunwayCentreLineLocRoleCode_touchdownZone</t>
  </si>
  <si>
    <t>RunwayVisualRangeObsSiteCode_middle</t>
  </si>
  <si>
    <t>RunwayVisualRangeObsSiteCode_takeoff</t>
  </si>
  <si>
    <t>RunwayVisualRangeObsSiteCode_touchdown</t>
  </si>
  <si>
    <t>SandDuneTypeCode_crescent</t>
  </si>
  <si>
    <t>SandDuneTypeCode_dome</t>
  </si>
  <si>
    <t>SandDuneTypeCode_domeTransverse</t>
  </si>
  <si>
    <t>SandDuneTypeCode_linear</t>
  </si>
  <si>
    <t>SandDuneTypeCode_parabolic</t>
  </si>
  <si>
    <t>SandDuneTypeCode_ripple</t>
  </si>
  <si>
    <t>SandDuneTypeCode_star</t>
  </si>
  <si>
    <t>SandDuneTypeCode_transverse</t>
  </si>
  <si>
    <t>SatelliteBasedAugSystemCode_europeanGeoNavOverlayServ</t>
  </si>
  <si>
    <t>SatelliteBasedAugSystemCode_localAreaAugmentSystem</t>
  </si>
  <si>
    <t>SatelliteBasedAugSystemCode_multiFuncTransSatAugSys</t>
  </si>
  <si>
    <t>SatelliteBasedAugSystemCode_wideAreaAugmentSystem</t>
  </si>
  <si>
    <t>SeasonCode_autumn</t>
  </si>
  <si>
    <t>SeasonCode_dry</t>
  </si>
  <si>
    <t>SeasonCode_monsoonal</t>
  </si>
  <si>
    <t>SeasonCode_nonSeasonal</t>
  </si>
  <si>
    <t>SeasonCode_rainy</t>
  </si>
  <si>
    <t>SeasonCode_spring</t>
  </si>
  <si>
    <t>SeasonCode_summer</t>
  </si>
  <si>
    <t>SeasonCode_winter</t>
  </si>
  <si>
    <t>SecondaryControlAuthorityCode_civilian</t>
  </si>
  <si>
    <t>SecondaryControlAuthorityCode_jointMilitaryCivilian</t>
  </si>
  <si>
    <t>SecondaryControlAuthorityCode_military</t>
  </si>
  <si>
    <t>SecondaryControlAuthorityCode_private</t>
  </si>
  <si>
    <t>SecondaryControlAuthorityCode_public</t>
  </si>
  <si>
    <t>SedimentColourCode_black</t>
  </si>
  <si>
    <t>SedimentColourCode_brilliantGreen</t>
  </si>
  <si>
    <t>SedimentColourCode_darkGreenishYellow</t>
  </si>
  <si>
    <t>SedimentColourCode_darkReddishBrown</t>
  </si>
  <si>
    <t>SedimentColourCode_darkYellowishGreen</t>
  </si>
  <si>
    <t>SedimentColourCode_duskyBlueGreen</t>
  </si>
  <si>
    <t>SedimentColourCode_duskyGreen</t>
  </si>
  <si>
    <t>SedimentColourCode_duskyRed</t>
  </si>
  <si>
    <t>SedimentColourCode_duskyYellow</t>
  </si>
  <si>
    <t>SedimentColourCode_duskyYellowishGreen</t>
  </si>
  <si>
    <t>SedimentColourCode_grayishGreen</t>
  </si>
  <si>
    <t>SedimentColourCode_grayishOrangePink</t>
  </si>
  <si>
    <t>SedimentColourCode_grayishRed</t>
  </si>
  <si>
    <t>SedimentColourCode_grayishYellow</t>
  </si>
  <si>
    <t>SedimentColourCode_grayishYellowishGreen</t>
  </si>
  <si>
    <t>SedimentColourCode_greenishOlive</t>
  </si>
  <si>
    <t>SedimentColourCode_lightBlueGreen</t>
  </si>
  <si>
    <t>SedimentColourCode_lightGreen</t>
  </si>
  <si>
    <t>SedimentColourCode_lightOlive</t>
  </si>
  <si>
    <t>SedimentColourCode_lightOliveBrown</t>
  </si>
  <si>
    <t>SedimentColourCode_lightRed</t>
  </si>
  <si>
    <t>SedimentColourCode_lightYellowishGreen</t>
  </si>
  <si>
    <t>SedimentColourCode_moderateGrayishGreen</t>
  </si>
  <si>
    <t>SedimentColourCode_moderateGreen</t>
  </si>
  <si>
    <t>SedimentColourCode_moderateGreenishYellow</t>
  </si>
  <si>
    <t>SedimentColourCode_moderateOliveBrown</t>
  </si>
  <si>
    <t>SedimentColourCode_moderateOrangePink</t>
  </si>
  <si>
    <t>SedimentColourCode_moderatePink</t>
  </si>
  <si>
    <t>SedimentColourCode_moderateRed</t>
  </si>
  <si>
    <t>SedimentColourCode_moderateReddishBrown</t>
  </si>
  <si>
    <t>SedimentColourCode_moderateReddishOrange</t>
  </si>
  <si>
    <t>SedimentColourCode_moderateYellow</t>
  </si>
  <si>
    <t>SedimentColourCode_moderateYellowishGreen</t>
  </si>
  <si>
    <t>SedimentColourCode_paleGrayishGreen</t>
  </si>
  <si>
    <t>SedimentColourCode_paleGreen</t>
  </si>
  <si>
    <t>SedimentColourCode_paleGreenishYellow</t>
  </si>
  <si>
    <t>SedimentColourCode_paleOlive</t>
  </si>
  <si>
    <t>SedimentColourCode_palePink</t>
  </si>
  <si>
    <t>SedimentColourCode_palePurple</t>
  </si>
  <si>
    <t>SedimentColourCode_paleRed</t>
  </si>
  <si>
    <t>SedimentColourCode_paleReddishBrown</t>
  </si>
  <si>
    <t>SedimentColourCode_paleRedPurple</t>
  </si>
  <si>
    <t>SedimentColourCode_paleYellowishGreen</t>
  </si>
  <si>
    <t>SedimentColourCode_veryDarkRed</t>
  </si>
  <si>
    <t>SedimentColourCode_veryDuskyPurple</t>
  </si>
  <si>
    <t>SedimentColourCode_veryDuskyRed</t>
  </si>
  <si>
    <t>SedimentColourCode_veryDuskyRedPurple</t>
  </si>
  <si>
    <t>SedimentColourCode_veryPaleGreen</t>
  </si>
  <si>
    <t>SedimentColourCode_white</t>
  </si>
  <si>
    <t>SensorCalibrationPointUseCode_bomisPoint</t>
  </si>
  <si>
    <t>SensorCalibrationPointUseCode_radarTargetPoint</t>
  </si>
  <si>
    <t>SensorCalibrationPointUseCode_sonarCalibrationPoint</t>
  </si>
  <si>
    <t>SensorCalibrationPointUseCode_sonarTargetPoint</t>
  </si>
  <si>
    <t>SensorCalibrationPointUseCode_underwaterAcousticPhonePt</t>
  </si>
  <si>
    <t>SettlementPatternCode_concentricRegular</t>
  </si>
  <si>
    <t>SettlementPatternCode_contourConforming</t>
  </si>
  <si>
    <t>SettlementPatternCode_contouringButIrregular</t>
  </si>
  <si>
    <t>SettlementPatternCode_curvilinear</t>
  </si>
  <si>
    <t>SettlementPatternCode_irregularCanals</t>
  </si>
  <si>
    <t>SettlementPatternCode_linear</t>
  </si>
  <si>
    <t>SettlementPatternCode_medievalAndIrregular</t>
  </si>
  <si>
    <t>SettlementPatternCode_mixedRadialCurvilinear</t>
  </si>
  <si>
    <t>SettlementPatternCode_mixedRectangularRadial</t>
  </si>
  <si>
    <t>SettlementPatternCode_mixedRectCurvilinear</t>
  </si>
  <si>
    <t>SettlementPatternCode_radialButIrregular</t>
  </si>
  <si>
    <t>SettlementPatternCode_radialRegular</t>
  </si>
  <si>
    <t>SettlementPatternCode_rectangularButIrregular</t>
  </si>
  <si>
    <t>SettlementPatternCode_rectangularRegular</t>
  </si>
  <si>
    <t>SettlementPatternCode_regularCanals</t>
  </si>
  <si>
    <t>ShippingContainerTypeCode_deliverableContainer</t>
  </si>
  <si>
    <t>ShippingContainerTypeCode_dumpster</t>
  </si>
  <si>
    <t>ShippingContainerTypeCode_isoContainer</t>
  </si>
  <si>
    <t>ShippingContainerTypeCode_rollOffDumpster</t>
  </si>
  <si>
    <t>ShippingContainerTypeCode_tankContainer</t>
  </si>
  <si>
    <t>ShorelineConstructionTypeCode_breakwater</t>
  </si>
  <si>
    <t>ShorelineConstructionTypeCode_groin</t>
  </si>
  <si>
    <t>ShorelineConstructionTypeCode_marineRevetment</t>
  </si>
  <si>
    <t>ShorelineConstructionTypeCode_mole</t>
  </si>
  <si>
    <t>ShorelineConstructionTypeCode_pier</t>
  </si>
  <si>
    <t>ShorelineConstructionTypeCode_promenade</t>
  </si>
  <si>
    <t>ShorelineConstructionTypeCode_quay</t>
  </si>
  <si>
    <t>ShorelineConstructionTypeCode_recreationalPier</t>
  </si>
  <si>
    <t>ShorelineConstructionTypeCode_ripRap</t>
  </si>
  <si>
    <t>ShorelineConstructionTypeCode_seawall</t>
  </si>
  <si>
    <t>ShorelineConstructionTypeCode_trainingWall</t>
  </si>
  <si>
    <t>ShorelineConstructionTypeCode_wharf</t>
  </si>
  <si>
    <t>ShorelineRampTypeCode_logRamp</t>
  </si>
  <si>
    <t>ShorelineRampTypeCode_marineRamp</t>
  </si>
  <si>
    <t>ShorelineRampTypeCode_slipway</t>
  </si>
  <si>
    <t>ShorelineTypeCode_buildingRubble</t>
  </si>
  <si>
    <t>ShorelineTypeCode_coral</t>
  </si>
  <si>
    <t>ShorelineTypeCode_erosionRubble</t>
  </si>
  <si>
    <t>ShorelineTypeCode_ice</t>
  </si>
  <si>
    <t>ShorelineTypeCode_mangrove</t>
  </si>
  <si>
    <t>ShorelineTypeCode_marshy</t>
  </si>
  <si>
    <t>ShorelineTypeCode_mud</t>
  </si>
  <si>
    <t>ShorelineTypeCode_sandy</t>
  </si>
  <si>
    <t>ShorelineTypeCode_shingly</t>
  </si>
  <si>
    <t>ShorelineTypeCode_stony</t>
  </si>
  <si>
    <t>ShrubLandTypeCode_brush</t>
  </si>
  <si>
    <t>ShrubLandTypeCode_scrubland</t>
  </si>
  <si>
    <t>SigPointAssocInAirspaceCode_entryExitPoint</t>
  </si>
  <si>
    <t>SigPointAssocInAirspaceCode_entryPoint</t>
  </si>
  <si>
    <t>SigPointAssocInAirspaceCode_exitPoint</t>
  </si>
  <si>
    <t>SigPointRelLocToAirspaceCode_border</t>
  </si>
  <si>
    <t>SigPointRelLocToAirspaceCode_in</t>
  </si>
  <si>
    <t>SigPointRelLocToAirspaceCode_out</t>
  </si>
  <si>
    <t>SinkingMethodCode_aircraft</t>
  </si>
  <si>
    <t>SinkingMethodCode_explosiveMine</t>
  </si>
  <si>
    <t>SinkingMethodCode_marineCasualty</t>
  </si>
  <si>
    <t>SinkingMethodCode_ordnanceExerciseTarget</t>
  </si>
  <si>
    <t>SinkingMethodCode_scuttled</t>
  </si>
  <si>
    <t>SinkingMethodCode_shoreBasedGunfire</t>
  </si>
  <si>
    <t>SinkingMethodCode_submarine</t>
  </si>
  <si>
    <t>SinkingMethodCode_surfaceCraft</t>
  </si>
  <si>
    <t>SinkingMethodCode_undefinedEnemyAction</t>
  </si>
  <si>
    <t>SoilTypeCode_clayeyGravel</t>
  </si>
  <si>
    <t>SoilTypeCode_clayeySand</t>
  </si>
  <si>
    <t>SoilTypeCode_evaporite</t>
  </si>
  <si>
    <t>SoilTypeCode_fatClay</t>
  </si>
  <si>
    <t>SoilTypeCode_leanClay</t>
  </si>
  <si>
    <t>SoilTypeCode_micraceous</t>
  </si>
  <si>
    <t>SoilTypeCode_notEvaluated</t>
  </si>
  <si>
    <t>SoilTypeCode_organicClay</t>
  </si>
  <si>
    <t>SoilTypeCode_organicSiltandClay</t>
  </si>
  <si>
    <t>SoilTypeCode_peat</t>
  </si>
  <si>
    <t>SoilTypeCode_poorlyGradedGravel</t>
  </si>
  <si>
    <t>SoilTypeCode_poorlyGradedSand</t>
  </si>
  <si>
    <t>SoilTypeCode_siltAndFineSand</t>
  </si>
  <si>
    <t>SoilTypeCode_siltFineSandLeanClay</t>
  </si>
  <si>
    <t>SoilTypeCode_siltyGravelSand</t>
  </si>
  <si>
    <t>SoilTypeCode_siltySand</t>
  </si>
  <si>
    <t>SoilTypeCode_wellGradedGravel</t>
  </si>
  <si>
    <t>SoilTypeCode_wellGradedSand</t>
  </si>
  <si>
    <t>SoilWetTrafficabilityTypeCode_a</t>
  </si>
  <si>
    <t>SoilWetTrafficabilityTypeCode_b</t>
  </si>
  <si>
    <t>SoilWetTrafficabilityTypeCode_c</t>
  </si>
  <si>
    <t>SoilWetTrafficabilityTypeCode_d</t>
  </si>
  <si>
    <t>SoilWetTrafficabilityTypeCode_e</t>
  </si>
  <si>
    <t>SoilWetTrafficabilityTypeCode_x</t>
  </si>
  <si>
    <t>SoilWetnessConditionCode_normallyDry</t>
  </si>
  <si>
    <t>SoilWetnessConditionCode_normallyFrozen</t>
  </si>
  <si>
    <t>SoilWetnessConditionCode_normallyMoist</t>
  </si>
  <si>
    <t>SoilWetnessConditionCode_normallyWet</t>
  </si>
  <si>
    <t>SoundingDatumCode_approxLowestAstronomTide</t>
  </si>
  <si>
    <t>SoundingDatumCode_approxMeanLowerLowWater</t>
  </si>
  <si>
    <t>SoundingDatumCode_approxMeanLowWater</t>
  </si>
  <si>
    <t>SoundingDatumCode_approxMeanLowWaterSprings</t>
  </si>
  <si>
    <t>SoundingDatumCode_approxMeanSeaLevel</t>
  </si>
  <si>
    <t>SoundingDatumCode_chartDatumUnspecified</t>
  </si>
  <si>
    <t>SoundingDatumCode_equinoctialSpringLowWater</t>
  </si>
  <si>
    <t>SoundingDatumCode_higherHighWater</t>
  </si>
  <si>
    <t>SoundingDatumCode_higherHighWaterLargeTide</t>
  </si>
  <si>
    <t>SoundingDatumCode_highestAstronomicalTide</t>
  </si>
  <si>
    <t>SoundingDatumCode_highestHighWater</t>
  </si>
  <si>
    <t>SoundingDatumCode_highWater</t>
  </si>
  <si>
    <t>SoundingDatumCode_highWaterSprings</t>
  </si>
  <si>
    <t>SoundingDatumCode_igld1985</t>
  </si>
  <si>
    <t>SoundingDatumCode_indianSpringHighWater</t>
  </si>
  <si>
    <t>SoundingDatumCode_indianSpringLowWater</t>
  </si>
  <si>
    <t>SoundingDatumCode_localDatum</t>
  </si>
  <si>
    <t>SoundingDatumCode_lowerLowWater</t>
  </si>
  <si>
    <t>SoundingDatumCode_lowerLowWaterLargeTide</t>
  </si>
  <si>
    <t>SoundingDatumCode_lowestAstronomicalTide</t>
  </si>
  <si>
    <t>SoundingDatumCode_lowestLowWater</t>
  </si>
  <si>
    <t>SoundingDatumCode_lowestLowWaterSprings</t>
  </si>
  <si>
    <t>SoundingDatumCode_lowWater</t>
  </si>
  <si>
    <t>SoundingDatumCode_lowWaterSprings</t>
  </si>
  <si>
    <t>SoundingDatumCode_meanHigherHighWater</t>
  </si>
  <si>
    <t>SoundingDatumCode_meanHigherHighWaterSprings</t>
  </si>
  <si>
    <t>SoundingDatumCode_meanHighWater</t>
  </si>
  <si>
    <t>SoundingDatumCode_meanHighWaterNeaps</t>
  </si>
  <si>
    <t>SoundingDatumCode_meanHighWaterSprings</t>
  </si>
  <si>
    <t>SoundingDatumCode_meanLowerLowWater</t>
  </si>
  <si>
    <t>SoundingDatumCode_meanLowerLowWaterSprings</t>
  </si>
  <si>
    <t>SoundingDatumCode_meanLowWater</t>
  </si>
  <si>
    <t>SoundingDatumCode_meanLowWaterNeaps</t>
  </si>
  <si>
    <t>SoundingDatumCode_meanLowWaterSprings</t>
  </si>
  <si>
    <t>SoundingDatumCode_meanSeaLevel</t>
  </si>
  <si>
    <t>SoundingDatumCode_meanTideLevel</t>
  </si>
  <si>
    <t>SoundingDatumCode_meanWaterLevel</t>
  </si>
  <si>
    <t>SoundingDatumCode_neapTide</t>
  </si>
  <si>
    <t>SoundingDatumCode_nearlyHighestHighWater</t>
  </si>
  <si>
    <t>SoundingDatumCode_nearlyLowestLowWater</t>
  </si>
  <si>
    <t>SoundingDatumCode_springTide</t>
  </si>
  <si>
    <t>SoundingExpositionCode_deeper</t>
  </si>
  <si>
    <t>SoundingExpositionCode_shallower</t>
  </si>
  <si>
    <t>SoundingExpositionCode_withinRange</t>
  </si>
  <si>
    <t>SoundingVelCorrectMethodCode_mathewsTables</t>
  </si>
  <si>
    <t>SoundingVelCorrectMethodCode_sounder1500Calibrated</t>
  </si>
  <si>
    <t>SoundingVelCorrectMethodCode_sounder4800Calibrated</t>
  </si>
  <si>
    <t>SoundingVelCorrectMethodCode_sounderOtherCalibrated</t>
  </si>
  <si>
    <t>SoundingVelCorrectMethodCode_soundVelocityMeter</t>
  </si>
  <si>
    <t>SourceCategoryCode_bathymetricModelData</t>
  </si>
  <si>
    <t>SourceCategoryCode_bathymetricSurveyData</t>
  </si>
  <si>
    <t>SourceCategoryCode_cartographicSource</t>
  </si>
  <si>
    <t>SourceCategoryCode_hyperspectralImagery</t>
  </si>
  <si>
    <t>SourceCategoryCode_landSurveyData</t>
  </si>
  <si>
    <t>SourceCategoryCode_monoscopicImagery</t>
  </si>
  <si>
    <t>SourceCategoryCode_multispectralImagery</t>
  </si>
  <si>
    <t>SourceCategoryCode_reportedInformation</t>
  </si>
  <si>
    <t>SourceCategoryCode_sarImagery</t>
  </si>
  <si>
    <t>SourceCategoryCode_stereoscopicImagery</t>
  </si>
  <si>
    <t>SpecialAdminUnitCode_armyCorpsEngDistrict</t>
  </si>
  <si>
    <t>SpecialAdminUnitCode_armyCorpsEngDivision</t>
  </si>
  <si>
    <t>SpecialAdminUnitCode_borderPatrolSector</t>
  </si>
  <si>
    <t>SpecialAdminUnitCode_censusDistrict</t>
  </si>
  <si>
    <t>SpecialAdminUnitCode_coastGuardSector</t>
  </si>
  <si>
    <t>SpecialAdminUnitCode_concessionArea</t>
  </si>
  <si>
    <t>SpecialAdminUnitCode_congressionalDistrict</t>
  </si>
  <si>
    <t>SpecialAdminUnitCode_economicRegion</t>
  </si>
  <si>
    <t>SpecialAdminUnitCode_envProtectionAgRegion</t>
  </si>
  <si>
    <t>SpecialAdminUnitCode_fbiFieldOffJurisdiction</t>
  </si>
  <si>
    <t>SpecialAdminUnitCode_fbiResidentAgDistrict</t>
  </si>
  <si>
    <t>SpecialAdminUnitCode_fedAviationAdminRegion</t>
  </si>
  <si>
    <t>SpecialAdminUnitCode_fedEmergManageAgRegion</t>
  </si>
  <si>
    <t>SpecialAdminUnitCode_fedEnergyRegCommRegion</t>
  </si>
  <si>
    <t>SpecialAdminUnitCode_freeTradeZone</t>
  </si>
  <si>
    <t>SpecialAdminUnitCode_leaseArea</t>
  </si>
  <si>
    <t>SpecialAdminUnitCode_nativeAmericanReservation</t>
  </si>
  <si>
    <t>SpecialAdminUnitCode_postalDistrict</t>
  </si>
  <si>
    <t>SpecialAdminUnitCode_radAssistProgramRegion</t>
  </si>
  <si>
    <t>SpecialAdminUnitCode_waterManagementDistrict</t>
  </si>
  <si>
    <t>SpecialNavServiceTypeCode_deccaGreenSlave</t>
  </si>
  <si>
    <t>SpecialNavServiceTypeCode_deccaPurpleSlave</t>
  </si>
  <si>
    <t>SpecialNavServiceTypeCode_deccaRedSlave</t>
  </si>
  <si>
    <t>SpecialNavServiceTypeCode_loranSecondary</t>
  </si>
  <si>
    <t>SpecialNavServiceTypeCode_master</t>
  </si>
  <si>
    <t>SpecialNavSystemTypeCode_decca</t>
  </si>
  <si>
    <t>SpecialNavSystemTypeCode_loranA</t>
  </si>
  <si>
    <t>SpecialNavSystemTypeCode_loranC</t>
  </si>
  <si>
    <t>SpecialNavSystemTypeCode_loranD</t>
  </si>
  <si>
    <t>SpecifiedComplianceTypeCode_mandatory</t>
  </si>
  <si>
    <t>SpecifiedComplianceTypeCode_notMandatory</t>
  </si>
  <si>
    <t>SpecifiedComplianceTypeCode_notRecommended</t>
  </si>
  <si>
    <t>SpecifiedComplianceTypeCode_recommended</t>
  </si>
  <si>
    <t>SpecifiedComplianceTypeCode_reserved</t>
  </si>
  <si>
    <t>StandardOperatingTimesCode_byNoticeToAirmen</t>
  </si>
  <si>
    <t>StandardOperatingTimesCode_byNoticeToMariner</t>
  </si>
  <si>
    <t>StandardOperatingTimesCode_conditional</t>
  </si>
  <si>
    <t>StandardOperatingTimesCode_continuousH24</t>
  </si>
  <si>
    <t>StandardOperatingTimesCode_holidays</t>
  </si>
  <si>
    <t>StandardOperatingTimesCode_onCallHO</t>
  </si>
  <si>
    <t>StandardOperatingTimesCode_sunriseSunset</t>
  </si>
  <si>
    <t>StandardOperatingTimesCode_sunsetSunrise</t>
  </si>
  <si>
    <t>StandardOperatingTimesCode_weekdays</t>
  </si>
  <si>
    <t>StandardOperatingTimesCode_weekends</t>
  </si>
  <si>
    <t>StatisticalGeoAreaTypeCode_alaskaNatVillageStatArea</t>
  </si>
  <si>
    <t>StatisticalGeoAreaTypeCode_census2kRuralArea</t>
  </si>
  <si>
    <t>StatisticalGeoAreaTypeCode_census2kUrbanCluster</t>
  </si>
  <si>
    <t>StatisticalGeoAreaTypeCode_census2kUrbanizedArea</t>
  </si>
  <si>
    <t>StatisticalGeoAreaTypeCode_hsipUrbanizedAreaInterest</t>
  </si>
  <si>
    <t>StatisticalGeoAreaTypeCode_landslideArea</t>
  </si>
  <si>
    <t>StatisticalGeoAreaTypeCode_oklahomaTribalStatArea</t>
  </si>
  <si>
    <t>StatisticalGeoAreaTypeCode_seismicArea</t>
  </si>
  <si>
    <t>StatisticalGeoAreaTypeCode_stateDesigAmIndianStatArea</t>
  </si>
  <si>
    <t>StatisticalGeoAreaTypeCode_tribalDesigStatArea</t>
  </si>
  <si>
    <t>StatisticalGeoAreaTypeCode_tribalJurisdictionStatArea</t>
  </si>
  <si>
    <t>StolenItemCode_fuel</t>
  </si>
  <si>
    <t>StolenItemCode_generalCargo</t>
  </si>
  <si>
    <t>StolenItemCode_potentialHazardCargo</t>
  </si>
  <si>
    <t>StolenItemCode_radioEquipment</t>
  </si>
  <si>
    <t>StolenItemCode_safetyEquipment</t>
  </si>
  <si>
    <t>StolenItemCode_significantMoney</t>
  </si>
  <si>
    <t>StolenItemCode_spareParts</t>
  </si>
  <si>
    <t>StolenItemCode_vesselStores</t>
  </si>
  <si>
    <t>StolenItemCode_weapons</t>
  </si>
  <si>
    <t>StreetSignTypeCode_direction</t>
  </si>
  <si>
    <t>StreetSignTypeCode_electronicMessage</t>
  </si>
  <si>
    <t>StreetSignTypeCode_generalInformation</t>
  </si>
  <si>
    <t>StreetSignTypeCode_mandatoryRegulation</t>
  </si>
  <si>
    <t>StreetSignTypeCode_placeIdentification</t>
  </si>
  <si>
    <t>StreetSignTypeCode_prohibitedRestrictedActivity</t>
  </si>
  <si>
    <t>StreetSignTypeCode_roadIdentification</t>
  </si>
  <si>
    <t>StreetSignTypeCode_routeMarker</t>
  </si>
  <si>
    <t>StreetSignTypeCode_trafficControl</t>
  </si>
  <si>
    <t>StreetSignTypeCode_warning</t>
  </si>
  <si>
    <t>StructureShapeCode_arched</t>
  </si>
  <si>
    <t>StructureShapeCode_boardLikePrism</t>
  </si>
  <si>
    <t>StructureShapeCode_columnar</t>
  </si>
  <si>
    <t>StructureShapeCode_cross</t>
  </si>
  <si>
    <t>StructureShapeCode_cubic</t>
  </si>
  <si>
    <t>StructureShapeCode_cylindricalConicalTop</t>
  </si>
  <si>
    <t>StructureShapeCode_cylindricalDomedTop</t>
  </si>
  <si>
    <t>StructureShapeCode_cylindricalFlatTop</t>
  </si>
  <si>
    <t>StructureShapeCode_cylindricalOnTower</t>
  </si>
  <si>
    <t>StructureShapeCode_cylindricalWithFramework</t>
  </si>
  <si>
    <t>StructureShapeCode_domed</t>
  </si>
  <si>
    <t>StructureShapeCode_horizontalCappedCylinder</t>
  </si>
  <si>
    <t>StructureShapeCode_horizontalCylindrical</t>
  </si>
  <si>
    <t>StructureShapeCode_multipleArched</t>
  </si>
  <si>
    <t>StructureShapeCode_obelisk</t>
  </si>
  <si>
    <t>StructureShapeCode_plaque</t>
  </si>
  <si>
    <t>StructureShapeCode_pyramidal</t>
  </si>
  <si>
    <t>StructureShapeCode_rectangularPrism</t>
  </si>
  <si>
    <t>StructureShapeCode_shapedLikeFunnel</t>
  </si>
  <si>
    <t>StructureShapeCode_spherical</t>
  </si>
  <si>
    <t>StructureShapeCode_sphericalOnColumn</t>
  </si>
  <si>
    <t>StructureShapeCode_squarePrism</t>
  </si>
  <si>
    <t>StructureShapeCode_statue</t>
  </si>
  <si>
    <t>StructureShapeCode_statueOnPedestal</t>
  </si>
  <si>
    <t>StructureShapeCode_verticalCappedCylindrical</t>
  </si>
  <si>
    <t>StructureShapeCode_verticalCylindrical</t>
  </si>
  <si>
    <t>SubmarineAcousticSigTypeCode_nonShoreSoundSignal</t>
  </si>
  <si>
    <t>SubmarineAcousticSigTypeCode_oscillator</t>
  </si>
  <si>
    <t>SubmarineAcousticSigTypeCode_shoreSoundSignal</t>
  </si>
  <si>
    <t>SubstationTypeCode_converterSubstation</t>
  </si>
  <si>
    <t>SubstationTypeCode_switchedSubstation</t>
  </si>
  <si>
    <t>SubstationTypeCode_transformerSubstation</t>
  </si>
  <si>
    <t>SurfaceDetectionStationTypeCode_autoDependentSurvBroadcast</t>
  </si>
  <si>
    <t>SurfaceDetectionStationTypeCode_multilaterationSensor</t>
  </si>
  <si>
    <t>SurveyCoverageCategoryCode_inadequatelySurveyed</t>
  </si>
  <si>
    <t>SurveyCoverageCategoryCode_surveyed</t>
  </si>
  <si>
    <t>SurveyCoverageCategoryCode_unsurveyed</t>
  </si>
  <si>
    <t>SurveyPointMarkCode_marked</t>
  </si>
  <si>
    <t xml:space="preserve">SurveyPointMarkCode_unmarkedAndUnrecoverable </t>
  </si>
  <si>
    <t>SurveyPointMarkCode_unmarkedButRecoverable</t>
  </si>
  <si>
    <t>SurveyPointTypeCode_astronomicPosition</t>
  </si>
  <si>
    <t>SurveyPointTypeCode_benchmark</t>
  </si>
  <si>
    <t>SurveyPointTypeCode_cadastralControlPoint</t>
  </si>
  <si>
    <t>SurveyPointTypeCode_cameraStation</t>
  </si>
  <si>
    <t>SurveyPointTypeCode_geodeticPoint</t>
  </si>
  <si>
    <t>SurveyPointTypeCode_gravityPoint</t>
  </si>
  <si>
    <t>SurveyPointTypeCode_magneticStation</t>
  </si>
  <si>
    <t>SurveyPointTypeCode_theodoliteStation</t>
  </si>
  <si>
    <t>SurveyPointTypeCode_tidalBenchmark</t>
  </si>
  <si>
    <t>SurveyPointTypeCode_transitStation</t>
  </si>
  <si>
    <t>SurveyTechniqueCode_astronomicAzimuth</t>
  </si>
  <si>
    <t>SurveyTechniqueCode_astronomicPosition</t>
  </si>
  <si>
    <t>SurveyTechniqueCode_calculated</t>
  </si>
  <si>
    <t>SurveyTechniqueCode_doppler</t>
  </si>
  <si>
    <t>SurveyTechniqueCode_gnssAbsolute</t>
  </si>
  <si>
    <t>SurveyTechniqueCode_gnssClassical</t>
  </si>
  <si>
    <t>SurveyTechniqueCode_gnssKinematic</t>
  </si>
  <si>
    <t>SurveyTechniqueCode_gnssRapidStatic</t>
  </si>
  <si>
    <t>SurveyTechniqueCode_gnssRealTimeKinematic</t>
  </si>
  <si>
    <t>SurveyTechniqueCode_gnssRelative</t>
  </si>
  <si>
    <t>SurveyTechniqueCode_gnssStatic</t>
  </si>
  <si>
    <t>SurveyTechniqueCode_gravityAbsolute</t>
  </si>
  <si>
    <t>SurveyTechniqueCode_gravityExcentric</t>
  </si>
  <si>
    <t>SurveyTechniqueCode_gravityRelative</t>
  </si>
  <si>
    <t>SurveyTechniqueCode_intersection</t>
  </si>
  <si>
    <t>SurveyTechniqueCode_levelling</t>
  </si>
  <si>
    <t>SurveyTechniqueCode_lightDetectionRanging</t>
  </si>
  <si>
    <t>SurveyTechniqueCode_mobileScanning</t>
  </si>
  <si>
    <t>SurveyTechniqueCode_resection</t>
  </si>
  <si>
    <t>SurveyTechniqueCode_threeDimenLaserScanning</t>
  </si>
  <si>
    <t>SurveyTechniqueCode_triangulation</t>
  </si>
  <si>
    <t>SurveyTechniqueCode_trilateration</t>
  </si>
  <si>
    <t>SweptMineConditionCode_afloat</t>
  </si>
  <si>
    <t>SweptMineConditionCode_countermined</t>
  </si>
  <si>
    <t>SweptMineConditionCode_disposed</t>
  </si>
  <si>
    <t>SweptMineConditionCode_exploded</t>
  </si>
  <si>
    <t>SweptMineConditionCode_fouled</t>
  </si>
  <si>
    <t>SweptMineConditionCode_neutralized</t>
  </si>
  <si>
    <t>SweptMineConditionCode_notSwept</t>
  </si>
  <si>
    <t>SweptMineConditionCode_recovered</t>
  </si>
  <si>
    <t>SweptMineConditionCode_removed</t>
  </si>
  <si>
    <t>SweptMineConditionCode_renderedSafe</t>
  </si>
  <si>
    <t>SweptMineConditionCode_sunk</t>
  </si>
  <si>
    <t>TacticalAirNavChannelCode_chan001X</t>
  </si>
  <si>
    <t>TacticalAirNavChannelCode_chan001Y</t>
  </si>
  <si>
    <t>TacticalAirNavChannelCode_chan002X</t>
  </si>
  <si>
    <t>TacticalAirNavChannelCode_chan002Y</t>
  </si>
  <si>
    <t>TacticalAirNavChannelCode_chan003X</t>
  </si>
  <si>
    <t>TacticalAirNavChannelCode_chan003Y</t>
  </si>
  <si>
    <t>TacticalAirNavChannelCode_chan004X</t>
  </si>
  <si>
    <t>TacticalAirNavChannelCode_chan004Y</t>
  </si>
  <si>
    <t>TacticalAirNavChannelCode_chan005X</t>
  </si>
  <si>
    <t>TacticalAirNavChannelCode_chan005Y</t>
  </si>
  <si>
    <t>TacticalAirNavChannelCode_chan006X</t>
  </si>
  <si>
    <t>TacticalAirNavChannelCode_chan006Y</t>
  </si>
  <si>
    <t>TacticalAirNavChannelCode_chan007X</t>
  </si>
  <si>
    <t>TacticalAirNavChannelCode_chan007Y</t>
  </si>
  <si>
    <t>TacticalAirNavChannelCode_chan008X</t>
  </si>
  <si>
    <t>TacticalAirNavChannelCode_chan008Y</t>
  </si>
  <si>
    <t>TacticalAirNavChannelCode_chan009X</t>
  </si>
  <si>
    <t>TacticalAirNavChannelCode_chan009Y</t>
  </si>
  <si>
    <t>TacticalAirNavChannelCode_chan010X</t>
  </si>
  <si>
    <t>TacticalAirNavChannelCode_chan010Y</t>
  </si>
  <si>
    <t>TacticalAirNavChannelCode_chan011X</t>
  </si>
  <si>
    <t>TacticalAirNavChannelCode_chan011Y</t>
  </si>
  <si>
    <t>TacticalAirNavChannelCode_chan012X</t>
  </si>
  <si>
    <t>TacticalAirNavChannelCode_chan012Y</t>
  </si>
  <si>
    <t>TacticalAirNavChannelCode_chan013X</t>
  </si>
  <si>
    <t>TacticalAirNavChannelCode_chan013Y</t>
  </si>
  <si>
    <t>TacticalAirNavChannelCode_chan014X</t>
  </si>
  <si>
    <t>TacticalAirNavChannelCode_chan014Y</t>
  </si>
  <si>
    <t>TacticalAirNavChannelCode_chan015X</t>
  </si>
  <si>
    <t>TacticalAirNavChannelCode_chan015Y</t>
  </si>
  <si>
    <t>TacticalAirNavChannelCode_chan016X</t>
  </si>
  <si>
    <t>TacticalAirNavChannelCode_chan016Y</t>
  </si>
  <si>
    <t>TacticalAirNavChannelCode_chan017X</t>
  </si>
  <si>
    <t>TacticalAirNavChannelCode_chan017Y</t>
  </si>
  <si>
    <t>TacticalAirNavChannelCode_chan017Z</t>
  </si>
  <si>
    <t>TacticalAirNavChannelCode_chan018W</t>
  </si>
  <si>
    <t>TacticalAirNavChannelCode_chan018X</t>
  </si>
  <si>
    <t>TacticalAirNavChannelCode_chan018Y</t>
  </si>
  <si>
    <t>TacticalAirNavChannelCode_chan018Z</t>
  </si>
  <si>
    <t>TacticalAirNavChannelCode_chan019X</t>
  </si>
  <si>
    <t>TacticalAirNavChannelCode_chan019Y</t>
  </si>
  <si>
    <t>TacticalAirNavChannelCode_chan019Z</t>
  </si>
  <si>
    <t>TacticalAirNavChannelCode_chan020W</t>
  </si>
  <si>
    <t>TacticalAirNavChannelCode_chan020X</t>
  </si>
  <si>
    <t>TacticalAirNavChannelCode_chan020Y</t>
  </si>
  <si>
    <t>TacticalAirNavChannelCode_chan020Z</t>
  </si>
  <si>
    <t>TacticalAirNavChannelCode_chan021X</t>
  </si>
  <si>
    <t>TacticalAirNavChannelCode_chan021Y</t>
  </si>
  <si>
    <t>TacticalAirNavChannelCode_chan021Z</t>
  </si>
  <si>
    <t>TacticalAirNavChannelCode_chan022W</t>
  </si>
  <si>
    <t>TacticalAirNavChannelCode_chan022X</t>
  </si>
  <si>
    <t>TacticalAirNavChannelCode_chan022Y</t>
  </si>
  <si>
    <t>TacticalAirNavChannelCode_chan022Z</t>
  </si>
  <si>
    <t>TacticalAirNavChannelCode_chan023X</t>
  </si>
  <si>
    <t>TacticalAirNavChannelCode_chan023Y</t>
  </si>
  <si>
    <t>TacticalAirNavChannelCode_chan023Z</t>
  </si>
  <si>
    <t>TacticalAirNavChannelCode_chan024W</t>
  </si>
  <si>
    <t>TacticalAirNavChannelCode_chan024X</t>
  </si>
  <si>
    <t>TacticalAirNavChannelCode_chan024Y</t>
  </si>
  <si>
    <t>TacticalAirNavChannelCode_chan024Z</t>
  </si>
  <si>
    <t>TacticalAirNavChannelCode_chan025X</t>
  </si>
  <si>
    <t>TacticalAirNavChannelCode_chan025Y</t>
  </si>
  <si>
    <t>TacticalAirNavChannelCode_chan025Z</t>
  </si>
  <si>
    <t>TacticalAirNavChannelCode_chan026W</t>
  </si>
  <si>
    <t>TacticalAirNavChannelCode_chan026X</t>
  </si>
  <si>
    <t>TacticalAirNavChannelCode_chan026Y</t>
  </si>
  <si>
    <t>TacticalAirNavChannelCode_chan026Z</t>
  </si>
  <si>
    <t>TacticalAirNavChannelCode_chan027X</t>
  </si>
  <si>
    <t>TacticalAirNavChannelCode_chan027Y</t>
  </si>
  <si>
    <t>TacticalAirNavChannelCode_chan027Z</t>
  </si>
  <si>
    <t>TacticalAirNavChannelCode_chan028W</t>
  </si>
  <si>
    <t>TacticalAirNavChannelCode_chan028X</t>
  </si>
  <si>
    <t>TacticalAirNavChannelCode_chan028Y</t>
  </si>
  <si>
    <t>TacticalAirNavChannelCode_chan028Z</t>
  </si>
  <si>
    <t>TacticalAirNavChannelCode_chan029X</t>
  </si>
  <si>
    <t>TacticalAirNavChannelCode_chan029Y</t>
  </si>
  <si>
    <t>TacticalAirNavChannelCode_chan029Z</t>
  </si>
  <si>
    <t>TacticalAirNavChannelCode_chan030W</t>
  </si>
  <si>
    <t>TacticalAirNavChannelCode_chan030X</t>
  </si>
  <si>
    <t>TacticalAirNavChannelCode_chan030Y</t>
  </si>
  <si>
    <t>TacticalAirNavChannelCode_chan030Z</t>
  </si>
  <si>
    <t>TacticalAirNavChannelCode_chan031X</t>
  </si>
  <si>
    <t>TacticalAirNavChannelCode_chan031Y</t>
  </si>
  <si>
    <t>TacticalAirNavChannelCode_chan031Z</t>
  </si>
  <si>
    <t>TacticalAirNavChannelCode_chan032W</t>
  </si>
  <si>
    <t>TacticalAirNavChannelCode_chan032X</t>
  </si>
  <si>
    <t>TacticalAirNavChannelCode_chan032Y</t>
  </si>
  <si>
    <t>TacticalAirNavChannelCode_chan032Z</t>
  </si>
  <si>
    <t>TacticalAirNavChannelCode_chan033X</t>
  </si>
  <si>
    <t>TacticalAirNavChannelCode_chan033Y</t>
  </si>
  <si>
    <t>TacticalAirNavChannelCode_chan033Z</t>
  </si>
  <si>
    <t>TacticalAirNavChannelCode_chan034W</t>
  </si>
  <si>
    <t>TacticalAirNavChannelCode_chan034X</t>
  </si>
  <si>
    <t>TacticalAirNavChannelCode_chan034Y</t>
  </si>
  <si>
    <t>TacticalAirNavChannelCode_chan034Z</t>
  </si>
  <si>
    <t>TacticalAirNavChannelCode_chan035X</t>
  </si>
  <si>
    <t>TacticalAirNavChannelCode_chan035Y</t>
  </si>
  <si>
    <t>TacticalAirNavChannelCode_chan035Z</t>
  </si>
  <si>
    <t>TacticalAirNavChannelCode_chan036W</t>
  </si>
  <si>
    <t>TacticalAirNavChannelCode_chan036X</t>
  </si>
  <si>
    <t>TacticalAirNavChannelCode_chan036Y</t>
  </si>
  <si>
    <t>TacticalAirNavChannelCode_chan036Z</t>
  </si>
  <si>
    <t>TacticalAirNavChannelCode_chan037X</t>
  </si>
  <si>
    <t>TacticalAirNavChannelCode_chan037Y</t>
  </si>
  <si>
    <t>TacticalAirNavChannelCode_chan037Z</t>
  </si>
  <si>
    <t>TacticalAirNavChannelCode_chan038W</t>
  </si>
  <si>
    <t>TacticalAirNavChannelCode_chan038X</t>
  </si>
  <si>
    <t>TacticalAirNavChannelCode_chan038Y</t>
  </si>
  <si>
    <t>TacticalAirNavChannelCode_chan038Z</t>
  </si>
  <si>
    <t>TacticalAirNavChannelCode_chan039X</t>
  </si>
  <si>
    <t>TacticalAirNavChannelCode_chan039Y</t>
  </si>
  <si>
    <t>TacticalAirNavChannelCode_chan039Z</t>
  </si>
  <si>
    <t>TacticalAirNavChannelCode_chan040W</t>
  </si>
  <si>
    <t>TacticalAirNavChannelCode_chan040X</t>
  </si>
  <si>
    <t>TacticalAirNavChannelCode_chan040Y</t>
  </si>
  <si>
    <t>TacticalAirNavChannelCode_chan040Z</t>
  </si>
  <si>
    <t>TacticalAirNavChannelCode_chan041X</t>
  </si>
  <si>
    <t>TacticalAirNavChannelCode_chan041Y</t>
  </si>
  <si>
    <t>TacticalAirNavChannelCode_chan041Z</t>
  </si>
  <si>
    <t>TacticalAirNavChannelCode_chan042W</t>
  </si>
  <si>
    <t>TacticalAirNavChannelCode_chan042X</t>
  </si>
  <si>
    <t>TacticalAirNavChannelCode_chan042Y</t>
  </si>
  <si>
    <t>TacticalAirNavChannelCode_chan042Z</t>
  </si>
  <si>
    <t>TacticalAirNavChannelCode_chan043X</t>
  </si>
  <si>
    <t>TacticalAirNavChannelCode_chan043Y</t>
  </si>
  <si>
    <t>TacticalAirNavChannelCode_chan043Z</t>
  </si>
  <si>
    <t>TacticalAirNavChannelCode_chan044W</t>
  </si>
  <si>
    <t>TacticalAirNavChannelCode_chan044X</t>
  </si>
  <si>
    <t>TacticalAirNavChannelCode_chan044Y</t>
  </si>
  <si>
    <t>TacticalAirNavChannelCode_chan044Z</t>
  </si>
  <si>
    <t>TacticalAirNavChannelCode_chan045X</t>
  </si>
  <si>
    <t>TacticalAirNavChannelCode_chan045Y</t>
  </si>
  <si>
    <t>TacticalAirNavChannelCode_chan045Z</t>
  </si>
  <si>
    <t>TacticalAirNavChannelCode_chan046W</t>
  </si>
  <si>
    <t>TacticalAirNavChannelCode_chan046X</t>
  </si>
  <si>
    <t>TacticalAirNavChannelCode_chan046Y</t>
  </si>
  <si>
    <t>TacticalAirNavChannelCode_chan046Z</t>
  </si>
  <si>
    <t>TacticalAirNavChannelCode_chan047X</t>
  </si>
  <si>
    <t>TacticalAirNavChannelCode_chan047Y</t>
  </si>
  <si>
    <t>TacticalAirNavChannelCode_chan047Z</t>
  </si>
  <si>
    <t>TacticalAirNavChannelCode_chan048W</t>
  </si>
  <si>
    <t>TacticalAirNavChannelCode_chan048X</t>
  </si>
  <si>
    <t>TacticalAirNavChannelCode_chan048Y</t>
  </si>
  <si>
    <t>TacticalAirNavChannelCode_chan048Z</t>
  </si>
  <si>
    <t>TacticalAirNavChannelCode_chan049X</t>
  </si>
  <si>
    <t>TacticalAirNavChannelCode_chan049Y</t>
  </si>
  <si>
    <t>TacticalAirNavChannelCode_chan049Z</t>
  </si>
  <si>
    <t>TacticalAirNavChannelCode_chan050W</t>
  </si>
  <si>
    <t>TacticalAirNavChannelCode_chan050X</t>
  </si>
  <si>
    <t>TacticalAirNavChannelCode_chan050Y</t>
  </si>
  <si>
    <t>TacticalAirNavChannelCode_chan050Z</t>
  </si>
  <si>
    <t>TacticalAirNavChannelCode_chan051X</t>
  </si>
  <si>
    <t>TacticalAirNavChannelCode_chan051Y</t>
  </si>
  <si>
    <t>TacticalAirNavChannelCode_chan051Z</t>
  </si>
  <si>
    <t>TacticalAirNavChannelCode_chan052W</t>
  </si>
  <si>
    <t>TacticalAirNavChannelCode_chan052X</t>
  </si>
  <si>
    <t>TacticalAirNavChannelCode_chan052Y</t>
  </si>
  <si>
    <t>TacticalAirNavChannelCode_chan052Z</t>
  </si>
  <si>
    <t>TacticalAirNavChannelCode_chan053X</t>
  </si>
  <si>
    <t>TacticalAirNavChannelCode_chan053Y</t>
  </si>
  <si>
    <t>TacticalAirNavChannelCode_chan053Z</t>
  </si>
  <si>
    <t>TacticalAirNavChannelCode_chan054W</t>
  </si>
  <si>
    <t>TacticalAirNavChannelCode_chan054X</t>
  </si>
  <si>
    <t>TacticalAirNavChannelCode_chan054Y</t>
  </si>
  <si>
    <t>TacticalAirNavChannelCode_chan054Z</t>
  </si>
  <si>
    <t>TacticalAirNavChannelCode_chan055X</t>
  </si>
  <si>
    <t>TacticalAirNavChannelCode_chan055Y</t>
  </si>
  <si>
    <t>TacticalAirNavChannelCode_chan055Z</t>
  </si>
  <si>
    <t>TacticalAirNavChannelCode_chan056W</t>
  </si>
  <si>
    <t>TacticalAirNavChannelCode_chan056X</t>
  </si>
  <si>
    <t>TacticalAirNavChannelCode_chan056Y</t>
  </si>
  <si>
    <t>TacticalAirNavChannelCode_chan056Z</t>
  </si>
  <si>
    <t>TacticalAirNavChannelCode_chan057X</t>
  </si>
  <si>
    <t>TacticalAirNavChannelCode_chan057Y</t>
  </si>
  <si>
    <t>TacticalAirNavChannelCode_chan058X</t>
  </si>
  <si>
    <t>TacticalAirNavChannelCode_chan058Y</t>
  </si>
  <si>
    <t>TacticalAirNavChannelCode_chan059X</t>
  </si>
  <si>
    <t>TacticalAirNavChannelCode_chan059Y</t>
  </si>
  <si>
    <t>TacticalAirNavChannelCode_chan060X</t>
  </si>
  <si>
    <t>TacticalAirNavChannelCode_chan060Y</t>
  </si>
  <si>
    <t>TacticalAirNavChannelCode_chan061X</t>
  </si>
  <si>
    <t>TacticalAirNavChannelCode_chan061Y</t>
  </si>
  <si>
    <t>TacticalAirNavChannelCode_chan062X</t>
  </si>
  <si>
    <t>TacticalAirNavChannelCode_chan062Y</t>
  </si>
  <si>
    <t>TacticalAirNavChannelCode_chan063X</t>
  </si>
  <si>
    <t>TacticalAirNavChannelCode_chan063Y</t>
  </si>
  <si>
    <t>TacticalAirNavChannelCode_chan064X</t>
  </si>
  <si>
    <t>TacticalAirNavChannelCode_chan064Y</t>
  </si>
  <si>
    <t>TacticalAirNavChannelCode_chan065X</t>
  </si>
  <si>
    <t>TacticalAirNavChannelCode_chan065Y</t>
  </si>
  <si>
    <t>TacticalAirNavChannelCode_chan066X</t>
  </si>
  <si>
    <t>TacticalAirNavChannelCode_chan066Y</t>
  </si>
  <si>
    <t>TacticalAirNavChannelCode_chan067X</t>
  </si>
  <si>
    <t>TacticalAirNavChannelCode_chan067Y</t>
  </si>
  <si>
    <t>TacticalAirNavChannelCode_chan068X</t>
  </si>
  <si>
    <t>TacticalAirNavChannelCode_chan068Y</t>
  </si>
  <si>
    <t>TacticalAirNavChannelCode_chan069X</t>
  </si>
  <si>
    <t>TacticalAirNavChannelCode_chan069Y</t>
  </si>
  <si>
    <t>TacticalAirNavChannelCode_chan070X</t>
  </si>
  <si>
    <t>TacticalAirNavChannelCode_chan070Y</t>
  </si>
  <si>
    <t>TacticalAirNavChannelCode_chan071X</t>
  </si>
  <si>
    <t>TacticalAirNavChannelCode_chan071Y</t>
  </si>
  <si>
    <t>TacticalAirNavChannelCode_chan072X</t>
  </si>
  <si>
    <t>TacticalAirNavChannelCode_chan072Y</t>
  </si>
  <si>
    <t>TacticalAirNavChannelCode_chan073X</t>
  </si>
  <si>
    <t>TacticalAirNavChannelCode_chan073Y</t>
  </si>
  <si>
    <t>TacticalAirNavChannelCode_chan074X</t>
  </si>
  <si>
    <t>TacticalAirNavChannelCode_chan074Y</t>
  </si>
  <si>
    <t>TacticalAirNavChannelCode_chan075X</t>
  </si>
  <si>
    <t>TacticalAirNavChannelCode_chan075Y</t>
  </si>
  <si>
    <t>TacticalAirNavChannelCode_chan076X</t>
  </si>
  <si>
    <t>TacticalAirNavChannelCode_chan076Y</t>
  </si>
  <si>
    <t>TacticalAirNavChannelCode_chan077X</t>
  </si>
  <si>
    <t>TacticalAirNavChannelCode_chan077Y</t>
  </si>
  <si>
    <t>TacticalAirNavChannelCode_chan078X</t>
  </si>
  <si>
    <t>TacticalAirNavChannelCode_chan078Y</t>
  </si>
  <si>
    <t>TacticalAirNavChannelCode_chan079X</t>
  </si>
  <si>
    <t>TacticalAirNavChannelCode_chan079Y</t>
  </si>
  <si>
    <t>TacticalAirNavChannelCode_chan080X</t>
  </si>
  <si>
    <t>TacticalAirNavChannelCode_chan080Y</t>
  </si>
  <si>
    <t>TacticalAirNavChannelCode_chan080Z</t>
  </si>
  <si>
    <t>TacticalAirNavChannelCode_chan081X</t>
  </si>
  <si>
    <t>TacticalAirNavChannelCode_chan081Y</t>
  </si>
  <si>
    <t>TacticalAirNavChannelCode_chan081Z</t>
  </si>
  <si>
    <t>TacticalAirNavChannelCode_chan082X</t>
  </si>
  <si>
    <t>TacticalAirNavChannelCode_chan082Y</t>
  </si>
  <si>
    <t>TacticalAirNavChannelCode_chan082Z</t>
  </si>
  <si>
    <t>TacticalAirNavChannelCode_chan083X</t>
  </si>
  <si>
    <t>TacticalAirNavChannelCode_chan083Y</t>
  </si>
  <si>
    <t>TacticalAirNavChannelCode_chan083Z</t>
  </si>
  <si>
    <t>TacticalAirNavChannelCode_chan084X</t>
  </si>
  <si>
    <t>TacticalAirNavChannelCode_chan084Y</t>
  </si>
  <si>
    <t>TacticalAirNavChannelCode_chan084Z</t>
  </si>
  <si>
    <t>TacticalAirNavChannelCode_chan085X</t>
  </si>
  <si>
    <t>TacticalAirNavChannelCode_chan085Y</t>
  </si>
  <si>
    <t>TacticalAirNavChannelCode_chan085Z</t>
  </si>
  <si>
    <t>TacticalAirNavChannelCode_chan086X</t>
  </si>
  <si>
    <t>TacticalAirNavChannelCode_chan086Y</t>
  </si>
  <si>
    <t>TacticalAirNavChannelCode_chan086Z</t>
  </si>
  <si>
    <t>TacticalAirNavChannelCode_chan087X</t>
  </si>
  <si>
    <t>TacticalAirNavChannelCode_chan087Y</t>
  </si>
  <si>
    <t>TacticalAirNavChannelCode_chan087Z</t>
  </si>
  <si>
    <t>TacticalAirNavChannelCode_chan088X</t>
  </si>
  <si>
    <t>TacticalAirNavChannelCode_chan088Y</t>
  </si>
  <si>
    <t>TacticalAirNavChannelCode_chan088Z</t>
  </si>
  <si>
    <t>TacticalAirNavChannelCode_chan089X</t>
  </si>
  <si>
    <t>TacticalAirNavChannelCode_chan089Y</t>
  </si>
  <si>
    <t>TacticalAirNavChannelCode_chan089Z</t>
  </si>
  <si>
    <t>TacticalAirNavChannelCode_chan090X</t>
  </si>
  <si>
    <t>TacticalAirNavChannelCode_chan090Y</t>
  </si>
  <si>
    <t>TacticalAirNavChannelCode_chan090Z</t>
  </si>
  <si>
    <t>TacticalAirNavChannelCode_chan091X</t>
  </si>
  <si>
    <t>TacticalAirNavChannelCode_chan091Y</t>
  </si>
  <si>
    <t>TacticalAirNavChannelCode_chan091Z</t>
  </si>
  <si>
    <t>TacticalAirNavChannelCode_chan092X</t>
  </si>
  <si>
    <t>TacticalAirNavChannelCode_chan092Y</t>
  </si>
  <si>
    <t>TacticalAirNavChannelCode_chan092Z</t>
  </si>
  <si>
    <t>TacticalAirNavChannelCode_chan093X</t>
  </si>
  <si>
    <t>TacticalAirNavChannelCode_chan093Y</t>
  </si>
  <si>
    <t>TacticalAirNavChannelCode_chan093Z</t>
  </si>
  <si>
    <t>TacticalAirNavChannelCode_chan094X</t>
  </si>
  <si>
    <t>TacticalAirNavChannelCode_chan094Y</t>
  </si>
  <si>
    <t>TacticalAirNavChannelCode_chan094Z</t>
  </si>
  <si>
    <t>TacticalAirNavChannelCode_chan095X</t>
  </si>
  <si>
    <t>TacticalAirNavChannelCode_chan095Y</t>
  </si>
  <si>
    <t>TacticalAirNavChannelCode_chan095Z</t>
  </si>
  <si>
    <t>TacticalAirNavChannelCode_chan096X</t>
  </si>
  <si>
    <t>TacticalAirNavChannelCode_chan096Y</t>
  </si>
  <si>
    <t>TacticalAirNavChannelCode_chan096Z</t>
  </si>
  <si>
    <t>TacticalAirNavChannelCode_chan097X</t>
  </si>
  <si>
    <t>TacticalAirNavChannelCode_chan097Y</t>
  </si>
  <si>
    <t>TacticalAirNavChannelCode_chan097Z</t>
  </si>
  <si>
    <t>TacticalAirNavChannelCode_chan098X</t>
  </si>
  <si>
    <t>TacticalAirNavChannelCode_chan098Y</t>
  </si>
  <si>
    <t>TacticalAirNavChannelCode_chan098Z</t>
  </si>
  <si>
    <t>TacticalAirNavChannelCode_chan099X</t>
  </si>
  <si>
    <t>TacticalAirNavChannelCode_chan099Y</t>
  </si>
  <si>
    <t>TacticalAirNavChannelCode_chan099Z</t>
  </si>
  <si>
    <t>TacticalAirNavChannelCode_chan100X</t>
  </si>
  <si>
    <t>TacticalAirNavChannelCode_chan100Y</t>
  </si>
  <si>
    <t>TacticalAirNavChannelCode_chan100Z</t>
  </si>
  <si>
    <t>TacticalAirNavChannelCode_chan101X</t>
  </si>
  <si>
    <t>TacticalAirNavChannelCode_chan101Y</t>
  </si>
  <si>
    <t>TacticalAirNavChannelCode_chan101Z</t>
  </si>
  <si>
    <t>TacticalAirNavChannelCode_chan102X</t>
  </si>
  <si>
    <t>TacticalAirNavChannelCode_chan102Y</t>
  </si>
  <si>
    <t>TacticalAirNavChannelCode_chan102Z</t>
  </si>
  <si>
    <t>TacticalAirNavChannelCode_chan103X</t>
  </si>
  <si>
    <t>TacticalAirNavChannelCode_chan103Y</t>
  </si>
  <si>
    <t>TacticalAirNavChannelCode_chan103Z</t>
  </si>
  <si>
    <t>TacticalAirNavChannelCode_chan104X</t>
  </si>
  <si>
    <t>TacticalAirNavChannelCode_chan104Y</t>
  </si>
  <si>
    <t>TacticalAirNavChannelCode_chan104Z</t>
  </si>
  <si>
    <t>TacticalAirNavChannelCode_chan105X</t>
  </si>
  <si>
    <t>TacticalAirNavChannelCode_chan105Y</t>
  </si>
  <si>
    <t>TacticalAirNavChannelCode_chan105Z</t>
  </si>
  <si>
    <t>TacticalAirNavChannelCode_chan106X</t>
  </si>
  <si>
    <t>TacticalAirNavChannelCode_chan106Y</t>
  </si>
  <si>
    <t>TacticalAirNavChannelCode_chan106Z</t>
  </si>
  <si>
    <t>TacticalAirNavChannelCode_chan107X</t>
  </si>
  <si>
    <t>TacticalAirNavChannelCode_chan107Y</t>
  </si>
  <si>
    <t>TacticalAirNavChannelCode_chan107Z</t>
  </si>
  <si>
    <t>TacticalAirNavChannelCode_chan108X</t>
  </si>
  <si>
    <t>TacticalAirNavChannelCode_chan108Y</t>
  </si>
  <si>
    <t>TacticalAirNavChannelCode_chan108Z</t>
  </si>
  <si>
    <t>TacticalAirNavChannelCode_chan109X</t>
  </si>
  <si>
    <t>TacticalAirNavChannelCode_chan109Y</t>
  </si>
  <si>
    <t>TacticalAirNavChannelCode_chan109Z</t>
  </si>
  <si>
    <t>TacticalAirNavChannelCode_chan110X</t>
  </si>
  <si>
    <t>TacticalAirNavChannelCode_chan110Y</t>
  </si>
  <si>
    <t>TacticalAirNavChannelCode_chan110Z</t>
  </si>
  <si>
    <t>TacticalAirNavChannelCode_chan111X</t>
  </si>
  <si>
    <t>TacticalAirNavChannelCode_chan111Y</t>
  </si>
  <si>
    <t>TacticalAirNavChannelCode_chan111Z</t>
  </si>
  <si>
    <t>TacticalAirNavChannelCode_chan112X</t>
  </si>
  <si>
    <t>TacticalAirNavChannelCode_chan112Y</t>
  </si>
  <si>
    <t>TacticalAirNavChannelCode_chan112Z</t>
  </si>
  <si>
    <t>TacticalAirNavChannelCode_chan113X</t>
  </si>
  <si>
    <t>TacticalAirNavChannelCode_chan113Y</t>
  </si>
  <si>
    <t>TacticalAirNavChannelCode_chan113Z</t>
  </si>
  <si>
    <t>TacticalAirNavChannelCode_chan114X</t>
  </si>
  <si>
    <t>TacticalAirNavChannelCode_chan114Y</t>
  </si>
  <si>
    <t>TacticalAirNavChannelCode_chan114Z</t>
  </si>
  <si>
    <t>TacticalAirNavChannelCode_chan115X</t>
  </si>
  <si>
    <t>TacticalAirNavChannelCode_chan115Y</t>
  </si>
  <si>
    <t>TacticalAirNavChannelCode_chan115Z</t>
  </si>
  <si>
    <t>TacticalAirNavChannelCode_chan116X</t>
  </si>
  <si>
    <t>TacticalAirNavChannelCode_chan116Y</t>
  </si>
  <si>
    <t>TacticalAirNavChannelCode_chan116Z</t>
  </si>
  <si>
    <t>TacticalAirNavChannelCode_chan117X</t>
  </si>
  <si>
    <t>TacticalAirNavChannelCode_chan117Y</t>
  </si>
  <si>
    <t>TacticalAirNavChannelCode_chan117Z</t>
  </si>
  <si>
    <t>TacticalAirNavChannelCode_chan118X</t>
  </si>
  <si>
    <t>TacticalAirNavChannelCode_chan118Y</t>
  </si>
  <si>
    <t>TacticalAirNavChannelCode_chan118Z</t>
  </si>
  <si>
    <t>TacticalAirNavChannelCode_chan119X</t>
  </si>
  <si>
    <t>TacticalAirNavChannelCode_chan119Y</t>
  </si>
  <si>
    <t>TacticalAirNavChannelCode_chan119Z</t>
  </si>
  <si>
    <t>TacticalAirNavChannelCode_chan120X</t>
  </si>
  <si>
    <t>TacticalAirNavChannelCode_chan120Y</t>
  </si>
  <si>
    <t>TacticalAirNavChannelCode_chan121X</t>
  </si>
  <si>
    <t>TacticalAirNavChannelCode_chan121Y</t>
  </si>
  <si>
    <t>TacticalAirNavChannelCode_chan122X</t>
  </si>
  <si>
    <t>TacticalAirNavChannelCode_chan122Y</t>
  </si>
  <si>
    <t>TacticalAirNavChannelCode_chan123X</t>
  </si>
  <si>
    <t>TacticalAirNavChannelCode_chan123Y</t>
  </si>
  <si>
    <t>TacticalAirNavChannelCode_chan124X</t>
  </si>
  <si>
    <t>TacticalAirNavChannelCode_chan124Y</t>
  </si>
  <si>
    <t>TacticalAirNavChannelCode_chan125X</t>
  </si>
  <si>
    <t>TacticalAirNavChannelCode_chan125Y</t>
  </si>
  <si>
    <t>TacticalAirNavChannelCode_chan126X</t>
  </si>
  <si>
    <t>TacticalAirNavChannelCode_chan126Y</t>
  </si>
  <si>
    <t>TaxiwayTypeCode_aircraftStandTaxilane</t>
  </si>
  <si>
    <t>TaxiwayTypeCode_airTaxiway</t>
  </si>
  <si>
    <t>TaxiwayTypeCode_apronTaxiway</t>
  </si>
  <si>
    <t>TaxiwayTypeCode_dispersal</t>
  </si>
  <si>
    <t>TaxiwayTypeCode_helicopterGroundTaxiway</t>
  </si>
  <si>
    <t>TaxiwayTypeCode_leadInTaxilane</t>
  </si>
  <si>
    <t>TaxiwayTypeCode_leadOutTaxilane</t>
  </si>
  <si>
    <t>TaxiwayTypeCode_loop</t>
  </si>
  <si>
    <t>TaxiwayTypeCode_parallelTaxiway</t>
  </si>
  <si>
    <t>TaxiwayTypeCode_perimeter</t>
  </si>
  <si>
    <t>TaxiwayTypeCode_rapidExitTurnoffTaxiway</t>
  </si>
  <si>
    <t>TaxiwayTypeCode_stubTaxiway</t>
  </si>
  <si>
    <t>TaxiwayTypeCode_turnaroundTaxiway</t>
  </si>
  <si>
    <t>TelecomManageRegionTypeCode_localAccessTransportArea</t>
  </si>
  <si>
    <t>TelecomManageRegionTypeCode_localExchCarRateCentre</t>
  </si>
  <si>
    <t>TelecomManageRegionTypeCode_localExchCarWireCentre</t>
  </si>
  <si>
    <t>TelecomManageRegionTypeCode_localNumPlanArea</t>
  </si>
  <si>
    <t>TelecomManageRegionTypeCode_publicSafetyAnsPtServ</t>
  </si>
  <si>
    <t>TelecomManageRegionTypeCode_serviceBasedNumPlanArea</t>
  </si>
  <si>
    <t>TelescopeTypeCode_optical</t>
  </si>
  <si>
    <t>TelescopeTypeCode_parabolicRadioAerial</t>
  </si>
  <si>
    <t>TelescopeTypeCode_radioAerialArray</t>
  </si>
  <si>
    <t>TerminalArriveAltAreaTypeCode_leftBase</t>
  </si>
  <si>
    <t>TerminalArriveAltAreaTypeCode_rightBase</t>
  </si>
  <si>
    <t>TerminalArriveAltAreaTypeCode_straightIn</t>
  </si>
  <si>
    <t>TerrainFaceTypeCode_cliff</t>
  </si>
  <si>
    <t>TerrainFaceTypeCode_escarpment</t>
  </si>
  <si>
    <t>TerrainMorphologyCode_angular</t>
  </si>
  <si>
    <t>TerrainMorphologyCode_boulderField</t>
  </si>
  <si>
    <t>TerrainMorphologyCode_deepErosionalGullies</t>
  </si>
  <si>
    <t>TerrainMorphologyCode_dissectedFloodplain</t>
  </si>
  <si>
    <t>TerrainMorphologyCode_frostPolygons</t>
  </si>
  <si>
    <t>TerrainMorphologyCode_highlyDissected</t>
  </si>
  <si>
    <t>TerrainMorphologyCode_highlyDistortedSharpRocky</t>
  </si>
  <si>
    <t>TerrainMorphologyCode_highlyFracturedRock</t>
  </si>
  <si>
    <t>TerrainMorphologyCode_hummockyFrostHeaves</t>
  </si>
  <si>
    <t>TerrainMorphologyCode_hummockyKarstLargeHills</t>
  </si>
  <si>
    <t>TerrainMorphologyCode_hummockyKarstLowMounds</t>
  </si>
  <si>
    <t>TerrainMorphologyCode_irregularDeepFoliateFract</t>
  </si>
  <si>
    <t>TerrainMorphologyCode_karstNumerousSinkholes</t>
  </si>
  <si>
    <t>TerrainMorphologyCode_karstNumerousSinkSolValley</t>
  </si>
  <si>
    <t>TerrainMorphologyCode_landslidePotential</t>
  </si>
  <si>
    <t>TerrainMorphologyCode_levelButUncohesive</t>
  </si>
  <si>
    <t>TerrainMorphologyCode_meanderScarsLakes</t>
  </si>
  <si>
    <t>TerrainMorphologyCode_mineTailings</t>
  </si>
  <si>
    <t>TerrainMorphologyCode_moderatelyDissected</t>
  </si>
  <si>
    <t>TerrainMorphologyCode_moderatelyDissectScatRock</t>
  </si>
  <si>
    <t>TerrainMorphologyCode_noEffect</t>
  </si>
  <si>
    <t>TerrainMorphologyCode_numerousBoulders</t>
  </si>
  <si>
    <t>TerrainMorphologyCode_numerousCobblesBoulders</t>
  </si>
  <si>
    <t>TerrainMorphologyCode_numerousCrevasses</t>
  </si>
  <si>
    <t>TerrainMorphologyCode_numerousDykedFields</t>
  </si>
  <si>
    <t>TerrainMorphologyCode_numerousDykes</t>
  </si>
  <si>
    <t>TerrainMorphologyCode_numerousFences</t>
  </si>
  <si>
    <t>TerrainMorphologyCode_numerousHedgerows</t>
  </si>
  <si>
    <t>TerrainMorphologyCode_numerousManMadeDrainage</t>
  </si>
  <si>
    <t>TerrainMorphologyCode_numerousRockOutcrops</t>
  </si>
  <si>
    <t>TerrainMorphologyCode_numerousSmallLakesPonds</t>
  </si>
  <si>
    <t>TerrainMorphologyCode_numerousStoneWalls</t>
  </si>
  <si>
    <t>TerrainMorphologyCode_numerousTerracedFields</t>
  </si>
  <si>
    <t>TerrainMorphologyCode_numerousTerraces</t>
  </si>
  <si>
    <t>TerrainMorphologyCode_parallelEarthenRows</t>
  </si>
  <si>
    <t>TerrainMorphologyCode_playa</t>
  </si>
  <si>
    <t>TerrainMorphologyCode_rough</t>
  </si>
  <si>
    <t>TerrainMorphologyCode_rounded</t>
  </si>
  <si>
    <t>TerrainMorphologyCode_ruggedBedrock</t>
  </si>
  <si>
    <t>TerrainMorphologyCode_ruggedNumerousRockOutcrops</t>
  </si>
  <si>
    <t>TerrainMorphologyCode_scatteredBoulders</t>
  </si>
  <si>
    <t>TerrainMorphologyCode_solifluctionLobesFrostScar</t>
  </si>
  <si>
    <t>TerrainMorphologyCode_steepRuggedDissectGullies</t>
  </si>
  <si>
    <t>TerrainMorphologyCode_stonyAreas</t>
  </si>
  <si>
    <t>TerrainMorphologyCode_stonySoilNumerousBoulders</t>
  </si>
  <si>
    <t>TerrainMorphologyCode_stonySoilNumerousGullies</t>
  </si>
  <si>
    <t>TerrainMorphologyCode_stonySoilNumerousRockCrops</t>
  </si>
  <si>
    <t>TerrainMorphologyCode_stonySoilScatteredBoulders</t>
  </si>
  <si>
    <t>TerrainMorphologyCode_stonySoilWithSurfaceRock</t>
  </si>
  <si>
    <t>TerrainMorphologyCode_talus</t>
  </si>
  <si>
    <t>TerrainMorphologyCode_unweatheredLava</t>
  </si>
  <si>
    <t>TerrainMorphologyCode_weatheredLava</t>
  </si>
  <si>
    <t>TerrainSurfaceMaterialCode_asphalt</t>
  </si>
  <si>
    <t>TerrainSurfaceMaterialCode_bedrock</t>
  </si>
  <si>
    <t>TerrainSurfaceMaterialCode_boulders</t>
  </si>
  <si>
    <t>TerrainSurfaceMaterialCode_concrete</t>
  </si>
  <si>
    <t>TerrainSurfaceMaterialCode_evaporite</t>
  </si>
  <si>
    <t>TerrainSurfaceMaterialCode_frozenWater</t>
  </si>
  <si>
    <t>TerrainSurfaceMaterialCode_gravel</t>
  </si>
  <si>
    <t>TerrainSurfaceMaterialCode_lavaFlow</t>
  </si>
  <si>
    <t>TerrainSurfaceMaterialCode_loess</t>
  </si>
  <si>
    <t>TerrainSurfaceMaterialCode_mud</t>
  </si>
  <si>
    <t>TerrainSurfaceMaterialCode_paved</t>
  </si>
  <si>
    <t>TerrainSurfaceMaterialCode_rock</t>
  </si>
  <si>
    <t>TerrainSurfaceMaterialCode_sand</t>
  </si>
  <si>
    <t>TerrainSurfaceMaterialCode_soil</t>
  </si>
  <si>
    <t>ThrustAugmentFluidTypeCode_antiDetonationInjection</t>
  </si>
  <si>
    <t>ThrustAugmentFluidTypeCode_s_1739</t>
  </si>
  <si>
    <t>ThrustAugmentFluidTypeCode_s_1744</t>
  </si>
  <si>
    <t>ThrustAugmentFluidTypeCode_s_747</t>
  </si>
  <si>
    <t>ThrustAugmentFluidTypeCode_water</t>
  </si>
  <si>
    <t>ThrustAugmentFluidTypeCode_waterAlcohol</t>
  </si>
  <si>
    <t>TombTypeCode_burialMound</t>
  </si>
  <si>
    <t>TombTypeCode_catacomb</t>
  </si>
  <si>
    <t>TombTypeCode_cave</t>
  </si>
  <si>
    <t>TombTypeCode_columbarium</t>
  </si>
  <si>
    <t>TombTypeCode_crypt</t>
  </si>
  <si>
    <t>TombTypeCode_mausoleum</t>
  </si>
  <si>
    <t>TombTypeCode_surfaceVault</t>
  </si>
  <si>
    <t>MD_TopicCategoryCode_biota</t>
  </si>
  <si>
    <t>MD_TopicCategoryCode_boundaries</t>
  </si>
  <si>
    <t>MD_TopicCategoryCode_climatologyMeteorologyAtmosphere</t>
  </si>
  <si>
    <t>MD_TopicCategoryCode_economy</t>
  </si>
  <si>
    <t>MD_TopicCategoryCode_elevation</t>
  </si>
  <si>
    <t>MD_TopicCategoryCode_environment</t>
  </si>
  <si>
    <t>MD_TopicCategoryCode_farming</t>
  </si>
  <si>
    <t>MD_TopicCategoryCode_geoscientificInformation</t>
  </si>
  <si>
    <t>MD_TopicCategoryCode_health</t>
  </si>
  <si>
    <t>MD_TopicCategoryCode_imageryBaseMapsEarthCover</t>
  </si>
  <si>
    <t>MD_TopicCategoryCode_inlandWaters</t>
  </si>
  <si>
    <t>MD_TopicCategoryCode_intelligenceMilitary</t>
  </si>
  <si>
    <t>MD_TopicCategoryCode_location</t>
  </si>
  <si>
    <t>MD_TopicCategoryCode_oceans</t>
  </si>
  <si>
    <t>MD_TopicCategoryCode_planningCadastre</t>
  </si>
  <si>
    <t>MD_TopicCategoryCode_society</t>
  </si>
  <si>
    <t>MD_TopicCategoryCode_structure</t>
  </si>
  <si>
    <t>MD_TopicCategoryCode_transportation</t>
  </si>
  <si>
    <t>MD_TopicCategoryCode_utilitiesCommunication</t>
  </si>
  <si>
    <t>TopmarkShapeCode_ballOverCone</t>
  </si>
  <si>
    <t>TopmarkShapeCode_besomPointDownward</t>
  </si>
  <si>
    <t>TopmarkShapeCode_besomPointUpward</t>
  </si>
  <si>
    <t>TopmarkShapeCode_board</t>
  </si>
  <si>
    <t>TopmarkShapeCode_canOverBall</t>
  </si>
  <si>
    <t>TopmarkShapeCode_circle</t>
  </si>
  <si>
    <t>TopmarkShapeCode_circleOverTrianglePointUp</t>
  </si>
  <si>
    <t>TopmarkShapeCode_coneOverBall</t>
  </si>
  <si>
    <t>TopmarkShapeCode_conePointDownward</t>
  </si>
  <si>
    <t>TopmarkShapeCode_conePointUpward</t>
  </si>
  <si>
    <t>TopmarkShapeCode_crossOverBall</t>
  </si>
  <si>
    <t>TopmarkShapeCode_cylinder</t>
  </si>
  <si>
    <t>TopmarkShapeCode_diamond</t>
  </si>
  <si>
    <t>TopmarkShapeCode_diamondOverBall</t>
  </si>
  <si>
    <t>TopmarkShapeCode_diamondOverCircle</t>
  </si>
  <si>
    <t>TopmarkShapeCode_flag</t>
  </si>
  <si>
    <t>TopmarkShapeCode_horizontalRectangle</t>
  </si>
  <si>
    <t>TopmarkShapeCode_shapedLikeT</t>
  </si>
  <si>
    <t>TopmarkShapeCode_shapedLikeUprightCross</t>
  </si>
  <si>
    <t>TopmarkShapeCode_shapedLikeX</t>
  </si>
  <si>
    <t>TopmarkShapeCode_sphere</t>
  </si>
  <si>
    <t>TopmarkShapeCode_sphereOverDiamond</t>
  </si>
  <si>
    <t>TopmarkShapeCode_square</t>
  </si>
  <si>
    <t>TopmarkShapeCode_trapeziumShortDownward</t>
  </si>
  <si>
    <t>TopmarkShapeCode_trapeziumShortUpward</t>
  </si>
  <si>
    <t>TopmarkShapeCode_trianglePointDownward</t>
  </si>
  <si>
    <t>TopmarkShapeCode_trianglePointUpOverCircle</t>
  </si>
  <si>
    <t>TopmarkShapeCode_trianglePointUpward</t>
  </si>
  <si>
    <t>TopmarkShapeCode_twoConesBaseToBase</t>
  </si>
  <si>
    <t>TopmarkShapeCode_twoConesPointsDownward</t>
  </si>
  <si>
    <t>TopmarkShapeCode_twoConesPointsUpward</t>
  </si>
  <si>
    <t>TopmarkShapeCode_twoConesPointToPoint</t>
  </si>
  <si>
    <t>TopmarkShapeCode_twoSpheresOneOverOther</t>
  </si>
  <si>
    <t>TopmarkShapeCode_twoUprightCrosses</t>
  </si>
  <si>
    <t>TopmarkShapeCode_uprightCrossOverCircle</t>
  </si>
  <si>
    <t>TopmarkShapeCode_verticalRectangle</t>
  </si>
  <si>
    <t>TowerShapeCode_frameShapedLikeA</t>
  </si>
  <si>
    <t>TowerShapeCode_frameShapedLikeH</t>
  </si>
  <si>
    <t>TowerShapeCode_frameShapedLikeI</t>
  </si>
  <si>
    <t>TowerShapeCode_frameShapedLikeT</t>
  </si>
  <si>
    <t>TowerShapeCode_frameShapedLikeY</t>
  </si>
  <si>
    <t>TowerShapeCode_mast</t>
  </si>
  <si>
    <t>TowerShapeCode_obelisk</t>
  </si>
  <si>
    <t>TowerShapeCode_pole</t>
  </si>
  <si>
    <t>TowerShapeCode_rectangularPrism</t>
  </si>
  <si>
    <t>TowerShapeCode_squarePrism</t>
  </si>
  <si>
    <t>TowerShapeCode_towerMill</t>
  </si>
  <si>
    <t>TowerShapeCode_tripod</t>
  </si>
  <si>
    <t>TowerShapeCode_truss</t>
  </si>
  <si>
    <t>TowerShapeCode_tubular</t>
  </si>
  <si>
    <t>TowerTypeCode_dropTower</t>
  </si>
  <si>
    <t>TowerTypeCode_fireTower</t>
  </si>
  <si>
    <t>TowerTypeCode_guardTower</t>
  </si>
  <si>
    <t>TowerTypeCode_industrialTower</t>
  </si>
  <si>
    <t>TowerTypeCode_lookoutTower</t>
  </si>
  <si>
    <t>TowerTypeCode_observationTower</t>
  </si>
  <si>
    <t>TowerTypeCode_solarPowerTower</t>
  </si>
  <si>
    <t>TowerTypeCode_telecommunicationTower</t>
  </si>
  <si>
    <t>TrackTypeCode_craneTrack</t>
  </si>
  <si>
    <t>TrackTypeCode_drillTrack</t>
  </si>
  <si>
    <t>TrackTypeCode_houseTrack</t>
  </si>
  <si>
    <t>TrackTypeCode_jointTrack</t>
  </si>
  <si>
    <t>TrackTypeCode_ladderTrack</t>
  </si>
  <si>
    <t>TrackTypeCode_maglev</t>
  </si>
  <si>
    <t>TrackTypeCode_monorail</t>
  </si>
  <si>
    <t>TrackTypeCode_pairedTrack</t>
  </si>
  <si>
    <t>TrackTypeCode_ripTrack</t>
  </si>
  <si>
    <t>TrackTypeCode_stubTrack</t>
  </si>
  <si>
    <t>TrackTypeCode_teamTrack</t>
  </si>
  <si>
    <t>TrafficFlowCode_inbound</t>
  </si>
  <si>
    <t>TrafficFlowCode_oneWay</t>
  </si>
  <si>
    <t>TrafficFlowCode_outbound</t>
  </si>
  <si>
    <t>TrafficFlowCode_twoWay</t>
  </si>
  <si>
    <t>TrafficMonitorTypeCode_automaticTrafficCounter</t>
  </si>
  <si>
    <t>TrafficMonitorTypeCode_video</t>
  </si>
  <si>
    <t>TrafficMonitorTypeCode_weighInMotion</t>
  </si>
  <si>
    <t>TrafficRestrictionTypeCode_railwaySwitch</t>
  </si>
  <si>
    <t>TrafficRestrictionTypeCode_reducedTrackLaneCount</t>
  </si>
  <si>
    <t>TrafficRestrictionTypeCode_roadInterchange</t>
  </si>
  <si>
    <t>TrafficRestrictionTypeCode_sharpCurves</t>
  </si>
  <si>
    <t>TrafficRestrictionTypeCode_steepGrades</t>
  </si>
  <si>
    <t>TransportationBlockTypeCode_dropGate</t>
  </si>
  <si>
    <t>TransportationBlockTypeCode_rollingBlock</t>
  </si>
  <si>
    <t>TransRouteProtectShelterTypeCode_gallery</t>
  </si>
  <si>
    <t>TransRouteProtectShelterTypeCode_protectionShed</t>
  </si>
  <si>
    <t>TransRouteProtectShelterTypeCode_rockProtectionShed</t>
  </si>
  <si>
    <t>TransRouteProtectShelterTypeCode_snowProtectionShed</t>
  </si>
  <si>
    <t>TransportationSystemTypeCode_aeronautical</t>
  </si>
  <si>
    <t>TransportationSystemTypeCode_aqueduct</t>
  </si>
  <si>
    <t>TransportationSystemTypeCode_automotive</t>
  </si>
  <si>
    <t>TransportationSystemTypeCode_bus</t>
  </si>
  <si>
    <t>TransportationSystemTypeCode_cableway</t>
  </si>
  <si>
    <t>TransportationSystemTypeCode_canal</t>
  </si>
  <si>
    <t>TransportationSystemTypeCode_caravanRoute</t>
  </si>
  <si>
    <t>TransportationSystemTypeCode_drove</t>
  </si>
  <si>
    <t>TransportationSystemTypeCode_inlandWaterway</t>
  </si>
  <si>
    <t>TransportationSystemTypeCode_maritime</t>
  </si>
  <si>
    <t>TransportationSystemTypeCode_noTransportationSystem</t>
  </si>
  <si>
    <t>TransportationSystemTypeCode_packRoad</t>
  </si>
  <si>
    <t>TransportationSystemTypeCode_pedestrian</t>
  </si>
  <si>
    <t>TransportationSystemTypeCode_pipeline</t>
  </si>
  <si>
    <t>TransportationSystemTypeCode_pipelineMaintenance</t>
  </si>
  <si>
    <t>TransportationSystemTypeCode_portage</t>
  </si>
  <si>
    <t>TransportationSystemTypeCode_powerLineMaintenance</t>
  </si>
  <si>
    <t>TransportationSystemTypeCode_railway</t>
  </si>
  <si>
    <t>TransportationSystemTypeCode_rescueRoad</t>
  </si>
  <si>
    <t>TransportationSystemTypeCode_road</t>
  </si>
  <si>
    <t>TransportationSystemTypeCode_runway</t>
  </si>
  <si>
    <t>TransportationSystemTypeCode_taxiway</t>
  </si>
  <si>
    <t>TransportationSystemTypeCode_truck</t>
  </si>
  <si>
    <t>TransportationSystemTypeCode_undergroundRailway</t>
  </si>
  <si>
    <t>TropicalHurricaneCategoryCode_category1</t>
  </si>
  <si>
    <t>TropicalHurricaneCategoryCode_category2</t>
  </si>
  <si>
    <t>TropicalHurricaneCategoryCode_category3</t>
  </si>
  <si>
    <t>TropicalHurricaneCategoryCode_category4</t>
  </si>
  <si>
    <t>TropicalHurricaneCategoryCode_category5</t>
  </si>
  <si>
    <t>TurnDirectionCode_eitherLeftRightTurn</t>
  </si>
  <si>
    <t>TurnDirectionCode_leftTurn</t>
  </si>
  <si>
    <t>TurnDirectionCode_rightTurn</t>
  </si>
  <si>
    <t>UndergroundAccessOrientCode_horizontal</t>
  </si>
  <si>
    <t>UndergroundAccessOrientCode_slopesDownward</t>
  </si>
  <si>
    <t>UndergroundAccessOrientCode_slopesUpward</t>
  </si>
  <si>
    <t>UndergroundAccessOrientCode_verticalDown</t>
  </si>
  <si>
    <t>UndergroundAccessOrientCode_verticalUp</t>
  </si>
  <si>
    <t>UndergroundMineAccessCode_drift</t>
  </si>
  <si>
    <t>UndergroundMineAccessCode_shaft</t>
  </si>
  <si>
    <t>UndergroundMineAccessCode_slope</t>
  </si>
  <si>
    <t>UndergndStorageFormTypeCode_abandonedMine</t>
  </si>
  <si>
    <t>UndergndStorageFormTypeCode_aquifer</t>
  </si>
  <si>
    <t>UndergndStorageFormTypeCode_beddedSaltCavern</t>
  </si>
  <si>
    <t>UndergndStorageFormTypeCode_depletedReservoir</t>
  </si>
  <si>
    <t>UndergndStorageFormTypeCode_hardRockCavern</t>
  </si>
  <si>
    <t>UndergndStorageFormTypeCode_saltCavern</t>
  </si>
  <si>
    <t>UndergndStorageFormTypeCode_saltDomeCavern</t>
  </si>
  <si>
    <t>UnderwaterDelineationQualityCode_averageDelineation</t>
  </si>
  <si>
    <t>UnderwaterDelineationQualityCode_excellentDelineation</t>
  </si>
  <si>
    <t>UnderwaterDelineationQualityCode_goodDelineation</t>
  </si>
  <si>
    <t>UnderwaterDelineationQualityCode_highlyObscuredDelineation</t>
  </si>
  <si>
    <t>UnderwaterDelineationQualityCode_poorDelineation</t>
  </si>
  <si>
    <t>VegetationCharacteristicCode_algae</t>
  </si>
  <si>
    <t>VegetationCharacteristicCode_brush</t>
  </si>
  <si>
    <t>VegetationCharacteristicCode_grassland</t>
  </si>
  <si>
    <t>VegetationCharacteristicCode_grasslandWithTrees</t>
  </si>
  <si>
    <t>VegetationCharacteristicCode_meadow</t>
  </si>
  <si>
    <t>VegetationCharacteristicCode_seaGrass</t>
  </si>
  <si>
    <t>VegetationCharacteristicCode_tropicalGrass</t>
  </si>
  <si>
    <t>VegetationCharacteristicCode_withoutTrees</t>
  </si>
  <si>
    <t>VegetationCharacteristicCode_wood</t>
  </si>
  <si>
    <t>VegetationSpeciesCode_algae</t>
  </si>
  <si>
    <t>VegetationSpeciesCode_bamboo</t>
  </si>
  <si>
    <t>VegetationSpeciesCode_cypress</t>
  </si>
  <si>
    <t>VegetationSpeciesCode_kelp</t>
  </si>
  <si>
    <t>VegetationSpeciesCode_mangrove</t>
  </si>
  <si>
    <t>VegetationSpeciesCode_nipa</t>
  </si>
  <si>
    <t>VegetationSpeciesCode_palm</t>
  </si>
  <si>
    <t>VegetationSpeciesCode_posidonia</t>
  </si>
  <si>
    <t>VegetationSpeciesCode_reed</t>
  </si>
  <si>
    <t>VegetationSpeciesCode_sargassum</t>
  </si>
  <si>
    <t>VegetationSpeciesCode_seaTangle</t>
  </si>
  <si>
    <t>VegetationSpeciesCode_swampCypress</t>
  </si>
  <si>
    <t>VegetationSpeciesCode_waterHyacinth</t>
  </si>
  <si>
    <t>VehicleTypeCode_aircraft</t>
  </si>
  <si>
    <t>VehicleTypeCode_automobile</t>
  </si>
  <si>
    <t>VehicleTypeCode_barge</t>
  </si>
  <si>
    <t>VehicleTypeCode_bicycle</t>
  </si>
  <si>
    <t>VehicleTypeCode_boat</t>
  </si>
  <si>
    <t>VehicleTypeCode_bus</t>
  </si>
  <si>
    <t>VehicleTypeCode_caravan</t>
  </si>
  <si>
    <t>VehicleTypeCode_caravanette</t>
  </si>
  <si>
    <t>VehicleTypeCode_motorcycle</t>
  </si>
  <si>
    <t>VehicleTypeCode_ship</t>
  </si>
  <si>
    <t>VertClearRefCode_highestHighWater</t>
  </si>
  <si>
    <t>VertClearRefCode_indianSpringHighWater</t>
  </si>
  <si>
    <t>VertClearRefCode_meanHigherHighWater</t>
  </si>
  <si>
    <t>VertClearRefCode_meanHigherHighWaterSprings</t>
  </si>
  <si>
    <t>VertClearRefCode_meanHighWater</t>
  </si>
  <si>
    <t>VertClearRefCode_meanHighWaterSprings</t>
  </si>
  <si>
    <t>VertClearRefCode_meanSeaLevel</t>
  </si>
  <si>
    <t>VerticalConstMaterialCode_adobeBrick</t>
  </si>
  <si>
    <t>VerticalConstMaterialCode_aluminum</t>
  </si>
  <si>
    <t>VerticalConstMaterialCode_brick</t>
  </si>
  <si>
    <t>VerticalConstMaterialCode_concrete</t>
  </si>
  <si>
    <t>VerticalConstMaterialCode_fibreglass</t>
  </si>
  <si>
    <t>VerticalConstMaterialCode_glass</t>
  </si>
  <si>
    <t>VerticalConstMaterialCode_iron</t>
  </si>
  <si>
    <t>VerticalConstMaterialCode_masonry</t>
  </si>
  <si>
    <t>VerticalConstMaterialCode_metal</t>
  </si>
  <si>
    <t>VerticalConstMaterialCode_mudBasedConstruction</t>
  </si>
  <si>
    <t>VerticalConstMaterialCode_plantMaterial</t>
  </si>
  <si>
    <t>VerticalConstMaterialCode_prestressedConcrete</t>
  </si>
  <si>
    <t>VerticalConstMaterialCode_reinforcedConcrete</t>
  </si>
  <si>
    <t>VerticalConstMaterialCode_sod</t>
  </si>
  <si>
    <t>VerticalConstMaterialCode_steel</t>
  </si>
  <si>
    <t>VerticalConstMaterialCode_stone</t>
  </si>
  <si>
    <t>VerticalConstMaterialCode_treatedTimber</t>
  </si>
  <si>
    <t>VerticalConstMaterialCode_wood</t>
  </si>
  <si>
    <t>VerticalDatumCode_groundLevel</t>
  </si>
  <si>
    <t>VerticalDatumCode_meanSeaLevel</t>
  </si>
  <si>
    <t>VerticalDatumCode_navd88</t>
  </si>
  <si>
    <t>VerticalDatumCode_ngvd29</t>
  </si>
  <si>
    <t>VerticalDatumCode_wgs84</t>
  </si>
  <si>
    <t>VerticalDatumCode_wgs84Egm08</t>
  </si>
  <si>
    <t>VerticalDatumCode_wgs84Egm96</t>
  </si>
  <si>
    <t>VerticalDistanceReferenceCode_aboveGround</t>
  </si>
  <si>
    <t>VerticalDistanceReferenceCode_aboveMsl</t>
  </si>
  <si>
    <t>VerticalDistanceReferenceCode_aboveWgs84Ellipsoid</t>
  </si>
  <si>
    <t>VerticalDistanceReferenceCode_standardPressureDistance</t>
  </si>
  <si>
    <t>VerticalRelativeLocationCode_aboveSurface</t>
  </si>
  <si>
    <t>VerticalRelativeLocationCode_aboveWaterbodyBottom</t>
  </si>
  <si>
    <t>VerticalRelativeLocationCode_belowGroundSurface</t>
  </si>
  <si>
    <t>VerticalRelativeLocationCode_belowWaterbodyBottom</t>
  </si>
  <si>
    <t>VerticalRelativeLocationCode_belowWaterbodySurface</t>
  </si>
  <si>
    <t>VerticalRelativeLocationCode_onSurface</t>
  </si>
  <si>
    <t>VerticalRelativeLocationCode_onWaterbodyBottom</t>
  </si>
  <si>
    <t>VesselBoardingMethodCode_gangway</t>
  </si>
  <si>
    <t>VesselBoardingMethodCode_grapplingHook</t>
  </si>
  <si>
    <t>VesselBoardingMethodCode_jumped</t>
  </si>
  <si>
    <t>VesselBoardingMethodCode_towLine</t>
  </si>
  <si>
    <t>VesselBoardingPointCode_amidships</t>
  </si>
  <si>
    <t>VesselBoardingPointCode_bridgeWing</t>
  </si>
  <si>
    <t>VesselBoardingPointCode_engineRoom</t>
  </si>
  <si>
    <t>VesselBoardingPointCode_fantail</t>
  </si>
  <si>
    <t>VesselBoardingPointCode_stern</t>
  </si>
  <si>
    <t>VesselTypeCode_aircraft</t>
  </si>
  <si>
    <t>VesselTypeCode_aircraftCarrier</t>
  </si>
  <si>
    <t>VesselTypeCode_amphibiousWarfareVessel</t>
  </si>
  <si>
    <t>VesselTypeCode_ancientMerchant</t>
  </si>
  <si>
    <t>VesselTypeCode_ancientMilitaryVessel</t>
  </si>
  <si>
    <t>VesselTypeCode_antiSubmarineBarrier</t>
  </si>
  <si>
    <t>VesselTypeCode_armedVessel</t>
  </si>
  <si>
    <t>VesselTypeCode_auxiliary</t>
  </si>
  <si>
    <t>VesselTypeCode_barge</t>
  </si>
  <si>
    <t>VesselTypeCode_barque</t>
  </si>
  <si>
    <t>VesselTypeCode_battleCruiser</t>
  </si>
  <si>
    <t>VesselTypeCode_battleship</t>
  </si>
  <si>
    <t>VesselTypeCode_beamTrawler</t>
  </si>
  <si>
    <t>VesselTypeCode_blockShip</t>
  </si>
  <si>
    <t>VesselTypeCode_boardingVessel</t>
  </si>
  <si>
    <t>VesselTypeCode_bombardon</t>
  </si>
  <si>
    <t>VesselTypeCode_brigantine</t>
  </si>
  <si>
    <t>VesselTypeCode_bulkCarrier</t>
  </si>
  <si>
    <t>VesselTypeCode_buoy</t>
  </si>
  <si>
    <t>VesselTypeCode_cabinCruiser</t>
  </si>
  <si>
    <t>VesselTypeCode_caisson</t>
  </si>
  <si>
    <t>VesselTypeCode_cargo</t>
  </si>
  <si>
    <t>VesselTypeCode_carrier</t>
  </si>
  <si>
    <t>VesselTypeCode_catameran</t>
  </si>
  <si>
    <t>VesselTypeCode_coaster</t>
  </si>
  <si>
    <t>VesselTypeCode_coastGuardVessel</t>
  </si>
  <si>
    <t>VesselTypeCode_collier</t>
  </si>
  <si>
    <t>VesselTypeCode_containerShip</t>
  </si>
  <si>
    <t>VesselTypeCode_corvette</t>
  </si>
  <si>
    <t>VesselTypeCode_cruiser</t>
  </si>
  <si>
    <t>VesselTypeCode_cutter</t>
  </si>
  <si>
    <t>VesselTypeCode_derrickBarge</t>
  </si>
  <si>
    <t>VesselTypeCode_destroyer</t>
  </si>
  <si>
    <t>VesselTypeCode_dinghy</t>
  </si>
  <si>
    <t>VesselTypeCode_dreadnoughtBattleship</t>
  </si>
  <si>
    <t>VesselTypeCode_dredger</t>
  </si>
  <si>
    <t>VesselTypeCode_drifter</t>
  </si>
  <si>
    <t>VesselTypeCode_drillVesselOrRig</t>
  </si>
  <si>
    <t>VesselTypeCode_eastIndiaman</t>
  </si>
  <si>
    <t>VesselTypeCode_escortVessel</t>
  </si>
  <si>
    <t>VesselTypeCode_explorationVessel</t>
  </si>
  <si>
    <t>VesselTypeCode_factoryShip</t>
  </si>
  <si>
    <t>VesselTypeCode_ferry</t>
  </si>
  <si>
    <t>VesselTypeCode_fishingVessel</t>
  </si>
  <si>
    <t>VesselTypeCode_freighter</t>
  </si>
  <si>
    <t>VesselTypeCode_frigate</t>
  </si>
  <si>
    <t>VesselTypeCode_gasTurbineVessel</t>
  </si>
  <si>
    <t>VesselTypeCode_gunboat</t>
  </si>
  <si>
    <t>VesselTypeCode_heavyCruiser</t>
  </si>
  <si>
    <t>VesselTypeCode_helicopter</t>
  </si>
  <si>
    <t>VesselTypeCode_hospitalShip</t>
  </si>
  <si>
    <t>VesselTypeCode_hovercraft</t>
  </si>
  <si>
    <t>VesselTypeCode_hydrofoil</t>
  </si>
  <si>
    <t>VesselTypeCode_iceBreaker</t>
  </si>
  <si>
    <t>VesselTypeCode_inshoreVessel</t>
  </si>
  <si>
    <t>VesselTypeCode_junk</t>
  </si>
  <si>
    <t>VesselTypeCode_ketch</t>
  </si>
  <si>
    <t>VesselTypeCode_landingCraftInfantry</t>
  </si>
  <si>
    <t>VesselTypeCode_landingShipInfantry</t>
  </si>
  <si>
    <t>VesselTypeCode_landingShipTank</t>
  </si>
  <si>
    <t>VesselTypeCode_landingStage</t>
  </si>
  <si>
    <t>VesselTypeCode_largeContainerShip</t>
  </si>
  <si>
    <t>VesselTypeCode_launch</t>
  </si>
  <si>
    <t>VesselTypeCode_libertyShip</t>
  </si>
  <si>
    <t>VesselTypeCode_lightCruiser</t>
  </si>
  <si>
    <t>VesselTypeCode_lighterAboardShipVessel</t>
  </si>
  <si>
    <t>VesselTypeCode_lighterVessel</t>
  </si>
  <si>
    <t>VesselTypeCode_lightship</t>
  </si>
  <si>
    <t>VesselTypeCode_liner</t>
  </si>
  <si>
    <t>VesselTypeCode_liquefiedNaturalGasCarrier</t>
  </si>
  <si>
    <t>VesselTypeCode_liquefiedPetroGasCarrier</t>
  </si>
  <si>
    <t>VesselTypeCode_mailboat</t>
  </si>
  <si>
    <t>VesselTypeCode_merchantShip</t>
  </si>
  <si>
    <t>VesselTypeCode_militaryCruiser</t>
  </si>
  <si>
    <t>VesselTypeCode_militaryVessel</t>
  </si>
  <si>
    <t>VesselTypeCode_minelayer</t>
  </si>
  <si>
    <t>VesselTypeCode_minelayerOrMinesweeper</t>
  </si>
  <si>
    <t>VesselTypeCode_minesweeper</t>
  </si>
  <si>
    <t>VesselTypeCode_mobileCrane</t>
  </si>
  <si>
    <t>VesselTypeCode_motorVessel</t>
  </si>
  <si>
    <t>VesselTypeCode_mulberryUnit</t>
  </si>
  <si>
    <t>VesselTypeCode_netTender</t>
  </si>
  <si>
    <t>VesselTypeCode_nonPropelledRollOnRollOff</t>
  </si>
  <si>
    <t>VesselTypeCode_oceanTug</t>
  </si>
  <si>
    <t>VesselTypeCode_paddleBoat</t>
  </si>
  <si>
    <t>VesselTypeCode_passengerCargo</t>
  </si>
  <si>
    <t>VesselTypeCode_patrolBoat</t>
  </si>
  <si>
    <t>VesselTypeCode_pilotBoat</t>
  </si>
  <si>
    <t>VesselTypeCode_pleasureCraft</t>
  </si>
  <si>
    <t>VesselTypeCode_rescueBoat</t>
  </si>
  <si>
    <t>VesselTypeCode_researchVessel</t>
  </si>
  <si>
    <t>VesselTypeCode_riverboat</t>
  </si>
  <si>
    <t>VesselTypeCode_rollOnRollOff</t>
  </si>
  <si>
    <t>VesselTypeCode_sailingShip</t>
  </si>
  <si>
    <t>VesselTypeCode_salvageVessel</t>
  </si>
  <si>
    <t>VesselTypeCode_schooner</t>
  </si>
  <si>
    <t>VesselTypeCode_seaBeeLashBarge</t>
  </si>
  <si>
    <t>VesselTypeCode_shipDebris</t>
  </si>
  <si>
    <t>VesselTypeCode_shipsLifeboat</t>
  </si>
  <si>
    <t>VesselTypeCode_sloop</t>
  </si>
  <si>
    <t>VesselTypeCode_smack</t>
  </si>
  <si>
    <t>VesselTypeCode_smallDefenceVessel</t>
  </si>
  <si>
    <t>VesselTypeCode_speedboat</t>
  </si>
  <si>
    <t>VesselTypeCode_steamShip</t>
  </si>
  <si>
    <t>VesselTypeCode_sternTrawler</t>
  </si>
  <si>
    <t>VesselTypeCode_subchaser</t>
  </si>
  <si>
    <t>VesselTypeCode_submarine</t>
  </si>
  <si>
    <t>VesselTypeCode_supplyVessel</t>
  </si>
  <si>
    <t>VesselTypeCode_surfaceWarshipDestSmall</t>
  </si>
  <si>
    <t>VesselTypeCode_surveyVessel</t>
  </si>
  <si>
    <t>VesselTypeCode_tanker</t>
  </si>
  <si>
    <t>VesselTypeCode_targetShip</t>
  </si>
  <si>
    <t>VesselTypeCode_tenderVessel</t>
  </si>
  <si>
    <t>VesselTypeCode_torpedoBoat</t>
  </si>
  <si>
    <t>VesselTypeCode_transportShip</t>
  </si>
  <si>
    <t>VesselTypeCode_trawler</t>
  </si>
  <si>
    <t>VesselTypeCode_trimaran</t>
  </si>
  <si>
    <t>VesselTypeCode_tug</t>
  </si>
  <si>
    <t>VesselTypeCode_turboElectricVessel</t>
  </si>
  <si>
    <t>VesselTypeCode_twinMotorVessel</t>
  </si>
  <si>
    <t>VesselTypeCode_victoryShip</t>
  </si>
  <si>
    <t>VesselTypeCode_wreckLikeAnomaly</t>
  </si>
  <si>
    <t>VesselTypeCode_yacht</t>
  </si>
  <si>
    <t>VorBeaconTypeCode_conventionalVor</t>
  </si>
  <si>
    <t>VorBeaconTypeCode_dopplerVor</t>
  </si>
  <si>
    <t>VorBeaconTypeCode_vorTestFacility</t>
  </si>
  <si>
    <t>VictimVesselOutcomeCode_commEquipmentDestroyed</t>
  </si>
  <si>
    <t>VictimVesselOutcomeCode_damaged</t>
  </si>
  <si>
    <t>VictimVesselOutcomeCode_destroyed</t>
  </si>
  <si>
    <t>VictimVesselOutcomeCode_disabled</t>
  </si>
  <si>
    <t>VictimVesselOutcomeCode_stolen</t>
  </si>
  <si>
    <t>VictimVesselOutcomeCode_sunk</t>
  </si>
  <si>
    <t>VictimVesselOutcomeCode_unharmed</t>
  </si>
  <si>
    <t>VictimVesselStatusCode_anchored</t>
  </si>
  <si>
    <t>VictimVesselStatusCode_docked</t>
  </si>
  <si>
    <t>VictimVesselStatusCode_underway</t>
  </si>
  <si>
    <t>VictimVesselTypeCode_barge</t>
  </si>
  <si>
    <t>VictimVesselTypeCode_bulkCarrier</t>
  </si>
  <si>
    <t>VictimVesselTypeCode_containerShip</t>
  </si>
  <si>
    <t>VictimVesselTypeCode_fishingBoat</t>
  </si>
  <si>
    <t>VictimVesselTypeCode_generalCargo</t>
  </si>
  <si>
    <t>VictimVesselTypeCode_merchantShip</t>
  </si>
  <si>
    <t>VictimVesselTypeCode_rollOnRollOff</t>
  </si>
  <si>
    <t>VictimVesselTypeCode_supplyVessel</t>
  </si>
  <si>
    <t>VictimVesselTypeCode_tanker</t>
  </si>
  <si>
    <t>VictimVesselTypeCode_tug</t>
  </si>
  <si>
    <t>VictimVesselTypeCode_yacht</t>
  </si>
  <si>
    <t>VasisTypeCode_abbreviatedPapi</t>
  </si>
  <si>
    <t>VasisTypeCode_abbreviatedTeeVasis</t>
  </si>
  <si>
    <t>VasisTypeCode_abbreviatedTeeVasis3Bar</t>
  </si>
  <si>
    <t>VasisTypeCode_abbreviatedVasis</t>
  </si>
  <si>
    <t>VasisTypeCode_abbreviatedVasis3Bar</t>
  </si>
  <si>
    <t>VasisTypeCode_heliApproachPathIndicator</t>
  </si>
  <si>
    <t>VasisTypeCode_lowCostVasi</t>
  </si>
  <si>
    <t>VasisTypeCode_multipleIdenticalLightUnits</t>
  </si>
  <si>
    <t>VasisTypeCode_opticalLandingSystem</t>
  </si>
  <si>
    <t>VasisTypeCode_precApproachPathIndicator</t>
  </si>
  <si>
    <t>VasisTypeCode_pulsatingVasi</t>
  </si>
  <si>
    <t>VasisTypeCode_teeVasis</t>
  </si>
  <si>
    <t>VasisTypeCode_triColourVasi</t>
  </si>
  <si>
    <t>VasisTypeCode_vasis2Bar</t>
  </si>
  <si>
    <t>VasisTypeCode_vasis3Bar</t>
  </si>
  <si>
    <t>VoidCollectionReasonCode_cloudCover</t>
  </si>
  <si>
    <t>VoidCollectionReasonCode_darkShade</t>
  </si>
  <si>
    <t>VoidCollectionReasonCode_flooded</t>
  </si>
  <si>
    <t>VoidCollectionReasonCode_inaccessible</t>
  </si>
  <si>
    <t>VoidCollectionReasonCode_noAvailableImagery</t>
  </si>
  <si>
    <t>VoidCollectionReasonCode_noAvailableMapSource</t>
  </si>
  <si>
    <t>VoidCollectionReasonCode_noAvailableSurvey</t>
  </si>
  <si>
    <t>VoidCollectionReasonCode_noSuitableImagery</t>
  </si>
  <si>
    <t>VoidCollectionReasonCode_notRequested</t>
  </si>
  <si>
    <t>VoidCollectionReasonCode_notRequired</t>
  </si>
  <si>
    <t>VoidCollectionReasonCode_snowCover</t>
  </si>
  <si>
    <t>VoidCollectionReasonCode_vegetationCover</t>
  </si>
  <si>
    <t>VoidCollectionTypeCode_bathymetry</t>
  </si>
  <si>
    <t>VoidCollectionTypeCode_hypsography</t>
  </si>
  <si>
    <t>VoidCollectionTypeCode_waterbodyBottomComposition</t>
  </si>
  <si>
    <t>VoidNumValueReasonCode_noInformation</t>
  </si>
  <si>
    <t>VoidNumValueReasonCode_notApplicable</t>
  </si>
  <si>
    <t>VoidNumValueReasonCode_unknown</t>
  </si>
  <si>
    <t>VoidNumValueReasonCode_unpopulated</t>
  </si>
  <si>
    <t>VoidNumValueReasonCode_valueSpecified</t>
  </si>
  <si>
    <t>VoidValueReasonCode_noInformation</t>
  </si>
  <si>
    <t>VoidValueReasonCode_notApplicable</t>
  </si>
  <si>
    <t>VoidValueReasonCode_other</t>
  </si>
  <si>
    <t>VoidValueReasonCode_unknown</t>
  </si>
  <si>
    <t>VoidValueReasonCode_unpopulated</t>
  </si>
  <si>
    <t>VoidValueReasonCode_valueSpecified</t>
  </si>
  <si>
    <t>VolcanicActivityCode_active</t>
  </si>
  <si>
    <t>VolcanicActivityCode_dormant</t>
  </si>
  <si>
    <t>VolcanicActivityCode_inactiveOrExtinct</t>
  </si>
  <si>
    <t>VolcanicExplosivityIndexCode_extremelyLarge_6</t>
  </si>
  <si>
    <t>VolcanicExplosivityIndexCode_large_4</t>
  </si>
  <si>
    <t>VolcanicExplosivityIndexCode_megaLarge_8</t>
  </si>
  <si>
    <t>VolcanicExplosivityIndexCode_moderate_2</t>
  </si>
  <si>
    <t>VolcanicExplosivityIndexCode_moderateLarge_3</t>
  </si>
  <si>
    <t>VolcanicExplosivityIndexCode_nonExplosive_0</t>
  </si>
  <si>
    <t>VolcanicExplosivityIndexCode_small_1</t>
  </si>
  <si>
    <t>VolcanicExplosivityIndexCode_superLarge_7</t>
  </si>
  <si>
    <t>VolcanicExplosivityIndexCode_veryLarge_5</t>
  </si>
  <si>
    <t>VolcanoShapeCode_caldera</t>
  </si>
  <si>
    <t>VolcanoShapeCode_cinderCone</t>
  </si>
  <si>
    <t>VolcanoShapeCode_composite</t>
  </si>
  <si>
    <t>VolcanoShapeCode_cone</t>
  </si>
  <si>
    <t>VolcanoShapeCode_shield</t>
  </si>
  <si>
    <t>WallTypeCode_freeStanding</t>
  </si>
  <si>
    <t>WallTypeCode_retaining</t>
  </si>
  <si>
    <t>WaterLevelEffectCode_alwaysDry</t>
  </si>
  <si>
    <t>WaterLevelEffectCode_alwaysSubmerged</t>
  </si>
  <si>
    <t>WaterLevelEffectCode_awashAtChartDatum</t>
  </si>
  <si>
    <t>WaterLevelEffectCode_awashAtLowWater</t>
  </si>
  <si>
    <t>WaterLevelEffectCode_coversAndUncovers</t>
  </si>
  <si>
    <t>WaterLevelEffectCode_partlySubmerged</t>
  </si>
  <si>
    <t>WaterPotabilityCode_contaminated</t>
  </si>
  <si>
    <t>WaterPotabilityCode_nonpotable</t>
  </si>
  <si>
    <t>WaterPotabilityCode_potable</t>
  </si>
  <si>
    <t>WaterPotabilityCode_treatable</t>
  </si>
  <si>
    <t>WaterRaceTypeCode_flume</t>
  </si>
  <si>
    <t>WaterRaceTypeCode_headrace</t>
  </si>
  <si>
    <t>WaterRaceTypeCode_sluice</t>
  </si>
  <si>
    <t>WaterRaceTypeCode_tailrace</t>
  </si>
  <si>
    <t>WaterTurbulenceTypeCode_breakers</t>
  </si>
  <si>
    <t>WaterTurbulenceTypeCode_confusedSeas</t>
  </si>
  <si>
    <t>WaterTurbulenceTypeCode_eddies</t>
  </si>
  <si>
    <t>WaterTurbulenceTypeCode_overfalls</t>
  </si>
  <si>
    <t>WaterTurbulenceTypeCode_plungingBreakers</t>
  </si>
  <si>
    <t>WaterTurbulenceTypeCode_spillingBreakers</t>
  </si>
  <si>
    <t>WaterTurbulenceTypeCode_surgingBreakers</t>
  </si>
  <si>
    <t>WaterTurbulenceTypeCode_tideRips</t>
  </si>
  <si>
    <t>WaterTurbulenceTypeCode_whirlpool</t>
  </si>
  <si>
    <t>WaterTypeCode_alkaline</t>
  </si>
  <si>
    <t>WaterTypeCode_brackish</t>
  </si>
  <si>
    <t>WaterTypeCode_brine</t>
  </si>
  <si>
    <t>WaterTypeCode_fresh</t>
  </si>
  <si>
    <t>WaterTypeCode_mineral</t>
  </si>
  <si>
    <t>WaterTypeCode_saline</t>
  </si>
  <si>
    <t>WaterTypeCode_seawater</t>
  </si>
  <si>
    <t>WaterUseCode_agriculturalIrrigation</t>
  </si>
  <si>
    <t>WaterUseCode_commercial</t>
  </si>
  <si>
    <t>WaterUseCode_domesticIrrigation</t>
  </si>
  <si>
    <t>WaterUseCode_industrial</t>
  </si>
  <si>
    <t>WaterUseCode_institutional</t>
  </si>
  <si>
    <t>WaterUseCode_livestock</t>
  </si>
  <si>
    <t>WaterUseCode_municipal</t>
  </si>
  <si>
    <t>WaterUseCode_powerGeneration</t>
  </si>
  <si>
    <t>WaterUseCode_recreational</t>
  </si>
  <si>
    <t>WaterUseCode_sanitaryDomestic</t>
  </si>
  <si>
    <t>WaterbodyBottomCharacterCode_cable</t>
  </si>
  <si>
    <t>WaterbodyBottomCharacterCode_featureGte0r6MetreHgt</t>
  </si>
  <si>
    <t>WaterbodyBottomCharacterCode_rockAndLedgesGt2MetreHgt</t>
  </si>
  <si>
    <t>WaterbodyBottomCharacterCode_rockAndLedgesLte2MetreHgt</t>
  </si>
  <si>
    <t>WaterbodyBottomCharacterCode_roughHardBottom</t>
  </si>
  <si>
    <t>WaterbodyBottomCharacterCode_scourChanSlopeMayExceed</t>
  </si>
  <si>
    <t>WaterbodyBottomCharacterCode_slopeGt10ArcDegrees</t>
  </si>
  <si>
    <t>WaterbodyBottomCharacterCode_slumpLocalSlopeMayExceed</t>
  </si>
  <si>
    <t>WaterbodyBottomCharacterCode_smoothHardBottom</t>
  </si>
  <si>
    <t>WaterbodyBottomCharacterCode_testDepthsGtZoneLimit</t>
  </si>
  <si>
    <t>WaterbodyBottomCharacterCode_testDepthsLtZoneLimit</t>
  </si>
  <si>
    <t>WaterbodyMorphologyCode_abyssalHills</t>
  </si>
  <si>
    <t>WaterbodyMorphologyCode_abyssalPlain</t>
  </si>
  <si>
    <t>WaterbodyMorphologyCode_apron</t>
  </si>
  <si>
    <t>WaterbodyMorphologyCode_arch</t>
  </si>
  <si>
    <t>WaterbodyMorphologyCode_archipelagicApron</t>
  </si>
  <si>
    <t>WaterbodyMorphologyCode_arrugado</t>
  </si>
  <si>
    <t>WaterbodyMorphologyCode_bank</t>
  </si>
  <si>
    <t>WaterbodyMorphologyCode_basin</t>
  </si>
  <si>
    <t>WaterbodyMorphologyCode_basinRangeProvince</t>
  </si>
  <si>
    <t>WaterbodyMorphologyCode_bay</t>
  </si>
  <si>
    <t>WaterbodyMorphologyCode_bench</t>
  </si>
  <si>
    <t>WaterbodyMorphologyCode_bight</t>
  </si>
  <si>
    <t>WaterbodyMorphologyCode_borderland</t>
  </si>
  <si>
    <t>WaterbodyMorphologyCode_caldera</t>
  </si>
  <si>
    <t>WaterbodyMorphologyCode_canyon</t>
  </si>
  <si>
    <t>WaterbodyMorphologyCode_channel</t>
  </si>
  <si>
    <t>WaterbodyMorphologyCode_continentalMargin</t>
  </si>
  <si>
    <t>WaterbodyMorphologyCode_continentalRise</t>
  </si>
  <si>
    <t>WaterbodyMorphologyCode_cordillera</t>
  </si>
  <si>
    <t>WaterbodyMorphologyCode_cove</t>
  </si>
  <si>
    <t>WaterbodyMorphologyCode_deep</t>
  </si>
  <si>
    <t>WaterbodyMorphologyCode_deeperLandwardTrenchWall</t>
  </si>
  <si>
    <t>WaterbodyMorphologyCode_deepSeaTrench</t>
  </si>
  <si>
    <t>WaterbodyMorphologyCode_deformationZone</t>
  </si>
  <si>
    <t>WaterbodyMorphologyCode_escarpment</t>
  </si>
  <si>
    <t>WaterbodyMorphologyCode_estuary</t>
  </si>
  <si>
    <t>WaterbodyMorphologyCode_fan</t>
  </si>
  <si>
    <t>WaterbodyMorphologyCode_faultLine</t>
  </si>
  <si>
    <t>WaterbodyMorphologyCode_fjord</t>
  </si>
  <si>
    <t>WaterbodyMorphologyCode_flat</t>
  </si>
  <si>
    <t>WaterbodyMorphologyCode_fork</t>
  </si>
  <si>
    <t>WaterbodyMorphologyCode_fractureZone</t>
  </si>
  <si>
    <t>WaterbodyMorphologyCode_furrow</t>
  </si>
  <si>
    <t>WaterbodyMorphologyCode_gap</t>
  </si>
  <si>
    <t>WaterbodyMorphologyCode_gat</t>
  </si>
  <si>
    <t>WaterbodyMorphologyCode_gulf</t>
  </si>
  <si>
    <t>WaterbodyMorphologyCode_gully</t>
  </si>
  <si>
    <t>WaterbodyMorphologyCode_guyot</t>
  </si>
  <si>
    <t>WaterbodyMorphologyCode_hill</t>
  </si>
  <si>
    <t>WaterbodyMorphologyCode_hole</t>
  </si>
  <si>
    <t>WaterbodyMorphologyCode_inlet</t>
  </si>
  <si>
    <t>WaterbodyMorphologyCode_insularPlatform</t>
  </si>
  <si>
    <t>WaterbodyMorphologyCode_knoll</t>
  </si>
  <si>
    <t>WaterbodyMorphologyCode_landwardSlopeApron</t>
  </si>
  <si>
    <t>WaterbodyMorphologyCode_landwardSlopeCanyon</t>
  </si>
  <si>
    <t>WaterbodyMorphologyCode_landwardUpperSlope</t>
  </si>
  <si>
    <t>WaterbodyMorphologyCode_ledge</t>
  </si>
  <si>
    <t>WaterbodyMorphologyCode_levee</t>
  </si>
  <si>
    <t>WaterbodyMorphologyCode_marginalEscarpment</t>
  </si>
  <si>
    <t>WaterbodyMorphologyCode_marginalPlateau</t>
  </si>
  <si>
    <t>WaterbodyMorphologyCode_marginalTrench</t>
  </si>
  <si>
    <t>WaterbodyMorphologyCode_medianValley</t>
  </si>
  <si>
    <t>WaterbodyMorphologyCode_mesa</t>
  </si>
  <si>
    <t>WaterbodyMorphologyCode_midOceanRidge</t>
  </si>
  <si>
    <t>WaterbodyMorphologyCode_midSlopeTerrace</t>
  </si>
  <si>
    <t>WaterbodyMorphologyCode_moat</t>
  </si>
  <si>
    <t>WaterbodyMorphologyCode_mound</t>
  </si>
  <si>
    <t>WaterbodyMorphologyCode_mountains</t>
  </si>
  <si>
    <t>WaterbodyMorphologyCode_mudFlats</t>
  </si>
  <si>
    <t>WaterbodyMorphologyCode_narrows</t>
  </si>
  <si>
    <t>WaterbodyMorphologyCode_ocean</t>
  </si>
  <si>
    <t>WaterbodyMorphologyCode_oceanBasinHills</t>
  </si>
  <si>
    <t>WaterbodyMorphologyCode_oceanTrench</t>
  </si>
  <si>
    <t>WaterbodyMorphologyCode_peak</t>
  </si>
  <si>
    <t>WaterbodyMorphologyCode_pinnacle</t>
  </si>
  <si>
    <t>WaterbodyMorphologyCode_plain</t>
  </si>
  <si>
    <t>WaterbodyMorphologyCode_plateau</t>
  </si>
  <si>
    <t>WaterbodyMorphologyCode_platform</t>
  </si>
  <si>
    <t>WaterbodyMorphologyCode_platformUpperSlope</t>
  </si>
  <si>
    <t>WaterbodyMorphologyCode_province</t>
  </si>
  <si>
    <t>WaterbodyMorphologyCode_ramp</t>
  </si>
  <si>
    <t>WaterbodyMorphologyCode_range</t>
  </si>
  <si>
    <t>WaterbodyMorphologyCode_ravine</t>
  </si>
  <si>
    <t>WaterbodyMorphologyCode_reef</t>
  </si>
  <si>
    <t>WaterbodyMorphologyCode_ridge</t>
  </si>
  <si>
    <t>WaterbodyMorphologyCode_ridgesValleys</t>
  </si>
  <si>
    <t>WaterbodyMorphologyCode_ridgeValleyComplex</t>
  </si>
  <si>
    <t>WaterbodyMorphologyCode_riftValley</t>
  </si>
  <si>
    <t>WaterbodyMorphologyCode_rise</t>
  </si>
  <si>
    <t>WaterbodyMorphologyCode_saddle</t>
  </si>
  <si>
    <t>WaterbodyMorphologyCode_sea</t>
  </si>
  <si>
    <t>WaterbodyMorphologyCode_seaChannel</t>
  </si>
  <si>
    <t>WaterbodyMorphologyCode_seamount</t>
  </si>
  <si>
    <t>WaterbodyMorphologyCode_seamountChain</t>
  </si>
  <si>
    <t>WaterbodyMorphologyCode_shelf</t>
  </si>
  <si>
    <t>WaterbodyMorphologyCode_shelfEdge</t>
  </si>
  <si>
    <t>WaterbodyMorphologyCode_shelfValley</t>
  </si>
  <si>
    <t>WaterbodyMorphologyCode_shoal</t>
  </si>
  <si>
    <t>WaterbodyMorphologyCode_sill</t>
  </si>
  <si>
    <t>WaterbodyMorphologyCode_slope</t>
  </si>
  <si>
    <t>WaterbodyMorphologyCode_slopeBasin</t>
  </si>
  <si>
    <t>WaterbodyMorphologyCode_slump</t>
  </si>
  <si>
    <t>WaterbodyMorphologyCode_sound</t>
  </si>
  <si>
    <t>WaterbodyMorphologyCode_springs</t>
  </si>
  <si>
    <t>WaterbodyMorphologyCode_spur</t>
  </si>
  <si>
    <t>WaterbodyMorphologyCode_strait</t>
  </si>
  <si>
    <t>WaterbodyMorphologyCode_terrace</t>
  </si>
  <si>
    <t>WaterbodyMorphologyCode_tidalFlat</t>
  </si>
  <si>
    <t>WaterbodyMorphologyCode_tongue</t>
  </si>
  <si>
    <t>WaterbodyMorphologyCode_trench</t>
  </si>
  <si>
    <t>WaterbodyMorphologyCode_trenchFloor</t>
  </si>
  <si>
    <t>WaterbodyMorphologyCode_trough</t>
  </si>
  <si>
    <t>WaterbodyMorphologyCode_upperTrenchSlope</t>
  </si>
  <si>
    <t>WaterbodyMorphologyCode_valley</t>
  </si>
  <si>
    <t>WatercourseChannelTypeCode_braidedStream</t>
  </si>
  <si>
    <t>WatercourseChannelTypeCode_channelizedStream</t>
  </si>
  <si>
    <t>WatercourseChannelTypeCode_gorge</t>
  </si>
  <si>
    <t>WatercourseChannelTypeCode_normalChannel</t>
  </si>
  <si>
    <t>WatercourseChannelTypeCode_wadi</t>
  </si>
  <si>
    <t>WatercourseMorphologyCode_abandoned</t>
  </si>
  <si>
    <t>WatercourseMorphologyCode_anabranch</t>
  </si>
  <si>
    <t>WatercourseMorphologyCode_bend</t>
  </si>
  <si>
    <t>WatercourseMorphologyCode_canalized</t>
  </si>
  <si>
    <t>WatercourseMorphologyCode_confluence</t>
  </si>
  <si>
    <t>WatercourseMorphologyCode_craterLake</t>
  </si>
  <si>
    <t>WatercourseMorphologyCode_cutOff</t>
  </si>
  <si>
    <t>WatercourseMorphologyCode_distributary</t>
  </si>
  <si>
    <t>WatercourseMorphologyCode_headwaters</t>
  </si>
  <si>
    <t>WatercourseMorphologyCode_meander</t>
  </si>
  <si>
    <t>WatercourseMorphologyCode_mouth</t>
  </si>
  <si>
    <t>WatercourseMorphologyCode_oxbowLake</t>
  </si>
  <si>
    <t>WatercourseMorphologyCode_pool</t>
  </si>
  <si>
    <t>WatercourseMorphologyCode_reach</t>
  </si>
  <si>
    <t>WatercourseSinkTypeCode_disappearing</t>
  </si>
  <si>
    <t>WatercourseSinkTypeCode_dissipating</t>
  </si>
  <si>
    <t>WatercourseSinkTypeCode_hole</t>
  </si>
  <si>
    <t>WatercourseSinkTypeCode_sinkhole</t>
  </si>
  <si>
    <t>WayPointClassCode_named</t>
  </si>
  <si>
    <t>WayPointClassCode_unnamed</t>
  </si>
  <si>
    <t>WayPointTypeCode_flyBy</t>
  </si>
  <si>
    <t>WayPointTypeCode_flyover</t>
  </si>
  <si>
    <t>WayPointUsageCode_areaNavigation</t>
  </si>
  <si>
    <t>WayPointUsageCode_navigationReferenceSystem</t>
  </si>
  <si>
    <t>WayPointUsageCode_offRoute</t>
  </si>
  <si>
    <t>WayPointUsageCode_specialUsageAirspace</t>
  </si>
  <si>
    <t>WeaponsRangeTypeCode_demolitionArea</t>
  </si>
  <si>
    <t>WeaponsRangeTypeCode_fieldArtillery</t>
  </si>
  <si>
    <t>WeaponsRangeTypeCode_grenade</t>
  </si>
  <si>
    <t>WeaponsRangeTypeCode_impactArea</t>
  </si>
  <si>
    <t>WeaponsRangeTypeCode_smallArms</t>
  </si>
  <si>
    <t>WeaponsRangeTypeCode_tank</t>
  </si>
  <si>
    <t>WellEquipmentCode_capped</t>
  </si>
  <si>
    <t>WellEquipmentCode_christmasTree</t>
  </si>
  <si>
    <t>WellEquipmentCode_manifold</t>
  </si>
  <si>
    <t>WellEquipmentCode_protectiveStructure</t>
  </si>
  <si>
    <t>WellEquipmentCode_pump</t>
  </si>
  <si>
    <t>WellEquipmentCode_rodPump</t>
  </si>
  <si>
    <t>WellEquipmentCode_separator</t>
  </si>
  <si>
    <t>WellEquipmentCode_stockTank</t>
  </si>
  <si>
    <t>WellEquipmentCode_treater</t>
  </si>
  <si>
    <t>WellEquipmentCode_wellhead</t>
  </si>
  <si>
    <t>WellTypeCode_artesian</t>
  </si>
  <si>
    <t>WellTypeCode_drilled</t>
  </si>
  <si>
    <t>WellTypeCode_dug</t>
  </si>
  <si>
    <t>WellTypeCode_dugOrDrilled</t>
  </si>
  <si>
    <t>WellTypeCode_walledIn</t>
  </si>
  <si>
    <t>WellUseTypeCode_nonWaterWell</t>
  </si>
  <si>
    <t>WellUseTypeCode_waterWell</t>
  </si>
  <si>
    <t>WellboreInjectionMaterialCode_air</t>
  </si>
  <si>
    <t>WellboreInjectionMaterialCode_carbonDioxide</t>
  </si>
  <si>
    <t>WellboreInjectionMaterialCode_chemicals</t>
  </si>
  <si>
    <t>WellboreInjectionMaterialCode_coalSlurry</t>
  </si>
  <si>
    <t>WellboreInjectionMaterialCode_detergent</t>
  </si>
  <si>
    <t>WellboreInjectionMaterialCode_fireFlooding</t>
  </si>
  <si>
    <t>WellboreInjectionMaterialCode_liquefiedPetroleumGas</t>
  </si>
  <si>
    <t>WellboreInjectionMaterialCode_liquids</t>
  </si>
  <si>
    <t>WellboreInjectionMaterialCode_naturalGas</t>
  </si>
  <si>
    <t>WellboreInjectionMaterialCode_petroleum</t>
  </si>
  <si>
    <t>WellboreInjectionMaterialCode_squeezeLiquids</t>
  </si>
  <si>
    <t>WellboreInjectionMaterialCode_steam</t>
  </si>
  <si>
    <t>WellboreInjectionMaterialCode_thermalFluids</t>
  </si>
  <si>
    <t>WellboreInjectionMaterialCode_water</t>
  </si>
  <si>
    <t>WellboreStatusCode_abandoned</t>
  </si>
  <si>
    <t>WellboreStatusCode_active</t>
  </si>
  <si>
    <t>WellboreStatusCode_buried</t>
  </si>
  <si>
    <t>WellboreStatusCode_drilling</t>
  </si>
  <si>
    <t>WellboreStatusCode_dry</t>
  </si>
  <si>
    <t>WellboreStatusCode_expired</t>
  </si>
  <si>
    <t>WellboreStatusCode_planned</t>
  </si>
  <si>
    <t>WellboreStatusCode_plugged</t>
  </si>
  <si>
    <t>WellboreStatusCode_pluggedBack</t>
  </si>
  <si>
    <t>WellboreStatusCode_shutIn</t>
  </si>
  <si>
    <t>WellboreStatusCode_suspended</t>
  </si>
  <si>
    <t>WellboreStatusCode_temporarilyAbandoned</t>
  </si>
  <si>
    <t>WellboreStatusCode_test</t>
  </si>
  <si>
    <t>WellboreStatusCode_waitingOnCompletion</t>
  </si>
  <si>
    <t>WetlandTypeCode_bog</t>
  </si>
  <si>
    <t>WetlandTypeCode_marsh</t>
  </si>
  <si>
    <t>WetlandTypeCode_swamp</t>
  </si>
  <si>
    <t>WindDirectIndicatorTypeCode_tetrahedron</t>
  </si>
  <si>
    <t>WindDirectIndicatorTypeCode_windsock</t>
  </si>
  <si>
    <t>WindDirectIndicatorTypeCode_windTee</t>
  </si>
  <si>
    <t>WirelessTelecomTypeCode_cellularPhone</t>
  </si>
  <si>
    <t>WirelessTelecomTypeCode_microwaveRadioRelay</t>
  </si>
  <si>
    <t>WirelessTelecomTypeCode_mobilePhone</t>
  </si>
  <si>
    <t>WirelessTelecomTypeCode_radioBroadcast</t>
  </si>
  <si>
    <t>WirelessTelecomTypeCode_radioTelegraph</t>
  </si>
  <si>
    <t>WirelessTelecomTypeCode_radioTelephone</t>
  </si>
  <si>
    <t>WirelessTelecomTypeCode_television</t>
  </si>
  <si>
    <t>WreckHulkExposureCode_funnelShowing</t>
  </si>
  <si>
    <t>WreckHulkExposureCode_hullShowing</t>
  </si>
  <si>
    <t>WreckHulkExposureCode_mastsFunnelShowing</t>
  </si>
  <si>
    <t>WreckHulkExposureCode_mastsShowing</t>
  </si>
  <si>
    <t>WreckHulkExposureCode_notExposed</t>
  </si>
  <si>
    <t>WreckHulkExposureCode_superstructureShowing</t>
  </si>
  <si>
    <r>
      <t xml:space="preserve">In the </t>
    </r>
    <r>
      <rPr>
        <sz val="10"/>
        <rFont val="Arial"/>
        <family val="2"/>
      </rPr>
      <t xml:space="preserve"> </t>
    </r>
    <r>
      <rPr>
        <sz val="10"/>
        <color rgb="FFFF0000"/>
        <rFont val="Arial"/>
        <family val="2"/>
      </rPr>
      <t>DFDD</t>
    </r>
    <r>
      <rPr>
        <sz val="10"/>
        <rFont val="Arial"/>
        <family val="2"/>
      </rPr>
      <t xml:space="preserve"> this is a character string, for example: "ConditionOfFacility". Attribute concept AlphaCodes follows the lowerCamelCase convention.</t>
    </r>
  </si>
  <si>
    <r>
      <t xml:space="preserve">In the </t>
    </r>
    <r>
      <rPr>
        <sz val="10"/>
        <color rgb="FFFF0000"/>
        <rFont val="Arial"/>
        <family val="2"/>
      </rPr>
      <t xml:space="preserve"> DFDD </t>
    </r>
    <r>
      <rPr>
        <sz val="10"/>
        <rFont val="Arial"/>
        <family val="2"/>
      </rPr>
      <t>this is a character string, for example: "ShearWall". Feature concept AlphaCodes follows the UpperCamelCase convention.</t>
    </r>
  </si>
</sst>
</file>

<file path=xl/styles.xml><?xml version="1.0" encoding="utf-8"?>
<styleSheet xmlns="http://schemas.openxmlformats.org/spreadsheetml/2006/main">
  <fonts count="72">
    <font>
      <sz val="10"/>
      <name val="Arial"/>
      <family val="2"/>
    </font>
    <font>
      <sz val="11"/>
      <color theme="1"/>
      <name val="Calibri"/>
      <family val="2"/>
      <scheme val="minor"/>
    </font>
    <font>
      <sz val="11"/>
      <color theme="1"/>
      <name val="Calibri"/>
      <family val="2"/>
      <scheme val="minor"/>
    </font>
    <font>
      <sz val="10"/>
      <name val="MS Sans Serif"/>
      <family val="2"/>
    </font>
    <font>
      <b/>
      <sz val="10"/>
      <color indexed="10"/>
      <name val="Arial"/>
      <family val="2"/>
    </font>
    <font>
      <sz val="10"/>
      <name val="Arial"/>
      <family val="2"/>
    </font>
    <font>
      <b/>
      <sz val="10"/>
      <name val="Arial"/>
      <family val="2"/>
    </font>
    <font>
      <sz val="10"/>
      <color indexed="8"/>
      <name val="Arial"/>
      <family val="2"/>
    </font>
    <font>
      <b/>
      <sz val="10"/>
      <color indexed="12"/>
      <name val="Arial"/>
      <family val="2"/>
    </font>
    <font>
      <sz val="10"/>
      <color indexed="10"/>
      <name val="Arial"/>
      <family val="2"/>
    </font>
    <font>
      <sz val="8"/>
      <name val="MS Sans Serif"/>
      <family val="2"/>
    </font>
    <font>
      <b/>
      <sz val="14"/>
      <color indexed="10"/>
      <name val="Arial"/>
      <family val="2"/>
    </font>
    <font>
      <b/>
      <sz val="18"/>
      <color indexed="10"/>
      <name val="Arial"/>
      <family val="2"/>
    </font>
    <font>
      <i/>
      <sz val="10"/>
      <name val="Arial"/>
      <family val="2"/>
    </font>
    <font>
      <b/>
      <sz val="10"/>
      <color indexed="23"/>
      <name val="Arial"/>
      <family val="2"/>
    </font>
    <font>
      <b/>
      <sz val="10"/>
      <color indexed="48"/>
      <name val="Arial"/>
      <family val="2"/>
    </font>
    <font>
      <sz val="10"/>
      <color indexed="48"/>
      <name val="Arial"/>
      <family val="2"/>
    </font>
    <font>
      <sz val="10"/>
      <color indexed="55"/>
      <name val="Arial"/>
      <family val="2"/>
    </font>
    <font>
      <b/>
      <sz val="10"/>
      <color indexed="17"/>
      <name val="Arial"/>
      <family val="2"/>
    </font>
    <font>
      <u/>
      <sz val="10"/>
      <color indexed="12"/>
      <name val="Arial"/>
      <family val="2"/>
    </font>
    <font>
      <b/>
      <sz val="10"/>
      <color indexed="60"/>
      <name val="Arial"/>
      <family val="2"/>
    </font>
    <font>
      <sz val="10"/>
      <color indexed="60"/>
      <name val="Arial"/>
      <family val="2"/>
    </font>
    <font>
      <sz val="10"/>
      <color indexed="53"/>
      <name val="Arial"/>
      <family val="2"/>
    </font>
    <font>
      <sz val="10"/>
      <name val="Arial"/>
      <family val="2"/>
    </font>
    <font>
      <sz val="10"/>
      <name val="Arial"/>
      <family val="2"/>
    </font>
    <font>
      <b/>
      <sz val="10"/>
      <color indexed="55"/>
      <name val="Arial"/>
      <family val="2"/>
    </font>
    <font>
      <b/>
      <sz val="10"/>
      <color indexed="61"/>
      <name val="Arial"/>
      <family val="2"/>
    </font>
    <font>
      <sz val="10"/>
      <color indexed="17"/>
      <name val="Arial"/>
      <family val="2"/>
    </font>
    <font>
      <b/>
      <sz val="10"/>
      <color rgb="FF0000FF"/>
      <name val="Arial"/>
      <family val="2"/>
    </font>
    <font>
      <sz val="10"/>
      <color theme="0" tint="-0.249977111117893"/>
      <name val="Arial"/>
      <family val="2"/>
    </font>
    <font>
      <b/>
      <sz val="10"/>
      <color theme="9" tint="-0.499984740745262"/>
      <name val="Arial"/>
      <family val="2"/>
    </font>
    <font>
      <b/>
      <sz val="10"/>
      <color rgb="FF7030A0"/>
      <name val="Arial"/>
      <family val="2"/>
    </font>
    <font>
      <sz val="10"/>
      <color rgb="FF0000FF"/>
      <name val="Arial"/>
      <family val="2"/>
    </font>
    <font>
      <sz val="10"/>
      <name val="MS Sans Serif"/>
      <family val="2"/>
    </font>
    <font>
      <i/>
      <sz val="10"/>
      <color theme="9" tint="-0.499984740745262"/>
      <name val="Arial"/>
      <family val="2"/>
    </font>
    <font>
      <i/>
      <sz val="10"/>
      <color rgb="FF0000FF"/>
      <name val="Arial"/>
      <family val="2"/>
    </font>
    <font>
      <sz val="10"/>
      <color rgb="FF000000"/>
      <name val="Arial"/>
      <family val="2"/>
    </font>
    <font>
      <b/>
      <sz val="10"/>
      <color theme="0" tint="-0.499984740745262"/>
      <name val="Arial"/>
      <family val="2"/>
    </font>
    <font>
      <sz val="10"/>
      <color theme="1"/>
      <name val="Arial"/>
      <family val="2"/>
    </font>
    <font>
      <sz val="11"/>
      <color theme="1"/>
      <name val="Calibri"/>
      <family val="2"/>
      <scheme val="minor"/>
    </font>
    <font>
      <sz val="10"/>
      <color rgb="FFDCDCDC"/>
      <name val="Arial"/>
      <family val="2"/>
    </font>
    <font>
      <sz val="10"/>
      <color rgb="FF00B400"/>
      <name val="Arial"/>
      <family val="2"/>
    </font>
    <font>
      <sz val="10"/>
      <color rgb="FF006400"/>
      <name val="Arial"/>
      <family val="2"/>
    </font>
    <font>
      <b/>
      <sz val="10"/>
      <color rgb="FF006400"/>
      <name val="Arial"/>
      <family val="2"/>
    </font>
    <font>
      <b/>
      <sz val="10"/>
      <color rgb="FF5064FA"/>
      <name val="Arial"/>
      <family val="2"/>
    </font>
    <font>
      <sz val="10"/>
      <color rgb="FFA05028"/>
      <name val="Arial"/>
      <family val="2"/>
    </font>
    <font>
      <b/>
      <i/>
      <sz val="10"/>
      <color indexed="12"/>
      <name val="Arial"/>
      <family val="2"/>
    </font>
    <font>
      <b/>
      <sz val="10"/>
      <color rgb="FF0000DC"/>
      <name val="Arial"/>
      <family val="2"/>
    </font>
    <font>
      <sz val="10"/>
      <color rgb="FF0000DC"/>
      <name val="Arial"/>
      <family val="2"/>
    </font>
    <font>
      <sz val="10"/>
      <color rgb="FF8C8C8C"/>
      <name val="Arial"/>
      <family val="2"/>
    </font>
    <font>
      <b/>
      <u/>
      <sz val="10"/>
      <color rgb="FF0000B4"/>
      <name val="Arial"/>
      <family val="2"/>
    </font>
    <font>
      <b/>
      <sz val="10"/>
      <color rgb="FF0000B4"/>
      <name val="Arial"/>
      <family val="2"/>
    </font>
    <font>
      <b/>
      <u/>
      <sz val="10"/>
      <color rgb="FF007800"/>
      <name val="Arial"/>
      <family val="2"/>
    </font>
    <font>
      <sz val="8"/>
      <color theme="1"/>
      <name val="Arial"/>
      <family val="2"/>
    </font>
    <font>
      <u/>
      <sz val="10"/>
      <color theme="10"/>
      <name val="Arial"/>
      <family val="2"/>
    </font>
    <font>
      <b/>
      <u/>
      <sz val="8"/>
      <color indexed="18"/>
      <name val="Arial"/>
      <family val="2"/>
    </font>
    <font>
      <b/>
      <u/>
      <sz val="10.5"/>
      <color rgb="FF002060"/>
      <name val="Arial"/>
      <family val="2"/>
    </font>
    <font>
      <b/>
      <u/>
      <sz val="10.5"/>
      <color indexed="18"/>
      <name val="Arial"/>
      <family val="2"/>
    </font>
    <font>
      <b/>
      <u/>
      <sz val="8"/>
      <color rgb="FF002060"/>
      <name val="Arial"/>
      <family val="2"/>
    </font>
    <font>
      <u/>
      <sz val="8"/>
      <color theme="10"/>
      <name val="Arial"/>
      <family val="2"/>
    </font>
    <font>
      <b/>
      <sz val="18"/>
      <color theme="3"/>
      <name val="Arial"/>
      <family val="2"/>
    </font>
    <font>
      <b/>
      <sz val="14"/>
      <color theme="1"/>
      <name val="Arial"/>
      <family val="2"/>
    </font>
    <font>
      <b/>
      <sz val="12"/>
      <color theme="0"/>
      <name val="Arial"/>
      <family val="2"/>
    </font>
    <font>
      <b/>
      <sz val="14"/>
      <color theme="3"/>
      <name val="Arial"/>
      <family val="2"/>
    </font>
    <font>
      <b/>
      <sz val="11"/>
      <color theme="3"/>
      <name val="Arial"/>
      <family val="2"/>
    </font>
    <font>
      <sz val="11"/>
      <color theme="3"/>
      <name val="Arial"/>
      <family val="2"/>
    </font>
    <font>
      <b/>
      <sz val="12"/>
      <color indexed="12"/>
      <name val="Arial"/>
      <family val="2"/>
    </font>
    <font>
      <sz val="10"/>
      <color rgb="FFFF0000"/>
      <name val="Arial"/>
      <family val="2"/>
    </font>
    <font>
      <b/>
      <sz val="10"/>
      <color rgb="FF008000"/>
      <name val="Arial"/>
      <family val="2"/>
    </font>
    <font>
      <b/>
      <sz val="10"/>
      <color rgb="FFFF0000"/>
      <name val="Arial"/>
      <family val="2"/>
    </font>
    <font>
      <b/>
      <sz val="10"/>
      <color rgb="FF993300"/>
      <name val="Arial"/>
      <family val="2"/>
    </font>
    <font>
      <sz val="10"/>
      <color theme="9" tint="-0.499984740745262"/>
      <name val="Arial"/>
      <family val="2"/>
    </font>
  </fonts>
  <fills count="2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indexed="47"/>
        <bgColor indexed="0"/>
      </patternFill>
    </fill>
    <fill>
      <patternFill patternType="solid">
        <fgColor theme="7" tint="0.79998168889431442"/>
        <bgColor indexed="64"/>
      </patternFill>
    </fill>
    <fill>
      <patternFill patternType="solid">
        <fgColor rgb="FFDCDCDC"/>
        <bgColor indexed="64"/>
      </patternFill>
    </fill>
    <fill>
      <patternFill patternType="solid">
        <fgColor rgb="FFFAFABE"/>
        <bgColor indexed="64"/>
      </patternFill>
    </fill>
    <fill>
      <patternFill patternType="solid">
        <fgColor rgb="FFC8DCDC"/>
        <bgColor indexed="64"/>
      </patternFill>
    </fill>
    <fill>
      <patternFill patternType="solid">
        <fgColor rgb="FFF0F000"/>
        <bgColor indexed="64"/>
      </patternFill>
    </fill>
    <fill>
      <patternFill patternType="solid">
        <fgColor theme="3" tint="0.79998168889431442"/>
        <bgColor indexed="64"/>
      </patternFill>
    </fill>
    <fill>
      <patternFill patternType="solid">
        <fgColor theme="3"/>
        <bgColor indexed="64"/>
      </patternFill>
    </fill>
    <fill>
      <patternFill patternType="solid">
        <fgColor theme="0"/>
        <bgColor indexed="64"/>
      </patternFill>
    </fill>
    <fill>
      <patternFill patternType="solid">
        <fgColor rgb="FFFFFF00"/>
        <bgColor indexed="64"/>
      </patternFill>
    </fill>
    <fill>
      <patternFill patternType="solid">
        <fgColor rgb="FFFFCC99"/>
        <bgColor indexed="64"/>
      </patternFill>
    </fill>
    <fill>
      <patternFill patternType="solid">
        <fgColor rgb="FFCCFFCC"/>
        <bgColor indexed="64"/>
      </patternFill>
    </fill>
    <fill>
      <patternFill patternType="solid">
        <fgColor rgb="FFE4DFEC"/>
        <bgColor indexed="64"/>
      </patternFill>
    </fill>
    <fill>
      <patternFill patternType="solid">
        <fgColor rgb="FFDAEEF3"/>
        <bgColor indexed="64"/>
      </patternFill>
    </fill>
    <fill>
      <patternFill patternType="solid">
        <fgColor theme="8" tint="0.79998168889431442"/>
        <bgColor indexed="64"/>
      </patternFill>
    </fill>
    <fill>
      <patternFill patternType="solid">
        <fgColor theme="4" tint="0.79998168889431442"/>
        <bgColor indexed="64"/>
      </patternFill>
    </fill>
  </fills>
  <borders count="36">
    <border>
      <left/>
      <right/>
      <top/>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auto="1"/>
      </bottom>
      <diagonal/>
    </border>
    <border>
      <left/>
      <right/>
      <top/>
      <bottom style="thin">
        <color auto="1"/>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theme="0" tint="-0.24994659260841701"/>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056">
    <xf numFmtId="0" fontId="0" fillId="0" borderId="0">
      <alignment vertical="top"/>
    </xf>
    <xf numFmtId="0" fontId="19" fillId="0" borderId="0" applyNumberFormat="0" applyFill="0" applyBorder="0" applyAlignment="0" applyProtection="0"/>
    <xf numFmtId="0" fontId="3" fillId="0" borderId="0"/>
    <xf numFmtId="0" fontId="24" fillId="0" borderId="0"/>
    <xf numFmtId="0" fontId="3" fillId="0" borderId="0"/>
    <xf numFmtId="0" fontId="3" fillId="0" borderId="0"/>
    <xf numFmtId="0" fontId="7" fillId="0" borderId="0"/>
    <xf numFmtId="0" fontId="24" fillId="0" borderId="0"/>
    <xf numFmtId="0" fontId="5" fillId="0" borderId="0">
      <alignment vertical="top"/>
    </xf>
    <xf numFmtId="0" fontId="33" fillId="0" borderId="0"/>
    <xf numFmtId="0" fontId="24" fillId="0" borderId="0"/>
    <xf numFmtId="0" fontId="24" fillId="0" borderId="0"/>
    <xf numFmtId="0" fontId="5" fillId="0" borderId="0"/>
    <xf numFmtId="0" fontId="33" fillId="0" borderId="0"/>
    <xf numFmtId="0" fontId="5" fillId="0" borderId="0"/>
    <xf numFmtId="9" fontId="24" fillId="0" borderId="0" applyFont="0" applyFill="0" applyBorder="0" applyAlignment="0" applyProtection="0"/>
    <xf numFmtId="0" fontId="38" fillId="0" borderId="0"/>
    <xf numFmtId="0" fontId="39" fillId="0" borderId="0"/>
    <xf numFmtId="0" fontId="5" fillId="0" borderId="0"/>
    <xf numFmtId="0" fontId="5" fillId="0" borderId="0"/>
    <xf numFmtId="0" fontId="2"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7" fillId="0" borderId="0" applyNumberForma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9" fillId="0" borderId="0" applyNumberFormat="0" applyFill="0" applyBorder="0" applyAlignment="0" applyProtection="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4" fillId="0" borderId="0" applyNumberFormat="0" applyFill="0" applyBorder="0" applyAlignment="0" applyProtection="0"/>
    <xf numFmtId="0" fontId="54" fillId="0" borderId="0" applyNumberFormat="0" applyFill="0" applyBorder="0" applyAlignment="0" applyProtection="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 fillId="0" borderId="0"/>
    <xf numFmtId="0" fontId="5" fillId="0" borderId="0"/>
    <xf numFmtId="0" fontId="5" fillId="0" borderId="0"/>
    <xf numFmtId="0" fontId="5" fillId="0" borderId="0"/>
    <xf numFmtId="0" fontId="53" fillId="0" borderId="0"/>
    <xf numFmtId="0" fontId="53" fillId="0" borderId="0"/>
    <xf numFmtId="0" fontId="53" fillId="0" borderId="0"/>
    <xf numFmtId="0" fontId="53" fillId="0" borderId="0"/>
    <xf numFmtId="0" fontId="5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53" fillId="0" borderId="0"/>
    <xf numFmtId="0" fontId="53" fillId="0" borderId="0"/>
    <xf numFmtId="0" fontId="3" fillId="0" borderId="0"/>
    <xf numFmtId="0" fontId="3" fillId="0" borderId="0"/>
    <xf numFmtId="0" fontId="5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4"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4" fillId="0" borderId="0" applyNumberFormat="0" applyFill="0" applyBorder="0" applyAlignment="0" applyProtection="0"/>
    <xf numFmtId="0" fontId="5" fillId="0" borderId="0"/>
    <xf numFmtId="0" fontId="5" fillId="0" borderId="0"/>
    <xf numFmtId="0" fontId="5" fillId="0" borderId="0"/>
    <xf numFmtId="0" fontId="1" fillId="0" borderId="0"/>
    <xf numFmtId="0" fontId="1" fillId="0" borderId="0"/>
  </cellStyleXfs>
  <cellXfs count="336">
    <xf numFmtId="0" fontId="0" fillId="0" borderId="0" xfId="0">
      <alignment vertical="top"/>
    </xf>
    <xf numFmtId="0" fontId="5" fillId="0" borderId="0" xfId="0" applyFont="1" applyBorder="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5" fillId="0" borderId="1" xfId="0" applyFont="1" applyBorder="1" applyAlignment="1">
      <alignment vertical="top" wrapText="1"/>
    </xf>
    <xf numFmtId="0" fontId="4" fillId="0" borderId="0" xfId="0" applyFont="1" applyBorder="1" applyAlignment="1">
      <alignment horizontal="center" vertical="center" wrapText="1"/>
    </xf>
    <xf numFmtId="0" fontId="16" fillId="0" borderId="0" xfId="0" applyFont="1" applyAlignment="1">
      <alignment vertical="top" wrapText="1"/>
    </xf>
    <xf numFmtId="0" fontId="5" fillId="0" borderId="0" xfId="5" applyFont="1" applyBorder="1" applyAlignment="1">
      <alignment vertical="top"/>
    </xf>
    <xf numFmtId="0" fontId="5" fillId="0" borderId="0" xfId="5" applyFont="1" applyBorder="1" applyAlignment="1">
      <alignment vertical="top" wrapText="1"/>
    </xf>
    <xf numFmtId="0" fontId="6" fillId="0" borderId="0" xfId="5" applyFont="1" applyAlignment="1">
      <alignment vertical="top" wrapText="1"/>
    </xf>
    <xf numFmtId="0" fontId="5" fillId="0" borderId="0" xfId="5" applyFont="1" applyAlignment="1">
      <alignment vertical="top" wrapText="1"/>
    </xf>
    <xf numFmtId="0" fontId="5" fillId="0" borderId="0" xfId="5" applyFont="1" applyAlignment="1">
      <alignment vertical="top"/>
    </xf>
    <xf numFmtId="0" fontId="5" fillId="0" borderId="0" xfId="5" applyFont="1" applyAlignment="1">
      <alignment horizontal="center" vertical="top" wrapText="1"/>
    </xf>
    <xf numFmtId="0" fontId="17" fillId="0" borderId="0" xfId="5" applyFont="1" applyAlignment="1">
      <alignment vertical="top" wrapText="1"/>
    </xf>
    <xf numFmtId="0" fontId="5" fillId="0" borderId="0" xfId="5" applyFont="1" applyAlignment="1">
      <alignment horizontal="left" vertical="top" wrapText="1"/>
    </xf>
    <xf numFmtId="0" fontId="17" fillId="0" borderId="0" xfId="5" applyFont="1" applyAlignment="1">
      <alignment horizontal="right" vertical="top" wrapText="1"/>
    </xf>
    <xf numFmtId="49" fontId="5" fillId="0" borderId="0" xfId="5" applyNumberFormat="1" applyFont="1" applyAlignment="1">
      <alignment vertical="top" wrapText="1"/>
    </xf>
    <xf numFmtId="0" fontId="8" fillId="0" borderId="0" xfId="5" applyFont="1" applyAlignment="1">
      <alignment vertical="top" wrapText="1"/>
    </xf>
    <xf numFmtId="0" fontId="15" fillId="0" borderId="0" xfId="0" applyFont="1" applyAlignment="1">
      <alignment vertical="top" wrapText="1"/>
    </xf>
    <xf numFmtId="0" fontId="23" fillId="0" borderId="0" xfId="5" applyFont="1" applyAlignment="1">
      <alignment horizontal="center" vertical="top" wrapText="1"/>
    </xf>
    <xf numFmtId="0" fontId="5" fillId="0" borderId="5" xfId="0" applyFont="1" applyBorder="1" applyAlignment="1">
      <alignment vertical="top" wrapText="1"/>
    </xf>
    <xf numFmtId="0" fontId="5" fillId="0" borderId="0" xfId="4" applyFont="1" applyAlignment="1">
      <alignment vertical="top" wrapText="1"/>
    </xf>
    <xf numFmtId="0" fontId="5" fillId="0" borderId="1" xfId="4" applyFont="1" applyBorder="1" applyAlignment="1">
      <alignment vertical="top" wrapText="1"/>
    </xf>
    <xf numFmtId="0" fontId="5" fillId="0" borderId="7" xfId="5" applyFont="1" applyBorder="1" applyAlignment="1">
      <alignment vertical="top" wrapText="1"/>
    </xf>
    <xf numFmtId="0" fontId="5" fillId="0" borderId="7" xfId="5" applyFont="1" applyBorder="1" applyAlignment="1">
      <alignment vertical="top"/>
    </xf>
    <xf numFmtId="0" fontId="29" fillId="0" borderId="0" xfId="5" applyFont="1" applyAlignment="1">
      <alignment vertical="top" wrapText="1"/>
    </xf>
    <xf numFmtId="0" fontId="5" fillId="0" borderId="0" xfId="5" applyFont="1" applyBorder="1" applyAlignment="1"/>
    <xf numFmtId="0" fontId="8" fillId="3" borderId="0" xfId="5" applyNumberFormat="1" applyFont="1" applyFill="1" applyBorder="1" applyAlignment="1"/>
    <xf numFmtId="0" fontId="8" fillId="3" borderId="0" xfId="0" applyNumberFormat="1" applyFont="1" applyFill="1" applyBorder="1" applyAlignment="1"/>
    <xf numFmtId="0" fontId="4" fillId="3" borderId="0" xfId="5" applyNumberFormat="1" applyFont="1" applyFill="1" applyBorder="1" applyAlignment="1">
      <alignment horizontal="center" textRotation="90"/>
    </xf>
    <xf numFmtId="0" fontId="4" fillId="5" borderId="0" xfId="6" applyFont="1" applyFill="1" applyBorder="1" applyAlignment="1">
      <alignment wrapText="1"/>
    </xf>
    <xf numFmtId="0" fontId="5" fillId="0" borderId="4" xfId="0" applyFont="1" applyBorder="1" applyAlignment="1">
      <alignment vertical="top" wrapText="1"/>
    </xf>
    <xf numFmtId="0" fontId="18" fillId="4" borderId="0" xfId="0" applyNumberFormat="1" applyFont="1" applyFill="1" applyBorder="1" applyAlignment="1">
      <alignment wrapText="1"/>
    </xf>
    <xf numFmtId="0" fontId="5" fillId="0" borderId="0" xfId="0" applyFont="1" applyAlignment="1">
      <alignment vertical="top" wrapText="1"/>
    </xf>
    <xf numFmtId="0" fontId="0" fillId="0" borderId="0" xfId="0" applyBorder="1" applyAlignment="1">
      <alignment vertical="top" wrapText="1"/>
    </xf>
    <xf numFmtId="0" fontId="15" fillId="3" borderId="0" xfId="0" applyNumberFormat="1" applyFont="1" applyFill="1" applyBorder="1" applyAlignment="1">
      <alignment wrapText="1"/>
    </xf>
    <xf numFmtId="0" fontId="8" fillId="2" borderId="0" xfId="2" applyNumberFormat="1" applyFont="1" applyFill="1" applyBorder="1" applyAlignment="1">
      <alignment wrapText="1"/>
    </xf>
    <xf numFmtId="0" fontId="31" fillId="6" borderId="0" xfId="2" applyNumberFormat="1" applyFont="1" applyFill="1" applyBorder="1" applyAlignment="1">
      <alignment wrapText="1"/>
    </xf>
    <xf numFmtId="0" fontId="31" fillId="0" borderId="0" xfId="5" applyFont="1" applyBorder="1" applyAlignment="1">
      <alignment horizontal="left" vertical="top" wrapText="1"/>
    </xf>
    <xf numFmtId="0" fontId="5" fillId="0" borderId="0" xfId="0" applyFont="1" applyAlignment="1">
      <alignment vertical="top" wrapText="1"/>
    </xf>
    <xf numFmtId="0" fontId="5" fillId="0" borderId="0" xfId="0" applyFont="1" applyAlignment="1">
      <alignment vertical="top" wrapText="1"/>
    </xf>
    <xf numFmtId="0" fontId="4" fillId="5" borderId="0" xfId="6" applyFont="1" applyFill="1" applyBorder="1" applyAlignment="1">
      <alignment horizontal="center" wrapText="1"/>
    </xf>
    <xf numFmtId="0" fontId="13" fillId="0" borderId="0" xfId="5" applyFont="1" applyAlignment="1">
      <alignment horizontal="center" vertical="top" wrapText="1"/>
    </xf>
    <xf numFmtId="0" fontId="28" fillId="0" borderId="0" xfId="5" applyFont="1" applyAlignment="1">
      <alignment horizontal="center" vertical="top" wrapText="1"/>
    </xf>
    <xf numFmtId="0" fontId="5" fillId="0" borderId="0" xfId="4" applyFont="1" applyAlignment="1">
      <alignment vertical="top" wrapText="1"/>
    </xf>
    <xf numFmtId="0" fontId="0" fillId="0" borderId="0" xfId="0" applyAlignment="1"/>
    <xf numFmtId="0" fontId="0" fillId="0" borderId="8" xfId="0" applyBorder="1" applyAlignment="1"/>
    <xf numFmtId="0" fontId="5" fillId="0" borderId="0" xfId="0" applyFont="1" applyAlignment="1">
      <alignment vertical="top" wrapText="1"/>
    </xf>
    <xf numFmtId="0" fontId="30" fillId="5" borderId="0" xfId="6" applyFont="1" applyFill="1" applyBorder="1" applyAlignment="1">
      <alignment horizontal="center" wrapText="1"/>
    </xf>
    <xf numFmtId="0" fontId="5" fillId="0" borderId="0" xfId="0" applyFont="1" applyAlignment="1">
      <alignment vertical="top" wrapText="1"/>
    </xf>
    <xf numFmtId="0" fontId="5" fillId="0" borderId="0" xfId="4" applyFont="1" applyAlignment="1">
      <alignment vertical="top" wrapText="1"/>
    </xf>
    <xf numFmtId="0" fontId="5" fillId="0" borderId="1" xfId="4" applyFont="1" applyBorder="1" applyAlignment="1">
      <alignment vertical="top" wrapText="1"/>
    </xf>
    <xf numFmtId="0" fontId="5" fillId="0" borderId="0" xfId="0" applyFont="1" applyAlignment="1">
      <alignment vertical="top" wrapText="1"/>
    </xf>
    <xf numFmtId="0" fontId="5" fillId="0" borderId="0" xfId="4" applyFont="1" applyAlignment="1">
      <alignment vertical="top" wrapText="1"/>
    </xf>
    <xf numFmtId="0" fontId="5" fillId="7" borderId="0" xfId="5" applyFont="1" applyFill="1" applyBorder="1" applyAlignment="1">
      <alignment vertical="top" wrapText="1"/>
    </xf>
    <xf numFmtId="0" fontId="5" fillId="7" borderId="0" xfId="5" applyFont="1" applyFill="1" applyAlignment="1">
      <alignment vertical="top" wrapText="1"/>
    </xf>
    <xf numFmtId="0" fontId="31" fillId="0" borderId="8" xfId="5" applyFont="1" applyBorder="1" applyAlignment="1">
      <alignment horizontal="left" vertical="top" wrapText="1"/>
    </xf>
    <xf numFmtId="0" fontId="16" fillId="0" borderId="10" xfId="0" applyFont="1" applyBorder="1" applyAlignment="1">
      <alignment vertical="top" wrapText="1"/>
    </xf>
    <xf numFmtId="0" fontId="8" fillId="0" borderId="10" xfId="5" applyFont="1" applyBorder="1" applyAlignment="1">
      <alignment vertical="top" wrapText="1"/>
    </xf>
    <xf numFmtId="0" fontId="5" fillId="0" borderId="10" xfId="5" applyFont="1" applyBorder="1" applyAlignment="1">
      <alignment vertical="top" wrapText="1"/>
    </xf>
    <xf numFmtId="0" fontId="5" fillId="7" borderId="10" xfId="5" applyFont="1" applyFill="1" applyBorder="1" applyAlignment="1">
      <alignment vertical="top" wrapText="1"/>
    </xf>
    <xf numFmtId="0" fontId="29" fillId="0" borderId="10" xfId="5" applyFont="1" applyBorder="1" applyAlignment="1">
      <alignment vertical="top" wrapText="1"/>
    </xf>
    <xf numFmtId="0" fontId="31" fillId="0" borderId="9" xfId="5" applyFont="1" applyBorder="1" applyAlignment="1">
      <alignment horizontal="left" vertical="top" wrapText="1"/>
    </xf>
    <xf numFmtId="0" fontId="41" fillId="8" borderId="12" xfId="1" applyFont="1" applyFill="1" applyBorder="1" applyAlignment="1">
      <alignment vertical="top" wrapText="1"/>
    </xf>
    <xf numFmtId="0" fontId="41" fillId="8" borderId="16" xfId="1" applyFont="1" applyFill="1" applyBorder="1" applyAlignment="1">
      <alignment vertical="top" wrapText="1"/>
    </xf>
    <xf numFmtId="0" fontId="41" fillId="8" borderId="17" xfId="1" applyFont="1" applyFill="1" applyBorder="1" applyAlignment="1">
      <alignment vertical="top" wrapText="1"/>
    </xf>
    <xf numFmtId="0" fontId="5" fillId="0" borderId="19" xfId="5" applyFont="1" applyBorder="1" applyAlignment="1">
      <alignment vertical="top" wrapText="1"/>
    </xf>
    <xf numFmtId="0" fontId="41" fillId="8" borderId="21" xfId="1" applyFont="1" applyFill="1" applyBorder="1" applyAlignment="1">
      <alignment vertical="top" wrapText="1"/>
    </xf>
    <xf numFmtId="0" fontId="5" fillId="7" borderId="14" xfId="5" applyFont="1" applyFill="1" applyBorder="1" applyAlignment="1">
      <alignment vertical="top" wrapText="1"/>
    </xf>
    <xf numFmtId="0" fontId="5" fillId="7" borderId="19" xfId="5" applyFont="1" applyFill="1" applyBorder="1" applyAlignment="1">
      <alignment vertical="top" wrapText="1"/>
    </xf>
    <xf numFmtId="0" fontId="5" fillId="0" borderId="14" xfId="5" applyFont="1" applyBorder="1" applyAlignment="1">
      <alignment vertical="top" wrapText="1"/>
    </xf>
    <xf numFmtId="0" fontId="45" fillId="0" borderId="0" xfId="1" applyFont="1" applyAlignment="1">
      <alignment horizontal="center" vertical="top" wrapText="1"/>
    </xf>
    <xf numFmtId="0" fontId="45" fillId="0" borderId="10" xfId="1" applyFont="1" applyBorder="1" applyAlignment="1">
      <alignment horizontal="center" vertical="top" wrapText="1"/>
    </xf>
    <xf numFmtId="0" fontId="31" fillId="0" borderId="10" xfId="5" applyFont="1" applyBorder="1" applyAlignment="1">
      <alignment horizontal="left" vertical="top" wrapText="1"/>
    </xf>
    <xf numFmtId="0" fontId="5" fillId="7" borderId="0" xfId="5" applyFont="1" applyFill="1" applyAlignment="1">
      <alignment horizontal="center" vertical="top" wrapText="1"/>
    </xf>
    <xf numFmtId="0" fontId="8" fillId="0" borderId="0" xfId="1" applyFont="1" applyAlignment="1">
      <alignment horizontal="center" vertical="top" wrapText="1"/>
    </xf>
    <xf numFmtId="0" fontId="46" fillId="0" borderId="0" xfId="1" applyFont="1" applyAlignment="1">
      <alignment horizontal="center" vertical="top" wrapText="1"/>
    </xf>
    <xf numFmtId="0" fontId="28" fillId="7" borderId="0" xfId="5" applyFont="1" applyFill="1" applyAlignment="1">
      <alignment horizontal="center" vertical="top" wrapText="1"/>
    </xf>
    <xf numFmtId="0" fontId="23" fillId="7" borderId="0" xfId="5" applyFont="1" applyFill="1" applyAlignment="1">
      <alignment horizontal="center" vertical="top" wrapText="1"/>
    </xf>
    <xf numFmtId="0" fontId="21" fillId="7" borderId="0" xfId="5" applyFont="1" applyFill="1" applyAlignment="1">
      <alignment horizontal="center" vertical="top" wrapText="1"/>
    </xf>
    <xf numFmtId="0" fontId="13" fillId="7" borderId="0" xfId="5" applyFont="1" applyFill="1" applyAlignment="1">
      <alignment horizontal="center" vertical="top" wrapText="1"/>
    </xf>
    <xf numFmtId="0" fontId="22" fillId="7" borderId="0" xfId="5" applyFont="1" applyFill="1" applyAlignment="1">
      <alignment horizontal="center" vertical="top" wrapText="1"/>
    </xf>
    <xf numFmtId="0" fontId="40" fillId="0" borderId="0" xfId="5" applyFont="1" applyAlignment="1">
      <alignment horizontal="center" vertical="top" wrapText="1"/>
    </xf>
    <xf numFmtId="0" fontId="5" fillId="0" borderId="10" xfId="5" applyFont="1" applyBorder="1" applyAlignment="1">
      <alignment horizontal="center" vertical="top" wrapText="1"/>
    </xf>
    <xf numFmtId="0" fontId="5" fillId="7" borderId="10" xfId="5" applyFont="1" applyFill="1" applyBorder="1" applyAlignment="1">
      <alignment horizontal="center" vertical="top" wrapText="1"/>
    </xf>
    <xf numFmtId="0" fontId="13" fillId="7" borderId="10" xfId="5" applyFont="1" applyFill="1" applyBorder="1" applyAlignment="1">
      <alignment horizontal="center" vertical="top" wrapText="1"/>
    </xf>
    <xf numFmtId="0" fontId="28" fillId="7" borderId="10" xfId="5" applyFont="1" applyFill="1" applyBorder="1" applyAlignment="1">
      <alignment horizontal="center" vertical="top" wrapText="1"/>
    </xf>
    <xf numFmtId="0" fontId="15" fillId="0" borderId="22" xfId="0" applyFont="1" applyBorder="1" applyAlignment="1">
      <alignment vertical="top" wrapText="1"/>
    </xf>
    <xf numFmtId="0" fontId="47" fillId="0" borderId="22" xfId="5" applyFont="1" applyBorder="1" applyAlignment="1">
      <alignment vertical="top" wrapText="1"/>
    </xf>
    <xf numFmtId="0" fontId="48" fillId="7" borderId="22" xfId="0" applyFont="1" applyFill="1" applyBorder="1" applyAlignment="1">
      <alignment vertical="top" wrapText="1"/>
    </xf>
    <xf numFmtId="0" fontId="48" fillId="7" borderId="22" xfId="5" applyFont="1" applyFill="1" applyBorder="1" applyAlignment="1">
      <alignment vertical="top" wrapText="1"/>
    </xf>
    <xf numFmtId="0" fontId="48" fillId="0" borderId="22" xfId="5" applyFont="1" applyBorder="1" applyAlignment="1">
      <alignment vertical="top" wrapText="1"/>
    </xf>
    <xf numFmtId="0" fontId="48" fillId="7" borderId="22" xfId="5" applyFont="1" applyFill="1" applyBorder="1" applyAlignment="1">
      <alignment horizontal="left" vertical="top" wrapText="1"/>
    </xf>
    <xf numFmtId="0" fontId="48" fillId="7" borderId="22" xfId="5" applyFont="1" applyFill="1" applyBorder="1" applyAlignment="1">
      <alignment horizontal="center" vertical="top" wrapText="1"/>
    </xf>
    <xf numFmtId="0" fontId="17" fillId="7" borderId="22" xfId="5" applyFont="1" applyFill="1" applyBorder="1" applyAlignment="1">
      <alignment horizontal="right" vertical="top" wrapText="1"/>
    </xf>
    <xf numFmtId="0" fontId="49" fillId="7" borderId="22" xfId="5" applyFont="1" applyFill="1" applyBorder="1" applyAlignment="1">
      <alignment vertical="top" wrapText="1"/>
    </xf>
    <xf numFmtId="49" fontId="48" fillId="7" borderId="22" xfId="5" applyNumberFormat="1" applyFont="1" applyFill="1" applyBorder="1" applyAlignment="1">
      <alignment vertical="top" wrapText="1"/>
    </xf>
    <xf numFmtId="49" fontId="5" fillId="7" borderId="23" xfId="5" applyNumberFormat="1" applyFont="1" applyFill="1" applyBorder="1" applyAlignment="1">
      <alignment vertical="top" wrapText="1"/>
    </xf>
    <xf numFmtId="0" fontId="5" fillId="0" borderId="21" xfId="0" applyFont="1" applyBorder="1" applyAlignment="1">
      <alignment vertical="top" wrapText="1"/>
    </xf>
    <xf numFmtId="0" fontId="6" fillId="0" borderId="22" xfId="5" applyFont="1" applyBorder="1" applyAlignment="1">
      <alignment vertical="top" wrapText="1"/>
    </xf>
    <xf numFmtId="0" fontId="5" fillId="0" borderId="22" xfId="5" applyFont="1" applyBorder="1" applyAlignment="1">
      <alignment vertical="top" wrapText="1"/>
    </xf>
    <xf numFmtId="0" fontId="5" fillId="0" borderId="22" xfId="5" applyFont="1" applyBorder="1" applyAlignment="1">
      <alignment horizontal="left" vertical="top" wrapText="1"/>
    </xf>
    <xf numFmtId="0" fontId="0" fillId="0" borderId="22" xfId="5" applyFont="1" applyBorder="1" applyAlignment="1">
      <alignment horizontal="center" vertical="top" wrapText="1"/>
    </xf>
    <xf numFmtId="0" fontId="17" fillId="0" borderId="22" xfId="5" applyFont="1" applyBorder="1" applyAlignment="1">
      <alignment horizontal="right" vertical="top" wrapText="1"/>
    </xf>
    <xf numFmtId="0" fontId="17" fillId="0" borderId="22" xfId="5" applyFont="1" applyBorder="1" applyAlignment="1">
      <alignment vertical="top" wrapText="1"/>
    </xf>
    <xf numFmtId="49" fontId="5" fillId="0" borderId="22" xfId="5" applyNumberFormat="1" applyFont="1" applyBorder="1" applyAlignment="1">
      <alignment vertical="top" wrapText="1"/>
    </xf>
    <xf numFmtId="0" fontId="5" fillId="0" borderId="22" xfId="5" applyFont="1" applyBorder="1" applyAlignment="1">
      <alignment horizontal="center" vertical="top" wrapText="1"/>
    </xf>
    <xf numFmtId="0" fontId="40" fillId="0" borderId="22" xfId="5" applyFont="1" applyBorder="1" applyAlignment="1">
      <alignment vertical="top" wrapText="1"/>
    </xf>
    <xf numFmtId="0" fontId="49" fillId="0" borderId="22" xfId="5" applyFont="1" applyBorder="1" applyAlignment="1">
      <alignment vertical="top" wrapText="1"/>
    </xf>
    <xf numFmtId="0" fontId="48" fillId="7" borderId="14" xfId="0" applyFont="1" applyFill="1" applyBorder="1" applyAlignment="1">
      <alignment vertical="top" wrapText="1"/>
    </xf>
    <xf numFmtId="0" fontId="48" fillId="7" borderId="14" xfId="5" applyFont="1" applyFill="1" applyBorder="1" applyAlignment="1">
      <alignment vertical="top" wrapText="1"/>
    </xf>
    <xf numFmtId="0" fontId="48" fillId="0" borderId="14" xfId="5" applyFont="1" applyBorder="1" applyAlignment="1">
      <alignment vertical="top" wrapText="1"/>
    </xf>
    <xf numFmtId="0" fontId="48" fillId="7" borderId="14" xfId="5" applyFont="1" applyFill="1" applyBorder="1" applyAlignment="1">
      <alignment horizontal="left" vertical="top" wrapText="1"/>
    </xf>
    <xf numFmtId="0" fontId="48" fillId="7" borderId="14" xfId="5" applyFont="1" applyFill="1" applyBorder="1" applyAlignment="1">
      <alignment horizontal="center" vertical="top" wrapText="1"/>
    </xf>
    <xf numFmtId="0" fontId="17" fillId="7" borderId="14" xfId="5" applyFont="1" applyFill="1" applyBorder="1" applyAlignment="1">
      <alignment horizontal="right" vertical="top" wrapText="1"/>
    </xf>
    <xf numFmtId="0" fontId="17" fillId="0" borderId="14" xfId="5" applyFont="1" applyBorder="1" applyAlignment="1">
      <alignment vertical="top" wrapText="1"/>
    </xf>
    <xf numFmtId="0" fontId="49" fillId="7" borderId="14" xfId="5" applyFont="1" applyFill="1" applyBorder="1" applyAlignment="1">
      <alignment vertical="top" wrapText="1"/>
    </xf>
    <xf numFmtId="49" fontId="48" fillId="7" borderId="14" xfId="5" applyNumberFormat="1" applyFont="1" applyFill="1" applyBorder="1" applyAlignment="1">
      <alignment vertical="top" wrapText="1"/>
    </xf>
    <xf numFmtId="49" fontId="5" fillId="7" borderId="15" xfId="5" applyNumberFormat="1" applyFont="1" applyFill="1" applyBorder="1" applyAlignment="1">
      <alignment vertical="top" wrapText="1"/>
    </xf>
    <xf numFmtId="0" fontId="5" fillId="0" borderId="0" xfId="5" applyFont="1" applyBorder="1" applyAlignment="1">
      <alignment horizontal="left" vertical="top" wrapText="1"/>
    </xf>
    <xf numFmtId="0" fontId="6" fillId="0" borderId="0" xfId="5" applyFont="1" applyBorder="1" applyAlignment="1">
      <alignment horizontal="center" vertical="top" wrapText="1"/>
    </xf>
    <xf numFmtId="0" fontId="17" fillId="0" borderId="0" xfId="5" applyFont="1" applyBorder="1" applyAlignment="1">
      <alignment horizontal="right" vertical="top" wrapText="1"/>
    </xf>
    <xf numFmtId="0" fontId="5" fillId="9" borderId="0" xfId="5" applyFont="1" applyFill="1" applyBorder="1" applyAlignment="1">
      <alignment vertical="top" wrapText="1"/>
    </xf>
    <xf numFmtId="49" fontId="5" fillId="9" borderId="0" xfId="5" applyNumberFormat="1" applyFont="1" applyFill="1" applyBorder="1" applyAlignment="1">
      <alignment vertical="top" wrapText="1"/>
    </xf>
    <xf numFmtId="49" fontId="5" fillId="9" borderId="8" xfId="5" applyNumberFormat="1" applyFont="1" applyFill="1" applyBorder="1" applyAlignment="1">
      <alignment vertical="top" wrapText="1"/>
    </xf>
    <xf numFmtId="0" fontId="5" fillId="7" borderId="0" xfId="5" applyFont="1" applyFill="1" applyBorder="1" applyAlignment="1">
      <alignment horizontal="center" vertical="top" wrapText="1"/>
    </xf>
    <xf numFmtId="0" fontId="5" fillId="0" borderId="19" xfId="5" applyFont="1" applyBorder="1" applyAlignment="1">
      <alignment horizontal="left" vertical="top" wrapText="1"/>
    </xf>
    <xf numFmtId="0" fontId="6" fillId="0" borderId="19" xfId="5" applyFont="1" applyBorder="1" applyAlignment="1">
      <alignment horizontal="center" vertical="top" wrapText="1"/>
    </xf>
    <xf numFmtId="0" fontId="17" fillId="0" borderId="19" xfId="5" applyFont="1" applyBorder="1" applyAlignment="1">
      <alignment horizontal="right" vertical="top" wrapText="1"/>
    </xf>
    <xf numFmtId="0" fontId="5" fillId="9" borderId="19" xfId="5" applyFont="1" applyFill="1" applyBorder="1" applyAlignment="1">
      <alignment vertical="top" wrapText="1"/>
    </xf>
    <xf numFmtId="49" fontId="5" fillId="9" borderId="19" xfId="5" applyNumberFormat="1" applyFont="1" applyFill="1" applyBorder="1" applyAlignment="1">
      <alignment vertical="top" wrapText="1"/>
    </xf>
    <xf numFmtId="49" fontId="5" fillId="9" borderId="20" xfId="5" applyNumberFormat="1" applyFont="1" applyFill="1" applyBorder="1" applyAlignment="1">
      <alignment vertical="top" wrapText="1"/>
    </xf>
    <xf numFmtId="0" fontId="15" fillId="0" borderId="24" xfId="0" applyFont="1" applyBorder="1" applyAlignment="1">
      <alignment vertical="top" wrapText="1"/>
    </xf>
    <xf numFmtId="0" fontId="5" fillId="0" borderId="14" xfId="5" applyFont="1" applyBorder="1" applyAlignment="1">
      <alignment horizontal="left" vertical="top" wrapText="1"/>
    </xf>
    <xf numFmtId="0" fontId="6" fillId="0" borderId="14" xfId="5" applyFont="1" applyBorder="1" applyAlignment="1">
      <alignment horizontal="center" vertical="top" wrapText="1"/>
    </xf>
    <xf numFmtId="0" fontId="17" fillId="0" borderId="14" xfId="5" applyFont="1" applyBorder="1" applyAlignment="1">
      <alignment horizontal="right" vertical="top" wrapText="1"/>
    </xf>
    <xf numFmtId="0" fontId="15" fillId="0" borderId="7" xfId="0" applyFont="1" applyBorder="1" applyAlignment="1">
      <alignment vertical="top" wrapText="1"/>
    </xf>
    <xf numFmtId="0" fontId="15" fillId="0" borderId="25" xfId="0" applyFont="1" applyBorder="1" applyAlignment="1">
      <alignment vertical="top" wrapText="1"/>
    </xf>
    <xf numFmtId="0" fontId="6" fillId="0" borderId="24" xfId="5" applyFont="1" applyBorder="1" applyAlignment="1">
      <alignment vertical="top" wrapText="1"/>
    </xf>
    <xf numFmtId="0" fontId="6" fillId="0" borderId="7" xfId="5" applyFont="1" applyBorder="1" applyAlignment="1">
      <alignment vertical="top" wrapText="1"/>
    </xf>
    <xf numFmtId="0" fontId="6" fillId="0" borderId="25" xfId="5" applyFont="1" applyBorder="1" applyAlignment="1">
      <alignment vertical="top" wrapText="1"/>
    </xf>
    <xf numFmtId="0" fontId="5" fillId="7" borderId="19" xfId="5" applyFont="1" applyFill="1" applyBorder="1" applyAlignment="1">
      <alignment horizontal="center" vertical="top" wrapText="1"/>
    </xf>
    <xf numFmtId="0" fontId="5" fillId="7" borderId="14" xfId="5" applyFont="1" applyFill="1" applyBorder="1" applyAlignment="1">
      <alignment horizontal="center" vertical="top" wrapText="1"/>
    </xf>
    <xf numFmtId="49" fontId="48" fillId="0" borderId="22" xfId="5" applyNumberFormat="1" applyFont="1" applyBorder="1" applyAlignment="1">
      <alignment vertical="top" wrapText="1"/>
    </xf>
    <xf numFmtId="49" fontId="5" fillId="0" borderId="23" xfId="5" applyNumberFormat="1" applyFont="1" applyBorder="1" applyAlignment="1">
      <alignment vertical="top" wrapText="1"/>
    </xf>
    <xf numFmtId="49" fontId="48" fillId="0" borderId="14" xfId="5" applyNumberFormat="1" applyFont="1" applyBorder="1" applyAlignment="1">
      <alignment vertical="top" wrapText="1"/>
    </xf>
    <xf numFmtId="49" fontId="5" fillId="0" borderId="15" xfId="5" applyNumberFormat="1" applyFont="1" applyBorder="1" applyAlignment="1">
      <alignment vertical="top" wrapText="1"/>
    </xf>
    <xf numFmtId="0" fontId="51" fillId="0" borderId="0" xfId="1" applyFont="1" applyAlignment="1">
      <alignment vertical="top" wrapText="1"/>
    </xf>
    <xf numFmtId="0" fontId="51" fillId="0" borderId="10" xfId="1" applyFont="1" applyBorder="1" applyAlignment="1">
      <alignment vertical="top" wrapText="1"/>
    </xf>
    <xf numFmtId="0" fontId="52" fillId="0" borderId="22" xfId="1" applyFont="1" applyBorder="1" applyAlignment="1">
      <alignment vertical="top" wrapText="1"/>
    </xf>
    <xf numFmtId="0" fontId="50" fillId="0" borderId="15" xfId="1" applyFont="1" applyBorder="1" applyAlignment="1">
      <alignment vertical="top" wrapText="1"/>
    </xf>
    <xf numFmtId="0" fontId="50" fillId="0" borderId="8" xfId="1" applyFont="1" applyBorder="1" applyAlignment="1">
      <alignment vertical="top" wrapText="1"/>
    </xf>
    <xf numFmtId="0" fontId="50" fillId="0" borderId="20" xfId="1" applyFont="1" applyBorder="1" applyAlignment="1">
      <alignment vertical="top" wrapText="1"/>
    </xf>
    <xf numFmtId="0" fontId="40" fillId="10" borderId="22" xfId="5" applyFont="1" applyFill="1" applyBorder="1" applyAlignment="1">
      <alignment vertical="top" wrapText="1"/>
    </xf>
    <xf numFmtId="0" fontId="17" fillId="10" borderId="8" xfId="5" applyFont="1" applyFill="1" applyBorder="1" applyAlignment="1">
      <alignment vertical="top" wrapText="1"/>
    </xf>
    <xf numFmtId="0" fontId="62" fillId="12" borderId="26" xfId="4" applyFont="1" applyFill="1" applyBorder="1" applyAlignment="1">
      <alignment vertical="top" wrapText="1"/>
    </xf>
    <xf numFmtId="0" fontId="62" fillId="12" borderId="27" xfId="4" applyFont="1" applyFill="1" applyBorder="1" applyAlignment="1">
      <alignment vertical="top" wrapText="1"/>
    </xf>
    <xf numFmtId="0" fontId="62" fillId="12" borderId="28" xfId="4" applyFont="1" applyFill="1" applyBorder="1" applyAlignment="1">
      <alignment vertical="top" wrapText="1"/>
    </xf>
    <xf numFmtId="0" fontId="8" fillId="11" borderId="2" xfId="4" applyFont="1" applyFill="1" applyBorder="1" applyAlignment="1">
      <alignment vertical="center" wrapText="1"/>
    </xf>
    <xf numFmtId="0" fontId="12" fillId="0" borderId="29" xfId="4" applyFont="1" applyFill="1" applyBorder="1" applyAlignment="1">
      <alignment vertical="top" wrapText="1"/>
    </xf>
    <xf numFmtId="0" fontId="66" fillId="0" borderId="3" xfId="1" applyFont="1" applyBorder="1" applyAlignment="1">
      <alignment horizontal="center" vertical="center" wrapText="1"/>
    </xf>
    <xf numFmtId="0" fontId="0" fillId="0" borderId="0" xfId="5" applyFont="1" applyBorder="1" applyAlignment="1">
      <alignment vertical="top" wrapText="1"/>
    </xf>
    <xf numFmtId="0" fontId="5" fillId="0" borderId="0" xfId="0" applyFont="1" applyBorder="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6" fillId="0" borderId="0" xfId="0" applyFont="1" applyAlignment="1">
      <alignment vertical="top" wrapText="1"/>
    </xf>
    <xf numFmtId="0" fontId="8" fillId="0" borderId="0" xfId="5" applyFont="1" applyAlignment="1">
      <alignment vertical="top" wrapText="1"/>
    </xf>
    <xf numFmtId="0" fontId="15" fillId="0" borderId="0" xfId="0" applyFont="1" applyAlignment="1">
      <alignment vertical="top" wrapText="1"/>
    </xf>
    <xf numFmtId="0" fontId="5" fillId="0" borderId="5" xfId="0" applyFont="1" applyBorder="1" applyAlignment="1">
      <alignment vertical="top" wrapText="1"/>
    </xf>
    <xf numFmtId="0" fontId="29" fillId="0" borderId="0" xfId="0" applyFont="1" applyAlignment="1">
      <alignment vertical="top" wrapText="1"/>
    </xf>
    <xf numFmtId="0" fontId="15" fillId="2" borderId="0" xfId="5" applyNumberFormat="1" applyFont="1" applyFill="1" applyBorder="1" applyAlignment="1">
      <alignment wrapText="1"/>
    </xf>
    <xf numFmtId="0" fontId="8" fillId="2" borderId="0" xfId="5" applyNumberFormat="1" applyFont="1" applyFill="1" applyBorder="1" applyAlignment="1"/>
    <xf numFmtId="0" fontId="5" fillId="0" borderId="0" xfId="0" applyFont="1" applyBorder="1" applyAlignment="1"/>
    <xf numFmtId="0" fontId="8" fillId="3" borderId="0" xfId="0" applyNumberFormat="1" applyFont="1" applyFill="1" applyBorder="1" applyAlignment="1"/>
    <xf numFmtId="0" fontId="18" fillId="4" borderId="0" xfId="0" applyNumberFormat="1" applyFont="1" applyFill="1" applyBorder="1" applyAlignment="1">
      <alignment wrapText="1"/>
    </xf>
    <xf numFmtId="0" fontId="15" fillId="3" borderId="0" xfId="0" applyNumberFormat="1" applyFont="1" applyFill="1" applyBorder="1" applyAlignment="1">
      <alignment wrapText="1"/>
    </xf>
    <xf numFmtId="0" fontId="8" fillId="3" borderId="8" xfId="0" applyNumberFormat="1" applyFont="1" applyFill="1" applyBorder="1" applyAlignment="1"/>
    <xf numFmtId="0" fontId="28" fillId="4" borderId="0" xfId="0" applyFont="1" applyFill="1" applyBorder="1" applyAlignment="1">
      <alignment wrapText="1"/>
    </xf>
    <xf numFmtId="0" fontId="31" fillId="6" borderId="0" xfId="2" applyNumberFormat="1" applyFont="1" applyFill="1" applyBorder="1" applyAlignment="1">
      <alignment wrapText="1"/>
    </xf>
    <xf numFmtId="0" fontId="31" fillId="0" borderId="0" xfId="5" applyFont="1" applyBorder="1" applyAlignment="1">
      <alignment horizontal="left" vertical="top" wrapText="1"/>
    </xf>
    <xf numFmtId="0" fontId="31" fillId="0" borderId="8" xfId="5" applyFont="1" applyBorder="1" applyAlignment="1">
      <alignment horizontal="left" vertical="top" wrapText="1"/>
    </xf>
    <xf numFmtId="0" fontId="16" fillId="0" borderId="19" xfId="0" applyFont="1" applyBorder="1" applyAlignment="1">
      <alignment vertical="top" wrapText="1"/>
    </xf>
    <xf numFmtId="0" fontId="31" fillId="0" borderId="20" xfId="5" applyFont="1" applyBorder="1" applyAlignment="1">
      <alignment horizontal="left" vertical="top" wrapText="1"/>
    </xf>
    <xf numFmtId="0" fontId="5" fillId="0" borderId="7" xfId="0" applyFont="1" applyBorder="1" applyAlignment="1">
      <alignment vertical="top" wrapText="1"/>
    </xf>
    <xf numFmtId="0" fontId="42" fillId="0" borderId="14" xfId="0" applyFont="1" applyBorder="1" applyAlignment="1">
      <alignment vertical="top" wrapText="1"/>
    </xf>
    <xf numFmtId="0" fontId="43" fillId="0" borderId="14" xfId="0" applyFont="1" applyBorder="1" applyAlignment="1">
      <alignment vertical="top" wrapText="1"/>
    </xf>
    <xf numFmtId="0" fontId="42" fillId="7" borderId="14" xfId="0" applyFont="1" applyFill="1" applyBorder="1" applyAlignment="1">
      <alignment vertical="top" wrapText="1"/>
    </xf>
    <xf numFmtId="0" fontId="31" fillId="0" borderId="15" xfId="5" applyFont="1" applyBorder="1" applyAlignment="1">
      <alignment horizontal="left" vertical="top" wrapText="1"/>
    </xf>
    <xf numFmtId="0" fontId="16" fillId="0" borderId="0" xfId="0" applyFont="1" applyBorder="1" applyAlignment="1">
      <alignment vertical="top" wrapText="1"/>
    </xf>
    <xf numFmtId="0" fontId="8" fillId="0" borderId="0" xfId="0" applyFont="1" applyBorder="1" applyAlignment="1">
      <alignment vertical="top" wrapText="1"/>
    </xf>
    <xf numFmtId="0" fontId="5" fillId="7" borderId="0" xfId="0" applyFont="1" applyFill="1" applyBorder="1" applyAlignment="1">
      <alignment vertical="top" wrapText="1"/>
    </xf>
    <xf numFmtId="0" fontId="29" fillId="0" borderId="0" xfId="0" applyFont="1" applyBorder="1" applyAlignment="1">
      <alignment vertical="top" wrapText="1"/>
    </xf>
    <xf numFmtId="0" fontId="8" fillId="0" borderId="19" xfId="0" applyFont="1" applyBorder="1" applyAlignment="1">
      <alignment vertical="top" wrapText="1"/>
    </xf>
    <xf numFmtId="0" fontId="5" fillId="0" borderId="19" xfId="0" applyFont="1" applyBorder="1" applyAlignment="1">
      <alignment vertical="top" wrapText="1"/>
    </xf>
    <xf numFmtId="0" fontId="5" fillId="7" borderId="19" xfId="0" applyFont="1" applyFill="1" applyBorder="1" applyAlignment="1">
      <alignment vertical="top" wrapText="1"/>
    </xf>
    <xf numFmtId="0" fontId="29" fillId="0" borderId="19" xfId="0" applyFont="1" applyBorder="1" applyAlignment="1">
      <alignment vertical="top" wrapText="1"/>
    </xf>
    <xf numFmtId="0" fontId="44" fillId="0" borderId="22" xfId="1" applyFont="1" applyBorder="1" applyAlignment="1">
      <alignment vertical="top" wrapText="1"/>
    </xf>
    <xf numFmtId="0" fontId="8" fillId="0" borderId="22" xfId="5" applyFont="1" applyBorder="1" applyAlignment="1">
      <alignment vertical="top" wrapText="1"/>
    </xf>
    <xf numFmtId="0" fontId="42" fillId="0" borderId="22" xfId="0" applyFont="1" applyBorder="1" applyAlignment="1">
      <alignment vertical="top" wrapText="1"/>
    </xf>
    <xf numFmtId="0" fontId="43" fillId="0" borderId="22" xfId="0" applyFont="1" applyBorder="1" applyAlignment="1">
      <alignment vertical="top" wrapText="1"/>
    </xf>
    <xf numFmtId="0" fontId="42" fillId="7" borderId="22" xfId="0" applyFont="1" applyFill="1" applyBorder="1" applyAlignment="1">
      <alignment vertical="top" wrapText="1"/>
    </xf>
    <xf numFmtId="0" fontId="31" fillId="0" borderId="23" xfId="5" applyFont="1" applyBorder="1" applyAlignment="1">
      <alignment horizontal="left" vertical="top" wrapText="1"/>
    </xf>
    <xf numFmtId="0" fontId="16" fillId="0" borderId="14" xfId="0" applyFont="1" applyBorder="1" applyAlignment="1">
      <alignment vertical="top" wrapText="1"/>
    </xf>
    <xf numFmtId="0" fontId="8" fillId="0" borderId="14" xfId="0" applyFont="1" applyBorder="1" applyAlignment="1">
      <alignment vertical="top" wrapText="1"/>
    </xf>
    <xf numFmtId="0" fontId="5" fillId="0" borderId="14" xfId="0" applyFont="1" applyBorder="1" applyAlignment="1">
      <alignment vertical="top" wrapText="1"/>
    </xf>
    <xf numFmtId="0" fontId="5" fillId="7" borderId="14" xfId="0" applyFont="1" applyFill="1" applyBorder="1" applyAlignment="1">
      <alignment vertical="top" wrapText="1"/>
    </xf>
    <xf numFmtId="0" fontId="29" fillId="0" borderId="14" xfId="0" applyFont="1" applyBorder="1" applyAlignment="1">
      <alignment vertical="top" wrapText="1"/>
    </xf>
    <xf numFmtId="0" fontId="42" fillId="0" borderId="0" xfId="0" applyFont="1" applyBorder="1" applyAlignment="1">
      <alignment vertical="top" wrapText="1"/>
    </xf>
    <xf numFmtId="0" fontId="43" fillId="0" borderId="0" xfId="0" applyFont="1" applyBorder="1" applyAlignment="1">
      <alignment vertical="top" wrapText="1"/>
    </xf>
    <xf numFmtId="0" fontId="42" fillId="7" borderId="0" xfId="0" applyFont="1" applyFill="1" applyBorder="1" applyAlignment="1">
      <alignment vertical="top" wrapText="1"/>
    </xf>
    <xf numFmtId="0" fontId="42" fillId="0" borderId="19" xfId="0" applyFont="1" applyBorder="1" applyAlignment="1">
      <alignment vertical="top" wrapText="1"/>
    </xf>
    <xf numFmtId="0" fontId="43" fillId="0" borderId="19" xfId="0" applyFont="1" applyBorder="1" applyAlignment="1">
      <alignment vertical="top" wrapText="1"/>
    </xf>
    <xf numFmtId="0" fontId="42" fillId="7" borderId="19" xfId="0" applyFont="1" applyFill="1" applyBorder="1" applyAlignment="1">
      <alignment vertical="top" wrapText="1"/>
    </xf>
    <xf numFmtId="0" fontId="16" fillId="0" borderId="22" xfId="0" applyFont="1" applyBorder="1" applyAlignment="1">
      <alignment vertical="top" wrapText="1"/>
    </xf>
    <xf numFmtId="0" fontId="8" fillId="0" borderId="22" xfId="0" applyFont="1" applyBorder="1" applyAlignment="1">
      <alignment vertical="top" wrapText="1"/>
    </xf>
    <xf numFmtId="0" fontId="5" fillId="0" borderId="22" xfId="0" applyFont="1" applyBorder="1" applyAlignment="1">
      <alignment vertical="top" wrapText="1"/>
    </xf>
    <xf numFmtId="0" fontId="5" fillId="7" borderId="22" xfId="0" applyFont="1" applyFill="1" applyBorder="1" applyAlignment="1">
      <alignment vertical="top" wrapText="1"/>
    </xf>
    <xf numFmtId="0" fontId="29" fillId="0" borderId="22" xfId="0" applyFont="1" applyBorder="1" applyAlignment="1">
      <alignment vertical="top" wrapText="1"/>
    </xf>
    <xf numFmtId="0" fontId="5" fillId="7" borderId="15" xfId="0" applyFont="1" applyFill="1" applyBorder="1" applyAlignment="1">
      <alignment vertical="top" wrapText="1"/>
    </xf>
    <xf numFmtId="0" fontId="5" fillId="7" borderId="8" xfId="0" applyFont="1" applyFill="1" applyBorder="1" applyAlignment="1">
      <alignment vertical="top" wrapText="1"/>
    </xf>
    <xf numFmtId="0" fontId="5" fillId="7" borderId="20" xfId="0" applyFont="1" applyFill="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vertical="top" wrapText="1"/>
    </xf>
    <xf numFmtId="0" fontId="5" fillId="0" borderId="20" xfId="0" applyFont="1" applyBorder="1" applyAlignment="1">
      <alignment vertical="top" wrapText="1"/>
    </xf>
    <xf numFmtId="0" fontId="5" fillId="7" borderId="23" xfId="0" applyFont="1" applyFill="1" applyBorder="1" applyAlignment="1">
      <alignment vertical="top" wrapText="1"/>
    </xf>
    <xf numFmtId="0" fontId="8" fillId="0" borderId="14" xfId="0" quotePrefix="1" applyFont="1" applyBorder="1" applyAlignment="1">
      <alignment vertical="top" wrapText="1"/>
    </xf>
    <xf numFmtId="0" fontId="8" fillId="0" borderId="0" xfId="0" quotePrefix="1" applyFont="1" applyBorder="1" applyAlignment="1">
      <alignment vertical="top" wrapText="1"/>
    </xf>
    <xf numFmtId="0" fontId="8" fillId="0" borderId="19" xfId="0" quotePrefix="1" applyFont="1" applyBorder="1" applyAlignment="1">
      <alignment vertical="top" wrapText="1"/>
    </xf>
    <xf numFmtId="0" fontId="5" fillId="0" borderId="14" xfId="0" quotePrefix="1" applyFont="1" applyBorder="1" applyAlignment="1">
      <alignment vertical="top" wrapText="1"/>
    </xf>
    <xf numFmtId="0" fontId="5" fillId="0" borderId="0" xfId="0" quotePrefix="1" applyFont="1" applyBorder="1" applyAlignment="1">
      <alignment vertical="top" wrapText="1"/>
    </xf>
    <xf numFmtId="0" fontId="5" fillId="0" borderId="19" xfId="0" quotePrefix="1" applyFont="1" applyBorder="1" applyAlignment="1">
      <alignment vertical="top" wrapText="1"/>
    </xf>
    <xf numFmtId="0" fontId="5" fillId="0" borderId="0" xfId="0" applyFont="1" applyAlignment="1">
      <alignment vertical="top" wrapText="1"/>
    </xf>
    <xf numFmtId="0" fontId="5" fillId="0" borderId="0" xfId="0" applyFont="1" applyAlignment="1">
      <alignment vertical="top" wrapText="1"/>
    </xf>
    <xf numFmtId="0" fontId="8" fillId="15" borderId="0" xfId="5" applyNumberFormat="1" applyFont="1" applyFill="1" applyBorder="1" applyAlignment="1"/>
    <xf numFmtId="0" fontId="68" fillId="14" borderId="30" xfId="0" applyFont="1" applyFill="1" applyBorder="1" applyAlignment="1">
      <alignment vertical="top" wrapText="1"/>
    </xf>
    <xf numFmtId="0" fontId="5" fillId="0" borderId="30" xfId="0" applyFont="1" applyBorder="1" applyAlignment="1">
      <alignment vertical="top" wrapText="1"/>
    </xf>
    <xf numFmtId="0" fontId="0" fillId="0" borderId="30" xfId="0" applyBorder="1" applyAlignment="1">
      <alignment vertical="top" wrapText="1"/>
    </xf>
    <xf numFmtId="0" fontId="28" fillId="15" borderId="31" xfId="0" applyFont="1" applyFill="1" applyBorder="1" applyAlignment="1">
      <alignment vertical="top" wrapText="1"/>
    </xf>
    <xf numFmtId="0" fontId="5" fillId="0" borderId="31" xfId="0" applyFont="1" applyBorder="1" applyAlignment="1">
      <alignment vertical="top" wrapText="1"/>
    </xf>
    <xf numFmtId="0" fontId="0" fillId="0" borderId="31" xfId="0" applyBorder="1" applyAlignment="1">
      <alignment vertical="top" wrapText="1"/>
    </xf>
    <xf numFmtId="0" fontId="5" fillId="0" borderId="31" xfId="4" applyFont="1" applyBorder="1" applyAlignment="1">
      <alignment vertical="top" wrapText="1"/>
    </xf>
    <xf numFmtId="0" fontId="28" fillId="14" borderId="31" xfId="0" applyFont="1" applyFill="1" applyBorder="1" applyAlignment="1">
      <alignment vertical="top" wrapText="1"/>
    </xf>
    <xf numFmtId="0" fontId="28" fillId="16" borderId="31" xfId="0" applyFont="1" applyFill="1" applyBorder="1" applyAlignment="1">
      <alignment vertical="top" wrapText="1"/>
    </xf>
    <xf numFmtId="0" fontId="31" fillId="17" borderId="31" xfId="0" applyFont="1" applyFill="1" applyBorder="1" applyAlignment="1">
      <alignment vertical="top" wrapText="1"/>
    </xf>
    <xf numFmtId="0" fontId="5" fillId="0" borderId="32" xfId="0" applyFont="1" applyBorder="1" applyAlignment="1">
      <alignment vertical="top" wrapText="1"/>
    </xf>
    <xf numFmtId="0" fontId="6" fillId="0" borderId="31" xfId="0" applyFont="1" applyBorder="1" applyAlignment="1">
      <alignment vertical="top" wrapText="1"/>
    </xf>
    <xf numFmtId="0" fontId="69" fillId="15" borderId="31" xfId="4" applyFont="1" applyFill="1" applyBorder="1" applyAlignment="1">
      <alignment vertical="top" wrapText="1"/>
    </xf>
    <xf numFmtId="0" fontId="0" fillId="0" borderId="31" xfId="4" applyFont="1" applyBorder="1" applyAlignment="1">
      <alignment vertical="top" wrapText="1"/>
    </xf>
    <xf numFmtId="0" fontId="69" fillId="15" borderId="31" xfId="13" applyFont="1" applyFill="1" applyBorder="1" applyAlignment="1">
      <alignment vertical="top" wrapText="1"/>
    </xf>
    <xf numFmtId="0" fontId="6" fillId="15" borderId="31" xfId="4" applyFont="1" applyFill="1" applyBorder="1" applyAlignment="1">
      <alignment vertical="top" wrapText="1"/>
    </xf>
    <xf numFmtId="0" fontId="0" fillId="13" borderId="30" xfId="0" applyFill="1" applyBorder="1" applyAlignment="1">
      <alignment vertical="top" wrapText="1"/>
    </xf>
    <xf numFmtId="0" fontId="28" fillId="2" borderId="31" xfId="5" applyNumberFormat="1" applyFont="1" applyFill="1" applyBorder="1" applyAlignment="1">
      <alignment wrapText="1"/>
    </xf>
    <xf numFmtId="0" fontId="28" fillId="3" borderId="31" xfId="5" applyNumberFormat="1" applyFont="1" applyFill="1" applyBorder="1" applyAlignment="1">
      <alignment wrapText="1"/>
    </xf>
    <xf numFmtId="0" fontId="28" fillId="15" borderId="31" xfId="4" applyFont="1" applyFill="1" applyBorder="1" applyAlignment="1">
      <alignment vertical="top" wrapText="1"/>
    </xf>
    <xf numFmtId="0" fontId="6" fillId="0" borderId="31" xfId="4" applyFont="1" applyBorder="1" applyAlignment="1">
      <alignment vertical="top" wrapText="1"/>
    </xf>
    <xf numFmtId="0" fontId="28" fillId="16" borderId="31" xfId="4" applyFont="1" applyFill="1" applyBorder="1" applyAlignment="1">
      <alignment vertical="top" wrapText="1"/>
    </xf>
    <xf numFmtId="0" fontId="5" fillId="0" borderId="32" xfId="4" applyFont="1" applyBorder="1" applyAlignment="1">
      <alignment vertical="top" wrapText="1"/>
    </xf>
    <xf numFmtId="0" fontId="0" fillId="0" borderId="0" xfId="0" applyFont="1" applyAlignment="1">
      <alignment vertical="top" wrapText="1"/>
    </xf>
    <xf numFmtId="0" fontId="0" fillId="0" borderId="31" xfId="0" applyFill="1" applyBorder="1" applyAlignment="1">
      <alignment vertical="top" wrapText="1"/>
    </xf>
    <xf numFmtId="0" fontId="70" fillId="15" borderId="31" xfId="0" applyFont="1" applyFill="1" applyBorder="1" applyAlignment="1">
      <alignment vertical="top" wrapText="1"/>
    </xf>
    <xf numFmtId="0" fontId="8" fillId="2" borderId="31" xfId="0" applyFont="1" applyFill="1" applyBorder="1" applyAlignment="1">
      <alignment vertical="center" wrapText="1"/>
    </xf>
    <xf numFmtId="0" fontId="8" fillId="2" borderId="31" xfId="4" applyFont="1" applyFill="1" applyBorder="1" applyAlignment="1">
      <alignment vertical="center" wrapText="1"/>
    </xf>
    <xf numFmtId="0" fontId="15" fillId="0" borderId="13" xfId="0" applyFont="1" applyBorder="1" applyAlignment="1">
      <alignment vertical="top" wrapText="1"/>
    </xf>
    <xf numFmtId="0" fontId="15" fillId="0" borderId="11" xfId="0" applyFont="1" applyBorder="1" applyAlignment="1">
      <alignment vertical="top" wrapText="1"/>
    </xf>
    <xf numFmtId="0" fontId="15" fillId="0" borderId="18" xfId="0" applyFont="1" applyBorder="1" applyAlignment="1">
      <alignment vertical="top" wrapText="1"/>
    </xf>
    <xf numFmtId="0" fontId="18" fillId="4" borderId="33" xfId="0" applyNumberFormat="1" applyFont="1" applyFill="1" applyBorder="1" applyAlignment="1">
      <alignment wrapText="1"/>
    </xf>
    <xf numFmtId="0" fontId="15" fillId="3" borderId="34" xfId="5" applyNumberFormat="1" applyFont="1" applyFill="1" applyBorder="1" applyAlignment="1">
      <alignment wrapText="1"/>
    </xf>
    <xf numFmtId="0" fontId="8" fillId="3" borderId="34" xfId="5" applyNumberFormat="1" applyFont="1" applyFill="1" applyBorder="1" applyAlignment="1"/>
    <xf numFmtId="0" fontId="8" fillId="3" borderId="34" xfId="5" applyNumberFormat="1" applyFont="1" applyFill="1" applyBorder="1" applyAlignment="1">
      <alignment wrapText="1"/>
    </xf>
    <xf numFmtId="0" fontId="4" fillId="3" borderId="34" xfId="5" applyNumberFormat="1" applyFont="1" applyFill="1" applyBorder="1" applyAlignment="1"/>
    <xf numFmtId="0" fontId="4" fillId="5" borderId="34" xfId="6" applyFont="1" applyFill="1" applyBorder="1" applyAlignment="1"/>
    <xf numFmtId="49" fontId="4" fillId="5" borderId="34" xfId="6" applyNumberFormat="1" applyFont="1" applyFill="1" applyBorder="1" applyAlignment="1">
      <alignment wrapText="1"/>
    </xf>
    <xf numFmtId="49" fontId="4" fillId="5" borderId="35" xfId="6" applyNumberFormat="1" applyFont="1" applyFill="1" applyBorder="1" applyAlignment="1">
      <alignment wrapText="1"/>
    </xf>
    <xf numFmtId="0" fontId="28" fillId="4" borderId="0" xfId="5" applyFont="1" applyFill="1" applyAlignment="1">
      <alignment horizontal="left" wrapText="1"/>
    </xf>
    <xf numFmtId="0" fontId="20" fillId="5" borderId="0" xfId="6" applyFont="1" applyFill="1" applyBorder="1" applyAlignment="1">
      <alignment horizontal="left" wrapText="1"/>
    </xf>
    <xf numFmtId="0" fontId="5" fillId="0" borderId="0" xfId="0" applyFont="1" applyAlignment="1">
      <alignment vertical="top" wrapText="1"/>
    </xf>
    <xf numFmtId="0" fontId="0" fillId="0" borderId="0" xfId="0" applyAlignment="1"/>
    <xf numFmtId="0" fontId="0" fillId="0" borderId="8" xfId="0" applyBorder="1" applyAlignment="1"/>
    <xf numFmtId="0" fontId="5" fillId="0" borderId="0" xfId="0" applyFont="1" applyAlignment="1">
      <alignment vertical="top" wrapText="1"/>
    </xf>
    <xf numFmtId="0" fontId="9" fillId="0" borderId="0" xfId="3" applyFont="1" applyAlignment="1">
      <alignment horizontal="center" vertical="center" textRotation="90" wrapText="1"/>
    </xf>
    <xf numFmtId="0" fontId="5" fillId="0" borderId="0" xfId="0" applyFont="1" applyAlignment="1">
      <alignment vertical="top" wrapText="1"/>
    </xf>
    <xf numFmtId="0" fontId="9" fillId="0" borderId="0" xfId="3" applyFont="1" applyAlignment="1">
      <alignment horizontal="center" vertical="center" textRotation="90" wrapText="1"/>
    </xf>
    <xf numFmtId="0" fontId="0" fillId="0" borderId="31" xfId="4" applyFont="1" applyFill="1" applyBorder="1" applyAlignment="1">
      <alignment vertical="top" wrapText="1"/>
    </xf>
    <xf numFmtId="0" fontId="5" fillId="0" borderId="31" xfId="4" applyFont="1" applyFill="1" applyBorder="1" applyAlignment="1">
      <alignment vertical="top" wrapText="1"/>
    </xf>
    <xf numFmtId="0" fontId="5" fillId="0" borderId="30" xfId="0" applyFont="1" applyFill="1" applyBorder="1" applyAlignment="1">
      <alignment vertical="top" wrapText="1"/>
    </xf>
    <xf numFmtId="0" fontId="0" fillId="0" borderId="30" xfId="0" applyFill="1" applyBorder="1" applyAlignment="1">
      <alignment vertical="top" wrapText="1"/>
    </xf>
    <xf numFmtId="0" fontId="0" fillId="0" borderId="31" xfId="0" applyFont="1" applyFill="1" applyBorder="1" applyAlignment="1">
      <alignment vertical="top" wrapText="1"/>
    </xf>
    <xf numFmtId="0" fontId="5" fillId="0" borderId="31" xfId="0" applyFont="1" applyFill="1" applyBorder="1" applyAlignment="1">
      <alignment vertical="top" wrapText="1"/>
    </xf>
    <xf numFmtId="0" fontId="5" fillId="0" borderId="31" xfId="0" applyFont="1" applyFill="1" applyBorder="1">
      <alignment vertical="top"/>
    </xf>
    <xf numFmtId="0" fontId="0" fillId="0" borderId="31" xfId="9" applyFont="1" applyFill="1" applyBorder="1" applyAlignment="1">
      <alignment vertical="top" wrapText="1"/>
    </xf>
    <xf numFmtId="0" fontId="5" fillId="0" borderId="31" xfId="4" applyNumberFormat="1" applyFont="1" applyFill="1" applyBorder="1" applyAlignment="1">
      <alignment vertical="top" wrapText="1"/>
    </xf>
    <xf numFmtId="0" fontId="36" fillId="0" borderId="31" xfId="0" applyFont="1" applyFill="1" applyBorder="1" applyAlignment="1">
      <alignment vertical="top" wrapText="1"/>
    </xf>
    <xf numFmtId="0" fontId="0" fillId="0" borderId="31" xfId="0" applyFill="1" applyBorder="1">
      <alignment vertical="top"/>
    </xf>
    <xf numFmtId="0" fontId="8" fillId="2" borderId="34" xfId="5" applyNumberFormat="1" applyFont="1" applyFill="1" applyBorder="1" applyAlignment="1">
      <alignment wrapText="1"/>
    </xf>
    <xf numFmtId="0" fontId="5" fillId="0" borderId="0" xfId="0" applyFont="1" applyAlignment="1">
      <alignment vertical="top" wrapText="1"/>
    </xf>
    <xf numFmtId="0" fontId="9" fillId="0" borderId="0" xfId="3" applyFont="1" applyAlignment="1">
      <alignment horizontal="center" vertical="center" textRotation="90" wrapText="1"/>
    </xf>
    <xf numFmtId="0" fontId="5" fillId="0" borderId="0" xfId="0" applyFont="1" applyAlignment="1">
      <alignment vertical="top" wrapText="1"/>
    </xf>
    <xf numFmtId="0" fontId="30" fillId="18" borderId="31" xfId="0" applyFont="1" applyFill="1" applyBorder="1" applyAlignment="1">
      <alignment vertical="top" wrapText="1"/>
    </xf>
    <xf numFmtId="0" fontId="71" fillId="0" borderId="31" xfId="0" applyFont="1" applyBorder="1" applyAlignment="1">
      <alignment vertical="top" wrapText="1"/>
    </xf>
    <xf numFmtId="0" fontId="5" fillId="19" borderId="0" xfId="0" applyFont="1" applyFill="1" applyBorder="1" applyAlignment="1"/>
    <xf numFmtId="0" fontId="5" fillId="0" borderId="0" xfId="0" applyFont="1" applyBorder="1" applyAlignment="1">
      <alignment vertical="top"/>
    </xf>
    <xf numFmtId="0" fontId="5" fillId="0" borderId="19" xfId="0" applyFont="1" applyBorder="1" applyAlignment="1">
      <alignment vertical="top"/>
    </xf>
    <xf numFmtId="0" fontId="19" fillId="8" borderId="4" xfId="1" applyFill="1" applyBorder="1" applyAlignment="1">
      <alignment vertical="top" wrapText="1"/>
    </xf>
    <xf numFmtId="0" fontId="5" fillId="19" borderId="0" xfId="0" applyFont="1" applyFill="1" applyAlignment="1"/>
    <xf numFmtId="0" fontId="5" fillId="0" borderId="0" xfId="0" applyFont="1" applyAlignment="1">
      <alignment vertical="top"/>
    </xf>
    <xf numFmtId="0" fontId="5" fillId="0" borderId="0" xfId="0" applyFont="1" applyAlignment="1">
      <alignment vertical="top" wrapText="1"/>
    </xf>
    <xf numFmtId="0" fontId="8" fillId="20" borderId="0" xfId="0" applyFont="1" applyFill="1" applyAlignment="1"/>
    <xf numFmtId="0" fontId="42" fillId="0" borderId="14" xfId="0" applyFont="1" applyBorder="1" applyAlignment="1">
      <alignment vertical="top"/>
    </xf>
    <xf numFmtId="0" fontId="42" fillId="0" borderId="22" xfId="0" applyFont="1" applyBorder="1" applyAlignment="1">
      <alignment vertical="top"/>
    </xf>
    <xf numFmtId="0" fontId="5" fillId="0" borderId="14" xfId="0" applyFont="1" applyBorder="1" applyAlignment="1">
      <alignment vertical="top"/>
    </xf>
    <xf numFmtId="0" fontId="42" fillId="0" borderId="0" xfId="0" applyFont="1" applyBorder="1" applyAlignment="1">
      <alignment vertical="top"/>
    </xf>
    <xf numFmtId="0" fontId="42" fillId="0" borderId="19" xfId="0" applyFont="1" applyBorder="1" applyAlignment="1">
      <alignment vertical="top"/>
    </xf>
    <xf numFmtId="0" fontId="5" fillId="0" borderId="22" xfId="0" applyFont="1" applyBorder="1" applyAlignment="1">
      <alignment vertical="top"/>
    </xf>
    <xf numFmtId="0" fontId="19" fillId="8" borderId="12" xfId="1" applyFill="1" applyBorder="1" applyAlignment="1">
      <alignment vertical="top" wrapText="1"/>
    </xf>
    <xf numFmtId="0" fontId="5" fillId="0" borderId="0" xfId="0" applyFont="1" applyAlignment="1">
      <alignment vertical="top" wrapText="1"/>
    </xf>
    <xf numFmtId="0" fontId="11" fillId="0" borderId="6" xfId="0" applyFont="1" applyFill="1" applyBorder="1" applyAlignment="1">
      <alignment horizontal="center" vertical="center" textRotation="90" wrapText="1"/>
    </xf>
    <xf numFmtId="0" fontId="5" fillId="0" borderId="0" xfId="0" applyFont="1" applyAlignment="1">
      <alignment wrapText="1"/>
    </xf>
    <xf numFmtId="0" fontId="11" fillId="0" borderId="6" xfId="4" applyFont="1" applyFill="1" applyBorder="1" applyAlignment="1">
      <alignment horizontal="center" vertical="center" textRotation="90" wrapText="1"/>
    </xf>
    <xf numFmtId="0" fontId="11" fillId="0" borderId="0" xfId="4" applyFont="1" applyFill="1" applyBorder="1" applyAlignment="1">
      <alignment horizontal="center" vertical="center" textRotation="90" wrapText="1"/>
    </xf>
    <xf numFmtId="0" fontId="9" fillId="0" borderId="0" xfId="3" applyFont="1" applyAlignment="1">
      <alignment horizontal="center" vertical="center" textRotation="90" wrapText="1"/>
    </xf>
    <xf numFmtId="0" fontId="0" fillId="0" borderId="0" xfId="0" applyAlignment="1">
      <alignment vertical="top" wrapText="1"/>
    </xf>
    <xf numFmtId="0" fontId="11" fillId="0" borderId="0" xfId="0" applyFont="1" applyFill="1" applyBorder="1" applyAlignment="1">
      <alignment horizontal="center" vertical="center" textRotation="90" wrapText="1"/>
    </xf>
    <xf numFmtId="0" fontId="5" fillId="0" borderId="1" xfId="0" applyFont="1" applyBorder="1" applyAlignment="1">
      <alignment vertical="top" wrapText="1"/>
    </xf>
    <xf numFmtId="0" fontId="0" fillId="0" borderId="0" xfId="0">
      <alignment vertical="top"/>
    </xf>
    <xf numFmtId="0" fontId="6" fillId="11" borderId="0" xfId="4" applyFont="1" applyFill="1" applyAlignment="1">
      <alignment horizontal="center" vertical="top" wrapText="1"/>
    </xf>
    <xf numFmtId="0" fontId="5" fillId="11" borderId="0" xfId="4" applyFont="1" applyFill="1" applyAlignment="1">
      <alignment horizontal="center" vertical="top" wrapText="1"/>
    </xf>
    <xf numFmtId="0" fontId="47" fillId="0" borderId="14" xfId="5" applyFont="1" applyBorder="1" applyAlignment="1">
      <alignment vertical="top" wrapText="1"/>
    </xf>
    <xf numFmtId="0" fontId="47" fillId="0" borderId="0" xfId="5" applyFont="1" applyBorder="1" applyAlignment="1">
      <alignment vertical="top" wrapText="1"/>
    </xf>
    <xf numFmtId="0" fontId="47" fillId="0" borderId="19" xfId="5" applyFont="1" applyBorder="1" applyAlignment="1">
      <alignment vertical="top" wrapText="1"/>
    </xf>
    <xf numFmtId="0" fontId="15" fillId="0" borderId="13" xfId="0" applyFont="1" applyBorder="1" applyAlignment="1">
      <alignment vertical="top" wrapText="1"/>
    </xf>
    <xf numFmtId="0" fontId="15" fillId="0" borderId="11" xfId="0" applyFont="1" applyBorder="1" applyAlignment="1">
      <alignment vertical="top" wrapText="1"/>
    </xf>
    <xf numFmtId="0" fontId="15" fillId="0" borderId="18" xfId="0" applyFont="1" applyBorder="1" applyAlignment="1">
      <alignment vertical="top" wrapText="1"/>
    </xf>
    <xf numFmtId="0" fontId="44" fillId="0" borderId="13" xfId="1" applyFont="1" applyBorder="1" applyAlignment="1">
      <alignment vertical="top" wrapText="1"/>
    </xf>
    <xf numFmtId="0" fontId="8" fillId="0" borderId="14" xfId="5" applyFont="1" applyBorder="1" applyAlignment="1">
      <alignment vertical="top" wrapText="1"/>
    </xf>
    <xf numFmtId="0" fontId="8" fillId="0" borderId="0" xfId="5" applyFont="1" applyBorder="1" applyAlignment="1">
      <alignment vertical="top" wrapText="1"/>
    </xf>
    <xf numFmtId="0" fontId="8" fillId="0" borderId="19" xfId="5" applyFont="1" applyBorder="1" applyAlignment="1">
      <alignment vertical="top" wrapText="1"/>
    </xf>
  </cellXfs>
  <cellStyles count="3056">
    <cellStyle name="Followed Hyperlink 2" xfId="21"/>
    <cellStyle name="Followed Hyperlink 3" xfId="22"/>
    <cellStyle name="Hyperlänk 2" xfId="3050"/>
    <cellStyle name="Hyperlink" xfId="1" builtinId="8"/>
    <cellStyle name="Hyperlink 10 10" xfId="23"/>
    <cellStyle name="Hyperlink 10 11" xfId="24"/>
    <cellStyle name="Hyperlink 10 12" xfId="25"/>
    <cellStyle name="Hyperlink 10 13" xfId="26"/>
    <cellStyle name="Hyperlink 10 14" xfId="27"/>
    <cellStyle name="Hyperlink 10 2" xfId="28"/>
    <cellStyle name="Hyperlink 10 3" xfId="29"/>
    <cellStyle name="Hyperlink 10 4" xfId="30"/>
    <cellStyle name="Hyperlink 10 5" xfId="31"/>
    <cellStyle name="Hyperlink 10 6" xfId="32"/>
    <cellStyle name="Hyperlink 10 7" xfId="33"/>
    <cellStyle name="Hyperlink 10 8" xfId="34"/>
    <cellStyle name="Hyperlink 10 9" xfId="35"/>
    <cellStyle name="Hyperlink 11 10" xfId="36"/>
    <cellStyle name="Hyperlink 11 11" xfId="37"/>
    <cellStyle name="Hyperlink 11 12" xfId="38"/>
    <cellStyle name="Hyperlink 11 13" xfId="39"/>
    <cellStyle name="Hyperlink 11 14" xfId="40"/>
    <cellStyle name="Hyperlink 11 2" xfId="41"/>
    <cellStyle name="Hyperlink 11 3" xfId="42"/>
    <cellStyle name="Hyperlink 11 4" xfId="43"/>
    <cellStyle name="Hyperlink 11 5" xfId="44"/>
    <cellStyle name="Hyperlink 11 6" xfId="45"/>
    <cellStyle name="Hyperlink 11 7" xfId="46"/>
    <cellStyle name="Hyperlink 11 8" xfId="47"/>
    <cellStyle name="Hyperlink 11 9" xfId="48"/>
    <cellStyle name="Hyperlink 12 10" xfId="49"/>
    <cellStyle name="Hyperlink 12 11" xfId="50"/>
    <cellStyle name="Hyperlink 12 12" xfId="51"/>
    <cellStyle name="Hyperlink 12 13" xfId="52"/>
    <cellStyle name="Hyperlink 12 14" xfId="53"/>
    <cellStyle name="Hyperlink 12 2" xfId="54"/>
    <cellStyle name="Hyperlink 12 3" xfId="55"/>
    <cellStyle name="Hyperlink 12 4" xfId="56"/>
    <cellStyle name="Hyperlink 12 5" xfId="57"/>
    <cellStyle name="Hyperlink 12 6" xfId="58"/>
    <cellStyle name="Hyperlink 12 7" xfId="59"/>
    <cellStyle name="Hyperlink 12 8" xfId="60"/>
    <cellStyle name="Hyperlink 12 9" xfId="61"/>
    <cellStyle name="Hyperlink 13 10" xfId="62"/>
    <cellStyle name="Hyperlink 13 11" xfId="63"/>
    <cellStyle name="Hyperlink 13 12" xfId="64"/>
    <cellStyle name="Hyperlink 13 13" xfId="65"/>
    <cellStyle name="Hyperlink 13 14" xfId="66"/>
    <cellStyle name="Hyperlink 13 2" xfId="67"/>
    <cellStyle name="Hyperlink 13 3" xfId="68"/>
    <cellStyle name="Hyperlink 13 4" xfId="69"/>
    <cellStyle name="Hyperlink 13 5" xfId="70"/>
    <cellStyle name="Hyperlink 13 6" xfId="71"/>
    <cellStyle name="Hyperlink 13 7" xfId="72"/>
    <cellStyle name="Hyperlink 13 8" xfId="73"/>
    <cellStyle name="Hyperlink 13 9" xfId="74"/>
    <cellStyle name="Hyperlink 14 10" xfId="75"/>
    <cellStyle name="Hyperlink 14 11" xfId="76"/>
    <cellStyle name="Hyperlink 14 12" xfId="77"/>
    <cellStyle name="Hyperlink 14 13" xfId="78"/>
    <cellStyle name="Hyperlink 14 14" xfId="79"/>
    <cellStyle name="Hyperlink 14 2" xfId="80"/>
    <cellStyle name="Hyperlink 14 3" xfId="81"/>
    <cellStyle name="Hyperlink 14 4" xfId="82"/>
    <cellStyle name="Hyperlink 14 5" xfId="83"/>
    <cellStyle name="Hyperlink 14 6" xfId="84"/>
    <cellStyle name="Hyperlink 14 7" xfId="85"/>
    <cellStyle name="Hyperlink 14 8" xfId="86"/>
    <cellStyle name="Hyperlink 14 9" xfId="87"/>
    <cellStyle name="Hyperlink 15 10" xfId="88"/>
    <cellStyle name="Hyperlink 15 11" xfId="89"/>
    <cellStyle name="Hyperlink 15 12" xfId="90"/>
    <cellStyle name="Hyperlink 15 13" xfId="91"/>
    <cellStyle name="Hyperlink 15 14" xfId="92"/>
    <cellStyle name="Hyperlink 15 2" xfId="93"/>
    <cellStyle name="Hyperlink 15 3" xfId="94"/>
    <cellStyle name="Hyperlink 15 4" xfId="95"/>
    <cellStyle name="Hyperlink 15 5" xfId="96"/>
    <cellStyle name="Hyperlink 15 6" xfId="97"/>
    <cellStyle name="Hyperlink 15 7" xfId="98"/>
    <cellStyle name="Hyperlink 15 8" xfId="99"/>
    <cellStyle name="Hyperlink 15 9" xfId="100"/>
    <cellStyle name="Hyperlink 16 10" xfId="101"/>
    <cellStyle name="Hyperlink 16 11" xfId="102"/>
    <cellStyle name="Hyperlink 16 12" xfId="103"/>
    <cellStyle name="Hyperlink 16 13" xfId="104"/>
    <cellStyle name="Hyperlink 16 14" xfId="105"/>
    <cellStyle name="Hyperlink 16 2" xfId="106"/>
    <cellStyle name="Hyperlink 16 3" xfId="107"/>
    <cellStyle name="Hyperlink 16 4" xfId="108"/>
    <cellStyle name="Hyperlink 16 5" xfId="109"/>
    <cellStyle name="Hyperlink 16 6" xfId="110"/>
    <cellStyle name="Hyperlink 16 7" xfId="111"/>
    <cellStyle name="Hyperlink 16 8" xfId="112"/>
    <cellStyle name="Hyperlink 16 9" xfId="113"/>
    <cellStyle name="Hyperlink 17 10" xfId="114"/>
    <cellStyle name="Hyperlink 17 11" xfId="115"/>
    <cellStyle name="Hyperlink 17 12" xfId="116"/>
    <cellStyle name="Hyperlink 17 13" xfId="117"/>
    <cellStyle name="Hyperlink 17 14" xfId="118"/>
    <cellStyle name="Hyperlink 17 2" xfId="119"/>
    <cellStyle name="Hyperlink 17 3" xfId="120"/>
    <cellStyle name="Hyperlink 17 4" xfId="121"/>
    <cellStyle name="Hyperlink 17 5" xfId="122"/>
    <cellStyle name="Hyperlink 17 6" xfId="123"/>
    <cellStyle name="Hyperlink 17 7" xfId="124"/>
    <cellStyle name="Hyperlink 17 8" xfId="125"/>
    <cellStyle name="Hyperlink 17 9" xfId="126"/>
    <cellStyle name="Hyperlink 18 10" xfId="127"/>
    <cellStyle name="Hyperlink 18 11" xfId="128"/>
    <cellStyle name="Hyperlink 18 12" xfId="129"/>
    <cellStyle name="Hyperlink 18 13" xfId="130"/>
    <cellStyle name="Hyperlink 18 14" xfId="131"/>
    <cellStyle name="Hyperlink 18 2" xfId="132"/>
    <cellStyle name="Hyperlink 18 3" xfId="133"/>
    <cellStyle name="Hyperlink 18 4" xfId="134"/>
    <cellStyle name="Hyperlink 18 5" xfId="135"/>
    <cellStyle name="Hyperlink 18 6" xfId="136"/>
    <cellStyle name="Hyperlink 18 7" xfId="137"/>
    <cellStyle name="Hyperlink 18 8" xfId="138"/>
    <cellStyle name="Hyperlink 18 9" xfId="139"/>
    <cellStyle name="Hyperlink 19 10" xfId="140"/>
    <cellStyle name="Hyperlink 19 11" xfId="141"/>
    <cellStyle name="Hyperlink 19 12" xfId="142"/>
    <cellStyle name="Hyperlink 19 13" xfId="143"/>
    <cellStyle name="Hyperlink 19 14" xfId="144"/>
    <cellStyle name="Hyperlink 19 2" xfId="145"/>
    <cellStyle name="Hyperlink 19 3" xfId="146"/>
    <cellStyle name="Hyperlink 19 4" xfId="147"/>
    <cellStyle name="Hyperlink 19 5" xfId="148"/>
    <cellStyle name="Hyperlink 19 6" xfId="149"/>
    <cellStyle name="Hyperlink 19 7" xfId="150"/>
    <cellStyle name="Hyperlink 19 8" xfId="151"/>
    <cellStyle name="Hyperlink 19 9" xfId="152"/>
    <cellStyle name="Hyperlink 2" xfId="153"/>
    <cellStyle name="Hyperlink 2 10" xfId="154"/>
    <cellStyle name="Hyperlink 2 11" xfId="155"/>
    <cellStyle name="Hyperlink 2 12" xfId="156"/>
    <cellStyle name="Hyperlink 2 13" xfId="157"/>
    <cellStyle name="Hyperlink 2 14" xfId="158"/>
    <cellStyle name="Hyperlink 2 14 2" xfId="159"/>
    <cellStyle name="Hyperlink 2 14 3" xfId="160"/>
    <cellStyle name="Hyperlink 2 14 4" xfId="161"/>
    <cellStyle name="Hyperlink 2 14 5" xfId="162"/>
    <cellStyle name="Hyperlink 2 14 6" xfId="163"/>
    <cellStyle name="Hyperlink 2 14 7" xfId="164"/>
    <cellStyle name="Hyperlink 2 14 8" xfId="165"/>
    <cellStyle name="Hyperlink 2 15" xfId="166"/>
    <cellStyle name="Hyperlink 2 16" xfId="167"/>
    <cellStyle name="Hyperlink 2 17" xfId="168"/>
    <cellStyle name="Hyperlink 2 18" xfId="169"/>
    <cellStyle name="Hyperlink 2 19" xfId="170"/>
    <cellStyle name="Hyperlink 2 2" xfId="171"/>
    <cellStyle name="Hyperlink 2 20" xfId="172"/>
    <cellStyle name="Hyperlink 2 21" xfId="173"/>
    <cellStyle name="Hyperlink 2 22" xfId="174"/>
    <cellStyle name="Hyperlink 2 23" xfId="1870"/>
    <cellStyle name="Hyperlink 2 3" xfId="175"/>
    <cellStyle name="Hyperlink 2 4" xfId="176"/>
    <cellStyle name="Hyperlink 2 5" xfId="177"/>
    <cellStyle name="Hyperlink 2 6" xfId="178"/>
    <cellStyle name="Hyperlink 2 7" xfId="179"/>
    <cellStyle name="Hyperlink 2 8" xfId="180"/>
    <cellStyle name="Hyperlink 2 9" xfId="181"/>
    <cellStyle name="Hyperlink 20 10" xfId="182"/>
    <cellStyle name="Hyperlink 20 11" xfId="183"/>
    <cellStyle name="Hyperlink 20 12" xfId="184"/>
    <cellStyle name="Hyperlink 20 13" xfId="185"/>
    <cellStyle name="Hyperlink 20 14" xfId="186"/>
    <cellStyle name="Hyperlink 20 2" xfId="187"/>
    <cellStyle name="Hyperlink 20 3" xfId="188"/>
    <cellStyle name="Hyperlink 20 4" xfId="189"/>
    <cellStyle name="Hyperlink 20 5" xfId="190"/>
    <cellStyle name="Hyperlink 20 6" xfId="191"/>
    <cellStyle name="Hyperlink 20 7" xfId="192"/>
    <cellStyle name="Hyperlink 20 8" xfId="193"/>
    <cellStyle name="Hyperlink 20 9" xfId="194"/>
    <cellStyle name="Hyperlink 21 10" xfId="195"/>
    <cellStyle name="Hyperlink 21 11" xfId="196"/>
    <cellStyle name="Hyperlink 21 12" xfId="197"/>
    <cellStyle name="Hyperlink 21 13" xfId="198"/>
    <cellStyle name="Hyperlink 21 14" xfId="199"/>
    <cellStyle name="Hyperlink 21 2" xfId="200"/>
    <cellStyle name="Hyperlink 21 3" xfId="201"/>
    <cellStyle name="Hyperlink 21 4" xfId="202"/>
    <cellStyle name="Hyperlink 21 5" xfId="203"/>
    <cellStyle name="Hyperlink 21 6" xfId="204"/>
    <cellStyle name="Hyperlink 21 7" xfId="205"/>
    <cellStyle name="Hyperlink 21 8" xfId="206"/>
    <cellStyle name="Hyperlink 21 9" xfId="207"/>
    <cellStyle name="Hyperlink 22 10" xfId="208"/>
    <cellStyle name="Hyperlink 22 11" xfId="209"/>
    <cellStyle name="Hyperlink 22 12" xfId="210"/>
    <cellStyle name="Hyperlink 22 13" xfId="211"/>
    <cellStyle name="Hyperlink 22 14" xfId="212"/>
    <cellStyle name="Hyperlink 22 2" xfId="213"/>
    <cellStyle name="Hyperlink 22 3" xfId="214"/>
    <cellStyle name="Hyperlink 22 4" xfId="215"/>
    <cellStyle name="Hyperlink 22 5" xfId="216"/>
    <cellStyle name="Hyperlink 22 6" xfId="217"/>
    <cellStyle name="Hyperlink 22 7" xfId="218"/>
    <cellStyle name="Hyperlink 22 8" xfId="219"/>
    <cellStyle name="Hyperlink 22 9" xfId="220"/>
    <cellStyle name="Hyperlink 23 10" xfId="221"/>
    <cellStyle name="Hyperlink 23 11" xfId="222"/>
    <cellStyle name="Hyperlink 23 12" xfId="223"/>
    <cellStyle name="Hyperlink 23 13" xfId="224"/>
    <cellStyle name="Hyperlink 23 14" xfId="225"/>
    <cellStyle name="Hyperlink 23 2" xfId="226"/>
    <cellStyle name="Hyperlink 23 3" xfId="227"/>
    <cellStyle name="Hyperlink 23 4" xfId="228"/>
    <cellStyle name="Hyperlink 23 5" xfId="229"/>
    <cellStyle name="Hyperlink 23 6" xfId="230"/>
    <cellStyle name="Hyperlink 23 7" xfId="231"/>
    <cellStyle name="Hyperlink 23 8" xfId="232"/>
    <cellStyle name="Hyperlink 23 9" xfId="233"/>
    <cellStyle name="Hyperlink 24 10" xfId="234"/>
    <cellStyle name="Hyperlink 24 11" xfId="235"/>
    <cellStyle name="Hyperlink 24 12" xfId="236"/>
    <cellStyle name="Hyperlink 24 13" xfId="237"/>
    <cellStyle name="Hyperlink 24 14" xfId="238"/>
    <cellStyle name="Hyperlink 24 2" xfId="239"/>
    <cellStyle name="Hyperlink 24 3" xfId="240"/>
    <cellStyle name="Hyperlink 24 4" xfId="241"/>
    <cellStyle name="Hyperlink 24 5" xfId="242"/>
    <cellStyle name="Hyperlink 24 6" xfId="243"/>
    <cellStyle name="Hyperlink 24 7" xfId="244"/>
    <cellStyle name="Hyperlink 24 8" xfId="245"/>
    <cellStyle name="Hyperlink 24 9" xfId="246"/>
    <cellStyle name="Hyperlink 3" xfId="247"/>
    <cellStyle name="Hyperlink 3 10" xfId="248"/>
    <cellStyle name="Hyperlink 3 11" xfId="249"/>
    <cellStyle name="Hyperlink 3 12" xfId="250"/>
    <cellStyle name="Hyperlink 3 13" xfId="251"/>
    <cellStyle name="Hyperlink 3 14" xfId="252"/>
    <cellStyle name="Hyperlink 3 2" xfId="253"/>
    <cellStyle name="Hyperlink 3 3" xfId="254"/>
    <cellStyle name="Hyperlink 3 4" xfId="255"/>
    <cellStyle name="Hyperlink 3 5" xfId="256"/>
    <cellStyle name="Hyperlink 3 6" xfId="257"/>
    <cellStyle name="Hyperlink 3 7" xfId="258"/>
    <cellStyle name="Hyperlink 3 8" xfId="259"/>
    <cellStyle name="Hyperlink 3 9" xfId="260"/>
    <cellStyle name="Hyperlink 32" xfId="261"/>
    <cellStyle name="Hyperlink 33" xfId="262"/>
    <cellStyle name="Hyperlink 4" xfId="263"/>
    <cellStyle name="Hyperlink 4 10" xfId="264"/>
    <cellStyle name="Hyperlink 4 11" xfId="265"/>
    <cellStyle name="Hyperlink 4 12" xfId="266"/>
    <cellStyle name="Hyperlink 4 13" xfId="267"/>
    <cellStyle name="Hyperlink 4 14" xfId="268"/>
    <cellStyle name="Hyperlink 4 2" xfId="269"/>
    <cellStyle name="Hyperlink 4 3" xfId="270"/>
    <cellStyle name="Hyperlink 4 4" xfId="271"/>
    <cellStyle name="Hyperlink 4 5" xfId="272"/>
    <cellStyle name="Hyperlink 4 6" xfId="273"/>
    <cellStyle name="Hyperlink 4 7" xfId="274"/>
    <cellStyle name="Hyperlink 4 8" xfId="275"/>
    <cellStyle name="Hyperlink 4 9" xfId="276"/>
    <cellStyle name="Hyperlink 5" xfId="277"/>
    <cellStyle name="Hyperlink 5 10" xfId="278"/>
    <cellStyle name="Hyperlink 5 11" xfId="279"/>
    <cellStyle name="Hyperlink 5 12" xfId="280"/>
    <cellStyle name="Hyperlink 5 13" xfId="281"/>
    <cellStyle name="Hyperlink 5 14" xfId="282"/>
    <cellStyle name="Hyperlink 5 2" xfId="283"/>
    <cellStyle name="Hyperlink 5 3" xfId="284"/>
    <cellStyle name="Hyperlink 5 4" xfId="285"/>
    <cellStyle name="Hyperlink 5 5" xfId="286"/>
    <cellStyle name="Hyperlink 5 6" xfId="287"/>
    <cellStyle name="Hyperlink 5 7" xfId="288"/>
    <cellStyle name="Hyperlink 5 8" xfId="289"/>
    <cellStyle name="Hyperlink 5 9" xfId="290"/>
    <cellStyle name="Hyperlink 6" xfId="291"/>
    <cellStyle name="Hyperlink 6 10" xfId="292"/>
    <cellStyle name="Hyperlink 6 11" xfId="293"/>
    <cellStyle name="Hyperlink 6 12" xfId="294"/>
    <cellStyle name="Hyperlink 6 13" xfId="295"/>
    <cellStyle name="Hyperlink 6 14" xfId="296"/>
    <cellStyle name="Hyperlink 6 2" xfId="297"/>
    <cellStyle name="Hyperlink 6 3" xfId="298"/>
    <cellStyle name="Hyperlink 6 4" xfId="299"/>
    <cellStyle name="Hyperlink 6 5" xfId="300"/>
    <cellStyle name="Hyperlink 6 6" xfId="301"/>
    <cellStyle name="Hyperlink 6 7" xfId="302"/>
    <cellStyle name="Hyperlink 6 8" xfId="303"/>
    <cellStyle name="Hyperlink 6 9" xfId="304"/>
    <cellStyle name="Hyperlink 7" xfId="305"/>
    <cellStyle name="Hyperlink 7 10" xfId="306"/>
    <cellStyle name="Hyperlink 7 11" xfId="307"/>
    <cellStyle name="Hyperlink 7 12" xfId="308"/>
    <cellStyle name="Hyperlink 7 13" xfId="309"/>
    <cellStyle name="Hyperlink 7 14" xfId="310"/>
    <cellStyle name="Hyperlink 7 15" xfId="311"/>
    <cellStyle name="Hyperlink 7 15 2" xfId="312"/>
    <cellStyle name="Hyperlink 7 2" xfId="313"/>
    <cellStyle name="Hyperlink 7 3" xfId="314"/>
    <cellStyle name="Hyperlink 7 4" xfId="315"/>
    <cellStyle name="Hyperlink 7 5" xfId="316"/>
    <cellStyle name="Hyperlink 7 6" xfId="317"/>
    <cellStyle name="Hyperlink 7 7" xfId="318"/>
    <cellStyle name="Hyperlink 7 8" xfId="319"/>
    <cellStyle name="Hyperlink 7 9" xfId="320"/>
    <cellStyle name="Hyperlink 8 10" xfId="321"/>
    <cellStyle name="Hyperlink 8 11" xfId="322"/>
    <cellStyle name="Hyperlink 8 12" xfId="323"/>
    <cellStyle name="Hyperlink 8 13" xfId="324"/>
    <cellStyle name="Hyperlink 8 14" xfId="325"/>
    <cellStyle name="Hyperlink 8 2" xfId="326"/>
    <cellStyle name="Hyperlink 8 3" xfId="327"/>
    <cellStyle name="Hyperlink 8 4" xfId="328"/>
    <cellStyle name="Hyperlink 8 5" xfId="329"/>
    <cellStyle name="Hyperlink 8 6" xfId="330"/>
    <cellStyle name="Hyperlink 8 7" xfId="331"/>
    <cellStyle name="Hyperlink 8 8" xfId="332"/>
    <cellStyle name="Hyperlink 8 9" xfId="333"/>
    <cellStyle name="Hyperlink 9 10" xfId="334"/>
    <cellStyle name="Hyperlink 9 11" xfId="335"/>
    <cellStyle name="Hyperlink 9 12" xfId="336"/>
    <cellStyle name="Hyperlink 9 13" xfId="337"/>
    <cellStyle name="Hyperlink 9 14" xfId="338"/>
    <cellStyle name="Hyperlink 9 2" xfId="339"/>
    <cellStyle name="Hyperlink 9 3" xfId="340"/>
    <cellStyle name="Hyperlink 9 4" xfId="341"/>
    <cellStyle name="Hyperlink 9 5" xfId="342"/>
    <cellStyle name="Hyperlink 9 6" xfId="343"/>
    <cellStyle name="Hyperlink 9 7" xfId="344"/>
    <cellStyle name="Hyperlink 9 8" xfId="345"/>
    <cellStyle name="Hyperlink 9 9" xfId="346"/>
    <cellStyle name="Normal 10" xfId="347"/>
    <cellStyle name="Normal 10 10" xfId="348"/>
    <cellStyle name="Normal 10 11" xfId="349"/>
    <cellStyle name="Normal 10 12" xfId="350"/>
    <cellStyle name="Normal 10 13" xfId="351"/>
    <cellStyle name="Normal 10 14" xfId="352"/>
    <cellStyle name="Normal 10 15" xfId="353"/>
    <cellStyle name="Normal 10 16" xfId="354"/>
    <cellStyle name="Normal 10 17" xfId="355"/>
    <cellStyle name="Normal 10 2" xfId="356"/>
    <cellStyle name="Normal 10 3" xfId="357"/>
    <cellStyle name="Normal 10 4" xfId="358"/>
    <cellStyle name="Normal 10 5" xfId="359"/>
    <cellStyle name="Normal 10 6" xfId="360"/>
    <cellStyle name="Normal 10 7" xfId="361"/>
    <cellStyle name="Normal 10 8" xfId="362"/>
    <cellStyle name="Normal 10 9" xfId="363"/>
    <cellStyle name="Normal 11" xfId="364"/>
    <cellStyle name="Normal 11 10" xfId="365"/>
    <cellStyle name="Normal 11 11" xfId="366"/>
    <cellStyle name="Normal 11 12" xfId="367"/>
    <cellStyle name="Normal 11 13" xfId="368"/>
    <cellStyle name="Normal 11 14" xfId="369"/>
    <cellStyle name="Normal 11 15" xfId="370"/>
    <cellStyle name="Normal 11 16" xfId="371"/>
    <cellStyle name="Normal 11 17" xfId="372"/>
    <cellStyle name="Normal 11 2" xfId="373"/>
    <cellStyle name="Normal 11 3" xfId="374"/>
    <cellStyle name="Normal 11 4" xfId="375"/>
    <cellStyle name="Normal 11 5" xfId="376"/>
    <cellStyle name="Normal 11 6" xfId="377"/>
    <cellStyle name="Normal 11 7" xfId="378"/>
    <cellStyle name="Normal 11 8" xfId="379"/>
    <cellStyle name="Normal 11 9" xfId="380"/>
    <cellStyle name="Normal 12" xfId="381"/>
    <cellStyle name="Normal 12 10" xfId="382"/>
    <cellStyle name="Normal 12 11" xfId="383"/>
    <cellStyle name="Normal 12 12" xfId="384"/>
    <cellStyle name="Normal 12 13" xfId="385"/>
    <cellStyle name="Normal 12 14" xfId="386"/>
    <cellStyle name="Normal 12 15" xfId="387"/>
    <cellStyle name="Normal 12 16" xfId="388"/>
    <cellStyle name="Normal 12 17" xfId="389"/>
    <cellStyle name="Normal 12 2" xfId="390"/>
    <cellStyle name="Normal 12 3" xfId="391"/>
    <cellStyle name="Normal 12 4" xfId="392"/>
    <cellStyle name="Normal 12 5" xfId="393"/>
    <cellStyle name="Normal 12 6" xfId="394"/>
    <cellStyle name="Normal 12 7" xfId="395"/>
    <cellStyle name="Normal 12 8" xfId="396"/>
    <cellStyle name="Normal 12 9" xfId="397"/>
    <cellStyle name="Normal 13" xfId="398"/>
    <cellStyle name="Normal 13 10" xfId="399"/>
    <cellStyle name="Normal 13 11" xfId="400"/>
    <cellStyle name="Normal 13 12" xfId="401"/>
    <cellStyle name="Normal 13 13" xfId="402"/>
    <cellStyle name="Normal 13 14" xfId="403"/>
    <cellStyle name="Normal 13 15" xfId="404"/>
    <cellStyle name="Normal 13 16" xfId="405"/>
    <cellStyle name="Normal 13 17" xfId="406"/>
    <cellStyle name="Normal 13 2" xfId="407"/>
    <cellStyle name="Normal 13 3" xfId="408"/>
    <cellStyle name="Normal 13 4" xfId="409"/>
    <cellStyle name="Normal 13 5" xfId="410"/>
    <cellStyle name="Normal 13 6" xfId="411"/>
    <cellStyle name="Normal 13 7" xfId="412"/>
    <cellStyle name="Normal 13 8" xfId="413"/>
    <cellStyle name="Normal 13 9" xfId="414"/>
    <cellStyle name="Normal 14" xfId="415"/>
    <cellStyle name="Normal 14 10" xfId="416"/>
    <cellStyle name="Normal 14 11" xfId="417"/>
    <cellStyle name="Normal 14 12" xfId="418"/>
    <cellStyle name="Normal 14 13" xfId="419"/>
    <cellStyle name="Normal 14 14" xfId="420"/>
    <cellStyle name="Normal 14 15" xfId="421"/>
    <cellStyle name="Normal 14 16" xfId="422"/>
    <cellStyle name="Normal 14 17" xfId="423"/>
    <cellStyle name="Normal 14 2" xfId="424"/>
    <cellStyle name="Normal 14 3" xfId="425"/>
    <cellStyle name="Normal 14 4" xfId="426"/>
    <cellStyle name="Normal 14 5" xfId="427"/>
    <cellStyle name="Normal 14 6" xfId="428"/>
    <cellStyle name="Normal 14 7" xfId="429"/>
    <cellStyle name="Normal 14 8" xfId="430"/>
    <cellStyle name="Normal 14 9" xfId="431"/>
    <cellStyle name="Normal 15" xfId="432"/>
    <cellStyle name="Normal 15 10" xfId="433"/>
    <cellStyle name="Normal 15 11" xfId="434"/>
    <cellStyle name="Normal 15 12" xfId="435"/>
    <cellStyle name="Normal 15 13" xfId="436"/>
    <cellStyle name="Normal 15 14" xfId="437"/>
    <cellStyle name="Normal 15 15" xfId="438"/>
    <cellStyle name="Normal 15 16" xfId="439"/>
    <cellStyle name="Normal 15 17" xfId="440"/>
    <cellStyle name="Normal 15 2" xfId="441"/>
    <cellStyle name="Normal 15 3" xfId="442"/>
    <cellStyle name="Normal 15 4" xfId="443"/>
    <cellStyle name="Normal 15 5" xfId="444"/>
    <cellStyle name="Normal 15 6" xfId="445"/>
    <cellStyle name="Normal 15 7" xfId="446"/>
    <cellStyle name="Normal 15 8" xfId="447"/>
    <cellStyle name="Normal 15 9" xfId="448"/>
    <cellStyle name="Normal 16" xfId="449"/>
    <cellStyle name="Normal 16 10" xfId="450"/>
    <cellStyle name="Normal 16 11" xfId="451"/>
    <cellStyle name="Normal 16 12" xfId="452"/>
    <cellStyle name="Normal 16 13" xfId="453"/>
    <cellStyle name="Normal 16 14" xfId="454"/>
    <cellStyle name="Normal 16 15" xfId="455"/>
    <cellStyle name="Normal 16 16" xfId="456"/>
    <cellStyle name="Normal 16 17" xfId="457"/>
    <cellStyle name="Normal 16 2" xfId="458"/>
    <cellStyle name="Normal 16 3" xfId="459"/>
    <cellStyle name="Normal 16 4" xfId="460"/>
    <cellStyle name="Normal 16 5" xfId="461"/>
    <cellStyle name="Normal 16 6" xfId="462"/>
    <cellStyle name="Normal 16 7" xfId="463"/>
    <cellStyle name="Normal 16 8" xfId="464"/>
    <cellStyle name="Normal 16 9" xfId="465"/>
    <cellStyle name="Normal 17" xfId="466"/>
    <cellStyle name="Normal 17 10" xfId="467"/>
    <cellStyle name="Normal 17 11" xfId="468"/>
    <cellStyle name="Normal 17 12" xfId="469"/>
    <cellStyle name="Normal 17 13" xfId="470"/>
    <cellStyle name="Normal 17 14" xfId="471"/>
    <cellStyle name="Normal 17 15" xfId="472"/>
    <cellStyle name="Normal 17 16" xfId="473"/>
    <cellStyle name="Normal 17 17" xfId="474"/>
    <cellStyle name="Normal 17 2" xfId="475"/>
    <cellStyle name="Normal 17 3" xfId="476"/>
    <cellStyle name="Normal 17 4" xfId="477"/>
    <cellStyle name="Normal 17 5" xfId="478"/>
    <cellStyle name="Normal 17 6" xfId="479"/>
    <cellStyle name="Normal 17 7" xfId="480"/>
    <cellStyle name="Normal 17 8" xfId="481"/>
    <cellStyle name="Normal 17 9" xfId="482"/>
    <cellStyle name="Normal 18" xfId="483"/>
    <cellStyle name="Normal 18 10" xfId="484"/>
    <cellStyle name="Normal 18 11" xfId="485"/>
    <cellStyle name="Normal 18 12" xfId="486"/>
    <cellStyle name="Normal 18 13" xfId="487"/>
    <cellStyle name="Normal 18 14" xfId="488"/>
    <cellStyle name="Normal 18 15" xfId="489"/>
    <cellStyle name="Normal 18 16" xfId="490"/>
    <cellStyle name="Normal 18 17" xfId="491"/>
    <cellStyle name="Normal 18 2" xfId="492"/>
    <cellStyle name="Normal 18 3" xfId="493"/>
    <cellStyle name="Normal 18 4" xfId="494"/>
    <cellStyle name="Normal 18 5" xfId="495"/>
    <cellStyle name="Normal 18 6" xfId="496"/>
    <cellStyle name="Normal 18 7" xfId="497"/>
    <cellStyle name="Normal 18 8" xfId="498"/>
    <cellStyle name="Normal 18 9" xfId="499"/>
    <cellStyle name="Normal 19" xfId="500"/>
    <cellStyle name="Normal 19 10" xfId="501"/>
    <cellStyle name="Normal 19 11" xfId="502"/>
    <cellStyle name="Normal 19 12" xfId="503"/>
    <cellStyle name="Normal 19 13" xfId="504"/>
    <cellStyle name="Normal 19 14" xfId="505"/>
    <cellStyle name="Normal 19 15" xfId="506"/>
    <cellStyle name="Normal 19 16" xfId="507"/>
    <cellStyle name="Normal 19 17" xfId="508"/>
    <cellStyle name="Normal 19 2" xfId="509"/>
    <cellStyle name="Normal 19 3" xfId="510"/>
    <cellStyle name="Normal 19 4" xfId="511"/>
    <cellStyle name="Normal 19 5" xfId="512"/>
    <cellStyle name="Normal 19 6" xfId="513"/>
    <cellStyle name="Normal 19 7" xfId="514"/>
    <cellStyle name="Normal 19 8" xfId="515"/>
    <cellStyle name="Normal 19 9" xfId="516"/>
    <cellStyle name="Normal 2" xfId="7"/>
    <cellStyle name="Normal 2 10" xfId="517"/>
    <cellStyle name="Normal 2 11" xfId="518"/>
    <cellStyle name="Normal 2 12" xfId="519"/>
    <cellStyle name="Normal 2 13" xfId="520"/>
    <cellStyle name="Normal 2 14" xfId="521"/>
    <cellStyle name="Normal 2 15" xfId="522"/>
    <cellStyle name="Normal 2 16" xfId="523"/>
    <cellStyle name="Normal 2 17" xfId="524"/>
    <cellStyle name="Normal 2 18" xfId="525"/>
    <cellStyle name="Normal 2 18 10" xfId="526"/>
    <cellStyle name="Normal 2 18 10 2" xfId="527"/>
    <cellStyle name="Normal 2 18 10 2 2" xfId="528"/>
    <cellStyle name="Normal 2 18 10 2 2 2" xfId="529"/>
    <cellStyle name="Normal 2 18 10 2 2 2 2" xfId="1875"/>
    <cellStyle name="Normal 2 18 10 2 2 3" xfId="1874"/>
    <cellStyle name="Normal 2 18 10 2 3" xfId="530"/>
    <cellStyle name="Normal 2 18 10 2 3 2" xfId="531"/>
    <cellStyle name="Normal 2 18 10 2 3 2 2" xfId="1877"/>
    <cellStyle name="Normal 2 18 10 2 3 3" xfId="1876"/>
    <cellStyle name="Normal 2 18 10 2 4" xfId="532"/>
    <cellStyle name="Normal 2 18 10 2 4 2" xfId="1878"/>
    <cellStyle name="Normal 2 18 10 2 5" xfId="1873"/>
    <cellStyle name="Normal 2 18 10 3" xfId="533"/>
    <cellStyle name="Normal 2 18 10 3 2" xfId="534"/>
    <cellStyle name="Normal 2 18 10 3 2 2" xfId="535"/>
    <cellStyle name="Normal 2 18 10 3 2 2 2" xfId="1881"/>
    <cellStyle name="Normal 2 18 10 3 2 3" xfId="1880"/>
    <cellStyle name="Normal 2 18 10 3 3" xfId="536"/>
    <cellStyle name="Normal 2 18 10 3 3 2" xfId="537"/>
    <cellStyle name="Normal 2 18 10 3 3 2 2" xfId="1883"/>
    <cellStyle name="Normal 2 18 10 3 3 3" xfId="1882"/>
    <cellStyle name="Normal 2 18 10 3 4" xfId="538"/>
    <cellStyle name="Normal 2 18 10 3 4 2" xfId="1884"/>
    <cellStyle name="Normal 2 18 10 3 5" xfId="1879"/>
    <cellStyle name="Normal 2 18 10 4" xfId="539"/>
    <cellStyle name="Normal 2 18 10 4 2" xfId="540"/>
    <cellStyle name="Normal 2 18 10 4 2 2" xfId="1886"/>
    <cellStyle name="Normal 2 18 10 4 3" xfId="1885"/>
    <cellStyle name="Normal 2 18 10 5" xfId="541"/>
    <cellStyle name="Normal 2 18 10 5 2" xfId="542"/>
    <cellStyle name="Normal 2 18 10 5 2 2" xfId="1888"/>
    <cellStyle name="Normal 2 18 10 5 3" xfId="1887"/>
    <cellStyle name="Normal 2 18 10 6" xfId="543"/>
    <cellStyle name="Normal 2 18 10 6 2" xfId="1889"/>
    <cellStyle name="Normal 2 18 10 7" xfId="1872"/>
    <cellStyle name="Normal 2 18 11" xfId="544"/>
    <cellStyle name="Normal 2 18 11 2" xfId="545"/>
    <cellStyle name="Normal 2 18 11 2 2" xfId="546"/>
    <cellStyle name="Normal 2 18 11 2 2 2" xfId="547"/>
    <cellStyle name="Normal 2 18 11 2 2 2 2" xfId="1893"/>
    <cellStyle name="Normal 2 18 11 2 2 3" xfId="1892"/>
    <cellStyle name="Normal 2 18 11 2 3" xfId="548"/>
    <cellStyle name="Normal 2 18 11 2 3 2" xfId="549"/>
    <cellStyle name="Normal 2 18 11 2 3 2 2" xfId="1895"/>
    <cellStyle name="Normal 2 18 11 2 3 3" xfId="1894"/>
    <cellStyle name="Normal 2 18 11 2 4" xfId="550"/>
    <cellStyle name="Normal 2 18 11 2 4 2" xfId="1896"/>
    <cellStyle name="Normal 2 18 11 2 5" xfId="1891"/>
    <cellStyle name="Normal 2 18 11 3" xfId="551"/>
    <cellStyle name="Normal 2 18 11 3 2" xfId="552"/>
    <cellStyle name="Normal 2 18 11 3 2 2" xfId="553"/>
    <cellStyle name="Normal 2 18 11 3 2 2 2" xfId="1899"/>
    <cellStyle name="Normal 2 18 11 3 2 3" xfId="1898"/>
    <cellStyle name="Normal 2 18 11 3 3" xfId="554"/>
    <cellStyle name="Normal 2 18 11 3 3 2" xfId="555"/>
    <cellStyle name="Normal 2 18 11 3 3 2 2" xfId="1901"/>
    <cellStyle name="Normal 2 18 11 3 3 3" xfId="1900"/>
    <cellStyle name="Normal 2 18 11 3 4" xfId="556"/>
    <cellStyle name="Normal 2 18 11 3 4 2" xfId="1902"/>
    <cellStyle name="Normal 2 18 11 3 5" xfId="1897"/>
    <cellStyle name="Normal 2 18 11 4" xfId="557"/>
    <cellStyle name="Normal 2 18 11 4 2" xfId="558"/>
    <cellStyle name="Normal 2 18 11 4 2 2" xfId="1904"/>
    <cellStyle name="Normal 2 18 11 4 3" xfId="1903"/>
    <cellStyle name="Normal 2 18 11 5" xfId="559"/>
    <cellStyle name="Normal 2 18 11 5 2" xfId="560"/>
    <cellStyle name="Normal 2 18 11 5 2 2" xfId="1906"/>
    <cellStyle name="Normal 2 18 11 5 3" xfId="1905"/>
    <cellStyle name="Normal 2 18 11 6" xfId="561"/>
    <cellStyle name="Normal 2 18 11 6 2" xfId="1907"/>
    <cellStyle name="Normal 2 18 11 7" xfId="1890"/>
    <cellStyle name="Normal 2 18 12" xfId="562"/>
    <cellStyle name="Normal 2 18 12 2" xfId="563"/>
    <cellStyle name="Normal 2 18 12 2 2" xfId="564"/>
    <cellStyle name="Normal 2 18 12 2 2 2" xfId="565"/>
    <cellStyle name="Normal 2 18 12 2 2 2 2" xfId="1911"/>
    <cellStyle name="Normal 2 18 12 2 2 3" xfId="1910"/>
    <cellStyle name="Normal 2 18 12 2 3" xfId="566"/>
    <cellStyle name="Normal 2 18 12 2 3 2" xfId="567"/>
    <cellStyle name="Normal 2 18 12 2 3 2 2" xfId="1913"/>
    <cellStyle name="Normal 2 18 12 2 3 3" xfId="1912"/>
    <cellStyle name="Normal 2 18 12 2 4" xfId="568"/>
    <cellStyle name="Normal 2 18 12 2 4 2" xfId="1914"/>
    <cellStyle name="Normal 2 18 12 2 5" xfId="1909"/>
    <cellStyle name="Normal 2 18 12 3" xfId="569"/>
    <cellStyle name="Normal 2 18 12 3 2" xfId="570"/>
    <cellStyle name="Normal 2 18 12 3 2 2" xfId="571"/>
    <cellStyle name="Normal 2 18 12 3 2 2 2" xfId="1917"/>
    <cellStyle name="Normal 2 18 12 3 2 3" xfId="1916"/>
    <cellStyle name="Normal 2 18 12 3 3" xfId="572"/>
    <cellStyle name="Normal 2 18 12 3 3 2" xfId="573"/>
    <cellStyle name="Normal 2 18 12 3 3 2 2" xfId="1919"/>
    <cellStyle name="Normal 2 18 12 3 3 3" xfId="1918"/>
    <cellStyle name="Normal 2 18 12 3 4" xfId="574"/>
    <cellStyle name="Normal 2 18 12 3 4 2" xfId="1920"/>
    <cellStyle name="Normal 2 18 12 3 5" xfId="1915"/>
    <cellStyle name="Normal 2 18 12 4" xfId="575"/>
    <cellStyle name="Normal 2 18 12 4 2" xfId="576"/>
    <cellStyle name="Normal 2 18 12 4 2 2" xfId="1922"/>
    <cellStyle name="Normal 2 18 12 4 3" xfId="1921"/>
    <cellStyle name="Normal 2 18 12 5" xfId="577"/>
    <cellStyle name="Normal 2 18 12 5 2" xfId="578"/>
    <cellStyle name="Normal 2 18 12 5 2 2" xfId="1924"/>
    <cellStyle name="Normal 2 18 12 5 3" xfId="1923"/>
    <cellStyle name="Normal 2 18 12 6" xfId="579"/>
    <cellStyle name="Normal 2 18 12 6 2" xfId="1925"/>
    <cellStyle name="Normal 2 18 12 7" xfId="1908"/>
    <cellStyle name="Normal 2 18 13" xfId="580"/>
    <cellStyle name="Normal 2 18 13 2" xfId="581"/>
    <cellStyle name="Normal 2 18 13 2 2" xfId="582"/>
    <cellStyle name="Normal 2 18 13 2 2 2" xfId="583"/>
    <cellStyle name="Normal 2 18 13 2 2 2 2" xfId="1929"/>
    <cellStyle name="Normal 2 18 13 2 2 3" xfId="1928"/>
    <cellStyle name="Normal 2 18 13 2 3" xfId="584"/>
    <cellStyle name="Normal 2 18 13 2 3 2" xfId="585"/>
    <cellStyle name="Normal 2 18 13 2 3 2 2" xfId="1931"/>
    <cellStyle name="Normal 2 18 13 2 3 3" xfId="1930"/>
    <cellStyle name="Normal 2 18 13 2 4" xfId="586"/>
    <cellStyle name="Normal 2 18 13 2 4 2" xfId="1932"/>
    <cellStyle name="Normal 2 18 13 2 5" xfId="1927"/>
    <cellStyle name="Normal 2 18 13 3" xfId="587"/>
    <cellStyle name="Normal 2 18 13 3 2" xfId="588"/>
    <cellStyle name="Normal 2 18 13 3 2 2" xfId="589"/>
    <cellStyle name="Normal 2 18 13 3 2 2 2" xfId="1935"/>
    <cellStyle name="Normal 2 18 13 3 2 3" xfId="1934"/>
    <cellStyle name="Normal 2 18 13 3 3" xfId="590"/>
    <cellStyle name="Normal 2 18 13 3 3 2" xfId="591"/>
    <cellStyle name="Normal 2 18 13 3 3 2 2" xfId="1937"/>
    <cellStyle name="Normal 2 18 13 3 3 3" xfId="1936"/>
    <cellStyle name="Normal 2 18 13 3 4" xfId="592"/>
    <cellStyle name="Normal 2 18 13 3 4 2" xfId="1938"/>
    <cellStyle name="Normal 2 18 13 3 5" xfId="1933"/>
    <cellStyle name="Normal 2 18 13 4" xfId="593"/>
    <cellStyle name="Normal 2 18 13 4 2" xfId="594"/>
    <cellStyle name="Normal 2 18 13 4 2 2" xfId="1940"/>
    <cellStyle name="Normal 2 18 13 4 3" xfId="1939"/>
    <cellStyle name="Normal 2 18 13 5" xfId="595"/>
    <cellStyle name="Normal 2 18 13 5 2" xfId="596"/>
    <cellStyle name="Normal 2 18 13 5 2 2" xfId="1942"/>
    <cellStyle name="Normal 2 18 13 5 3" xfId="1941"/>
    <cellStyle name="Normal 2 18 13 6" xfId="597"/>
    <cellStyle name="Normal 2 18 13 6 2" xfId="1943"/>
    <cellStyle name="Normal 2 18 13 7" xfId="1926"/>
    <cellStyle name="Normal 2 18 14" xfId="598"/>
    <cellStyle name="Normal 2 18 14 2" xfId="599"/>
    <cellStyle name="Normal 2 18 14 2 2" xfId="600"/>
    <cellStyle name="Normal 2 18 14 2 2 2" xfId="601"/>
    <cellStyle name="Normal 2 18 14 2 2 2 2" xfId="1947"/>
    <cellStyle name="Normal 2 18 14 2 2 3" xfId="1946"/>
    <cellStyle name="Normal 2 18 14 2 3" xfId="602"/>
    <cellStyle name="Normal 2 18 14 2 3 2" xfId="603"/>
    <cellStyle name="Normal 2 18 14 2 3 2 2" xfId="1949"/>
    <cellStyle name="Normal 2 18 14 2 3 3" xfId="1948"/>
    <cellStyle name="Normal 2 18 14 2 4" xfId="604"/>
    <cellStyle name="Normal 2 18 14 2 4 2" xfId="1950"/>
    <cellStyle name="Normal 2 18 14 2 5" xfId="1945"/>
    <cellStyle name="Normal 2 18 14 3" xfId="605"/>
    <cellStyle name="Normal 2 18 14 3 2" xfId="606"/>
    <cellStyle name="Normal 2 18 14 3 2 2" xfId="607"/>
    <cellStyle name="Normal 2 18 14 3 2 2 2" xfId="1953"/>
    <cellStyle name="Normal 2 18 14 3 2 3" xfId="1952"/>
    <cellStyle name="Normal 2 18 14 3 3" xfId="608"/>
    <cellStyle name="Normal 2 18 14 3 3 2" xfId="609"/>
    <cellStyle name="Normal 2 18 14 3 3 2 2" xfId="1955"/>
    <cellStyle name="Normal 2 18 14 3 3 3" xfId="1954"/>
    <cellStyle name="Normal 2 18 14 3 4" xfId="610"/>
    <cellStyle name="Normal 2 18 14 3 4 2" xfId="1956"/>
    <cellStyle name="Normal 2 18 14 3 5" xfId="1951"/>
    <cellStyle name="Normal 2 18 14 4" xfId="611"/>
    <cellStyle name="Normal 2 18 14 4 2" xfId="612"/>
    <cellStyle name="Normal 2 18 14 4 2 2" xfId="1958"/>
    <cellStyle name="Normal 2 18 14 4 3" xfId="1957"/>
    <cellStyle name="Normal 2 18 14 5" xfId="613"/>
    <cellStyle name="Normal 2 18 14 5 2" xfId="614"/>
    <cellStyle name="Normal 2 18 14 5 2 2" xfId="1960"/>
    <cellStyle name="Normal 2 18 14 5 3" xfId="1959"/>
    <cellStyle name="Normal 2 18 14 6" xfId="615"/>
    <cellStyle name="Normal 2 18 14 6 2" xfId="1961"/>
    <cellStyle name="Normal 2 18 14 7" xfId="1944"/>
    <cellStyle name="Normal 2 18 15" xfId="616"/>
    <cellStyle name="Normal 2 18 15 2" xfId="617"/>
    <cellStyle name="Normal 2 18 15 2 2" xfId="618"/>
    <cellStyle name="Normal 2 18 15 2 2 2" xfId="619"/>
    <cellStyle name="Normal 2 18 15 2 2 2 2" xfId="1965"/>
    <cellStyle name="Normal 2 18 15 2 2 3" xfId="1964"/>
    <cellStyle name="Normal 2 18 15 2 3" xfId="620"/>
    <cellStyle name="Normal 2 18 15 2 3 2" xfId="621"/>
    <cellStyle name="Normal 2 18 15 2 3 2 2" xfId="1967"/>
    <cellStyle name="Normal 2 18 15 2 3 3" xfId="1966"/>
    <cellStyle name="Normal 2 18 15 2 4" xfId="622"/>
    <cellStyle name="Normal 2 18 15 2 4 2" xfId="1968"/>
    <cellStyle name="Normal 2 18 15 2 5" xfId="1963"/>
    <cellStyle name="Normal 2 18 15 3" xfId="623"/>
    <cellStyle name="Normal 2 18 15 3 2" xfId="624"/>
    <cellStyle name="Normal 2 18 15 3 2 2" xfId="625"/>
    <cellStyle name="Normal 2 18 15 3 2 2 2" xfId="1971"/>
    <cellStyle name="Normal 2 18 15 3 2 3" xfId="1970"/>
    <cellStyle name="Normal 2 18 15 3 3" xfId="626"/>
    <cellStyle name="Normal 2 18 15 3 3 2" xfId="627"/>
    <cellStyle name="Normal 2 18 15 3 3 2 2" xfId="1973"/>
    <cellStyle name="Normal 2 18 15 3 3 3" xfId="1972"/>
    <cellStyle name="Normal 2 18 15 3 4" xfId="628"/>
    <cellStyle name="Normal 2 18 15 3 4 2" xfId="1974"/>
    <cellStyle name="Normal 2 18 15 3 5" xfId="1969"/>
    <cellStyle name="Normal 2 18 15 4" xfId="629"/>
    <cellStyle name="Normal 2 18 15 4 2" xfId="630"/>
    <cellStyle name="Normal 2 18 15 4 2 2" xfId="1976"/>
    <cellStyle name="Normal 2 18 15 4 3" xfId="1975"/>
    <cellStyle name="Normal 2 18 15 5" xfId="631"/>
    <cellStyle name="Normal 2 18 15 5 2" xfId="632"/>
    <cellStyle name="Normal 2 18 15 5 2 2" xfId="1978"/>
    <cellStyle name="Normal 2 18 15 5 3" xfId="1977"/>
    <cellStyle name="Normal 2 18 15 6" xfId="633"/>
    <cellStyle name="Normal 2 18 15 6 2" xfId="1979"/>
    <cellStyle name="Normal 2 18 15 7" xfId="1962"/>
    <cellStyle name="Normal 2 18 16" xfId="634"/>
    <cellStyle name="Normal 2 18 16 2" xfId="635"/>
    <cellStyle name="Normal 2 18 16 2 2" xfId="636"/>
    <cellStyle name="Normal 2 18 16 2 2 2" xfId="1982"/>
    <cellStyle name="Normal 2 18 16 2 3" xfId="1981"/>
    <cellStyle name="Normal 2 18 16 3" xfId="637"/>
    <cellStyle name="Normal 2 18 16 3 2" xfId="638"/>
    <cellStyle name="Normal 2 18 16 3 2 2" xfId="1984"/>
    <cellStyle name="Normal 2 18 16 3 3" xfId="1983"/>
    <cellStyle name="Normal 2 18 16 4" xfId="639"/>
    <cellStyle name="Normal 2 18 16 4 2" xfId="1985"/>
    <cellStyle name="Normal 2 18 16 5" xfId="1980"/>
    <cellStyle name="Normal 2 18 17" xfId="640"/>
    <cellStyle name="Normal 2 18 17 2" xfId="641"/>
    <cellStyle name="Normal 2 18 17 2 2" xfId="642"/>
    <cellStyle name="Normal 2 18 17 2 2 2" xfId="1988"/>
    <cellStyle name="Normal 2 18 17 2 3" xfId="1987"/>
    <cellStyle name="Normal 2 18 17 3" xfId="643"/>
    <cellStyle name="Normal 2 18 17 3 2" xfId="644"/>
    <cellStyle name="Normal 2 18 17 3 2 2" xfId="1990"/>
    <cellStyle name="Normal 2 18 17 3 3" xfId="1989"/>
    <cellStyle name="Normal 2 18 17 4" xfId="645"/>
    <cellStyle name="Normal 2 18 17 4 2" xfId="1991"/>
    <cellStyle name="Normal 2 18 17 5" xfId="1986"/>
    <cellStyle name="Normal 2 18 18" xfId="646"/>
    <cellStyle name="Normal 2 18 18 2" xfId="647"/>
    <cellStyle name="Normal 2 18 18 2 2" xfId="648"/>
    <cellStyle name="Normal 2 18 18 2 2 2" xfId="1994"/>
    <cellStyle name="Normal 2 18 18 2 3" xfId="1993"/>
    <cellStyle name="Normal 2 18 18 3" xfId="649"/>
    <cellStyle name="Normal 2 18 18 3 2" xfId="650"/>
    <cellStyle name="Normal 2 18 18 3 2 2" xfId="1996"/>
    <cellStyle name="Normal 2 18 18 3 3" xfId="1995"/>
    <cellStyle name="Normal 2 18 18 4" xfId="651"/>
    <cellStyle name="Normal 2 18 18 4 2" xfId="1997"/>
    <cellStyle name="Normal 2 18 18 5" xfId="1992"/>
    <cellStyle name="Normal 2 18 19" xfId="652"/>
    <cellStyle name="Normal 2 18 19 2" xfId="653"/>
    <cellStyle name="Normal 2 18 19 2 2" xfId="654"/>
    <cellStyle name="Normal 2 18 19 2 2 2" xfId="2000"/>
    <cellStyle name="Normal 2 18 19 2 3" xfId="1999"/>
    <cellStyle name="Normal 2 18 19 3" xfId="655"/>
    <cellStyle name="Normal 2 18 19 3 2" xfId="656"/>
    <cellStyle name="Normal 2 18 19 3 2 2" xfId="2002"/>
    <cellStyle name="Normal 2 18 19 3 3" xfId="2001"/>
    <cellStyle name="Normal 2 18 19 4" xfId="657"/>
    <cellStyle name="Normal 2 18 19 4 2" xfId="2003"/>
    <cellStyle name="Normal 2 18 19 5" xfId="1998"/>
    <cellStyle name="Normal 2 18 2" xfId="658"/>
    <cellStyle name="Normal 2 18 2 10" xfId="659"/>
    <cellStyle name="Normal 2 18 2 10 2" xfId="660"/>
    <cellStyle name="Normal 2 18 2 10 2 2" xfId="2006"/>
    <cellStyle name="Normal 2 18 2 10 3" xfId="2005"/>
    <cellStyle name="Normal 2 18 2 11" xfId="661"/>
    <cellStyle name="Normal 2 18 2 11 2" xfId="662"/>
    <cellStyle name="Normal 2 18 2 11 2 2" xfId="2008"/>
    <cellStyle name="Normal 2 18 2 11 3" xfId="2007"/>
    <cellStyle name="Normal 2 18 2 12" xfId="663"/>
    <cellStyle name="Normal 2 18 2 12 2" xfId="2009"/>
    <cellStyle name="Normal 2 18 2 13" xfId="2004"/>
    <cellStyle name="Normal 2 18 2 2" xfId="664"/>
    <cellStyle name="Normal 2 18 2 2 2" xfId="665"/>
    <cellStyle name="Normal 2 18 2 2 2 2" xfId="666"/>
    <cellStyle name="Normal 2 18 2 2 2 2 2" xfId="2012"/>
    <cellStyle name="Normal 2 18 2 2 2 3" xfId="2011"/>
    <cellStyle name="Normal 2 18 2 2 3" xfId="667"/>
    <cellStyle name="Normal 2 18 2 2 3 2" xfId="668"/>
    <cellStyle name="Normal 2 18 2 2 3 2 2" xfId="2014"/>
    <cellStyle name="Normal 2 18 2 2 3 3" xfId="2013"/>
    <cellStyle name="Normal 2 18 2 2 4" xfId="669"/>
    <cellStyle name="Normal 2 18 2 2 4 2" xfId="2015"/>
    <cellStyle name="Normal 2 18 2 2 5" xfId="2010"/>
    <cellStyle name="Normal 2 18 2 3" xfId="670"/>
    <cellStyle name="Normal 2 18 2 3 2" xfId="671"/>
    <cellStyle name="Normal 2 18 2 3 2 2" xfId="672"/>
    <cellStyle name="Normal 2 18 2 3 2 2 2" xfId="2018"/>
    <cellStyle name="Normal 2 18 2 3 2 3" xfId="2017"/>
    <cellStyle name="Normal 2 18 2 3 3" xfId="673"/>
    <cellStyle name="Normal 2 18 2 3 3 2" xfId="674"/>
    <cellStyle name="Normal 2 18 2 3 3 2 2" xfId="2020"/>
    <cellStyle name="Normal 2 18 2 3 3 3" xfId="2019"/>
    <cellStyle name="Normal 2 18 2 3 4" xfId="675"/>
    <cellStyle name="Normal 2 18 2 3 4 2" xfId="2021"/>
    <cellStyle name="Normal 2 18 2 3 5" xfId="2016"/>
    <cellStyle name="Normal 2 18 2 4" xfId="676"/>
    <cellStyle name="Normal 2 18 2 4 2" xfId="677"/>
    <cellStyle name="Normal 2 18 2 4 2 2" xfId="678"/>
    <cellStyle name="Normal 2 18 2 4 2 2 2" xfId="2024"/>
    <cellStyle name="Normal 2 18 2 4 2 3" xfId="2023"/>
    <cellStyle name="Normal 2 18 2 4 3" xfId="679"/>
    <cellStyle name="Normal 2 18 2 4 3 2" xfId="680"/>
    <cellStyle name="Normal 2 18 2 4 3 2 2" xfId="2026"/>
    <cellStyle name="Normal 2 18 2 4 3 3" xfId="2025"/>
    <cellStyle name="Normal 2 18 2 4 4" xfId="681"/>
    <cellStyle name="Normal 2 18 2 4 4 2" xfId="2027"/>
    <cellStyle name="Normal 2 18 2 4 5" xfId="2022"/>
    <cellStyle name="Normal 2 18 2 5" xfId="682"/>
    <cellStyle name="Normal 2 18 2 5 2" xfId="683"/>
    <cellStyle name="Normal 2 18 2 5 2 2" xfId="684"/>
    <cellStyle name="Normal 2 18 2 5 2 2 2" xfId="2030"/>
    <cellStyle name="Normal 2 18 2 5 2 3" xfId="2029"/>
    <cellStyle name="Normal 2 18 2 5 3" xfId="685"/>
    <cellStyle name="Normal 2 18 2 5 3 2" xfId="686"/>
    <cellStyle name="Normal 2 18 2 5 3 2 2" xfId="2032"/>
    <cellStyle name="Normal 2 18 2 5 3 3" xfId="2031"/>
    <cellStyle name="Normal 2 18 2 5 4" xfId="687"/>
    <cellStyle name="Normal 2 18 2 5 4 2" xfId="2033"/>
    <cellStyle name="Normal 2 18 2 5 5" xfId="2028"/>
    <cellStyle name="Normal 2 18 2 6" xfId="688"/>
    <cellStyle name="Normal 2 18 2 6 2" xfId="689"/>
    <cellStyle name="Normal 2 18 2 6 2 2" xfId="690"/>
    <cellStyle name="Normal 2 18 2 6 2 2 2" xfId="2036"/>
    <cellStyle name="Normal 2 18 2 6 2 3" xfId="2035"/>
    <cellStyle name="Normal 2 18 2 6 3" xfId="691"/>
    <cellStyle name="Normal 2 18 2 6 3 2" xfId="692"/>
    <cellStyle name="Normal 2 18 2 6 3 2 2" xfId="2038"/>
    <cellStyle name="Normal 2 18 2 6 3 3" xfId="2037"/>
    <cellStyle name="Normal 2 18 2 6 4" xfId="693"/>
    <cellStyle name="Normal 2 18 2 6 4 2" xfId="2039"/>
    <cellStyle name="Normal 2 18 2 6 5" xfId="2034"/>
    <cellStyle name="Normal 2 18 2 7" xfId="694"/>
    <cellStyle name="Normal 2 18 2 7 2" xfId="695"/>
    <cellStyle name="Normal 2 18 2 7 2 2" xfId="696"/>
    <cellStyle name="Normal 2 18 2 7 2 2 2" xfId="2042"/>
    <cellStyle name="Normal 2 18 2 7 2 3" xfId="2041"/>
    <cellStyle name="Normal 2 18 2 7 3" xfId="697"/>
    <cellStyle name="Normal 2 18 2 7 3 2" xfId="698"/>
    <cellStyle name="Normal 2 18 2 7 3 2 2" xfId="2044"/>
    <cellStyle name="Normal 2 18 2 7 3 3" xfId="2043"/>
    <cellStyle name="Normal 2 18 2 7 4" xfId="699"/>
    <cellStyle name="Normal 2 18 2 7 4 2" xfId="2045"/>
    <cellStyle name="Normal 2 18 2 7 5" xfId="2040"/>
    <cellStyle name="Normal 2 18 2 8" xfId="700"/>
    <cellStyle name="Normal 2 18 2 8 2" xfId="701"/>
    <cellStyle name="Normal 2 18 2 8 2 2" xfId="702"/>
    <cellStyle name="Normal 2 18 2 8 2 2 2" xfId="2048"/>
    <cellStyle name="Normal 2 18 2 8 2 3" xfId="2047"/>
    <cellStyle name="Normal 2 18 2 8 3" xfId="703"/>
    <cellStyle name="Normal 2 18 2 8 3 2" xfId="704"/>
    <cellStyle name="Normal 2 18 2 8 3 2 2" xfId="2050"/>
    <cellStyle name="Normal 2 18 2 8 3 3" xfId="2049"/>
    <cellStyle name="Normal 2 18 2 8 4" xfId="705"/>
    <cellStyle name="Normal 2 18 2 8 4 2" xfId="2051"/>
    <cellStyle name="Normal 2 18 2 8 5" xfId="2046"/>
    <cellStyle name="Normal 2 18 2 9" xfId="706"/>
    <cellStyle name="Normal 2 18 2 9 2" xfId="707"/>
    <cellStyle name="Normal 2 18 2 9 2 2" xfId="708"/>
    <cellStyle name="Normal 2 18 2 9 2 2 2" xfId="2054"/>
    <cellStyle name="Normal 2 18 2 9 2 3" xfId="2053"/>
    <cellStyle name="Normal 2 18 2 9 3" xfId="709"/>
    <cellStyle name="Normal 2 18 2 9 3 2" xfId="710"/>
    <cellStyle name="Normal 2 18 2 9 3 2 2" xfId="2056"/>
    <cellStyle name="Normal 2 18 2 9 3 3" xfId="2055"/>
    <cellStyle name="Normal 2 18 2 9 4" xfId="711"/>
    <cellStyle name="Normal 2 18 2 9 4 2" xfId="2057"/>
    <cellStyle name="Normal 2 18 2 9 5" xfId="2052"/>
    <cellStyle name="Normal 2 18 20" xfId="712"/>
    <cellStyle name="Normal 2 18 20 2" xfId="713"/>
    <cellStyle name="Normal 2 18 20 2 2" xfId="714"/>
    <cellStyle name="Normal 2 18 20 2 2 2" xfId="2060"/>
    <cellStyle name="Normal 2 18 20 2 3" xfId="2059"/>
    <cellStyle name="Normal 2 18 20 3" xfId="715"/>
    <cellStyle name="Normal 2 18 20 3 2" xfId="716"/>
    <cellStyle name="Normal 2 18 20 3 2 2" xfId="2062"/>
    <cellStyle name="Normal 2 18 20 3 3" xfId="2061"/>
    <cellStyle name="Normal 2 18 20 4" xfId="717"/>
    <cellStyle name="Normal 2 18 20 4 2" xfId="2063"/>
    <cellStyle name="Normal 2 18 20 5" xfId="2058"/>
    <cellStyle name="Normal 2 18 21" xfId="718"/>
    <cellStyle name="Normal 2 18 21 2" xfId="719"/>
    <cellStyle name="Normal 2 18 21 2 2" xfId="720"/>
    <cellStyle name="Normal 2 18 21 2 2 2" xfId="2066"/>
    <cellStyle name="Normal 2 18 21 2 3" xfId="2065"/>
    <cellStyle name="Normal 2 18 21 3" xfId="721"/>
    <cellStyle name="Normal 2 18 21 3 2" xfId="722"/>
    <cellStyle name="Normal 2 18 21 3 2 2" xfId="2068"/>
    <cellStyle name="Normal 2 18 21 3 3" xfId="2067"/>
    <cellStyle name="Normal 2 18 21 4" xfId="723"/>
    <cellStyle name="Normal 2 18 21 4 2" xfId="2069"/>
    <cellStyle name="Normal 2 18 21 5" xfId="2064"/>
    <cellStyle name="Normal 2 18 22" xfId="724"/>
    <cellStyle name="Normal 2 18 22 2" xfId="725"/>
    <cellStyle name="Normal 2 18 22 2 2" xfId="2071"/>
    <cellStyle name="Normal 2 18 22 3" xfId="2070"/>
    <cellStyle name="Normal 2 18 23" xfId="726"/>
    <cellStyle name="Normal 2 18 23 2" xfId="727"/>
    <cellStyle name="Normal 2 18 23 2 2" xfId="2073"/>
    <cellStyle name="Normal 2 18 23 3" xfId="2072"/>
    <cellStyle name="Normal 2 18 24" xfId="728"/>
    <cellStyle name="Normal 2 18 24 2" xfId="2074"/>
    <cellStyle name="Normal 2 18 25" xfId="1871"/>
    <cellStyle name="Normal 2 18 3" xfId="729"/>
    <cellStyle name="Normal 2 18 3 10" xfId="730"/>
    <cellStyle name="Normal 2 18 3 10 2" xfId="731"/>
    <cellStyle name="Normal 2 18 3 10 2 2" xfId="2077"/>
    <cellStyle name="Normal 2 18 3 10 3" xfId="2076"/>
    <cellStyle name="Normal 2 18 3 11" xfId="732"/>
    <cellStyle name="Normal 2 18 3 11 2" xfId="2078"/>
    <cellStyle name="Normal 2 18 3 12" xfId="2075"/>
    <cellStyle name="Normal 2 18 3 2" xfId="733"/>
    <cellStyle name="Normal 2 18 3 2 2" xfId="734"/>
    <cellStyle name="Normal 2 18 3 2 2 2" xfId="735"/>
    <cellStyle name="Normal 2 18 3 2 2 2 2" xfId="2081"/>
    <cellStyle name="Normal 2 18 3 2 2 3" xfId="2080"/>
    <cellStyle name="Normal 2 18 3 2 3" xfId="736"/>
    <cellStyle name="Normal 2 18 3 2 3 2" xfId="737"/>
    <cellStyle name="Normal 2 18 3 2 3 2 2" xfId="2083"/>
    <cellStyle name="Normal 2 18 3 2 3 3" xfId="2082"/>
    <cellStyle name="Normal 2 18 3 2 4" xfId="738"/>
    <cellStyle name="Normal 2 18 3 2 4 2" xfId="2084"/>
    <cellStyle name="Normal 2 18 3 2 5" xfId="2079"/>
    <cellStyle name="Normal 2 18 3 3" xfId="739"/>
    <cellStyle name="Normal 2 18 3 3 2" xfId="740"/>
    <cellStyle name="Normal 2 18 3 3 2 2" xfId="741"/>
    <cellStyle name="Normal 2 18 3 3 2 2 2" xfId="2087"/>
    <cellStyle name="Normal 2 18 3 3 2 3" xfId="2086"/>
    <cellStyle name="Normal 2 18 3 3 3" xfId="742"/>
    <cellStyle name="Normal 2 18 3 3 3 2" xfId="743"/>
    <cellStyle name="Normal 2 18 3 3 3 2 2" xfId="2089"/>
    <cellStyle name="Normal 2 18 3 3 3 3" xfId="2088"/>
    <cellStyle name="Normal 2 18 3 3 4" xfId="744"/>
    <cellStyle name="Normal 2 18 3 3 4 2" xfId="2090"/>
    <cellStyle name="Normal 2 18 3 3 5" xfId="2085"/>
    <cellStyle name="Normal 2 18 3 4" xfId="745"/>
    <cellStyle name="Normal 2 18 3 4 2" xfId="746"/>
    <cellStyle name="Normal 2 18 3 4 2 2" xfId="747"/>
    <cellStyle name="Normal 2 18 3 4 2 2 2" xfId="2093"/>
    <cellStyle name="Normal 2 18 3 4 2 3" xfId="2092"/>
    <cellStyle name="Normal 2 18 3 4 3" xfId="748"/>
    <cellStyle name="Normal 2 18 3 4 3 2" xfId="749"/>
    <cellStyle name="Normal 2 18 3 4 3 2 2" xfId="2095"/>
    <cellStyle name="Normal 2 18 3 4 3 3" xfId="2094"/>
    <cellStyle name="Normal 2 18 3 4 4" xfId="750"/>
    <cellStyle name="Normal 2 18 3 4 4 2" xfId="2096"/>
    <cellStyle name="Normal 2 18 3 4 5" xfId="2091"/>
    <cellStyle name="Normal 2 18 3 5" xfId="751"/>
    <cellStyle name="Normal 2 18 3 5 2" xfId="752"/>
    <cellStyle name="Normal 2 18 3 5 2 2" xfId="753"/>
    <cellStyle name="Normal 2 18 3 5 2 2 2" xfId="2099"/>
    <cellStyle name="Normal 2 18 3 5 2 3" xfId="2098"/>
    <cellStyle name="Normal 2 18 3 5 3" xfId="754"/>
    <cellStyle name="Normal 2 18 3 5 3 2" xfId="755"/>
    <cellStyle name="Normal 2 18 3 5 3 2 2" xfId="2101"/>
    <cellStyle name="Normal 2 18 3 5 3 3" xfId="2100"/>
    <cellStyle name="Normal 2 18 3 5 4" xfId="756"/>
    <cellStyle name="Normal 2 18 3 5 4 2" xfId="2102"/>
    <cellStyle name="Normal 2 18 3 5 5" xfId="2097"/>
    <cellStyle name="Normal 2 18 3 6" xfId="757"/>
    <cellStyle name="Normal 2 18 3 6 2" xfId="758"/>
    <cellStyle name="Normal 2 18 3 6 2 2" xfId="759"/>
    <cellStyle name="Normal 2 18 3 6 2 2 2" xfId="2105"/>
    <cellStyle name="Normal 2 18 3 6 2 3" xfId="2104"/>
    <cellStyle name="Normal 2 18 3 6 3" xfId="760"/>
    <cellStyle name="Normal 2 18 3 6 3 2" xfId="761"/>
    <cellStyle name="Normal 2 18 3 6 3 2 2" xfId="2107"/>
    <cellStyle name="Normal 2 18 3 6 3 3" xfId="2106"/>
    <cellStyle name="Normal 2 18 3 6 4" xfId="762"/>
    <cellStyle name="Normal 2 18 3 6 4 2" xfId="2108"/>
    <cellStyle name="Normal 2 18 3 6 5" xfId="2103"/>
    <cellStyle name="Normal 2 18 3 7" xfId="763"/>
    <cellStyle name="Normal 2 18 3 7 2" xfId="764"/>
    <cellStyle name="Normal 2 18 3 7 2 2" xfId="765"/>
    <cellStyle name="Normal 2 18 3 7 2 2 2" xfId="2111"/>
    <cellStyle name="Normal 2 18 3 7 2 3" xfId="2110"/>
    <cellStyle name="Normal 2 18 3 7 3" xfId="766"/>
    <cellStyle name="Normal 2 18 3 7 3 2" xfId="767"/>
    <cellStyle name="Normal 2 18 3 7 3 2 2" xfId="2113"/>
    <cellStyle name="Normal 2 18 3 7 3 3" xfId="2112"/>
    <cellStyle name="Normal 2 18 3 7 4" xfId="768"/>
    <cellStyle name="Normal 2 18 3 7 4 2" xfId="2114"/>
    <cellStyle name="Normal 2 18 3 7 5" xfId="2109"/>
    <cellStyle name="Normal 2 18 3 8" xfId="769"/>
    <cellStyle name="Normal 2 18 3 8 2" xfId="770"/>
    <cellStyle name="Normal 2 18 3 8 2 2" xfId="771"/>
    <cellStyle name="Normal 2 18 3 8 2 2 2" xfId="2117"/>
    <cellStyle name="Normal 2 18 3 8 2 3" xfId="2116"/>
    <cellStyle name="Normal 2 18 3 8 3" xfId="772"/>
    <cellStyle name="Normal 2 18 3 8 3 2" xfId="773"/>
    <cellStyle name="Normal 2 18 3 8 3 2 2" xfId="2119"/>
    <cellStyle name="Normal 2 18 3 8 3 3" xfId="2118"/>
    <cellStyle name="Normal 2 18 3 8 4" xfId="774"/>
    <cellStyle name="Normal 2 18 3 8 4 2" xfId="2120"/>
    <cellStyle name="Normal 2 18 3 8 5" xfId="2115"/>
    <cellStyle name="Normal 2 18 3 9" xfId="775"/>
    <cellStyle name="Normal 2 18 3 9 2" xfId="776"/>
    <cellStyle name="Normal 2 18 3 9 2 2" xfId="2122"/>
    <cellStyle name="Normal 2 18 3 9 3" xfId="2121"/>
    <cellStyle name="Normal 2 18 4" xfId="777"/>
    <cellStyle name="Normal 2 18 4 10" xfId="778"/>
    <cellStyle name="Normal 2 18 4 10 2" xfId="779"/>
    <cellStyle name="Normal 2 18 4 10 2 2" xfId="2125"/>
    <cellStyle name="Normal 2 18 4 10 3" xfId="2124"/>
    <cellStyle name="Normal 2 18 4 11" xfId="780"/>
    <cellStyle name="Normal 2 18 4 11 2" xfId="2126"/>
    <cellStyle name="Normal 2 18 4 12" xfId="2123"/>
    <cellStyle name="Normal 2 18 4 2" xfId="781"/>
    <cellStyle name="Normal 2 18 4 2 2" xfId="782"/>
    <cellStyle name="Normal 2 18 4 2 2 2" xfId="783"/>
    <cellStyle name="Normal 2 18 4 2 2 2 2" xfId="2129"/>
    <cellStyle name="Normal 2 18 4 2 2 3" xfId="2128"/>
    <cellStyle name="Normal 2 18 4 2 3" xfId="784"/>
    <cellStyle name="Normal 2 18 4 2 3 2" xfId="785"/>
    <cellStyle name="Normal 2 18 4 2 3 2 2" xfId="2131"/>
    <cellStyle name="Normal 2 18 4 2 3 3" xfId="2130"/>
    <cellStyle name="Normal 2 18 4 2 4" xfId="786"/>
    <cellStyle name="Normal 2 18 4 2 4 2" xfId="2132"/>
    <cellStyle name="Normal 2 18 4 2 5" xfId="2127"/>
    <cellStyle name="Normal 2 18 4 3" xfId="787"/>
    <cellStyle name="Normal 2 18 4 3 2" xfId="788"/>
    <cellStyle name="Normal 2 18 4 3 2 2" xfId="789"/>
    <cellStyle name="Normal 2 18 4 3 2 2 2" xfId="2135"/>
    <cellStyle name="Normal 2 18 4 3 2 3" xfId="2134"/>
    <cellStyle name="Normal 2 18 4 3 3" xfId="790"/>
    <cellStyle name="Normal 2 18 4 3 3 2" xfId="791"/>
    <cellStyle name="Normal 2 18 4 3 3 2 2" xfId="2137"/>
    <cellStyle name="Normal 2 18 4 3 3 3" xfId="2136"/>
    <cellStyle name="Normal 2 18 4 3 4" xfId="792"/>
    <cellStyle name="Normal 2 18 4 3 4 2" xfId="2138"/>
    <cellStyle name="Normal 2 18 4 3 5" xfId="2133"/>
    <cellStyle name="Normal 2 18 4 4" xfId="793"/>
    <cellStyle name="Normal 2 18 4 4 2" xfId="794"/>
    <cellStyle name="Normal 2 18 4 4 2 2" xfId="795"/>
    <cellStyle name="Normal 2 18 4 4 2 2 2" xfId="2141"/>
    <cellStyle name="Normal 2 18 4 4 2 3" xfId="2140"/>
    <cellStyle name="Normal 2 18 4 4 3" xfId="796"/>
    <cellStyle name="Normal 2 18 4 4 3 2" xfId="797"/>
    <cellStyle name="Normal 2 18 4 4 3 2 2" xfId="2143"/>
    <cellStyle name="Normal 2 18 4 4 3 3" xfId="2142"/>
    <cellStyle name="Normal 2 18 4 4 4" xfId="798"/>
    <cellStyle name="Normal 2 18 4 4 4 2" xfId="2144"/>
    <cellStyle name="Normal 2 18 4 4 5" xfId="2139"/>
    <cellStyle name="Normal 2 18 4 5" xfId="799"/>
    <cellStyle name="Normal 2 18 4 5 2" xfId="800"/>
    <cellStyle name="Normal 2 18 4 5 2 2" xfId="801"/>
    <cellStyle name="Normal 2 18 4 5 2 2 2" xfId="2147"/>
    <cellStyle name="Normal 2 18 4 5 2 3" xfId="2146"/>
    <cellStyle name="Normal 2 18 4 5 3" xfId="802"/>
    <cellStyle name="Normal 2 18 4 5 3 2" xfId="803"/>
    <cellStyle name="Normal 2 18 4 5 3 2 2" xfId="2149"/>
    <cellStyle name="Normal 2 18 4 5 3 3" xfId="2148"/>
    <cellStyle name="Normal 2 18 4 5 4" xfId="804"/>
    <cellStyle name="Normal 2 18 4 5 4 2" xfId="2150"/>
    <cellStyle name="Normal 2 18 4 5 5" xfId="2145"/>
    <cellStyle name="Normal 2 18 4 6" xfId="805"/>
    <cellStyle name="Normal 2 18 4 6 2" xfId="806"/>
    <cellStyle name="Normal 2 18 4 6 2 2" xfId="807"/>
    <cellStyle name="Normal 2 18 4 6 2 2 2" xfId="2153"/>
    <cellStyle name="Normal 2 18 4 6 2 3" xfId="2152"/>
    <cellStyle name="Normal 2 18 4 6 3" xfId="808"/>
    <cellStyle name="Normal 2 18 4 6 3 2" xfId="809"/>
    <cellStyle name="Normal 2 18 4 6 3 2 2" xfId="2155"/>
    <cellStyle name="Normal 2 18 4 6 3 3" xfId="2154"/>
    <cellStyle name="Normal 2 18 4 6 4" xfId="810"/>
    <cellStyle name="Normal 2 18 4 6 4 2" xfId="2156"/>
    <cellStyle name="Normal 2 18 4 6 5" xfId="2151"/>
    <cellStyle name="Normal 2 18 4 7" xfId="811"/>
    <cellStyle name="Normal 2 18 4 7 2" xfId="812"/>
    <cellStyle name="Normal 2 18 4 7 2 2" xfId="813"/>
    <cellStyle name="Normal 2 18 4 7 2 2 2" xfId="2159"/>
    <cellStyle name="Normal 2 18 4 7 2 3" xfId="2158"/>
    <cellStyle name="Normal 2 18 4 7 3" xfId="814"/>
    <cellStyle name="Normal 2 18 4 7 3 2" xfId="815"/>
    <cellStyle name="Normal 2 18 4 7 3 2 2" xfId="2161"/>
    <cellStyle name="Normal 2 18 4 7 3 3" xfId="2160"/>
    <cellStyle name="Normal 2 18 4 7 4" xfId="816"/>
    <cellStyle name="Normal 2 18 4 7 4 2" xfId="2162"/>
    <cellStyle name="Normal 2 18 4 7 5" xfId="2157"/>
    <cellStyle name="Normal 2 18 4 8" xfId="817"/>
    <cellStyle name="Normal 2 18 4 8 2" xfId="818"/>
    <cellStyle name="Normal 2 18 4 8 2 2" xfId="819"/>
    <cellStyle name="Normal 2 18 4 8 2 2 2" xfId="2165"/>
    <cellStyle name="Normal 2 18 4 8 2 3" xfId="2164"/>
    <cellStyle name="Normal 2 18 4 8 3" xfId="820"/>
    <cellStyle name="Normal 2 18 4 8 3 2" xfId="821"/>
    <cellStyle name="Normal 2 18 4 8 3 2 2" xfId="2167"/>
    <cellStyle name="Normal 2 18 4 8 3 3" xfId="2166"/>
    <cellStyle name="Normal 2 18 4 8 4" xfId="822"/>
    <cellStyle name="Normal 2 18 4 8 4 2" xfId="2168"/>
    <cellStyle name="Normal 2 18 4 8 5" xfId="2163"/>
    <cellStyle name="Normal 2 18 4 9" xfId="823"/>
    <cellStyle name="Normal 2 18 4 9 2" xfId="824"/>
    <cellStyle name="Normal 2 18 4 9 2 2" xfId="2170"/>
    <cellStyle name="Normal 2 18 4 9 3" xfId="2169"/>
    <cellStyle name="Normal 2 18 5" xfId="825"/>
    <cellStyle name="Normal 2 18 5 2" xfId="826"/>
    <cellStyle name="Normal 2 18 5 2 2" xfId="827"/>
    <cellStyle name="Normal 2 18 5 2 2 2" xfId="828"/>
    <cellStyle name="Normal 2 18 5 2 2 2 2" xfId="2174"/>
    <cellStyle name="Normal 2 18 5 2 2 3" xfId="2173"/>
    <cellStyle name="Normal 2 18 5 2 3" xfId="829"/>
    <cellStyle name="Normal 2 18 5 2 3 2" xfId="830"/>
    <cellStyle name="Normal 2 18 5 2 3 2 2" xfId="2176"/>
    <cellStyle name="Normal 2 18 5 2 3 3" xfId="2175"/>
    <cellStyle name="Normal 2 18 5 2 4" xfId="831"/>
    <cellStyle name="Normal 2 18 5 2 4 2" xfId="2177"/>
    <cellStyle name="Normal 2 18 5 2 5" xfId="2172"/>
    <cellStyle name="Normal 2 18 5 3" xfId="832"/>
    <cellStyle name="Normal 2 18 5 3 2" xfId="833"/>
    <cellStyle name="Normal 2 18 5 3 2 2" xfId="834"/>
    <cellStyle name="Normal 2 18 5 3 2 2 2" xfId="2180"/>
    <cellStyle name="Normal 2 18 5 3 2 3" xfId="2179"/>
    <cellStyle name="Normal 2 18 5 3 3" xfId="835"/>
    <cellStyle name="Normal 2 18 5 3 3 2" xfId="836"/>
    <cellStyle name="Normal 2 18 5 3 3 2 2" xfId="2182"/>
    <cellStyle name="Normal 2 18 5 3 3 3" xfId="2181"/>
    <cellStyle name="Normal 2 18 5 3 4" xfId="837"/>
    <cellStyle name="Normal 2 18 5 3 4 2" xfId="2183"/>
    <cellStyle name="Normal 2 18 5 3 5" xfId="2178"/>
    <cellStyle name="Normal 2 18 5 4" xfId="838"/>
    <cellStyle name="Normal 2 18 5 4 2" xfId="839"/>
    <cellStyle name="Normal 2 18 5 4 2 2" xfId="2185"/>
    <cellStyle name="Normal 2 18 5 4 3" xfId="2184"/>
    <cellStyle name="Normal 2 18 5 5" xfId="840"/>
    <cellStyle name="Normal 2 18 5 5 2" xfId="841"/>
    <cellStyle name="Normal 2 18 5 5 2 2" xfId="2187"/>
    <cellStyle name="Normal 2 18 5 5 3" xfId="2186"/>
    <cellStyle name="Normal 2 18 5 6" xfId="842"/>
    <cellStyle name="Normal 2 18 5 6 2" xfId="2188"/>
    <cellStyle name="Normal 2 18 5 7" xfId="2171"/>
    <cellStyle name="Normal 2 18 6" xfId="843"/>
    <cellStyle name="Normal 2 18 6 2" xfId="844"/>
    <cellStyle name="Normal 2 18 6 2 2" xfId="845"/>
    <cellStyle name="Normal 2 18 6 2 2 2" xfId="846"/>
    <cellStyle name="Normal 2 18 6 2 2 2 2" xfId="2192"/>
    <cellStyle name="Normal 2 18 6 2 2 3" xfId="2191"/>
    <cellStyle name="Normal 2 18 6 2 3" xfId="847"/>
    <cellStyle name="Normal 2 18 6 2 3 2" xfId="848"/>
    <cellStyle name="Normal 2 18 6 2 3 2 2" xfId="2194"/>
    <cellStyle name="Normal 2 18 6 2 3 3" xfId="2193"/>
    <cellStyle name="Normal 2 18 6 2 4" xfId="849"/>
    <cellStyle name="Normal 2 18 6 2 4 2" xfId="2195"/>
    <cellStyle name="Normal 2 18 6 2 5" xfId="2190"/>
    <cellStyle name="Normal 2 18 6 3" xfId="850"/>
    <cellStyle name="Normal 2 18 6 3 2" xfId="851"/>
    <cellStyle name="Normal 2 18 6 3 2 2" xfId="852"/>
    <cellStyle name="Normal 2 18 6 3 2 2 2" xfId="2198"/>
    <cellStyle name="Normal 2 18 6 3 2 3" xfId="2197"/>
    <cellStyle name="Normal 2 18 6 3 3" xfId="853"/>
    <cellStyle name="Normal 2 18 6 3 3 2" xfId="854"/>
    <cellStyle name="Normal 2 18 6 3 3 2 2" xfId="2200"/>
    <cellStyle name="Normal 2 18 6 3 3 3" xfId="2199"/>
    <cellStyle name="Normal 2 18 6 3 4" xfId="855"/>
    <cellStyle name="Normal 2 18 6 3 4 2" xfId="2201"/>
    <cellStyle name="Normal 2 18 6 3 5" xfId="2196"/>
    <cellStyle name="Normal 2 18 6 4" xfId="856"/>
    <cellStyle name="Normal 2 18 6 4 2" xfId="857"/>
    <cellStyle name="Normal 2 18 6 4 2 2" xfId="2203"/>
    <cellStyle name="Normal 2 18 6 4 3" xfId="2202"/>
    <cellStyle name="Normal 2 18 6 5" xfId="858"/>
    <cellStyle name="Normal 2 18 6 5 2" xfId="859"/>
    <cellStyle name="Normal 2 18 6 5 2 2" xfId="2205"/>
    <cellStyle name="Normal 2 18 6 5 3" xfId="2204"/>
    <cellStyle name="Normal 2 18 6 6" xfId="860"/>
    <cellStyle name="Normal 2 18 6 6 2" xfId="2206"/>
    <cellStyle name="Normal 2 18 6 7" xfId="2189"/>
    <cellStyle name="Normal 2 18 7" xfId="861"/>
    <cellStyle name="Normal 2 18 7 2" xfId="862"/>
    <cellStyle name="Normal 2 18 7 2 2" xfId="863"/>
    <cellStyle name="Normal 2 18 7 2 2 2" xfId="864"/>
    <cellStyle name="Normal 2 18 7 2 2 2 2" xfId="2210"/>
    <cellStyle name="Normal 2 18 7 2 2 3" xfId="2209"/>
    <cellStyle name="Normal 2 18 7 2 3" xfId="865"/>
    <cellStyle name="Normal 2 18 7 2 3 2" xfId="866"/>
    <cellStyle name="Normal 2 18 7 2 3 2 2" xfId="2212"/>
    <cellStyle name="Normal 2 18 7 2 3 3" xfId="2211"/>
    <cellStyle name="Normal 2 18 7 2 4" xfId="867"/>
    <cellStyle name="Normal 2 18 7 2 4 2" xfId="2213"/>
    <cellStyle name="Normal 2 18 7 2 5" xfId="2208"/>
    <cellStyle name="Normal 2 18 7 3" xfId="868"/>
    <cellStyle name="Normal 2 18 7 3 2" xfId="869"/>
    <cellStyle name="Normal 2 18 7 3 2 2" xfId="870"/>
    <cellStyle name="Normal 2 18 7 3 2 2 2" xfId="2216"/>
    <cellStyle name="Normal 2 18 7 3 2 3" xfId="2215"/>
    <cellStyle name="Normal 2 18 7 3 3" xfId="871"/>
    <cellStyle name="Normal 2 18 7 3 3 2" xfId="872"/>
    <cellStyle name="Normal 2 18 7 3 3 2 2" xfId="2218"/>
    <cellStyle name="Normal 2 18 7 3 3 3" xfId="2217"/>
    <cellStyle name="Normal 2 18 7 3 4" xfId="873"/>
    <cellStyle name="Normal 2 18 7 3 4 2" xfId="2219"/>
    <cellStyle name="Normal 2 18 7 3 5" xfId="2214"/>
    <cellStyle name="Normal 2 18 7 4" xfId="874"/>
    <cellStyle name="Normal 2 18 7 4 2" xfId="875"/>
    <cellStyle name="Normal 2 18 7 4 2 2" xfId="2221"/>
    <cellStyle name="Normal 2 18 7 4 3" xfId="2220"/>
    <cellStyle name="Normal 2 18 7 5" xfId="876"/>
    <cellStyle name="Normal 2 18 7 5 2" xfId="877"/>
    <cellStyle name="Normal 2 18 7 5 2 2" xfId="2223"/>
    <cellStyle name="Normal 2 18 7 5 3" xfId="2222"/>
    <cellStyle name="Normal 2 18 7 6" xfId="878"/>
    <cellStyle name="Normal 2 18 7 6 2" xfId="2224"/>
    <cellStyle name="Normal 2 18 7 7" xfId="2207"/>
    <cellStyle name="Normal 2 18 8" xfId="879"/>
    <cellStyle name="Normal 2 18 8 2" xfId="880"/>
    <cellStyle name="Normal 2 18 8 2 2" xfId="881"/>
    <cellStyle name="Normal 2 18 8 2 2 2" xfId="882"/>
    <cellStyle name="Normal 2 18 8 2 2 2 2" xfId="2228"/>
    <cellStyle name="Normal 2 18 8 2 2 3" xfId="2227"/>
    <cellStyle name="Normal 2 18 8 2 3" xfId="883"/>
    <cellStyle name="Normal 2 18 8 2 3 2" xfId="884"/>
    <cellStyle name="Normal 2 18 8 2 3 2 2" xfId="2230"/>
    <cellStyle name="Normal 2 18 8 2 3 3" xfId="2229"/>
    <cellStyle name="Normal 2 18 8 2 4" xfId="885"/>
    <cellStyle name="Normal 2 18 8 2 4 2" xfId="2231"/>
    <cellStyle name="Normal 2 18 8 2 5" xfId="2226"/>
    <cellStyle name="Normal 2 18 8 3" xfId="886"/>
    <cellStyle name="Normal 2 18 8 3 2" xfId="887"/>
    <cellStyle name="Normal 2 18 8 3 2 2" xfId="888"/>
    <cellStyle name="Normal 2 18 8 3 2 2 2" xfId="2234"/>
    <cellStyle name="Normal 2 18 8 3 2 3" xfId="2233"/>
    <cellStyle name="Normal 2 18 8 3 3" xfId="889"/>
    <cellStyle name="Normal 2 18 8 3 3 2" xfId="890"/>
    <cellStyle name="Normal 2 18 8 3 3 2 2" xfId="2236"/>
    <cellStyle name="Normal 2 18 8 3 3 3" xfId="2235"/>
    <cellStyle name="Normal 2 18 8 3 4" xfId="891"/>
    <cellStyle name="Normal 2 18 8 3 4 2" xfId="2237"/>
    <cellStyle name="Normal 2 18 8 3 5" xfId="2232"/>
    <cellStyle name="Normal 2 18 8 4" xfId="892"/>
    <cellStyle name="Normal 2 18 8 4 2" xfId="893"/>
    <cellStyle name="Normal 2 18 8 4 2 2" xfId="2239"/>
    <cellStyle name="Normal 2 18 8 4 3" xfId="2238"/>
    <cellStyle name="Normal 2 18 8 5" xfId="894"/>
    <cellStyle name="Normal 2 18 8 5 2" xfId="895"/>
    <cellStyle name="Normal 2 18 8 5 2 2" xfId="2241"/>
    <cellStyle name="Normal 2 18 8 5 3" xfId="2240"/>
    <cellStyle name="Normal 2 18 8 6" xfId="896"/>
    <cellStyle name="Normal 2 18 8 6 2" xfId="2242"/>
    <cellStyle name="Normal 2 18 8 7" xfId="2225"/>
    <cellStyle name="Normal 2 18 9" xfId="897"/>
    <cellStyle name="Normal 2 18 9 2" xfId="898"/>
    <cellStyle name="Normal 2 18 9 2 2" xfId="899"/>
    <cellStyle name="Normal 2 18 9 2 2 2" xfId="900"/>
    <cellStyle name="Normal 2 18 9 2 2 2 2" xfId="2246"/>
    <cellStyle name="Normal 2 18 9 2 2 3" xfId="2245"/>
    <cellStyle name="Normal 2 18 9 2 3" xfId="901"/>
    <cellStyle name="Normal 2 18 9 2 3 2" xfId="902"/>
    <cellStyle name="Normal 2 18 9 2 3 2 2" xfId="2248"/>
    <cellStyle name="Normal 2 18 9 2 3 3" xfId="2247"/>
    <cellStyle name="Normal 2 18 9 2 4" xfId="903"/>
    <cellStyle name="Normal 2 18 9 2 4 2" xfId="2249"/>
    <cellStyle name="Normal 2 18 9 2 5" xfId="2244"/>
    <cellStyle name="Normal 2 18 9 3" xfId="904"/>
    <cellStyle name="Normal 2 18 9 3 2" xfId="905"/>
    <cellStyle name="Normal 2 18 9 3 2 2" xfId="906"/>
    <cellStyle name="Normal 2 18 9 3 2 2 2" xfId="2252"/>
    <cellStyle name="Normal 2 18 9 3 2 3" xfId="2251"/>
    <cellStyle name="Normal 2 18 9 3 3" xfId="907"/>
    <cellStyle name="Normal 2 18 9 3 3 2" xfId="908"/>
    <cellStyle name="Normal 2 18 9 3 3 2 2" xfId="2254"/>
    <cellStyle name="Normal 2 18 9 3 3 3" xfId="2253"/>
    <cellStyle name="Normal 2 18 9 3 4" xfId="909"/>
    <cellStyle name="Normal 2 18 9 3 4 2" xfId="2255"/>
    <cellStyle name="Normal 2 18 9 3 5" xfId="2250"/>
    <cellStyle name="Normal 2 18 9 4" xfId="910"/>
    <cellStyle name="Normal 2 18 9 4 2" xfId="911"/>
    <cellStyle name="Normal 2 18 9 4 2 2" xfId="2257"/>
    <cellStyle name="Normal 2 18 9 4 3" xfId="2256"/>
    <cellStyle name="Normal 2 18 9 5" xfId="912"/>
    <cellStyle name="Normal 2 18 9 5 2" xfId="913"/>
    <cellStyle name="Normal 2 18 9 5 2 2" xfId="2259"/>
    <cellStyle name="Normal 2 18 9 5 3" xfId="2258"/>
    <cellStyle name="Normal 2 18 9 6" xfId="914"/>
    <cellStyle name="Normal 2 18 9 6 2" xfId="2260"/>
    <cellStyle name="Normal 2 18 9 7" xfId="2243"/>
    <cellStyle name="Normal 2 19" xfId="915"/>
    <cellStyle name="Normal 2 19 10" xfId="916"/>
    <cellStyle name="Normal 2 19 10 2" xfId="917"/>
    <cellStyle name="Normal 2 19 10 2 2" xfId="918"/>
    <cellStyle name="Normal 2 19 10 2 2 2" xfId="919"/>
    <cellStyle name="Normal 2 19 10 2 2 2 2" xfId="2265"/>
    <cellStyle name="Normal 2 19 10 2 2 3" xfId="2264"/>
    <cellStyle name="Normal 2 19 10 2 3" xfId="920"/>
    <cellStyle name="Normal 2 19 10 2 3 2" xfId="921"/>
    <cellStyle name="Normal 2 19 10 2 3 2 2" xfId="2267"/>
    <cellStyle name="Normal 2 19 10 2 3 3" xfId="2266"/>
    <cellStyle name="Normal 2 19 10 2 4" xfId="922"/>
    <cellStyle name="Normal 2 19 10 2 4 2" xfId="2268"/>
    <cellStyle name="Normal 2 19 10 2 5" xfId="2263"/>
    <cellStyle name="Normal 2 19 10 3" xfId="923"/>
    <cellStyle name="Normal 2 19 10 3 2" xfId="924"/>
    <cellStyle name="Normal 2 19 10 3 2 2" xfId="925"/>
    <cellStyle name="Normal 2 19 10 3 2 2 2" xfId="2271"/>
    <cellStyle name="Normal 2 19 10 3 2 3" xfId="2270"/>
    <cellStyle name="Normal 2 19 10 3 3" xfId="926"/>
    <cellStyle name="Normal 2 19 10 3 3 2" xfId="927"/>
    <cellStyle name="Normal 2 19 10 3 3 2 2" xfId="2273"/>
    <cellStyle name="Normal 2 19 10 3 3 3" xfId="2272"/>
    <cellStyle name="Normal 2 19 10 3 4" xfId="928"/>
    <cellStyle name="Normal 2 19 10 3 4 2" xfId="2274"/>
    <cellStyle name="Normal 2 19 10 3 5" xfId="2269"/>
    <cellStyle name="Normal 2 19 10 4" xfId="929"/>
    <cellStyle name="Normal 2 19 10 4 2" xfId="930"/>
    <cellStyle name="Normal 2 19 10 4 2 2" xfId="2276"/>
    <cellStyle name="Normal 2 19 10 4 3" xfId="2275"/>
    <cellStyle name="Normal 2 19 10 5" xfId="931"/>
    <cellStyle name="Normal 2 19 10 5 2" xfId="932"/>
    <cellStyle name="Normal 2 19 10 5 2 2" xfId="2278"/>
    <cellStyle name="Normal 2 19 10 5 3" xfId="2277"/>
    <cellStyle name="Normal 2 19 10 6" xfId="933"/>
    <cellStyle name="Normal 2 19 10 6 2" xfId="2279"/>
    <cellStyle name="Normal 2 19 10 7" xfId="2262"/>
    <cellStyle name="Normal 2 19 11" xfId="934"/>
    <cellStyle name="Normal 2 19 11 2" xfId="935"/>
    <cellStyle name="Normal 2 19 11 2 2" xfId="936"/>
    <cellStyle name="Normal 2 19 11 2 2 2" xfId="937"/>
    <cellStyle name="Normal 2 19 11 2 2 2 2" xfId="2283"/>
    <cellStyle name="Normal 2 19 11 2 2 3" xfId="2282"/>
    <cellStyle name="Normal 2 19 11 2 3" xfId="938"/>
    <cellStyle name="Normal 2 19 11 2 3 2" xfId="939"/>
    <cellStyle name="Normal 2 19 11 2 3 2 2" xfId="2285"/>
    <cellStyle name="Normal 2 19 11 2 3 3" xfId="2284"/>
    <cellStyle name="Normal 2 19 11 2 4" xfId="940"/>
    <cellStyle name="Normal 2 19 11 2 4 2" xfId="2286"/>
    <cellStyle name="Normal 2 19 11 2 5" xfId="2281"/>
    <cellStyle name="Normal 2 19 11 3" xfId="941"/>
    <cellStyle name="Normal 2 19 11 3 2" xfId="942"/>
    <cellStyle name="Normal 2 19 11 3 2 2" xfId="943"/>
    <cellStyle name="Normal 2 19 11 3 2 2 2" xfId="2289"/>
    <cellStyle name="Normal 2 19 11 3 2 3" xfId="2288"/>
    <cellStyle name="Normal 2 19 11 3 3" xfId="944"/>
    <cellStyle name="Normal 2 19 11 3 3 2" xfId="945"/>
    <cellStyle name="Normal 2 19 11 3 3 2 2" xfId="2291"/>
    <cellStyle name="Normal 2 19 11 3 3 3" xfId="2290"/>
    <cellStyle name="Normal 2 19 11 3 4" xfId="946"/>
    <cellStyle name="Normal 2 19 11 3 4 2" xfId="2292"/>
    <cellStyle name="Normal 2 19 11 3 5" xfId="2287"/>
    <cellStyle name="Normal 2 19 11 4" xfId="947"/>
    <cellStyle name="Normal 2 19 11 4 2" xfId="948"/>
    <cellStyle name="Normal 2 19 11 4 2 2" xfId="2294"/>
    <cellStyle name="Normal 2 19 11 4 3" xfId="2293"/>
    <cellStyle name="Normal 2 19 11 5" xfId="949"/>
    <cellStyle name="Normal 2 19 11 5 2" xfId="950"/>
    <cellStyle name="Normal 2 19 11 5 2 2" xfId="2296"/>
    <cellStyle name="Normal 2 19 11 5 3" xfId="2295"/>
    <cellStyle name="Normal 2 19 11 6" xfId="951"/>
    <cellStyle name="Normal 2 19 11 6 2" xfId="2297"/>
    <cellStyle name="Normal 2 19 11 7" xfId="2280"/>
    <cellStyle name="Normal 2 19 12" xfId="952"/>
    <cellStyle name="Normal 2 19 12 2" xfId="953"/>
    <cellStyle name="Normal 2 19 12 2 2" xfId="954"/>
    <cellStyle name="Normal 2 19 12 2 2 2" xfId="955"/>
    <cellStyle name="Normal 2 19 12 2 2 2 2" xfId="2301"/>
    <cellStyle name="Normal 2 19 12 2 2 3" xfId="2300"/>
    <cellStyle name="Normal 2 19 12 2 3" xfId="956"/>
    <cellStyle name="Normal 2 19 12 2 3 2" xfId="957"/>
    <cellStyle name="Normal 2 19 12 2 3 2 2" xfId="2303"/>
    <cellStyle name="Normal 2 19 12 2 3 3" xfId="2302"/>
    <cellStyle name="Normal 2 19 12 2 4" xfId="958"/>
    <cellStyle name="Normal 2 19 12 2 4 2" xfId="2304"/>
    <cellStyle name="Normal 2 19 12 2 5" xfId="2299"/>
    <cellStyle name="Normal 2 19 12 3" xfId="959"/>
    <cellStyle name="Normal 2 19 12 3 2" xfId="960"/>
    <cellStyle name="Normal 2 19 12 3 2 2" xfId="961"/>
    <cellStyle name="Normal 2 19 12 3 2 2 2" xfId="2307"/>
    <cellStyle name="Normal 2 19 12 3 2 3" xfId="2306"/>
    <cellStyle name="Normal 2 19 12 3 3" xfId="962"/>
    <cellStyle name="Normal 2 19 12 3 3 2" xfId="963"/>
    <cellStyle name="Normal 2 19 12 3 3 2 2" xfId="2309"/>
    <cellStyle name="Normal 2 19 12 3 3 3" xfId="2308"/>
    <cellStyle name="Normal 2 19 12 3 4" xfId="964"/>
    <cellStyle name="Normal 2 19 12 3 4 2" xfId="2310"/>
    <cellStyle name="Normal 2 19 12 3 5" xfId="2305"/>
    <cellStyle name="Normal 2 19 12 4" xfId="965"/>
    <cellStyle name="Normal 2 19 12 4 2" xfId="966"/>
    <cellStyle name="Normal 2 19 12 4 2 2" xfId="2312"/>
    <cellStyle name="Normal 2 19 12 4 3" xfId="2311"/>
    <cellStyle name="Normal 2 19 12 5" xfId="967"/>
    <cellStyle name="Normal 2 19 12 5 2" xfId="968"/>
    <cellStyle name="Normal 2 19 12 5 2 2" xfId="2314"/>
    <cellStyle name="Normal 2 19 12 5 3" xfId="2313"/>
    <cellStyle name="Normal 2 19 12 6" xfId="969"/>
    <cellStyle name="Normal 2 19 12 6 2" xfId="2315"/>
    <cellStyle name="Normal 2 19 12 7" xfId="2298"/>
    <cellStyle name="Normal 2 19 13" xfId="970"/>
    <cellStyle name="Normal 2 19 13 2" xfId="971"/>
    <cellStyle name="Normal 2 19 13 2 2" xfId="972"/>
    <cellStyle name="Normal 2 19 13 2 2 2" xfId="973"/>
    <cellStyle name="Normal 2 19 13 2 2 2 2" xfId="2319"/>
    <cellStyle name="Normal 2 19 13 2 2 3" xfId="2318"/>
    <cellStyle name="Normal 2 19 13 2 3" xfId="974"/>
    <cellStyle name="Normal 2 19 13 2 3 2" xfId="975"/>
    <cellStyle name="Normal 2 19 13 2 3 2 2" xfId="2321"/>
    <cellStyle name="Normal 2 19 13 2 3 3" xfId="2320"/>
    <cellStyle name="Normal 2 19 13 2 4" xfId="976"/>
    <cellStyle name="Normal 2 19 13 2 4 2" xfId="2322"/>
    <cellStyle name="Normal 2 19 13 2 5" xfId="2317"/>
    <cellStyle name="Normal 2 19 13 3" xfId="977"/>
    <cellStyle name="Normal 2 19 13 3 2" xfId="978"/>
    <cellStyle name="Normal 2 19 13 3 2 2" xfId="979"/>
    <cellStyle name="Normal 2 19 13 3 2 2 2" xfId="2325"/>
    <cellStyle name="Normal 2 19 13 3 2 3" xfId="2324"/>
    <cellStyle name="Normal 2 19 13 3 3" xfId="980"/>
    <cellStyle name="Normal 2 19 13 3 3 2" xfId="981"/>
    <cellStyle name="Normal 2 19 13 3 3 2 2" xfId="2327"/>
    <cellStyle name="Normal 2 19 13 3 3 3" xfId="2326"/>
    <cellStyle name="Normal 2 19 13 3 4" xfId="982"/>
    <cellStyle name="Normal 2 19 13 3 4 2" xfId="2328"/>
    <cellStyle name="Normal 2 19 13 3 5" xfId="2323"/>
    <cellStyle name="Normal 2 19 13 4" xfId="983"/>
    <cellStyle name="Normal 2 19 13 4 2" xfId="984"/>
    <cellStyle name="Normal 2 19 13 4 2 2" xfId="2330"/>
    <cellStyle name="Normal 2 19 13 4 3" xfId="2329"/>
    <cellStyle name="Normal 2 19 13 5" xfId="985"/>
    <cellStyle name="Normal 2 19 13 5 2" xfId="986"/>
    <cellStyle name="Normal 2 19 13 5 2 2" xfId="2332"/>
    <cellStyle name="Normal 2 19 13 5 3" xfId="2331"/>
    <cellStyle name="Normal 2 19 13 6" xfId="987"/>
    <cellStyle name="Normal 2 19 13 6 2" xfId="2333"/>
    <cellStyle name="Normal 2 19 13 7" xfId="2316"/>
    <cellStyle name="Normal 2 19 14" xfId="988"/>
    <cellStyle name="Normal 2 19 14 2" xfId="989"/>
    <cellStyle name="Normal 2 19 14 2 2" xfId="990"/>
    <cellStyle name="Normal 2 19 14 2 2 2" xfId="991"/>
    <cellStyle name="Normal 2 19 14 2 2 2 2" xfId="2337"/>
    <cellStyle name="Normal 2 19 14 2 2 3" xfId="2336"/>
    <cellStyle name="Normal 2 19 14 2 3" xfId="992"/>
    <cellStyle name="Normal 2 19 14 2 3 2" xfId="993"/>
    <cellStyle name="Normal 2 19 14 2 3 2 2" xfId="2339"/>
    <cellStyle name="Normal 2 19 14 2 3 3" xfId="2338"/>
    <cellStyle name="Normal 2 19 14 2 4" xfId="994"/>
    <cellStyle name="Normal 2 19 14 2 4 2" xfId="2340"/>
    <cellStyle name="Normal 2 19 14 2 5" xfId="2335"/>
    <cellStyle name="Normal 2 19 14 3" xfId="995"/>
    <cellStyle name="Normal 2 19 14 3 2" xfId="996"/>
    <cellStyle name="Normal 2 19 14 3 2 2" xfId="997"/>
    <cellStyle name="Normal 2 19 14 3 2 2 2" xfId="2343"/>
    <cellStyle name="Normal 2 19 14 3 2 3" xfId="2342"/>
    <cellStyle name="Normal 2 19 14 3 3" xfId="998"/>
    <cellStyle name="Normal 2 19 14 3 3 2" xfId="999"/>
    <cellStyle name="Normal 2 19 14 3 3 2 2" xfId="2345"/>
    <cellStyle name="Normal 2 19 14 3 3 3" xfId="2344"/>
    <cellStyle name="Normal 2 19 14 3 4" xfId="1000"/>
    <cellStyle name="Normal 2 19 14 3 4 2" xfId="2346"/>
    <cellStyle name="Normal 2 19 14 3 5" xfId="2341"/>
    <cellStyle name="Normal 2 19 14 4" xfId="1001"/>
    <cellStyle name="Normal 2 19 14 4 2" xfId="1002"/>
    <cellStyle name="Normal 2 19 14 4 2 2" xfId="2348"/>
    <cellStyle name="Normal 2 19 14 4 3" xfId="2347"/>
    <cellStyle name="Normal 2 19 14 5" xfId="1003"/>
    <cellStyle name="Normal 2 19 14 5 2" xfId="1004"/>
    <cellStyle name="Normal 2 19 14 5 2 2" xfId="2350"/>
    <cellStyle name="Normal 2 19 14 5 3" xfId="2349"/>
    <cellStyle name="Normal 2 19 14 6" xfId="1005"/>
    <cellStyle name="Normal 2 19 14 6 2" xfId="2351"/>
    <cellStyle name="Normal 2 19 14 7" xfId="2334"/>
    <cellStyle name="Normal 2 19 15" xfId="1006"/>
    <cellStyle name="Normal 2 19 15 2" xfId="1007"/>
    <cellStyle name="Normal 2 19 15 2 2" xfId="1008"/>
    <cellStyle name="Normal 2 19 15 2 2 2" xfId="1009"/>
    <cellStyle name="Normal 2 19 15 2 2 2 2" xfId="2355"/>
    <cellStyle name="Normal 2 19 15 2 2 3" xfId="2354"/>
    <cellStyle name="Normal 2 19 15 2 3" xfId="1010"/>
    <cellStyle name="Normal 2 19 15 2 3 2" xfId="1011"/>
    <cellStyle name="Normal 2 19 15 2 3 2 2" xfId="2357"/>
    <cellStyle name="Normal 2 19 15 2 3 3" xfId="2356"/>
    <cellStyle name="Normal 2 19 15 2 4" xfId="1012"/>
    <cellStyle name="Normal 2 19 15 2 4 2" xfId="2358"/>
    <cellStyle name="Normal 2 19 15 2 5" xfId="2353"/>
    <cellStyle name="Normal 2 19 15 3" xfId="1013"/>
    <cellStyle name="Normal 2 19 15 3 2" xfId="1014"/>
    <cellStyle name="Normal 2 19 15 3 2 2" xfId="1015"/>
    <cellStyle name="Normal 2 19 15 3 2 2 2" xfId="2361"/>
    <cellStyle name="Normal 2 19 15 3 2 3" xfId="2360"/>
    <cellStyle name="Normal 2 19 15 3 3" xfId="1016"/>
    <cellStyle name="Normal 2 19 15 3 3 2" xfId="1017"/>
    <cellStyle name="Normal 2 19 15 3 3 2 2" xfId="2363"/>
    <cellStyle name="Normal 2 19 15 3 3 3" xfId="2362"/>
    <cellStyle name="Normal 2 19 15 3 4" xfId="1018"/>
    <cellStyle name="Normal 2 19 15 3 4 2" xfId="2364"/>
    <cellStyle name="Normal 2 19 15 3 5" xfId="2359"/>
    <cellStyle name="Normal 2 19 15 4" xfId="1019"/>
    <cellStyle name="Normal 2 19 15 4 2" xfId="1020"/>
    <cellStyle name="Normal 2 19 15 4 2 2" xfId="2366"/>
    <cellStyle name="Normal 2 19 15 4 3" xfId="2365"/>
    <cellStyle name="Normal 2 19 15 5" xfId="1021"/>
    <cellStyle name="Normal 2 19 15 5 2" xfId="1022"/>
    <cellStyle name="Normal 2 19 15 5 2 2" xfId="2368"/>
    <cellStyle name="Normal 2 19 15 5 3" xfId="2367"/>
    <cellStyle name="Normal 2 19 15 6" xfId="1023"/>
    <cellStyle name="Normal 2 19 15 6 2" xfId="2369"/>
    <cellStyle name="Normal 2 19 15 7" xfId="2352"/>
    <cellStyle name="Normal 2 19 16" xfId="1024"/>
    <cellStyle name="Normal 2 19 16 2" xfId="1025"/>
    <cellStyle name="Normal 2 19 16 2 2" xfId="1026"/>
    <cellStyle name="Normal 2 19 16 2 2 2" xfId="2372"/>
    <cellStyle name="Normal 2 19 16 2 3" xfId="2371"/>
    <cellStyle name="Normal 2 19 16 3" xfId="1027"/>
    <cellStyle name="Normal 2 19 16 3 2" xfId="1028"/>
    <cellStyle name="Normal 2 19 16 3 2 2" xfId="2374"/>
    <cellStyle name="Normal 2 19 16 3 3" xfId="2373"/>
    <cellStyle name="Normal 2 19 16 4" xfId="1029"/>
    <cellStyle name="Normal 2 19 16 4 2" xfId="2375"/>
    <cellStyle name="Normal 2 19 16 5" xfId="2370"/>
    <cellStyle name="Normal 2 19 17" xfId="1030"/>
    <cellStyle name="Normal 2 19 17 2" xfId="1031"/>
    <cellStyle name="Normal 2 19 17 2 2" xfId="1032"/>
    <cellStyle name="Normal 2 19 17 2 2 2" xfId="2378"/>
    <cellStyle name="Normal 2 19 17 2 3" xfId="2377"/>
    <cellStyle name="Normal 2 19 17 3" xfId="1033"/>
    <cellStyle name="Normal 2 19 17 3 2" xfId="1034"/>
    <cellStyle name="Normal 2 19 17 3 2 2" xfId="2380"/>
    <cellStyle name="Normal 2 19 17 3 3" xfId="2379"/>
    <cellStyle name="Normal 2 19 17 4" xfId="1035"/>
    <cellStyle name="Normal 2 19 17 4 2" xfId="2381"/>
    <cellStyle name="Normal 2 19 17 5" xfId="2376"/>
    <cellStyle name="Normal 2 19 18" xfId="1036"/>
    <cellStyle name="Normal 2 19 18 2" xfId="1037"/>
    <cellStyle name="Normal 2 19 18 2 2" xfId="1038"/>
    <cellStyle name="Normal 2 19 18 2 2 2" xfId="2384"/>
    <cellStyle name="Normal 2 19 18 2 3" xfId="2383"/>
    <cellStyle name="Normal 2 19 18 3" xfId="1039"/>
    <cellStyle name="Normal 2 19 18 3 2" xfId="1040"/>
    <cellStyle name="Normal 2 19 18 3 2 2" xfId="2386"/>
    <cellStyle name="Normal 2 19 18 3 3" xfId="2385"/>
    <cellStyle name="Normal 2 19 18 4" xfId="1041"/>
    <cellStyle name="Normal 2 19 18 4 2" xfId="2387"/>
    <cellStyle name="Normal 2 19 18 5" xfId="2382"/>
    <cellStyle name="Normal 2 19 19" xfId="1042"/>
    <cellStyle name="Normal 2 19 19 2" xfId="1043"/>
    <cellStyle name="Normal 2 19 19 2 2" xfId="1044"/>
    <cellStyle name="Normal 2 19 19 2 2 2" xfId="2390"/>
    <cellStyle name="Normal 2 19 19 2 3" xfId="2389"/>
    <cellStyle name="Normal 2 19 19 3" xfId="1045"/>
    <cellStyle name="Normal 2 19 19 3 2" xfId="1046"/>
    <cellStyle name="Normal 2 19 19 3 2 2" xfId="2392"/>
    <cellStyle name="Normal 2 19 19 3 3" xfId="2391"/>
    <cellStyle name="Normal 2 19 19 4" xfId="1047"/>
    <cellStyle name="Normal 2 19 19 4 2" xfId="2393"/>
    <cellStyle name="Normal 2 19 19 5" xfId="2388"/>
    <cellStyle name="Normal 2 19 2" xfId="1048"/>
    <cellStyle name="Normal 2 19 2 10" xfId="1049"/>
    <cellStyle name="Normal 2 19 2 10 2" xfId="1050"/>
    <cellStyle name="Normal 2 19 2 10 2 2" xfId="2396"/>
    <cellStyle name="Normal 2 19 2 10 3" xfId="2395"/>
    <cellStyle name="Normal 2 19 2 11" xfId="1051"/>
    <cellStyle name="Normal 2 19 2 11 2" xfId="1052"/>
    <cellStyle name="Normal 2 19 2 11 2 2" xfId="2398"/>
    <cellStyle name="Normal 2 19 2 11 3" xfId="2397"/>
    <cellStyle name="Normal 2 19 2 12" xfId="1053"/>
    <cellStyle name="Normal 2 19 2 12 2" xfId="2399"/>
    <cellStyle name="Normal 2 19 2 13" xfId="2394"/>
    <cellStyle name="Normal 2 19 2 2" xfId="1054"/>
    <cellStyle name="Normal 2 19 2 2 2" xfId="1055"/>
    <cellStyle name="Normal 2 19 2 2 2 2" xfId="1056"/>
    <cellStyle name="Normal 2 19 2 2 2 2 2" xfId="2402"/>
    <cellStyle name="Normal 2 19 2 2 2 3" xfId="2401"/>
    <cellStyle name="Normal 2 19 2 2 3" xfId="1057"/>
    <cellStyle name="Normal 2 19 2 2 3 2" xfId="1058"/>
    <cellStyle name="Normal 2 19 2 2 3 2 2" xfId="2404"/>
    <cellStyle name="Normal 2 19 2 2 3 3" xfId="2403"/>
    <cellStyle name="Normal 2 19 2 2 4" xfId="1059"/>
    <cellStyle name="Normal 2 19 2 2 4 2" xfId="2405"/>
    <cellStyle name="Normal 2 19 2 2 5" xfId="2400"/>
    <cellStyle name="Normal 2 19 2 3" xfId="1060"/>
    <cellStyle name="Normal 2 19 2 3 2" xfId="1061"/>
    <cellStyle name="Normal 2 19 2 3 2 2" xfId="1062"/>
    <cellStyle name="Normal 2 19 2 3 2 2 2" xfId="2408"/>
    <cellStyle name="Normal 2 19 2 3 2 3" xfId="2407"/>
    <cellStyle name="Normal 2 19 2 3 3" xfId="1063"/>
    <cellStyle name="Normal 2 19 2 3 3 2" xfId="1064"/>
    <cellStyle name="Normal 2 19 2 3 3 2 2" xfId="2410"/>
    <cellStyle name="Normal 2 19 2 3 3 3" xfId="2409"/>
    <cellStyle name="Normal 2 19 2 3 4" xfId="1065"/>
    <cellStyle name="Normal 2 19 2 3 4 2" xfId="2411"/>
    <cellStyle name="Normal 2 19 2 3 5" xfId="2406"/>
    <cellStyle name="Normal 2 19 2 4" xfId="1066"/>
    <cellStyle name="Normal 2 19 2 4 2" xfId="1067"/>
    <cellStyle name="Normal 2 19 2 4 2 2" xfId="1068"/>
    <cellStyle name="Normal 2 19 2 4 2 2 2" xfId="2414"/>
    <cellStyle name="Normal 2 19 2 4 2 3" xfId="2413"/>
    <cellStyle name="Normal 2 19 2 4 3" xfId="1069"/>
    <cellStyle name="Normal 2 19 2 4 3 2" xfId="1070"/>
    <cellStyle name="Normal 2 19 2 4 3 2 2" xfId="2416"/>
    <cellStyle name="Normal 2 19 2 4 3 3" xfId="2415"/>
    <cellStyle name="Normal 2 19 2 4 4" xfId="1071"/>
    <cellStyle name="Normal 2 19 2 4 4 2" xfId="2417"/>
    <cellStyle name="Normal 2 19 2 4 5" xfId="2412"/>
    <cellStyle name="Normal 2 19 2 5" xfId="1072"/>
    <cellStyle name="Normal 2 19 2 5 2" xfId="1073"/>
    <cellStyle name="Normal 2 19 2 5 2 2" xfId="1074"/>
    <cellStyle name="Normal 2 19 2 5 2 2 2" xfId="2420"/>
    <cellStyle name="Normal 2 19 2 5 2 3" xfId="2419"/>
    <cellStyle name="Normal 2 19 2 5 3" xfId="1075"/>
    <cellStyle name="Normal 2 19 2 5 3 2" xfId="1076"/>
    <cellStyle name="Normal 2 19 2 5 3 2 2" xfId="2422"/>
    <cellStyle name="Normal 2 19 2 5 3 3" xfId="2421"/>
    <cellStyle name="Normal 2 19 2 5 4" xfId="1077"/>
    <cellStyle name="Normal 2 19 2 5 4 2" xfId="2423"/>
    <cellStyle name="Normal 2 19 2 5 5" xfId="2418"/>
    <cellStyle name="Normal 2 19 2 6" xfId="1078"/>
    <cellStyle name="Normal 2 19 2 6 2" xfId="1079"/>
    <cellStyle name="Normal 2 19 2 6 2 2" xfId="1080"/>
    <cellStyle name="Normal 2 19 2 6 2 2 2" xfId="2426"/>
    <cellStyle name="Normal 2 19 2 6 2 3" xfId="2425"/>
    <cellStyle name="Normal 2 19 2 6 3" xfId="1081"/>
    <cellStyle name="Normal 2 19 2 6 3 2" xfId="1082"/>
    <cellStyle name="Normal 2 19 2 6 3 2 2" xfId="2428"/>
    <cellStyle name="Normal 2 19 2 6 3 3" xfId="2427"/>
    <cellStyle name="Normal 2 19 2 6 4" xfId="1083"/>
    <cellStyle name="Normal 2 19 2 6 4 2" xfId="2429"/>
    <cellStyle name="Normal 2 19 2 6 5" xfId="2424"/>
    <cellStyle name="Normal 2 19 2 7" xfId="1084"/>
    <cellStyle name="Normal 2 19 2 7 2" xfId="1085"/>
    <cellStyle name="Normal 2 19 2 7 2 2" xfId="1086"/>
    <cellStyle name="Normal 2 19 2 7 2 2 2" xfId="2432"/>
    <cellStyle name="Normal 2 19 2 7 2 3" xfId="2431"/>
    <cellStyle name="Normal 2 19 2 7 3" xfId="1087"/>
    <cellStyle name="Normal 2 19 2 7 3 2" xfId="1088"/>
    <cellStyle name="Normal 2 19 2 7 3 2 2" xfId="2434"/>
    <cellStyle name="Normal 2 19 2 7 3 3" xfId="2433"/>
    <cellStyle name="Normal 2 19 2 7 4" xfId="1089"/>
    <cellStyle name="Normal 2 19 2 7 4 2" xfId="2435"/>
    <cellStyle name="Normal 2 19 2 7 5" xfId="2430"/>
    <cellStyle name="Normal 2 19 2 8" xfId="1090"/>
    <cellStyle name="Normal 2 19 2 8 2" xfId="1091"/>
    <cellStyle name="Normal 2 19 2 8 2 2" xfId="1092"/>
    <cellStyle name="Normal 2 19 2 8 2 2 2" xfId="2438"/>
    <cellStyle name="Normal 2 19 2 8 2 3" xfId="2437"/>
    <cellStyle name="Normal 2 19 2 8 3" xfId="1093"/>
    <cellStyle name="Normal 2 19 2 8 3 2" xfId="1094"/>
    <cellStyle name="Normal 2 19 2 8 3 2 2" xfId="2440"/>
    <cellStyle name="Normal 2 19 2 8 3 3" xfId="2439"/>
    <cellStyle name="Normal 2 19 2 8 4" xfId="1095"/>
    <cellStyle name="Normal 2 19 2 8 4 2" xfId="2441"/>
    <cellStyle name="Normal 2 19 2 8 5" xfId="2436"/>
    <cellStyle name="Normal 2 19 2 9" xfId="1096"/>
    <cellStyle name="Normal 2 19 2 9 2" xfId="1097"/>
    <cellStyle name="Normal 2 19 2 9 2 2" xfId="1098"/>
    <cellStyle name="Normal 2 19 2 9 2 2 2" xfId="2444"/>
    <cellStyle name="Normal 2 19 2 9 2 3" xfId="2443"/>
    <cellStyle name="Normal 2 19 2 9 3" xfId="1099"/>
    <cellStyle name="Normal 2 19 2 9 3 2" xfId="1100"/>
    <cellStyle name="Normal 2 19 2 9 3 2 2" xfId="2446"/>
    <cellStyle name="Normal 2 19 2 9 3 3" xfId="2445"/>
    <cellStyle name="Normal 2 19 2 9 4" xfId="1101"/>
    <cellStyle name="Normal 2 19 2 9 4 2" xfId="2447"/>
    <cellStyle name="Normal 2 19 2 9 5" xfId="2442"/>
    <cellStyle name="Normal 2 19 20" xfId="1102"/>
    <cellStyle name="Normal 2 19 20 2" xfId="1103"/>
    <cellStyle name="Normal 2 19 20 2 2" xfId="1104"/>
    <cellStyle name="Normal 2 19 20 2 2 2" xfId="2450"/>
    <cellStyle name="Normal 2 19 20 2 3" xfId="2449"/>
    <cellStyle name="Normal 2 19 20 3" xfId="1105"/>
    <cellStyle name="Normal 2 19 20 3 2" xfId="1106"/>
    <cellStyle name="Normal 2 19 20 3 2 2" xfId="2452"/>
    <cellStyle name="Normal 2 19 20 3 3" xfId="2451"/>
    <cellStyle name="Normal 2 19 20 4" xfId="1107"/>
    <cellStyle name="Normal 2 19 20 4 2" xfId="2453"/>
    <cellStyle name="Normal 2 19 20 5" xfId="2448"/>
    <cellStyle name="Normal 2 19 21" xfId="1108"/>
    <cellStyle name="Normal 2 19 21 2" xfId="1109"/>
    <cellStyle name="Normal 2 19 21 2 2" xfId="1110"/>
    <cellStyle name="Normal 2 19 21 2 2 2" xfId="2456"/>
    <cellStyle name="Normal 2 19 21 2 3" xfId="2455"/>
    <cellStyle name="Normal 2 19 21 3" xfId="1111"/>
    <cellStyle name="Normal 2 19 21 3 2" xfId="1112"/>
    <cellStyle name="Normal 2 19 21 3 2 2" xfId="2458"/>
    <cellStyle name="Normal 2 19 21 3 3" xfId="2457"/>
    <cellStyle name="Normal 2 19 21 4" xfId="1113"/>
    <cellStyle name="Normal 2 19 21 4 2" xfId="2459"/>
    <cellStyle name="Normal 2 19 21 5" xfId="2454"/>
    <cellStyle name="Normal 2 19 22" xfId="1114"/>
    <cellStyle name="Normal 2 19 22 2" xfId="1115"/>
    <cellStyle name="Normal 2 19 22 2 2" xfId="2461"/>
    <cellStyle name="Normal 2 19 22 3" xfId="2460"/>
    <cellStyle name="Normal 2 19 23" xfId="1116"/>
    <cellStyle name="Normal 2 19 23 2" xfId="1117"/>
    <cellStyle name="Normal 2 19 23 2 2" xfId="2463"/>
    <cellStyle name="Normal 2 19 23 3" xfId="2462"/>
    <cellStyle name="Normal 2 19 24" xfId="1118"/>
    <cellStyle name="Normal 2 19 24 2" xfId="2464"/>
    <cellStyle name="Normal 2 19 25" xfId="2261"/>
    <cellStyle name="Normal 2 19 3" xfId="1119"/>
    <cellStyle name="Normal 2 19 3 10" xfId="1120"/>
    <cellStyle name="Normal 2 19 3 10 2" xfId="1121"/>
    <cellStyle name="Normal 2 19 3 10 2 2" xfId="2467"/>
    <cellStyle name="Normal 2 19 3 10 3" xfId="2466"/>
    <cellStyle name="Normal 2 19 3 11" xfId="1122"/>
    <cellStyle name="Normal 2 19 3 11 2" xfId="2468"/>
    <cellStyle name="Normal 2 19 3 12" xfId="2465"/>
    <cellStyle name="Normal 2 19 3 2" xfId="1123"/>
    <cellStyle name="Normal 2 19 3 2 2" xfId="1124"/>
    <cellStyle name="Normal 2 19 3 2 2 2" xfId="1125"/>
    <cellStyle name="Normal 2 19 3 2 2 2 2" xfId="2471"/>
    <cellStyle name="Normal 2 19 3 2 2 3" xfId="2470"/>
    <cellStyle name="Normal 2 19 3 2 3" xfId="1126"/>
    <cellStyle name="Normal 2 19 3 2 3 2" xfId="1127"/>
    <cellStyle name="Normal 2 19 3 2 3 2 2" xfId="2473"/>
    <cellStyle name="Normal 2 19 3 2 3 3" xfId="2472"/>
    <cellStyle name="Normal 2 19 3 2 4" xfId="1128"/>
    <cellStyle name="Normal 2 19 3 2 4 2" xfId="2474"/>
    <cellStyle name="Normal 2 19 3 2 5" xfId="2469"/>
    <cellStyle name="Normal 2 19 3 3" xfId="1129"/>
    <cellStyle name="Normal 2 19 3 3 2" xfId="1130"/>
    <cellStyle name="Normal 2 19 3 3 2 2" xfId="1131"/>
    <cellStyle name="Normal 2 19 3 3 2 2 2" xfId="2477"/>
    <cellStyle name="Normal 2 19 3 3 2 3" xfId="2476"/>
    <cellStyle name="Normal 2 19 3 3 3" xfId="1132"/>
    <cellStyle name="Normal 2 19 3 3 3 2" xfId="1133"/>
    <cellStyle name="Normal 2 19 3 3 3 2 2" xfId="2479"/>
    <cellStyle name="Normal 2 19 3 3 3 3" xfId="2478"/>
    <cellStyle name="Normal 2 19 3 3 4" xfId="1134"/>
    <cellStyle name="Normal 2 19 3 3 4 2" xfId="2480"/>
    <cellStyle name="Normal 2 19 3 3 5" xfId="2475"/>
    <cellStyle name="Normal 2 19 3 4" xfId="1135"/>
    <cellStyle name="Normal 2 19 3 4 2" xfId="1136"/>
    <cellStyle name="Normal 2 19 3 4 2 2" xfId="1137"/>
    <cellStyle name="Normal 2 19 3 4 2 2 2" xfId="2483"/>
    <cellStyle name="Normal 2 19 3 4 2 3" xfId="2482"/>
    <cellStyle name="Normal 2 19 3 4 3" xfId="1138"/>
    <cellStyle name="Normal 2 19 3 4 3 2" xfId="1139"/>
    <cellStyle name="Normal 2 19 3 4 3 2 2" xfId="2485"/>
    <cellStyle name="Normal 2 19 3 4 3 3" xfId="2484"/>
    <cellStyle name="Normal 2 19 3 4 4" xfId="1140"/>
    <cellStyle name="Normal 2 19 3 4 4 2" xfId="2486"/>
    <cellStyle name="Normal 2 19 3 4 5" xfId="2481"/>
    <cellStyle name="Normal 2 19 3 5" xfId="1141"/>
    <cellStyle name="Normal 2 19 3 5 2" xfId="1142"/>
    <cellStyle name="Normal 2 19 3 5 2 2" xfId="1143"/>
    <cellStyle name="Normal 2 19 3 5 2 2 2" xfId="2489"/>
    <cellStyle name="Normal 2 19 3 5 2 3" xfId="2488"/>
    <cellStyle name="Normal 2 19 3 5 3" xfId="1144"/>
    <cellStyle name="Normal 2 19 3 5 3 2" xfId="1145"/>
    <cellStyle name="Normal 2 19 3 5 3 2 2" xfId="2491"/>
    <cellStyle name="Normal 2 19 3 5 3 3" xfId="2490"/>
    <cellStyle name="Normal 2 19 3 5 4" xfId="1146"/>
    <cellStyle name="Normal 2 19 3 5 4 2" xfId="2492"/>
    <cellStyle name="Normal 2 19 3 5 5" xfId="2487"/>
    <cellStyle name="Normal 2 19 3 6" xfId="1147"/>
    <cellStyle name="Normal 2 19 3 6 2" xfId="1148"/>
    <cellStyle name="Normal 2 19 3 6 2 2" xfId="1149"/>
    <cellStyle name="Normal 2 19 3 6 2 2 2" xfId="2495"/>
    <cellStyle name="Normal 2 19 3 6 2 3" xfId="2494"/>
    <cellStyle name="Normal 2 19 3 6 3" xfId="1150"/>
    <cellStyle name="Normal 2 19 3 6 3 2" xfId="1151"/>
    <cellStyle name="Normal 2 19 3 6 3 2 2" xfId="2497"/>
    <cellStyle name="Normal 2 19 3 6 3 3" xfId="2496"/>
    <cellStyle name="Normal 2 19 3 6 4" xfId="1152"/>
    <cellStyle name="Normal 2 19 3 6 4 2" xfId="2498"/>
    <cellStyle name="Normal 2 19 3 6 5" xfId="2493"/>
    <cellStyle name="Normal 2 19 3 7" xfId="1153"/>
    <cellStyle name="Normal 2 19 3 7 2" xfId="1154"/>
    <cellStyle name="Normal 2 19 3 7 2 2" xfId="1155"/>
    <cellStyle name="Normal 2 19 3 7 2 2 2" xfId="2501"/>
    <cellStyle name="Normal 2 19 3 7 2 3" xfId="2500"/>
    <cellStyle name="Normal 2 19 3 7 3" xfId="1156"/>
    <cellStyle name="Normal 2 19 3 7 3 2" xfId="1157"/>
    <cellStyle name="Normal 2 19 3 7 3 2 2" xfId="2503"/>
    <cellStyle name="Normal 2 19 3 7 3 3" xfId="2502"/>
    <cellStyle name="Normal 2 19 3 7 4" xfId="1158"/>
    <cellStyle name="Normal 2 19 3 7 4 2" xfId="2504"/>
    <cellStyle name="Normal 2 19 3 7 5" xfId="2499"/>
    <cellStyle name="Normal 2 19 3 8" xfId="1159"/>
    <cellStyle name="Normal 2 19 3 8 2" xfId="1160"/>
    <cellStyle name="Normal 2 19 3 8 2 2" xfId="1161"/>
    <cellStyle name="Normal 2 19 3 8 2 2 2" xfId="2507"/>
    <cellStyle name="Normal 2 19 3 8 2 3" xfId="2506"/>
    <cellStyle name="Normal 2 19 3 8 3" xfId="1162"/>
    <cellStyle name="Normal 2 19 3 8 3 2" xfId="1163"/>
    <cellStyle name="Normal 2 19 3 8 3 2 2" xfId="2509"/>
    <cellStyle name="Normal 2 19 3 8 3 3" xfId="2508"/>
    <cellStyle name="Normal 2 19 3 8 4" xfId="1164"/>
    <cellStyle name="Normal 2 19 3 8 4 2" xfId="2510"/>
    <cellStyle name="Normal 2 19 3 8 5" xfId="2505"/>
    <cellStyle name="Normal 2 19 3 9" xfId="1165"/>
    <cellStyle name="Normal 2 19 3 9 2" xfId="1166"/>
    <cellStyle name="Normal 2 19 3 9 2 2" xfId="2512"/>
    <cellStyle name="Normal 2 19 3 9 3" xfId="2511"/>
    <cellStyle name="Normal 2 19 4" xfId="1167"/>
    <cellStyle name="Normal 2 19 4 10" xfId="1168"/>
    <cellStyle name="Normal 2 19 4 10 2" xfId="1169"/>
    <cellStyle name="Normal 2 19 4 10 2 2" xfId="2515"/>
    <cellStyle name="Normal 2 19 4 10 3" xfId="2514"/>
    <cellStyle name="Normal 2 19 4 11" xfId="1170"/>
    <cellStyle name="Normal 2 19 4 11 2" xfId="2516"/>
    <cellStyle name="Normal 2 19 4 12" xfId="2513"/>
    <cellStyle name="Normal 2 19 4 2" xfId="1171"/>
    <cellStyle name="Normal 2 19 4 2 2" xfId="1172"/>
    <cellStyle name="Normal 2 19 4 2 2 2" xfId="1173"/>
    <cellStyle name="Normal 2 19 4 2 2 2 2" xfId="2519"/>
    <cellStyle name="Normal 2 19 4 2 2 3" xfId="2518"/>
    <cellStyle name="Normal 2 19 4 2 3" xfId="1174"/>
    <cellStyle name="Normal 2 19 4 2 3 2" xfId="1175"/>
    <cellStyle name="Normal 2 19 4 2 3 2 2" xfId="2521"/>
    <cellStyle name="Normal 2 19 4 2 3 3" xfId="2520"/>
    <cellStyle name="Normal 2 19 4 2 4" xfId="1176"/>
    <cellStyle name="Normal 2 19 4 2 4 2" xfId="2522"/>
    <cellStyle name="Normal 2 19 4 2 5" xfId="2517"/>
    <cellStyle name="Normal 2 19 4 3" xfId="1177"/>
    <cellStyle name="Normal 2 19 4 3 2" xfId="1178"/>
    <cellStyle name="Normal 2 19 4 3 2 2" xfId="1179"/>
    <cellStyle name="Normal 2 19 4 3 2 2 2" xfId="2525"/>
    <cellStyle name="Normal 2 19 4 3 2 3" xfId="2524"/>
    <cellStyle name="Normal 2 19 4 3 3" xfId="1180"/>
    <cellStyle name="Normal 2 19 4 3 3 2" xfId="1181"/>
    <cellStyle name="Normal 2 19 4 3 3 2 2" xfId="2527"/>
    <cellStyle name="Normal 2 19 4 3 3 3" xfId="2526"/>
    <cellStyle name="Normal 2 19 4 3 4" xfId="1182"/>
    <cellStyle name="Normal 2 19 4 3 4 2" xfId="2528"/>
    <cellStyle name="Normal 2 19 4 3 5" xfId="2523"/>
    <cellStyle name="Normal 2 19 4 4" xfId="1183"/>
    <cellStyle name="Normal 2 19 4 4 2" xfId="1184"/>
    <cellStyle name="Normal 2 19 4 4 2 2" xfId="1185"/>
    <cellStyle name="Normal 2 19 4 4 2 2 2" xfId="2531"/>
    <cellStyle name="Normal 2 19 4 4 2 3" xfId="2530"/>
    <cellStyle name="Normal 2 19 4 4 3" xfId="1186"/>
    <cellStyle name="Normal 2 19 4 4 3 2" xfId="1187"/>
    <cellStyle name="Normal 2 19 4 4 3 2 2" xfId="2533"/>
    <cellStyle name="Normal 2 19 4 4 3 3" xfId="2532"/>
    <cellStyle name="Normal 2 19 4 4 4" xfId="1188"/>
    <cellStyle name="Normal 2 19 4 4 4 2" xfId="2534"/>
    <cellStyle name="Normal 2 19 4 4 5" xfId="2529"/>
    <cellStyle name="Normal 2 19 4 5" xfId="1189"/>
    <cellStyle name="Normal 2 19 4 5 2" xfId="1190"/>
    <cellStyle name="Normal 2 19 4 5 2 2" xfId="1191"/>
    <cellStyle name="Normal 2 19 4 5 2 2 2" xfId="2537"/>
    <cellStyle name="Normal 2 19 4 5 2 3" xfId="2536"/>
    <cellStyle name="Normal 2 19 4 5 3" xfId="1192"/>
    <cellStyle name="Normal 2 19 4 5 3 2" xfId="1193"/>
    <cellStyle name="Normal 2 19 4 5 3 2 2" xfId="2539"/>
    <cellStyle name="Normal 2 19 4 5 3 3" xfId="2538"/>
    <cellStyle name="Normal 2 19 4 5 4" xfId="1194"/>
    <cellStyle name="Normal 2 19 4 5 4 2" xfId="2540"/>
    <cellStyle name="Normal 2 19 4 5 5" xfId="2535"/>
    <cellStyle name="Normal 2 19 4 6" xfId="1195"/>
    <cellStyle name="Normal 2 19 4 6 2" xfId="1196"/>
    <cellStyle name="Normal 2 19 4 6 2 2" xfId="1197"/>
    <cellStyle name="Normal 2 19 4 6 2 2 2" xfId="2543"/>
    <cellStyle name="Normal 2 19 4 6 2 3" xfId="2542"/>
    <cellStyle name="Normal 2 19 4 6 3" xfId="1198"/>
    <cellStyle name="Normal 2 19 4 6 3 2" xfId="1199"/>
    <cellStyle name="Normal 2 19 4 6 3 2 2" xfId="2545"/>
    <cellStyle name="Normal 2 19 4 6 3 3" xfId="2544"/>
    <cellStyle name="Normal 2 19 4 6 4" xfId="1200"/>
    <cellStyle name="Normal 2 19 4 6 4 2" xfId="2546"/>
    <cellStyle name="Normal 2 19 4 6 5" xfId="2541"/>
    <cellStyle name="Normal 2 19 4 7" xfId="1201"/>
    <cellStyle name="Normal 2 19 4 7 2" xfId="1202"/>
    <cellStyle name="Normal 2 19 4 7 2 2" xfId="1203"/>
    <cellStyle name="Normal 2 19 4 7 2 2 2" xfId="2549"/>
    <cellStyle name="Normal 2 19 4 7 2 3" xfId="2548"/>
    <cellStyle name="Normal 2 19 4 7 3" xfId="1204"/>
    <cellStyle name="Normal 2 19 4 7 3 2" xfId="1205"/>
    <cellStyle name="Normal 2 19 4 7 3 2 2" xfId="2551"/>
    <cellStyle name="Normal 2 19 4 7 3 3" xfId="2550"/>
    <cellStyle name="Normal 2 19 4 7 4" xfId="1206"/>
    <cellStyle name="Normal 2 19 4 7 4 2" xfId="2552"/>
    <cellStyle name="Normal 2 19 4 7 5" xfId="2547"/>
    <cellStyle name="Normal 2 19 4 8" xfId="1207"/>
    <cellStyle name="Normal 2 19 4 8 2" xfId="1208"/>
    <cellStyle name="Normal 2 19 4 8 2 2" xfId="1209"/>
    <cellStyle name="Normal 2 19 4 8 2 2 2" xfId="2555"/>
    <cellStyle name="Normal 2 19 4 8 2 3" xfId="2554"/>
    <cellStyle name="Normal 2 19 4 8 3" xfId="1210"/>
    <cellStyle name="Normal 2 19 4 8 3 2" xfId="1211"/>
    <cellStyle name="Normal 2 19 4 8 3 2 2" xfId="2557"/>
    <cellStyle name="Normal 2 19 4 8 3 3" xfId="2556"/>
    <cellStyle name="Normal 2 19 4 8 4" xfId="1212"/>
    <cellStyle name="Normal 2 19 4 8 4 2" xfId="2558"/>
    <cellStyle name="Normal 2 19 4 8 5" xfId="2553"/>
    <cellStyle name="Normal 2 19 4 9" xfId="1213"/>
    <cellStyle name="Normal 2 19 4 9 2" xfId="1214"/>
    <cellStyle name="Normal 2 19 4 9 2 2" xfId="2560"/>
    <cellStyle name="Normal 2 19 4 9 3" xfId="2559"/>
    <cellStyle name="Normal 2 19 5" xfId="1215"/>
    <cellStyle name="Normal 2 19 5 2" xfId="1216"/>
    <cellStyle name="Normal 2 19 5 2 2" xfId="1217"/>
    <cellStyle name="Normal 2 19 5 2 2 2" xfId="1218"/>
    <cellStyle name="Normal 2 19 5 2 2 2 2" xfId="2564"/>
    <cellStyle name="Normal 2 19 5 2 2 3" xfId="2563"/>
    <cellStyle name="Normal 2 19 5 2 3" xfId="1219"/>
    <cellStyle name="Normal 2 19 5 2 3 2" xfId="1220"/>
    <cellStyle name="Normal 2 19 5 2 3 2 2" xfId="2566"/>
    <cellStyle name="Normal 2 19 5 2 3 3" xfId="2565"/>
    <cellStyle name="Normal 2 19 5 2 4" xfId="1221"/>
    <cellStyle name="Normal 2 19 5 2 4 2" xfId="2567"/>
    <cellStyle name="Normal 2 19 5 2 5" xfId="2562"/>
    <cellStyle name="Normal 2 19 5 3" xfId="1222"/>
    <cellStyle name="Normal 2 19 5 3 2" xfId="1223"/>
    <cellStyle name="Normal 2 19 5 3 2 2" xfId="1224"/>
    <cellStyle name="Normal 2 19 5 3 2 2 2" xfId="2570"/>
    <cellStyle name="Normal 2 19 5 3 2 3" xfId="2569"/>
    <cellStyle name="Normal 2 19 5 3 3" xfId="1225"/>
    <cellStyle name="Normal 2 19 5 3 3 2" xfId="1226"/>
    <cellStyle name="Normal 2 19 5 3 3 2 2" xfId="2572"/>
    <cellStyle name="Normal 2 19 5 3 3 3" xfId="2571"/>
    <cellStyle name="Normal 2 19 5 3 4" xfId="1227"/>
    <cellStyle name="Normal 2 19 5 3 4 2" xfId="2573"/>
    <cellStyle name="Normal 2 19 5 3 5" xfId="2568"/>
    <cellStyle name="Normal 2 19 5 4" xfId="1228"/>
    <cellStyle name="Normal 2 19 5 4 2" xfId="1229"/>
    <cellStyle name="Normal 2 19 5 4 2 2" xfId="2575"/>
    <cellStyle name="Normal 2 19 5 4 3" xfId="2574"/>
    <cellStyle name="Normal 2 19 5 5" xfId="1230"/>
    <cellStyle name="Normal 2 19 5 5 2" xfId="1231"/>
    <cellStyle name="Normal 2 19 5 5 2 2" xfId="2577"/>
    <cellStyle name="Normal 2 19 5 5 3" xfId="2576"/>
    <cellStyle name="Normal 2 19 5 6" xfId="1232"/>
    <cellStyle name="Normal 2 19 5 6 2" xfId="2578"/>
    <cellStyle name="Normal 2 19 5 7" xfId="2561"/>
    <cellStyle name="Normal 2 19 6" xfId="1233"/>
    <cellStyle name="Normal 2 19 6 2" xfId="1234"/>
    <cellStyle name="Normal 2 19 6 2 2" xfId="1235"/>
    <cellStyle name="Normal 2 19 6 2 2 2" xfId="1236"/>
    <cellStyle name="Normal 2 19 6 2 2 2 2" xfId="2582"/>
    <cellStyle name="Normal 2 19 6 2 2 3" xfId="2581"/>
    <cellStyle name="Normal 2 19 6 2 3" xfId="1237"/>
    <cellStyle name="Normal 2 19 6 2 3 2" xfId="1238"/>
    <cellStyle name="Normal 2 19 6 2 3 2 2" xfId="2584"/>
    <cellStyle name="Normal 2 19 6 2 3 3" xfId="2583"/>
    <cellStyle name="Normal 2 19 6 2 4" xfId="1239"/>
    <cellStyle name="Normal 2 19 6 2 4 2" xfId="2585"/>
    <cellStyle name="Normal 2 19 6 2 5" xfId="2580"/>
    <cellStyle name="Normal 2 19 6 3" xfId="1240"/>
    <cellStyle name="Normal 2 19 6 3 2" xfId="1241"/>
    <cellStyle name="Normal 2 19 6 3 2 2" xfId="1242"/>
    <cellStyle name="Normal 2 19 6 3 2 2 2" xfId="2588"/>
    <cellStyle name="Normal 2 19 6 3 2 3" xfId="2587"/>
    <cellStyle name="Normal 2 19 6 3 3" xfId="1243"/>
    <cellStyle name="Normal 2 19 6 3 3 2" xfId="1244"/>
    <cellStyle name="Normal 2 19 6 3 3 2 2" xfId="2590"/>
    <cellStyle name="Normal 2 19 6 3 3 3" xfId="2589"/>
    <cellStyle name="Normal 2 19 6 3 4" xfId="1245"/>
    <cellStyle name="Normal 2 19 6 3 4 2" xfId="2591"/>
    <cellStyle name="Normal 2 19 6 3 5" xfId="2586"/>
    <cellStyle name="Normal 2 19 6 4" xfId="1246"/>
    <cellStyle name="Normal 2 19 6 4 2" xfId="1247"/>
    <cellStyle name="Normal 2 19 6 4 2 2" xfId="2593"/>
    <cellStyle name="Normal 2 19 6 4 3" xfId="2592"/>
    <cellStyle name="Normal 2 19 6 5" xfId="1248"/>
    <cellStyle name="Normal 2 19 6 5 2" xfId="1249"/>
    <cellStyle name="Normal 2 19 6 5 2 2" xfId="2595"/>
    <cellStyle name="Normal 2 19 6 5 3" xfId="2594"/>
    <cellStyle name="Normal 2 19 6 6" xfId="1250"/>
    <cellStyle name="Normal 2 19 6 6 2" xfId="2596"/>
    <cellStyle name="Normal 2 19 6 7" xfId="2579"/>
    <cellStyle name="Normal 2 19 7" xfId="1251"/>
    <cellStyle name="Normal 2 19 7 2" xfId="1252"/>
    <cellStyle name="Normal 2 19 7 2 2" xfId="1253"/>
    <cellStyle name="Normal 2 19 7 2 2 2" xfId="1254"/>
    <cellStyle name="Normal 2 19 7 2 2 2 2" xfId="2600"/>
    <cellStyle name="Normal 2 19 7 2 2 3" xfId="2599"/>
    <cellStyle name="Normal 2 19 7 2 3" xfId="1255"/>
    <cellStyle name="Normal 2 19 7 2 3 2" xfId="1256"/>
    <cellStyle name="Normal 2 19 7 2 3 2 2" xfId="2602"/>
    <cellStyle name="Normal 2 19 7 2 3 3" xfId="2601"/>
    <cellStyle name="Normal 2 19 7 2 4" xfId="1257"/>
    <cellStyle name="Normal 2 19 7 2 4 2" xfId="2603"/>
    <cellStyle name="Normal 2 19 7 2 5" xfId="2598"/>
    <cellStyle name="Normal 2 19 7 3" xfId="1258"/>
    <cellStyle name="Normal 2 19 7 3 2" xfId="1259"/>
    <cellStyle name="Normal 2 19 7 3 2 2" xfId="1260"/>
    <cellStyle name="Normal 2 19 7 3 2 2 2" xfId="2606"/>
    <cellStyle name="Normal 2 19 7 3 2 3" xfId="2605"/>
    <cellStyle name="Normal 2 19 7 3 3" xfId="1261"/>
    <cellStyle name="Normal 2 19 7 3 3 2" xfId="1262"/>
    <cellStyle name="Normal 2 19 7 3 3 2 2" xfId="2608"/>
    <cellStyle name="Normal 2 19 7 3 3 3" xfId="2607"/>
    <cellStyle name="Normal 2 19 7 3 4" xfId="1263"/>
    <cellStyle name="Normal 2 19 7 3 4 2" xfId="2609"/>
    <cellStyle name="Normal 2 19 7 3 5" xfId="2604"/>
    <cellStyle name="Normal 2 19 7 4" xfId="1264"/>
    <cellStyle name="Normal 2 19 7 4 2" xfId="1265"/>
    <cellStyle name="Normal 2 19 7 4 2 2" xfId="2611"/>
    <cellStyle name="Normal 2 19 7 4 3" xfId="2610"/>
    <cellStyle name="Normal 2 19 7 5" xfId="1266"/>
    <cellStyle name="Normal 2 19 7 5 2" xfId="1267"/>
    <cellStyle name="Normal 2 19 7 5 2 2" xfId="2613"/>
    <cellStyle name="Normal 2 19 7 5 3" xfId="2612"/>
    <cellStyle name="Normal 2 19 7 6" xfId="1268"/>
    <cellStyle name="Normal 2 19 7 6 2" xfId="2614"/>
    <cellStyle name="Normal 2 19 7 7" xfId="2597"/>
    <cellStyle name="Normal 2 19 8" xfId="1269"/>
    <cellStyle name="Normal 2 19 8 2" xfId="1270"/>
    <cellStyle name="Normal 2 19 8 2 2" xfId="1271"/>
    <cellStyle name="Normal 2 19 8 2 2 2" xfId="1272"/>
    <cellStyle name="Normal 2 19 8 2 2 2 2" xfId="2618"/>
    <cellStyle name="Normal 2 19 8 2 2 3" xfId="2617"/>
    <cellStyle name="Normal 2 19 8 2 3" xfId="1273"/>
    <cellStyle name="Normal 2 19 8 2 3 2" xfId="1274"/>
    <cellStyle name="Normal 2 19 8 2 3 2 2" xfId="2620"/>
    <cellStyle name="Normal 2 19 8 2 3 3" xfId="2619"/>
    <cellStyle name="Normal 2 19 8 2 4" xfId="1275"/>
    <cellStyle name="Normal 2 19 8 2 4 2" xfId="2621"/>
    <cellStyle name="Normal 2 19 8 2 5" xfId="2616"/>
    <cellStyle name="Normal 2 19 8 3" xfId="1276"/>
    <cellStyle name="Normal 2 19 8 3 2" xfId="1277"/>
    <cellStyle name="Normal 2 19 8 3 2 2" xfId="1278"/>
    <cellStyle name="Normal 2 19 8 3 2 2 2" xfId="2624"/>
    <cellStyle name="Normal 2 19 8 3 2 3" xfId="2623"/>
    <cellStyle name="Normal 2 19 8 3 3" xfId="1279"/>
    <cellStyle name="Normal 2 19 8 3 3 2" xfId="1280"/>
    <cellStyle name="Normal 2 19 8 3 3 2 2" xfId="2626"/>
    <cellStyle name="Normal 2 19 8 3 3 3" xfId="2625"/>
    <cellStyle name="Normal 2 19 8 3 4" xfId="1281"/>
    <cellStyle name="Normal 2 19 8 3 4 2" xfId="2627"/>
    <cellStyle name="Normal 2 19 8 3 5" xfId="2622"/>
    <cellStyle name="Normal 2 19 8 4" xfId="1282"/>
    <cellStyle name="Normal 2 19 8 4 2" xfId="1283"/>
    <cellStyle name="Normal 2 19 8 4 2 2" xfId="2629"/>
    <cellStyle name="Normal 2 19 8 4 3" xfId="2628"/>
    <cellStyle name="Normal 2 19 8 5" xfId="1284"/>
    <cellStyle name="Normal 2 19 8 5 2" xfId="1285"/>
    <cellStyle name="Normal 2 19 8 5 2 2" xfId="2631"/>
    <cellStyle name="Normal 2 19 8 5 3" xfId="2630"/>
    <cellStyle name="Normal 2 19 8 6" xfId="1286"/>
    <cellStyle name="Normal 2 19 8 6 2" xfId="2632"/>
    <cellStyle name="Normal 2 19 8 7" xfId="2615"/>
    <cellStyle name="Normal 2 19 9" xfId="1287"/>
    <cellStyle name="Normal 2 19 9 2" xfId="1288"/>
    <cellStyle name="Normal 2 19 9 2 2" xfId="1289"/>
    <cellStyle name="Normal 2 19 9 2 2 2" xfId="1290"/>
    <cellStyle name="Normal 2 19 9 2 2 2 2" xfId="2636"/>
    <cellStyle name="Normal 2 19 9 2 2 3" xfId="2635"/>
    <cellStyle name="Normal 2 19 9 2 3" xfId="1291"/>
    <cellStyle name="Normal 2 19 9 2 3 2" xfId="1292"/>
    <cellStyle name="Normal 2 19 9 2 3 2 2" xfId="2638"/>
    <cellStyle name="Normal 2 19 9 2 3 3" xfId="2637"/>
    <cellStyle name="Normal 2 19 9 2 4" xfId="1293"/>
    <cellStyle name="Normal 2 19 9 2 4 2" xfId="2639"/>
    <cellStyle name="Normal 2 19 9 2 5" xfId="2634"/>
    <cellStyle name="Normal 2 19 9 3" xfId="1294"/>
    <cellStyle name="Normal 2 19 9 3 2" xfId="1295"/>
    <cellStyle name="Normal 2 19 9 3 2 2" xfId="1296"/>
    <cellStyle name="Normal 2 19 9 3 2 2 2" xfId="2642"/>
    <cellStyle name="Normal 2 19 9 3 2 3" xfId="2641"/>
    <cellStyle name="Normal 2 19 9 3 3" xfId="1297"/>
    <cellStyle name="Normal 2 19 9 3 3 2" xfId="1298"/>
    <cellStyle name="Normal 2 19 9 3 3 2 2" xfId="2644"/>
    <cellStyle name="Normal 2 19 9 3 3 3" xfId="2643"/>
    <cellStyle name="Normal 2 19 9 3 4" xfId="1299"/>
    <cellStyle name="Normal 2 19 9 3 4 2" xfId="2645"/>
    <cellStyle name="Normal 2 19 9 3 5" xfId="2640"/>
    <cellStyle name="Normal 2 19 9 4" xfId="1300"/>
    <cellStyle name="Normal 2 19 9 4 2" xfId="1301"/>
    <cellStyle name="Normal 2 19 9 4 2 2" xfId="2647"/>
    <cellStyle name="Normal 2 19 9 4 3" xfId="2646"/>
    <cellStyle name="Normal 2 19 9 5" xfId="1302"/>
    <cellStyle name="Normal 2 19 9 5 2" xfId="1303"/>
    <cellStyle name="Normal 2 19 9 5 2 2" xfId="2649"/>
    <cellStyle name="Normal 2 19 9 5 3" xfId="2648"/>
    <cellStyle name="Normal 2 19 9 6" xfId="1304"/>
    <cellStyle name="Normal 2 19 9 6 2" xfId="2650"/>
    <cellStyle name="Normal 2 19 9 7" xfId="2633"/>
    <cellStyle name="Normal 2 2" xfId="8"/>
    <cellStyle name="Normal 2 2 2" xfId="10"/>
    <cellStyle name="Normal 2 2 2 2" xfId="3053"/>
    <cellStyle name="Normal 2 2 3" xfId="1305"/>
    <cellStyle name="Normal 2 20" xfId="1306"/>
    <cellStyle name="Normal 2 20 10" xfId="1307"/>
    <cellStyle name="Normal 2 20 10 2" xfId="1308"/>
    <cellStyle name="Normal 2 20 10 2 2" xfId="1309"/>
    <cellStyle name="Normal 2 20 10 2 2 2" xfId="1310"/>
    <cellStyle name="Normal 2 20 10 2 2 2 2" xfId="2655"/>
    <cellStyle name="Normal 2 20 10 2 2 3" xfId="2654"/>
    <cellStyle name="Normal 2 20 10 2 3" xfId="1311"/>
    <cellStyle name="Normal 2 20 10 2 3 2" xfId="1312"/>
    <cellStyle name="Normal 2 20 10 2 3 2 2" xfId="2657"/>
    <cellStyle name="Normal 2 20 10 2 3 3" xfId="2656"/>
    <cellStyle name="Normal 2 20 10 2 4" xfId="1313"/>
    <cellStyle name="Normal 2 20 10 2 4 2" xfId="2658"/>
    <cellStyle name="Normal 2 20 10 2 5" xfId="2653"/>
    <cellStyle name="Normal 2 20 10 3" xfId="1314"/>
    <cellStyle name="Normal 2 20 10 3 2" xfId="1315"/>
    <cellStyle name="Normal 2 20 10 3 2 2" xfId="1316"/>
    <cellStyle name="Normal 2 20 10 3 2 2 2" xfId="2661"/>
    <cellStyle name="Normal 2 20 10 3 2 3" xfId="2660"/>
    <cellStyle name="Normal 2 20 10 3 3" xfId="1317"/>
    <cellStyle name="Normal 2 20 10 3 3 2" xfId="1318"/>
    <cellStyle name="Normal 2 20 10 3 3 2 2" xfId="2663"/>
    <cellStyle name="Normal 2 20 10 3 3 3" xfId="2662"/>
    <cellStyle name="Normal 2 20 10 3 4" xfId="1319"/>
    <cellStyle name="Normal 2 20 10 3 4 2" xfId="2664"/>
    <cellStyle name="Normal 2 20 10 3 5" xfId="2659"/>
    <cellStyle name="Normal 2 20 10 4" xfId="1320"/>
    <cellStyle name="Normal 2 20 10 4 2" xfId="1321"/>
    <cellStyle name="Normal 2 20 10 4 2 2" xfId="2666"/>
    <cellStyle name="Normal 2 20 10 4 3" xfId="2665"/>
    <cellStyle name="Normal 2 20 10 5" xfId="1322"/>
    <cellStyle name="Normal 2 20 10 5 2" xfId="1323"/>
    <cellStyle name="Normal 2 20 10 5 2 2" xfId="2668"/>
    <cellStyle name="Normal 2 20 10 5 3" xfId="2667"/>
    <cellStyle name="Normal 2 20 10 6" xfId="1324"/>
    <cellStyle name="Normal 2 20 10 6 2" xfId="2669"/>
    <cellStyle name="Normal 2 20 10 7" xfId="2652"/>
    <cellStyle name="Normal 2 20 11" xfId="1325"/>
    <cellStyle name="Normal 2 20 11 2" xfId="1326"/>
    <cellStyle name="Normal 2 20 11 2 2" xfId="1327"/>
    <cellStyle name="Normal 2 20 11 2 2 2" xfId="1328"/>
    <cellStyle name="Normal 2 20 11 2 2 2 2" xfId="2673"/>
    <cellStyle name="Normal 2 20 11 2 2 3" xfId="2672"/>
    <cellStyle name="Normal 2 20 11 2 3" xfId="1329"/>
    <cellStyle name="Normal 2 20 11 2 3 2" xfId="1330"/>
    <cellStyle name="Normal 2 20 11 2 3 2 2" xfId="2675"/>
    <cellStyle name="Normal 2 20 11 2 3 3" xfId="2674"/>
    <cellStyle name="Normal 2 20 11 2 4" xfId="1331"/>
    <cellStyle name="Normal 2 20 11 2 4 2" xfId="2676"/>
    <cellStyle name="Normal 2 20 11 2 5" xfId="2671"/>
    <cellStyle name="Normal 2 20 11 3" xfId="1332"/>
    <cellStyle name="Normal 2 20 11 3 2" xfId="1333"/>
    <cellStyle name="Normal 2 20 11 3 2 2" xfId="1334"/>
    <cellStyle name="Normal 2 20 11 3 2 2 2" xfId="2679"/>
    <cellStyle name="Normal 2 20 11 3 2 3" xfId="2678"/>
    <cellStyle name="Normal 2 20 11 3 3" xfId="1335"/>
    <cellStyle name="Normal 2 20 11 3 3 2" xfId="1336"/>
    <cellStyle name="Normal 2 20 11 3 3 2 2" xfId="2681"/>
    <cellStyle name="Normal 2 20 11 3 3 3" xfId="2680"/>
    <cellStyle name="Normal 2 20 11 3 4" xfId="1337"/>
    <cellStyle name="Normal 2 20 11 3 4 2" xfId="2682"/>
    <cellStyle name="Normal 2 20 11 3 5" xfId="2677"/>
    <cellStyle name="Normal 2 20 11 4" xfId="1338"/>
    <cellStyle name="Normal 2 20 11 4 2" xfId="1339"/>
    <cellStyle name="Normal 2 20 11 4 2 2" xfId="2684"/>
    <cellStyle name="Normal 2 20 11 4 3" xfId="2683"/>
    <cellStyle name="Normal 2 20 11 5" xfId="1340"/>
    <cellStyle name="Normal 2 20 11 5 2" xfId="1341"/>
    <cellStyle name="Normal 2 20 11 5 2 2" xfId="2686"/>
    <cellStyle name="Normal 2 20 11 5 3" xfId="2685"/>
    <cellStyle name="Normal 2 20 11 6" xfId="1342"/>
    <cellStyle name="Normal 2 20 11 6 2" xfId="2687"/>
    <cellStyle name="Normal 2 20 11 7" xfId="2670"/>
    <cellStyle name="Normal 2 20 12" xfId="1343"/>
    <cellStyle name="Normal 2 20 12 2" xfId="1344"/>
    <cellStyle name="Normal 2 20 12 2 2" xfId="1345"/>
    <cellStyle name="Normal 2 20 12 2 2 2" xfId="1346"/>
    <cellStyle name="Normal 2 20 12 2 2 2 2" xfId="2691"/>
    <cellStyle name="Normal 2 20 12 2 2 3" xfId="2690"/>
    <cellStyle name="Normal 2 20 12 2 3" xfId="1347"/>
    <cellStyle name="Normal 2 20 12 2 3 2" xfId="1348"/>
    <cellStyle name="Normal 2 20 12 2 3 2 2" xfId="2693"/>
    <cellStyle name="Normal 2 20 12 2 3 3" xfId="2692"/>
    <cellStyle name="Normal 2 20 12 2 4" xfId="1349"/>
    <cellStyle name="Normal 2 20 12 2 4 2" xfId="2694"/>
    <cellStyle name="Normal 2 20 12 2 5" xfId="2689"/>
    <cellStyle name="Normal 2 20 12 3" xfId="1350"/>
    <cellStyle name="Normal 2 20 12 3 2" xfId="1351"/>
    <cellStyle name="Normal 2 20 12 3 2 2" xfId="1352"/>
    <cellStyle name="Normal 2 20 12 3 2 2 2" xfId="2697"/>
    <cellStyle name="Normal 2 20 12 3 2 3" xfId="2696"/>
    <cellStyle name="Normal 2 20 12 3 3" xfId="1353"/>
    <cellStyle name="Normal 2 20 12 3 3 2" xfId="1354"/>
    <cellStyle name="Normal 2 20 12 3 3 2 2" xfId="2699"/>
    <cellStyle name="Normal 2 20 12 3 3 3" xfId="2698"/>
    <cellStyle name="Normal 2 20 12 3 4" xfId="1355"/>
    <cellStyle name="Normal 2 20 12 3 4 2" xfId="2700"/>
    <cellStyle name="Normal 2 20 12 3 5" xfId="2695"/>
    <cellStyle name="Normal 2 20 12 4" xfId="1356"/>
    <cellStyle name="Normal 2 20 12 4 2" xfId="1357"/>
    <cellStyle name="Normal 2 20 12 4 2 2" xfId="2702"/>
    <cellStyle name="Normal 2 20 12 4 3" xfId="2701"/>
    <cellStyle name="Normal 2 20 12 5" xfId="1358"/>
    <cellStyle name="Normal 2 20 12 5 2" xfId="1359"/>
    <cellStyle name="Normal 2 20 12 5 2 2" xfId="2704"/>
    <cellStyle name="Normal 2 20 12 5 3" xfId="2703"/>
    <cellStyle name="Normal 2 20 12 6" xfId="1360"/>
    <cellStyle name="Normal 2 20 12 6 2" xfId="2705"/>
    <cellStyle name="Normal 2 20 12 7" xfId="2688"/>
    <cellStyle name="Normal 2 20 13" xfId="1361"/>
    <cellStyle name="Normal 2 20 13 2" xfId="1362"/>
    <cellStyle name="Normal 2 20 13 2 2" xfId="1363"/>
    <cellStyle name="Normal 2 20 13 2 2 2" xfId="1364"/>
    <cellStyle name="Normal 2 20 13 2 2 2 2" xfId="2709"/>
    <cellStyle name="Normal 2 20 13 2 2 3" xfId="2708"/>
    <cellStyle name="Normal 2 20 13 2 3" xfId="1365"/>
    <cellStyle name="Normal 2 20 13 2 3 2" xfId="1366"/>
    <cellStyle name="Normal 2 20 13 2 3 2 2" xfId="2711"/>
    <cellStyle name="Normal 2 20 13 2 3 3" xfId="2710"/>
    <cellStyle name="Normal 2 20 13 2 4" xfId="1367"/>
    <cellStyle name="Normal 2 20 13 2 4 2" xfId="2712"/>
    <cellStyle name="Normal 2 20 13 2 5" xfId="2707"/>
    <cellStyle name="Normal 2 20 13 3" xfId="1368"/>
    <cellStyle name="Normal 2 20 13 3 2" xfId="1369"/>
    <cellStyle name="Normal 2 20 13 3 2 2" xfId="1370"/>
    <cellStyle name="Normal 2 20 13 3 2 2 2" xfId="2715"/>
    <cellStyle name="Normal 2 20 13 3 2 3" xfId="2714"/>
    <cellStyle name="Normal 2 20 13 3 3" xfId="1371"/>
    <cellStyle name="Normal 2 20 13 3 3 2" xfId="1372"/>
    <cellStyle name="Normal 2 20 13 3 3 2 2" xfId="2717"/>
    <cellStyle name="Normal 2 20 13 3 3 3" xfId="2716"/>
    <cellStyle name="Normal 2 20 13 3 4" xfId="1373"/>
    <cellStyle name="Normal 2 20 13 3 4 2" xfId="2718"/>
    <cellStyle name="Normal 2 20 13 3 5" xfId="2713"/>
    <cellStyle name="Normal 2 20 13 4" xfId="1374"/>
    <cellStyle name="Normal 2 20 13 4 2" xfId="1375"/>
    <cellStyle name="Normal 2 20 13 4 2 2" xfId="2720"/>
    <cellStyle name="Normal 2 20 13 4 3" xfId="2719"/>
    <cellStyle name="Normal 2 20 13 5" xfId="1376"/>
    <cellStyle name="Normal 2 20 13 5 2" xfId="1377"/>
    <cellStyle name="Normal 2 20 13 5 2 2" xfId="2722"/>
    <cellStyle name="Normal 2 20 13 5 3" xfId="2721"/>
    <cellStyle name="Normal 2 20 13 6" xfId="1378"/>
    <cellStyle name="Normal 2 20 13 6 2" xfId="2723"/>
    <cellStyle name="Normal 2 20 13 7" xfId="2706"/>
    <cellStyle name="Normal 2 20 14" xfId="1379"/>
    <cellStyle name="Normal 2 20 14 2" xfId="1380"/>
    <cellStyle name="Normal 2 20 14 2 2" xfId="1381"/>
    <cellStyle name="Normal 2 20 14 2 2 2" xfId="1382"/>
    <cellStyle name="Normal 2 20 14 2 2 2 2" xfId="2727"/>
    <cellStyle name="Normal 2 20 14 2 2 3" xfId="2726"/>
    <cellStyle name="Normal 2 20 14 2 3" xfId="1383"/>
    <cellStyle name="Normal 2 20 14 2 3 2" xfId="1384"/>
    <cellStyle name="Normal 2 20 14 2 3 2 2" xfId="2729"/>
    <cellStyle name="Normal 2 20 14 2 3 3" xfId="2728"/>
    <cellStyle name="Normal 2 20 14 2 4" xfId="1385"/>
    <cellStyle name="Normal 2 20 14 2 4 2" xfId="2730"/>
    <cellStyle name="Normal 2 20 14 2 5" xfId="2725"/>
    <cellStyle name="Normal 2 20 14 3" xfId="1386"/>
    <cellStyle name="Normal 2 20 14 3 2" xfId="1387"/>
    <cellStyle name="Normal 2 20 14 3 2 2" xfId="1388"/>
    <cellStyle name="Normal 2 20 14 3 2 2 2" xfId="2733"/>
    <cellStyle name="Normal 2 20 14 3 2 3" xfId="2732"/>
    <cellStyle name="Normal 2 20 14 3 3" xfId="1389"/>
    <cellStyle name="Normal 2 20 14 3 3 2" xfId="1390"/>
    <cellStyle name="Normal 2 20 14 3 3 2 2" xfId="2735"/>
    <cellStyle name="Normal 2 20 14 3 3 3" xfId="2734"/>
    <cellStyle name="Normal 2 20 14 3 4" xfId="1391"/>
    <cellStyle name="Normal 2 20 14 3 4 2" xfId="2736"/>
    <cellStyle name="Normal 2 20 14 3 5" xfId="2731"/>
    <cellStyle name="Normal 2 20 14 4" xfId="1392"/>
    <cellStyle name="Normal 2 20 14 4 2" xfId="1393"/>
    <cellStyle name="Normal 2 20 14 4 2 2" xfId="2738"/>
    <cellStyle name="Normal 2 20 14 4 3" xfId="2737"/>
    <cellStyle name="Normal 2 20 14 5" xfId="1394"/>
    <cellStyle name="Normal 2 20 14 5 2" xfId="1395"/>
    <cellStyle name="Normal 2 20 14 5 2 2" xfId="2740"/>
    <cellStyle name="Normal 2 20 14 5 3" xfId="2739"/>
    <cellStyle name="Normal 2 20 14 6" xfId="1396"/>
    <cellStyle name="Normal 2 20 14 6 2" xfId="2741"/>
    <cellStyle name="Normal 2 20 14 7" xfId="2724"/>
    <cellStyle name="Normal 2 20 15" xfId="1397"/>
    <cellStyle name="Normal 2 20 15 2" xfId="1398"/>
    <cellStyle name="Normal 2 20 15 2 2" xfId="1399"/>
    <cellStyle name="Normal 2 20 15 2 2 2" xfId="1400"/>
    <cellStyle name="Normal 2 20 15 2 2 2 2" xfId="2745"/>
    <cellStyle name="Normal 2 20 15 2 2 3" xfId="2744"/>
    <cellStyle name="Normal 2 20 15 2 3" xfId="1401"/>
    <cellStyle name="Normal 2 20 15 2 3 2" xfId="1402"/>
    <cellStyle name="Normal 2 20 15 2 3 2 2" xfId="2747"/>
    <cellStyle name="Normal 2 20 15 2 3 3" xfId="2746"/>
    <cellStyle name="Normal 2 20 15 2 4" xfId="1403"/>
    <cellStyle name="Normal 2 20 15 2 4 2" xfId="2748"/>
    <cellStyle name="Normal 2 20 15 2 5" xfId="2743"/>
    <cellStyle name="Normal 2 20 15 3" xfId="1404"/>
    <cellStyle name="Normal 2 20 15 3 2" xfId="1405"/>
    <cellStyle name="Normal 2 20 15 3 2 2" xfId="1406"/>
    <cellStyle name="Normal 2 20 15 3 2 2 2" xfId="2751"/>
    <cellStyle name="Normal 2 20 15 3 2 3" xfId="2750"/>
    <cellStyle name="Normal 2 20 15 3 3" xfId="1407"/>
    <cellStyle name="Normal 2 20 15 3 3 2" xfId="1408"/>
    <cellStyle name="Normal 2 20 15 3 3 2 2" xfId="2753"/>
    <cellStyle name="Normal 2 20 15 3 3 3" xfId="2752"/>
    <cellStyle name="Normal 2 20 15 3 4" xfId="1409"/>
    <cellStyle name="Normal 2 20 15 3 4 2" xfId="2754"/>
    <cellStyle name="Normal 2 20 15 3 5" xfId="2749"/>
    <cellStyle name="Normal 2 20 15 4" xfId="1410"/>
    <cellStyle name="Normal 2 20 15 4 2" xfId="1411"/>
    <cellStyle name="Normal 2 20 15 4 2 2" xfId="2756"/>
    <cellStyle name="Normal 2 20 15 4 3" xfId="2755"/>
    <cellStyle name="Normal 2 20 15 5" xfId="1412"/>
    <cellStyle name="Normal 2 20 15 5 2" xfId="1413"/>
    <cellStyle name="Normal 2 20 15 5 2 2" xfId="2758"/>
    <cellStyle name="Normal 2 20 15 5 3" xfId="2757"/>
    <cellStyle name="Normal 2 20 15 6" xfId="1414"/>
    <cellStyle name="Normal 2 20 15 6 2" xfId="2759"/>
    <cellStyle name="Normal 2 20 15 7" xfId="2742"/>
    <cellStyle name="Normal 2 20 16" xfId="1415"/>
    <cellStyle name="Normal 2 20 16 2" xfId="1416"/>
    <cellStyle name="Normal 2 20 16 2 2" xfId="1417"/>
    <cellStyle name="Normal 2 20 16 2 2 2" xfId="2762"/>
    <cellStyle name="Normal 2 20 16 2 3" xfId="2761"/>
    <cellStyle name="Normal 2 20 16 3" xfId="1418"/>
    <cellStyle name="Normal 2 20 16 3 2" xfId="1419"/>
    <cellStyle name="Normal 2 20 16 3 2 2" xfId="2764"/>
    <cellStyle name="Normal 2 20 16 3 3" xfId="2763"/>
    <cellStyle name="Normal 2 20 16 4" xfId="1420"/>
    <cellStyle name="Normal 2 20 16 4 2" xfId="2765"/>
    <cellStyle name="Normal 2 20 16 5" xfId="2760"/>
    <cellStyle name="Normal 2 20 17" xfId="1421"/>
    <cellStyle name="Normal 2 20 17 2" xfId="1422"/>
    <cellStyle name="Normal 2 20 17 2 2" xfId="1423"/>
    <cellStyle name="Normal 2 20 17 2 2 2" xfId="2768"/>
    <cellStyle name="Normal 2 20 17 2 3" xfId="2767"/>
    <cellStyle name="Normal 2 20 17 3" xfId="1424"/>
    <cellStyle name="Normal 2 20 17 3 2" xfId="1425"/>
    <cellStyle name="Normal 2 20 17 3 2 2" xfId="2770"/>
    <cellStyle name="Normal 2 20 17 3 3" xfId="2769"/>
    <cellStyle name="Normal 2 20 17 4" xfId="1426"/>
    <cellStyle name="Normal 2 20 17 4 2" xfId="2771"/>
    <cellStyle name="Normal 2 20 17 5" xfId="2766"/>
    <cellStyle name="Normal 2 20 18" xfId="1427"/>
    <cellStyle name="Normal 2 20 18 2" xfId="1428"/>
    <cellStyle name="Normal 2 20 18 2 2" xfId="1429"/>
    <cellStyle name="Normal 2 20 18 2 2 2" xfId="2774"/>
    <cellStyle name="Normal 2 20 18 2 3" xfId="2773"/>
    <cellStyle name="Normal 2 20 18 3" xfId="1430"/>
    <cellStyle name="Normal 2 20 18 3 2" xfId="1431"/>
    <cellStyle name="Normal 2 20 18 3 2 2" xfId="2776"/>
    <cellStyle name="Normal 2 20 18 3 3" xfId="2775"/>
    <cellStyle name="Normal 2 20 18 4" xfId="1432"/>
    <cellStyle name="Normal 2 20 18 4 2" xfId="2777"/>
    <cellStyle name="Normal 2 20 18 5" xfId="2772"/>
    <cellStyle name="Normal 2 20 19" xfId="1433"/>
    <cellStyle name="Normal 2 20 19 2" xfId="1434"/>
    <cellStyle name="Normal 2 20 19 2 2" xfId="1435"/>
    <cellStyle name="Normal 2 20 19 2 2 2" xfId="2780"/>
    <cellStyle name="Normal 2 20 19 2 3" xfId="2779"/>
    <cellStyle name="Normal 2 20 19 3" xfId="1436"/>
    <cellStyle name="Normal 2 20 19 3 2" xfId="1437"/>
    <cellStyle name="Normal 2 20 19 3 2 2" xfId="2782"/>
    <cellStyle name="Normal 2 20 19 3 3" xfId="2781"/>
    <cellStyle name="Normal 2 20 19 4" xfId="1438"/>
    <cellStyle name="Normal 2 20 19 4 2" xfId="2783"/>
    <cellStyle name="Normal 2 20 19 5" xfId="2778"/>
    <cellStyle name="Normal 2 20 2" xfId="1439"/>
    <cellStyle name="Normal 2 20 2 10" xfId="1440"/>
    <cellStyle name="Normal 2 20 2 10 2" xfId="1441"/>
    <cellStyle name="Normal 2 20 2 10 2 2" xfId="2786"/>
    <cellStyle name="Normal 2 20 2 10 3" xfId="2785"/>
    <cellStyle name="Normal 2 20 2 11" xfId="1442"/>
    <cellStyle name="Normal 2 20 2 11 2" xfId="1443"/>
    <cellStyle name="Normal 2 20 2 11 2 2" xfId="2788"/>
    <cellStyle name="Normal 2 20 2 11 3" xfId="2787"/>
    <cellStyle name="Normal 2 20 2 12" xfId="1444"/>
    <cellStyle name="Normal 2 20 2 12 2" xfId="2789"/>
    <cellStyle name="Normal 2 20 2 13" xfId="2784"/>
    <cellStyle name="Normal 2 20 2 2" xfId="1445"/>
    <cellStyle name="Normal 2 20 2 2 2" xfId="1446"/>
    <cellStyle name="Normal 2 20 2 2 2 2" xfId="1447"/>
    <cellStyle name="Normal 2 20 2 2 2 2 2" xfId="2792"/>
    <cellStyle name="Normal 2 20 2 2 2 3" xfId="2791"/>
    <cellStyle name="Normal 2 20 2 2 3" xfId="1448"/>
    <cellStyle name="Normal 2 20 2 2 3 2" xfId="1449"/>
    <cellStyle name="Normal 2 20 2 2 3 2 2" xfId="2794"/>
    <cellStyle name="Normal 2 20 2 2 3 3" xfId="2793"/>
    <cellStyle name="Normal 2 20 2 2 4" xfId="1450"/>
    <cellStyle name="Normal 2 20 2 2 4 2" xfId="2795"/>
    <cellStyle name="Normal 2 20 2 2 5" xfId="2790"/>
    <cellStyle name="Normal 2 20 2 3" xfId="1451"/>
    <cellStyle name="Normal 2 20 2 3 2" xfId="1452"/>
    <cellStyle name="Normal 2 20 2 3 2 2" xfId="1453"/>
    <cellStyle name="Normal 2 20 2 3 2 2 2" xfId="2798"/>
    <cellStyle name="Normal 2 20 2 3 2 3" xfId="2797"/>
    <cellStyle name="Normal 2 20 2 3 3" xfId="1454"/>
    <cellStyle name="Normal 2 20 2 3 3 2" xfId="1455"/>
    <cellStyle name="Normal 2 20 2 3 3 2 2" xfId="2800"/>
    <cellStyle name="Normal 2 20 2 3 3 3" xfId="2799"/>
    <cellStyle name="Normal 2 20 2 3 4" xfId="1456"/>
    <cellStyle name="Normal 2 20 2 3 4 2" xfId="2801"/>
    <cellStyle name="Normal 2 20 2 3 5" xfId="2796"/>
    <cellStyle name="Normal 2 20 2 4" xfId="1457"/>
    <cellStyle name="Normal 2 20 2 4 2" xfId="1458"/>
    <cellStyle name="Normal 2 20 2 4 2 2" xfId="1459"/>
    <cellStyle name="Normal 2 20 2 4 2 2 2" xfId="2804"/>
    <cellStyle name="Normal 2 20 2 4 2 3" xfId="2803"/>
    <cellStyle name="Normal 2 20 2 4 3" xfId="1460"/>
    <cellStyle name="Normal 2 20 2 4 3 2" xfId="1461"/>
    <cellStyle name="Normal 2 20 2 4 3 2 2" xfId="2806"/>
    <cellStyle name="Normal 2 20 2 4 3 3" xfId="2805"/>
    <cellStyle name="Normal 2 20 2 4 4" xfId="1462"/>
    <cellStyle name="Normal 2 20 2 4 4 2" xfId="2807"/>
    <cellStyle name="Normal 2 20 2 4 5" xfId="2802"/>
    <cellStyle name="Normal 2 20 2 5" xfId="1463"/>
    <cellStyle name="Normal 2 20 2 5 2" xfId="1464"/>
    <cellStyle name="Normal 2 20 2 5 2 2" xfId="1465"/>
    <cellStyle name="Normal 2 20 2 5 2 2 2" xfId="2810"/>
    <cellStyle name="Normal 2 20 2 5 2 3" xfId="2809"/>
    <cellStyle name="Normal 2 20 2 5 3" xfId="1466"/>
    <cellStyle name="Normal 2 20 2 5 3 2" xfId="1467"/>
    <cellStyle name="Normal 2 20 2 5 3 2 2" xfId="2812"/>
    <cellStyle name="Normal 2 20 2 5 3 3" xfId="2811"/>
    <cellStyle name="Normal 2 20 2 5 4" xfId="1468"/>
    <cellStyle name="Normal 2 20 2 5 4 2" xfId="2813"/>
    <cellStyle name="Normal 2 20 2 5 5" xfId="2808"/>
    <cellStyle name="Normal 2 20 2 6" xfId="1469"/>
    <cellStyle name="Normal 2 20 2 6 2" xfId="1470"/>
    <cellStyle name="Normal 2 20 2 6 2 2" xfId="1471"/>
    <cellStyle name="Normal 2 20 2 6 2 2 2" xfId="2816"/>
    <cellStyle name="Normal 2 20 2 6 2 3" xfId="2815"/>
    <cellStyle name="Normal 2 20 2 6 3" xfId="1472"/>
    <cellStyle name="Normal 2 20 2 6 3 2" xfId="1473"/>
    <cellStyle name="Normal 2 20 2 6 3 2 2" xfId="2818"/>
    <cellStyle name="Normal 2 20 2 6 3 3" xfId="2817"/>
    <cellStyle name="Normal 2 20 2 6 4" xfId="1474"/>
    <cellStyle name="Normal 2 20 2 6 4 2" xfId="2819"/>
    <cellStyle name="Normal 2 20 2 6 5" xfId="2814"/>
    <cellStyle name="Normal 2 20 2 7" xfId="1475"/>
    <cellStyle name="Normal 2 20 2 7 2" xfId="1476"/>
    <cellStyle name="Normal 2 20 2 7 2 2" xfId="1477"/>
    <cellStyle name="Normal 2 20 2 7 2 2 2" xfId="2822"/>
    <cellStyle name="Normal 2 20 2 7 2 3" xfId="2821"/>
    <cellStyle name="Normal 2 20 2 7 3" xfId="1478"/>
    <cellStyle name="Normal 2 20 2 7 3 2" xfId="1479"/>
    <cellStyle name="Normal 2 20 2 7 3 2 2" xfId="2824"/>
    <cellStyle name="Normal 2 20 2 7 3 3" xfId="2823"/>
    <cellStyle name="Normal 2 20 2 7 4" xfId="1480"/>
    <cellStyle name="Normal 2 20 2 7 4 2" xfId="2825"/>
    <cellStyle name="Normal 2 20 2 7 5" xfId="2820"/>
    <cellStyle name="Normal 2 20 2 8" xfId="1481"/>
    <cellStyle name="Normal 2 20 2 8 2" xfId="1482"/>
    <cellStyle name="Normal 2 20 2 8 2 2" xfId="1483"/>
    <cellStyle name="Normal 2 20 2 8 2 2 2" xfId="2828"/>
    <cellStyle name="Normal 2 20 2 8 2 3" xfId="2827"/>
    <cellStyle name="Normal 2 20 2 8 3" xfId="1484"/>
    <cellStyle name="Normal 2 20 2 8 3 2" xfId="1485"/>
    <cellStyle name="Normal 2 20 2 8 3 2 2" xfId="2830"/>
    <cellStyle name="Normal 2 20 2 8 3 3" xfId="2829"/>
    <cellStyle name="Normal 2 20 2 8 4" xfId="1486"/>
    <cellStyle name="Normal 2 20 2 8 4 2" xfId="2831"/>
    <cellStyle name="Normal 2 20 2 8 5" xfId="2826"/>
    <cellStyle name="Normal 2 20 2 9" xfId="1487"/>
    <cellStyle name="Normal 2 20 2 9 2" xfId="1488"/>
    <cellStyle name="Normal 2 20 2 9 2 2" xfId="1489"/>
    <cellStyle name="Normal 2 20 2 9 2 2 2" xfId="2834"/>
    <cellStyle name="Normal 2 20 2 9 2 3" xfId="2833"/>
    <cellStyle name="Normal 2 20 2 9 3" xfId="1490"/>
    <cellStyle name="Normal 2 20 2 9 3 2" xfId="1491"/>
    <cellStyle name="Normal 2 20 2 9 3 2 2" xfId="2836"/>
    <cellStyle name="Normal 2 20 2 9 3 3" xfId="2835"/>
    <cellStyle name="Normal 2 20 2 9 4" xfId="1492"/>
    <cellStyle name="Normal 2 20 2 9 4 2" xfId="2837"/>
    <cellStyle name="Normal 2 20 2 9 5" xfId="2832"/>
    <cellStyle name="Normal 2 20 20" xfId="1493"/>
    <cellStyle name="Normal 2 20 20 2" xfId="1494"/>
    <cellStyle name="Normal 2 20 20 2 2" xfId="1495"/>
    <cellStyle name="Normal 2 20 20 2 2 2" xfId="2840"/>
    <cellStyle name="Normal 2 20 20 2 3" xfId="2839"/>
    <cellStyle name="Normal 2 20 20 3" xfId="1496"/>
    <cellStyle name="Normal 2 20 20 3 2" xfId="1497"/>
    <cellStyle name="Normal 2 20 20 3 2 2" xfId="2842"/>
    <cellStyle name="Normal 2 20 20 3 3" xfId="2841"/>
    <cellStyle name="Normal 2 20 20 4" xfId="1498"/>
    <cellStyle name="Normal 2 20 20 4 2" xfId="2843"/>
    <cellStyle name="Normal 2 20 20 5" xfId="2838"/>
    <cellStyle name="Normal 2 20 21" xfId="1499"/>
    <cellStyle name="Normal 2 20 21 2" xfId="1500"/>
    <cellStyle name="Normal 2 20 21 2 2" xfId="1501"/>
    <cellStyle name="Normal 2 20 21 2 2 2" xfId="2846"/>
    <cellStyle name="Normal 2 20 21 2 3" xfId="2845"/>
    <cellStyle name="Normal 2 20 21 3" xfId="1502"/>
    <cellStyle name="Normal 2 20 21 3 2" xfId="1503"/>
    <cellStyle name="Normal 2 20 21 3 2 2" xfId="2848"/>
    <cellStyle name="Normal 2 20 21 3 3" xfId="2847"/>
    <cellStyle name="Normal 2 20 21 4" xfId="1504"/>
    <cellStyle name="Normal 2 20 21 4 2" xfId="2849"/>
    <cellStyle name="Normal 2 20 21 5" xfId="2844"/>
    <cellStyle name="Normal 2 20 22" xfId="1505"/>
    <cellStyle name="Normal 2 20 22 2" xfId="1506"/>
    <cellStyle name="Normal 2 20 22 2 2" xfId="2851"/>
    <cellStyle name="Normal 2 20 22 3" xfId="2850"/>
    <cellStyle name="Normal 2 20 23" xfId="1507"/>
    <cellStyle name="Normal 2 20 23 2" xfId="1508"/>
    <cellStyle name="Normal 2 20 23 2 2" xfId="2853"/>
    <cellStyle name="Normal 2 20 23 3" xfId="2852"/>
    <cellStyle name="Normal 2 20 24" xfId="1509"/>
    <cellStyle name="Normal 2 20 24 2" xfId="2854"/>
    <cellStyle name="Normal 2 20 25" xfId="2651"/>
    <cellStyle name="Normal 2 20 3" xfId="1510"/>
    <cellStyle name="Normal 2 20 3 10" xfId="1511"/>
    <cellStyle name="Normal 2 20 3 10 2" xfId="1512"/>
    <cellStyle name="Normal 2 20 3 10 2 2" xfId="2857"/>
    <cellStyle name="Normal 2 20 3 10 3" xfId="2856"/>
    <cellStyle name="Normal 2 20 3 11" xfId="1513"/>
    <cellStyle name="Normal 2 20 3 11 2" xfId="2858"/>
    <cellStyle name="Normal 2 20 3 12" xfId="2855"/>
    <cellStyle name="Normal 2 20 3 2" xfId="1514"/>
    <cellStyle name="Normal 2 20 3 2 2" xfId="1515"/>
    <cellStyle name="Normal 2 20 3 2 2 2" xfId="1516"/>
    <cellStyle name="Normal 2 20 3 2 2 2 2" xfId="2861"/>
    <cellStyle name="Normal 2 20 3 2 2 3" xfId="2860"/>
    <cellStyle name="Normal 2 20 3 2 3" xfId="1517"/>
    <cellStyle name="Normal 2 20 3 2 3 2" xfId="1518"/>
    <cellStyle name="Normal 2 20 3 2 3 2 2" xfId="2863"/>
    <cellStyle name="Normal 2 20 3 2 3 3" xfId="2862"/>
    <cellStyle name="Normal 2 20 3 2 4" xfId="1519"/>
    <cellStyle name="Normal 2 20 3 2 4 2" xfId="2864"/>
    <cellStyle name="Normal 2 20 3 2 5" xfId="2859"/>
    <cellStyle name="Normal 2 20 3 3" xfId="1520"/>
    <cellStyle name="Normal 2 20 3 3 2" xfId="1521"/>
    <cellStyle name="Normal 2 20 3 3 2 2" xfId="1522"/>
    <cellStyle name="Normal 2 20 3 3 2 2 2" xfId="2867"/>
    <cellStyle name="Normal 2 20 3 3 2 3" xfId="2866"/>
    <cellStyle name="Normal 2 20 3 3 3" xfId="1523"/>
    <cellStyle name="Normal 2 20 3 3 3 2" xfId="1524"/>
    <cellStyle name="Normal 2 20 3 3 3 2 2" xfId="2869"/>
    <cellStyle name="Normal 2 20 3 3 3 3" xfId="2868"/>
    <cellStyle name="Normal 2 20 3 3 4" xfId="1525"/>
    <cellStyle name="Normal 2 20 3 3 4 2" xfId="2870"/>
    <cellStyle name="Normal 2 20 3 3 5" xfId="2865"/>
    <cellStyle name="Normal 2 20 3 4" xfId="1526"/>
    <cellStyle name="Normal 2 20 3 4 2" xfId="1527"/>
    <cellStyle name="Normal 2 20 3 4 2 2" xfId="1528"/>
    <cellStyle name="Normal 2 20 3 4 2 2 2" xfId="2873"/>
    <cellStyle name="Normal 2 20 3 4 2 3" xfId="2872"/>
    <cellStyle name="Normal 2 20 3 4 3" xfId="1529"/>
    <cellStyle name="Normal 2 20 3 4 3 2" xfId="1530"/>
    <cellStyle name="Normal 2 20 3 4 3 2 2" xfId="2875"/>
    <cellStyle name="Normal 2 20 3 4 3 3" xfId="2874"/>
    <cellStyle name="Normal 2 20 3 4 4" xfId="1531"/>
    <cellStyle name="Normal 2 20 3 4 4 2" xfId="2876"/>
    <cellStyle name="Normal 2 20 3 4 5" xfId="2871"/>
    <cellStyle name="Normal 2 20 3 5" xfId="1532"/>
    <cellStyle name="Normal 2 20 3 5 2" xfId="1533"/>
    <cellStyle name="Normal 2 20 3 5 2 2" xfId="1534"/>
    <cellStyle name="Normal 2 20 3 5 2 2 2" xfId="2879"/>
    <cellStyle name="Normal 2 20 3 5 2 3" xfId="2878"/>
    <cellStyle name="Normal 2 20 3 5 3" xfId="1535"/>
    <cellStyle name="Normal 2 20 3 5 3 2" xfId="1536"/>
    <cellStyle name="Normal 2 20 3 5 3 2 2" xfId="2881"/>
    <cellStyle name="Normal 2 20 3 5 3 3" xfId="2880"/>
    <cellStyle name="Normal 2 20 3 5 4" xfId="1537"/>
    <cellStyle name="Normal 2 20 3 5 4 2" xfId="2882"/>
    <cellStyle name="Normal 2 20 3 5 5" xfId="2877"/>
    <cellStyle name="Normal 2 20 3 6" xfId="1538"/>
    <cellStyle name="Normal 2 20 3 6 2" xfId="1539"/>
    <cellStyle name="Normal 2 20 3 6 2 2" xfId="1540"/>
    <cellStyle name="Normal 2 20 3 6 2 2 2" xfId="2885"/>
    <cellStyle name="Normal 2 20 3 6 2 3" xfId="2884"/>
    <cellStyle name="Normal 2 20 3 6 3" xfId="1541"/>
    <cellStyle name="Normal 2 20 3 6 3 2" xfId="1542"/>
    <cellStyle name="Normal 2 20 3 6 3 2 2" xfId="2887"/>
    <cellStyle name="Normal 2 20 3 6 3 3" xfId="2886"/>
    <cellStyle name="Normal 2 20 3 6 4" xfId="1543"/>
    <cellStyle name="Normal 2 20 3 6 4 2" xfId="2888"/>
    <cellStyle name="Normal 2 20 3 6 5" xfId="2883"/>
    <cellStyle name="Normal 2 20 3 7" xfId="1544"/>
    <cellStyle name="Normal 2 20 3 7 2" xfId="1545"/>
    <cellStyle name="Normal 2 20 3 7 2 2" xfId="1546"/>
    <cellStyle name="Normal 2 20 3 7 2 2 2" xfId="2891"/>
    <cellStyle name="Normal 2 20 3 7 2 3" xfId="2890"/>
    <cellStyle name="Normal 2 20 3 7 3" xfId="1547"/>
    <cellStyle name="Normal 2 20 3 7 3 2" xfId="1548"/>
    <cellStyle name="Normal 2 20 3 7 3 2 2" xfId="2893"/>
    <cellStyle name="Normal 2 20 3 7 3 3" xfId="2892"/>
    <cellStyle name="Normal 2 20 3 7 4" xfId="1549"/>
    <cellStyle name="Normal 2 20 3 7 4 2" xfId="2894"/>
    <cellStyle name="Normal 2 20 3 7 5" xfId="2889"/>
    <cellStyle name="Normal 2 20 3 8" xfId="1550"/>
    <cellStyle name="Normal 2 20 3 8 2" xfId="1551"/>
    <cellStyle name="Normal 2 20 3 8 2 2" xfId="1552"/>
    <cellStyle name="Normal 2 20 3 8 2 2 2" xfId="2897"/>
    <cellStyle name="Normal 2 20 3 8 2 3" xfId="2896"/>
    <cellStyle name="Normal 2 20 3 8 3" xfId="1553"/>
    <cellStyle name="Normal 2 20 3 8 3 2" xfId="1554"/>
    <cellStyle name="Normal 2 20 3 8 3 2 2" xfId="2899"/>
    <cellStyle name="Normal 2 20 3 8 3 3" xfId="2898"/>
    <cellStyle name="Normal 2 20 3 8 4" xfId="1555"/>
    <cellStyle name="Normal 2 20 3 8 4 2" xfId="2900"/>
    <cellStyle name="Normal 2 20 3 8 5" xfId="2895"/>
    <cellStyle name="Normal 2 20 3 9" xfId="1556"/>
    <cellStyle name="Normal 2 20 3 9 2" xfId="1557"/>
    <cellStyle name="Normal 2 20 3 9 2 2" xfId="2902"/>
    <cellStyle name="Normal 2 20 3 9 3" xfId="2901"/>
    <cellStyle name="Normal 2 20 4" xfId="1558"/>
    <cellStyle name="Normal 2 20 4 10" xfId="1559"/>
    <cellStyle name="Normal 2 20 4 10 2" xfId="1560"/>
    <cellStyle name="Normal 2 20 4 10 2 2" xfId="2905"/>
    <cellStyle name="Normal 2 20 4 10 3" xfId="2904"/>
    <cellStyle name="Normal 2 20 4 11" xfId="1561"/>
    <cellStyle name="Normal 2 20 4 11 2" xfId="2906"/>
    <cellStyle name="Normal 2 20 4 12" xfId="2903"/>
    <cellStyle name="Normal 2 20 4 2" xfId="1562"/>
    <cellStyle name="Normal 2 20 4 2 2" xfId="1563"/>
    <cellStyle name="Normal 2 20 4 2 2 2" xfId="1564"/>
    <cellStyle name="Normal 2 20 4 2 2 2 2" xfId="2909"/>
    <cellStyle name="Normal 2 20 4 2 2 3" xfId="2908"/>
    <cellStyle name="Normal 2 20 4 2 3" xfId="1565"/>
    <cellStyle name="Normal 2 20 4 2 3 2" xfId="1566"/>
    <cellStyle name="Normal 2 20 4 2 3 2 2" xfId="2911"/>
    <cellStyle name="Normal 2 20 4 2 3 3" xfId="2910"/>
    <cellStyle name="Normal 2 20 4 2 4" xfId="1567"/>
    <cellStyle name="Normal 2 20 4 2 4 2" xfId="2912"/>
    <cellStyle name="Normal 2 20 4 2 5" xfId="2907"/>
    <cellStyle name="Normal 2 20 4 3" xfId="1568"/>
    <cellStyle name="Normal 2 20 4 3 2" xfId="1569"/>
    <cellStyle name="Normal 2 20 4 3 2 2" xfId="1570"/>
    <cellStyle name="Normal 2 20 4 3 2 2 2" xfId="2915"/>
    <cellStyle name="Normal 2 20 4 3 2 3" xfId="2914"/>
    <cellStyle name="Normal 2 20 4 3 3" xfId="1571"/>
    <cellStyle name="Normal 2 20 4 3 3 2" xfId="1572"/>
    <cellStyle name="Normal 2 20 4 3 3 2 2" xfId="2917"/>
    <cellStyle name="Normal 2 20 4 3 3 3" xfId="2916"/>
    <cellStyle name="Normal 2 20 4 3 4" xfId="1573"/>
    <cellStyle name="Normal 2 20 4 3 4 2" xfId="2918"/>
    <cellStyle name="Normal 2 20 4 3 5" xfId="2913"/>
    <cellStyle name="Normal 2 20 4 4" xfId="1574"/>
    <cellStyle name="Normal 2 20 4 4 2" xfId="1575"/>
    <cellStyle name="Normal 2 20 4 4 2 2" xfId="1576"/>
    <cellStyle name="Normal 2 20 4 4 2 2 2" xfId="2921"/>
    <cellStyle name="Normal 2 20 4 4 2 3" xfId="2920"/>
    <cellStyle name="Normal 2 20 4 4 3" xfId="1577"/>
    <cellStyle name="Normal 2 20 4 4 3 2" xfId="1578"/>
    <cellStyle name="Normal 2 20 4 4 3 2 2" xfId="2923"/>
    <cellStyle name="Normal 2 20 4 4 3 3" xfId="2922"/>
    <cellStyle name="Normal 2 20 4 4 4" xfId="1579"/>
    <cellStyle name="Normal 2 20 4 4 4 2" xfId="2924"/>
    <cellStyle name="Normal 2 20 4 4 5" xfId="2919"/>
    <cellStyle name="Normal 2 20 4 5" xfId="1580"/>
    <cellStyle name="Normal 2 20 4 5 2" xfId="1581"/>
    <cellStyle name="Normal 2 20 4 5 2 2" xfId="1582"/>
    <cellStyle name="Normal 2 20 4 5 2 2 2" xfId="2927"/>
    <cellStyle name="Normal 2 20 4 5 2 3" xfId="2926"/>
    <cellStyle name="Normal 2 20 4 5 3" xfId="1583"/>
    <cellStyle name="Normal 2 20 4 5 3 2" xfId="1584"/>
    <cellStyle name="Normal 2 20 4 5 3 2 2" xfId="2929"/>
    <cellStyle name="Normal 2 20 4 5 3 3" xfId="2928"/>
    <cellStyle name="Normal 2 20 4 5 4" xfId="1585"/>
    <cellStyle name="Normal 2 20 4 5 4 2" xfId="2930"/>
    <cellStyle name="Normal 2 20 4 5 5" xfId="2925"/>
    <cellStyle name="Normal 2 20 4 6" xfId="1586"/>
    <cellStyle name="Normal 2 20 4 6 2" xfId="1587"/>
    <cellStyle name="Normal 2 20 4 6 2 2" xfId="1588"/>
    <cellStyle name="Normal 2 20 4 6 2 2 2" xfId="2933"/>
    <cellStyle name="Normal 2 20 4 6 2 3" xfId="2932"/>
    <cellStyle name="Normal 2 20 4 6 3" xfId="1589"/>
    <cellStyle name="Normal 2 20 4 6 3 2" xfId="1590"/>
    <cellStyle name="Normal 2 20 4 6 3 2 2" xfId="2935"/>
    <cellStyle name="Normal 2 20 4 6 3 3" xfId="2934"/>
    <cellStyle name="Normal 2 20 4 6 4" xfId="1591"/>
    <cellStyle name="Normal 2 20 4 6 4 2" xfId="2936"/>
    <cellStyle name="Normal 2 20 4 6 5" xfId="2931"/>
    <cellStyle name="Normal 2 20 4 7" xfId="1592"/>
    <cellStyle name="Normal 2 20 4 7 2" xfId="1593"/>
    <cellStyle name="Normal 2 20 4 7 2 2" xfId="1594"/>
    <cellStyle name="Normal 2 20 4 7 2 2 2" xfId="2939"/>
    <cellStyle name="Normal 2 20 4 7 2 3" xfId="2938"/>
    <cellStyle name="Normal 2 20 4 7 3" xfId="1595"/>
    <cellStyle name="Normal 2 20 4 7 3 2" xfId="1596"/>
    <cellStyle name="Normal 2 20 4 7 3 2 2" xfId="2941"/>
    <cellStyle name="Normal 2 20 4 7 3 3" xfId="2940"/>
    <cellStyle name="Normal 2 20 4 7 4" xfId="1597"/>
    <cellStyle name="Normal 2 20 4 7 4 2" xfId="2942"/>
    <cellStyle name="Normal 2 20 4 7 5" xfId="2937"/>
    <cellStyle name="Normal 2 20 4 8" xfId="1598"/>
    <cellStyle name="Normal 2 20 4 8 2" xfId="1599"/>
    <cellStyle name="Normal 2 20 4 8 2 2" xfId="1600"/>
    <cellStyle name="Normal 2 20 4 8 2 2 2" xfId="2945"/>
    <cellStyle name="Normal 2 20 4 8 2 3" xfId="2944"/>
    <cellStyle name="Normal 2 20 4 8 3" xfId="1601"/>
    <cellStyle name="Normal 2 20 4 8 3 2" xfId="1602"/>
    <cellStyle name="Normal 2 20 4 8 3 2 2" xfId="2947"/>
    <cellStyle name="Normal 2 20 4 8 3 3" xfId="2946"/>
    <cellStyle name="Normal 2 20 4 8 4" xfId="1603"/>
    <cellStyle name="Normal 2 20 4 8 4 2" xfId="2948"/>
    <cellStyle name="Normal 2 20 4 8 5" xfId="2943"/>
    <cellStyle name="Normal 2 20 4 9" xfId="1604"/>
    <cellStyle name="Normal 2 20 4 9 2" xfId="1605"/>
    <cellStyle name="Normal 2 20 4 9 2 2" xfId="2950"/>
    <cellStyle name="Normal 2 20 4 9 3" xfId="2949"/>
    <cellStyle name="Normal 2 20 5" xfId="1606"/>
    <cellStyle name="Normal 2 20 5 2" xfId="1607"/>
    <cellStyle name="Normal 2 20 5 2 2" xfId="1608"/>
    <cellStyle name="Normal 2 20 5 2 2 2" xfId="1609"/>
    <cellStyle name="Normal 2 20 5 2 2 2 2" xfId="2954"/>
    <cellStyle name="Normal 2 20 5 2 2 3" xfId="2953"/>
    <cellStyle name="Normal 2 20 5 2 3" xfId="1610"/>
    <cellStyle name="Normal 2 20 5 2 3 2" xfId="1611"/>
    <cellStyle name="Normal 2 20 5 2 3 2 2" xfId="2956"/>
    <cellStyle name="Normal 2 20 5 2 3 3" xfId="2955"/>
    <cellStyle name="Normal 2 20 5 2 4" xfId="1612"/>
    <cellStyle name="Normal 2 20 5 2 4 2" xfId="2957"/>
    <cellStyle name="Normal 2 20 5 2 5" xfId="2952"/>
    <cellStyle name="Normal 2 20 5 3" xfId="1613"/>
    <cellStyle name="Normal 2 20 5 3 2" xfId="1614"/>
    <cellStyle name="Normal 2 20 5 3 2 2" xfId="1615"/>
    <cellStyle name="Normal 2 20 5 3 2 2 2" xfId="2960"/>
    <cellStyle name="Normal 2 20 5 3 2 3" xfId="2959"/>
    <cellStyle name="Normal 2 20 5 3 3" xfId="1616"/>
    <cellStyle name="Normal 2 20 5 3 3 2" xfId="1617"/>
    <cellStyle name="Normal 2 20 5 3 3 2 2" xfId="2962"/>
    <cellStyle name="Normal 2 20 5 3 3 3" xfId="2961"/>
    <cellStyle name="Normal 2 20 5 3 4" xfId="1618"/>
    <cellStyle name="Normal 2 20 5 3 4 2" xfId="2963"/>
    <cellStyle name="Normal 2 20 5 3 5" xfId="2958"/>
    <cellStyle name="Normal 2 20 5 4" xfId="1619"/>
    <cellStyle name="Normal 2 20 5 4 2" xfId="1620"/>
    <cellStyle name="Normal 2 20 5 4 2 2" xfId="2965"/>
    <cellStyle name="Normal 2 20 5 4 3" xfId="2964"/>
    <cellStyle name="Normal 2 20 5 5" xfId="1621"/>
    <cellStyle name="Normal 2 20 5 5 2" xfId="1622"/>
    <cellStyle name="Normal 2 20 5 5 2 2" xfId="2967"/>
    <cellStyle name="Normal 2 20 5 5 3" xfId="2966"/>
    <cellStyle name="Normal 2 20 5 6" xfId="1623"/>
    <cellStyle name="Normal 2 20 5 6 2" xfId="2968"/>
    <cellStyle name="Normal 2 20 5 7" xfId="2951"/>
    <cellStyle name="Normal 2 20 6" xfId="1624"/>
    <cellStyle name="Normal 2 20 6 2" xfId="1625"/>
    <cellStyle name="Normal 2 20 6 2 2" xfId="1626"/>
    <cellStyle name="Normal 2 20 6 2 2 2" xfId="1627"/>
    <cellStyle name="Normal 2 20 6 2 2 2 2" xfId="2972"/>
    <cellStyle name="Normal 2 20 6 2 2 3" xfId="2971"/>
    <cellStyle name="Normal 2 20 6 2 3" xfId="1628"/>
    <cellStyle name="Normal 2 20 6 2 3 2" xfId="1629"/>
    <cellStyle name="Normal 2 20 6 2 3 2 2" xfId="2974"/>
    <cellStyle name="Normal 2 20 6 2 3 3" xfId="2973"/>
    <cellStyle name="Normal 2 20 6 2 4" xfId="1630"/>
    <cellStyle name="Normal 2 20 6 2 4 2" xfId="2975"/>
    <cellStyle name="Normal 2 20 6 2 5" xfId="2970"/>
    <cellStyle name="Normal 2 20 6 3" xfId="1631"/>
    <cellStyle name="Normal 2 20 6 3 2" xfId="1632"/>
    <cellStyle name="Normal 2 20 6 3 2 2" xfId="1633"/>
    <cellStyle name="Normal 2 20 6 3 2 2 2" xfId="2978"/>
    <cellStyle name="Normal 2 20 6 3 2 3" xfId="2977"/>
    <cellStyle name="Normal 2 20 6 3 3" xfId="1634"/>
    <cellStyle name="Normal 2 20 6 3 3 2" xfId="1635"/>
    <cellStyle name="Normal 2 20 6 3 3 2 2" xfId="2980"/>
    <cellStyle name="Normal 2 20 6 3 3 3" xfId="2979"/>
    <cellStyle name="Normal 2 20 6 3 4" xfId="1636"/>
    <cellStyle name="Normal 2 20 6 3 4 2" xfId="2981"/>
    <cellStyle name="Normal 2 20 6 3 5" xfId="2976"/>
    <cellStyle name="Normal 2 20 6 4" xfId="1637"/>
    <cellStyle name="Normal 2 20 6 4 2" xfId="1638"/>
    <cellStyle name="Normal 2 20 6 4 2 2" xfId="2983"/>
    <cellStyle name="Normal 2 20 6 4 3" xfId="2982"/>
    <cellStyle name="Normal 2 20 6 5" xfId="1639"/>
    <cellStyle name="Normal 2 20 6 5 2" xfId="1640"/>
    <cellStyle name="Normal 2 20 6 5 2 2" xfId="2985"/>
    <cellStyle name="Normal 2 20 6 5 3" xfId="2984"/>
    <cellStyle name="Normal 2 20 6 6" xfId="1641"/>
    <cellStyle name="Normal 2 20 6 6 2" xfId="2986"/>
    <cellStyle name="Normal 2 20 6 7" xfId="2969"/>
    <cellStyle name="Normal 2 20 7" xfId="1642"/>
    <cellStyle name="Normal 2 20 7 2" xfId="1643"/>
    <cellStyle name="Normal 2 20 7 2 2" xfId="1644"/>
    <cellStyle name="Normal 2 20 7 2 2 2" xfId="1645"/>
    <cellStyle name="Normal 2 20 7 2 2 2 2" xfId="2990"/>
    <cellStyle name="Normal 2 20 7 2 2 3" xfId="2989"/>
    <cellStyle name="Normal 2 20 7 2 3" xfId="1646"/>
    <cellStyle name="Normal 2 20 7 2 3 2" xfId="1647"/>
    <cellStyle name="Normal 2 20 7 2 3 2 2" xfId="2992"/>
    <cellStyle name="Normal 2 20 7 2 3 3" xfId="2991"/>
    <cellStyle name="Normal 2 20 7 2 4" xfId="1648"/>
    <cellStyle name="Normal 2 20 7 2 4 2" xfId="2993"/>
    <cellStyle name="Normal 2 20 7 2 5" xfId="2988"/>
    <cellStyle name="Normal 2 20 7 3" xfId="1649"/>
    <cellStyle name="Normal 2 20 7 3 2" xfId="1650"/>
    <cellStyle name="Normal 2 20 7 3 2 2" xfId="1651"/>
    <cellStyle name="Normal 2 20 7 3 2 2 2" xfId="2996"/>
    <cellStyle name="Normal 2 20 7 3 2 3" xfId="2995"/>
    <cellStyle name="Normal 2 20 7 3 3" xfId="1652"/>
    <cellStyle name="Normal 2 20 7 3 3 2" xfId="1653"/>
    <cellStyle name="Normal 2 20 7 3 3 2 2" xfId="2998"/>
    <cellStyle name="Normal 2 20 7 3 3 3" xfId="2997"/>
    <cellStyle name="Normal 2 20 7 3 4" xfId="1654"/>
    <cellStyle name="Normal 2 20 7 3 4 2" xfId="2999"/>
    <cellStyle name="Normal 2 20 7 3 5" xfId="2994"/>
    <cellStyle name="Normal 2 20 7 4" xfId="1655"/>
    <cellStyle name="Normal 2 20 7 4 2" xfId="1656"/>
    <cellStyle name="Normal 2 20 7 4 2 2" xfId="3001"/>
    <cellStyle name="Normal 2 20 7 4 3" xfId="3000"/>
    <cellStyle name="Normal 2 20 7 5" xfId="1657"/>
    <cellStyle name="Normal 2 20 7 5 2" xfId="1658"/>
    <cellStyle name="Normal 2 20 7 5 2 2" xfId="3003"/>
    <cellStyle name="Normal 2 20 7 5 3" xfId="3002"/>
    <cellStyle name="Normal 2 20 7 6" xfId="1659"/>
    <cellStyle name="Normal 2 20 7 6 2" xfId="3004"/>
    <cellStyle name="Normal 2 20 7 7" xfId="2987"/>
    <cellStyle name="Normal 2 20 8" xfId="1660"/>
    <cellStyle name="Normal 2 20 8 2" xfId="1661"/>
    <cellStyle name="Normal 2 20 8 2 2" xfId="1662"/>
    <cellStyle name="Normal 2 20 8 2 2 2" xfId="1663"/>
    <cellStyle name="Normal 2 20 8 2 2 2 2" xfId="3008"/>
    <cellStyle name="Normal 2 20 8 2 2 3" xfId="3007"/>
    <cellStyle name="Normal 2 20 8 2 3" xfId="1664"/>
    <cellStyle name="Normal 2 20 8 2 3 2" xfId="1665"/>
    <cellStyle name="Normal 2 20 8 2 3 2 2" xfId="3010"/>
    <cellStyle name="Normal 2 20 8 2 3 3" xfId="3009"/>
    <cellStyle name="Normal 2 20 8 2 4" xfId="1666"/>
    <cellStyle name="Normal 2 20 8 2 4 2" xfId="3011"/>
    <cellStyle name="Normal 2 20 8 2 5" xfId="3006"/>
    <cellStyle name="Normal 2 20 8 3" xfId="1667"/>
    <cellStyle name="Normal 2 20 8 3 2" xfId="1668"/>
    <cellStyle name="Normal 2 20 8 3 2 2" xfId="1669"/>
    <cellStyle name="Normal 2 20 8 3 2 2 2" xfId="3014"/>
    <cellStyle name="Normal 2 20 8 3 2 3" xfId="3013"/>
    <cellStyle name="Normal 2 20 8 3 3" xfId="1670"/>
    <cellStyle name="Normal 2 20 8 3 3 2" xfId="1671"/>
    <cellStyle name="Normal 2 20 8 3 3 2 2" xfId="3016"/>
    <cellStyle name="Normal 2 20 8 3 3 3" xfId="3015"/>
    <cellStyle name="Normal 2 20 8 3 4" xfId="1672"/>
    <cellStyle name="Normal 2 20 8 3 4 2" xfId="3017"/>
    <cellStyle name="Normal 2 20 8 3 5" xfId="3012"/>
    <cellStyle name="Normal 2 20 8 4" xfId="1673"/>
    <cellStyle name="Normal 2 20 8 4 2" xfId="1674"/>
    <cellStyle name="Normal 2 20 8 4 2 2" xfId="3019"/>
    <cellStyle name="Normal 2 20 8 4 3" xfId="3018"/>
    <cellStyle name="Normal 2 20 8 5" xfId="1675"/>
    <cellStyle name="Normal 2 20 8 5 2" xfId="1676"/>
    <cellStyle name="Normal 2 20 8 5 2 2" xfId="3021"/>
    <cellStyle name="Normal 2 20 8 5 3" xfId="3020"/>
    <cellStyle name="Normal 2 20 8 6" xfId="1677"/>
    <cellStyle name="Normal 2 20 8 6 2" xfId="3022"/>
    <cellStyle name="Normal 2 20 8 7" xfId="3005"/>
    <cellStyle name="Normal 2 20 9" xfId="1678"/>
    <cellStyle name="Normal 2 20 9 2" xfId="1679"/>
    <cellStyle name="Normal 2 20 9 2 2" xfId="1680"/>
    <cellStyle name="Normal 2 20 9 2 2 2" xfId="1681"/>
    <cellStyle name="Normal 2 20 9 2 2 2 2" xfId="3026"/>
    <cellStyle name="Normal 2 20 9 2 2 3" xfId="3025"/>
    <cellStyle name="Normal 2 20 9 2 3" xfId="1682"/>
    <cellStyle name="Normal 2 20 9 2 3 2" xfId="1683"/>
    <cellStyle name="Normal 2 20 9 2 3 2 2" xfId="3028"/>
    <cellStyle name="Normal 2 20 9 2 3 3" xfId="3027"/>
    <cellStyle name="Normal 2 20 9 2 4" xfId="1684"/>
    <cellStyle name="Normal 2 20 9 2 4 2" xfId="3029"/>
    <cellStyle name="Normal 2 20 9 2 5" xfId="3024"/>
    <cellStyle name="Normal 2 20 9 3" xfId="1685"/>
    <cellStyle name="Normal 2 20 9 3 2" xfId="1686"/>
    <cellStyle name="Normal 2 20 9 3 2 2" xfId="1687"/>
    <cellStyle name="Normal 2 20 9 3 2 2 2" xfId="3032"/>
    <cellStyle name="Normal 2 20 9 3 2 3" xfId="3031"/>
    <cellStyle name="Normal 2 20 9 3 3" xfId="1688"/>
    <cellStyle name="Normal 2 20 9 3 3 2" xfId="1689"/>
    <cellStyle name="Normal 2 20 9 3 3 2 2" xfId="3034"/>
    <cellStyle name="Normal 2 20 9 3 3 3" xfId="3033"/>
    <cellStyle name="Normal 2 20 9 3 4" xfId="1690"/>
    <cellStyle name="Normal 2 20 9 3 4 2" xfId="3035"/>
    <cellStyle name="Normal 2 20 9 3 5" xfId="3030"/>
    <cellStyle name="Normal 2 20 9 4" xfId="1691"/>
    <cellStyle name="Normal 2 20 9 4 2" xfId="1692"/>
    <cellStyle name="Normal 2 20 9 4 2 2" xfId="3037"/>
    <cellStyle name="Normal 2 20 9 4 3" xfId="3036"/>
    <cellStyle name="Normal 2 20 9 5" xfId="1693"/>
    <cellStyle name="Normal 2 20 9 5 2" xfId="1694"/>
    <cellStyle name="Normal 2 20 9 5 2 2" xfId="3039"/>
    <cellStyle name="Normal 2 20 9 5 3" xfId="3038"/>
    <cellStyle name="Normal 2 20 9 6" xfId="1695"/>
    <cellStyle name="Normal 2 20 9 6 2" xfId="3040"/>
    <cellStyle name="Normal 2 20 9 7" xfId="3023"/>
    <cellStyle name="Normal 2 21" xfId="1696"/>
    <cellStyle name="Normal 2 22" xfId="1697"/>
    <cellStyle name="Normal 2 23" xfId="1698"/>
    <cellStyle name="Normal 2 24" xfId="1699"/>
    <cellStyle name="Normal 2 25" xfId="1700"/>
    <cellStyle name="Normal 2 25 2" xfId="1701"/>
    <cellStyle name="Normal 2 25 2 2" xfId="3042"/>
    <cellStyle name="Normal 2 25 3" xfId="3041"/>
    <cellStyle name="Normal 2 26" xfId="1702"/>
    <cellStyle name="Normal 2 26 2" xfId="1703"/>
    <cellStyle name="Normal 2 26 2 2" xfId="3044"/>
    <cellStyle name="Normal 2 26 3" xfId="3043"/>
    <cellStyle name="Normal 2 27" xfId="1704"/>
    <cellStyle name="Normal 2 27 2" xfId="3045"/>
    <cellStyle name="Normal 2 3" xfId="11"/>
    <cellStyle name="Normal 2 3 2" xfId="1705"/>
    <cellStyle name="Normal 2 4" xfId="12"/>
    <cellStyle name="Normal 2 5" xfId="14"/>
    <cellStyle name="Normal 2 6" xfId="16"/>
    <cellStyle name="Normal 2 6 2" xfId="1706"/>
    <cellStyle name="Normal 2 7" xfId="17"/>
    <cellStyle name="Normal 2 7 2" xfId="20"/>
    <cellStyle name="Normal 2 7 2 2" xfId="3055"/>
    <cellStyle name="Normal 2 7 3" xfId="3054"/>
    <cellStyle name="Normal 2 8" xfId="1707"/>
    <cellStyle name="Normal 2 9" xfId="1708"/>
    <cellStyle name="Normal 20" xfId="1709"/>
    <cellStyle name="Normal 20 10" xfId="1710"/>
    <cellStyle name="Normal 20 11" xfId="1711"/>
    <cellStyle name="Normal 20 12" xfId="1712"/>
    <cellStyle name="Normal 20 13" xfId="1713"/>
    <cellStyle name="Normal 20 14" xfId="1714"/>
    <cellStyle name="Normal 20 15" xfId="1715"/>
    <cellStyle name="Normal 20 16" xfId="1716"/>
    <cellStyle name="Normal 20 17" xfId="1717"/>
    <cellStyle name="Normal 20 2" xfId="1718"/>
    <cellStyle name="Normal 20 3" xfId="1719"/>
    <cellStyle name="Normal 20 4" xfId="1720"/>
    <cellStyle name="Normal 20 5" xfId="1721"/>
    <cellStyle name="Normal 20 6" xfId="1722"/>
    <cellStyle name="Normal 20 7" xfId="1723"/>
    <cellStyle name="Normal 20 8" xfId="1724"/>
    <cellStyle name="Normal 20 9" xfId="1725"/>
    <cellStyle name="Normal 21" xfId="1726"/>
    <cellStyle name="Normal 22" xfId="1727"/>
    <cellStyle name="Normal 23" xfId="1728"/>
    <cellStyle name="Normal 24" xfId="1729"/>
    <cellStyle name="Normal 25" xfId="1730"/>
    <cellStyle name="Normal 26" xfId="1731"/>
    <cellStyle name="Normal 27" xfId="1732"/>
    <cellStyle name="Normal 27 2" xfId="1733"/>
    <cellStyle name="Normal 27 3" xfId="1734"/>
    <cellStyle name="Normal 28" xfId="1735"/>
    <cellStyle name="Normal 28 2" xfId="1736"/>
    <cellStyle name="Normal 29" xfId="1737"/>
    <cellStyle name="Normal 3" xfId="1738"/>
    <cellStyle name="Normal 3 10" xfId="1739"/>
    <cellStyle name="Normal 3 11" xfId="1740"/>
    <cellStyle name="Normal 3 12" xfId="1741"/>
    <cellStyle name="Normal 3 13" xfId="1742"/>
    <cellStyle name="Normal 3 14" xfId="1743"/>
    <cellStyle name="Normal 3 15" xfId="1744"/>
    <cellStyle name="Normal 3 16" xfId="1745"/>
    <cellStyle name="Normal 3 17" xfId="1746"/>
    <cellStyle name="Normal 3 2" xfId="1747"/>
    <cellStyle name="Normal 3 3" xfId="1748"/>
    <cellStyle name="Normal 3 4" xfId="1749"/>
    <cellStyle name="Normal 3 5" xfId="1750"/>
    <cellStyle name="Normal 3 6" xfId="1751"/>
    <cellStyle name="Normal 3 7" xfId="1752"/>
    <cellStyle name="Normal 3 8" xfId="1753"/>
    <cellStyle name="Normal 3 9" xfId="1754"/>
    <cellStyle name="Normal 30" xfId="1755"/>
    <cellStyle name="Normal 30 2" xfId="1756"/>
    <cellStyle name="Normal 30 3" xfId="1757"/>
    <cellStyle name="Normal 31" xfId="1758"/>
    <cellStyle name="Normal 31 2" xfId="1759"/>
    <cellStyle name="Normal 31 3" xfId="1760"/>
    <cellStyle name="Normal 32" xfId="1761"/>
    <cellStyle name="Normal 33" xfId="1762"/>
    <cellStyle name="Normal 34" xfId="1763"/>
    <cellStyle name="Normal 34 2" xfId="1764"/>
    <cellStyle name="Normal 34 2 2" xfId="1765"/>
    <cellStyle name="Normal 34 2 2 2" xfId="3048"/>
    <cellStyle name="Normal 34 2 3" xfId="3047"/>
    <cellStyle name="Normal 34 3" xfId="1766"/>
    <cellStyle name="Normal 34 3 2" xfId="1767"/>
    <cellStyle name="Normal 34 4" xfId="1768"/>
    <cellStyle name="Normal 34 4 2" xfId="3049"/>
    <cellStyle name="Normal 34 5" xfId="3046"/>
    <cellStyle name="Normal 35" xfId="1769"/>
    <cellStyle name="Normal 36" xfId="18"/>
    <cellStyle name="Normal 37" xfId="19"/>
    <cellStyle name="Normal 38" xfId="3052"/>
    <cellStyle name="Normal 39" xfId="3051"/>
    <cellStyle name="Normal 4" xfId="1770"/>
    <cellStyle name="Normal 4 10" xfId="1771"/>
    <cellStyle name="Normal 4 11" xfId="1772"/>
    <cellStyle name="Normal 4 12" xfId="1773"/>
    <cellStyle name="Normal 4 13" xfId="1774"/>
    <cellStyle name="Normal 4 14" xfId="1775"/>
    <cellStyle name="Normal 4 15" xfId="1776"/>
    <cellStyle name="Normal 4 16" xfId="1777"/>
    <cellStyle name="Normal 4 17" xfId="1778"/>
    <cellStyle name="Normal 4 2" xfId="1779"/>
    <cellStyle name="Normal 4 3" xfId="1780"/>
    <cellStyle name="Normal 4 4" xfId="1781"/>
    <cellStyle name="Normal 4 5" xfId="1782"/>
    <cellStyle name="Normal 4 6" xfId="1783"/>
    <cellStyle name="Normal 4 7" xfId="1784"/>
    <cellStyle name="Normal 4 8" xfId="1785"/>
    <cellStyle name="Normal 4 9" xfId="1786"/>
    <cellStyle name="Normal 5" xfId="1787"/>
    <cellStyle name="Normal 5 10" xfId="1788"/>
    <cellStyle name="Normal 5 11" xfId="1789"/>
    <cellStyle name="Normal 5 12" xfId="1790"/>
    <cellStyle name="Normal 5 13" xfId="1791"/>
    <cellStyle name="Normal 5 14" xfId="1792"/>
    <cellStyle name="Normal 5 15" xfId="1793"/>
    <cellStyle name="Normal 5 16" xfId="1794"/>
    <cellStyle name="Normal 5 17" xfId="1795"/>
    <cellStyle name="Normal 5 2" xfId="1796"/>
    <cellStyle name="Normal 5 3" xfId="1797"/>
    <cellStyle name="Normal 5 4" xfId="1798"/>
    <cellStyle name="Normal 5 5" xfId="1799"/>
    <cellStyle name="Normal 5 6" xfId="1800"/>
    <cellStyle name="Normal 5 7" xfId="1801"/>
    <cellStyle name="Normal 5 8" xfId="1802"/>
    <cellStyle name="Normal 5 9" xfId="1803"/>
    <cellStyle name="Normal 6" xfId="1804"/>
    <cellStyle name="Normal 6 10" xfId="1805"/>
    <cellStyle name="Normal 6 11" xfId="1806"/>
    <cellStyle name="Normal 6 12" xfId="1807"/>
    <cellStyle name="Normal 6 13" xfId="1808"/>
    <cellStyle name="Normal 6 14" xfId="1809"/>
    <cellStyle name="Normal 6 15" xfId="1810"/>
    <cellStyle name="Normal 6 16" xfId="1811"/>
    <cellStyle name="Normal 6 17" xfId="1812"/>
    <cellStyle name="Normal 6 2" xfId="1813"/>
    <cellStyle name="Normal 6 3" xfId="1814"/>
    <cellStyle name="Normal 6 4" xfId="1815"/>
    <cellStyle name="Normal 6 5" xfId="1816"/>
    <cellStyle name="Normal 6 6" xfId="1817"/>
    <cellStyle name="Normal 6 7" xfId="1818"/>
    <cellStyle name="Normal 6 8" xfId="1819"/>
    <cellStyle name="Normal 6 9" xfId="1820"/>
    <cellStyle name="Normal 7" xfId="1821"/>
    <cellStyle name="Normal 7 2" xfId="1822"/>
    <cellStyle name="Normal 8" xfId="1823"/>
    <cellStyle name="Normal 8 10" xfId="1824"/>
    <cellStyle name="Normal 8 11" xfId="1825"/>
    <cellStyle name="Normal 8 12" xfId="1826"/>
    <cellStyle name="Normal 8 13" xfId="1827"/>
    <cellStyle name="Normal 8 14" xfId="1828"/>
    <cellStyle name="Normal 8 15" xfId="1829"/>
    <cellStyle name="Normal 8 16" xfId="1830"/>
    <cellStyle name="Normal 8 17" xfId="1831"/>
    <cellStyle name="Normal 8 18" xfId="1832"/>
    <cellStyle name="Normal 8 19" xfId="1833"/>
    <cellStyle name="Normal 8 2" xfId="1834"/>
    <cellStyle name="Normal 8 20" xfId="1835"/>
    <cellStyle name="Normal 8 21" xfId="1836"/>
    <cellStyle name="Normal 8 22" xfId="1837"/>
    <cellStyle name="Normal 8 23" xfId="1838"/>
    <cellStyle name="Normal 8 24" xfId="1839"/>
    <cellStyle name="Normal 8 25" xfId="1840"/>
    <cellStyle name="Normal 8 26" xfId="1841"/>
    <cellStyle name="Normal 8 27" xfId="1842"/>
    <cellStyle name="Normal 8 28" xfId="1843"/>
    <cellStyle name="Normal 8 29" xfId="1844"/>
    <cellStyle name="Normal 8 3" xfId="1845"/>
    <cellStyle name="Normal 8 4" xfId="1846"/>
    <cellStyle name="Normal 8 5" xfId="1847"/>
    <cellStyle name="Normal 8 6" xfId="1848"/>
    <cellStyle name="Normal 8 7" xfId="1849"/>
    <cellStyle name="Normal 8 8" xfId="1850"/>
    <cellStyle name="Normal 8 9" xfId="1851"/>
    <cellStyle name="Normal 9" xfId="1852"/>
    <cellStyle name="Normal 9 10" xfId="1853"/>
    <cellStyle name="Normal 9 11" xfId="1854"/>
    <cellStyle name="Normal 9 12" xfId="1855"/>
    <cellStyle name="Normal 9 13" xfId="1856"/>
    <cellStyle name="Normal 9 14" xfId="1857"/>
    <cellStyle name="Normal 9 15" xfId="1858"/>
    <cellStyle name="Normal 9 16" xfId="1859"/>
    <cellStyle name="Normal 9 17" xfId="1860"/>
    <cellStyle name="Normal 9 2" xfId="1861"/>
    <cellStyle name="Normal 9 3" xfId="1862"/>
    <cellStyle name="Normal 9 4" xfId="1863"/>
    <cellStyle name="Normal 9 5" xfId="1864"/>
    <cellStyle name="Normal 9 6" xfId="1865"/>
    <cellStyle name="Normal 9 7" xfId="1866"/>
    <cellStyle name="Normal 9 8" xfId="1867"/>
    <cellStyle name="Normal 9 9" xfId="1868"/>
    <cellStyle name="Normal_Attributes" xfId="2"/>
    <cellStyle name="Normal_Cover" xfId="3"/>
    <cellStyle name="Normal_FDD Workbook Template1" xfId="4"/>
    <cellStyle name="Normal_FDD Workbook Template1 2" xfId="9"/>
    <cellStyle name="Normal_FDD Workbook Template1 3" xfId="13"/>
    <cellStyle name="Normal_MSD_Cross_Analysis" xfId="5"/>
    <cellStyle name="Normal_Sheet1" xfId="6"/>
    <cellStyle name="Percent 2" xfId="15"/>
    <cellStyle name="Percent 2 2" xfId="1869"/>
    <cellStyle name="Standard" xfId="0" builtinId="0"/>
  </cellStyles>
  <dxfs count="0"/>
  <tableStyles count="0" defaultTableStyle="TableStyleMedium9" defaultPivotStyle="PivotStyleLight16"/>
  <colors>
    <mruColors>
      <color rgb="FFFFCC99"/>
      <color rgb="FFCCFFCC"/>
      <color rgb="FF0000FF"/>
      <color rgb="FF993300"/>
      <color rgb="FFDAEEF3"/>
      <color rgb="FF008000"/>
      <color rgb="FF7030A0"/>
      <color rgb="FFE4DFEC"/>
      <color rgb="FF00CC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138733</xdr:colOff>
      <xdr:row>1</xdr:row>
      <xdr:rowOff>87483</xdr:rowOff>
    </xdr:from>
    <xdr:to>
      <xdr:col>2</xdr:col>
      <xdr:colOff>935935</xdr:colOff>
      <xdr:row>1</xdr:row>
      <xdr:rowOff>917438</xdr:rowOff>
    </xdr:to>
    <xdr:pic>
      <xdr:nvPicPr>
        <xdr:cNvPr id="5" name="Grafik 4" descr="Logo-NGIF_5.2.jpg"/>
        <xdr:cNvPicPr>
          <a:picLocks noChangeAspect="1"/>
        </xdr:cNvPicPr>
      </xdr:nvPicPr>
      <xdr:blipFill>
        <a:blip xmlns:r="http://schemas.openxmlformats.org/officeDocument/2006/relationships" r:embed="rId1" cstate="print"/>
        <a:stretch>
          <a:fillRect/>
        </a:stretch>
      </xdr:blipFill>
      <xdr:spPr>
        <a:xfrm>
          <a:off x="834472" y="253135"/>
          <a:ext cx="797202" cy="82995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4</xdr:col>
      <xdr:colOff>3809999</xdr:colOff>
      <xdr:row>1</xdr:row>
      <xdr:rowOff>101456</xdr:rowOff>
    </xdr:from>
    <xdr:to>
      <xdr:col>4</xdr:col>
      <xdr:colOff>4762500</xdr:colOff>
      <xdr:row>1</xdr:row>
      <xdr:rowOff>927651</xdr:rowOff>
    </xdr:to>
    <xdr:pic>
      <xdr:nvPicPr>
        <xdr:cNvPr id="6" name="Grafik 5" descr="DGIWG-logo_transp_beleucht.gif"/>
        <xdr:cNvPicPr>
          <a:picLocks noChangeAspect="1"/>
        </xdr:cNvPicPr>
      </xdr:nvPicPr>
      <xdr:blipFill>
        <a:blip xmlns:r="http://schemas.openxmlformats.org/officeDocument/2006/relationships" r:embed="rId2" cstate="print"/>
        <a:stretch>
          <a:fillRect/>
        </a:stretch>
      </xdr:blipFill>
      <xdr:spPr>
        <a:xfrm>
          <a:off x="10846593" y="268144"/>
          <a:ext cx="952501" cy="82619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D-WD-13-021-ed0.5-NGFCD%20-%20Normative%20Cont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helker%20Daten/DGIWG/Meetings/2013-06%20DGIWG%20NMMT%20Workshop%20-%20Euskirchen/artifacts/13-021_STD-WD-13-021-ed0.2-NATO_Geospatial_Feature_Concept_Dictionary_NGFCD_-_Normative_Content.PAB.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ver"/>
      <sheetName val="FeatureConcepts"/>
      <sheetName val="AttributeConcepts"/>
      <sheetName val="Datatypes"/>
      <sheetName val="DatatypeListedValues"/>
      <sheetName val="PhysicalQuantities"/>
      <sheetName val="UnitsOfMeasure"/>
    </sheetNames>
    <sheetDataSet>
      <sheetData sheetId="0">
        <row r="6">
          <cell r="D6" t="str">
            <v>https://www.dgiwg.org/FAD/</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ver"/>
      <sheetName val="FeatureConcepts"/>
      <sheetName val="AttributeConcepts"/>
      <sheetName val="Datatypes"/>
      <sheetName val="DatatypeListedValues"/>
      <sheetName val="PhysicalQuantities"/>
      <sheetName val="UnitsOfMeasure"/>
    </sheetNames>
    <sheetDataSet>
      <sheetData sheetId="0" refreshError="1">
        <row r="6">
          <cell r="D6" t="str">
            <v>https://www.dgiwg.org/FAD/</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F122"/>
  <sheetViews>
    <sheetView tabSelected="1" topLeftCell="B1" zoomScale="90" zoomScaleNormal="90" workbookViewId="0">
      <selection activeCell="D12" sqref="D12"/>
    </sheetView>
  </sheetViews>
  <sheetFormatPr baseColWidth="10" defaultColWidth="9.140625" defaultRowHeight="12.75"/>
  <cols>
    <col min="1" max="1" width="6.7109375" style="2" hidden="1" customWidth="1"/>
    <col min="2" max="2" width="10.42578125" style="2" customWidth="1"/>
    <col min="3" max="3" width="17.42578125" style="2" customWidth="1"/>
    <col min="4" max="4" width="77.7109375" style="2" customWidth="1"/>
    <col min="5" max="5" width="73" style="2" customWidth="1"/>
    <col min="6" max="6" width="57.5703125" style="2" customWidth="1"/>
    <col min="7" max="16384" width="9.140625" style="2"/>
  </cols>
  <sheetData>
    <row r="1" spans="1:6">
      <c r="A1" s="2">
        <v>0</v>
      </c>
      <c r="B1" s="323"/>
      <c r="C1" s="323"/>
      <c r="D1" s="323"/>
      <c r="E1" s="323"/>
      <c r="F1" s="314"/>
    </row>
    <row r="2" spans="1:6" s="53" customFormat="1" ht="86.25" customHeight="1">
      <c r="A2" s="53">
        <v>1</v>
      </c>
      <c r="B2" s="159"/>
      <c r="C2" s="324" t="s">
        <v>33675</v>
      </c>
      <c r="D2" s="325"/>
      <c r="E2" s="325"/>
      <c r="F2" s="314"/>
    </row>
    <row r="3" spans="1:6">
      <c r="A3" s="2">
        <v>2</v>
      </c>
      <c r="B3" s="314"/>
      <c r="C3" s="314"/>
      <c r="D3" s="314"/>
      <c r="E3" s="314"/>
      <c r="F3" s="314"/>
    </row>
    <row r="4" spans="1:6" ht="96" customHeight="1">
      <c r="A4" s="2">
        <v>3</v>
      </c>
      <c r="B4" s="314"/>
      <c r="C4" s="3" t="s">
        <v>27</v>
      </c>
      <c r="D4" s="320" t="s">
        <v>33674</v>
      </c>
      <c r="E4" s="314"/>
      <c r="F4" s="314"/>
    </row>
    <row r="5" spans="1:6" ht="21.75" customHeight="1" thickBot="1">
      <c r="A5" s="2">
        <v>4</v>
      </c>
      <c r="B5" s="314"/>
      <c r="C5" s="3" t="s">
        <v>28</v>
      </c>
      <c r="D5" s="320" t="s">
        <v>147</v>
      </c>
      <c r="E5" s="314"/>
      <c r="F5" s="314"/>
    </row>
    <row r="6" spans="1:6" ht="27" customHeight="1" thickBot="1">
      <c r="A6" s="2">
        <v>5</v>
      </c>
      <c r="B6" s="314"/>
      <c r="C6" s="3" t="s">
        <v>88</v>
      </c>
      <c r="D6" s="160" t="s">
        <v>33676</v>
      </c>
      <c r="E6" s="34" t="s">
        <v>33673</v>
      </c>
      <c r="F6" s="314"/>
    </row>
    <row r="7" spans="1:6">
      <c r="A7" s="2">
        <v>6</v>
      </c>
      <c r="B7" s="314"/>
      <c r="C7" s="3"/>
      <c r="D7" s="5"/>
      <c r="E7" s="1"/>
      <c r="F7" s="314"/>
    </row>
    <row r="8" spans="1:6" ht="16.5" thickBot="1">
      <c r="A8" s="2">
        <v>7</v>
      </c>
      <c r="B8" s="322"/>
      <c r="C8" s="155" t="s">
        <v>24</v>
      </c>
      <c r="D8" s="156" t="s">
        <v>25</v>
      </c>
      <c r="E8" s="157" t="s">
        <v>26</v>
      </c>
      <c r="F8" s="314"/>
    </row>
    <row r="9" spans="1:6" ht="33.75" customHeight="1">
      <c r="A9" s="2">
        <v>8</v>
      </c>
      <c r="B9" s="315" t="s">
        <v>51</v>
      </c>
      <c r="C9" s="158" t="s">
        <v>52</v>
      </c>
      <c r="D9" s="158" t="s">
        <v>33</v>
      </c>
      <c r="E9" s="158" t="s">
        <v>54</v>
      </c>
      <c r="F9" s="314"/>
    </row>
    <row r="10" spans="1:6" ht="25.5">
      <c r="A10" s="2">
        <v>9</v>
      </c>
      <c r="B10" s="316"/>
      <c r="C10" s="234" t="s">
        <v>83</v>
      </c>
      <c r="D10" s="284" t="s">
        <v>55</v>
      </c>
      <c r="E10" s="285" t="s">
        <v>85</v>
      </c>
      <c r="F10" s="314"/>
    </row>
    <row r="11" spans="1:6" ht="27.75" customHeight="1">
      <c r="A11" s="2">
        <v>10</v>
      </c>
      <c r="B11" s="316"/>
      <c r="C11" s="237" t="s">
        <v>41</v>
      </c>
      <c r="D11" s="286" t="s">
        <v>42</v>
      </c>
      <c r="E11" s="258" t="s">
        <v>41608</v>
      </c>
      <c r="F11" s="314"/>
    </row>
    <row r="12" spans="1:6" ht="15" customHeight="1">
      <c r="A12" s="2">
        <v>12</v>
      </c>
      <c r="B12" s="316"/>
      <c r="C12" s="237" t="s">
        <v>38</v>
      </c>
      <c r="D12" s="287" t="s">
        <v>30</v>
      </c>
      <c r="E12" s="287"/>
      <c r="F12" s="314"/>
    </row>
    <row r="13" spans="1:6" ht="15" customHeight="1">
      <c r="A13" s="2">
        <v>13</v>
      </c>
      <c r="B13" s="316"/>
      <c r="C13" s="237" t="s">
        <v>39</v>
      </c>
      <c r="D13" s="287" t="s">
        <v>29</v>
      </c>
      <c r="E13" s="287"/>
      <c r="F13" s="314"/>
    </row>
    <row r="14" spans="1:6" ht="25.5">
      <c r="A14" s="2">
        <v>14</v>
      </c>
      <c r="B14" s="316"/>
      <c r="C14" s="237" t="s">
        <v>37</v>
      </c>
      <c r="D14" s="287" t="s">
        <v>31</v>
      </c>
      <c r="E14" s="283" t="s">
        <v>22</v>
      </c>
      <c r="F14" s="314"/>
    </row>
    <row r="15" spans="1:6" ht="15" customHeight="1">
      <c r="A15" s="2">
        <v>15</v>
      </c>
      <c r="B15" s="316"/>
      <c r="C15" s="237" t="s">
        <v>35</v>
      </c>
      <c r="D15" s="288" t="s">
        <v>23</v>
      </c>
      <c r="E15" s="287"/>
      <c r="F15" s="314"/>
    </row>
    <row r="16" spans="1:6" ht="25.5">
      <c r="A16" s="2">
        <v>16</v>
      </c>
      <c r="B16" s="316"/>
      <c r="C16" s="241" t="s">
        <v>33748</v>
      </c>
      <c r="D16" s="287" t="s">
        <v>32</v>
      </c>
      <c r="E16" s="287"/>
      <c r="F16" s="314"/>
    </row>
    <row r="17" spans="1:6" s="294" customFormat="1" ht="15" customHeight="1">
      <c r="A17" s="294">
        <v>17</v>
      </c>
      <c r="B17" s="316"/>
      <c r="C17" s="297" t="s">
        <v>33750</v>
      </c>
      <c r="D17" s="298" t="s">
        <v>33751</v>
      </c>
      <c r="E17" s="238"/>
      <c r="F17" s="314"/>
    </row>
    <row r="18" spans="1:6" ht="27.75" customHeight="1">
      <c r="A18" s="2">
        <v>18</v>
      </c>
      <c r="B18" s="316"/>
      <c r="C18" s="242" t="s">
        <v>1241</v>
      </c>
      <c r="D18" s="286" t="s">
        <v>43</v>
      </c>
      <c r="E18" s="258" t="s">
        <v>86</v>
      </c>
      <c r="F18" s="314"/>
    </row>
    <row r="19" spans="1:6" s="39" customFormat="1" ht="26.25" customHeight="1">
      <c r="B19" s="316"/>
      <c r="C19" s="243" t="s">
        <v>112</v>
      </c>
      <c r="D19" s="258" t="s">
        <v>33737</v>
      </c>
      <c r="E19" s="258"/>
    </row>
    <row r="20" spans="1:6" ht="12.75" customHeight="1" thickBot="1">
      <c r="A20" s="2">
        <v>20</v>
      </c>
      <c r="B20" s="4"/>
      <c r="C20" s="244"/>
      <c r="D20" s="244"/>
      <c r="E20" s="244"/>
    </row>
    <row r="21" spans="1:6" ht="30" customHeight="1">
      <c r="A21" s="2">
        <v>21</v>
      </c>
      <c r="B21" s="315" t="s">
        <v>53</v>
      </c>
      <c r="C21" s="158" t="s">
        <v>53</v>
      </c>
      <c r="D21" s="158" t="s">
        <v>34</v>
      </c>
      <c r="E21" s="158" t="s">
        <v>56</v>
      </c>
      <c r="F21" s="314"/>
    </row>
    <row r="22" spans="1:6" ht="25.5">
      <c r="A22" s="2">
        <v>22</v>
      </c>
      <c r="B22" s="316"/>
      <c r="C22" s="234" t="s">
        <v>83</v>
      </c>
      <c r="D22" s="235" t="s">
        <v>57</v>
      </c>
      <c r="E22" s="236" t="s">
        <v>85</v>
      </c>
      <c r="F22" s="314"/>
    </row>
    <row r="23" spans="1:6" s="232" customFormat="1" ht="27" customHeight="1">
      <c r="B23" s="316"/>
      <c r="C23" s="237" t="s">
        <v>41</v>
      </c>
      <c r="D23" s="287" t="s">
        <v>42</v>
      </c>
      <c r="E23" s="258" t="s">
        <v>41607</v>
      </c>
      <c r="F23" s="314"/>
    </row>
    <row r="24" spans="1:6" ht="27" customHeight="1">
      <c r="A24" s="2">
        <v>25</v>
      </c>
      <c r="B24" s="316"/>
      <c r="C24" s="237" t="s">
        <v>38</v>
      </c>
      <c r="D24" s="287" t="s">
        <v>30</v>
      </c>
      <c r="E24" s="283" t="s">
        <v>20</v>
      </c>
      <c r="F24" s="314"/>
    </row>
    <row r="25" spans="1:6" ht="15" customHeight="1">
      <c r="A25" s="2">
        <v>26</v>
      </c>
      <c r="B25" s="316"/>
      <c r="C25" s="237" t="s">
        <v>39</v>
      </c>
      <c r="D25" s="287" t="s">
        <v>29</v>
      </c>
      <c r="E25" s="287"/>
      <c r="F25" s="314"/>
    </row>
    <row r="26" spans="1:6" ht="27" customHeight="1">
      <c r="A26" s="2">
        <v>27</v>
      </c>
      <c r="B26" s="316"/>
      <c r="C26" s="237" t="s">
        <v>37</v>
      </c>
      <c r="D26" s="287" t="s">
        <v>31</v>
      </c>
      <c r="E26" s="283" t="s">
        <v>22</v>
      </c>
      <c r="F26" s="314"/>
    </row>
    <row r="27" spans="1:6" ht="15" customHeight="1">
      <c r="A27" s="2">
        <v>28</v>
      </c>
      <c r="B27" s="316"/>
      <c r="C27" s="237" t="s">
        <v>35</v>
      </c>
      <c r="D27" s="288" t="s">
        <v>23</v>
      </c>
      <c r="E27" s="287"/>
      <c r="F27" s="314"/>
    </row>
    <row r="28" spans="1:6" ht="38.25" customHeight="1">
      <c r="A28" s="2">
        <v>29</v>
      </c>
      <c r="B28" s="316"/>
      <c r="C28" s="246" t="s">
        <v>45</v>
      </c>
      <c r="D28" s="282" t="s">
        <v>33740</v>
      </c>
      <c r="E28" s="283" t="s">
        <v>6</v>
      </c>
      <c r="F28" s="314"/>
    </row>
    <row r="29" spans="1:6" ht="27.75" customHeight="1">
      <c r="A29" s="2">
        <v>30</v>
      </c>
      <c r="B29" s="316"/>
      <c r="C29" s="246" t="s">
        <v>5975</v>
      </c>
      <c r="D29" s="283" t="s">
        <v>9</v>
      </c>
      <c r="E29" s="283" t="s">
        <v>10</v>
      </c>
      <c r="F29" s="314"/>
    </row>
    <row r="30" spans="1:6" ht="25.5">
      <c r="A30" s="2">
        <v>31</v>
      </c>
      <c r="B30" s="316"/>
      <c r="C30" s="246" t="s">
        <v>80</v>
      </c>
      <c r="D30" s="282" t="s">
        <v>62</v>
      </c>
      <c r="E30" s="283" t="s">
        <v>11</v>
      </c>
      <c r="F30" s="314"/>
    </row>
    <row r="31" spans="1:6" s="40" customFormat="1" ht="38.25">
      <c r="B31" s="316"/>
      <c r="C31" s="246" t="s">
        <v>114</v>
      </c>
      <c r="D31" s="282" t="s">
        <v>2</v>
      </c>
      <c r="E31" s="282" t="s">
        <v>116</v>
      </c>
      <c r="F31" s="314"/>
    </row>
    <row r="32" spans="1:6" ht="40.5" customHeight="1">
      <c r="A32" s="2">
        <v>32</v>
      </c>
      <c r="B32" s="316"/>
      <c r="C32" s="246" t="s">
        <v>115</v>
      </c>
      <c r="D32" s="282" t="s">
        <v>117</v>
      </c>
      <c r="E32" s="283" t="s">
        <v>5</v>
      </c>
      <c r="F32" s="314"/>
    </row>
    <row r="33" spans="1:6" s="40" customFormat="1" ht="63.75">
      <c r="B33" s="316"/>
      <c r="C33" s="248" t="s">
        <v>33734</v>
      </c>
      <c r="D33" s="289" t="s">
        <v>119</v>
      </c>
      <c r="E33" s="283" t="s">
        <v>118</v>
      </c>
      <c r="F33" s="314"/>
    </row>
    <row r="34" spans="1:6" ht="39" customHeight="1">
      <c r="A34" s="2">
        <v>33</v>
      </c>
      <c r="B34" s="316"/>
      <c r="C34" s="249" t="s">
        <v>81</v>
      </c>
      <c r="D34" s="282" t="s">
        <v>12</v>
      </c>
      <c r="E34" s="283" t="s">
        <v>13</v>
      </c>
      <c r="F34" s="314"/>
    </row>
    <row r="35" spans="1:6" ht="27" customHeight="1">
      <c r="B35" s="316"/>
      <c r="C35" s="246" t="s">
        <v>74</v>
      </c>
      <c r="D35" s="282" t="s">
        <v>76</v>
      </c>
      <c r="E35" s="283" t="s">
        <v>75</v>
      </c>
      <c r="F35" s="314"/>
    </row>
    <row r="36" spans="1:6" s="232" customFormat="1" ht="25.5">
      <c r="B36" s="316"/>
      <c r="C36" s="241" t="s">
        <v>33748</v>
      </c>
      <c r="D36" s="287" t="s">
        <v>32</v>
      </c>
      <c r="E36" s="287"/>
      <c r="F36" s="314"/>
    </row>
    <row r="37" spans="1:6" s="294" customFormat="1" ht="17.25" customHeight="1">
      <c r="B37" s="316"/>
      <c r="C37" s="297" t="s">
        <v>33752</v>
      </c>
      <c r="D37" s="298" t="s">
        <v>33751</v>
      </c>
      <c r="E37" s="238"/>
      <c r="F37" s="314"/>
    </row>
    <row r="38" spans="1:6" ht="26.25" customHeight="1">
      <c r="A38" s="2">
        <v>36</v>
      </c>
      <c r="B38" s="316"/>
      <c r="C38" s="242" t="s">
        <v>1241</v>
      </c>
      <c r="D38" s="287" t="s">
        <v>43</v>
      </c>
      <c r="E38" s="258" t="s">
        <v>86</v>
      </c>
      <c r="F38" s="314"/>
    </row>
    <row r="39" spans="1:6" s="39" customFormat="1" ht="26.25" customHeight="1">
      <c r="B39" s="316"/>
      <c r="C39" s="243" t="s">
        <v>112</v>
      </c>
      <c r="D39" s="258" t="s">
        <v>113</v>
      </c>
      <c r="E39" s="258"/>
    </row>
    <row r="40" spans="1:6" ht="15" customHeight="1" thickBot="1">
      <c r="A40" s="2">
        <v>38</v>
      </c>
      <c r="B40" s="4"/>
      <c r="C40" s="244"/>
      <c r="D40" s="244"/>
      <c r="E40" s="244"/>
    </row>
    <row r="41" spans="1:6" ht="76.5">
      <c r="A41" s="2">
        <v>39</v>
      </c>
      <c r="B41" s="317" t="s">
        <v>18</v>
      </c>
      <c r="C41" s="158" t="s">
        <v>18</v>
      </c>
      <c r="D41" s="158" t="s">
        <v>19</v>
      </c>
      <c r="E41" s="158" t="s">
        <v>8</v>
      </c>
      <c r="F41" s="314"/>
    </row>
    <row r="42" spans="1:6" s="33" customFormat="1" ht="27" customHeight="1">
      <c r="A42" s="33">
        <v>40</v>
      </c>
      <c r="B42" s="318"/>
      <c r="C42" s="234" t="s">
        <v>83</v>
      </c>
      <c r="D42" s="250" t="s">
        <v>90</v>
      </c>
      <c r="E42" s="236" t="s">
        <v>85</v>
      </c>
      <c r="F42" s="314"/>
    </row>
    <row r="43" spans="1:6" s="232" customFormat="1" ht="39.75" customHeight="1">
      <c r="B43" s="319"/>
      <c r="C43" s="252" t="s">
        <v>82</v>
      </c>
      <c r="D43" s="287" t="s">
        <v>42</v>
      </c>
      <c r="E43" s="282" t="s">
        <v>111</v>
      </c>
      <c r="F43" s="314"/>
    </row>
    <row r="44" spans="1:6" ht="26.25" customHeight="1">
      <c r="A44" s="2">
        <v>41</v>
      </c>
      <c r="B44" s="319"/>
      <c r="C44" s="252" t="s">
        <v>46</v>
      </c>
      <c r="D44" s="283" t="s">
        <v>68</v>
      </c>
      <c r="E44" s="283" t="s">
        <v>14</v>
      </c>
      <c r="F44" s="314"/>
    </row>
    <row r="45" spans="1:6" s="232" customFormat="1" ht="39.75" customHeight="1">
      <c r="B45" s="319"/>
      <c r="C45" s="251" t="s">
        <v>33731</v>
      </c>
      <c r="D45" s="282" t="s">
        <v>33747</v>
      </c>
      <c r="E45" s="240"/>
      <c r="F45" s="314"/>
    </row>
    <row r="46" spans="1:6" s="231" customFormat="1" ht="28.5" customHeight="1">
      <c r="B46" s="319"/>
      <c r="C46" s="251" t="s">
        <v>33732</v>
      </c>
      <c r="D46" s="282" t="s">
        <v>63</v>
      </c>
      <c r="E46" s="283"/>
      <c r="F46" s="314"/>
    </row>
    <row r="47" spans="1:6" ht="27" customHeight="1">
      <c r="A47" s="2">
        <v>44</v>
      </c>
      <c r="B47" s="319"/>
      <c r="C47" s="237" t="s">
        <v>39</v>
      </c>
      <c r="D47" s="283" t="s">
        <v>64</v>
      </c>
      <c r="E47" s="290" t="s">
        <v>69</v>
      </c>
      <c r="F47" s="314"/>
    </row>
    <row r="48" spans="1:6" ht="27.75" customHeight="1">
      <c r="A48" s="2">
        <v>45</v>
      </c>
      <c r="B48" s="319"/>
      <c r="C48" s="237" t="s">
        <v>37</v>
      </c>
      <c r="D48" s="283" t="s">
        <v>65</v>
      </c>
      <c r="E48" s="283" t="s">
        <v>22</v>
      </c>
      <c r="F48" s="314"/>
    </row>
    <row r="49" spans="1:6" ht="13.5" customHeight="1">
      <c r="A49" s="2">
        <v>46</v>
      </c>
      <c r="B49" s="319"/>
      <c r="C49" s="253" t="s">
        <v>44</v>
      </c>
      <c r="D49" s="282" t="s">
        <v>21</v>
      </c>
      <c r="E49" s="283"/>
      <c r="F49" s="314"/>
    </row>
    <row r="50" spans="1:6" ht="38.25" customHeight="1">
      <c r="A50" s="2">
        <v>47</v>
      </c>
      <c r="B50" s="319"/>
      <c r="C50" s="253" t="s">
        <v>33738</v>
      </c>
      <c r="D50" s="282" t="s">
        <v>70</v>
      </c>
      <c r="E50" s="283" t="s">
        <v>73</v>
      </c>
      <c r="F50" s="314"/>
    </row>
    <row r="51" spans="1:6" ht="27" customHeight="1">
      <c r="A51" s="2">
        <v>48</v>
      </c>
      <c r="B51" s="319"/>
      <c r="C51" s="253" t="s">
        <v>33743</v>
      </c>
      <c r="D51" s="282" t="s">
        <v>71</v>
      </c>
      <c r="E51" s="283" t="s">
        <v>72</v>
      </c>
      <c r="F51" s="314"/>
    </row>
    <row r="52" spans="1:6" s="231" customFormat="1" ht="101.25" customHeight="1">
      <c r="B52" s="319"/>
      <c r="C52" s="253" t="s">
        <v>33735</v>
      </c>
      <c r="D52" s="282" t="s">
        <v>33741</v>
      </c>
      <c r="E52" s="282"/>
      <c r="F52" s="314"/>
    </row>
    <row r="53" spans="1:6" s="231" customFormat="1" ht="122.25" customHeight="1">
      <c r="B53" s="319"/>
      <c r="C53" s="253" t="s">
        <v>33736</v>
      </c>
      <c r="D53" s="282" t="s">
        <v>33745</v>
      </c>
      <c r="E53" s="282" t="s">
        <v>33746</v>
      </c>
      <c r="F53" s="314"/>
    </row>
    <row r="54" spans="1:6" ht="27" customHeight="1">
      <c r="B54" s="319"/>
      <c r="C54" s="246" t="s">
        <v>74</v>
      </c>
      <c r="D54" s="283" t="s">
        <v>77</v>
      </c>
      <c r="E54" s="283" t="s">
        <v>78</v>
      </c>
      <c r="F54" s="314"/>
    </row>
    <row r="55" spans="1:6" ht="39" customHeight="1">
      <c r="A55" s="2">
        <v>51</v>
      </c>
      <c r="B55" s="319"/>
      <c r="C55" s="246" t="s">
        <v>40</v>
      </c>
      <c r="D55" s="283" t="s">
        <v>0</v>
      </c>
      <c r="E55" s="283" t="s">
        <v>15</v>
      </c>
      <c r="F55" s="314"/>
    </row>
    <row r="56" spans="1:6" ht="64.5" customHeight="1">
      <c r="A56" s="2">
        <v>52</v>
      </c>
      <c r="B56" s="319"/>
      <c r="C56" s="246" t="s">
        <v>47</v>
      </c>
      <c r="D56" s="283" t="s">
        <v>58</v>
      </c>
      <c r="E56" s="283" t="s">
        <v>1</v>
      </c>
      <c r="F56" s="314"/>
    </row>
    <row r="57" spans="1:6" ht="39.75" customHeight="1">
      <c r="A57" s="2">
        <v>53</v>
      </c>
      <c r="B57" s="319"/>
      <c r="C57" s="246" t="s">
        <v>48</v>
      </c>
      <c r="D57" s="283" t="s">
        <v>59</v>
      </c>
      <c r="E57" s="282" t="s">
        <v>91</v>
      </c>
      <c r="F57" s="314"/>
    </row>
    <row r="58" spans="1:6" ht="28.5" customHeight="1">
      <c r="A58" s="2">
        <v>54</v>
      </c>
      <c r="B58" s="319"/>
      <c r="C58" s="246" t="s">
        <v>66</v>
      </c>
      <c r="D58" s="283" t="s">
        <v>61</v>
      </c>
      <c r="E58" s="283" t="s">
        <v>16</v>
      </c>
      <c r="F58" s="314"/>
    </row>
    <row r="59" spans="1:6" ht="27" customHeight="1">
      <c r="A59" s="2">
        <v>55</v>
      </c>
      <c r="B59" s="319"/>
      <c r="C59" s="246" t="s">
        <v>67</v>
      </c>
      <c r="D59" s="283" t="s">
        <v>60</v>
      </c>
      <c r="E59" s="283" t="s">
        <v>17</v>
      </c>
      <c r="F59" s="314"/>
    </row>
    <row r="60" spans="1:6" s="278" customFormat="1" ht="25.5">
      <c r="B60" s="279"/>
      <c r="C60" s="241" t="s">
        <v>33748</v>
      </c>
      <c r="D60" s="287" t="s">
        <v>32</v>
      </c>
      <c r="E60" s="258"/>
    </row>
    <row r="61" spans="1:6" s="294" customFormat="1">
      <c r="B61" s="295"/>
      <c r="C61" s="297" t="s">
        <v>33753</v>
      </c>
      <c r="D61" s="298" t="s">
        <v>33751</v>
      </c>
      <c r="E61" s="239"/>
    </row>
    <row r="62" spans="1:6" s="278" customFormat="1" ht="25.5">
      <c r="A62" s="278">
        <v>67</v>
      </c>
      <c r="B62" s="279"/>
      <c r="C62" s="242" t="s">
        <v>1241</v>
      </c>
      <c r="D62" s="291" t="s">
        <v>33739</v>
      </c>
      <c r="E62" s="291"/>
    </row>
    <row r="63" spans="1:6" s="280" customFormat="1" ht="26.25" customHeight="1">
      <c r="B63" s="281"/>
      <c r="C63" s="243" t="s">
        <v>112</v>
      </c>
      <c r="D63" s="258" t="s">
        <v>113</v>
      </c>
      <c r="E63" s="258"/>
    </row>
    <row r="64" spans="1:6" ht="15" customHeight="1" thickBot="1">
      <c r="A64" s="2">
        <v>59</v>
      </c>
      <c r="B64" s="4"/>
      <c r="C64" s="244"/>
      <c r="D64" s="244"/>
      <c r="E64" s="244"/>
    </row>
    <row r="65" spans="1:6" ht="41.25" customHeight="1">
      <c r="A65" s="2">
        <v>60</v>
      </c>
      <c r="B65" s="315" t="s">
        <v>7</v>
      </c>
      <c r="C65" s="158" t="s">
        <v>7</v>
      </c>
      <c r="D65" s="158" t="s">
        <v>3</v>
      </c>
      <c r="E65" s="158" t="s">
        <v>4</v>
      </c>
      <c r="F65" s="314"/>
    </row>
    <row r="66" spans="1:6" s="33" customFormat="1" ht="27" customHeight="1">
      <c r="A66" s="33">
        <v>40</v>
      </c>
      <c r="B66" s="316"/>
      <c r="C66" s="234" t="s">
        <v>83</v>
      </c>
      <c r="D66" s="236" t="s">
        <v>92</v>
      </c>
      <c r="E66" s="236" t="s">
        <v>93</v>
      </c>
      <c r="F66" s="314"/>
    </row>
    <row r="67" spans="1:6" ht="38.25">
      <c r="A67" s="2">
        <v>62</v>
      </c>
      <c r="B67" s="316"/>
      <c r="C67" s="255" t="s">
        <v>89</v>
      </c>
      <c r="D67" s="282" t="s">
        <v>94</v>
      </c>
      <c r="E67" s="282" t="s">
        <v>146</v>
      </c>
      <c r="F67" s="314"/>
    </row>
    <row r="68" spans="1:6" s="232" customFormat="1" ht="15" customHeight="1">
      <c r="B68" s="316"/>
      <c r="C68" s="255" t="s">
        <v>46</v>
      </c>
      <c r="D68" s="282" t="s">
        <v>68</v>
      </c>
      <c r="E68" s="282"/>
      <c r="F68" s="314"/>
    </row>
    <row r="69" spans="1:6" ht="34.5" customHeight="1">
      <c r="A69" s="2">
        <v>63</v>
      </c>
      <c r="B69" s="316"/>
      <c r="C69" s="237" t="s">
        <v>41</v>
      </c>
      <c r="D69" s="282" t="s">
        <v>42</v>
      </c>
      <c r="E69" s="287"/>
      <c r="F69" s="314"/>
    </row>
    <row r="70" spans="1:6" ht="15" customHeight="1">
      <c r="A70" s="2">
        <v>66</v>
      </c>
      <c r="B70" s="316"/>
      <c r="C70" s="237" t="s">
        <v>38</v>
      </c>
      <c r="D70" s="287" t="s">
        <v>30</v>
      </c>
      <c r="E70" s="283"/>
      <c r="F70" s="314"/>
    </row>
    <row r="71" spans="1:6" ht="15" customHeight="1">
      <c r="A71" s="2">
        <v>67</v>
      </c>
      <c r="B71" s="316"/>
      <c r="C71" s="237" t="s">
        <v>39</v>
      </c>
      <c r="D71" s="287" t="s">
        <v>29</v>
      </c>
      <c r="E71" s="287"/>
      <c r="F71" s="314"/>
    </row>
    <row r="72" spans="1:6" ht="25.5">
      <c r="A72" s="2">
        <v>68</v>
      </c>
      <c r="B72" s="316"/>
      <c r="C72" s="237" t="s">
        <v>37</v>
      </c>
      <c r="D72" s="287" t="s">
        <v>31</v>
      </c>
      <c r="E72" s="283" t="s">
        <v>22</v>
      </c>
      <c r="F72" s="314"/>
    </row>
    <row r="73" spans="1:6" ht="14.25" customHeight="1">
      <c r="A73" s="2">
        <v>69</v>
      </c>
      <c r="B73" s="316"/>
      <c r="C73" s="237" t="s">
        <v>35</v>
      </c>
      <c r="D73" s="288" t="s">
        <v>23</v>
      </c>
      <c r="E73" s="287"/>
      <c r="F73" s="314"/>
    </row>
    <row r="74" spans="1:6" ht="25.5">
      <c r="A74" s="2">
        <v>70</v>
      </c>
      <c r="B74" s="316"/>
      <c r="C74" s="241" t="s">
        <v>33748</v>
      </c>
      <c r="D74" s="287" t="s">
        <v>32</v>
      </c>
      <c r="E74" s="287"/>
      <c r="F74" s="314"/>
    </row>
    <row r="75" spans="1:6" s="305" customFormat="1">
      <c r="B75" s="316"/>
      <c r="C75" s="297" t="s">
        <v>34050</v>
      </c>
      <c r="D75" s="298" t="s">
        <v>33751</v>
      </c>
      <c r="E75" s="239"/>
    </row>
    <row r="76" spans="1:6" s="305" customFormat="1">
      <c r="B76" s="316"/>
      <c r="C76" s="297" t="s">
        <v>33754</v>
      </c>
      <c r="D76" s="298" t="s">
        <v>33751</v>
      </c>
      <c r="E76" s="239"/>
      <c r="F76" s="294"/>
    </row>
    <row r="77" spans="1:6" s="275" customFormat="1" ht="25.5">
      <c r="A77" s="275">
        <v>64</v>
      </c>
      <c r="B77" s="316"/>
      <c r="C77" s="242" t="s">
        <v>1241</v>
      </c>
      <c r="D77" s="291" t="s">
        <v>33739</v>
      </c>
      <c r="E77" s="291"/>
      <c r="F77" s="257"/>
    </row>
    <row r="78" spans="1:6" s="39" customFormat="1" ht="26.25" customHeight="1">
      <c r="B78" s="320"/>
      <c r="C78" s="243" t="s">
        <v>112</v>
      </c>
      <c r="D78" s="258" t="s">
        <v>113</v>
      </c>
      <c r="E78" s="258"/>
    </row>
    <row r="79" spans="1:6" ht="13.5" thickBot="1">
      <c r="A79" s="2">
        <v>74</v>
      </c>
      <c r="B79" s="22"/>
      <c r="C79" s="256"/>
      <c r="D79" s="256"/>
      <c r="E79" s="256"/>
      <c r="F79" s="21"/>
    </row>
    <row r="80" spans="1:6" s="33" customFormat="1" ht="63.75">
      <c r="A80" s="49">
        <v>60</v>
      </c>
      <c r="B80" s="315" t="s">
        <v>125</v>
      </c>
      <c r="C80" s="158" t="s">
        <v>125</v>
      </c>
      <c r="D80" s="158" t="s">
        <v>126</v>
      </c>
      <c r="E80" s="158" t="s">
        <v>127</v>
      </c>
      <c r="F80" s="314"/>
    </row>
    <row r="81" spans="1:6" s="232" customFormat="1" ht="25.5">
      <c r="B81" s="321"/>
      <c r="C81" s="234" t="s">
        <v>83</v>
      </c>
      <c r="D81" s="236" t="s">
        <v>134</v>
      </c>
      <c r="E81" s="236" t="s">
        <v>131</v>
      </c>
      <c r="F81" s="314"/>
    </row>
    <row r="82" spans="1:6" s="33" customFormat="1" ht="25.5">
      <c r="A82" s="49">
        <v>62</v>
      </c>
      <c r="B82" s="321"/>
      <c r="C82" s="237" t="s">
        <v>41</v>
      </c>
      <c r="D82" s="287" t="s">
        <v>42</v>
      </c>
      <c r="E82" s="258" t="s">
        <v>133</v>
      </c>
      <c r="F82" s="314"/>
    </row>
    <row r="83" spans="1:6" s="33" customFormat="1" ht="14.25" customHeight="1">
      <c r="A83" s="49">
        <v>66</v>
      </c>
      <c r="B83" s="321"/>
      <c r="C83" s="237" t="s">
        <v>38</v>
      </c>
      <c r="D83" s="287" t="s">
        <v>30</v>
      </c>
      <c r="E83" s="292"/>
      <c r="F83" s="314"/>
    </row>
    <row r="84" spans="1:6" s="33" customFormat="1" ht="14.25" customHeight="1">
      <c r="A84" s="49">
        <v>67</v>
      </c>
      <c r="B84" s="321"/>
      <c r="C84" s="237" t="s">
        <v>39</v>
      </c>
      <c r="D84" s="287" t="s">
        <v>29</v>
      </c>
      <c r="E84" s="292"/>
      <c r="F84" s="314"/>
    </row>
    <row r="85" spans="1:6" s="49" customFormat="1" ht="25.5">
      <c r="B85" s="321"/>
      <c r="C85" s="237" t="s">
        <v>37</v>
      </c>
      <c r="D85" s="287" t="s">
        <v>31</v>
      </c>
      <c r="E85" s="283" t="s">
        <v>22</v>
      </c>
      <c r="F85" s="314"/>
    </row>
    <row r="86" spans="1:6" s="52" customFormat="1" ht="14.25" customHeight="1">
      <c r="B86" s="321"/>
      <c r="C86" s="237" t="s">
        <v>35</v>
      </c>
      <c r="D86" s="288" t="s">
        <v>23</v>
      </c>
      <c r="E86" s="292"/>
      <c r="F86" s="314"/>
    </row>
    <row r="87" spans="1:6" s="232" customFormat="1" ht="27.75" customHeight="1">
      <c r="B87" s="321"/>
      <c r="C87" s="259" t="s">
        <v>120</v>
      </c>
      <c r="D87" s="282" t="s">
        <v>135</v>
      </c>
      <c r="E87" s="282" t="s">
        <v>136</v>
      </c>
      <c r="F87" s="314"/>
    </row>
    <row r="88" spans="1:6" s="232" customFormat="1" ht="25.5">
      <c r="B88" s="321"/>
      <c r="C88" s="241" t="s">
        <v>33748</v>
      </c>
      <c r="D88" s="287" t="s">
        <v>32</v>
      </c>
      <c r="E88" s="258"/>
      <c r="F88" s="314"/>
    </row>
    <row r="89" spans="1:6" s="294" customFormat="1">
      <c r="B89" s="321"/>
      <c r="C89" s="297" t="s">
        <v>33755</v>
      </c>
      <c r="D89" s="298" t="s">
        <v>33751</v>
      </c>
      <c r="E89" s="239"/>
      <c r="F89" s="314"/>
    </row>
    <row r="90" spans="1:6" s="278" customFormat="1" ht="25.5">
      <c r="A90" s="278">
        <v>67</v>
      </c>
      <c r="B90" s="321"/>
      <c r="C90" s="242" t="s">
        <v>1241</v>
      </c>
      <c r="D90" s="291" t="s">
        <v>33739</v>
      </c>
      <c r="E90" s="291"/>
      <c r="F90" s="314"/>
    </row>
    <row r="91" spans="1:6" s="52" customFormat="1" ht="25.5">
      <c r="B91" s="321"/>
      <c r="C91" s="243" t="s">
        <v>112</v>
      </c>
      <c r="D91" s="258" t="s">
        <v>113</v>
      </c>
      <c r="E91" s="258"/>
      <c r="F91" s="314"/>
    </row>
    <row r="92" spans="1:6" s="33" customFormat="1" ht="13.5" thickBot="1">
      <c r="A92" s="49">
        <v>74</v>
      </c>
      <c r="B92" s="51"/>
      <c r="C92" s="256"/>
      <c r="D92" s="256"/>
      <c r="E92" s="256"/>
      <c r="F92" s="50"/>
    </row>
    <row r="93" spans="1:6" s="33" customFormat="1" ht="51">
      <c r="A93" s="49">
        <v>60</v>
      </c>
      <c r="B93" s="315" t="s">
        <v>128</v>
      </c>
      <c r="C93" s="158" t="s">
        <v>128</v>
      </c>
      <c r="D93" s="158" t="s">
        <v>129</v>
      </c>
      <c r="E93" s="158" t="s">
        <v>130</v>
      </c>
      <c r="F93" s="314"/>
    </row>
    <row r="94" spans="1:6" s="232" customFormat="1" ht="25.5">
      <c r="B94" s="321"/>
      <c r="C94" s="234" t="s">
        <v>84</v>
      </c>
      <c r="D94" s="236" t="s">
        <v>137</v>
      </c>
      <c r="E94" s="236" t="s">
        <v>138</v>
      </c>
      <c r="F94" s="314"/>
    </row>
    <row r="95" spans="1:6" s="33" customFormat="1" ht="38.25">
      <c r="A95" s="49">
        <v>62</v>
      </c>
      <c r="B95" s="321"/>
      <c r="C95" s="255" t="s">
        <v>139</v>
      </c>
      <c r="D95" s="258" t="s">
        <v>143</v>
      </c>
      <c r="E95" s="258" t="s">
        <v>141</v>
      </c>
      <c r="F95" s="314"/>
    </row>
    <row r="96" spans="1:6" s="33" customFormat="1" ht="25.5">
      <c r="A96" s="49">
        <v>64</v>
      </c>
      <c r="B96" s="321"/>
      <c r="C96" s="255" t="s">
        <v>140</v>
      </c>
      <c r="D96" s="282" t="s">
        <v>142</v>
      </c>
      <c r="E96" s="258"/>
      <c r="F96" s="314"/>
    </row>
    <row r="97" spans="1:6" s="33" customFormat="1" ht="25.5">
      <c r="A97" s="49">
        <v>66</v>
      </c>
      <c r="B97" s="321"/>
      <c r="C97" s="237" t="s">
        <v>41</v>
      </c>
      <c r="D97" s="291" t="s">
        <v>144</v>
      </c>
      <c r="E97" s="291" t="s">
        <v>145</v>
      </c>
      <c r="F97" s="314"/>
    </row>
    <row r="98" spans="1:6" s="52" customFormat="1" ht="14.25" customHeight="1">
      <c r="B98" s="321"/>
      <c r="C98" s="237" t="s">
        <v>38</v>
      </c>
      <c r="D98" s="287" t="s">
        <v>30</v>
      </c>
      <c r="E98" s="283"/>
      <c r="F98" s="314"/>
    </row>
    <row r="99" spans="1:6" s="52" customFormat="1" ht="14.25" customHeight="1">
      <c r="B99" s="321"/>
      <c r="C99" s="237" t="s">
        <v>39</v>
      </c>
      <c r="D99" s="287" t="s">
        <v>29</v>
      </c>
      <c r="E99" s="292"/>
      <c r="F99" s="314"/>
    </row>
    <row r="100" spans="1:6" s="52" customFormat="1" ht="25.5">
      <c r="B100" s="321"/>
      <c r="C100" s="237" t="s">
        <v>37</v>
      </c>
      <c r="D100" s="287" t="s">
        <v>31</v>
      </c>
      <c r="E100" s="283" t="s">
        <v>22</v>
      </c>
      <c r="F100" s="314"/>
    </row>
    <row r="101" spans="1:6" s="52" customFormat="1">
      <c r="B101" s="321"/>
      <c r="C101" s="237" t="s">
        <v>35</v>
      </c>
      <c r="D101" s="288" t="s">
        <v>23</v>
      </c>
      <c r="E101" s="258"/>
      <c r="F101" s="314"/>
    </row>
    <row r="102" spans="1:6" s="232" customFormat="1" ht="30" customHeight="1">
      <c r="B102" s="321"/>
      <c r="C102" s="241" t="s">
        <v>33748</v>
      </c>
      <c r="D102" s="287" t="s">
        <v>32</v>
      </c>
      <c r="E102" s="258"/>
      <c r="F102" s="314"/>
    </row>
    <row r="103" spans="1:6" s="294" customFormat="1">
      <c r="B103" s="321"/>
      <c r="C103" s="297" t="s">
        <v>34050</v>
      </c>
      <c r="D103" s="298" t="s">
        <v>33751</v>
      </c>
      <c r="E103" s="239"/>
      <c r="F103" s="314"/>
    </row>
    <row r="104" spans="1:6" s="296" customFormat="1">
      <c r="B104" s="321"/>
      <c r="C104" s="297" t="s">
        <v>33754</v>
      </c>
      <c r="D104" s="298" t="s">
        <v>33751</v>
      </c>
      <c r="E104" s="239"/>
      <c r="F104" s="314"/>
    </row>
    <row r="105" spans="1:6" s="275" customFormat="1" ht="25.5">
      <c r="A105" s="275">
        <v>67</v>
      </c>
      <c r="B105" s="321"/>
      <c r="C105" s="242" t="s">
        <v>1241</v>
      </c>
      <c r="D105" s="291" t="s">
        <v>33739</v>
      </c>
      <c r="E105" s="291"/>
      <c r="F105" s="314"/>
    </row>
    <row r="106" spans="1:6" s="52" customFormat="1" ht="25.5">
      <c r="B106" s="321"/>
      <c r="C106" s="243" t="s">
        <v>112</v>
      </c>
      <c r="D106" s="258" t="s">
        <v>113</v>
      </c>
      <c r="E106" s="258"/>
      <c r="F106" s="314"/>
    </row>
    <row r="107" spans="1:6" s="33" customFormat="1" ht="13.5" hidden="1" thickBot="1">
      <c r="A107" s="49">
        <v>74</v>
      </c>
      <c r="B107" s="51"/>
      <c r="C107" s="240"/>
      <c r="D107" s="240"/>
      <c r="E107" s="240"/>
      <c r="F107" s="50"/>
    </row>
    <row r="108" spans="1:6" s="33" customFormat="1" ht="25.5" hidden="1">
      <c r="A108" s="47">
        <v>60</v>
      </c>
      <c r="B108" s="315" t="s">
        <v>95</v>
      </c>
      <c r="C108" s="260" t="s">
        <v>95</v>
      </c>
      <c r="D108" s="260" t="s">
        <v>87</v>
      </c>
      <c r="E108" s="261" t="s">
        <v>103</v>
      </c>
      <c r="F108" s="314"/>
    </row>
    <row r="109" spans="1:6" ht="25.5" hidden="1">
      <c r="A109" s="47">
        <v>62</v>
      </c>
      <c r="B109" s="321"/>
      <c r="C109" s="254" t="s">
        <v>96</v>
      </c>
      <c r="D109" s="247" t="s">
        <v>100</v>
      </c>
      <c r="E109" s="247" t="s">
        <v>97</v>
      </c>
      <c r="F109" s="314"/>
    </row>
    <row r="110" spans="1:6" ht="25.5" hidden="1">
      <c r="A110" s="47">
        <v>64</v>
      </c>
      <c r="B110" s="321"/>
      <c r="C110" s="245" t="s">
        <v>41</v>
      </c>
      <c r="D110" s="239" t="s">
        <v>99</v>
      </c>
      <c r="E110" s="239" t="s">
        <v>101</v>
      </c>
      <c r="F110" s="314"/>
    </row>
    <row r="111" spans="1:6" hidden="1">
      <c r="A111" s="47">
        <v>66</v>
      </c>
      <c r="B111" s="321"/>
      <c r="C111" s="245" t="s">
        <v>38</v>
      </c>
      <c r="D111" s="239" t="s">
        <v>30</v>
      </c>
      <c r="E111" s="240"/>
      <c r="F111" s="314"/>
    </row>
    <row r="112" spans="1:6" hidden="1">
      <c r="A112" s="47">
        <v>67</v>
      </c>
      <c r="B112" s="321"/>
      <c r="C112" s="245" t="s">
        <v>39</v>
      </c>
      <c r="D112" s="238" t="s">
        <v>29</v>
      </c>
      <c r="E112" s="238"/>
      <c r="F112" s="314"/>
    </row>
    <row r="113" spans="1:6" ht="25.5" hidden="1">
      <c r="A113" s="47">
        <v>68</v>
      </c>
      <c r="B113" s="321"/>
      <c r="C113" s="245" t="s">
        <v>37</v>
      </c>
      <c r="D113" s="238" t="s">
        <v>31</v>
      </c>
      <c r="E113" s="240" t="s">
        <v>22</v>
      </c>
      <c r="F113" s="314"/>
    </row>
    <row r="114" spans="1:6" ht="13.5" hidden="1" thickBot="1">
      <c r="A114" s="47">
        <v>74</v>
      </c>
      <c r="B114" s="22"/>
      <c r="C114" s="240"/>
      <c r="D114" s="240"/>
      <c r="E114" s="240"/>
      <c r="F114" s="44"/>
    </row>
    <row r="115" spans="1:6" ht="38.25" hidden="1">
      <c r="A115" s="47">
        <v>60</v>
      </c>
      <c r="B115" s="315" t="s">
        <v>98</v>
      </c>
      <c r="C115" s="260" t="s">
        <v>98</v>
      </c>
      <c r="D115" s="260" t="s">
        <v>102</v>
      </c>
      <c r="E115" s="261" t="s">
        <v>104</v>
      </c>
      <c r="F115" s="314"/>
    </row>
    <row r="116" spans="1:6" ht="25.5" hidden="1">
      <c r="A116" s="47">
        <v>62</v>
      </c>
      <c r="B116" s="321"/>
      <c r="C116" s="254" t="s">
        <v>96</v>
      </c>
      <c r="D116" s="247" t="s">
        <v>106</v>
      </c>
      <c r="E116" s="247" t="s">
        <v>107</v>
      </c>
      <c r="F116" s="314"/>
    </row>
    <row r="117" spans="1:6" ht="38.25" hidden="1">
      <c r="A117" s="47">
        <v>62</v>
      </c>
      <c r="B117" s="321"/>
      <c r="C117" s="254" t="s">
        <v>79</v>
      </c>
      <c r="D117" s="247" t="s">
        <v>105</v>
      </c>
      <c r="E117" s="247" t="s">
        <v>108</v>
      </c>
      <c r="F117" s="314"/>
    </row>
    <row r="118" spans="1:6" ht="25.5" hidden="1">
      <c r="A118" s="47">
        <v>64</v>
      </c>
      <c r="B118" s="321"/>
      <c r="C118" s="245" t="s">
        <v>41</v>
      </c>
      <c r="D118" s="239" t="s">
        <v>109</v>
      </c>
      <c r="E118" s="239" t="s">
        <v>110</v>
      </c>
      <c r="F118" s="314"/>
    </row>
    <row r="119" spans="1:6" hidden="1">
      <c r="A119" s="47">
        <v>66</v>
      </c>
      <c r="B119" s="321"/>
      <c r="C119" s="245" t="s">
        <v>38</v>
      </c>
      <c r="D119" s="239" t="s">
        <v>30</v>
      </c>
      <c r="E119" s="240"/>
      <c r="F119" s="314"/>
    </row>
    <row r="120" spans="1:6" hidden="1">
      <c r="A120" s="47">
        <v>67</v>
      </c>
      <c r="B120" s="321"/>
      <c r="C120" s="245" t="s">
        <v>39</v>
      </c>
      <c r="D120" s="238" t="s">
        <v>29</v>
      </c>
      <c r="E120" s="238"/>
      <c r="F120" s="314"/>
    </row>
    <row r="121" spans="1:6" ht="25.5" hidden="1">
      <c r="A121" s="47">
        <v>68</v>
      </c>
      <c r="B121" s="321"/>
      <c r="C121" s="245" t="s">
        <v>37</v>
      </c>
      <c r="D121" s="238" t="s">
        <v>31</v>
      </c>
      <c r="E121" s="240" t="s">
        <v>22</v>
      </c>
      <c r="F121" s="314"/>
    </row>
    <row r="122" spans="1:6" ht="13.5" thickBot="1">
      <c r="A122" s="33">
        <v>74</v>
      </c>
      <c r="B122" s="22"/>
      <c r="C122" s="256"/>
      <c r="D122" s="256"/>
      <c r="E122" s="256"/>
      <c r="F122" s="21"/>
    </row>
  </sheetData>
  <mergeCells count="23">
    <mergeCell ref="B108:B113"/>
    <mergeCell ref="F108:F113"/>
    <mergeCell ref="B115:B121"/>
    <mergeCell ref="F115:F121"/>
    <mergeCell ref="F1:F8"/>
    <mergeCell ref="D4:E4"/>
    <mergeCell ref="D5:E5"/>
    <mergeCell ref="C3:E3"/>
    <mergeCell ref="B3:B8"/>
    <mergeCell ref="B1:E1"/>
    <mergeCell ref="B80:B91"/>
    <mergeCell ref="F80:F91"/>
    <mergeCell ref="B93:B106"/>
    <mergeCell ref="F93:F106"/>
    <mergeCell ref="F9:F18"/>
    <mergeCell ref="C2:E2"/>
    <mergeCell ref="F21:F38"/>
    <mergeCell ref="F41:F59"/>
    <mergeCell ref="F65:F74"/>
    <mergeCell ref="B9:B19"/>
    <mergeCell ref="B21:B39"/>
    <mergeCell ref="B41:B59"/>
    <mergeCell ref="B65:B78"/>
  </mergeCells>
  <phoneticPr fontId="10" type="noConversion"/>
  <pageMargins left="0.75" right="0.75" top="1" bottom="1" header="0.5" footer="0.5"/>
  <pageSetup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4" enableFormatConditionsCalculation="0">
    <tabColor indexed="31"/>
  </sheetPr>
  <dimension ref="A1:V767"/>
  <sheetViews>
    <sheetView zoomScale="80" zoomScaleNormal="80" workbookViewId="0">
      <pane xSplit="3" ySplit="1" topLeftCell="D2" activePane="bottomRight" state="frozen"/>
      <selection pane="topRight" activeCell="E1" sqref="E1"/>
      <selection pane="bottomLeft" activeCell="A2" sqref="A2"/>
      <selection pane="bottomRight" activeCell="C1" sqref="C1"/>
    </sheetView>
  </sheetViews>
  <sheetFormatPr baseColWidth="10" defaultColWidth="11.42578125" defaultRowHeight="12.75"/>
  <cols>
    <col min="1" max="1" width="28.7109375" style="20" customWidth="1"/>
    <col min="2" max="2" width="22.7109375" style="6" customWidth="1"/>
    <col min="3" max="3" width="30.7109375" style="17" customWidth="1"/>
    <col min="4" max="5" width="60.7109375" style="10" customWidth="1"/>
    <col min="6" max="6" width="15.7109375" style="10" customWidth="1"/>
    <col min="7" max="7" width="9.85546875" style="25" customWidth="1"/>
    <col min="8" max="8" width="44.7109375" style="300" hidden="1" customWidth="1"/>
    <col min="9" max="9" width="6.7109375" style="8" customWidth="1"/>
    <col min="10" max="10" width="7.85546875" style="38" customWidth="1"/>
    <col min="11" max="22" width="2.85546875" style="8" customWidth="1"/>
    <col min="23" max="16384" width="11.42578125" style="8"/>
  </cols>
  <sheetData>
    <row r="1" spans="1:22" s="7" customFormat="1" ht="30" customHeight="1">
      <c r="A1" s="32" t="s">
        <v>83</v>
      </c>
      <c r="B1" s="35" t="s">
        <v>41</v>
      </c>
      <c r="C1" s="233" t="s">
        <v>38</v>
      </c>
      <c r="D1" s="27" t="s">
        <v>39</v>
      </c>
      <c r="E1" s="27" t="s">
        <v>37</v>
      </c>
      <c r="F1" s="28" t="s">
        <v>35</v>
      </c>
      <c r="G1" s="273" t="s">
        <v>33749</v>
      </c>
      <c r="H1" s="299"/>
      <c r="I1" s="36" t="s">
        <v>1241</v>
      </c>
      <c r="J1" s="37" t="s">
        <v>112</v>
      </c>
      <c r="K1" s="276"/>
      <c r="L1" s="276"/>
      <c r="M1" s="276"/>
      <c r="N1" s="276"/>
      <c r="O1" s="276"/>
      <c r="P1" s="276"/>
      <c r="Q1" s="276"/>
      <c r="R1" s="276"/>
      <c r="S1" s="276"/>
      <c r="T1" s="276"/>
      <c r="U1" s="276"/>
      <c r="V1" s="277"/>
    </row>
    <row r="2" spans="1:22" ht="25.5">
      <c r="A2" s="302" t="str">
        <f>HYPERLINK(H2,B2)</f>
        <v>AccessZone</v>
      </c>
      <c r="B2" s="6" t="s">
        <v>1243</v>
      </c>
      <c r="C2" s="17" t="s">
        <v>1244</v>
      </c>
      <c r="D2" s="10" t="s">
        <v>1245</v>
      </c>
      <c r="E2" s="55"/>
      <c r="F2" s="55"/>
      <c r="G2" s="25">
        <v>100455</v>
      </c>
      <c r="H2" s="300" t="str">
        <f>CONCATENATE([1]Cover!$D$6,"fdd/view?i=",G2)</f>
        <v>https://www.dgiwg.org/FAD/fdd/view?i=100455</v>
      </c>
      <c r="I2" s="8" t="s">
        <v>1242</v>
      </c>
      <c r="J2" s="38" t="s">
        <v>151</v>
      </c>
    </row>
    <row r="3" spans="1:22" ht="25.5">
      <c r="A3" s="302" t="str">
        <f t="shared" ref="A3:A66" si="0">HYPERLINK(H3,B3)</f>
        <v>AcousticStation</v>
      </c>
      <c r="B3" s="6" t="s">
        <v>1247</v>
      </c>
      <c r="C3" s="17" t="s">
        <v>1248</v>
      </c>
      <c r="D3" s="10" t="s">
        <v>1249</v>
      </c>
      <c r="E3" s="55"/>
      <c r="F3" s="55"/>
      <c r="G3" s="25">
        <v>100389</v>
      </c>
      <c r="H3" s="300" t="str">
        <f>CONCATENATE([1]Cover!$D$6,"fdd/view?i=",G3)</f>
        <v>https://www.dgiwg.org/FAD/fdd/view?i=100389</v>
      </c>
      <c r="I3" s="8" t="s">
        <v>1246</v>
      </c>
      <c r="J3" s="38" t="s">
        <v>151</v>
      </c>
    </row>
    <row r="4" spans="1:22" ht="66.75" customHeight="1">
      <c r="A4" s="302" t="str">
        <f t="shared" si="0"/>
        <v>ActorEntity</v>
      </c>
      <c r="B4" s="6" t="s">
        <v>1251</v>
      </c>
      <c r="C4" s="17" t="s">
        <v>1252</v>
      </c>
      <c r="D4" s="10" t="s">
        <v>1253</v>
      </c>
      <c r="E4" s="10" t="s">
        <v>1254</v>
      </c>
      <c r="F4" s="55"/>
      <c r="G4" s="25">
        <v>119172</v>
      </c>
      <c r="H4" s="300" t="str">
        <f>CONCATENATE([1]Cover!$D$6,"fdd/view?i=",G4)</f>
        <v>https://www.dgiwg.org/FAD/fdd/view?i=119172</v>
      </c>
      <c r="I4" s="8" t="s">
        <v>1250</v>
      </c>
      <c r="J4" s="38" t="s">
        <v>151</v>
      </c>
    </row>
    <row r="5" spans="1:22">
      <c r="A5" s="302" t="str">
        <f t="shared" si="0"/>
        <v>AdministrativeBoundary</v>
      </c>
      <c r="B5" s="6" t="s">
        <v>1256</v>
      </c>
      <c r="C5" s="17" t="s">
        <v>1257</v>
      </c>
      <c r="D5" s="10" t="s">
        <v>1258</v>
      </c>
      <c r="E5" s="55"/>
      <c r="F5" s="55"/>
      <c r="G5" s="25">
        <v>100453</v>
      </c>
      <c r="H5" s="300" t="str">
        <f>CONCATENATE([1]Cover!$D$6,"fdd/view?i=",G5)</f>
        <v>https://www.dgiwg.org/FAD/fdd/view?i=100453</v>
      </c>
      <c r="I5" s="8" t="s">
        <v>1255</v>
      </c>
      <c r="J5" s="38" t="s">
        <v>151</v>
      </c>
    </row>
    <row r="6" spans="1:22" ht="122.25" customHeight="1">
      <c r="A6" s="302" t="str">
        <f t="shared" si="0"/>
        <v>AdministrativeDivision</v>
      </c>
      <c r="B6" s="6" t="s">
        <v>1260</v>
      </c>
      <c r="C6" s="17" t="s">
        <v>1261</v>
      </c>
      <c r="D6" s="10" t="s">
        <v>1262</v>
      </c>
      <c r="E6" s="10" t="s">
        <v>1263</v>
      </c>
      <c r="F6" s="55"/>
      <c r="G6" s="25">
        <v>111454</v>
      </c>
      <c r="H6" s="300" t="str">
        <f>CONCATENATE([1]Cover!$D$6,"fdd/view?i=",G6)</f>
        <v>https://www.dgiwg.org/FAD/fdd/view?i=111454</v>
      </c>
      <c r="I6" s="8" t="s">
        <v>1259</v>
      </c>
      <c r="J6" s="38" t="s">
        <v>151</v>
      </c>
    </row>
    <row r="7" spans="1:22" ht="80.25" customHeight="1">
      <c r="A7" s="302" t="str">
        <f t="shared" si="0"/>
        <v>AdminDivisionDesig</v>
      </c>
      <c r="B7" s="6" t="s">
        <v>1265</v>
      </c>
      <c r="C7" s="17" t="s">
        <v>1266</v>
      </c>
      <c r="D7" s="10" t="s">
        <v>1267</v>
      </c>
      <c r="E7" s="55"/>
      <c r="F7" s="55"/>
      <c r="G7" s="25">
        <v>114204</v>
      </c>
      <c r="H7" s="300" t="str">
        <f>CONCATENATE([1]Cover!$D$6,"fdd/view?i=",G7)</f>
        <v>https://www.dgiwg.org/FAD/fdd/view?i=114204</v>
      </c>
      <c r="I7" s="8" t="s">
        <v>1264</v>
      </c>
      <c r="J7" s="38" t="s">
        <v>151</v>
      </c>
    </row>
    <row r="8" spans="1:22" ht="42.75" customHeight="1">
      <c r="A8" s="302" t="str">
        <f t="shared" si="0"/>
        <v>AerationBasin</v>
      </c>
      <c r="B8" s="6" t="s">
        <v>1269</v>
      </c>
      <c r="C8" s="17" t="s">
        <v>1270</v>
      </c>
      <c r="D8" s="10" t="s">
        <v>1271</v>
      </c>
      <c r="E8" s="10" t="s">
        <v>1272</v>
      </c>
      <c r="F8" s="55"/>
      <c r="G8" s="25">
        <v>111396</v>
      </c>
      <c r="H8" s="300" t="str">
        <f>CONCATENATE([1]Cover!$D$6,"fdd/view?i=",G8)</f>
        <v>https://www.dgiwg.org/FAD/fdd/view?i=111396</v>
      </c>
      <c r="I8" s="8" t="s">
        <v>1268</v>
      </c>
      <c r="J8" s="38" t="s">
        <v>151</v>
      </c>
    </row>
    <row r="9" spans="1:22" ht="42" customHeight="1">
      <c r="A9" s="302" t="str">
        <f t="shared" si="0"/>
        <v>Aerial</v>
      </c>
      <c r="B9" s="6" t="s">
        <v>1274</v>
      </c>
      <c r="C9" s="17" t="s">
        <v>1274</v>
      </c>
      <c r="D9" s="10" t="s">
        <v>1275</v>
      </c>
      <c r="E9" s="10" t="s">
        <v>1276</v>
      </c>
      <c r="F9" s="55"/>
      <c r="G9" s="25">
        <v>111433</v>
      </c>
      <c r="H9" s="300" t="str">
        <f>CONCATENATE([1]Cover!$D$6,"fdd/view?i=",G9)</f>
        <v>https://www.dgiwg.org/FAD/fdd/view?i=111433</v>
      </c>
      <c r="I9" s="8" t="s">
        <v>1273</v>
      </c>
      <c r="J9" s="38" t="s">
        <v>151</v>
      </c>
    </row>
    <row r="10" spans="1:22" ht="68.25" customHeight="1">
      <c r="A10" s="302" t="str">
        <f t="shared" si="0"/>
        <v>AerialFarm</v>
      </c>
      <c r="B10" s="6" t="s">
        <v>1278</v>
      </c>
      <c r="C10" s="17" t="s">
        <v>1279</v>
      </c>
      <c r="D10" s="10" t="s">
        <v>1280</v>
      </c>
      <c r="E10" s="10" t="s">
        <v>1281</v>
      </c>
      <c r="F10" s="55"/>
      <c r="G10" s="25">
        <v>111434</v>
      </c>
      <c r="H10" s="300" t="str">
        <f>CONCATENATE([1]Cover!$D$6,"fdd/view?i=",G10)</f>
        <v>https://www.dgiwg.org/FAD/fdd/view?i=111434</v>
      </c>
      <c r="I10" s="8" t="s">
        <v>1277</v>
      </c>
      <c r="J10" s="38" t="s">
        <v>151</v>
      </c>
    </row>
    <row r="11" spans="1:22" ht="38.25">
      <c r="A11" s="302" t="str">
        <f t="shared" si="0"/>
        <v>Aerodrome</v>
      </c>
      <c r="B11" s="6" t="s">
        <v>1283</v>
      </c>
      <c r="C11" s="17" t="s">
        <v>1283</v>
      </c>
      <c r="D11" s="10" t="s">
        <v>1284</v>
      </c>
      <c r="E11" s="55"/>
      <c r="F11" s="55"/>
      <c r="G11" s="25">
        <v>114579</v>
      </c>
      <c r="H11" s="300" t="str">
        <f>CONCATENATE([1]Cover!$D$6,"fdd/view?i=",G11)</f>
        <v>https://www.dgiwg.org/FAD/fdd/view?i=114579</v>
      </c>
      <c r="I11" s="8" t="s">
        <v>1282</v>
      </c>
      <c r="J11" s="38" t="s">
        <v>151</v>
      </c>
    </row>
    <row r="12" spans="1:22" ht="28.5" customHeight="1">
      <c r="A12" s="302" t="str">
        <f t="shared" si="0"/>
        <v>AerodromeBeacon</v>
      </c>
      <c r="B12" s="6" t="s">
        <v>1286</v>
      </c>
      <c r="C12" s="17" t="s">
        <v>1287</v>
      </c>
      <c r="D12" s="10" t="s">
        <v>1288</v>
      </c>
      <c r="E12" s="10" t="s">
        <v>1289</v>
      </c>
      <c r="F12" s="55"/>
      <c r="G12" s="25">
        <v>114580</v>
      </c>
      <c r="H12" s="300" t="str">
        <f>CONCATENATE([1]Cover!$D$6,"fdd/view?i=",G12)</f>
        <v>https://www.dgiwg.org/FAD/fdd/view?i=114580</v>
      </c>
      <c r="I12" s="8" t="s">
        <v>1285</v>
      </c>
      <c r="J12" s="38" t="s">
        <v>151</v>
      </c>
    </row>
    <row r="13" spans="1:22" ht="38.25">
      <c r="A13" s="302" t="str">
        <f t="shared" si="0"/>
        <v>AerodromeBilletingInfo</v>
      </c>
      <c r="B13" s="6" t="s">
        <v>1291</v>
      </c>
      <c r="C13" s="17" t="s">
        <v>1292</v>
      </c>
      <c r="D13" s="10" t="s">
        <v>1293</v>
      </c>
      <c r="E13" s="10" t="s">
        <v>1294</v>
      </c>
      <c r="F13" s="55"/>
      <c r="G13" s="25">
        <v>207635</v>
      </c>
      <c r="H13" s="300" t="str">
        <f>CONCATENATE([1]Cover!$D$6,"fdd/view?i=",G13)</f>
        <v>https://www.dgiwg.org/FAD/fdd/view?i=207635</v>
      </c>
      <c r="I13" s="8" t="s">
        <v>1290</v>
      </c>
      <c r="J13" s="38" t="s">
        <v>1295</v>
      </c>
    </row>
    <row r="14" spans="1:22" ht="25.5">
      <c r="A14" s="302" t="str">
        <f t="shared" si="0"/>
        <v>AerodromeBoundary</v>
      </c>
      <c r="B14" s="6" t="s">
        <v>1297</v>
      </c>
      <c r="C14" s="17" t="s">
        <v>1298</v>
      </c>
      <c r="D14" s="10" t="s">
        <v>1299</v>
      </c>
      <c r="E14" s="55"/>
      <c r="F14" s="55"/>
      <c r="G14" s="25">
        <v>114581</v>
      </c>
      <c r="H14" s="300" t="str">
        <f>CONCATENATE([1]Cover!$D$6,"fdd/view?i=",G14)</f>
        <v>https://www.dgiwg.org/FAD/fdd/view?i=114581</v>
      </c>
      <c r="I14" s="8" t="s">
        <v>1296</v>
      </c>
      <c r="J14" s="38" t="s">
        <v>151</v>
      </c>
    </row>
    <row r="15" spans="1:22" ht="38.25">
      <c r="A15" s="302" t="str">
        <f t="shared" si="0"/>
        <v>AerodromeConstructPlanInfo</v>
      </c>
      <c r="B15" s="6" t="s">
        <v>1301</v>
      </c>
      <c r="C15" s="17" t="s">
        <v>1302</v>
      </c>
      <c r="D15" s="10" t="s">
        <v>1303</v>
      </c>
      <c r="E15" s="10" t="s">
        <v>1304</v>
      </c>
      <c r="F15" s="55"/>
      <c r="G15" s="25">
        <v>207636</v>
      </c>
      <c r="H15" s="300" t="str">
        <f>CONCATENATE([1]Cover!$D$6,"fdd/view?i=",G15)</f>
        <v>https://www.dgiwg.org/FAD/fdd/view?i=207636</v>
      </c>
      <c r="I15" s="8" t="s">
        <v>1300</v>
      </c>
      <c r="J15" s="38" t="s">
        <v>1295</v>
      </c>
    </row>
    <row r="16" spans="1:22" ht="25.5">
      <c r="A16" s="302" t="str">
        <f t="shared" si="0"/>
        <v>AerodromeElecPowerService</v>
      </c>
      <c r="B16" s="6" t="s">
        <v>1306</v>
      </c>
      <c r="C16" s="17" t="s">
        <v>1307</v>
      </c>
      <c r="D16" s="10" t="s">
        <v>1308</v>
      </c>
      <c r="E16" s="55"/>
      <c r="F16" s="55"/>
      <c r="G16" s="25">
        <v>119573</v>
      </c>
      <c r="H16" s="300" t="str">
        <f>CONCATENATE([1]Cover!$D$6,"fdd/view?i=",G16)</f>
        <v>https://www.dgiwg.org/FAD/fdd/view?i=119573</v>
      </c>
      <c r="I16" s="8" t="s">
        <v>1305</v>
      </c>
      <c r="J16" s="38" t="s">
        <v>151</v>
      </c>
    </row>
    <row r="17" spans="1:10" ht="38.25">
      <c r="A17" s="302" t="str">
        <f t="shared" si="0"/>
        <v>AerodromeElevationPoint</v>
      </c>
      <c r="B17" s="6" t="s">
        <v>1310</v>
      </c>
      <c r="C17" s="17" t="s">
        <v>1311</v>
      </c>
      <c r="D17" s="10" t="s">
        <v>1312</v>
      </c>
      <c r="E17" s="10" t="s">
        <v>1313</v>
      </c>
      <c r="F17" s="55"/>
      <c r="G17" s="25">
        <v>119705</v>
      </c>
      <c r="H17" s="300" t="str">
        <f>CONCATENATE([1]Cover!$D$6,"fdd/view?i=",G17)</f>
        <v>https://www.dgiwg.org/FAD/fdd/view?i=119705</v>
      </c>
      <c r="I17" s="8" t="s">
        <v>1309</v>
      </c>
      <c r="J17" s="38" t="s">
        <v>1295</v>
      </c>
    </row>
    <row r="18" spans="1:10" ht="38.25">
      <c r="A18" s="302" t="str">
        <f t="shared" si="0"/>
        <v>AerodromeFuelDispensingInfo</v>
      </c>
      <c r="B18" s="6" t="s">
        <v>1315</v>
      </c>
      <c r="C18" s="17" t="s">
        <v>1316</v>
      </c>
      <c r="D18" s="10" t="s">
        <v>1317</v>
      </c>
      <c r="E18" s="10" t="s">
        <v>1318</v>
      </c>
      <c r="F18" s="55"/>
      <c r="G18" s="25">
        <v>207637</v>
      </c>
      <c r="H18" s="300" t="str">
        <f>CONCATENATE([1]Cover!$D$6,"fdd/view?i=",G18)</f>
        <v>https://www.dgiwg.org/FAD/fdd/view?i=207637</v>
      </c>
      <c r="I18" s="8" t="s">
        <v>1314</v>
      </c>
      <c r="J18" s="38" t="s">
        <v>1295</v>
      </c>
    </row>
    <row r="19" spans="1:10" ht="25.5">
      <c r="A19" s="302" t="str">
        <f t="shared" si="0"/>
        <v>AerodromeFuelFillingStand</v>
      </c>
      <c r="B19" s="6" t="s">
        <v>1320</v>
      </c>
      <c r="C19" s="17" t="s">
        <v>1321</v>
      </c>
      <c r="D19" s="10" t="s">
        <v>1322</v>
      </c>
      <c r="E19" s="55"/>
      <c r="F19" s="55"/>
      <c r="G19" s="25">
        <v>119567</v>
      </c>
      <c r="H19" s="300" t="str">
        <f>CONCATENATE([1]Cover!$D$6,"fdd/view?i=",G19)</f>
        <v>https://www.dgiwg.org/FAD/fdd/view?i=119567</v>
      </c>
      <c r="I19" s="8" t="s">
        <v>1319</v>
      </c>
      <c r="J19" s="38" t="s">
        <v>151</v>
      </c>
    </row>
    <row r="20" spans="1:10" ht="25.5">
      <c r="A20" s="302" t="str">
        <f t="shared" si="0"/>
        <v>AerodromeFuelInfo</v>
      </c>
      <c r="B20" s="6" t="s">
        <v>1324</v>
      </c>
      <c r="C20" s="17" t="s">
        <v>1325</v>
      </c>
      <c r="D20" s="10" t="s">
        <v>1326</v>
      </c>
      <c r="E20" s="10" t="s">
        <v>1327</v>
      </c>
      <c r="F20" s="55"/>
      <c r="G20" s="25">
        <v>207638</v>
      </c>
      <c r="H20" s="300" t="str">
        <f>CONCATENATE([1]Cover!$D$6,"fdd/view?i=",G20)</f>
        <v>https://www.dgiwg.org/FAD/fdd/view?i=207638</v>
      </c>
      <c r="I20" s="8" t="s">
        <v>1323</v>
      </c>
      <c r="J20" s="38" t="s">
        <v>1295</v>
      </c>
    </row>
    <row r="21" spans="1:10" ht="38.25">
      <c r="A21" s="302" t="str">
        <f t="shared" si="0"/>
        <v>AerodromeHotSpot</v>
      </c>
      <c r="B21" s="6" t="s">
        <v>1329</v>
      </c>
      <c r="C21" s="17" t="s">
        <v>1330</v>
      </c>
      <c r="D21" s="10" t="s">
        <v>1331</v>
      </c>
      <c r="E21" s="55"/>
      <c r="F21" s="55"/>
      <c r="G21" s="25">
        <v>114645</v>
      </c>
      <c r="H21" s="300" t="str">
        <f>CONCATENATE([1]Cover!$D$6,"fdd/view?i=",G21)</f>
        <v>https://www.dgiwg.org/FAD/fdd/view?i=114645</v>
      </c>
      <c r="I21" s="8" t="s">
        <v>1328</v>
      </c>
      <c r="J21" s="38" t="s">
        <v>151</v>
      </c>
    </row>
    <row r="22" spans="1:10" ht="38.25">
      <c r="A22" s="302" t="str">
        <f t="shared" si="0"/>
        <v>AerodromeInstLocation</v>
      </c>
      <c r="B22" s="6" t="s">
        <v>1333</v>
      </c>
      <c r="C22" s="17" t="s">
        <v>1334</v>
      </c>
      <c r="D22" s="10" t="s">
        <v>1335</v>
      </c>
      <c r="E22" s="10" t="s">
        <v>1336</v>
      </c>
      <c r="F22" s="55"/>
      <c r="G22" s="25">
        <v>119566</v>
      </c>
      <c r="H22" s="300" t="str">
        <f>CONCATENATE([1]Cover!$D$6,"fdd/view?i=",G22)</f>
        <v>https://www.dgiwg.org/FAD/fdd/view?i=119566</v>
      </c>
      <c r="I22" s="8" t="s">
        <v>1332</v>
      </c>
      <c r="J22" s="38" t="s">
        <v>151</v>
      </c>
    </row>
    <row r="23" spans="1:10" ht="25.5">
      <c r="A23" s="302" t="str">
        <f t="shared" si="0"/>
        <v>AerodromeMarkings</v>
      </c>
      <c r="B23" s="6" t="s">
        <v>1338</v>
      </c>
      <c r="C23" s="17" t="s">
        <v>1339</v>
      </c>
      <c r="D23" s="10" t="s">
        <v>1340</v>
      </c>
      <c r="E23" s="55"/>
      <c r="F23" s="55"/>
      <c r="G23" s="25">
        <v>114624</v>
      </c>
      <c r="H23" s="300" t="str">
        <f>CONCATENATE([1]Cover!$D$6,"fdd/view?i=",G23)</f>
        <v>https://www.dgiwg.org/FAD/fdd/view?i=114624</v>
      </c>
      <c r="I23" s="8" t="s">
        <v>1337</v>
      </c>
      <c r="J23" s="38" t="s">
        <v>151</v>
      </c>
    </row>
    <row r="24" spans="1:10" ht="51">
      <c r="A24" s="302" t="str">
        <f t="shared" si="0"/>
        <v>AerodromeMessingFacInfo</v>
      </c>
      <c r="B24" s="6" t="s">
        <v>1342</v>
      </c>
      <c r="C24" s="17" t="s">
        <v>1343</v>
      </c>
      <c r="D24" s="10" t="s">
        <v>1344</v>
      </c>
      <c r="E24" s="10" t="s">
        <v>1345</v>
      </c>
      <c r="F24" s="55"/>
      <c r="G24" s="25">
        <v>207639</v>
      </c>
      <c r="H24" s="300" t="str">
        <f>CONCATENATE([1]Cover!$D$6,"fdd/view?i=",G24)</f>
        <v>https://www.dgiwg.org/FAD/fdd/view?i=207639</v>
      </c>
      <c r="I24" s="8" t="s">
        <v>1341</v>
      </c>
      <c r="J24" s="38" t="s">
        <v>1295</v>
      </c>
    </row>
    <row r="25" spans="1:10" ht="25.5">
      <c r="A25" s="302" t="str">
        <f t="shared" si="0"/>
        <v>AerodromeMoveArea</v>
      </c>
      <c r="B25" s="6" t="s">
        <v>1347</v>
      </c>
      <c r="C25" s="17" t="s">
        <v>1348</v>
      </c>
      <c r="D25" s="10" t="s">
        <v>1349</v>
      </c>
      <c r="E25" s="10" t="s">
        <v>1350</v>
      </c>
      <c r="F25" s="55"/>
      <c r="G25" s="25">
        <v>114582</v>
      </c>
      <c r="H25" s="300" t="str">
        <f>CONCATENATE([1]Cover!$D$6,"fdd/view?i=",G25)</f>
        <v>https://www.dgiwg.org/FAD/fdd/view?i=114582</v>
      </c>
      <c r="I25" s="8" t="s">
        <v>1346</v>
      </c>
      <c r="J25" s="38" t="s">
        <v>151</v>
      </c>
    </row>
    <row r="26" spans="1:10" ht="63.75">
      <c r="A26" s="302" t="str">
        <f t="shared" si="0"/>
        <v>AerodromeMoveAreaLighting</v>
      </c>
      <c r="B26" s="6" t="s">
        <v>1352</v>
      </c>
      <c r="C26" s="17" t="s">
        <v>1353</v>
      </c>
      <c r="D26" s="10" t="s">
        <v>1354</v>
      </c>
      <c r="E26" s="55"/>
      <c r="F26" s="10" t="s">
        <v>1355</v>
      </c>
      <c r="G26" s="25">
        <v>114583</v>
      </c>
      <c r="H26" s="300" t="str">
        <f>CONCATENATE([1]Cover!$D$6,"fdd/view?i=",G26)</f>
        <v>https://www.dgiwg.org/FAD/fdd/view?i=114583</v>
      </c>
      <c r="I26" s="8" t="s">
        <v>1351</v>
      </c>
      <c r="J26" s="38" t="s">
        <v>151</v>
      </c>
    </row>
    <row r="27" spans="1:10" ht="38.25">
      <c r="A27" s="302" t="str">
        <f t="shared" si="0"/>
        <v>AerodromeOperSignifInfo</v>
      </c>
      <c r="B27" s="6" t="s">
        <v>1357</v>
      </c>
      <c r="C27" s="17" t="s">
        <v>1358</v>
      </c>
      <c r="D27" s="10" t="s">
        <v>1359</v>
      </c>
      <c r="E27" s="55"/>
      <c r="F27" s="55"/>
      <c r="G27" s="25">
        <v>207640</v>
      </c>
      <c r="H27" s="300" t="str">
        <f>CONCATENATE([1]Cover!$D$6,"fdd/view?i=",G27)</f>
        <v>https://www.dgiwg.org/FAD/fdd/view?i=207640</v>
      </c>
      <c r="I27" s="8" t="s">
        <v>1356</v>
      </c>
      <c r="J27" s="38" t="s">
        <v>1295</v>
      </c>
    </row>
    <row r="28" spans="1:10" ht="38.25">
      <c r="A28" s="302" t="str">
        <f t="shared" si="0"/>
        <v>AerodromeParkingInfo</v>
      </c>
      <c r="B28" s="6" t="s">
        <v>1361</v>
      </c>
      <c r="C28" s="17" t="s">
        <v>1362</v>
      </c>
      <c r="D28" s="10" t="s">
        <v>1363</v>
      </c>
      <c r="E28" s="55"/>
      <c r="F28" s="55"/>
      <c r="G28" s="25">
        <v>119170</v>
      </c>
      <c r="H28" s="300" t="str">
        <f>CONCATENATE([1]Cover!$D$6,"fdd/view?i=",G28)</f>
        <v>https://www.dgiwg.org/FAD/fdd/view?i=119170</v>
      </c>
      <c r="I28" s="8" t="s">
        <v>1360</v>
      </c>
      <c r="J28" s="38" t="s">
        <v>151</v>
      </c>
    </row>
    <row r="29" spans="1:10" ht="25.5">
      <c r="A29" s="302" t="str">
        <f t="shared" si="0"/>
        <v>AerodromePavementInfo</v>
      </c>
      <c r="B29" s="6" t="s">
        <v>1365</v>
      </c>
      <c r="C29" s="17" t="s">
        <v>1366</v>
      </c>
      <c r="D29" s="10" t="s">
        <v>1367</v>
      </c>
      <c r="E29" s="10" t="s">
        <v>1368</v>
      </c>
      <c r="F29" s="55"/>
      <c r="G29" s="25">
        <v>114202</v>
      </c>
      <c r="H29" s="300" t="str">
        <f>CONCATENATE([1]Cover!$D$6,"fdd/view?i=",G29)</f>
        <v>https://www.dgiwg.org/FAD/fdd/view?i=114202</v>
      </c>
      <c r="I29" s="8" t="s">
        <v>1364</v>
      </c>
      <c r="J29" s="38" t="s">
        <v>151</v>
      </c>
    </row>
    <row r="30" spans="1:10" ht="38.25">
      <c r="A30" s="302" t="str">
        <f t="shared" si="0"/>
        <v>AerodromeReferencePoint</v>
      </c>
      <c r="B30" s="6" t="s">
        <v>1370</v>
      </c>
      <c r="C30" s="17" t="s">
        <v>1371</v>
      </c>
      <c r="D30" s="10" t="s">
        <v>1372</v>
      </c>
      <c r="E30" s="10" t="s">
        <v>1373</v>
      </c>
      <c r="F30" s="55"/>
      <c r="G30" s="25">
        <v>114584</v>
      </c>
      <c r="H30" s="300" t="str">
        <f>CONCATENATE([1]Cover!$D$6,"fdd/view?i=",G30)</f>
        <v>https://www.dgiwg.org/FAD/fdd/view?i=114584</v>
      </c>
      <c r="I30" s="8" t="s">
        <v>1369</v>
      </c>
      <c r="J30" s="38" t="s">
        <v>151</v>
      </c>
    </row>
    <row r="31" spans="1:10" ht="25.5">
      <c r="A31" s="302" t="str">
        <f t="shared" si="0"/>
        <v>AerodromeSecurityService</v>
      </c>
      <c r="B31" s="6" t="s">
        <v>1375</v>
      </c>
      <c r="C31" s="17" t="s">
        <v>1376</v>
      </c>
      <c r="D31" s="10" t="s">
        <v>1377</v>
      </c>
      <c r="E31" s="55"/>
      <c r="F31" s="55"/>
      <c r="G31" s="25">
        <v>207641</v>
      </c>
      <c r="H31" s="300" t="str">
        <f>CONCATENATE([1]Cover!$D$6,"fdd/view?i=",G31)</f>
        <v>https://www.dgiwg.org/FAD/fdd/view?i=207641</v>
      </c>
      <c r="I31" s="8" t="s">
        <v>1374</v>
      </c>
      <c r="J31" s="38" t="s">
        <v>1295</v>
      </c>
    </row>
    <row r="32" spans="1:10" ht="25.5">
      <c r="A32" s="302" t="str">
        <f t="shared" si="0"/>
        <v>AerodromeServiceInfo</v>
      </c>
      <c r="B32" s="6" t="s">
        <v>1379</v>
      </c>
      <c r="C32" s="17" t="s">
        <v>1380</v>
      </c>
      <c r="D32" s="10" t="s">
        <v>1381</v>
      </c>
      <c r="E32" s="10" t="s">
        <v>1382</v>
      </c>
      <c r="F32" s="55"/>
      <c r="G32" s="25">
        <v>207642</v>
      </c>
      <c r="H32" s="300" t="str">
        <f>CONCATENATE([1]Cover!$D$6,"fdd/view?i=",G32)</f>
        <v>https://www.dgiwg.org/FAD/fdd/view?i=207642</v>
      </c>
      <c r="I32" s="8" t="s">
        <v>1378</v>
      </c>
      <c r="J32" s="38" t="s">
        <v>1295</v>
      </c>
    </row>
    <row r="33" spans="1:10" ht="38.25">
      <c r="A33" s="302" t="str">
        <f t="shared" si="0"/>
        <v>AerodromeServiceRoad</v>
      </c>
      <c r="B33" s="6" t="s">
        <v>1384</v>
      </c>
      <c r="C33" s="17" t="s">
        <v>1385</v>
      </c>
      <c r="D33" s="10" t="s">
        <v>1386</v>
      </c>
      <c r="E33" s="10" t="s">
        <v>1387</v>
      </c>
      <c r="F33" s="55"/>
      <c r="G33" s="25">
        <v>114585</v>
      </c>
      <c r="H33" s="300" t="str">
        <f>CONCATENATE([1]Cover!$D$6,"fdd/view?i=",G33)</f>
        <v>https://www.dgiwg.org/FAD/fdd/view?i=114585</v>
      </c>
      <c r="I33" s="8" t="s">
        <v>1383</v>
      </c>
      <c r="J33" s="38" t="s">
        <v>151</v>
      </c>
    </row>
    <row r="34" spans="1:10" ht="38.25">
      <c r="A34" s="302" t="str">
        <f t="shared" si="0"/>
        <v>AerodromeSewageDispService</v>
      </c>
      <c r="B34" s="6" t="s">
        <v>1389</v>
      </c>
      <c r="C34" s="17" t="s">
        <v>1390</v>
      </c>
      <c r="D34" s="10" t="s">
        <v>1391</v>
      </c>
      <c r="E34" s="55"/>
      <c r="F34" s="55"/>
      <c r="G34" s="25">
        <v>207643</v>
      </c>
      <c r="H34" s="300" t="str">
        <f>CONCATENATE([1]Cover!$D$6,"fdd/view?i=",G34)</f>
        <v>https://www.dgiwg.org/FAD/fdd/view?i=207643</v>
      </c>
      <c r="I34" s="8" t="s">
        <v>1388</v>
      </c>
      <c r="J34" s="38" t="s">
        <v>1295</v>
      </c>
    </row>
    <row r="35" spans="1:10" ht="51">
      <c r="A35" s="302" t="str">
        <f t="shared" si="0"/>
        <v>AerodromeSurfDetectStation</v>
      </c>
      <c r="B35" s="6" t="s">
        <v>1393</v>
      </c>
      <c r="C35" s="17" t="s">
        <v>1394</v>
      </c>
      <c r="D35" s="10" t="s">
        <v>1395</v>
      </c>
      <c r="E35" s="10" t="s">
        <v>1396</v>
      </c>
      <c r="F35" s="55"/>
      <c r="G35" s="25">
        <v>119704</v>
      </c>
      <c r="H35" s="300" t="str">
        <f>CONCATENATE([1]Cover!$D$6,"fdd/view?i=",G35)</f>
        <v>https://www.dgiwg.org/FAD/fdd/view?i=119704</v>
      </c>
      <c r="I35" s="8" t="s">
        <v>1392</v>
      </c>
      <c r="J35" s="38" t="s">
        <v>1295</v>
      </c>
    </row>
    <row r="36" spans="1:10" ht="38.25">
      <c r="A36" s="302" t="str">
        <f t="shared" si="0"/>
        <v>AeronauticalGroundLight</v>
      </c>
      <c r="B36" s="6" t="s">
        <v>1398</v>
      </c>
      <c r="C36" s="17" t="s">
        <v>1399</v>
      </c>
      <c r="D36" s="10" t="s">
        <v>1400</v>
      </c>
      <c r="E36" s="55"/>
      <c r="F36" s="55"/>
      <c r="G36" s="25">
        <v>114586</v>
      </c>
      <c r="H36" s="300" t="str">
        <f>CONCATENATE([1]Cover!$D$6,"fdd/view?i=",G36)</f>
        <v>https://www.dgiwg.org/FAD/fdd/view?i=114586</v>
      </c>
      <c r="I36" s="8" t="s">
        <v>1397</v>
      </c>
      <c r="J36" s="38" t="s">
        <v>151</v>
      </c>
    </row>
    <row r="37" spans="1:10" ht="25.5">
      <c r="A37" s="302" t="str">
        <f t="shared" si="0"/>
        <v>AeroRadioNavInstallation</v>
      </c>
      <c r="B37" s="6" t="s">
        <v>1402</v>
      </c>
      <c r="C37" s="17" t="s">
        <v>1403</v>
      </c>
      <c r="D37" s="10" t="s">
        <v>1404</v>
      </c>
      <c r="E37" s="55"/>
      <c r="F37" s="55"/>
      <c r="G37" s="25">
        <v>119174</v>
      </c>
      <c r="H37" s="300" t="str">
        <f>CONCATENATE([1]Cover!$D$6,"fdd/view?i=",G37)</f>
        <v>https://www.dgiwg.org/FAD/fdd/view?i=119174</v>
      </c>
      <c r="I37" s="8" t="s">
        <v>1401</v>
      </c>
      <c r="J37" s="38" t="s">
        <v>151</v>
      </c>
    </row>
    <row r="38" spans="1:10" ht="51">
      <c r="A38" s="302" t="str">
        <f t="shared" si="0"/>
        <v>AeroRadioNavInstPoint</v>
      </c>
      <c r="B38" s="6" t="s">
        <v>1406</v>
      </c>
      <c r="C38" s="17" t="s">
        <v>1407</v>
      </c>
      <c r="D38" s="10" t="s">
        <v>1408</v>
      </c>
      <c r="E38" s="10" t="s">
        <v>1409</v>
      </c>
      <c r="F38" s="55"/>
      <c r="G38" s="25">
        <v>119555</v>
      </c>
      <c r="H38" s="300" t="str">
        <f>CONCATENATE([1]Cover!$D$6,"fdd/view?i=",G38)</f>
        <v>https://www.dgiwg.org/FAD/fdd/view?i=119555</v>
      </c>
      <c r="I38" s="8" t="s">
        <v>1405</v>
      </c>
      <c r="J38" s="38" t="s">
        <v>151</v>
      </c>
    </row>
    <row r="39" spans="1:10" ht="25.5">
      <c r="A39" s="302" t="str">
        <f t="shared" si="0"/>
        <v>AeroRadioNavService</v>
      </c>
      <c r="B39" s="6" t="s">
        <v>1411</v>
      </c>
      <c r="C39" s="17" t="s">
        <v>1412</v>
      </c>
      <c r="D39" s="10" t="s">
        <v>1413</v>
      </c>
      <c r="E39" s="55"/>
      <c r="F39" s="55"/>
      <c r="G39" s="25">
        <v>114498</v>
      </c>
      <c r="H39" s="300" t="str">
        <f>CONCATENATE([1]Cover!$D$6,"fdd/view?i=",G39)</f>
        <v>https://www.dgiwg.org/FAD/fdd/view?i=114498</v>
      </c>
      <c r="I39" s="8" t="s">
        <v>1410</v>
      </c>
      <c r="J39" s="38" t="s">
        <v>151</v>
      </c>
    </row>
    <row r="40" spans="1:10" ht="25.5">
      <c r="A40" s="302" t="str">
        <f t="shared" si="0"/>
        <v>AeroRadioNavServCheckpnt</v>
      </c>
      <c r="B40" s="6" t="s">
        <v>1415</v>
      </c>
      <c r="C40" s="17" t="s">
        <v>1416</v>
      </c>
      <c r="D40" s="10" t="s">
        <v>1417</v>
      </c>
      <c r="E40" s="55"/>
      <c r="F40" s="10" t="s">
        <v>1418</v>
      </c>
      <c r="G40" s="25">
        <v>114499</v>
      </c>
      <c r="H40" s="300" t="str">
        <f>CONCATENATE([1]Cover!$D$6,"fdd/view?i=",G40)</f>
        <v>https://www.dgiwg.org/FAD/fdd/view?i=114499</v>
      </c>
      <c r="I40" s="8" t="s">
        <v>1414</v>
      </c>
      <c r="J40" s="38" t="s">
        <v>151</v>
      </c>
    </row>
    <row r="41" spans="1:10">
      <c r="A41" s="302" t="str">
        <f t="shared" si="0"/>
        <v>AgriculturalColony</v>
      </c>
      <c r="B41" s="6" t="s">
        <v>1420</v>
      </c>
      <c r="C41" s="17" t="s">
        <v>1421</v>
      </c>
      <c r="D41" s="10" t="s">
        <v>1422</v>
      </c>
      <c r="E41" s="55"/>
      <c r="F41" s="55"/>
      <c r="G41" s="25">
        <v>111407</v>
      </c>
      <c r="H41" s="300" t="str">
        <f>CONCATENATE([1]Cover!$D$6,"fdd/view?i=",G41)</f>
        <v>https://www.dgiwg.org/FAD/fdd/view?i=111407</v>
      </c>
      <c r="I41" s="8" t="s">
        <v>1419</v>
      </c>
      <c r="J41" s="38" t="s">
        <v>151</v>
      </c>
    </row>
    <row r="42" spans="1:10" ht="25.5">
      <c r="A42" s="302" t="str">
        <f t="shared" si="0"/>
        <v>AirRefuellingAnchorPat</v>
      </c>
      <c r="B42" s="6" t="s">
        <v>1424</v>
      </c>
      <c r="C42" s="17" t="s">
        <v>1425</v>
      </c>
      <c r="D42" s="10" t="s">
        <v>1426</v>
      </c>
      <c r="E42" s="10" t="s">
        <v>1427</v>
      </c>
      <c r="F42" s="10" t="s">
        <v>1428</v>
      </c>
      <c r="G42" s="25">
        <v>114643</v>
      </c>
      <c r="H42" s="300" t="str">
        <f>CONCATENATE([1]Cover!$D$6,"fdd/view?i=",G42)</f>
        <v>https://www.dgiwg.org/FAD/fdd/view?i=114643</v>
      </c>
      <c r="I42" s="8" t="s">
        <v>1423</v>
      </c>
      <c r="J42" s="38" t="s">
        <v>151</v>
      </c>
    </row>
    <row r="43" spans="1:10" ht="25.5">
      <c r="A43" s="302" t="str">
        <f t="shared" si="0"/>
        <v>AirRefuellingPoint</v>
      </c>
      <c r="B43" s="6" t="s">
        <v>1430</v>
      </c>
      <c r="C43" s="17" t="s">
        <v>1431</v>
      </c>
      <c r="D43" s="10" t="s">
        <v>1432</v>
      </c>
      <c r="E43" s="10" t="s">
        <v>1433</v>
      </c>
      <c r="F43" s="55"/>
      <c r="G43" s="25">
        <v>114644</v>
      </c>
      <c r="H43" s="300" t="str">
        <f>CONCATENATE([1]Cover!$D$6,"fdd/view?i=",G43)</f>
        <v>https://www.dgiwg.org/FAD/fdd/view?i=114644</v>
      </c>
      <c r="I43" s="8" t="s">
        <v>1429</v>
      </c>
      <c r="J43" s="38" t="s">
        <v>151</v>
      </c>
    </row>
    <row r="44" spans="1:10" ht="25.5">
      <c r="A44" s="302" t="str">
        <f t="shared" si="0"/>
        <v>AirRefuellingProcedure</v>
      </c>
      <c r="B44" s="6" t="s">
        <v>1435</v>
      </c>
      <c r="C44" s="17" t="s">
        <v>1436</v>
      </c>
      <c r="D44" s="10" t="s">
        <v>1437</v>
      </c>
      <c r="E44" s="55"/>
      <c r="F44" s="55"/>
      <c r="G44" s="25">
        <v>114641</v>
      </c>
      <c r="H44" s="300" t="str">
        <f>CONCATENATE([1]Cover!$D$6,"fdd/view?i=",G44)</f>
        <v>https://www.dgiwg.org/FAD/fdd/view?i=114641</v>
      </c>
      <c r="I44" s="8" t="s">
        <v>1434</v>
      </c>
      <c r="J44" s="38" t="s">
        <v>151</v>
      </c>
    </row>
    <row r="45" spans="1:10" ht="38.25">
      <c r="A45" s="302" t="str">
        <f t="shared" si="0"/>
        <v>AirRefuellingRoute</v>
      </c>
      <c r="B45" s="6" t="s">
        <v>1439</v>
      </c>
      <c r="C45" s="17" t="s">
        <v>1440</v>
      </c>
      <c r="D45" s="10" t="s">
        <v>1441</v>
      </c>
      <c r="E45" s="10" t="s">
        <v>1442</v>
      </c>
      <c r="F45" s="55"/>
      <c r="G45" s="25">
        <v>119562</v>
      </c>
      <c r="H45" s="300" t="str">
        <f>CONCATENATE([1]Cover!$D$6,"fdd/view?i=",G45)</f>
        <v>https://www.dgiwg.org/FAD/fdd/view?i=119562</v>
      </c>
      <c r="I45" s="8" t="s">
        <v>1438</v>
      </c>
      <c r="J45" s="38" t="s">
        <v>151</v>
      </c>
    </row>
    <row r="46" spans="1:10" ht="38.25">
      <c r="A46" s="302" t="str">
        <f t="shared" si="0"/>
        <v>AirRefuellingTrack</v>
      </c>
      <c r="B46" s="6" t="s">
        <v>1444</v>
      </c>
      <c r="C46" s="17" t="s">
        <v>1445</v>
      </c>
      <c r="D46" s="10" t="s">
        <v>1446</v>
      </c>
      <c r="E46" s="55"/>
      <c r="F46" s="55"/>
      <c r="G46" s="25">
        <v>114642</v>
      </c>
      <c r="H46" s="300" t="str">
        <f>CONCATENATE([1]Cover!$D$6,"fdd/view?i=",G46)</f>
        <v>https://www.dgiwg.org/FAD/fdd/view?i=114642</v>
      </c>
      <c r="I46" s="8" t="s">
        <v>1443</v>
      </c>
      <c r="J46" s="38" t="s">
        <v>151</v>
      </c>
    </row>
    <row r="47" spans="1:10" ht="51">
      <c r="A47" s="302" t="str">
        <f t="shared" si="0"/>
        <v>AirTrafficService</v>
      </c>
      <c r="B47" s="6" t="s">
        <v>1448</v>
      </c>
      <c r="C47" s="17" t="s">
        <v>1449</v>
      </c>
      <c r="D47" s="10" t="s">
        <v>1450</v>
      </c>
      <c r="E47" s="55"/>
      <c r="F47" s="10" t="s">
        <v>1451</v>
      </c>
      <c r="G47" s="25">
        <v>114650</v>
      </c>
      <c r="H47" s="300" t="str">
        <f>CONCATENATE([1]Cover!$D$6,"fdd/view?i=",G47)</f>
        <v>https://www.dgiwg.org/FAD/fdd/view?i=114650</v>
      </c>
      <c r="I47" s="8" t="s">
        <v>1447</v>
      </c>
      <c r="J47" s="38" t="s">
        <v>151</v>
      </c>
    </row>
    <row r="48" spans="1:10" ht="51">
      <c r="A48" s="302" t="str">
        <f t="shared" si="0"/>
        <v>AtsRouteCrossingInfo</v>
      </c>
      <c r="B48" s="6" t="s">
        <v>1453</v>
      </c>
      <c r="C48" s="17" t="s">
        <v>1454</v>
      </c>
      <c r="D48" s="10" t="s">
        <v>1455</v>
      </c>
      <c r="E48" s="10" t="s">
        <v>1456</v>
      </c>
      <c r="F48" s="55"/>
      <c r="G48" s="25">
        <v>119550</v>
      </c>
      <c r="H48" s="300" t="str">
        <f>CONCATENATE([1]Cover!$D$6,"fdd/view?i=",G48)</f>
        <v>https://www.dgiwg.org/FAD/fdd/view?i=119550</v>
      </c>
      <c r="I48" s="8" t="s">
        <v>1452</v>
      </c>
      <c r="J48" s="38" t="s">
        <v>151</v>
      </c>
    </row>
    <row r="49" spans="1:10" ht="25.5">
      <c r="A49" s="302" t="str">
        <f t="shared" si="0"/>
        <v>AtsRouteSegment</v>
      </c>
      <c r="B49" s="6" t="s">
        <v>1458</v>
      </c>
      <c r="C49" s="17" t="s">
        <v>1459</v>
      </c>
      <c r="D49" s="10" t="s">
        <v>1460</v>
      </c>
      <c r="E49" s="55"/>
      <c r="F49" s="55"/>
      <c r="G49" s="25">
        <v>114523</v>
      </c>
      <c r="H49" s="300" t="str">
        <f>CONCATENATE([1]Cover!$D$6,"fdd/view?i=",G49)</f>
        <v>https://www.dgiwg.org/FAD/fdd/view?i=114523</v>
      </c>
      <c r="I49" s="8" t="s">
        <v>1457</v>
      </c>
      <c r="J49" s="38" t="s">
        <v>151</v>
      </c>
    </row>
    <row r="50" spans="1:10" ht="25.5">
      <c r="A50" s="302" t="str">
        <f t="shared" si="0"/>
        <v>AtsRouteSegmentDirection</v>
      </c>
      <c r="B50" s="6" t="s">
        <v>1462</v>
      </c>
      <c r="C50" s="17" t="s">
        <v>1463</v>
      </c>
      <c r="D50" s="10" t="s">
        <v>1464</v>
      </c>
      <c r="E50" s="55"/>
      <c r="F50" s="55"/>
      <c r="G50" s="25">
        <v>119548</v>
      </c>
      <c r="H50" s="300" t="str">
        <f>CONCATENATE([1]Cover!$D$6,"fdd/view?i=",G50)</f>
        <v>https://www.dgiwg.org/FAD/fdd/view?i=119548</v>
      </c>
      <c r="I50" s="8" t="s">
        <v>1461</v>
      </c>
      <c r="J50" s="38" t="s">
        <v>151</v>
      </c>
    </row>
    <row r="51" spans="1:10" ht="38.25">
      <c r="A51" s="302" t="str">
        <f t="shared" si="0"/>
        <v>AtsRouteSigPoint</v>
      </c>
      <c r="B51" s="6" t="s">
        <v>1466</v>
      </c>
      <c r="C51" s="17" t="s">
        <v>1467</v>
      </c>
      <c r="D51" s="10" t="s">
        <v>1468</v>
      </c>
      <c r="E51" s="55"/>
      <c r="F51" s="55"/>
      <c r="G51" s="25">
        <v>119549</v>
      </c>
      <c r="H51" s="300" t="str">
        <f>CONCATENATE([1]Cover!$D$6,"fdd/view?i=",G51)</f>
        <v>https://www.dgiwg.org/FAD/fdd/view?i=119549</v>
      </c>
      <c r="I51" s="8" t="s">
        <v>1465</v>
      </c>
      <c r="J51" s="38" t="s">
        <v>151</v>
      </c>
    </row>
    <row r="52" spans="1:10" ht="38.25">
      <c r="A52" s="302" t="str">
        <f t="shared" si="0"/>
        <v>AircraftCharacteristicsInfo</v>
      </c>
      <c r="B52" s="6" t="s">
        <v>1470</v>
      </c>
      <c r="C52" s="17" t="s">
        <v>1471</v>
      </c>
      <c r="D52" s="10" t="s">
        <v>1472</v>
      </c>
      <c r="E52" s="10" t="s">
        <v>1473</v>
      </c>
      <c r="F52" s="55"/>
      <c r="G52" s="25">
        <v>206962</v>
      </c>
      <c r="H52" s="300" t="str">
        <f>CONCATENATE([1]Cover!$D$6,"fdd/view?i=",G52)</f>
        <v>https://www.dgiwg.org/FAD/fdd/view?i=206962</v>
      </c>
      <c r="I52" s="8" t="s">
        <v>1469</v>
      </c>
      <c r="J52" s="38" t="s">
        <v>1295</v>
      </c>
    </row>
    <row r="53" spans="1:10" ht="25.5">
      <c r="A53" s="302" t="str">
        <f t="shared" si="0"/>
        <v>AircraftGroundService</v>
      </c>
      <c r="B53" s="6" t="s">
        <v>1475</v>
      </c>
      <c r="C53" s="17" t="s">
        <v>1476</v>
      </c>
      <c r="D53" s="10" t="s">
        <v>1477</v>
      </c>
      <c r="E53" s="55"/>
      <c r="F53" s="55"/>
      <c r="G53" s="25">
        <v>114652</v>
      </c>
      <c r="H53" s="300" t="str">
        <f>CONCATENATE([1]Cover!$D$6,"fdd/view?i=",G53)</f>
        <v>https://www.dgiwg.org/FAD/fdd/view?i=114652</v>
      </c>
      <c r="I53" s="8" t="s">
        <v>1474</v>
      </c>
      <c r="J53" s="38" t="s">
        <v>151</v>
      </c>
    </row>
    <row r="54" spans="1:10">
      <c r="A54" s="302" t="str">
        <f t="shared" si="0"/>
        <v>AircraftHangar</v>
      </c>
      <c r="B54" s="6" t="s">
        <v>1479</v>
      </c>
      <c r="C54" s="17" t="s">
        <v>1480</v>
      </c>
      <c r="D54" s="10" t="s">
        <v>1481</v>
      </c>
      <c r="E54" s="55"/>
      <c r="F54" s="55"/>
      <c r="G54" s="25">
        <v>114628</v>
      </c>
      <c r="H54" s="300" t="str">
        <f>CONCATENATE([1]Cover!$D$6,"fdd/view?i=",G54)</f>
        <v>https://www.dgiwg.org/FAD/fdd/view?i=114628</v>
      </c>
      <c r="I54" s="8" t="s">
        <v>1478</v>
      </c>
      <c r="J54" s="38" t="s">
        <v>151</v>
      </c>
    </row>
    <row r="55" spans="1:10" ht="38.25">
      <c r="A55" s="302" t="str">
        <f t="shared" si="0"/>
        <v>AircraftMaintenanceService</v>
      </c>
      <c r="B55" s="6" t="s">
        <v>1483</v>
      </c>
      <c r="C55" s="17" t="s">
        <v>1484</v>
      </c>
      <c r="D55" s="10" t="s">
        <v>1485</v>
      </c>
      <c r="E55" s="10" t="s">
        <v>1486</v>
      </c>
      <c r="F55" s="55"/>
      <c r="G55" s="25">
        <v>207655</v>
      </c>
      <c r="H55" s="300" t="str">
        <f>CONCATENATE([1]Cover!$D$6,"fdd/view?i=",G55)</f>
        <v>https://www.dgiwg.org/FAD/fdd/view?i=207655</v>
      </c>
      <c r="I55" s="8" t="s">
        <v>1482</v>
      </c>
      <c r="J55" s="38" t="s">
        <v>1295</v>
      </c>
    </row>
    <row r="56" spans="1:10" ht="51">
      <c r="A56" s="302" t="str">
        <f t="shared" si="0"/>
        <v>AircraftRescueFireService</v>
      </c>
      <c r="B56" s="6" t="s">
        <v>1488</v>
      </c>
      <c r="C56" s="17" t="s">
        <v>1489</v>
      </c>
      <c r="D56" s="10" t="s">
        <v>1490</v>
      </c>
      <c r="E56" s="55"/>
      <c r="F56" s="55"/>
      <c r="G56" s="25">
        <v>207653</v>
      </c>
      <c r="H56" s="300" t="str">
        <f>CONCATENATE([1]Cover!$D$6,"fdd/view?i=",G56)</f>
        <v>https://www.dgiwg.org/FAD/fdd/view?i=207653</v>
      </c>
      <c r="I56" s="8" t="s">
        <v>1487</v>
      </c>
      <c r="J56" s="38" t="s">
        <v>1295</v>
      </c>
    </row>
    <row r="57" spans="1:10" ht="25.5">
      <c r="A57" s="302" t="str">
        <f t="shared" si="0"/>
        <v>AircraftStand</v>
      </c>
      <c r="B57" s="6" t="s">
        <v>1492</v>
      </c>
      <c r="C57" s="17" t="s">
        <v>1493</v>
      </c>
      <c r="D57" s="10" t="s">
        <v>1494</v>
      </c>
      <c r="E57" s="55"/>
      <c r="F57" s="55"/>
      <c r="G57" s="25">
        <v>114587</v>
      </c>
      <c r="H57" s="300" t="str">
        <f>CONCATENATE([1]Cover!$D$6,"fdd/view?i=",G57)</f>
        <v>https://www.dgiwg.org/FAD/fdd/view?i=114587</v>
      </c>
      <c r="I57" s="8" t="s">
        <v>1491</v>
      </c>
      <c r="J57" s="38" t="s">
        <v>151</v>
      </c>
    </row>
    <row r="58" spans="1:10">
      <c r="A58" s="302" t="str">
        <f t="shared" si="0"/>
        <v>Airspace</v>
      </c>
      <c r="B58" s="6" t="s">
        <v>1496</v>
      </c>
      <c r="C58" s="17" t="s">
        <v>1496</v>
      </c>
      <c r="D58" s="10" t="s">
        <v>1497</v>
      </c>
      <c r="E58" s="55"/>
      <c r="F58" s="55"/>
      <c r="G58" s="25">
        <v>114496</v>
      </c>
      <c r="H58" s="300" t="str">
        <f>CONCATENATE([1]Cover!$D$6,"fdd/view?i=",G58)</f>
        <v>https://www.dgiwg.org/FAD/fdd/view?i=114496</v>
      </c>
      <c r="I58" s="8" t="s">
        <v>1495</v>
      </c>
      <c r="J58" s="38" t="s">
        <v>151</v>
      </c>
    </row>
    <row r="59" spans="1:10" ht="25.5">
      <c r="A59" s="302" t="str">
        <f t="shared" si="0"/>
        <v>AirspaceUsageInfo</v>
      </c>
      <c r="B59" s="6" t="s">
        <v>1499</v>
      </c>
      <c r="C59" s="17" t="s">
        <v>1500</v>
      </c>
      <c r="D59" s="10" t="s">
        <v>1501</v>
      </c>
      <c r="E59" s="10" t="s">
        <v>1502</v>
      </c>
      <c r="F59" s="55"/>
      <c r="G59" s="25">
        <v>119546</v>
      </c>
      <c r="H59" s="300" t="str">
        <f>CONCATENATE([1]Cover!$D$6,"fdd/view?i=",G59)</f>
        <v>https://www.dgiwg.org/FAD/fdd/view?i=119546</v>
      </c>
      <c r="I59" s="8" t="s">
        <v>1498</v>
      </c>
      <c r="J59" s="38" t="s">
        <v>151</v>
      </c>
    </row>
    <row r="60" spans="1:10" ht="38.25">
      <c r="A60" s="302" t="str">
        <f t="shared" si="0"/>
        <v>AirspaceVolume</v>
      </c>
      <c r="B60" s="6" t="s">
        <v>1504</v>
      </c>
      <c r="C60" s="17" t="s">
        <v>1505</v>
      </c>
      <c r="D60" s="10" t="s">
        <v>1506</v>
      </c>
      <c r="E60" s="55"/>
      <c r="F60" s="55"/>
      <c r="G60" s="25">
        <v>119547</v>
      </c>
      <c r="H60" s="300" t="str">
        <f>CONCATENATE([1]Cover!$D$6,"fdd/view?i=",G60)</f>
        <v>https://www.dgiwg.org/FAD/fdd/view?i=119547</v>
      </c>
      <c r="I60" s="8" t="s">
        <v>1503</v>
      </c>
      <c r="J60" s="38" t="s">
        <v>151</v>
      </c>
    </row>
    <row r="61" spans="1:10" ht="25.5">
      <c r="A61" s="302" t="str">
        <f t="shared" si="0"/>
        <v>AltimeterCheckLocation</v>
      </c>
      <c r="B61" s="6" t="s">
        <v>1508</v>
      </c>
      <c r="C61" s="17" t="s">
        <v>1509</v>
      </c>
      <c r="D61" s="10" t="s">
        <v>1510</v>
      </c>
      <c r="E61" s="55"/>
      <c r="F61" s="55"/>
      <c r="G61" s="25">
        <v>114588</v>
      </c>
      <c r="H61" s="300" t="str">
        <f>CONCATENATE([1]Cover!$D$6,"fdd/view?i=",G61)</f>
        <v>https://www.dgiwg.org/FAD/fdd/view?i=114588</v>
      </c>
      <c r="I61" s="8" t="s">
        <v>1507</v>
      </c>
      <c r="J61" s="38" t="s">
        <v>151</v>
      </c>
    </row>
    <row r="62" spans="1:10" ht="38.25">
      <c r="A62" s="302" t="str">
        <f t="shared" si="0"/>
        <v>Amphitheatre</v>
      </c>
      <c r="B62" s="6" t="s">
        <v>1512</v>
      </c>
      <c r="C62" s="17" t="s">
        <v>1512</v>
      </c>
      <c r="D62" s="10" t="s">
        <v>1513</v>
      </c>
      <c r="E62" s="10" t="s">
        <v>1514</v>
      </c>
      <c r="F62" s="55"/>
      <c r="G62" s="25">
        <v>111409</v>
      </c>
      <c r="H62" s="300" t="str">
        <f>CONCATENATE([1]Cover!$D$6,"fdd/view?i=",G62)</f>
        <v>https://www.dgiwg.org/FAD/fdd/view?i=111409</v>
      </c>
      <c r="I62" s="8" t="s">
        <v>1511</v>
      </c>
      <c r="J62" s="38" t="s">
        <v>151</v>
      </c>
    </row>
    <row r="63" spans="1:10">
      <c r="A63" s="302" t="str">
        <f t="shared" si="0"/>
        <v>AmusementPark</v>
      </c>
      <c r="B63" s="6" t="s">
        <v>1516</v>
      </c>
      <c r="C63" s="17" t="s">
        <v>1517</v>
      </c>
      <c r="D63" s="10" t="s">
        <v>1518</v>
      </c>
      <c r="E63" s="55"/>
      <c r="F63" s="55"/>
      <c r="G63" s="25">
        <v>100052</v>
      </c>
      <c r="H63" s="300" t="str">
        <f>CONCATENATE([1]Cover!$D$6,"fdd/view?i=",G63)</f>
        <v>https://www.dgiwg.org/FAD/fdd/view?i=100052</v>
      </c>
      <c r="I63" s="8" t="s">
        <v>1515</v>
      </c>
      <c r="J63" s="38" t="s">
        <v>151</v>
      </c>
    </row>
    <row r="64" spans="1:10" ht="25.5">
      <c r="A64" s="302" t="str">
        <f t="shared" si="0"/>
        <v>AmusementParkAttraction</v>
      </c>
      <c r="B64" s="6" t="s">
        <v>1520</v>
      </c>
      <c r="C64" s="17" t="s">
        <v>1521</v>
      </c>
      <c r="D64" s="10" t="s">
        <v>1522</v>
      </c>
      <c r="E64" s="55"/>
      <c r="F64" s="55"/>
      <c r="G64" s="25">
        <v>100051</v>
      </c>
      <c r="H64" s="300" t="str">
        <f>CONCATENATE([1]Cover!$D$6,"fdd/view?i=",G64)</f>
        <v>https://www.dgiwg.org/FAD/fdd/view?i=100051</v>
      </c>
      <c r="I64" s="8" t="s">
        <v>1519</v>
      </c>
      <c r="J64" s="38" t="s">
        <v>151</v>
      </c>
    </row>
    <row r="65" spans="1:10" ht="51">
      <c r="A65" s="302" t="str">
        <f t="shared" si="0"/>
        <v>Anchor</v>
      </c>
      <c r="B65" s="6" t="s">
        <v>1524</v>
      </c>
      <c r="C65" s="17" t="s">
        <v>1524</v>
      </c>
      <c r="D65" s="10" t="s">
        <v>1525</v>
      </c>
      <c r="E65" s="55"/>
      <c r="F65" s="55"/>
      <c r="G65" s="25">
        <v>100222</v>
      </c>
      <c r="H65" s="300" t="str">
        <f>CONCATENATE([1]Cover!$D$6,"fdd/view?i=",G65)</f>
        <v>https://www.dgiwg.org/FAD/fdd/view?i=100222</v>
      </c>
      <c r="I65" s="8" t="s">
        <v>1523</v>
      </c>
      <c r="J65" s="38" t="s">
        <v>151</v>
      </c>
    </row>
    <row r="66" spans="1:10" ht="127.5">
      <c r="A66" s="302" t="str">
        <f t="shared" si="0"/>
        <v>Anchorage</v>
      </c>
      <c r="B66" s="6" t="s">
        <v>1527</v>
      </c>
      <c r="C66" s="17" t="s">
        <v>1527</v>
      </c>
      <c r="D66" s="10" t="s">
        <v>1528</v>
      </c>
      <c r="E66" s="10" t="s">
        <v>1529</v>
      </c>
      <c r="F66" s="55"/>
      <c r="G66" s="25">
        <v>100219</v>
      </c>
      <c r="H66" s="300" t="str">
        <f>CONCATENATE([1]Cover!$D$6,"fdd/view?i=",G66)</f>
        <v>https://www.dgiwg.org/FAD/fdd/view?i=100219</v>
      </c>
      <c r="I66" s="8" t="s">
        <v>1526</v>
      </c>
      <c r="J66" s="38" t="s">
        <v>151</v>
      </c>
    </row>
    <row r="67" spans="1:10" ht="25.5">
      <c r="A67" s="302" t="str">
        <f t="shared" ref="A67:A130" si="1">HYPERLINK(H67,B67)</f>
        <v>AnnotatedLocation</v>
      </c>
      <c r="B67" s="6" t="s">
        <v>1531</v>
      </c>
      <c r="C67" s="17" t="s">
        <v>1532</v>
      </c>
      <c r="D67" s="10" t="s">
        <v>1533</v>
      </c>
      <c r="E67" s="10" t="s">
        <v>1534</v>
      </c>
      <c r="F67" s="55"/>
      <c r="G67" s="25">
        <v>100582</v>
      </c>
      <c r="H67" s="300" t="str">
        <f>CONCATENATE([1]Cover!$D$6,"fdd/view?i=",G67)</f>
        <v>https://www.dgiwg.org/FAD/fdd/view?i=100582</v>
      </c>
      <c r="I67" s="8" t="s">
        <v>1530</v>
      </c>
      <c r="J67" s="38" t="s">
        <v>151</v>
      </c>
    </row>
    <row r="68" spans="1:10" ht="25.5">
      <c r="A68" s="302" t="str">
        <f t="shared" si="1"/>
        <v>AntiAircraftArtillerySite</v>
      </c>
      <c r="B68" s="6" t="s">
        <v>1536</v>
      </c>
      <c r="C68" s="17" t="s">
        <v>1537</v>
      </c>
      <c r="D68" s="10" t="s">
        <v>1538</v>
      </c>
      <c r="E68" s="10" t="s">
        <v>1539</v>
      </c>
      <c r="F68" s="55"/>
      <c r="G68" s="25">
        <v>100106</v>
      </c>
      <c r="H68" s="300" t="str">
        <f>CONCATENATE([1]Cover!$D$6,"fdd/view?i=",G68)</f>
        <v>https://www.dgiwg.org/FAD/fdd/view?i=100106</v>
      </c>
      <c r="I68" s="8" t="s">
        <v>1535</v>
      </c>
      <c r="J68" s="38" t="s">
        <v>151</v>
      </c>
    </row>
    <row r="69" spans="1:10" ht="38.25">
      <c r="A69" s="302" t="str">
        <f t="shared" si="1"/>
        <v>AntiShippingActivity</v>
      </c>
      <c r="B69" s="6" t="s">
        <v>1541</v>
      </c>
      <c r="C69" s="17" t="s">
        <v>1542</v>
      </c>
      <c r="D69" s="10" t="s">
        <v>1543</v>
      </c>
      <c r="E69" s="10" t="s">
        <v>1544</v>
      </c>
      <c r="F69" s="55"/>
      <c r="G69" s="25">
        <v>111464</v>
      </c>
      <c r="H69" s="300" t="str">
        <f>CONCATENATE([1]Cover!$D$6,"fdd/view?i=",G69)</f>
        <v>https://www.dgiwg.org/FAD/fdd/view?i=111464</v>
      </c>
      <c r="I69" s="8" t="s">
        <v>1540</v>
      </c>
      <c r="J69" s="38" t="s">
        <v>151</v>
      </c>
    </row>
    <row r="70" spans="1:10" ht="25.5">
      <c r="A70" s="302" t="str">
        <f t="shared" si="1"/>
        <v>MD_ApplicationSchemaInformation</v>
      </c>
      <c r="B70" s="6" t="s">
        <v>1546</v>
      </c>
      <c r="C70" s="17" t="s">
        <v>1547</v>
      </c>
      <c r="D70" s="10" t="s">
        <v>1548</v>
      </c>
      <c r="E70" s="55"/>
      <c r="F70" s="55"/>
      <c r="G70" s="25">
        <v>203464</v>
      </c>
      <c r="H70" s="300" t="str">
        <f>CONCATENATE([1]Cover!$D$6,"fdd/view?i=",G70)</f>
        <v>https://www.dgiwg.org/FAD/fdd/view?i=203464</v>
      </c>
      <c r="I70" s="8" t="s">
        <v>1545</v>
      </c>
      <c r="J70" s="38" t="s">
        <v>1295</v>
      </c>
    </row>
    <row r="71" spans="1:10" ht="38.25">
      <c r="A71" s="302" t="str">
        <f t="shared" si="1"/>
        <v>ApproachLightingSystem</v>
      </c>
      <c r="B71" s="6" t="s">
        <v>1550</v>
      </c>
      <c r="C71" s="17" t="s">
        <v>1551</v>
      </c>
      <c r="D71" s="10" t="s">
        <v>1552</v>
      </c>
      <c r="E71" s="55"/>
      <c r="F71" s="55"/>
      <c r="G71" s="25">
        <v>114616</v>
      </c>
      <c r="H71" s="300" t="str">
        <f>CONCATENATE([1]Cover!$D$6,"fdd/view?i=",G71)</f>
        <v>https://www.dgiwg.org/FAD/fdd/view?i=114616</v>
      </c>
      <c r="I71" s="8" t="s">
        <v>1549</v>
      </c>
      <c r="J71" s="38" t="s">
        <v>151</v>
      </c>
    </row>
    <row r="72" spans="1:10" ht="51">
      <c r="A72" s="302" t="str">
        <f t="shared" si="1"/>
        <v>Apron</v>
      </c>
      <c r="B72" s="6" t="s">
        <v>1554</v>
      </c>
      <c r="C72" s="17" t="s">
        <v>1554</v>
      </c>
      <c r="D72" s="10" t="s">
        <v>1555</v>
      </c>
      <c r="E72" s="55"/>
      <c r="F72" s="10" t="s">
        <v>1556</v>
      </c>
      <c r="G72" s="25">
        <v>114589</v>
      </c>
      <c r="H72" s="300" t="str">
        <f>CONCATENATE([1]Cover!$D$6,"fdd/view?i=",G72)</f>
        <v>https://www.dgiwg.org/FAD/fdd/view?i=114589</v>
      </c>
      <c r="I72" s="8" t="s">
        <v>1553</v>
      </c>
      <c r="J72" s="38" t="s">
        <v>151</v>
      </c>
    </row>
    <row r="73" spans="1:10" ht="25.5">
      <c r="A73" s="302" t="str">
        <f t="shared" si="1"/>
        <v>AquaticVegetation</v>
      </c>
      <c r="B73" s="6" t="s">
        <v>1558</v>
      </c>
      <c r="C73" s="17" t="s">
        <v>1559</v>
      </c>
      <c r="D73" s="10" t="s">
        <v>1560</v>
      </c>
      <c r="E73" s="10" t="s">
        <v>1561</v>
      </c>
      <c r="F73" s="55"/>
      <c r="G73" s="25">
        <v>114182</v>
      </c>
      <c r="H73" s="300" t="str">
        <f>CONCATENATE([1]Cover!$D$6,"fdd/view?i=",G73)</f>
        <v>https://www.dgiwg.org/FAD/fdd/view?i=114182</v>
      </c>
      <c r="I73" s="8" t="s">
        <v>1557</v>
      </c>
      <c r="J73" s="38" t="s">
        <v>151</v>
      </c>
    </row>
    <row r="74" spans="1:10" ht="38.25">
      <c r="A74" s="302" t="str">
        <f t="shared" si="1"/>
        <v>Aqueduct</v>
      </c>
      <c r="B74" s="6" t="s">
        <v>1563</v>
      </c>
      <c r="C74" s="17" t="s">
        <v>1563</v>
      </c>
      <c r="D74" s="10" t="s">
        <v>1564</v>
      </c>
      <c r="E74" s="10" t="s">
        <v>1565</v>
      </c>
      <c r="F74" s="55"/>
      <c r="G74" s="25">
        <v>100330</v>
      </c>
      <c r="H74" s="300" t="str">
        <f>CONCATENATE([1]Cover!$D$6,"fdd/view?i=",G74)</f>
        <v>https://www.dgiwg.org/FAD/fdd/view?i=100330</v>
      </c>
      <c r="I74" s="8" t="s">
        <v>1562</v>
      </c>
      <c r="J74" s="38" t="s">
        <v>151</v>
      </c>
    </row>
    <row r="75" spans="1:10" ht="25.5">
      <c r="A75" s="302" t="str">
        <f t="shared" si="1"/>
        <v>Aquifer</v>
      </c>
      <c r="B75" s="6" t="s">
        <v>1567</v>
      </c>
      <c r="C75" s="17" t="s">
        <v>1567</v>
      </c>
      <c r="D75" s="10" t="s">
        <v>1568</v>
      </c>
      <c r="E75" s="10" t="s">
        <v>1569</v>
      </c>
      <c r="F75" s="55"/>
      <c r="G75" s="25">
        <v>118430</v>
      </c>
      <c r="H75" s="300" t="str">
        <f>CONCATENATE([1]Cover!$D$6,"fdd/view?i=",G75)</f>
        <v>https://www.dgiwg.org/FAD/fdd/view?i=118430</v>
      </c>
      <c r="I75" s="8" t="s">
        <v>1566</v>
      </c>
      <c r="J75" s="38" t="s">
        <v>151</v>
      </c>
    </row>
    <row r="76" spans="1:10" ht="25.5">
      <c r="A76" s="302" t="str">
        <f t="shared" si="1"/>
        <v>Arcade</v>
      </c>
      <c r="B76" s="6" t="s">
        <v>1571</v>
      </c>
      <c r="C76" s="17" t="s">
        <v>1571</v>
      </c>
      <c r="D76" s="10" t="s">
        <v>1572</v>
      </c>
      <c r="E76" s="55"/>
      <c r="F76" s="55"/>
      <c r="G76" s="25">
        <v>100187</v>
      </c>
      <c r="H76" s="300" t="str">
        <f>CONCATENATE([1]Cover!$D$6,"fdd/view?i=",G76)</f>
        <v>https://www.dgiwg.org/FAD/fdd/view?i=100187</v>
      </c>
      <c r="I76" s="8" t="s">
        <v>1570</v>
      </c>
      <c r="J76" s="38" t="s">
        <v>151</v>
      </c>
    </row>
    <row r="77" spans="1:10" ht="25.5">
      <c r="A77" s="302" t="str">
        <f t="shared" si="1"/>
        <v>ArcheologicalSite</v>
      </c>
      <c r="B77" s="6" t="s">
        <v>1574</v>
      </c>
      <c r="C77" s="17" t="s">
        <v>1575</v>
      </c>
      <c r="D77" s="10" t="s">
        <v>1576</v>
      </c>
      <c r="E77" s="55"/>
      <c r="F77" s="55"/>
      <c r="G77" s="25">
        <v>100079</v>
      </c>
      <c r="H77" s="300" t="str">
        <f>CONCATENATE([1]Cover!$D$6,"fdd/view?i=",G77)</f>
        <v>https://www.dgiwg.org/FAD/fdd/view?i=100079</v>
      </c>
      <c r="I77" s="8" t="s">
        <v>1573</v>
      </c>
      <c r="J77" s="38" t="s">
        <v>151</v>
      </c>
    </row>
    <row r="78" spans="1:10" ht="51">
      <c r="A78" s="302" t="str">
        <f t="shared" si="1"/>
        <v>ArrestingSystem</v>
      </c>
      <c r="B78" s="6" t="s">
        <v>1578</v>
      </c>
      <c r="C78" s="17" t="s">
        <v>1579</v>
      </c>
      <c r="D78" s="10" t="s">
        <v>1580</v>
      </c>
      <c r="E78" s="10" t="s">
        <v>1581</v>
      </c>
      <c r="F78" s="10" t="s">
        <v>1582</v>
      </c>
      <c r="G78" s="25">
        <v>114590</v>
      </c>
      <c r="H78" s="300" t="str">
        <f>CONCATENATE([1]Cover!$D$6,"fdd/view?i=",G78)</f>
        <v>https://www.dgiwg.org/FAD/fdd/view?i=114590</v>
      </c>
      <c r="I78" s="8" t="s">
        <v>1577</v>
      </c>
      <c r="J78" s="38" t="s">
        <v>151</v>
      </c>
    </row>
    <row r="79" spans="1:10" ht="25.5">
      <c r="A79" s="302" t="str">
        <f t="shared" si="1"/>
        <v>ArrivalSegment</v>
      </c>
      <c r="B79" s="6" t="s">
        <v>1584</v>
      </c>
      <c r="C79" s="17" t="s">
        <v>1585</v>
      </c>
      <c r="D79" s="10" t="s">
        <v>1586</v>
      </c>
      <c r="E79" s="10" t="s">
        <v>1587</v>
      </c>
      <c r="F79" s="55"/>
      <c r="G79" s="25">
        <v>114630</v>
      </c>
      <c r="H79" s="300" t="str">
        <f>CONCATENATE([1]Cover!$D$6,"fdd/view?i=",G79)</f>
        <v>https://www.dgiwg.org/FAD/fdd/view?i=114630</v>
      </c>
      <c r="I79" s="8" t="s">
        <v>1583</v>
      </c>
      <c r="J79" s="38" t="s">
        <v>151</v>
      </c>
    </row>
    <row r="80" spans="1:10">
      <c r="A80" s="302" t="str">
        <f t="shared" si="1"/>
        <v>AsphaltLake</v>
      </c>
      <c r="B80" s="6" t="s">
        <v>1589</v>
      </c>
      <c r="C80" s="17" t="s">
        <v>1590</v>
      </c>
      <c r="D80" s="10" t="s">
        <v>1591</v>
      </c>
      <c r="E80" s="55"/>
      <c r="F80" s="55"/>
      <c r="G80" s="25">
        <v>100400</v>
      </c>
      <c r="H80" s="300" t="str">
        <f>CONCATENATE([1]Cover!$D$6,"fdd/view?i=",G80)</f>
        <v>https://www.dgiwg.org/FAD/fdd/view?i=100400</v>
      </c>
      <c r="I80" s="8" t="s">
        <v>1588</v>
      </c>
      <c r="J80" s="38" t="s">
        <v>151</v>
      </c>
    </row>
    <row r="81" spans="1:10" ht="38.25">
      <c r="A81" s="302" t="str">
        <f t="shared" si="1"/>
        <v>AstronomicalObservatory</v>
      </c>
      <c r="B81" s="6" t="s">
        <v>1593</v>
      </c>
      <c r="C81" s="17" t="s">
        <v>1594</v>
      </c>
      <c r="D81" s="10" t="s">
        <v>1595</v>
      </c>
      <c r="E81" s="10" t="s">
        <v>1596</v>
      </c>
      <c r="F81" s="55"/>
      <c r="G81" s="25">
        <v>111420</v>
      </c>
      <c r="H81" s="300" t="str">
        <f>CONCATENATE([1]Cover!$D$6,"fdd/view?i=",G81)</f>
        <v>https://www.dgiwg.org/FAD/fdd/view?i=111420</v>
      </c>
      <c r="I81" s="8" t="s">
        <v>1592</v>
      </c>
      <c r="J81" s="38" t="s">
        <v>151</v>
      </c>
    </row>
    <row r="82" spans="1:10" ht="51">
      <c r="A82" s="302" t="str">
        <f t="shared" si="1"/>
        <v>AutoAerodromeWeatherStation</v>
      </c>
      <c r="B82" s="6" t="s">
        <v>1598</v>
      </c>
      <c r="C82" s="17" t="s">
        <v>1599</v>
      </c>
      <c r="D82" s="10" t="s">
        <v>1600</v>
      </c>
      <c r="E82" s="55"/>
      <c r="F82" s="55"/>
      <c r="G82" s="25">
        <v>119703</v>
      </c>
      <c r="H82" s="300" t="str">
        <f>CONCATENATE([1]Cover!$D$6,"fdd/view?i=",G82)</f>
        <v>https://www.dgiwg.org/FAD/fdd/view?i=119703</v>
      </c>
      <c r="I82" s="8" t="s">
        <v>1597</v>
      </c>
      <c r="J82" s="38" t="s">
        <v>1295</v>
      </c>
    </row>
    <row r="83" spans="1:10" ht="38.25">
      <c r="A83" s="302" t="str">
        <f t="shared" si="1"/>
        <v>AviationDesigPoint</v>
      </c>
      <c r="B83" s="6" t="s">
        <v>1602</v>
      </c>
      <c r="C83" s="17" t="s">
        <v>1603</v>
      </c>
      <c r="D83" s="10" t="s">
        <v>1604</v>
      </c>
      <c r="E83" s="55"/>
      <c r="F83" s="55"/>
      <c r="G83" s="25">
        <v>114501</v>
      </c>
      <c r="H83" s="300" t="str">
        <f>CONCATENATE([1]Cover!$D$6,"fdd/view?i=",G83)</f>
        <v>https://www.dgiwg.org/FAD/fdd/view?i=114501</v>
      </c>
      <c r="I83" s="8" t="s">
        <v>1601</v>
      </c>
      <c r="J83" s="38" t="s">
        <v>1295</v>
      </c>
    </row>
    <row r="84" spans="1:10" ht="38.25">
      <c r="A84" s="302" t="str">
        <f t="shared" si="1"/>
        <v>AviationDesigPointInfo</v>
      </c>
      <c r="B84" s="6" t="s">
        <v>1606</v>
      </c>
      <c r="C84" s="17" t="s">
        <v>1607</v>
      </c>
      <c r="D84" s="10" t="s">
        <v>1608</v>
      </c>
      <c r="E84" s="10" t="s">
        <v>1609</v>
      </c>
      <c r="F84" s="55"/>
      <c r="G84" s="25">
        <v>206968</v>
      </c>
      <c r="H84" s="300" t="str">
        <f>CONCATENATE([1]Cover!$D$6,"fdd/view?i=",G84)</f>
        <v>https://www.dgiwg.org/FAD/fdd/view?i=206968</v>
      </c>
      <c r="I84" s="8" t="s">
        <v>1605</v>
      </c>
      <c r="J84" s="38" t="s">
        <v>1295</v>
      </c>
    </row>
    <row r="85" spans="1:10" ht="38.25">
      <c r="A85" s="302" t="str">
        <f t="shared" si="1"/>
        <v>AviationDesigPointLocInfo</v>
      </c>
      <c r="B85" s="6" t="s">
        <v>1611</v>
      </c>
      <c r="C85" s="17" t="s">
        <v>1612</v>
      </c>
      <c r="D85" s="10" t="s">
        <v>1613</v>
      </c>
      <c r="E85" s="55"/>
      <c r="F85" s="55"/>
      <c r="G85" s="25">
        <v>206969</v>
      </c>
      <c r="H85" s="300" t="str">
        <f>CONCATENATE([1]Cover!$D$6,"fdd/view?i=",G85)</f>
        <v>https://www.dgiwg.org/FAD/fdd/view?i=206969</v>
      </c>
      <c r="I85" s="8" t="s">
        <v>1610</v>
      </c>
      <c r="J85" s="38" t="s">
        <v>1295</v>
      </c>
    </row>
    <row r="86" spans="1:10" ht="38.25">
      <c r="A86" s="302" t="str">
        <f t="shared" si="1"/>
        <v>AviationHydMaintService</v>
      </c>
      <c r="B86" s="6" t="s">
        <v>1615</v>
      </c>
      <c r="C86" s="17" t="s">
        <v>1616</v>
      </c>
      <c r="D86" s="10" t="s">
        <v>1617</v>
      </c>
      <c r="E86" s="55"/>
      <c r="F86" s="55"/>
      <c r="G86" s="25">
        <v>119568</v>
      </c>
      <c r="H86" s="300" t="str">
        <f>CONCATENATE([1]Cover!$D$6,"fdd/view?i=",G86)</f>
        <v>https://www.dgiwg.org/FAD/fdd/view?i=119568</v>
      </c>
      <c r="I86" s="8" t="s">
        <v>1614</v>
      </c>
      <c r="J86" s="38" t="s">
        <v>151</v>
      </c>
    </row>
    <row r="87" spans="1:10" ht="38.25">
      <c r="A87" s="302" t="str">
        <f t="shared" si="1"/>
        <v>AviationNitMaintService</v>
      </c>
      <c r="B87" s="6" t="s">
        <v>1619</v>
      </c>
      <c r="C87" s="17" t="s">
        <v>1620</v>
      </c>
      <c r="D87" s="10" t="s">
        <v>1621</v>
      </c>
      <c r="E87" s="55"/>
      <c r="F87" s="55"/>
      <c r="G87" s="25">
        <v>119569</v>
      </c>
      <c r="H87" s="300" t="str">
        <f>CONCATENATE([1]Cover!$D$6,"fdd/view?i=",G87)</f>
        <v>https://www.dgiwg.org/FAD/fdd/view?i=119569</v>
      </c>
      <c r="I87" s="8" t="s">
        <v>1618</v>
      </c>
      <c r="J87" s="38" t="s">
        <v>151</v>
      </c>
    </row>
    <row r="88" spans="1:10" ht="38.25">
      <c r="A88" s="302" t="str">
        <f t="shared" si="1"/>
        <v>AviationOilMaintService</v>
      </c>
      <c r="B88" s="6" t="s">
        <v>1623</v>
      </c>
      <c r="C88" s="17" t="s">
        <v>1624</v>
      </c>
      <c r="D88" s="10" t="s">
        <v>1625</v>
      </c>
      <c r="E88" s="55"/>
      <c r="F88" s="55"/>
      <c r="G88" s="25">
        <v>119570</v>
      </c>
      <c r="H88" s="300" t="str">
        <f>CONCATENATE([1]Cover!$D$6,"fdd/view?i=",G88)</f>
        <v>https://www.dgiwg.org/FAD/fdd/view?i=119570</v>
      </c>
      <c r="I88" s="8" t="s">
        <v>1622</v>
      </c>
      <c r="J88" s="38" t="s">
        <v>151</v>
      </c>
    </row>
    <row r="89" spans="1:10" ht="38.25">
      <c r="A89" s="302" t="str">
        <f t="shared" si="1"/>
        <v>AviationOxyMaintService</v>
      </c>
      <c r="B89" s="6" t="s">
        <v>1627</v>
      </c>
      <c r="C89" s="17" t="s">
        <v>1628</v>
      </c>
      <c r="D89" s="10" t="s">
        <v>1629</v>
      </c>
      <c r="E89" s="55"/>
      <c r="F89" s="55"/>
      <c r="G89" s="25">
        <v>119571</v>
      </c>
      <c r="H89" s="300" t="str">
        <f>CONCATENATE([1]Cover!$D$6,"fdd/view?i=",G89)</f>
        <v>https://www.dgiwg.org/FAD/fdd/view?i=119571</v>
      </c>
      <c r="I89" s="8" t="s">
        <v>1626</v>
      </c>
      <c r="J89" s="38" t="s">
        <v>151</v>
      </c>
    </row>
    <row r="90" spans="1:10" ht="25.5">
      <c r="A90" s="302" t="str">
        <f t="shared" si="1"/>
        <v>Backshore</v>
      </c>
      <c r="B90" s="6" t="s">
        <v>1631</v>
      </c>
      <c r="C90" s="17" t="s">
        <v>1631</v>
      </c>
      <c r="D90" s="10" t="s">
        <v>1632</v>
      </c>
      <c r="E90" s="55"/>
      <c r="F90" s="55"/>
      <c r="G90" s="25">
        <v>100208</v>
      </c>
      <c r="H90" s="300" t="str">
        <f>CONCATENATE([1]Cover!$D$6,"fdd/view?i=",G90)</f>
        <v>https://www.dgiwg.org/FAD/fdd/view?i=100208</v>
      </c>
      <c r="I90" s="8" t="s">
        <v>1630</v>
      </c>
      <c r="J90" s="38" t="s">
        <v>151</v>
      </c>
    </row>
    <row r="91" spans="1:10" ht="38.25">
      <c r="A91" s="302" t="str">
        <f t="shared" si="1"/>
        <v>Bandshell</v>
      </c>
      <c r="B91" s="6" t="s">
        <v>1634</v>
      </c>
      <c r="C91" s="17" t="s">
        <v>1634</v>
      </c>
      <c r="D91" s="10" t="s">
        <v>1635</v>
      </c>
      <c r="E91" s="10" t="s">
        <v>1636</v>
      </c>
      <c r="F91" s="55"/>
      <c r="G91" s="25">
        <v>114176</v>
      </c>
      <c r="H91" s="300" t="str">
        <f>CONCATENATE([1]Cover!$D$6,"fdd/view?i=",G91)</f>
        <v>https://www.dgiwg.org/FAD/fdd/view?i=114176</v>
      </c>
      <c r="I91" s="8" t="s">
        <v>1633</v>
      </c>
      <c r="J91" s="38" t="s">
        <v>151</v>
      </c>
    </row>
    <row r="92" spans="1:10" ht="38.25">
      <c r="A92" s="302" t="str">
        <f t="shared" si="1"/>
        <v>BankVegetationZone</v>
      </c>
      <c r="B92" s="6" t="s">
        <v>1638</v>
      </c>
      <c r="C92" s="17" t="s">
        <v>1639</v>
      </c>
      <c r="D92" s="10" t="s">
        <v>1640</v>
      </c>
      <c r="E92" s="10" t="s">
        <v>1641</v>
      </c>
      <c r="F92" s="55"/>
      <c r="G92" s="25">
        <v>114185</v>
      </c>
      <c r="H92" s="300" t="str">
        <f>CONCATENATE([1]Cover!$D$6,"fdd/view?i=",G92)</f>
        <v>https://www.dgiwg.org/FAD/fdd/view?i=114185</v>
      </c>
      <c r="I92" s="8" t="s">
        <v>1637</v>
      </c>
      <c r="J92" s="38" t="s">
        <v>151</v>
      </c>
    </row>
    <row r="93" spans="1:10" ht="38.25">
      <c r="A93" s="302" t="str">
        <f t="shared" si="1"/>
        <v>Barn</v>
      </c>
      <c r="B93" s="6" t="s">
        <v>1643</v>
      </c>
      <c r="C93" s="17" t="s">
        <v>1643</v>
      </c>
      <c r="D93" s="10" t="s">
        <v>1644</v>
      </c>
      <c r="E93" s="55"/>
      <c r="F93" s="55"/>
      <c r="G93" s="25">
        <v>114175</v>
      </c>
      <c r="H93" s="300" t="str">
        <f>CONCATENATE([1]Cover!$D$6,"fdd/view?i=",G93)</f>
        <v>https://www.dgiwg.org/FAD/fdd/view?i=114175</v>
      </c>
      <c r="I93" s="8" t="s">
        <v>1642</v>
      </c>
      <c r="J93" s="38" t="s">
        <v>151</v>
      </c>
    </row>
    <row r="94" spans="1:10" ht="25.5">
      <c r="A94" s="302" t="str">
        <f t="shared" si="1"/>
        <v>BasinGate</v>
      </c>
      <c r="B94" s="6" t="s">
        <v>1646</v>
      </c>
      <c r="C94" s="17" t="s">
        <v>1647</v>
      </c>
      <c r="D94" s="10" t="s">
        <v>1648</v>
      </c>
      <c r="E94" s="10" t="s">
        <v>1649</v>
      </c>
      <c r="F94" s="55"/>
      <c r="G94" s="25">
        <v>117764</v>
      </c>
      <c r="H94" s="300" t="str">
        <f>CONCATENATE([1]Cover!$D$6,"fdd/view?i=",G94)</f>
        <v>https://www.dgiwg.org/FAD/fdd/view?i=117764</v>
      </c>
      <c r="I94" s="8" t="s">
        <v>1645</v>
      </c>
      <c r="J94" s="38" t="s">
        <v>151</v>
      </c>
    </row>
    <row r="95" spans="1:10" ht="25.5">
      <c r="A95" s="302" t="str">
        <f t="shared" si="1"/>
        <v>Beach</v>
      </c>
      <c r="B95" s="6" t="s">
        <v>1651</v>
      </c>
      <c r="C95" s="17" t="s">
        <v>1651</v>
      </c>
      <c r="D95" s="10" t="s">
        <v>1652</v>
      </c>
      <c r="E95" s="10" t="s">
        <v>1653</v>
      </c>
      <c r="F95" s="55"/>
      <c r="G95" s="25">
        <v>100214</v>
      </c>
      <c r="H95" s="300" t="str">
        <f>CONCATENATE([1]Cover!$D$6,"fdd/view?i=",G95)</f>
        <v>https://www.dgiwg.org/FAD/fdd/view?i=100214</v>
      </c>
      <c r="I95" s="8" t="s">
        <v>1650</v>
      </c>
      <c r="J95" s="38" t="s">
        <v>151</v>
      </c>
    </row>
    <row r="96" spans="1:10">
      <c r="A96" s="302" t="str">
        <f t="shared" si="1"/>
        <v>BeachLandingSite</v>
      </c>
      <c r="B96" s="6" t="s">
        <v>1655</v>
      </c>
      <c r="C96" s="17" t="s">
        <v>1656</v>
      </c>
      <c r="D96" s="10" t="s">
        <v>1657</v>
      </c>
      <c r="E96" s="55"/>
      <c r="F96" s="55"/>
      <c r="G96" s="25">
        <v>100242</v>
      </c>
      <c r="H96" s="300" t="str">
        <f>CONCATENATE([1]Cover!$D$6,"fdd/view?i=",G96)</f>
        <v>https://www.dgiwg.org/FAD/fdd/view?i=100242</v>
      </c>
      <c r="I96" s="8" t="s">
        <v>1654</v>
      </c>
      <c r="J96" s="38" t="s">
        <v>151</v>
      </c>
    </row>
    <row r="97" spans="1:10" ht="25.5">
      <c r="A97" s="302" t="str">
        <f t="shared" si="1"/>
        <v>BeachProfile</v>
      </c>
      <c r="B97" s="6" t="s">
        <v>1659</v>
      </c>
      <c r="C97" s="17" t="s">
        <v>1660</v>
      </c>
      <c r="D97" s="10" t="s">
        <v>1661</v>
      </c>
      <c r="E97" s="55"/>
      <c r="F97" s="55"/>
      <c r="G97" s="25">
        <v>100320</v>
      </c>
      <c r="H97" s="300" t="str">
        <f>CONCATENATE([1]Cover!$D$6,"fdd/view?i=",G97)</f>
        <v>https://www.dgiwg.org/FAD/fdd/view?i=100320</v>
      </c>
      <c r="I97" s="8" t="s">
        <v>1658</v>
      </c>
      <c r="J97" s="38" t="s">
        <v>151</v>
      </c>
    </row>
    <row r="98" spans="1:10">
      <c r="A98" s="302" t="str">
        <f t="shared" si="1"/>
        <v>Bench</v>
      </c>
      <c r="B98" s="6" t="s">
        <v>1663</v>
      </c>
      <c r="C98" s="17" t="s">
        <v>1663</v>
      </c>
      <c r="D98" s="10" t="s">
        <v>1664</v>
      </c>
      <c r="E98" s="10" t="s">
        <v>1665</v>
      </c>
      <c r="F98" s="55"/>
      <c r="G98" s="25">
        <v>100067</v>
      </c>
      <c r="H98" s="300" t="str">
        <f>CONCATENATE([1]Cover!$D$6,"fdd/view?i=",G98)</f>
        <v>https://www.dgiwg.org/FAD/fdd/view?i=100067</v>
      </c>
      <c r="I98" s="8" t="s">
        <v>1662</v>
      </c>
      <c r="J98" s="38" t="s">
        <v>151</v>
      </c>
    </row>
    <row r="99" spans="1:10">
      <c r="A99" s="302" t="str">
        <f t="shared" si="1"/>
        <v>Berth</v>
      </c>
      <c r="B99" s="6" t="s">
        <v>1667</v>
      </c>
      <c r="C99" s="17" t="s">
        <v>1667</v>
      </c>
      <c r="D99" s="10" t="s">
        <v>1668</v>
      </c>
      <c r="E99" s="55"/>
      <c r="F99" s="55"/>
      <c r="G99" s="25">
        <v>103044</v>
      </c>
      <c r="H99" s="300" t="str">
        <f>CONCATENATE([1]Cover!$D$6,"fdd/view?i=",G99)</f>
        <v>https://www.dgiwg.org/FAD/fdd/view?i=103044</v>
      </c>
      <c r="I99" s="8" t="s">
        <v>1666</v>
      </c>
      <c r="J99" s="38" t="s">
        <v>151</v>
      </c>
    </row>
    <row r="100" spans="1:10" ht="25.5">
      <c r="A100" s="302" t="str">
        <f t="shared" si="1"/>
        <v>Billboard</v>
      </c>
      <c r="B100" s="6" t="s">
        <v>1670</v>
      </c>
      <c r="C100" s="17" t="s">
        <v>1670</v>
      </c>
      <c r="D100" s="10" t="s">
        <v>1671</v>
      </c>
      <c r="E100" s="10" t="s">
        <v>1672</v>
      </c>
      <c r="F100" s="55"/>
      <c r="G100" s="25">
        <v>114173</v>
      </c>
      <c r="H100" s="300" t="str">
        <f>CONCATENATE([1]Cover!$D$6,"fdd/view?i=",G100)</f>
        <v>https://www.dgiwg.org/FAD/fdd/view?i=114173</v>
      </c>
      <c r="I100" s="8" t="s">
        <v>1669</v>
      </c>
      <c r="J100" s="38" t="s">
        <v>151</v>
      </c>
    </row>
    <row r="101" spans="1:10">
      <c r="A101" s="302" t="str">
        <f t="shared" si="1"/>
        <v>BlastBarrier</v>
      </c>
      <c r="B101" s="6" t="s">
        <v>1674</v>
      </c>
      <c r="C101" s="17" t="s">
        <v>1675</v>
      </c>
      <c r="D101" s="10" t="s">
        <v>1676</v>
      </c>
      <c r="E101" s="55"/>
      <c r="F101" s="10" t="s">
        <v>1677</v>
      </c>
      <c r="G101" s="25">
        <v>114631</v>
      </c>
      <c r="H101" s="300" t="str">
        <f>CONCATENATE([1]Cover!$D$6,"fdd/view?i=",G101)</f>
        <v>https://www.dgiwg.org/FAD/fdd/view?i=114631</v>
      </c>
      <c r="I101" s="8" t="s">
        <v>1673</v>
      </c>
      <c r="J101" s="38" t="s">
        <v>151</v>
      </c>
    </row>
    <row r="102" spans="1:10" ht="25.5">
      <c r="A102" s="302" t="str">
        <f t="shared" si="1"/>
        <v>BlastFurnace</v>
      </c>
      <c r="B102" s="6" t="s">
        <v>1679</v>
      </c>
      <c r="C102" s="17" t="s">
        <v>1680</v>
      </c>
      <c r="D102" s="10" t="s">
        <v>1681</v>
      </c>
      <c r="E102" s="55"/>
      <c r="F102" s="55"/>
      <c r="G102" s="25">
        <v>100016</v>
      </c>
      <c r="H102" s="300" t="str">
        <f>CONCATENATE([1]Cover!$D$6,"fdd/view?i=",G102)</f>
        <v>https://www.dgiwg.org/FAD/fdd/view?i=100016</v>
      </c>
      <c r="I102" s="8" t="s">
        <v>1678</v>
      </c>
      <c r="J102" s="38" t="s">
        <v>151</v>
      </c>
    </row>
    <row r="103" spans="1:10" ht="25.5">
      <c r="A103" s="302" t="str">
        <f t="shared" si="1"/>
        <v>BoatLanding</v>
      </c>
      <c r="B103" s="6" t="s">
        <v>1683</v>
      </c>
      <c r="C103" s="17" t="s">
        <v>1684</v>
      </c>
      <c r="D103" s="10" t="s">
        <v>1685</v>
      </c>
      <c r="E103" s="55"/>
      <c r="F103" s="55"/>
      <c r="G103" s="25">
        <v>111438</v>
      </c>
      <c r="H103" s="300" t="str">
        <f>CONCATENATE([1]Cover!$D$6,"fdd/view?i=",G103)</f>
        <v>https://www.dgiwg.org/FAD/fdd/view?i=111438</v>
      </c>
      <c r="I103" s="8" t="s">
        <v>1682</v>
      </c>
      <c r="J103" s="38" t="s">
        <v>151</v>
      </c>
    </row>
    <row r="104" spans="1:10" ht="25.5">
      <c r="A104" s="302" t="str">
        <f t="shared" si="1"/>
        <v>Bog</v>
      </c>
      <c r="B104" s="6" t="s">
        <v>1687</v>
      </c>
      <c r="C104" s="17" t="s">
        <v>1687</v>
      </c>
      <c r="D104" s="10" t="s">
        <v>1688</v>
      </c>
      <c r="E104" s="10" t="s">
        <v>1689</v>
      </c>
      <c r="F104" s="55"/>
      <c r="G104" s="25">
        <v>100332</v>
      </c>
      <c r="H104" s="300" t="str">
        <f>CONCATENATE([1]Cover!$D$6,"fdd/view?i=",G104)</f>
        <v>https://www.dgiwg.org/FAD/fdd/view?i=100332</v>
      </c>
      <c r="I104" s="8" t="s">
        <v>1686</v>
      </c>
      <c r="J104" s="38" t="s">
        <v>151</v>
      </c>
    </row>
    <row r="105" spans="1:10" ht="89.25">
      <c r="A105" s="302" t="str">
        <f t="shared" si="1"/>
        <v>Bollard</v>
      </c>
      <c r="B105" s="6" t="s">
        <v>1691</v>
      </c>
      <c r="C105" s="17" t="s">
        <v>1691</v>
      </c>
      <c r="D105" s="10" t="s">
        <v>1692</v>
      </c>
      <c r="E105" s="10" t="s">
        <v>1693</v>
      </c>
      <c r="F105" s="55"/>
      <c r="G105" s="25">
        <v>100226</v>
      </c>
      <c r="H105" s="300" t="str">
        <f>CONCATENATE([1]Cover!$D$6,"fdd/view?i=",G105)</f>
        <v>https://www.dgiwg.org/FAD/fdd/view?i=100226</v>
      </c>
      <c r="I105" s="8" t="s">
        <v>1690</v>
      </c>
      <c r="J105" s="38" t="s">
        <v>151</v>
      </c>
    </row>
    <row r="106" spans="1:10" ht="51">
      <c r="A106" s="302" t="str">
        <f t="shared" si="1"/>
        <v>BoomingGround</v>
      </c>
      <c r="B106" s="6" t="s">
        <v>1695</v>
      </c>
      <c r="C106" s="17" t="s">
        <v>1696</v>
      </c>
      <c r="D106" s="10" t="s">
        <v>1697</v>
      </c>
      <c r="E106" s="10" t="s">
        <v>1698</v>
      </c>
      <c r="F106" s="55"/>
      <c r="G106" s="25">
        <v>101327</v>
      </c>
      <c r="H106" s="300" t="str">
        <f>CONCATENATE([1]Cover!$D$6,"fdd/view?i=",G106)</f>
        <v>https://www.dgiwg.org/FAD/fdd/view?i=101327</v>
      </c>
      <c r="I106" s="8" t="s">
        <v>1694</v>
      </c>
      <c r="J106" s="38" t="s">
        <v>151</v>
      </c>
    </row>
    <row r="107" spans="1:10" ht="63.75">
      <c r="A107" s="302" t="str">
        <f t="shared" si="1"/>
        <v>BorderCrossing</v>
      </c>
      <c r="B107" s="6" t="s">
        <v>1700</v>
      </c>
      <c r="C107" s="17" t="s">
        <v>1701</v>
      </c>
      <c r="D107" s="10" t="s">
        <v>1702</v>
      </c>
      <c r="E107" s="55"/>
      <c r="F107" s="55"/>
      <c r="G107" s="25">
        <v>118444</v>
      </c>
      <c r="H107" s="300" t="str">
        <f>CONCATENATE([1]Cover!$D$6,"fdd/view?i=",G107)</f>
        <v>https://www.dgiwg.org/FAD/fdd/view?i=118444</v>
      </c>
      <c r="I107" s="8" t="s">
        <v>1699</v>
      </c>
      <c r="J107" s="38" t="s">
        <v>151</v>
      </c>
    </row>
    <row r="108" spans="1:10" ht="38.25">
      <c r="A108" s="302" t="str">
        <f t="shared" si="1"/>
        <v>Borehole</v>
      </c>
      <c r="B108" s="6" t="s">
        <v>1704</v>
      </c>
      <c r="C108" s="17" t="s">
        <v>1704</v>
      </c>
      <c r="D108" s="10" t="s">
        <v>1705</v>
      </c>
      <c r="E108" s="10" t="s">
        <v>1706</v>
      </c>
      <c r="F108" s="55"/>
      <c r="G108" s="25">
        <v>114169</v>
      </c>
      <c r="H108" s="300" t="str">
        <f>CONCATENATE([1]Cover!$D$6,"fdd/view?i=",G108)</f>
        <v>https://www.dgiwg.org/FAD/fdd/view?i=114169</v>
      </c>
      <c r="I108" s="8" t="s">
        <v>1703</v>
      </c>
      <c r="J108" s="38" t="s">
        <v>151</v>
      </c>
    </row>
    <row r="109" spans="1:10">
      <c r="A109" s="302" t="str">
        <f t="shared" si="1"/>
        <v>BotanicGarden</v>
      </c>
      <c r="B109" s="6" t="s">
        <v>1708</v>
      </c>
      <c r="C109" s="17" t="s">
        <v>1709</v>
      </c>
      <c r="D109" s="10" t="s">
        <v>1710</v>
      </c>
      <c r="E109" s="55"/>
      <c r="F109" s="55"/>
      <c r="G109" s="25">
        <v>100435</v>
      </c>
      <c r="H109" s="300" t="str">
        <f>CONCATENATE([1]Cover!$D$6,"fdd/view?i=",G109)</f>
        <v>https://www.dgiwg.org/FAD/fdd/view?i=100435</v>
      </c>
      <c r="I109" s="8" t="s">
        <v>1707</v>
      </c>
      <c r="J109" s="38" t="s">
        <v>151</v>
      </c>
    </row>
    <row r="110" spans="1:10" ht="25.5">
      <c r="A110" s="302" t="str">
        <f t="shared" si="1"/>
        <v>BottomCharacterRegion</v>
      </c>
      <c r="B110" s="6" t="s">
        <v>1712</v>
      </c>
      <c r="C110" s="17" t="s">
        <v>1713</v>
      </c>
      <c r="D110" s="10" t="s">
        <v>1714</v>
      </c>
      <c r="E110" s="55"/>
      <c r="F110" s="10" t="s">
        <v>1715</v>
      </c>
      <c r="G110" s="25">
        <v>100321</v>
      </c>
      <c r="H110" s="300" t="str">
        <f>CONCATENATE([1]Cover!$D$6,"fdd/view?i=",G110)</f>
        <v>https://www.dgiwg.org/FAD/fdd/view?i=100321</v>
      </c>
      <c r="I110" s="8" t="s">
        <v>1711</v>
      </c>
      <c r="J110" s="38" t="s">
        <v>151</v>
      </c>
    </row>
    <row r="111" spans="1:10">
      <c r="A111" s="302" t="str">
        <f t="shared" si="1"/>
        <v>BoundaryMonument</v>
      </c>
      <c r="B111" s="6" t="s">
        <v>1717</v>
      </c>
      <c r="C111" s="17" t="s">
        <v>1718</v>
      </c>
      <c r="D111" s="10" t="s">
        <v>1719</v>
      </c>
      <c r="E111" s="55"/>
      <c r="F111" s="10" t="s">
        <v>1720</v>
      </c>
      <c r="G111" s="25">
        <v>100563</v>
      </c>
      <c r="H111" s="300" t="str">
        <f>CONCATENATE([1]Cover!$D$6,"fdd/view?i=",G111)</f>
        <v>https://www.dgiwg.org/FAD/fdd/view?i=100563</v>
      </c>
      <c r="I111" s="8" t="s">
        <v>1716</v>
      </c>
      <c r="J111" s="38" t="s">
        <v>151</v>
      </c>
    </row>
    <row r="112" spans="1:10" ht="63.75">
      <c r="A112" s="302" t="str">
        <f t="shared" si="1"/>
        <v>Bridge</v>
      </c>
      <c r="B112" s="6" t="s">
        <v>1722</v>
      </c>
      <c r="C112" s="17" t="s">
        <v>1722</v>
      </c>
      <c r="D112" s="10" t="s">
        <v>1723</v>
      </c>
      <c r="E112" s="10" t="s">
        <v>1724</v>
      </c>
      <c r="F112" s="55"/>
      <c r="G112" s="25">
        <v>100156</v>
      </c>
      <c r="H112" s="300" t="str">
        <f>CONCATENATE([1]Cover!$D$6,"fdd/view?i=",G112)</f>
        <v>https://www.dgiwg.org/FAD/fdd/view?i=100156</v>
      </c>
      <c r="I112" s="8" t="s">
        <v>1721</v>
      </c>
      <c r="J112" s="38" t="s">
        <v>151</v>
      </c>
    </row>
    <row r="113" spans="1:10">
      <c r="A113" s="302" t="str">
        <f t="shared" si="1"/>
        <v>BridgePier</v>
      </c>
      <c r="B113" s="6" t="s">
        <v>1726</v>
      </c>
      <c r="C113" s="17" t="s">
        <v>1727</v>
      </c>
      <c r="D113" s="10" t="s">
        <v>1728</v>
      </c>
      <c r="E113" s="55"/>
      <c r="F113" s="55"/>
      <c r="G113" s="25">
        <v>100160</v>
      </c>
      <c r="H113" s="300" t="str">
        <f>CONCATENATE([1]Cover!$D$6,"fdd/view?i=",G113)</f>
        <v>https://www.dgiwg.org/FAD/fdd/view?i=100160</v>
      </c>
      <c r="I113" s="8" t="s">
        <v>1725</v>
      </c>
      <c r="J113" s="38" t="s">
        <v>151</v>
      </c>
    </row>
    <row r="114" spans="1:10">
      <c r="A114" s="302" t="str">
        <f t="shared" si="1"/>
        <v>BridgeSpan</v>
      </c>
      <c r="B114" s="6" t="s">
        <v>1730</v>
      </c>
      <c r="C114" s="17" t="s">
        <v>1731</v>
      </c>
      <c r="D114" s="10" t="s">
        <v>1732</v>
      </c>
      <c r="E114" s="55"/>
      <c r="F114" s="55"/>
      <c r="G114" s="25">
        <v>100157</v>
      </c>
      <c r="H114" s="300" t="str">
        <f>CONCATENATE([1]Cover!$D$6,"fdd/view?i=",G114)</f>
        <v>https://www.dgiwg.org/FAD/fdd/view?i=100157</v>
      </c>
      <c r="I114" s="8" t="s">
        <v>1729</v>
      </c>
      <c r="J114" s="38" t="s">
        <v>151</v>
      </c>
    </row>
    <row r="115" spans="1:10" ht="25.5">
      <c r="A115" s="302" t="str">
        <f t="shared" si="1"/>
        <v>BridgeSuperstructure</v>
      </c>
      <c r="B115" s="6" t="s">
        <v>1734</v>
      </c>
      <c r="C115" s="17" t="s">
        <v>1735</v>
      </c>
      <c r="D115" s="10" t="s">
        <v>1736</v>
      </c>
      <c r="E115" s="55"/>
      <c r="F115" s="55"/>
      <c r="G115" s="25">
        <v>100158</v>
      </c>
      <c r="H115" s="300" t="str">
        <f>CONCATENATE([1]Cover!$D$6,"fdd/view?i=",G115)</f>
        <v>https://www.dgiwg.org/FAD/fdd/view?i=100158</v>
      </c>
      <c r="I115" s="8" t="s">
        <v>1733</v>
      </c>
      <c r="J115" s="38" t="s">
        <v>151</v>
      </c>
    </row>
    <row r="116" spans="1:10">
      <c r="A116" s="302" t="str">
        <f t="shared" si="1"/>
        <v>BridgeTower</v>
      </c>
      <c r="B116" s="6" t="s">
        <v>1738</v>
      </c>
      <c r="C116" s="17" t="s">
        <v>1739</v>
      </c>
      <c r="D116" s="10" t="s">
        <v>1740</v>
      </c>
      <c r="E116" s="55"/>
      <c r="F116" s="55"/>
      <c r="G116" s="25">
        <v>100159</v>
      </c>
      <c r="H116" s="300" t="str">
        <f>CONCATENATE([1]Cover!$D$6,"fdd/view?i=",G116)</f>
        <v>https://www.dgiwg.org/FAD/fdd/view?i=100159</v>
      </c>
      <c r="I116" s="8" t="s">
        <v>1737</v>
      </c>
      <c r="J116" s="38" t="s">
        <v>151</v>
      </c>
    </row>
    <row r="117" spans="1:10" ht="25.5">
      <c r="A117" s="302" t="str">
        <f t="shared" si="1"/>
        <v>Brush</v>
      </c>
      <c r="B117" s="6" t="s">
        <v>1742</v>
      </c>
      <c r="C117" s="17" t="s">
        <v>1742</v>
      </c>
      <c r="D117" s="10" t="s">
        <v>1743</v>
      </c>
      <c r="E117" s="10" t="s">
        <v>1744</v>
      </c>
      <c r="F117" s="55"/>
      <c r="G117" s="25">
        <v>110673</v>
      </c>
      <c r="H117" s="300" t="str">
        <f>CONCATENATE([1]Cover!$D$6,"fdd/view?i=",G117)</f>
        <v>https://www.dgiwg.org/FAD/fdd/view?i=110673</v>
      </c>
      <c r="I117" s="8" t="s">
        <v>1741</v>
      </c>
      <c r="J117" s="38" t="s">
        <v>151</v>
      </c>
    </row>
    <row r="118" spans="1:10" ht="25.5">
      <c r="A118" s="302" t="str">
        <f t="shared" si="1"/>
        <v>BucketElevator</v>
      </c>
      <c r="B118" s="6" t="s">
        <v>1746</v>
      </c>
      <c r="C118" s="17" t="s">
        <v>1747</v>
      </c>
      <c r="D118" s="10" t="s">
        <v>1748</v>
      </c>
      <c r="E118" s="55"/>
      <c r="F118" s="55"/>
      <c r="G118" s="25">
        <v>100030</v>
      </c>
      <c r="H118" s="300" t="str">
        <f>CONCATENATE([1]Cover!$D$6,"fdd/view?i=",G118)</f>
        <v>https://www.dgiwg.org/FAD/fdd/view?i=100030</v>
      </c>
      <c r="I118" s="8" t="s">
        <v>1745</v>
      </c>
      <c r="J118" s="38" t="s">
        <v>151</v>
      </c>
    </row>
    <row r="119" spans="1:10" ht="38.25">
      <c r="A119" s="302" t="str">
        <f t="shared" si="1"/>
        <v>Building</v>
      </c>
      <c r="B119" s="6" t="s">
        <v>1750</v>
      </c>
      <c r="C119" s="17" t="s">
        <v>1750</v>
      </c>
      <c r="D119" s="10" t="s">
        <v>1751</v>
      </c>
      <c r="E119" s="10" t="s">
        <v>1752</v>
      </c>
      <c r="F119" s="55"/>
      <c r="G119" s="25">
        <v>111415</v>
      </c>
      <c r="H119" s="300" t="str">
        <f>CONCATENATE([1]Cover!$D$6,"fdd/view?i=",G119)</f>
        <v>https://www.dgiwg.org/FAD/fdd/view?i=111415</v>
      </c>
      <c r="I119" s="8" t="s">
        <v>1749</v>
      </c>
      <c r="J119" s="38" t="s">
        <v>151</v>
      </c>
    </row>
    <row r="120" spans="1:10" ht="25.5">
      <c r="A120" s="302" t="str">
        <f t="shared" si="1"/>
        <v>BuildingOverhang</v>
      </c>
      <c r="B120" s="6" t="s">
        <v>1754</v>
      </c>
      <c r="C120" s="17" t="s">
        <v>1755</v>
      </c>
      <c r="D120" s="10" t="s">
        <v>1756</v>
      </c>
      <c r="E120" s="55"/>
      <c r="F120" s="55"/>
      <c r="G120" s="25">
        <v>100081</v>
      </c>
      <c r="H120" s="300" t="str">
        <f>CONCATENATE([1]Cover!$D$6,"fdd/view?i=",G120)</f>
        <v>https://www.dgiwg.org/FAD/fdd/view?i=100081</v>
      </c>
      <c r="I120" s="8" t="s">
        <v>1753</v>
      </c>
      <c r="J120" s="38" t="s">
        <v>151</v>
      </c>
    </row>
    <row r="121" spans="1:10" ht="25.5">
      <c r="A121" s="302" t="str">
        <f t="shared" si="1"/>
        <v>BuildingSuperstructure</v>
      </c>
      <c r="B121" s="6" t="s">
        <v>1758</v>
      </c>
      <c r="C121" s="17" t="s">
        <v>1759</v>
      </c>
      <c r="D121" s="10" t="s">
        <v>1760</v>
      </c>
      <c r="E121" s="55"/>
      <c r="F121" s="55"/>
      <c r="G121" s="25">
        <v>100083</v>
      </c>
      <c r="H121" s="300" t="str">
        <f>CONCATENATE([1]Cover!$D$6,"fdd/view?i=",G121)</f>
        <v>https://www.dgiwg.org/FAD/fdd/view?i=100083</v>
      </c>
      <c r="I121" s="8" t="s">
        <v>1757</v>
      </c>
      <c r="J121" s="38" t="s">
        <v>151</v>
      </c>
    </row>
    <row r="122" spans="1:10">
      <c r="A122" s="302" t="str">
        <f t="shared" si="1"/>
        <v>BuiltUpArea</v>
      </c>
      <c r="B122" s="6" t="s">
        <v>1762</v>
      </c>
      <c r="C122" s="17" t="s">
        <v>1763</v>
      </c>
      <c r="D122" s="10" t="s">
        <v>1764</v>
      </c>
      <c r="E122" s="55"/>
      <c r="F122" s="55"/>
      <c r="G122" s="25">
        <v>100085</v>
      </c>
      <c r="H122" s="300" t="str">
        <f>CONCATENATE([1]Cover!$D$6,"fdd/view?i=",G122)</f>
        <v>https://www.dgiwg.org/FAD/fdd/view?i=100085</v>
      </c>
      <c r="I122" s="8" t="s">
        <v>1761</v>
      </c>
      <c r="J122" s="38" t="s">
        <v>151</v>
      </c>
    </row>
    <row r="123" spans="1:10" ht="25.5">
      <c r="A123" s="302" t="str">
        <f t="shared" si="1"/>
        <v>Buoy</v>
      </c>
      <c r="B123" s="6" t="s">
        <v>1766</v>
      </c>
      <c r="C123" s="17" t="s">
        <v>1766</v>
      </c>
      <c r="D123" s="10" t="s">
        <v>1767</v>
      </c>
      <c r="E123" s="55"/>
      <c r="F123" s="55"/>
      <c r="G123" s="25">
        <v>100262</v>
      </c>
      <c r="H123" s="300" t="str">
        <f>CONCATENATE([1]Cover!$D$6,"fdd/view?i=",G123)</f>
        <v>https://www.dgiwg.org/FAD/fdd/view?i=100262</v>
      </c>
      <c r="I123" s="8" t="s">
        <v>1765</v>
      </c>
      <c r="J123" s="38" t="s">
        <v>151</v>
      </c>
    </row>
    <row r="124" spans="1:10" ht="25.5">
      <c r="A124" s="302" t="str">
        <f t="shared" si="1"/>
        <v>BuriedUtility</v>
      </c>
      <c r="B124" s="6" t="s">
        <v>1769</v>
      </c>
      <c r="C124" s="17" t="s">
        <v>1770</v>
      </c>
      <c r="D124" s="10" t="s">
        <v>1771</v>
      </c>
      <c r="E124" s="10" t="s">
        <v>1772</v>
      </c>
      <c r="F124" s="55"/>
      <c r="G124" s="25">
        <v>114372</v>
      </c>
      <c r="H124" s="300" t="str">
        <f>CONCATENATE([1]Cover!$D$6,"fdd/view?i=",G124)</f>
        <v>https://www.dgiwg.org/FAD/fdd/view?i=114372</v>
      </c>
      <c r="I124" s="8" t="s">
        <v>1768</v>
      </c>
      <c r="J124" s="38" t="s">
        <v>151</v>
      </c>
    </row>
    <row r="125" spans="1:10" ht="63.75">
      <c r="A125" s="302" t="str">
        <f t="shared" si="1"/>
        <v>Cable</v>
      </c>
      <c r="B125" s="6" t="s">
        <v>1774</v>
      </c>
      <c r="C125" s="17" t="s">
        <v>1774</v>
      </c>
      <c r="D125" s="10" t="s">
        <v>1775</v>
      </c>
      <c r="E125" s="10" t="s">
        <v>1776</v>
      </c>
      <c r="F125" s="55"/>
      <c r="G125" s="25">
        <v>102875</v>
      </c>
      <c r="H125" s="300" t="str">
        <f>CONCATENATE([1]Cover!$D$6,"fdd/view?i=",G125)</f>
        <v>https://www.dgiwg.org/FAD/fdd/view?i=102875</v>
      </c>
      <c r="I125" s="8" t="s">
        <v>1773</v>
      </c>
      <c r="J125" s="38" t="s">
        <v>151</v>
      </c>
    </row>
    <row r="126" spans="1:10" ht="51">
      <c r="A126" s="302" t="str">
        <f t="shared" si="1"/>
        <v>Cableway</v>
      </c>
      <c r="B126" s="6" t="s">
        <v>1778</v>
      </c>
      <c r="C126" s="17" t="s">
        <v>1778</v>
      </c>
      <c r="D126" s="10" t="s">
        <v>1779</v>
      </c>
      <c r="E126" s="10" t="s">
        <v>1780</v>
      </c>
      <c r="F126" s="55"/>
      <c r="G126" s="25">
        <v>100198</v>
      </c>
      <c r="H126" s="300" t="str">
        <f>CONCATENATE([1]Cover!$D$6,"fdd/view?i=",G126)</f>
        <v>https://www.dgiwg.org/FAD/fdd/view?i=100198</v>
      </c>
      <c r="I126" s="8" t="s">
        <v>1777</v>
      </c>
      <c r="J126" s="38" t="s">
        <v>151</v>
      </c>
    </row>
    <row r="127" spans="1:10">
      <c r="A127" s="302" t="str">
        <f t="shared" si="1"/>
        <v>Cairn</v>
      </c>
      <c r="B127" s="6" t="s">
        <v>1782</v>
      </c>
      <c r="C127" s="17" t="s">
        <v>1782</v>
      </c>
      <c r="D127" s="10" t="s">
        <v>1783</v>
      </c>
      <c r="E127" s="55"/>
      <c r="F127" s="55"/>
      <c r="G127" s="25">
        <v>100087</v>
      </c>
      <c r="H127" s="300" t="str">
        <f>CONCATENATE([1]Cover!$D$6,"fdd/view?i=",G127)</f>
        <v>https://www.dgiwg.org/FAD/fdd/view?i=100087</v>
      </c>
      <c r="I127" s="8" t="s">
        <v>1781</v>
      </c>
      <c r="J127" s="38" t="s">
        <v>151</v>
      </c>
    </row>
    <row r="128" spans="1:10" ht="25.5">
      <c r="A128" s="302" t="str">
        <f t="shared" si="1"/>
        <v>CallingInPoint</v>
      </c>
      <c r="B128" s="6" t="s">
        <v>1785</v>
      </c>
      <c r="C128" s="17" t="s">
        <v>1786</v>
      </c>
      <c r="D128" s="10" t="s">
        <v>1787</v>
      </c>
      <c r="E128" s="10" t="s">
        <v>1788</v>
      </c>
      <c r="F128" s="55"/>
      <c r="G128" s="25">
        <v>100231</v>
      </c>
      <c r="H128" s="300" t="str">
        <f>CONCATENATE([1]Cover!$D$6,"fdd/view?i=",G128)</f>
        <v>https://www.dgiwg.org/FAD/fdd/view?i=100231</v>
      </c>
      <c r="I128" s="8" t="s">
        <v>1784</v>
      </c>
      <c r="J128" s="38" t="s">
        <v>151</v>
      </c>
    </row>
    <row r="129" spans="1:10" ht="38.25">
      <c r="A129" s="302" t="str">
        <f t="shared" si="1"/>
        <v>Camp</v>
      </c>
      <c r="B129" s="6" t="s">
        <v>1790</v>
      </c>
      <c r="C129" s="17" t="s">
        <v>1790</v>
      </c>
      <c r="D129" s="10" t="s">
        <v>1791</v>
      </c>
      <c r="E129" s="55"/>
      <c r="F129" s="55"/>
      <c r="G129" s="25">
        <v>100044</v>
      </c>
      <c r="H129" s="300" t="str">
        <f>CONCATENATE([1]Cover!$D$6,"fdd/view?i=",G129)</f>
        <v>https://www.dgiwg.org/FAD/fdd/view?i=100044</v>
      </c>
      <c r="I129" s="8" t="s">
        <v>1789</v>
      </c>
      <c r="J129" s="38" t="s">
        <v>151</v>
      </c>
    </row>
    <row r="130" spans="1:10">
      <c r="A130" s="302" t="str">
        <f t="shared" si="1"/>
        <v>CampSite</v>
      </c>
      <c r="B130" s="6" t="s">
        <v>1793</v>
      </c>
      <c r="C130" s="17" t="s">
        <v>1794</v>
      </c>
      <c r="D130" s="10" t="s">
        <v>1795</v>
      </c>
      <c r="E130" s="55"/>
      <c r="F130" s="10" t="s">
        <v>1796</v>
      </c>
      <c r="G130" s="25">
        <v>100055</v>
      </c>
      <c r="H130" s="300" t="str">
        <f>CONCATENATE([1]Cover!$D$6,"fdd/view?i=",G130)</f>
        <v>https://www.dgiwg.org/FAD/fdd/view?i=100055</v>
      </c>
      <c r="I130" s="8" t="s">
        <v>1792</v>
      </c>
      <c r="J130" s="38" t="s">
        <v>151</v>
      </c>
    </row>
    <row r="131" spans="1:10" ht="25.5">
      <c r="A131" s="302" t="str">
        <f t="shared" ref="A131:A194" si="2">HYPERLINK(H131,B131)</f>
        <v>Canal</v>
      </c>
      <c r="B131" s="6" t="s">
        <v>1798</v>
      </c>
      <c r="C131" s="17" t="s">
        <v>1798</v>
      </c>
      <c r="D131" s="10" t="s">
        <v>1799</v>
      </c>
      <c r="E131" s="55"/>
      <c r="F131" s="55"/>
      <c r="G131" s="25">
        <v>100333</v>
      </c>
      <c r="H131" s="300" t="str">
        <f>CONCATENATE([1]Cover!$D$6,"fdd/view?i=",G131)</f>
        <v>https://www.dgiwg.org/FAD/fdd/view?i=100333</v>
      </c>
      <c r="I131" s="8" t="s">
        <v>1797</v>
      </c>
      <c r="J131" s="38" t="s">
        <v>151</v>
      </c>
    </row>
    <row r="132" spans="1:10">
      <c r="A132" s="302" t="str">
        <f t="shared" si="2"/>
        <v>Cane</v>
      </c>
      <c r="B132" s="6" t="s">
        <v>1801</v>
      </c>
      <c r="C132" s="17" t="s">
        <v>1801</v>
      </c>
      <c r="D132" s="10" t="s">
        <v>1802</v>
      </c>
      <c r="E132" s="10" t="s">
        <v>1803</v>
      </c>
      <c r="F132" s="55"/>
      <c r="G132" s="25">
        <v>100443</v>
      </c>
      <c r="H132" s="300" t="str">
        <f>CONCATENATE([1]Cover!$D$6,"fdd/view?i=",G132)</f>
        <v>https://www.dgiwg.org/FAD/fdd/view?i=100443</v>
      </c>
      <c r="I132" s="8" t="s">
        <v>1800</v>
      </c>
      <c r="J132" s="38" t="s">
        <v>151</v>
      </c>
    </row>
    <row r="133" spans="1:10" ht="38.25">
      <c r="A133" s="302" t="str">
        <f t="shared" si="2"/>
        <v>CantonmentArea</v>
      </c>
      <c r="B133" s="6" t="s">
        <v>1805</v>
      </c>
      <c r="C133" s="17" t="s">
        <v>1806</v>
      </c>
      <c r="D133" s="10" t="s">
        <v>1807</v>
      </c>
      <c r="E133" s="10" t="s">
        <v>1808</v>
      </c>
      <c r="F133" s="55"/>
      <c r="G133" s="25">
        <v>119396</v>
      </c>
      <c r="H133" s="300" t="str">
        <f>CONCATENATE([1]Cover!$D$6,"fdd/view?i=",G133)</f>
        <v>https://www.dgiwg.org/FAD/fdd/view?i=119396</v>
      </c>
      <c r="I133" s="8" t="s">
        <v>1804</v>
      </c>
      <c r="J133" s="38" t="s">
        <v>151</v>
      </c>
    </row>
    <row r="134" spans="1:10" ht="63.75">
      <c r="A134" s="302" t="str">
        <f t="shared" si="2"/>
        <v>CaravanPark</v>
      </c>
      <c r="B134" s="6" t="s">
        <v>1810</v>
      </c>
      <c r="C134" s="17" t="s">
        <v>1811</v>
      </c>
      <c r="D134" s="10" t="s">
        <v>1812</v>
      </c>
      <c r="E134" s="10" t="s">
        <v>1813</v>
      </c>
      <c r="F134" s="10" t="s">
        <v>1814</v>
      </c>
      <c r="G134" s="25">
        <v>100043</v>
      </c>
      <c r="H134" s="300" t="str">
        <f>CONCATENATE([1]Cover!$D$6,"fdd/view?i=",G134)</f>
        <v>https://www.dgiwg.org/FAD/fdd/view?i=100043</v>
      </c>
      <c r="I134" s="8" t="s">
        <v>1809</v>
      </c>
      <c r="J134" s="38" t="s">
        <v>151</v>
      </c>
    </row>
    <row r="135" spans="1:10" ht="25.5">
      <c r="A135" s="302" t="str">
        <f t="shared" si="2"/>
        <v>CartTrack</v>
      </c>
      <c r="B135" s="6" t="s">
        <v>1816</v>
      </c>
      <c r="C135" s="17" t="s">
        <v>1817</v>
      </c>
      <c r="D135" s="10" t="s">
        <v>1818</v>
      </c>
      <c r="E135" s="10" t="s">
        <v>1819</v>
      </c>
      <c r="F135" s="55"/>
      <c r="G135" s="25">
        <v>100141</v>
      </c>
      <c r="H135" s="300" t="str">
        <f>CONCATENATE([1]Cover!$D$6,"fdd/view?i=",G135)</f>
        <v>https://www.dgiwg.org/FAD/fdd/view?i=100141</v>
      </c>
      <c r="I135" s="8" t="s">
        <v>1815</v>
      </c>
      <c r="J135" s="38" t="s">
        <v>151</v>
      </c>
    </row>
    <row r="136" spans="1:10" ht="114.75">
      <c r="A136" s="302" t="str">
        <f t="shared" si="2"/>
        <v>Castle</v>
      </c>
      <c r="B136" s="6" t="s">
        <v>1821</v>
      </c>
      <c r="C136" s="17" t="s">
        <v>1821</v>
      </c>
      <c r="D136" s="10" t="s">
        <v>1822</v>
      </c>
      <c r="E136" s="10" t="s">
        <v>1823</v>
      </c>
      <c r="F136" s="55"/>
      <c r="G136" s="25">
        <v>111424</v>
      </c>
      <c r="H136" s="300" t="str">
        <f>CONCATENATE([1]Cover!$D$6,"fdd/view?i=",G136)</f>
        <v>https://www.dgiwg.org/FAD/fdd/view?i=111424</v>
      </c>
      <c r="I136" s="8" t="s">
        <v>1820</v>
      </c>
      <c r="J136" s="38" t="s">
        <v>151</v>
      </c>
    </row>
    <row r="137" spans="1:10" ht="89.25">
      <c r="A137" s="302" t="str">
        <f t="shared" si="2"/>
        <v>CastleComplex</v>
      </c>
      <c r="B137" s="6" t="s">
        <v>1825</v>
      </c>
      <c r="C137" s="17" t="s">
        <v>1826</v>
      </c>
      <c r="D137" s="10" t="s">
        <v>1827</v>
      </c>
      <c r="E137" s="10" t="s">
        <v>1828</v>
      </c>
      <c r="F137" s="55"/>
      <c r="G137" s="25">
        <v>117990</v>
      </c>
      <c r="H137" s="300" t="str">
        <f>CONCATENATE([1]Cover!$D$6,"fdd/view?i=",G137)</f>
        <v>https://www.dgiwg.org/FAD/fdd/view?i=117990</v>
      </c>
      <c r="I137" s="8" t="s">
        <v>1824</v>
      </c>
      <c r="J137" s="38" t="s">
        <v>151</v>
      </c>
    </row>
    <row r="138" spans="1:10" ht="25.5">
      <c r="A138" s="302" t="str">
        <f t="shared" si="2"/>
        <v>CatalyticCracker</v>
      </c>
      <c r="B138" s="6" t="s">
        <v>1830</v>
      </c>
      <c r="C138" s="17" t="s">
        <v>1831</v>
      </c>
      <c r="D138" s="10" t="s">
        <v>1832</v>
      </c>
      <c r="E138" s="55"/>
      <c r="F138" s="55"/>
      <c r="G138" s="25">
        <v>100017</v>
      </c>
      <c r="H138" s="300" t="str">
        <f>CONCATENATE([1]Cover!$D$6,"fdd/view?i=",G138)</f>
        <v>https://www.dgiwg.org/FAD/fdd/view?i=100017</v>
      </c>
      <c r="I138" s="8" t="s">
        <v>1829</v>
      </c>
      <c r="J138" s="38" t="s">
        <v>151</v>
      </c>
    </row>
    <row r="139" spans="1:10" ht="25.5">
      <c r="A139" s="302" t="str">
        <f t="shared" si="2"/>
        <v>CattleDippingTank</v>
      </c>
      <c r="B139" s="6" t="s">
        <v>1834</v>
      </c>
      <c r="C139" s="17" t="s">
        <v>1835</v>
      </c>
      <c r="D139" s="10" t="s">
        <v>1836</v>
      </c>
      <c r="E139" s="55"/>
      <c r="F139" s="10" t="s">
        <v>1837</v>
      </c>
      <c r="G139" s="25">
        <v>111406</v>
      </c>
      <c r="H139" s="300" t="str">
        <f>CONCATENATE([1]Cover!$D$6,"fdd/view?i=",G139)</f>
        <v>https://www.dgiwg.org/FAD/fdd/view?i=111406</v>
      </c>
      <c r="I139" s="8" t="s">
        <v>1833</v>
      </c>
      <c r="J139" s="38" t="s">
        <v>151</v>
      </c>
    </row>
    <row r="140" spans="1:10" ht="102">
      <c r="A140" s="302" t="str">
        <f t="shared" si="2"/>
        <v>CausewayStructure</v>
      </c>
      <c r="B140" s="6" t="s">
        <v>1839</v>
      </c>
      <c r="C140" s="17" t="s">
        <v>1840</v>
      </c>
      <c r="D140" s="10" t="s">
        <v>1841</v>
      </c>
      <c r="E140" s="10" t="s">
        <v>1842</v>
      </c>
      <c r="F140" s="55"/>
      <c r="G140" s="25">
        <v>117755</v>
      </c>
      <c r="H140" s="300" t="str">
        <f>CONCATENATE([1]Cover!$D$6,"fdd/view?i=",G140)</f>
        <v>https://www.dgiwg.org/FAD/fdd/view?i=117755</v>
      </c>
      <c r="I140" s="8" t="s">
        <v>1838</v>
      </c>
      <c r="J140" s="38" t="s">
        <v>151</v>
      </c>
    </row>
    <row r="141" spans="1:10" ht="38.25">
      <c r="A141" s="302" t="str">
        <f t="shared" si="2"/>
        <v>CaveChamber</v>
      </c>
      <c r="B141" s="6" t="s">
        <v>1844</v>
      </c>
      <c r="C141" s="17" t="s">
        <v>1845</v>
      </c>
      <c r="D141" s="10" t="s">
        <v>1846</v>
      </c>
      <c r="E141" s="10" t="s">
        <v>1847</v>
      </c>
      <c r="F141" s="55"/>
      <c r="G141" s="25">
        <v>118295</v>
      </c>
      <c r="H141" s="300" t="str">
        <f>CONCATENATE([1]Cover!$D$6,"fdd/view?i=",G141)</f>
        <v>https://www.dgiwg.org/FAD/fdd/view?i=118295</v>
      </c>
      <c r="I141" s="8" t="s">
        <v>1843</v>
      </c>
      <c r="J141" s="38" t="s">
        <v>151</v>
      </c>
    </row>
    <row r="142" spans="1:10" ht="38.25">
      <c r="A142" s="302" t="str">
        <f t="shared" si="2"/>
        <v>CaveInfo</v>
      </c>
      <c r="B142" s="6" t="s">
        <v>1849</v>
      </c>
      <c r="C142" s="17" t="s">
        <v>1850</v>
      </c>
      <c r="D142" s="10" t="s">
        <v>1851</v>
      </c>
      <c r="E142" s="55"/>
      <c r="F142" s="55"/>
      <c r="G142" s="25">
        <v>119169</v>
      </c>
      <c r="H142" s="300" t="str">
        <f>CONCATENATE([1]Cover!$D$6,"fdd/view?i=",G142)</f>
        <v>https://www.dgiwg.org/FAD/fdd/view?i=119169</v>
      </c>
      <c r="I142" s="8" t="s">
        <v>1848</v>
      </c>
      <c r="J142" s="38" t="s">
        <v>151</v>
      </c>
    </row>
    <row r="143" spans="1:10" ht="38.25">
      <c r="A143" s="302" t="str">
        <f t="shared" si="2"/>
        <v>CaveMouth</v>
      </c>
      <c r="B143" s="6" t="s">
        <v>1853</v>
      </c>
      <c r="C143" s="17" t="s">
        <v>1854</v>
      </c>
      <c r="D143" s="10" t="s">
        <v>1855</v>
      </c>
      <c r="E143" s="10" t="s">
        <v>1856</v>
      </c>
      <c r="F143" s="55"/>
      <c r="G143" s="25">
        <v>118364</v>
      </c>
      <c r="H143" s="300" t="str">
        <f>CONCATENATE([1]Cover!$D$6,"fdd/view?i=",G143)</f>
        <v>https://www.dgiwg.org/FAD/fdd/view?i=118364</v>
      </c>
      <c r="I143" s="8" t="s">
        <v>1852</v>
      </c>
      <c r="J143" s="38" t="s">
        <v>151</v>
      </c>
    </row>
    <row r="144" spans="1:10">
      <c r="A144" s="302" t="str">
        <f t="shared" si="2"/>
        <v>Cemetery</v>
      </c>
      <c r="B144" s="6" t="s">
        <v>1858</v>
      </c>
      <c r="C144" s="17" t="s">
        <v>1858</v>
      </c>
      <c r="D144" s="10" t="s">
        <v>1859</v>
      </c>
      <c r="E144" s="55"/>
      <c r="F144" s="55"/>
      <c r="G144" s="25">
        <v>100088</v>
      </c>
      <c r="H144" s="300" t="str">
        <f>CONCATENATE([1]Cover!$D$6,"fdd/view?i=",G144)</f>
        <v>https://www.dgiwg.org/FAD/fdd/view?i=100088</v>
      </c>
      <c r="I144" s="8" t="s">
        <v>1857</v>
      </c>
      <c r="J144" s="38" t="s">
        <v>151</v>
      </c>
    </row>
    <row r="145" spans="1:10" ht="38.25">
      <c r="A145" s="302" t="str">
        <f t="shared" si="2"/>
        <v>Channel</v>
      </c>
      <c r="B145" s="6" t="s">
        <v>1861</v>
      </c>
      <c r="C145" s="17" t="s">
        <v>1861</v>
      </c>
      <c r="D145" s="10" t="s">
        <v>1862</v>
      </c>
      <c r="E145" s="10" t="s">
        <v>1863</v>
      </c>
      <c r="F145" s="55"/>
      <c r="G145" s="25">
        <v>100362</v>
      </c>
      <c r="H145" s="300" t="str">
        <f>CONCATENATE([1]Cover!$D$6,"fdd/view?i=",G145)</f>
        <v>https://www.dgiwg.org/FAD/fdd/view?i=100362</v>
      </c>
      <c r="I145" s="8" t="s">
        <v>1860</v>
      </c>
      <c r="J145" s="38" t="s">
        <v>151</v>
      </c>
    </row>
    <row r="146" spans="1:10" ht="25.5">
      <c r="A146" s="302" t="str">
        <f t="shared" si="2"/>
        <v>Checkpoint</v>
      </c>
      <c r="B146" s="6" t="s">
        <v>1418</v>
      </c>
      <c r="C146" s="17" t="s">
        <v>1418</v>
      </c>
      <c r="D146" s="10" t="s">
        <v>1865</v>
      </c>
      <c r="E146" s="55"/>
      <c r="F146" s="55"/>
      <c r="G146" s="25">
        <v>100042</v>
      </c>
      <c r="H146" s="300" t="str">
        <f>CONCATENATE([1]Cover!$D$6,"fdd/view?i=",G146)</f>
        <v>https://www.dgiwg.org/FAD/fdd/view?i=100042</v>
      </c>
      <c r="I146" s="8" t="s">
        <v>1864</v>
      </c>
      <c r="J146" s="38" t="s">
        <v>151</v>
      </c>
    </row>
    <row r="147" spans="1:10">
      <c r="A147" s="302" t="str">
        <f t="shared" si="2"/>
        <v>Cistern</v>
      </c>
      <c r="B147" s="6" t="s">
        <v>1867</v>
      </c>
      <c r="C147" s="17" t="s">
        <v>1867</v>
      </c>
      <c r="D147" s="10" t="s">
        <v>1868</v>
      </c>
      <c r="E147" s="55"/>
      <c r="F147" s="55"/>
      <c r="G147" s="25">
        <v>100367</v>
      </c>
      <c r="H147" s="300" t="str">
        <f>CONCATENATE([1]Cover!$D$6,"fdd/view?i=",G147)</f>
        <v>https://www.dgiwg.org/FAD/fdd/view?i=100367</v>
      </c>
      <c r="I147" s="8" t="s">
        <v>1866</v>
      </c>
      <c r="J147" s="38" t="s">
        <v>151</v>
      </c>
    </row>
    <row r="148" spans="1:10" ht="51">
      <c r="A148" s="302" t="str">
        <f t="shared" si="2"/>
        <v>ClearedWay</v>
      </c>
      <c r="B148" s="6" t="s">
        <v>1870</v>
      </c>
      <c r="C148" s="17" t="s">
        <v>1871</v>
      </c>
      <c r="D148" s="10" t="s">
        <v>1872</v>
      </c>
      <c r="E148" s="10" t="s">
        <v>1873</v>
      </c>
      <c r="F148" s="55"/>
      <c r="G148" s="25">
        <v>100447</v>
      </c>
      <c r="H148" s="300" t="str">
        <f>CONCATENATE([1]Cover!$D$6,"fdd/view?i=",G148)</f>
        <v>https://www.dgiwg.org/FAD/fdd/view?i=100447</v>
      </c>
      <c r="I148" s="8" t="s">
        <v>1869</v>
      </c>
      <c r="J148" s="38" t="s">
        <v>151</v>
      </c>
    </row>
    <row r="149" spans="1:10" ht="51">
      <c r="A149" s="302" t="str">
        <f t="shared" si="2"/>
        <v>Clearway</v>
      </c>
      <c r="B149" s="6" t="s">
        <v>1875</v>
      </c>
      <c r="C149" s="17" t="s">
        <v>1875</v>
      </c>
      <c r="D149" s="10" t="s">
        <v>1876</v>
      </c>
      <c r="E149" s="10" t="s">
        <v>1877</v>
      </c>
      <c r="F149" s="10" t="s">
        <v>1878</v>
      </c>
      <c r="G149" s="25">
        <v>114591</v>
      </c>
      <c r="H149" s="300" t="str">
        <f>CONCATENATE([1]Cover!$D$6,"fdd/view?i=",G149)</f>
        <v>https://www.dgiwg.org/FAD/fdd/view?i=114591</v>
      </c>
      <c r="I149" s="8" t="s">
        <v>1874</v>
      </c>
      <c r="J149" s="38" t="s">
        <v>151</v>
      </c>
    </row>
    <row r="150" spans="1:10" ht="25.5">
      <c r="A150" s="302" t="str">
        <f t="shared" si="2"/>
        <v>CommShippingActivityRegion</v>
      </c>
      <c r="B150" s="6" t="s">
        <v>1880</v>
      </c>
      <c r="C150" s="17" t="s">
        <v>1881</v>
      </c>
      <c r="D150" s="10" t="s">
        <v>1882</v>
      </c>
      <c r="E150" s="10" t="s">
        <v>1883</v>
      </c>
      <c r="F150" s="55"/>
      <c r="G150" s="25">
        <v>119165</v>
      </c>
      <c r="H150" s="300" t="str">
        <f>CONCATENATE([1]Cover!$D$6,"fdd/view?i=",G150)</f>
        <v>https://www.dgiwg.org/FAD/fdd/view?i=119165</v>
      </c>
      <c r="I150" s="8" t="s">
        <v>1879</v>
      </c>
      <c r="J150" s="38" t="s">
        <v>151</v>
      </c>
    </row>
    <row r="151" spans="1:10" ht="25.5">
      <c r="A151" s="302" t="str">
        <f t="shared" si="2"/>
        <v>CompassLocator</v>
      </c>
      <c r="B151" s="6" t="s">
        <v>1885</v>
      </c>
      <c r="C151" s="17" t="s">
        <v>1886</v>
      </c>
      <c r="D151" s="10" t="s">
        <v>1887</v>
      </c>
      <c r="E151" s="10" t="s">
        <v>1888</v>
      </c>
      <c r="F151" s="10" t="s">
        <v>1889</v>
      </c>
      <c r="G151" s="25">
        <v>114500</v>
      </c>
      <c r="H151" s="300" t="str">
        <f>CONCATENATE([1]Cover!$D$6,"fdd/view?i=",G151)</f>
        <v>https://www.dgiwg.org/FAD/fdd/view?i=114500</v>
      </c>
      <c r="I151" s="8" t="s">
        <v>1884</v>
      </c>
      <c r="J151" s="38" t="s">
        <v>151</v>
      </c>
    </row>
    <row r="152" spans="1:10" ht="38.25">
      <c r="A152" s="302" t="str">
        <f t="shared" si="2"/>
        <v>SC_CompoundCRS</v>
      </c>
      <c r="B152" s="6" t="s">
        <v>1891</v>
      </c>
      <c r="C152" s="17" t="s">
        <v>1892</v>
      </c>
      <c r="D152" s="10" t="s">
        <v>1893</v>
      </c>
      <c r="E152" s="10" t="s">
        <v>1894</v>
      </c>
      <c r="F152" s="55"/>
      <c r="G152" s="25">
        <v>207308</v>
      </c>
      <c r="H152" s="300" t="str">
        <f>CONCATENATE([1]Cover!$D$6,"fdd/view?i=",G152)</f>
        <v>https://www.dgiwg.org/FAD/fdd/view?i=207308</v>
      </c>
      <c r="I152" s="8" t="s">
        <v>1890</v>
      </c>
      <c r="J152" s="38" t="s">
        <v>1295</v>
      </c>
    </row>
    <row r="153" spans="1:10" ht="51">
      <c r="A153" s="302" t="str">
        <f t="shared" si="2"/>
        <v>ConservationArea</v>
      </c>
      <c r="B153" s="6" t="s">
        <v>1896</v>
      </c>
      <c r="C153" s="17" t="s">
        <v>1897</v>
      </c>
      <c r="D153" s="10" t="s">
        <v>1898</v>
      </c>
      <c r="E153" s="10" t="s">
        <v>1899</v>
      </c>
      <c r="F153" s="10" t="s">
        <v>1900</v>
      </c>
      <c r="G153" s="25">
        <v>111297</v>
      </c>
      <c r="H153" s="300" t="str">
        <f>CONCATENATE([1]Cover!$D$6,"fdd/view?i=",G153)</f>
        <v>https://www.dgiwg.org/FAD/fdd/view?i=111297</v>
      </c>
      <c r="I153" s="8" t="s">
        <v>1895</v>
      </c>
      <c r="J153" s="38" t="s">
        <v>151</v>
      </c>
    </row>
    <row r="154" spans="1:10" ht="25.5">
      <c r="A154" s="302" t="str">
        <f t="shared" si="2"/>
        <v>ContactZone</v>
      </c>
      <c r="B154" s="6" t="s">
        <v>1902</v>
      </c>
      <c r="C154" s="17" t="s">
        <v>1903</v>
      </c>
      <c r="D154" s="10" t="s">
        <v>1904</v>
      </c>
      <c r="E154" s="55"/>
      <c r="F154" s="55"/>
      <c r="G154" s="25">
        <v>100461</v>
      </c>
      <c r="H154" s="300" t="str">
        <f>CONCATENATE([1]Cover!$D$6,"fdd/view?i=",G154)</f>
        <v>https://www.dgiwg.org/FAD/fdd/view?i=100461</v>
      </c>
      <c r="I154" s="8" t="s">
        <v>1901</v>
      </c>
      <c r="J154" s="38" t="s">
        <v>151</v>
      </c>
    </row>
    <row r="155" spans="1:10" ht="63.75">
      <c r="A155" s="302" t="str">
        <f t="shared" si="2"/>
        <v>ContaminatedRegion</v>
      </c>
      <c r="B155" s="6" t="s">
        <v>1906</v>
      </c>
      <c r="C155" s="17" t="s">
        <v>1907</v>
      </c>
      <c r="D155" s="10" t="s">
        <v>1908</v>
      </c>
      <c r="E155" s="10" t="s">
        <v>1909</v>
      </c>
      <c r="F155" s="55"/>
      <c r="G155" s="25">
        <v>100456</v>
      </c>
      <c r="H155" s="300" t="str">
        <f>CONCATENATE([1]Cover!$D$6,"fdd/view?i=",G155)</f>
        <v>https://www.dgiwg.org/FAD/fdd/view?i=100456</v>
      </c>
      <c r="I155" s="8" t="s">
        <v>1905</v>
      </c>
      <c r="J155" s="38" t="s">
        <v>151</v>
      </c>
    </row>
    <row r="156" spans="1:10" ht="25.5">
      <c r="A156" s="302" t="str">
        <f t="shared" si="2"/>
        <v>ControlTower</v>
      </c>
      <c r="B156" s="6" t="s">
        <v>1911</v>
      </c>
      <c r="C156" s="17" t="s">
        <v>1912</v>
      </c>
      <c r="D156" s="10" t="s">
        <v>1913</v>
      </c>
      <c r="E156" s="10" t="s">
        <v>1914</v>
      </c>
      <c r="F156" s="55"/>
      <c r="G156" s="25">
        <v>114632</v>
      </c>
      <c r="H156" s="300" t="str">
        <f>CONCATENATE([1]Cover!$D$6,"fdd/view?i=",G156)</f>
        <v>https://www.dgiwg.org/FAD/fdd/view?i=114632</v>
      </c>
      <c r="I156" s="8" t="s">
        <v>1910</v>
      </c>
      <c r="J156" s="38" t="s">
        <v>151</v>
      </c>
    </row>
    <row r="157" spans="1:10" ht="38.25">
      <c r="A157" s="302" t="str">
        <f t="shared" si="2"/>
        <v>Conveyor</v>
      </c>
      <c r="B157" s="6" t="s">
        <v>1916</v>
      </c>
      <c r="C157" s="17" t="s">
        <v>1916</v>
      </c>
      <c r="D157" s="10" t="s">
        <v>1917</v>
      </c>
      <c r="E157" s="55"/>
      <c r="F157" s="55"/>
      <c r="G157" s="25">
        <v>100029</v>
      </c>
      <c r="H157" s="300" t="str">
        <f>CONCATENATE([1]Cover!$D$6,"fdd/view?i=",G157)</f>
        <v>https://www.dgiwg.org/FAD/fdd/view?i=100029</v>
      </c>
      <c r="I157" s="8" t="s">
        <v>1915</v>
      </c>
      <c r="J157" s="38" t="s">
        <v>151</v>
      </c>
    </row>
    <row r="158" spans="1:10" ht="25.5">
      <c r="A158" s="302" t="str">
        <f t="shared" si="2"/>
        <v>CoolingFacility</v>
      </c>
      <c r="B158" s="6" t="s">
        <v>1919</v>
      </c>
      <c r="C158" s="17" t="s">
        <v>1920</v>
      </c>
      <c r="D158" s="10" t="s">
        <v>1921</v>
      </c>
      <c r="E158" s="55"/>
      <c r="F158" s="55"/>
      <c r="G158" s="25">
        <v>114171</v>
      </c>
      <c r="H158" s="300" t="str">
        <f>CONCATENATE([1]Cover!$D$6,"fdd/view?i=",G158)</f>
        <v>https://www.dgiwg.org/FAD/fdd/view?i=114171</v>
      </c>
      <c r="I158" s="8" t="s">
        <v>1918</v>
      </c>
      <c r="J158" s="38" t="s">
        <v>151</v>
      </c>
    </row>
    <row r="159" spans="1:10" ht="25.5">
      <c r="A159" s="302" t="str">
        <f t="shared" si="2"/>
        <v>CoolingTower</v>
      </c>
      <c r="B159" s="6" t="s">
        <v>1923</v>
      </c>
      <c r="C159" s="17" t="s">
        <v>1924</v>
      </c>
      <c r="D159" s="10" t="s">
        <v>1925</v>
      </c>
      <c r="E159" s="55"/>
      <c r="F159" s="55"/>
      <c r="G159" s="25">
        <v>100031</v>
      </c>
      <c r="H159" s="300" t="str">
        <f>CONCATENATE([1]Cover!$D$6,"fdd/view?i=",G159)</f>
        <v>https://www.dgiwg.org/FAD/fdd/view?i=100031</v>
      </c>
      <c r="I159" s="8" t="s">
        <v>1922</v>
      </c>
      <c r="J159" s="38" t="s">
        <v>151</v>
      </c>
    </row>
    <row r="160" spans="1:10" ht="25.5">
      <c r="A160" s="302" t="str">
        <f t="shared" si="2"/>
        <v>SC_CRS</v>
      </c>
      <c r="B160" s="6" t="s">
        <v>1927</v>
      </c>
      <c r="C160" s="17" t="s">
        <v>1928</v>
      </c>
      <c r="D160" s="10" t="s">
        <v>1929</v>
      </c>
      <c r="E160" s="10" t="s">
        <v>1930</v>
      </c>
      <c r="F160" s="55"/>
      <c r="G160" s="25">
        <v>207300</v>
      </c>
      <c r="H160" s="300" t="str">
        <f>CONCATENATE([1]Cover!$D$6,"fdd/view?i=",G160)</f>
        <v>https://www.dgiwg.org/FAD/fdd/view?i=207300</v>
      </c>
      <c r="I160" s="8" t="s">
        <v>1926</v>
      </c>
      <c r="J160" s="38" t="s">
        <v>1295</v>
      </c>
    </row>
    <row r="161" spans="1:10" ht="76.5">
      <c r="A161" s="302" t="str">
        <f t="shared" si="2"/>
        <v>CountryHouse</v>
      </c>
      <c r="B161" s="6" t="s">
        <v>1932</v>
      </c>
      <c r="C161" s="17" t="s">
        <v>1933</v>
      </c>
      <c r="D161" s="10" t="s">
        <v>1934</v>
      </c>
      <c r="E161" s="10" t="s">
        <v>1935</v>
      </c>
      <c r="F161" s="10" t="s">
        <v>1936</v>
      </c>
      <c r="G161" s="25">
        <v>111423</v>
      </c>
      <c r="H161" s="300" t="str">
        <f>CONCATENATE([1]Cover!$D$6,"fdd/view?i=",G161)</f>
        <v>https://www.dgiwg.org/FAD/fdd/view?i=111423</v>
      </c>
      <c r="I161" s="8" t="s">
        <v>1931</v>
      </c>
      <c r="J161" s="38" t="s">
        <v>151</v>
      </c>
    </row>
    <row r="162" spans="1:10" ht="51">
      <c r="A162" s="302" t="str">
        <f t="shared" si="2"/>
        <v>Courtyard</v>
      </c>
      <c r="B162" s="6" t="s">
        <v>1938</v>
      </c>
      <c r="C162" s="17" t="s">
        <v>1938</v>
      </c>
      <c r="D162" s="10" t="s">
        <v>1939</v>
      </c>
      <c r="E162" s="10" t="s">
        <v>1940</v>
      </c>
      <c r="F162" s="55"/>
      <c r="G162" s="25">
        <v>114179</v>
      </c>
      <c r="H162" s="300" t="str">
        <f>CONCATENATE([1]Cover!$D$6,"fdd/view?i=",G162)</f>
        <v>https://www.dgiwg.org/FAD/fdd/view?i=114179</v>
      </c>
      <c r="I162" s="8" t="s">
        <v>1937</v>
      </c>
      <c r="J162" s="38" t="s">
        <v>151</v>
      </c>
    </row>
    <row r="163" spans="1:10" ht="38.25">
      <c r="A163" s="302" t="str">
        <f t="shared" si="2"/>
        <v>Crane</v>
      </c>
      <c r="B163" s="6" t="s">
        <v>1942</v>
      </c>
      <c r="C163" s="17" t="s">
        <v>1942</v>
      </c>
      <c r="D163" s="10" t="s">
        <v>1943</v>
      </c>
      <c r="E163" s="55"/>
      <c r="F163" s="55"/>
      <c r="G163" s="25">
        <v>100032</v>
      </c>
      <c r="H163" s="300" t="str">
        <f>CONCATENATE([1]Cover!$D$6,"fdd/view?i=",G163)</f>
        <v>https://www.dgiwg.org/FAD/fdd/view?i=100032</v>
      </c>
      <c r="I163" s="8" t="s">
        <v>1941</v>
      </c>
      <c r="J163" s="38" t="s">
        <v>151</v>
      </c>
    </row>
    <row r="164" spans="1:10" ht="38.25">
      <c r="A164" s="302" t="str">
        <f t="shared" si="2"/>
        <v>CrashWreckRemovalService</v>
      </c>
      <c r="B164" s="6" t="s">
        <v>1945</v>
      </c>
      <c r="C164" s="17" t="s">
        <v>1946</v>
      </c>
      <c r="D164" s="10" t="s">
        <v>1947</v>
      </c>
      <c r="E164" s="10" t="s">
        <v>1948</v>
      </c>
      <c r="F164" s="55"/>
      <c r="G164" s="25">
        <v>207654</v>
      </c>
      <c r="H164" s="300" t="str">
        <f>CONCATENATE([1]Cover!$D$6,"fdd/view?i=",G164)</f>
        <v>https://www.dgiwg.org/FAD/fdd/view?i=207654</v>
      </c>
      <c r="I164" s="8" t="s">
        <v>1944</v>
      </c>
      <c r="J164" s="38" t="s">
        <v>1295</v>
      </c>
    </row>
    <row r="165" spans="1:10" ht="63.75">
      <c r="A165" s="302" t="str">
        <f t="shared" si="2"/>
        <v>Crater</v>
      </c>
      <c r="B165" s="6" t="s">
        <v>1950</v>
      </c>
      <c r="C165" s="17" t="s">
        <v>1950</v>
      </c>
      <c r="D165" s="10" t="s">
        <v>1951</v>
      </c>
      <c r="E165" s="10" t="s">
        <v>1952</v>
      </c>
      <c r="F165" s="55"/>
      <c r="G165" s="25">
        <v>100423</v>
      </c>
      <c r="H165" s="300" t="str">
        <f>CONCATENATE([1]Cover!$D$6,"fdd/view?i=",G165)</f>
        <v>https://www.dgiwg.org/FAD/fdd/view?i=100423</v>
      </c>
      <c r="I165" s="8" t="s">
        <v>1949</v>
      </c>
      <c r="J165" s="38" t="s">
        <v>151</v>
      </c>
    </row>
    <row r="166" spans="1:10" ht="25.5">
      <c r="A166" s="302" t="str">
        <f t="shared" si="2"/>
        <v>Crevasse</v>
      </c>
      <c r="B166" s="6" t="s">
        <v>1954</v>
      </c>
      <c r="C166" s="17" t="s">
        <v>1954</v>
      </c>
      <c r="D166" s="10" t="s">
        <v>1955</v>
      </c>
      <c r="E166" s="55"/>
      <c r="F166" s="55"/>
      <c r="G166" s="25">
        <v>101908</v>
      </c>
      <c r="H166" s="300" t="str">
        <f>CONCATENATE([1]Cover!$D$6,"fdd/view?i=",G166)</f>
        <v>https://www.dgiwg.org/FAD/fdd/view?i=101908</v>
      </c>
      <c r="I166" s="8" t="s">
        <v>1953</v>
      </c>
      <c r="J166" s="38" t="s">
        <v>151</v>
      </c>
    </row>
    <row r="167" spans="1:10" ht="25.5">
      <c r="A167" s="302" t="str">
        <f t="shared" si="2"/>
        <v>Crevice</v>
      </c>
      <c r="B167" s="6" t="s">
        <v>1957</v>
      </c>
      <c r="C167" s="17" t="s">
        <v>1957</v>
      </c>
      <c r="D167" s="10" t="s">
        <v>1958</v>
      </c>
      <c r="E167" s="10" t="s">
        <v>1959</v>
      </c>
      <c r="F167" s="55"/>
      <c r="G167" s="25">
        <v>101912</v>
      </c>
      <c r="H167" s="300" t="str">
        <f>CONCATENATE([1]Cover!$D$6,"fdd/view?i=",G167)</f>
        <v>https://www.dgiwg.org/FAD/fdd/view?i=101912</v>
      </c>
      <c r="I167" s="8" t="s">
        <v>1956</v>
      </c>
      <c r="J167" s="38" t="s">
        <v>151</v>
      </c>
    </row>
    <row r="168" spans="1:10" ht="51">
      <c r="A168" s="302" t="str">
        <f t="shared" si="2"/>
        <v>Crib</v>
      </c>
      <c r="B168" s="6" t="s">
        <v>1961</v>
      </c>
      <c r="C168" s="17" t="s">
        <v>1961</v>
      </c>
      <c r="D168" s="10" t="s">
        <v>1962</v>
      </c>
      <c r="E168" s="10" t="s">
        <v>1963</v>
      </c>
      <c r="F168" s="55"/>
      <c r="G168" s="25">
        <v>100284</v>
      </c>
      <c r="H168" s="300" t="str">
        <f>CONCATENATE([1]Cover!$D$6,"fdd/view?i=",G168)</f>
        <v>https://www.dgiwg.org/FAD/fdd/view?i=100284</v>
      </c>
      <c r="I168" s="8" t="s">
        <v>1960</v>
      </c>
      <c r="J168" s="38" t="s">
        <v>151</v>
      </c>
    </row>
    <row r="169" spans="1:10" ht="51">
      <c r="A169" s="302" t="str">
        <f t="shared" si="2"/>
        <v>CropInfo</v>
      </c>
      <c r="B169" s="6" t="s">
        <v>1965</v>
      </c>
      <c r="C169" s="17" t="s">
        <v>1966</v>
      </c>
      <c r="D169" s="10" t="s">
        <v>1967</v>
      </c>
      <c r="E169" s="10" t="s">
        <v>1968</v>
      </c>
      <c r="F169" s="55"/>
      <c r="G169" s="25">
        <v>114197</v>
      </c>
      <c r="H169" s="300" t="str">
        <f>CONCATENATE([1]Cover!$D$6,"fdd/view?i=",G169)</f>
        <v>https://www.dgiwg.org/FAD/fdd/view?i=114197</v>
      </c>
      <c r="I169" s="8" t="s">
        <v>1964</v>
      </c>
      <c r="J169" s="38" t="s">
        <v>151</v>
      </c>
    </row>
    <row r="170" spans="1:10">
      <c r="A170" s="302" t="str">
        <f t="shared" si="2"/>
        <v>CropLand</v>
      </c>
      <c r="B170" s="6" t="s">
        <v>1970</v>
      </c>
      <c r="C170" s="17" t="s">
        <v>1971</v>
      </c>
      <c r="D170" s="10" t="s">
        <v>1972</v>
      </c>
      <c r="E170" s="55"/>
      <c r="F170" s="55"/>
      <c r="G170" s="25">
        <v>100432</v>
      </c>
      <c r="H170" s="300" t="str">
        <f>CONCATENATE([1]Cover!$D$6,"fdd/view?i=",G170)</f>
        <v>https://www.dgiwg.org/FAD/fdd/view?i=100432</v>
      </c>
      <c r="I170" s="8" t="s">
        <v>1969</v>
      </c>
      <c r="J170" s="38" t="s">
        <v>151</v>
      </c>
    </row>
    <row r="171" spans="1:10" ht="25.5">
      <c r="A171" s="302" t="str">
        <f t="shared" si="2"/>
        <v>Crossing</v>
      </c>
      <c r="B171" s="6" t="s">
        <v>1974</v>
      </c>
      <c r="C171" s="17" t="s">
        <v>1974</v>
      </c>
      <c r="D171" s="10" t="s">
        <v>1975</v>
      </c>
      <c r="E171" s="10" t="s">
        <v>1976</v>
      </c>
      <c r="F171" s="55"/>
      <c r="G171" s="25">
        <v>100163</v>
      </c>
      <c r="H171" s="300" t="str">
        <f>CONCATENATE([1]Cover!$D$6,"fdd/view?i=",G171)</f>
        <v>https://www.dgiwg.org/FAD/fdd/view?i=100163</v>
      </c>
      <c r="I171" s="8" t="s">
        <v>1973</v>
      </c>
      <c r="J171" s="38" t="s">
        <v>151</v>
      </c>
    </row>
    <row r="172" spans="1:10" ht="51">
      <c r="A172" s="302" t="str">
        <f t="shared" si="2"/>
        <v>CulturalContextLocation</v>
      </c>
      <c r="B172" s="6" t="s">
        <v>1978</v>
      </c>
      <c r="C172" s="17" t="s">
        <v>1979</v>
      </c>
      <c r="D172" s="10" t="s">
        <v>1980</v>
      </c>
      <c r="E172" s="55"/>
      <c r="F172" s="55"/>
      <c r="G172" s="25">
        <v>111461</v>
      </c>
      <c r="H172" s="300" t="str">
        <f>CONCATENATE([1]Cover!$D$6,"fdd/view?i=",G172)</f>
        <v>https://www.dgiwg.org/FAD/fdd/view?i=111461</v>
      </c>
      <c r="I172" s="8" t="s">
        <v>1977</v>
      </c>
      <c r="J172" s="38" t="s">
        <v>151</v>
      </c>
    </row>
    <row r="173" spans="1:10" ht="38.25">
      <c r="A173" s="302" t="str">
        <f t="shared" si="2"/>
        <v>Culvert</v>
      </c>
      <c r="B173" s="6" t="s">
        <v>1982</v>
      </c>
      <c r="C173" s="17" t="s">
        <v>1982</v>
      </c>
      <c r="D173" s="10" t="s">
        <v>1983</v>
      </c>
      <c r="E173" s="10" t="s">
        <v>1984</v>
      </c>
      <c r="F173" s="55"/>
      <c r="G173" s="25">
        <v>100165</v>
      </c>
      <c r="H173" s="300" t="str">
        <f>CONCATENATE([1]Cover!$D$6,"fdd/view?i=",G173)</f>
        <v>https://www.dgiwg.org/FAD/fdd/view?i=100165</v>
      </c>
      <c r="I173" s="8" t="s">
        <v>1981</v>
      </c>
      <c r="J173" s="38" t="s">
        <v>151</v>
      </c>
    </row>
    <row r="174" spans="1:10" ht="25.5">
      <c r="A174" s="302" t="str">
        <f t="shared" si="2"/>
        <v>Curb</v>
      </c>
      <c r="B174" s="6" t="s">
        <v>1986</v>
      </c>
      <c r="C174" s="17" t="s">
        <v>1986</v>
      </c>
      <c r="D174" s="10" t="s">
        <v>1987</v>
      </c>
      <c r="E174" s="55"/>
      <c r="F174" s="55"/>
      <c r="G174" s="25">
        <v>100155</v>
      </c>
      <c r="H174" s="300" t="str">
        <f>CONCATENATE([1]Cover!$D$6,"fdd/view?i=",G174)</f>
        <v>https://www.dgiwg.org/FAD/fdd/view?i=100155</v>
      </c>
      <c r="I174" s="8" t="s">
        <v>1985</v>
      </c>
      <c r="J174" s="38" t="s">
        <v>151</v>
      </c>
    </row>
    <row r="175" spans="1:10" ht="25.5">
      <c r="A175" s="302" t="str">
        <f t="shared" si="2"/>
        <v>CurveGeometryInfo</v>
      </c>
      <c r="B175" s="6" t="s">
        <v>1989</v>
      </c>
      <c r="C175" s="17" t="s">
        <v>1990</v>
      </c>
      <c r="D175" s="10" t="s">
        <v>1991</v>
      </c>
      <c r="E175" s="10" t="s">
        <v>1992</v>
      </c>
      <c r="F175" s="55"/>
      <c r="G175" s="25">
        <v>114192</v>
      </c>
      <c r="H175" s="300" t="str">
        <f>CONCATENATE([1]Cover!$D$6,"fdd/view?i=",G175)</f>
        <v>https://www.dgiwg.org/FAD/fdd/view?i=114192</v>
      </c>
      <c r="I175" s="8" t="s">
        <v>1988</v>
      </c>
      <c r="J175" s="38" t="s">
        <v>151</v>
      </c>
    </row>
    <row r="176" spans="1:10" ht="38.25">
      <c r="A176" s="302" t="str">
        <f t="shared" si="2"/>
        <v>CustomsImmigrationService</v>
      </c>
      <c r="B176" s="6" t="s">
        <v>1994</v>
      </c>
      <c r="C176" s="17" t="s">
        <v>1995</v>
      </c>
      <c r="D176" s="10" t="s">
        <v>1996</v>
      </c>
      <c r="E176" s="55"/>
      <c r="F176" s="55"/>
      <c r="G176" s="25">
        <v>119572</v>
      </c>
      <c r="H176" s="300" t="str">
        <f>CONCATENATE([1]Cover!$D$6,"fdd/view?i=",G176)</f>
        <v>https://www.dgiwg.org/FAD/fdd/view?i=119572</v>
      </c>
      <c r="I176" s="8" t="s">
        <v>1993</v>
      </c>
      <c r="J176" s="38" t="s">
        <v>151</v>
      </c>
    </row>
    <row r="177" spans="1:10" ht="25.5">
      <c r="A177" s="302" t="str">
        <f t="shared" si="2"/>
        <v>Cut</v>
      </c>
      <c r="B177" s="6" t="s">
        <v>1998</v>
      </c>
      <c r="C177" s="17" t="s">
        <v>1998</v>
      </c>
      <c r="D177" s="10" t="s">
        <v>1999</v>
      </c>
      <c r="E177" s="55"/>
      <c r="F177" s="55"/>
      <c r="G177" s="25">
        <v>100410</v>
      </c>
      <c r="H177" s="300" t="str">
        <f>CONCATENATE([1]Cover!$D$6,"fdd/view?i=",G177)</f>
        <v>https://www.dgiwg.org/FAD/fdd/view?i=100410</v>
      </c>
      <c r="I177" s="8" t="s">
        <v>1997</v>
      </c>
      <c r="J177" s="38" t="s">
        <v>151</v>
      </c>
    </row>
    <row r="178" spans="1:10">
      <c r="A178" s="302" t="str">
        <f t="shared" si="2"/>
        <v>CutLine</v>
      </c>
      <c r="B178" s="6" t="s">
        <v>2001</v>
      </c>
      <c r="C178" s="17" t="s">
        <v>2002</v>
      </c>
      <c r="D178" s="10" t="s">
        <v>2003</v>
      </c>
      <c r="E178" s="55"/>
      <c r="F178" s="55"/>
      <c r="G178" s="25">
        <v>105314</v>
      </c>
      <c r="H178" s="300" t="str">
        <f>CONCATENATE([1]Cover!$D$6,"fdd/view?i=",G178)</f>
        <v>https://www.dgiwg.org/FAD/fdd/view?i=105314</v>
      </c>
      <c r="I178" s="8" t="s">
        <v>2000</v>
      </c>
      <c r="J178" s="38" t="s">
        <v>151</v>
      </c>
    </row>
    <row r="179" spans="1:10" ht="25.5">
      <c r="A179" s="302" t="str">
        <f t="shared" si="2"/>
        <v>Dam</v>
      </c>
      <c r="B179" s="6" t="s">
        <v>2005</v>
      </c>
      <c r="C179" s="17" t="s">
        <v>2005</v>
      </c>
      <c r="D179" s="10" t="s">
        <v>2006</v>
      </c>
      <c r="E179" s="55"/>
      <c r="F179" s="55"/>
      <c r="G179" s="25">
        <v>100368</v>
      </c>
      <c r="H179" s="300" t="str">
        <f>CONCATENATE([1]Cover!$D$6,"fdd/view?i=",G179)</f>
        <v>https://www.dgiwg.org/FAD/fdd/view?i=100368</v>
      </c>
      <c r="I179" s="8" t="s">
        <v>2004</v>
      </c>
      <c r="J179" s="38" t="s">
        <v>151</v>
      </c>
    </row>
    <row r="180" spans="1:10" ht="25.5">
      <c r="A180" s="302" t="str">
        <f t="shared" si="2"/>
        <v>MD_Distribution</v>
      </c>
      <c r="B180" s="6" t="s">
        <v>2008</v>
      </c>
      <c r="C180" s="17" t="s">
        <v>2009</v>
      </c>
      <c r="D180" s="10" t="s">
        <v>2010</v>
      </c>
      <c r="E180" s="10" t="s">
        <v>2011</v>
      </c>
      <c r="F180" s="55"/>
      <c r="G180" s="25">
        <v>203467</v>
      </c>
      <c r="H180" s="300" t="str">
        <f>CONCATENATE([1]Cover!$D$6,"fdd/view?i=",G180)</f>
        <v>https://www.dgiwg.org/FAD/fdd/view?i=203467</v>
      </c>
      <c r="I180" s="8" t="s">
        <v>2007</v>
      </c>
      <c r="J180" s="38" t="s">
        <v>1295</v>
      </c>
    </row>
    <row r="181" spans="1:10">
      <c r="A181" s="302" t="str">
        <f t="shared" si="2"/>
        <v>MD_Distributor</v>
      </c>
      <c r="B181" s="6" t="s">
        <v>2013</v>
      </c>
      <c r="C181" s="17" t="s">
        <v>2014</v>
      </c>
      <c r="D181" s="10" t="s">
        <v>2015</v>
      </c>
      <c r="E181" s="55"/>
      <c r="F181" s="55"/>
      <c r="G181" s="25">
        <v>203468</v>
      </c>
      <c r="H181" s="300" t="str">
        <f>CONCATENATE([1]Cover!$D$6,"fdd/view?i=",G181)</f>
        <v>https://www.dgiwg.org/FAD/fdd/view?i=203468</v>
      </c>
      <c r="I181" s="8" t="s">
        <v>2012</v>
      </c>
      <c r="J181" s="38" t="s">
        <v>1295</v>
      </c>
    </row>
    <row r="182" spans="1:10" ht="38.25">
      <c r="A182" s="302" t="str">
        <f t="shared" si="2"/>
        <v>MD_Format</v>
      </c>
      <c r="B182" s="6" t="s">
        <v>2017</v>
      </c>
      <c r="C182" s="17" t="s">
        <v>2018</v>
      </c>
      <c r="D182" s="10" t="s">
        <v>2019</v>
      </c>
      <c r="E182" s="10" t="s">
        <v>2020</v>
      </c>
      <c r="F182" s="55"/>
      <c r="G182" s="25">
        <v>203469</v>
      </c>
      <c r="H182" s="300" t="str">
        <f>CONCATENATE([1]Cover!$D$6,"fdd/view?i=",G182)</f>
        <v>https://www.dgiwg.org/FAD/fdd/view?i=203469</v>
      </c>
      <c r="I182" s="8" t="s">
        <v>2016</v>
      </c>
      <c r="J182" s="38" t="s">
        <v>1295</v>
      </c>
    </row>
    <row r="183" spans="1:10">
      <c r="A183" s="302" t="str">
        <f t="shared" si="2"/>
        <v>MD_DataIdentification</v>
      </c>
      <c r="B183" s="6" t="s">
        <v>2022</v>
      </c>
      <c r="C183" s="17" t="s">
        <v>2023</v>
      </c>
      <c r="D183" s="10" t="s">
        <v>2024</v>
      </c>
      <c r="E183" s="55"/>
      <c r="F183" s="55"/>
      <c r="G183" s="25">
        <v>203465</v>
      </c>
      <c r="H183" s="300" t="str">
        <f>CONCATENATE([1]Cover!$D$6,"fdd/view?i=",G183)</f>
        <v>https://www.dgiwg.org/FAD/fdd/view?i=203465</v>
      </c>
      <c r="I183" s="8" t="s">
        <v>2021</v>
      </c>
      <c r="J183" s="38" t="s">
        <v>1295</v>
      </c>
    </row>
    <row r="184" spans="1:10" ht="25.5">
      <c r="A184" s="302" t="str">
        <f t="shared" si="2"/>
        <v>LI_Lineage</v>
      </c>
      <c r="B184" s="6" t="s">
        <v>2026</v>
      </c>
      <c r="C184" s="17" t="s">
        <v>2027</v>
      </c>
      <c r="D184" s="10" t="s">
        <v>2028</v>
      </c>
      <c r="E184" s="55"/>
      <c r="F184" s="55"/>
      <c r="G184" s="25">
        <v>203461</v>
      </c>
      <c r="H184" s="300" t="str">
        <f>CONCATENATE([1]Cover!$D$6,"fdd/view?i=",G184)</f>
        <v>https://www.dgiwg.org/FAD/fdd/view?i=203461</v>
      </c>
      <c r="I184" s="8" t="s">
        <v>2025</v>
      </c>
      <c r="J184" s="38" t="s">
        <v>1295</v>
      </c>
    </row>
    <row r="185" spans="1:10">
      <c r="A185" s="302" t="str">
        <f t="shared" si="2"/>
        <v>DQ_DataQuality</v>
      </c>
      <c r="B185" s="6" t="s">
        <v>2030</v>
      </c>
      <c r="C185" s="17" t="s">
        <v>2031</v>
      </c>
      <c r="D185" s="10" t="s">
        <v>2032</v>
      </c>
      <c r="E185" s="55"/>
      <c r="F185" s="55"/>
      <c r="G185" s="25">
        <v>203459</v>
      </c>
      <c r="H185" s="300" t="str">
        <f>CONCATENATE([1]Cover!$D$6,"fdd/view?i=",G185)</f>
        <v>https://www.dgiwg.org/FAD/fdd/view?i=203459</v>
      </c>
      <c r="I185" s="8" t="s">
        <v>2029</v>
      </c>
      <c r="J185" s="38" t="s">
        <v>1295</v>
      </c>
    </row>
    <row r="186" spans="1:10" ht="38.25">
      <c r="A186" s="302" t="str">
        <f t="shared" si="2"/>
        <v>Dataset</v>
      </c>
      <c r="B186" s="6" t="s">
        <v>2034</v>
      </c>
      <c r="C186" s="17" t="s">
        <v>2034</v>
      </c>
      <c r="D186" s="10" t="s">
        <v>2035</v>
      </c>
      <c r="E186" s="10" t="s">
        <v>2036</v>
      </c>
      <c r="F186" s="55"/>
      <c r="G186" s="25">
        <v>114212</v>
      </c>
      <c r="H186" s="300" t="str">
        <f>CONCATENATE([1]Cover!$D$6,"fdd/view?i=",G186)</f>
        <v>https://www.dgiwg.org/FAD/fdd/view?i=114212</v>
      </c>
      <c r="I186" s="8" t="s">
        <v>2033</v>
      </c>
      <c r="J186" s="38" t="s">
        <v>151</v>
      </c>
    </row>
    <row r="187" spans="1:10" ht="38.25">
      <c r="A187" s="302" t="str">
        <f t="shared" si="2"/>
        <v>DatasetGAMetadata</v>
      </c>
      <c r="B187" s="6" t="s">
        <v>2038</v>
      </c>
      <c r="C187" s="17" t="s">
        <v>2039</v>
      </c>
      <c r="D187" s="10" t="s">
        <v>2040</v>
      </c>
      <c r="E187" s="10" t="s">
        <v>2041</v>
      </c>
      <c r="F187" s="55"/>
      <c r="G187" s="25">
        <v>203848</v>
      </c>
      <c r="H187" s="300" t="str">
        <f>CONCATENATE([1]Cover!$D$6,"fdd/view?i=",G187)</f>
        <v>https://www.dgiwg.org/FAD/fdd/view?i=203848</v>
      </c>
      <c r="I187" s="8" t="s">
        <v>2037</v>
      </c>
      <c r="J187" s="38" t="s">
        <v>1295</v>
      </c>
    </row>
    <row r="188" spans="1:10" ht="76.5">
      <c r="A188" s="302" t="str">
        <f t="shared" si="2"/>
        <v>DefensiveRevetment</v>
      </c>
      <c r="B188" s="6" t="s">
        <v>2043</v>
      </c>
      <c r="C188" s="17" t="s">
        <v>2044</v>
      </c>
      <c r="D188" s="10" t="s">
        <v>2045</v>
      </c>
      <c r="E188" s="10" t="s">
        <v>2046</v>
      </c>
      <c r="F188" s="55"/>
      <c r="G188" s="25">
        <v>114629</v>
      </c>
      <c r="H188" s="300" t="str">
        <f>CONCATENATE([1]Cover!$D$6,"fdd/view?i=",G188)</f>
        <v>https://www.dgiwg.org/FAD/fdd/view?i=114629</v>
      </c>
      <c r="I188" s="8" t="s">
        <v>2042</v>
      </c>
      <c r="J188" s="38" t="s">
        <v>151</v>
      </c>
    </row>
    <row r="189" spans="1:10" ht="38.25">
      <c r="A189" s="302" t="str">
        <f t="shared" si="2"/>
        <v>DeIcingAntiIcingArea</v>
      </c>
      <c r="B189" s="6" t="s">
        <v>2048</v>
      </c>
      <c r="C189" s="17" t="s">
        <v>2049</v>
      </c>
      <c r="D189" s="10" t="s">
        <v>2050</v>
      </c>
      <c r="E189" s="55"/>
      <c r="F189" s="10" t="s">
        <v>2051</v>
      </c>
      <c r="G189" s="25">
        <v>114592</v>
      </c>
      <c r="H189" s="300" t="str">
        <f>CONCATENATE([1]Cover!$D$6,"fdd/view?i=",G189)</f>
        <v>https://www.dgiwg.org/FAD/fdd/view?i=114592</v>
      </c>
      <c r="I189" s="8" t="s">
        <v>2047</v>
      </c>
      <c r="J189" s="38" t="s">
        <v>151</v>
      </c>
    </row>
    <row r="190" spans="1:10" ht="25.5">
      <c r="A190" s="302" t="str">
        <f t="shared" si="2"/>
        <v>DepartureSegment</v>
      </c>
      <c r="B190" s="6" t="s">
        <v>2053</v>
      </c>
      <c r="C190" s="17" t="s">
        <v>2054</v>
      </c>
      <c r="D190" s="10" t="s">
        <v>2055</v>
      </c>
      <c r="E190" s="10" t="s">
        <v>1587</v>
      </c>
      <c r="F190" s="55"/>
      <c r="G190" s="25">
        <v>114633</v>
      </c>
      <c r="H190" s="300" t="str">
        <f>CONCATENATE([1]Cover!$D$6,"fdd/view?i=",G190)</f>
        <v>https://www.dgiwg.org/FAD/fdd/view?i=114633</v>
      </c>
      <c r="I190" s="8" t="s">
        <v>2052</v>
      </c>
      <c r="J190" s="38" t="s">
        <v>151</v>
      </c>
    </row>
    <row r="191" spans="1:10" ht="25.5">
      <c r="A191" s="302" t="str">
        <f t="shared" si="2"/>
        <v>Depression</v>
      </c>
      <c r="B191" s="6" t="s">
        <v>2057</v>
      </c>
      <c r="C191" s="17" t="s">
        <v>2057</v>
      </c>
      <c r="D191" s="10" t="s">
        <v>2058</v>
      </c>
      <c r="E191" s="55"/>
      <c r="F191" s="55"/>
      <c r="G191" s="25">
        <v>100411</v>
      </c>
      <c r="H191" s="300" t="str">
        <f>CONCATENATE([1]Cover!$D$6,"fdd/view?i=",G191)</f>
        <v>https://www.dgiwg.org/FAD/fdd/view?i=100411</v>
      </c>
      <c r="I191" s="8" t="s">
        <v>2056</v>
      </c>
      <c r="J191" s="38" t="s">
        <v>151</v>
      </c>
    </row>
    <row r="192" spans="1:10">
      <c r="A192" s="302" t="str">
        <f t="shared" si="2"/>
        <v>DepthArea</v>
      </c>
      <c r="B192" s="6" t="s">
        <v>2060</v>
      </c>
      <c r="C192" s="17" t="s">
        <v>2061</v>
      </c>
      <c r="D192" s="10" t="s">
        <v>2062</v>
      </c>
      <c r="E192" s="55"/>
      <c r="F192" s="55"/>
      <c r="G192" s="25">
        <v>100312</v>
      </c>
      <c r="H192" s="300" t="str">
        <f>CONCATENATE([1]Cover!$D$6,"fdd/view?i=",G192)</f>
        <v>https://www.dgiwg.org/FAD/fdd/view?i=100312</v>
      </c>
      <c r="I192" s="8" t="s">
        <v>2059</v>
      </c>
      <c r="J192" s="38" t="s">
        <v>151</v>
      </c>
    </row>
    <row r="193" spans="1:10" ht="51">
      <c r="A193" s="302" t="str">
        <f t="shared" si="2"/>
        <v>DepthContour</v>
      </c>
      <c r="B193" s="6" t="s">
        <v>2064</v>
      </c>
      <c r="C193" s="17" t="s">
        <v>2065</v>
      </c>
      <c r="D193" s="10" t="s">
        <v>2066</v>
      </c>
      <c r="E193" s="10" t="s">
        <v>2067</v>
      </c>
      <c r="F193" s="55"/>
      <c r="G193" s="25">
        <v>100311</v>
      </c>
      <c r="H193" s="300" t="str">
        <f>CONCATENATE([1]Cover!$D$6,"fdd/view?i=",G193)</f>
        <v>https://www.dgiwg.org/FAD/fdd/view?i=100311</v>
      </c>
      <c r="I193" s="8" t="s">
        <v>2063</v>
      </c>
      <c r="J193" s="38" t="s">
        <v>151</v>
      </c>
    </row>
    <row r="194" spans="1:10" ht="63.75">
      <c r="A194" s="302" t="str">
        <f t="shared" si="2"/>
        <v>DepthCurve</v>
      </c>
      <c r="B194" s="6" t="s">
        <v>2069</v>
      </c>
      <c r="C194" s="17" t="s">
        <v>2070</v>
      </c>
      <c r="D194" s="10" t="s">
        <v>2071</v>
      </c>
      <c r="E194" s="10" t="s">
        <v>2072</v>
      </c>
      <c r="F194" s="55"/>
      <c r="G194" s="25">
        <v>100310</v>
      </c>
      <c r="H194" s="300" t="str">
        <f>CONCATENATE([1]Cover!$D$6,"fdd/view?i=",G194)</f>
        <v>https://www.dgiwg.org/FAD/fdd/view?i=100310</v>
      </c>
      <c r="I194" s="8" t="s">
        <v>2068</v>
      </c>
      <c r="J194" s="38" t="s">
        <v>151</v>
      </c>
    </row>
    <row r="195" spans="1:10">
      <c r="A195" s="302" t="str">
        <f t="shared" ref="A195:A258" si="3">HYPERLINK(H195,B195)</f>
        <v>Desert</v>
      </c>
      <c r="B195" s="6" t="s">
        <v>2074</v>
      </c>
      <c r="C195" s="17" t="s">
        <v>2074</v>
      </c>
      <c r="D195" s="10" t="s">
        <v>2075</v>
      </c>
      <c r="E195" s="55"/>
      <c r="F195" s="55"/>
      <c r="G195" s="25">
        <v>110679</v>
      </c>
      <c r="H195" s="300" t="str">
        <f>CONCATENATE([1]Cover!$D$6,"fdd/view?i=",G195)</f>
        <v>https://www.dgiwg.org/FAD/fdd/view?i=110679</v>
      </c>
      <c r="I195" s="8" t="s">
        <v>2073</v>
      </c>
      <c r="J195" s="38" t="s">
        <v>151</v>
      </c>
    </row>
    <row r="196" spans="1:10" ht="25.5">
      <c r="A196" s="302" t="str">
        <f t="shared" si="3"/>
        <v>MD_DigitalTransferOptions</v>
      </c>
      <c r="B196" s="6" t="s">
        <v>2077</v>
      </c>
      <c r="C196" s="17" t="s">
        <v>2078</v>
      </c>
      <c r="D196" s="10" t="s">
        <v>2079</v>
      </c>
      <c r="E196" s="55"/>
      <c r="F196" s="55"/>
      <c r="G196" s="25">
        <v>203466</v>
      </c>
      <c r="H196" s="300" t="str">
        <f>CONCATENATE([1]Cover!$D$6,"fdd/view?i=",G196)</f>
        <v>https://www.dgiwg.org/FAD/fdd/view?i=203466</v>
      </c>
      <c r="I196" s="8" t="s">
        <v>2076</v>
      </c>
      <c r="J196" s="38" t="s">
        <v>1295</v>
      </c>
    </row>
    <row r="197" spans="1:10" ht="51">
      <c r="A197" s="302" t="str">
        <f t="shared" si="3"/>
        <v>DisasterInfo</v>
      </c>
      <c r="B197" s="6" t="s">
        <v>2081</v>
      </c>
      <c r="C197" s="17" t="s">
        <v>2082</v>
      </c>
      <c r="D197" s="10" t="s">
        <v>2083</v>
      </c>
      <c r="E197" s="10" t="s">
        <v>2084</v>
      </c>
      <c r="F197" s="55"/>
      <c r="G197" s="25">
        <v>204296</v>
      </c>
      <c r="H197" s="300" t="str">
        <f>CONCATENATE([1]Cover!$D$6,"fdd/view?i=",G197)</f>
        <v>https://www.dgiwg.org/FAD/fdd/view?i=204296</v>
      </c>
      <c r="I197" s="8" t="s">
        <v>2080</v>
      </c>
      <c r="J197" s="38" t="s">
        <v>1295</v>
      </c>
    </row>
    <row r="198" spans="1:10" ht="51">
      <c r="A198" s="302" t="str">
        <f t="shared" si="3"/>
        <v>DisasterSite</v>
      </c>
      <c r="B198" s="6" t="s">
        <v>2086</v>
      </c>
      <c r="C198" s="17" t="s">
        <v>2087</v>
      </c>
      <c r="D198" s="10" t="s">
        <v>2088</v>
      </c>
      <c r="E198" s="55"/>
      <c r="F198" s="55"/>
      <c r="G198" s="25">
        <v>118445</v>
      </c>
      <c r="H198" s="300" t="str">
        <f>CONCATENATE([1]Cover!$D$6,"fdd/view?i=",G198)</f>
        <v>https://www.dgiwg.org/FAD/fdd/view?i=118445</v>
      </c>
      <c r="I198" s="8" t="s">
        <v>2085</v>
      </c>
      <c r="J198" s="38" t="s">
        <v>151</v>
      </c>
    </row>
    <row r="199" spans="1:10" ht="25.5">
      <c r="A199" s="302" t="str">
        <f t="shared" si="3"/>
        <v>DiscolouredWater</v>
      </c>
      <c r="B199" s="6" t="s">
        <v>2090</v>
      </c>
      <c r="C199" s="17" t="s">
        <v>2091</v>
      </c>
      <c r="D199" s="10" t="s">
        <v>2092</v>
      </c>
      <c r="E199" s="55"/>
      <c r="F199" s="10" t="s">
        <v>2093</v>
      </c>
      <c r="G199" s="25">
        <v>100285</v>
      </c>
      <c r="H199" s="300" t="str">
        <f>CONCATENATE([1]Cover!$D$6,"fdd/view?i=",G199)</f>
        <v>https://www.dgiwg.org/FAD/fdd/view?i=100285</v>
      </c>
      <c r="I199" s="8" t="s">
        <v>2089</v>
      </c>
      <c r="J199" s="38" t="s">
        <v>151</v>
      </c>
    </row>
    <row r="200" spans="1:10" ht="38.25">
      <c r="A200" s="302" t="str">
        <f t="shared" si="3"/>
        <v>DishAerial</v>
      </c>
      <c r="B200" s="6" t="s">
        <v>2095</v>
      </c>
      <c r="C200" s="17" t="s">
        <v>2096</v>
      </c>
      <c r="D200" s="10" t="s">
        <v>2097</v>
      </c>
      <c r="E200" s="10" t="s">
        <v>2098</v>
      </c>
      <c r="F200" s="10" t="s">
        <v>2099</v>
      </c>
      <c r="G200" s="25">
        <v>100194</v>
      </c>
      <c r="H200" s="300" t="str">
        <f>CONCATENATE([1]Cover!$D$6,"fdd/view?i=",G200)</f>
        <v>https://www.dgiwg.org/FAD/fdd/view?i=100194</v>
      </c>
      <c r="I200" s="8" t="s">
        <v>2094</v>
      </c>
      <c r="J200" s="38" t="s">
        <v>151</v>
      </c>
    </row>
    <row r="201" spans="1:10">
      <c r="A201" s="302" t="str">
        <f t="shared" si="3"/>
        <v>DisplaySign</v>
      </c>
      <c r="B201" s="6" t="s">
        <v>2101</v>
      </c>
      <c r="C201" s="17" t="s">
        <v>2102</v>
      </c>
      <c r="D201" s="10" t="s">
        <v>2103</v>
      </c>
      <c r="E201" s="55"/>
      <c r="F201" s="55"/>
      <c r="G201" s="25">
        <v>100091</v>
      </c>
      <c r="H201" s="300" t="str">
        <f>CONCATENATE([1]Cover!$D$6,"fdd/view?i=",G201)</f>
        <v>https://www.dgiwg.org/FAD/fdd/view?i=100091</v>
      </c>
      <c r="I201" s="8" t="s">
        <v>2100</v>
      </c>
      <c r="J201" s="38" t="s">
        <v>151</v>
      </c>
    </row>
    <row r="202" spans="1:10" ht="25.5">
      <c r="A202" s="302" t="str">
        <f t="shared" si="3"/>
        <v>DisposalSite</v>
      </c>
      <c r="B202" s="6" t="s">
        <v>2105</v>
      </c>
      <c r="C202" s="17" t="s">
        <v>2106</v>
      </c>
      <c r="D202" s="10" t="s">
        <v>2107</v>
      </c>
      <c r="E202" s="55"/>
      <c r="F202" s="10" t="s">
        <v>2108</v>
      </c>
      <c r="G202" s="25">
        <v>100010</v>
      </c>
      <c r="H202" s="300" t="str">
        <f>CONCATENATE([1]Cover!$D$6,"fdd/view?i=",G202)</f>
        <v>https://www.dgiwg.org/FAD/fdd/view?i=100010</v>
      </c>
      <c r="I202" s="8" t="s">
        <v>2104</v>
      </c>
      <c r="J202" s="38" t="s">
        <v>151</v>
      </c>
    </row>
    <row r="203" spans="1:10" ht="25.5">
      <c r="A203" s="302" t="str">
        <f t="shared" si="3"/>
        <v>DistanceMark</v>
      </c>
      <c r="B203" s="6" t="s">
        <v>2110</v>
      </c>
      <c r="C203" s="17" t="s">
        <v>2111</v>
      </c>
      <c r="D203" s="10" t="s">
        <v>2112</v>
      </c>
      <c r="E203" s="10" t="s">
        <v>2113</v>
      </c>
      <c r="F203" s="55"/>
      <c r="G203" s="25">
        <v>100567</v>
      </c>
      <c r="H203" s="300" t="str">
        <f>CONCATENATE([1]Cover!$D$6,"fdd/view?i=",G203)</f>
        <v>https://www.dgiwg.org/FAD/fdd/view?i=100567</v>
      </c>
      <c r="I203" s="8" t="s">
        <v>2109</v>
      </c>
      <c r="J203" s="38" t="s">
        <v>151</v>
      </c>
    </row>
    <row r="204" spans="1:10" ht="63.75">
      <c r="A204" s="302" t="str">
        <f t="shared" si="3"/>
        <v>DistanceMeasuringEquipment</v>
      </c>
      <c r="B204" s="6" t="s">
        <v>2115</v>
      </c>
      <c r="C204" s="17" t="s">
        <v>2116</v>
      </c>
      <c r="D204" s="10" t="s">
        <v>2117</v>
      </c>
      <c r="E204" s="10" t="s">
        <v>2118</v>
      </c>
      <c r="F204" s="10" t="s">
        <v>2119</v>
      </c>
      <c r="G204" s="25">
        <v>114502</v>
      </c>
      <c r="H204" s="300" t="str">
        <f>CONCATENATE([1]Cover!$D$6,"fdd/view?i=",G204)</f>
        <v>https://www.dgiwg.org/FAD/fdd/view?i=114502</v>
      </c>
      <c r="I204" s="8" t="s">
        <v>2114</v>
      </c>
      <c r="J204" s="38" t="s">
        <v>151</v>
      </c>
    </row>
    <row r="205" spans="1:10" ht="25.5">
      <c r="A205" s="302" t="str">
        <f t="shared" si="3"/>
        <v>Ditch</v>
      </c>
      <c r="B205" s="6" t="s">
        <v>2121</v>
      </c>
      <c r="C205" s="17" t="s">
        <v>2121</v>
      </c>
      <c r="D205" s="10" t="s">
        <v>2122</v>
      </c>
      <c r="E205" s="55"/>
      <c r="F205" s="55"/>
      <c r="G205" s="25">
        <v>100334</v>
      </c>
      <c r="H205" s="300" t="str">
        <f>CONCATENATE([1]Cover!$D$6,"fdd/view?i=",G205)</f>
        <v>https://www.dgiwg.org/FAD/fdd/view?i=100334</v>
      </c>
      <c r="I205" s="8" t="s">
        <v>2120</v>
      </c>
      <c r="J205" s="38" t="s">
        <v>151</v>
      </c>
    </row>
    <row r="206" spans="1:10" ht="25.5">
      <c r="A206" s="302" t="str">
        <f t="shared" si="3"/>
        <v>Dock</v>
      </c>
      <c r="B206" s="6" t="s">
        <v>2124</v>
      </c>
      <c r="C206" s="17" t="s">
        <v>2124</v>
      </c>
      <c r="D206" s="10" t="s">
        <v>2125</v>
      </c>
      <c r="E206" s="55"/>
      <c r="F206" s="55"/>
      <c r="G206" s="25">
        <v>110906</v>
      </c>
      <c r="H206" s="300" t="str">
        <f>CONCATENATE([1]Cover!$D$6,"fdd/view?i=",G206)</f>
        <v>https://www.dgiwg.org/FAD/fdd/view?i=110906</v>
      </c>
      <c r="I206" s="8" t="s">
        <v>2123</v>
      </c>
      <c r="J206" s="38" t="s">
        <v>151</v>
      </c>
    </row>
    <row r="207" spans="1:10" ht="25.5">
      <c r="A207" s="302" t="str">
        <f t="shared" si="3"/>
        <v>Dolphin</v>
      </c>
      <c r="B207" s="6" t="s">
        <v>2127</v>
      </c>
      <c r="C207" s="17" t="s">
        <v>2127</v>
      </c>
      <c r="D207" s="10" t="s">
        <v>2128</v>
      </c>
      <c r="E207" s="55"/>
      <c r="F207" s="55"/>
      <c r="G207" s="25">
        <v>100233</v>
      </c>
      <c r="H207" s="300" t="str">
        <f>CONCATENATE([1]Cover!$D$6,"fdd/view?i=",G207)</f>
        <v>https://www.dgiwg.org/FAD/fdd/view?i=100233</v>
      </c>
      <c r="I207" s="8" t="s">
        <v>2126</v>
      </c>
      <c r="J207" s="38" t="s">
        <v>151</v>
      </c>
    </row>
    <row r="208" spans="1:10" ht="25.5">
      <c r="A208" s="302" t="str">
        <f t="shared" si="3"/>
        <v>DragonsTeeth</v>
      </c>
      <c r="B208" s="6" t="s">
        <v>2130</v>
      </c>
      <c r="C208" s="17" t="s">
        <v>2131</v>
      </c>
      <c r="D208" s="10" t="s">
        <v>2132</v>
      </c>
      <c r="E208" s="10" t="s">
        <v>2133</v>
      </c>
      <c r="F208" s="55"/>
      <c r="G208" s="25">
        <v>100092</v>
      </c>
      <c r="H208" s="300" t="str">
        <f>CONCATENATE([1]Cover!$D$6,"fdd/view?i=",G208)</f>
        <v>https://www.dgiwg.org/FAD/fdd/view?i=100092</v>
      </c>
      <c r="I208" s="8" t="s">
        <v>2129</v>
      </c>
      <c r="J208" s="38" t="s">
        <v>151</v>
      </c>
    </row>
    <row r="209" spans="1:10" ht="25.5">
      <c r="A209" s="302" t="str">
        <f t="shared" si="3"/>
        <v>DrainageBasin</v>
      </c>
      <c r="B209" s="6" t="s">
        <v>2135</v>
      </c>
      <c r="C209" s="17" t="s">
        <v>2136</v>
      </c>
      <c r="D209" s="10" t="s">
        <v>2137</v>
      </c>
      <c r="E209" s="55"/>
      <c r="F209" s="10" t="s">
        <v>2138</v>
      </c>
      <c r="G209" s="25">
        <v>111375</v>
      </c>
      <c r="H209" s="300" t="str">
        <f>CONCATENATE([1]Cover!$D$6,"fdd/view?i=",G209)</f>
        <v>https://www.dgiwg.org/FAD/fdd/view?i=111375</v>
      </c>
      <c r="I209" s="8" t="s">
        <v>2134</v>
      </c>
      <c r="J209" s="38" t="s">
        <v>151</v>
      </c>
    </row>
    <row r="210" spans="1:10" ht="38.25">
      <c r="A210" s="302" t="str">
        <f t="shared" si="3"/>
        <v>DrainageLimit</v>
      </c>
      <c r="B210" s="6" t="s">
        <v>2140</v>
      </c>
      <c r="C210" s="17" t="s">
        <v>2141</v>
      </c>
      <c r="D210" s="10" t="s">
        <v>2142</v>
      </c>
      <c r="E210" s="55"/>
      <c r="F210" s="55"/>
      <c r="G210" s="25">
        <v>118437</v>
      </c>
      <c r="H210" s="300" t="str">
        <f>CONCATENATE([1]Cover!$D$6,"fdd/view?i=",G210)</f>
        <v>https://www.dgiwg.org/FAD/fdd/view?i=118437</v>
      </c>
      <c r="I210" s="8" t="s">
        <v>2139</v>
      </c>
      <c r="J210" s="38" t="s">
        <v>151</v>
      </c>
    </row>
    <row r="211" spans="1:10" ht="25.5">
      <c r="A211" s="302" t="str">
        <f t="shared" si="3"/>
        <v>DredgedArea</v>
      </c>
      <c r="B211" s="6" t="s">
        <v>2144</v>
      </c>
      <c r="C211" s="17" t="s">
        <v>2145</v>
      </c>
      <c r="D211" s="10" t="s">
        <v>2146</v>
      </c>
      <c r="E211" s="55"/>
      <c r="F211" s="55"/>
      <c r="G211" s="25">
        <v>111102</v>
      </c>
      <c r="H211" s="300" t="str">
        <f>CONCATENATE([1]Cover!$D$6,"fdd/view?i=",G211)</f>
        <v>https://www.dgiwg.org/FAD/fdd/view?i=111102</v>
      </c>
      <c r="I211" s="8" t="s">
        <v>2143</v>
      </c>
      <c r="J211" s="38" t="s">
        <v>151</v>
      </c>
    </row>
    <row r="212" spans="1:10" ht="25.5">
      <c r="A212" s="302" t="str">
        <f t="shared" si="3"/>
        <v>DriveInTheatre</v>
      </c>
      <c r="B212" s="6" t="s">
        <v>2148</v>
      </c>
      <c r="C212" s="17" t="s">
        <v>2149</v>
      </c>
      <c r="D212" s="10" t="s">
        <v>2150</v>
      </c>
      <c r="E212" s="55"/>
      <c r="F212" s="10" t="s">
        <v>2151</v>
      </c>
      <c r="G212" s="25">
        <v>100057</v>
      </c>
      <c r="H212" s="300" t="str">
        <f>CONCATENATE([1]Cover!$D$6,"fdd/view?i=",G212)</f>
        <v>https://www.dgiwg.org/FAD/fdd/view?i=100057</v>
      </c>
      <c r="I212" s="8" t="s">
        <v>2147</v>
      </c>
      <c r="J212" s="38" t="s">
        <v>151</v>
      </c>
    </row>
    <row r="213" spans="1:10" ht="38.25">
      <c r="A213" s="302" t="str">
        <f t="shared" si="3"/>
        <v>DryDock</v>
      </c>
      <c r="B213" s="6" t="s">
        <v>2153</v>
      </c>
      <c r="C213" s="17" t="s">
        <v>2154</v>
      </c>
      <c r="D213" s="10" t="s">
        <v>2155</v>
      </c>
      <c r="E213" s="55"/>
      <c r="F213" s="10" t="s">
        <v>2156</v>
      </c>
      <c r="G213" s="25">
        <v>100235</v>
      </c>
      <c r="H213" s="300" t="str">
        <f>CONCATENATE([1]Cover!$D$6,"fdd/view?i=",G213)</f>
        <v>https://www.dgiwg.org/FAD/fdd/view?i=100235</v>
      </c>
      <c r="I213" s="8" t="s">
        <v>2152</v>
      </c>
      <c r="J213" s="38" t="s">
        <v>151</v>
      </c>
    </row>
    <row r="214" spans="1:10" ht="38.25">
      <c r="A214" s="302" t="str">
        <f t="shared" si="3"/>
        <v>DumpingGround</v>
      </c>
      <c r="B214" s="6" t="s">
        <v>2158</v>
      </c>
      <c r="C214" s="17" t="s">
        <v>2159</v>
      </c>
      <c r="D214" s="10" t="s">
        <v>2160</v>
      </c>
      <c r="E214" s="55"/>
      <c r="F214" s="55"/>
      <c r="G214" s="25">
        <v>111101</v>
      </c>
      <c r="H214" s="300" t="str">
        <f>CONCATENATE([1]Cover!$D$6,"fdd/view?i=",G214)</f>
        <v>https://www.dgiwg.org/FAD/fdd/view?i=111101</v>
      </c>
      <c r="I214" s="8" t="s">
        <v>2157</v>
      </c>
      <c r="J214" s="38" t="s">
        <v>151</v>
      </c>
    </row>
    <row r="215" spans="1:10" ht="25.5">
      <c r="A215" s="302" t="str">
        <f t="shared" si="3"/>
        <v>Earthquake</v>
      </c>
      <c r="B215" s="6" t="s">
        <v>2162</v>
      </c>
      <c r="C215" s="17" t="s">
        <v>2162</v>
      </c>
      <c r="D215" s="10" t="s">
        <v>2163</v>
      </c>
      <c r="E215" s="10" t="s">
        <v>2164</v>
      </c>
      <c r="F215" s="55"/>
      <c r="G215" s="25">
        <v>204306</v>
      </c>
      <c r="H215" s="300" t="str">
        <f>CONCATENATE([1]Cover!$D$6,"fdd/view?i=",G215)</f>
        <v>https://www.dgiwg.org/FAD/fdd/view?i=204306</v>
      </c>
      <c r="I215" s="8" t="s">
        <v>2161</v>
      </c>
      <c r="J215" s="38" t="s">
        <v>1295</v>
      </c>
    </row>
    <row r="216" spans="1:10" ht="25.5">
      <c r="A216" s="302" t="str">
        <f t="shared" si="3"/>
        <v>EconomicReserve</v>
      </c>
      <c r="B216" s="6" t="s">
        <v>2166</v>
      </c>
      <c r="C216" s="17" t="s">
        <v>2167</v>
      </c>
      <c r="D216" s="10" t="s">
        <v>2168</v>
      </c>
      <c r="E216" s="10" t="s">
        <v>2169</v>
      </c>
      <c r="F216" s="55"/>
      <c r="G216" s="25">
        <v>111452</v>
      </c>
      <c r="H216" s="300" t="str">
        <f>CONCATENATE([1]Cover!$D$6,"fdd/view?i=",G216)</f>
        <v>https://www.dgiwg.org/FAD/fdd/view?i=111452</v>
      </c>
      <c r="I216" s="8" t="s">
        <v>2165</v>
      </c>
      <c r="J216" s="38" t="s">
        <v>151</v>
      </c>
    </row>
    <row r="217" spans="1:10" ht="38.25">
      <c r="A217" s="302" t="str">
        <f t="shared" si="3"/>
        <v>EducationalInfo</v>
      </c>
      <c r="B217" s="6" t="s">
        <v>2171</v>
      </c>
      <c r="C217" s="17" t="s">
        <v>2172</v>
      </c>
      <c r="D217" s="10" t="s">
        <v>2173</v>
      </c>
      <c r="E217" s="55"/>
      <c r="F217" s="55"/>
      <c r="G217" s="25">
        <v>204297</v>
      </c>
      <c r="H217" s="300" t="str">
        <f>CONCATENATE([1]Cover!$D$6,"fdd/view?i=",G217)</f>
        <v>https://www.dgiwg.org/FAD/fdd/view?i=204297</v>
      </c>
      <c r="I217" s="8" t="s">
        <v>2170</v>
      </c>
      <c r="J217" s="38" t="s">
        <v>1295</v>
      </c>
    </row>
    <row r="218" spans="1:10" ht="140.25">
      <c r="A218" s="302" t="str">
        <f t="shared" si="3"/>
        <v>ElecPowerCongestionInfo</v>
      </c>
      <c r="B218" s="6" t="s">
        <v>2175</v>
      </c>
      <c r="C218" s="17" t="s">
        <v>2176</v>
      </c>
      <c r="D218" s="10" t="s">
        <v>2177</v>
      </c>
      <c r="E218" s="10" t="s">
        <v>2178</v>
      </c>
      <c r="F218" s="55"/>
      <c r="G218" s="25">
        <v>204287</v>
      </c>
      <c r="H218" s="300" t="str">
        <f>CONCATENATE([1]Cover!$D$6,"fdd/view?i=",G218)</f>
        <v>https://www.dgiwg.org/FAD/fdd/view?i=204287</v>
      </c>
      <c r="I218" s="8" t="s">
        <v>2174</v>
      </c>
      <c r="J218" s="38" t="s">
        <v>1295</v>
      </c>
    </row>
    <row r="219" spans="1:10" ht="25.5">
      <c r="A219" s="302" t="str">
        <f t="shared" si="3"/>
        <v>ElecPowerManagementRegion</v>
      </c>
      <c r="B219" s="6" t="s">
        <v>2180</v>
      </c>
      <c r="C219" s="17" t="s">
        <v>2181</v>
      </c>
      <c r="D219" s="10" t="s">
        <v>2182</v>
      </c>
      <c r="E219" s="55"/>
      <c r="F219" s="55"/>
      <c r="G219" s="25">
        <v>119089</v>
      </c>
      <c r="H219" s="300" t="str">
        <f>CONCATENATE([1]Cover!$D$6,"fdd/view?i=",G219)</f>
        <v>https://www.dgiwg.org/FAD/fdd/view?i=119089</v>
      </c>
      <c r="I219" s="8" t="s">
        <v>2179</v>
      </c>
      <c r="J219" s="38" t="s">
        <v>151</v>
      </c>
    </row>
    <row r="220" spans="1:10" ht="102">
      <c r="A220" s="302" t="str">
        <f t="shared" si="3"/>
        <v>ElectricPowerStation</v>
      </c>
      <c r="B220" s="6" t="s">
        <v>2184</v>
      </c>
      <c r="C220" s="17" t="s">
        <v>2185</v>
      </c>
      <c r="D220" s="10" t="s">
        <v>2186</v>
      </c>
      <c r="E220" s="10" t="s">
        <v>2187</v>
      </c>
      <c r="F220" s="55"/>
      <c r="G220" s="25">
        <v>118991</v>
      </c>
      <c r="H220" s="300" t="str">
        <f>CONCATENATE([1]Cover!$D$6,"fdd/view?i=",G220)</f>
        <v>https://www.dgiwg.org/FAD/fdd/view?i=118991</v>
      </c>
      <c r="I220" s="8" t="s">
        <v>2183</v>
      </c>
      <c r="J220" s="38" t="s">
        <v>151</v>
      </c>
    </row>
    <row r="221" spans="1:10" ht="25.5">
      <c r="A221" s="302" t="str">
        <f t="shared" si="3"/>
        <v>ElevationContour</v>
      </c>
      <c r="B221" s="6" t="s">
        <v>2189</v>
      </c>
      <c r="C221" s="17" t="s">
        <v>2190</v>
      </c>
      <c r="D221" s="10" t="s">
        <v>2191</v>
      </c>
      <c r="E221" s="55"/>
      <c r="F221" s="55"/>
      <c r="G221" s="25">
        <v>100392</v>
      </c>
      <c r="H221" s="300" t="str">
        <f>CONCATENATE([1]Cover!$D$6,"fdd/view?i=",G221)</f>
        <v>https://www.dgiwg.org/FAD/fdd/view?i=100392</v>
      </c>
      <c r="I221" s="8" t="s">
        <v>2188</v>
      </c>
      <c r="J221" s="38" t="s">
        <v>151</v>
      </c>
    </row>
    <row r="222" spans="1:10">
      <c r="A222" s="302" t="str">
        <f t="shared" si="3"/>
        <v>Embankment</v>
      </c>
      <c r="B222" s="6" t="s">
        <v>2193</v>
      </c>
      <c r="C222" s="17" t="s">
        <v>2193</v>
      </c>
      <c r="D222" s="10" t="s">
        <v>2194</v>
      </c>
      <c r="E222" s="55"/>
      <c r="F222" s="55"/>
      <c r="G222" s="25">
        <v>100412</v>
      </c>
      <c r="H222" s="300" t="str">
        <f>CONCATENATE([1]Cover!$D$6,"fdd/view?i=",G222)</f>
        <v>https://www.dgiwg.org/FAD/fdd/view?i=100412</v>
      </c>
      <c r="I222" s="8" t="s">
        <v>2192</v>
      </c>
      <c r="J222" s="38" t="s">
        <v>151</v>
      </c>
    </row>
    <row r="223" spans="1:10" ht="51">
      <c r="A223" s="302" t="str">
        <f t="shared" si="3"/>
        <v>EmergencyMedicalService</v>
      </c>
      <c r="B223" s="6" t="s">
        <v>2196</v>
      </c>
      <c r="C223" s="17" t="s">
        <v>2197</v>
      </c>
      <c r="D223" s="10" t="s">
        <v>2198</v>
      </c>
      <c r="E223" s="10" t="s">
        <v>2199</v>
      </c>
      <c r="F223" s="55"/>
      <c r="G223" s="25">
        <v>207651</v>
      </c>
      <c r="H223" s="300" t="str">
        <f>CONCATENATE([1]Cover!$D$6,"fdd/view?i=",G223)</f>
        <v>https://www.dgiwg.org/FAD/fdd/view?i=207651</v>
      </c>
      <c r="I223" s="8" t="s">
        <v>2195</v>
      </c>
      <c r="J223" s="38" t="s">
        <v>1295</v>
      </c>
    </row>
    <row r="224" spans="1:10" ht="51">
      <c r="A224" s="302" t="str">
        <f t="shared" si="3"/>
        <v>EmergencyPlanningZone</v>
      </c>
      <c r="B224" s="6" t="s">
        <v>2201</v>
      </c>
      <c r="C224" s="17" t="s">
        <v>2202</v>
      </c>
      <c r="D224" s="10" t="s">
        <v>2203</v>
      </c>
      <c r="E224" s="55"/>
      <c r="F224" s="55"/>
      <c r="G224" s="25">
        <v>119091</v>
      </c>
      <c r="H224" s="300" t="str">
        <f>CONCATENATE([1]Cover!$D$6,"fdd/view?i=",G224)</f>
        <v>https://www.dgiwg.org/FAD/fdd/view?i=119091</v>
      </c>
      <c r="I224" s="8" t="s">
        <v>2200</v>
      </c>
      <c r="J224" s="38" t="s">
        <v>151</v>
      </c>
    </row>
    <row r="225" spans="1:10" ht="38.25">
      <c r="A225" s="302" t="str">
        <f t="shared" si="3"/>
        <v>EmergencyResponseService</v>
      </c>
      <c r="B225" s="6" t="s">
        <v>2205</v>
      </c>
      <c r="C225" s="17" t="s">
        <v>2206</v>
      </c>
      <c r="D225" s="10" t="s">
        <v>2207</v>
      </c>
      <c r="E225" s="10" t="s">
        <v>2208</v>
      </c>
      <c r="F225" s="55"/>
      <c r="G225" s="25">
        <v>207652</v>
      </c>
      <c r="H225" s="300" t="str">
        <f>CONCATENATE([1]Cover!$D$6,"fdd/view?i=",G225)</f>
        <v>https://www.dgiwg.org/FAD/fdd/view?i=207652</v>
      </c>
      <c r="I225" s="8" t="s">
        <v>2204</v>
      </c>
      <c r="J225" s="38" t="s">
        <v>1295</v>
      </c>
    </row>
    <row r="226" spans="1:10" ht="25.5">
      <c r="A226" s="302" t="str">
        <f t="shared" si="3"/>
        <v>EmergencyResponseEquipInfo</v>
      </c>
      <c r="B226" s="6" t="s">
        <v>2210</v>
      </c>
      <c r="C226" s="17" t="s">
        <v>2211</v>
      </c>
      <c r="D226" s="10" t="s">
        <v>2212</v>
      </c>
      <c r="E226" s="10" t="s">
        <v>2213</v>
      </c>
      <c r="F226" s="55"/>
      <c r="G226" s="25">
        <v>207659</v>
      </c>
      <c r="H226" s="300" t="str">
        <f>CONCATENATE([1]Cover!$D$6,"fdd/view?i=",G226)</f>
        <v>https://www.dgiwg.org/FAD/fdd/view?i=207659</v>
      </c>
      <c r="I226" s="8" t="s">
        <v>2209</v>
      </c>
      <c r="J226" s="38" t="s">
        <v>1295</v>
      </c>
    </row>
    <row r="227" spans="1:10" ht="76.5">
      <c r="A227" s="302" t="str">
        <f t="shared" si="3"/>
        <v>EngineTestCell</v>
      </c>
      <c r="B227" s="6" t="s">
        <v>2215</v>
      </c>
      <c r="C227" s="17" t="s">
        <v>2216</v>
      </c>
      <c r="D227" s="10" t="s">
        <v>2217</v>
      </c>
      <c r="E227" s="10" t="s">
        <v>2218</v>
      </c>
      <c r="F227" s="55"/>
      <c r="G227" s="25">
        <v>100035</v>
      </c>
      <c r="H227" s="300" t="str">
        <f>CONCATENATE([1]Cover!$D$6,"fdd/view?i=",G227)</f>
        <v>https://www.dgiwg.org/FAD/fdd/view?i=100035</v>
      </c>
      <c r="I227" s="8" t="s">
        <v>2214</v>
      </c>
      <c r="J227" s="38" t="s">
        <v>151</v>
      </c>
    </row>
    <row r="228" spans="1:10" ht="38.25">
      <c r="A228" s="302" t="str">
        <f t="shared" si="3"/>
        <v>EngineeredEarthwork</v>
      </c>
      <c r="B228" s="6" t="s">
        <v>2220</v>
      </c>
      <c r="C228" s="17" t="s">
        <v>2221</v>
      </c>
      <c r="D228" s="10" t="s">
        <v>2222</v>
      </c>
      <c r="E228" s="10" t="s">
        <v>2223</v>
      </c>
      <c r="F228" s="55"/>
      <c r="G228" s="25">
        <v>117988</v>
      </c>
      <c r="H228" s="300" t="str">
        <f>CONCATENATE([1]Cover!$D$6,"fdd/view?i=",G228)</f>
        <v>https://www.dgiwg.org/FAD/fdd/view?i=117988</v>
      </c>
      <c r="I228" s="8" t="s">
        <v>2219</v>
      </c>
      <c r="J228" s="38" t="s">
        <v>151</v>
      </c>
    </row>
    <row r="229" spans="1:10" ht="51">
      <c r="A229" s="302" t="str">
        <f t="shared" si="3"/>
        <v>EnrouteAtsRoute</v>
      </c>
      <c r="B229" s="6" t="s">
        <v>2225</v>
      </c>
      <c r="C229" s="17" t="s">
        <v>2226</v>
      </c>
      <c r="D229" s="10" t="s">
        <v>2227</v>
      </c>
      <c r="E229" s="55"/>
      <c r="F229" s="10" t="s">
        <v>2228</v>
      </c>
      <c r="G229" s="25">
        <v>114521</v>
      </c>
      <c r="H229" s="300" t="str">
        <f>CONCATENATE([1]Cover!$D$6,"fdd/view?i=",G229)</f>
        <v>https://www.dgiwg.org/FAD/fdd/view?i=114521</v>
      </c>
      <c r="I229" s="8" t="s">
        <v>2224</v>
      </c>
      <c r="J229" s="38" t="s">
        <v>151</v>
      </c>
    </row>
    <row r="230" spans="1:10" ht="51">
      <c r="A230" s="302" t="str">
        <f t="shared" si="3"/>
        <v>Entity</v>
      </c>
      <c r="B230" s="6" t="s">
        <v>2230</v>
      </c>
      <c r="C230" s="17" t="s">
        <v>2230</v>
      </c>
      <c r="D230" s="10" t="s">
        <v>2231</v>
      </c>
      <c r="E230" s="10" t="s">
        <v>2232</v>
      </c>
      <c r="F230" s="55"/>
      <c r="G230" s="25">
        <v>117766</v>
      </c>
      <c r="H230" s="300" t="str">
        <f>CONCATENATE([1]Cover!$D$6,"fdd/view?i=",G230)</f>
        <v>https://www.dgiwg.org/FAD/fdd/view?i=117766</v>
      </c>
      <c r="I230" s="8" t="s">
        <v>2229</v>
      </c>
      <c r="J230" s="38" t="s">
        <v>151</v>
      </c>
    </row>
    <row r="231" spans="1:10" ht="38.25">
      <c r="A231" s="302" t="str">
        <f t="shared" si="3"/>
        <v>EntityCollection</v>
      </c>
      <c r="B231" s="6" t="s">
        <v>2234</v>
      </c>
      <c r="C231" s="17" t="s">
        <v>2235</v>
      </c>
      <c r="D231" s="10" t="s">
        <v>2236</v>
      </c>
      <c r="E231" s="10" t="s">
        <v>2237</v>
      </c>
      <c r="F231" s="55"/>
      <c r="G231" s="25">
        <v>117767</v>
      </c>
      <c r="H231" s="300" t="str">
        <f>CONCATENATE([1]Cover!$D$6,"fdd/view?i=",G231)</f>
        <v>https://www.dgiwg.org/FAD/fdd/view?i=117767</v>
      </c>
      <c r="I231" s="8" t="s">
        <v>2233</v>
      </c>
      <c r="J231" s="38" t="s">
        <v>151</v>
      </c>
    </row>
    <row r="232" spans="1:10" ht="38.25">
      <c r="A232" s="302" t="str">
        <f t="shared" si="3"/>
        <v>EntityCollectGAMetadata</v>
      </c>
      <c r="B232" s="6" t="s">
        <v>2239</v>
      </c>
      <c r="C232" s="17" t="s">
        <v>2240</v>
      </c>
      <c r="D232" s="10" t="s">
        <v>2241</v>
      </c>
      <c r="E232" s="10" t="s">
        <v>2242</v>
      </c>
      <c r="F232" s="55"/>
      <c r="G232" s="25">
        <v>203849</v>
      </c>
      <c r="H232" s="300" t="str">
        <f>CONCATENATE([1]Cover!$D$6,"fdd/view?i=",G232)</f>
        <v>https://www.dgiwg.org/FAD/fdd/view?i=203849</v>
      </c>
      <c r="I232" s="8" t="s">
        <v>2238</v>
      </c>
      <c r="J232" s="38" t="s">
        <v>1295</v>
      </c>
    </row>
    <row r="233" spans="1:10" ht="63.75">
      <c r="A233" s="302" t="str">
        <f t="shared" si="3"/>
        <v>EntityCollectionMetadata</v>
      </c>
      <c r="B233" s="6" t="s">
        <v>2244</v>
      </c>
      <c r="C233" s="17" t="s">
        <v>2245</v>
      </c>
      <c r="D233" s="10" t="s">
        <v>2246</v>
      </c>
      <c r="E233" s="10" t="s">
        <v>2247</v>
      </c>
      <c r="F233" s="55"/>
      <c r="G233" s="25">
        <v>207787</v>
      </c>
      <c r="H233" s="300" t="str">
        <f>CONCATENATE([1]Cover!$D$6,"fdd/view?i=",G233)</f>
        <v>https://www.dgiwg.org/FAD/fdd/view?i=207787</v>
      </c>
      <c r="I233" s="8" t="s">
        <v>2243</v>
      </c>
      <c r="J233" s="38" t="s">
        <v>1295</v>
      </c>
    </row>
    <row r="234" spans="1:10">
      <c r="A234" s="302" t="str">
        <f t="shared" si="3"/>
        <v>EntranceExit</v>
      </c>
      <c r="B234" s="6" t="s">
        <v>2249</v>
      </c>
      <c r="C234" s="17" t="s">
        <v>2250</v>
      </c>
      <c r="D234" s="10" t="s">
        <v>2251</v>
      </c>
      <c r="E234" s="10" t="s">
        <v>2252</v>
      </c>
      <c r="F234" s="55"/>
      <c r="G234" s="25">
        <v>100169</v>
      </c>
      <c r="H234" s="300" t="str">
        <f>CONCATENATE([1]Cover!$D$6,"fdd/view?i=",G234)</f>
        <v>https://www.dgiwg.org/FAD/fdd/view?i=100169</v>
      </c>
      <c r="I234" s="8" t="s">
        <v>2248</v>
      </c>
      <c r="J234" s="38" t="s">
        <v>151</v>
      </c>
    </row>
    <row r="235" spans="1:10" ht="51">
      <c r="A235" s="302" t="str">
        <f t="shared" si="3"/>
        <v>EpaProgramInfo</v>
      </c>
      <c r="B235" s="6" t="s">
        <v>2254</v>
      </c>
      <c r="C235" s="17" t="s">
        <v>2255</v>
      </c>
      <c r="D235" s="10" t="s">
        <v>2256</v>
      </c>
      <c r="E235" s="10" t="s">
        <v>2257</v>
      </c>
      <c r="F235" s="55"/>
      <c r="G235" s="25">
        <v>204288</v>
      </c>
      <c r="H235" s="300" t="str">
        <f>CONCATENATE([1]Cover!$D$6,"fdd/view?i=",G235)</f>
        <v>https://www.dgiwg.org/FAD/fdd/view?i=204288</v>
      </c>
      <c r="I235" s="8" t="s">
        <v>2253</v>
      </c>
      <c r="J235" s="38" t="s">
        <v>1295</v>
      </c>
    </row>
    <row r="236" spans="1:10" ht="216.75">
      <c r="A236" s="302" t="str">
        <f t="shared" si="3"/>
        <v>EpaRiskManagementPlan</v>
      </c>
      <c r="B236" s="6" t="s">
        <v>2259</v>
      </c>
      <c r="C236" s="17" t="s">
        <v>2260</v>
      </c>
      <c r="D236" s="10" t="s">
        <v>2261</v>
      </c>
      <c r="E236" s="10" t="s">
        <v>2262</v>
      </c>
      <c r="F236" s="55"/>
      <c r="G236" s="25">
        <v>204289</v>
      </c>
      <c r="H236" s="300" t="str">
        <f>CONCATENATE([1]Cover!$D$6,"fdd/view?i=",G236)</f>
        <v>https://www.dgiwg.org/FAD/fdd/view?i=204289</v>
      </c>
      <c r="I236" s="8" t="s">
        <v>2258</v>
      </c>
      <c r="J236" s="38" t="s">
        <v>1295</v>
      </c>
    </row>
    <row r="237" spans="1:10">
      <c r="A237" s="302" t="str">
        <f t="shared" si="3"/>
        <v>Esker</v>
      </c>
      <c r="B237" s="6" t="s">
        <v>2264</v>
      </c>
      <c r="C237" s="17" t="s">
        <v>2264</v>
      </c>
      <c r="D237" s="10" t="s">
        <v>2265</v>
      </c>
      <c r="E237" s="55"/>
      <c r="F237" s="55"/>
      <c r="G237" s="25">
        <v>100413</v>
      </c>
      <c r="H237" s="300" t="str">
        <f>CONCATENATE([1]Cover!$D$6,"fdd/view?i=",G237)</f>
        <v>https://www.dgiwg.org/FAD/fdd/view?i=100413</v>
      </c>
      <c r="I237" s="8" t="s">
        <v>2263</v>
      </c>
      <c r="J237" s="38" t="s">
        <v>151</v>
      </c>
    </row>
    <row r="238" spans="1:10" ht="51">
      <c r="A238" s="302" t="str">
        <f t="shared" si="3"/>
        <v>EthnicGroup</v>
      </c>
      <c r="B238" s="6" t="s">
        <v>2267</v>
      </c>
      <c r="C238" s="17" t="s">
        <v>2268</v>
      </c>
      <c r="D238" s="10" t="s">
        <v>2269</v>
      </c>
      <c r="E238" s="10" t="s">
        <v>2270</v>
      </c>
      <c r="F238" s="55"/>
      <c r="G238" s="25">
        <v>207080</v>
      </c>
      <c r="H238" s="300" t="str">
        <f>CONCATENATE([1]Cover!$D$6,"fdd/view?i=",G238)</f>
        <v>https://www.dgiwg.org/FAD/fdd/view?i=207080</v>
      </c>
      <c r="I238" s="8" t="s">
        <v>2266</v>
      </c>
      <c r="J238" s="38" t="s">
        <v>1295</v>
      </c>
    </row>
    <row r="239" spans="1:10" ht="38.25">
      <c r="A239" s="302" t="str">
        <f t="shared" si="3"/>
        <v>EventEntity</v>
      </c>
      <c r="B239" s="6" t="s">
        <v>2272</v>
      </c>
      <c r="C239" s="17" t="s">
        <v>2273</v>
      </c>
      <c r="D239" s="10" t="s">
        <v>2274</v>
      </c>
      <c r="E239" s="10" t="s">
        <v>2275</v>
      </c>
      <c r="F239" s="55"/>
      <c r="G239" s="25">
        <v>114211</v>
      </c>
      <c r="H239" s="300" t="str">
        <f>CONCATENATE([1]Cover!$D$6,"fdd/view?i=",G239)</f>
        <v>https://www.dgiwg.org/FAD/fdd/view?i=114211</v>
      </c>
      <c r="I239" s="8" t="s">
        <v>2271</v>
      </c>
      <c r="J239" s="38" t="s">
        <v>151</v>
      </c>
    </row>
    <row r="240" spans="1:10">
      <c r="A240" s="302" t="str">
        <f t="shared" si="3"/>
        <v>ExcavatingMachine</v>
      </c>
      <c r="B240" s="6" t="s">
        <v>2277</v>
      </c>
      <c r="C240" s="17" t="s">
        <v>2278</v>
      </c>
      <c r="D240" s="10" t="s">
        <v>2279</v>
      </c>
      <c r="E240" s="10" t="s">
        <v>2280</v>
      </c>
      <c r="F240" s="55"/>
      <c r="G240" s="25">
        <v>100034</v>
      </c>
      <c r="H240" s="300" t="str">
        <f>CONCATENATE([1]Cover!$D$6,"fdd/view?i=",G240)</f>
        <v>https://www.dgiwg.org/FAD/fdd/view?i=100034</v>
      </c>
      <c r="I240" s="8" t="s">
        <v>2276</v>
      </c>
      <c r="J240" s="38" t="s">
        <v>151</v>
      </c>
    </row>
    <row r="241" spans="1:10" ht="25.5">
      <c r="A241" s="302" t="str">
        <f t="shared" si="3"/>
        <v>ExplosiveNavalMine</v>
      </c>
      <c r="B241" s="6" t="s">
        <v>2282</v>
      </c>
      <c r="C241" s="17" t="s">
        <v>2283</v>
      </c>
      <c r="D241" s="10" t="s">
        <v>2284</v>
      </c>
      <c r="E241" s="55"/>
      <c r="F241" s="55"/>
      <c r="G241" s="25">
        <v>100281</v>
      </c>
      <c r="H241" s="300" t="str">
        <f>CONCATENATE([1]Cover!$D$6,"fdd/view?i=",G241)</f>
        <v>https://www.dgiwg.org/FAD/fdd/view?i=100281</v>
      </c>
      <c r="I241" s="8" t="s">
        <v>2281</v>
      </c>
      <c r="J241" s="38" t="s">
        <v>151</v>
      </c>
    </row>
    <row r="242" spans="1:10" ht="25.5">
      <c r="A242" s="302" t="str">
        <f t="shared" si="3"/>
        <v>ExtractionMine</v>
      </c>
      <c r="B242" s="6" t="s">
        <v>2286</v>
      </c>
      <c r="C242" s="17" t="s">
        <v>2287</v>
      </c>
      <c r="D242" s="10" t="s">
        <v>2288</v>
      </c>
      <c r="E242" s="55"/>
      <c r="F242" s="55"/>
      <c r="G242" s="25">
        <v>100001</v>
      </c>
      <c r="H242" s="300" t="str">
        <f>CONCATENATE([1]Cover!$D$6,"fdd/view?i=",G242)</f>
        <v>https://www.dgiwg.org/FAD/fdd/view?i=100001</v>
      </c>
      <c r="I242" s="8" t="s">
        <v>2285</v>
      </c>
      <c r="J242" s="38" t="s">
        <v>151</v>
      </c>
    </row>
    <row r="243" spans="1:10" ht="76.5">
      <c r="A243" s="302" t="str">
        <f t="shared" si="3"/>
        <v>Facility</v>
      </c>
      <c r="B243" s="6" t="s">
        <v>2290</v>
      </c>
      <c r="C243" s="17" t="s">
        <v>2290</v>
      </c>
      <c r="D243" s="10" t="s">
        <v>2291</v>
      </c>
      <c r="E243" s="10" t="s">
        <v>2292</v>
      </c>
      <c r="F243" s="55"/>
      <c r="G243" s="25">
        <v>111413</v>
      </c>
      <c r="H243" s="300" t="str">
        <f>CONCATENATE([1]Cover!$D$6,"fdd/view?i=",G243)</f>
        <v>https://www.dgiwg.org/FAD/fdd/view?i=111413</v>
      </c>
      <c r="I243" s="8" t="s">
        <v>2289</v>
      </c>
      <c r="J243" s="38" t="s">
        <v>151</v>
      </c>
    </row>
    <row r="244" spans="1:10" ht="25.5">
      <c r="A244" s="302" t="str">
        <f t="shared" si="3"/>
        <v>Fairground</v>
      </c>
      <c r="B244" s="6" t="s">
        <v>2294</v>
      </c>
      <c r="C244" s="17" t="s">
        <v>2294</v>
      </c>
      <c r="D244" s="10" t="s">
        <v>2295</v>
      </c>
      <c r="E244" s="55"/>
      <c r="F244" s="10" t="s">
        <v>2296</v>
      </c>
      <c r="G244" s="25">
        <v>100059</v>
      </c>
      <c r="H244" s="300" t="str">
        <f>CONCATENATE([1]Cover!$D$6,"fdd/view?i=",G244)</f>
        <v>https://www.dgiwg.org/FAD/fdd/view?i=100059</v>
      </c>
      <c r="I244" s="8" t="s">
        <v>2293</v>
      </c>
      <c r="J244" s="38" t="s">
        <v>151</v>
      </c>
    </row>
    <row r="245" spans="1:10" ht="89.25">
      <c r="A245" s="302" t="str">
        <f t="shared" si="3"/>
        <v>Farm</v>
      </c>
      <c r="B245" s="6" t="s">
        <v>2298</v>
      </c>
      <c r="C245" s="17" t="s">
        <v>2298</v>
      </c>
      <c r="D245" s="10" t="s">
        <v>2299</v>
      </c>
      <c r="E245" s="10" t="s">
        <v>2300</v>
      </c>
      <c r="F245" s="55"/>
      <c r="G245" s="25">
        <v>111403</v>
      </c>
      <c r="H245" s="300" t="str">
        <f>CONCATENATE([1]Cover!$D$6,"fdd/view?i=",G245)</f>
        <v>https://www.dgiwg.org/FAD/fdd/view?i=111403</v>
      </c>
      <c r="I245" s="8" t="s">
        <v>2297</v>
      </c>
      <c r="J245" s="38" t="s">
        <v>151</v>
      </c>
    </row>
    <row r="246" spans="1:10" ht="114.75">
      <c r="A246" s="302" t="str">
        <f t="shared" si="3"/>
        <v>FccLicWirelessServInfo</v>
      </c>
      <c r="B246" s="6" t="s">
        <v>2302</v>
      </c>
      <c r="C246" s="17" t="s">
        <v>2303</v>
      </c>
      <c r="D246" s="10" t="s">
        <v>2304</v>
      </c>
      <c r="E246" s="10" t="s">
        <v>2305</v>
      </c>
      <c r="F246" s="55"/>
      <c r="G246" s="25">
        <v>204300</v>
      </c>
      <c r="H246" s="300" t="str">
        <f>CONCATENATE([1]Cover!$D$6,"fdd/view?i=",G246)</f>
        <v>https://www.dgiwg.org/FAD/fdd/view?i=204300</v>
      </c>
      <c r="I246" s="8" t="s">
        <v>2301</v>
      </c>
      <c r="J246" s="38" t="s">
        <v>1295</v>
      </c>
    </row>
    <row r="247" spans="1:10" ht="204">
      <c r="A247" s="302" t="str">
        <f t="shared" si="3"/>
        <v>FccRegAntennaStructInfo</v>
      </c>
      <c r="B247" s="6" t="s">
        <v>2307</v>
      </c>
      <c r="C247" s="17" t="s">
        <v>2308</v>
      </c>
      <c r="D247" s="10" t="s">
        <v>2309</v>
      </c>
      <c r="E247" s="10" t="s">
        <v>2310</v>
      </c>
      <c r="F247" s="55"/>
      <c r="G247" s="25">
        <v>204299</v>
      </c>
      <c r="H247" s="300" t="str">
        <f>CONCATENATE([1]Cover!$D$6,"fdd/view?i=",G247)</f>
        <v>https://www.dgiwg.org/FAD/fdd/view?i=204299</v>
      </c>
      <c r="I247" s="8" t="s">
        <v>2306</v>
      </c>
      <c r="J247" s="38" t="s">
        <v>1295</v>
      </c>
    </row>
    <row r="248" spans="1:10" ht="38.25">
      <c r="A248" s="302" t="str">
        <f t="shared" si="3"/>
        <v>FeatureAttGAMetadata</v>
      </c>
      <c r="B248" s="6" t="s">
        <v>2312</v>
      </c>
      <c r="C248" s="17" t="s">
        <v>2313</v>
      </c>
      <c r="D248" s="10" t="s">
        <v>2314</v>
      </c>
      <c r="E248" s="10" t="s">
        <v>2315</v>
      </c>
      <c r="F248" s="55"/>
      <c r="G248" s="25">
        <v>114208</v>
      </c>
      <c r="H248" s="300" t="str">
        <f>CONCATENATE([1]Cover!$D$6,"fdd/view?i=",G248)</f>
        <v>https://www.dgiwg.org/FAD/fdd/view?i=114208</v>
      </c>
      <c r="I248" s="8" t="s">
        <v>2311</v>
      </c>
      <c r="J248" s="38" t="s">
        <v>151</v>
      </c>
    </row>
    <row r="249" spans="1:10" ht="51">
      <c r="A249" s="302" t="str">
        <f t="shared" si="3"/>
        <v>FeatureEntity</v>
      </c>
      <c r="B249" s="6" t="s">
        <v>2317</v>
      </c>
      <c r="C249" s="17" t="s">
        <v>2318</v>
      </c>
      <c r="D249" s="10" t="s">
        <v>2319</v>
      </c>
      <c r="E249" s="10" t="s">
        <v>2320</v>
      </c>
      <c r="F249" s="55"/>
      <c r="G249" s="25">
        <v>114209</v>
      </c>
      <c r="H249" s="300" t="str">
        <f>CONCATENATE([1]Cover!$D$6,"fdd/view?i=",G249)</f>
        <v>https://www.dgiwg.org/FAD/fdd/view?i=114209</v>
      </c>
      <c r="I249" s="8" t="s">
        <v>2316</v>
      </c>
      <c r="J249" s="38" t="s">
        <v>151</v>
      </c>
    </row>
    <row r="250" spans="1:10" ht="38.25">
      <c r="A250" s="302" t="str">
        <f t="shared" si="3"/>
        <v>FeatureGAMetadata</v>
      </c>
      <c r="B250" s="6" t="s">
        <v>2322</v>
      </c>
      <c r="C250" s="17" t="s">
        <v>2323</v>
      </c>
      <c r="D250" s="10" t="s">
        <v>2324</v>
      </c>
      <c r="E250" s="10" t="s">
        <v>2325</v>
      </c>
      <c r="F250" s="55"/>
      <c r="G250" s="25">
        <v>114207</v>
      </c>
      <c r="H250" s="300" t="str">
        <f>CONCATENATE([1]Cover!$D$6,"fdd/view?i=",G250)</f>
        <v>https://www.dgiwg.org/FAD/fdd/view?i=114207</v>
      </c>
      <c r="I250" s="8" t="s">
        <v>2321</v>
      </c>
      <c r="J250" s="38" t="s">
        <v>151</v>
      </c>
    </row>
    <row r="251" spans="1:10" ht="25.5">
      <c r="A251" s="302" t="str">
        <f t="shared" si="3"/>
        <v>Fence</v>
      </c>
      <c r="B251" s="6" t="s">
        <v>2327</v>
      </c>
      <c r="C251" s="17" t="s">
        <v>2327</v>
      </c>
      <c r="D251" s="10" t="s">
        <v>2328</v>
      </c>
      <c r="E251" s="10" t="s">
        <v>2329</v>
      </c>
      <c r="F251" s="55"/>
      <c r="G251" s="25">
        <v>100094</v>
      </c>
      <c r="H251" s="300" t="str">
        <f>CONCATENATE([1]Cover!$D$6,"fdd/view?i=",G251)</f>
        <v>https://www.dgiwg.org/FAD/fdd/view?i=100094</v>
      </c>
      <c r="I251" s="8" t="s">
        <v>2326</v>
      </c>
      <c r="J251" s="38" t="s">
        <v>151</v>
      </c>
    </row>
    <row r="252" spans="1:10">
      <c r="A252" s="302" t="str">
        <f t="shared" si="3"/>
        <v>FerryCrossing</v>
      </c>
      <c r="B252" s="6" t="s">
        <v>2331</v>
      </c>
      <c r="C252" s="17" t="s">
        <v>2332</v>
      </c>
      <c r="D252" s="10" t="s">
        <v>2333</v>
      </c>
      <c r="E252" s="55"/>
      <c r="F252" s="55"/>
      <c r="G252" s="25">
        <v>100167</v>
      </c>
      <c r="H252" s="300" t="str">
        <f>CONCATENATE([1]Cover!$D$6,"fdd/view?i=",G252)</f>
        <v>https://www.dgiwg.org/FAD/fdd/view?i=100167</v>
      </c>
      <c r="I252" s="8" t="s">
        <v>2330</v>
      </c>
      <c r="J252" s="38" t="s">
        <v>151</v>
      </c>
    </row>
    <row r="253" spans="1:10">
      <c r="A253" s="302" t="str">
        <f t="shared" si="3"/>
        <v>FerryStation</v>
      </c>
      <c r="B253" s="6" t="s">
        <v>2335</v>
      </c>
      <c r="C253" s="17" t="s">
        <v>2336</v>
      </c>
      <c r="D253" s="10" t="s">
        <v>2337</v>
      </c>
      <c r="E253" s="55"/>
      <c r="F253" s="10" t="s">
        <v>2338</v>
      </c>
      <c r="G253" s="25">
        <v>100168</v>
      </c>
      <c r="H253" s="300" t="str">
        <f>CONCATENATE([1]Cover!$D$6,"fdd/view?i=",G253)</f>
        <v>https://www.dgiwg.org/FAD/fdd/view?i=100168</v>
      </c>
      <c r="I253" s="8" t="s">
        <v>2334</v>
      </c>
      <c r="J253" s="38" t="s">
        <v>151</v>
      </c>
    </row>
    <row r="254" spans="1:10" ht="38.25">
      <c r="A254" s="302" t="str">
        <f t="shared" si="3"/>
        <v>FinalApproachTakeOffArea</v>
      </c>
      <c r="B254" s="6" t="s">
        <v>2340</v>
      </c>
      <c r="C254" s="17" t="s">
        <v>2341</v>
      </c>
      <c r="D254" s="10" t="s">
        <v>2342</v>
      </c>
      <c r="E254" s="10" t="s">
        <v>2343</v>
      </c>
      <c r="F254" s="10" t="s">
        <v>2344</v>
      </c>
      <c r="G254" s="25">
        <v>114593</v>
      </c>
      <c r="H254" s="300" t="str">
        <f>CONCATENATE([1]Cover!$D$6,"fdd/view?i=",G254)</f>
        <v>https://www.dgiwg.org/FAD/fdd/view?i=114593</v>
      </c>
      <c r="I254" s="8" t="s">
        <v>2339</v>
      </c>
      <c r="J254" s="38" t="s">
        <v>151</v>
      </c>
    </row>
    <row r="255" spans="1:10" ht="51">
      <c r="A255" s="302" t="str">
        <f t="shared" si="3"/>
        <v>FinalAppTakeOffAreaSafety</v>
      </c>
      <c r="B255" s="6" t="s">
        <v>2346</v>
      </c>
      <c r="C255" s="17" t="s">
        <v>2347</v>
      </c>
      <c r="D255" s="10" t="s">
        <v>2348</v>
      </c>
      <c r="E255" s="55"/>
      <c r="F255" s="10" t="s">
        <v>2349</v>
      </c>
      <c r="G255" s="25">
        <v>114625</v>
      </c>
      <c r="H255" s="300" t="str">
        <f>CONCATENATE([1]Cover!$D$6,"fdd/view?i=",G255)</f>
        <v>https://www.dgiwg.org/FAD/fdd/view?i=114625</v>
      </c>
      <c r="I255" s="8" t="s">
        <v>2345</v>
      </c>
      <c r="J255" s="38" t="s">
        <v>151</v>
      </c>
    </row>
    <row r="256" spans="1:10" ht="25.5">
      <c r="A256" s="302" t="str">
        <f t="shared" si="3"/>
        <v>FinalApproachSegment</v>
      </c>
      <c r="B256" s="6" t="s">
        <v>2351</v>
      </c>
      <c r="C256" s="17" t="s">
        <v>2352</v>
      </c>
      <c r="D256" s="10" t="s">
        <v>2353</v>
      </c>
      <c r="E256" s="10" t="s">
        <v>1587</v>
      </c>
      <c r="F256" s="55"/>
      <c r="G256" s="25">
        <v>114634</v>
      </c>
      <c r="H256" s="300" t="str">
        <f>CONCATENATE([1]Cover!$D$6,"fdd/view?i=",G256)</f>
        <v>https://www.dgiwg.org/FAD/fdd/view?i=114634</v>
      </c>
      <c r="I256" s="8" t="s">
        <v>2350</v>
      </c>
      <c r="J256" s="38" t="s">
        <v>151</v>
      </c>
    </row>
    <row r="257" spans="1:10" ht="51">
      <c r="A257" s="302" t="str">
        <f t="shared" si="3"/>
        <v>FinalApproachSegDataBlock</v>
      </c>
      <c r="B257" s="6" t="s">
        <v>2355</v>
      </c>
      <c r="C257" s="17" t="s">
        <v>2356</v>
      </c>
      <c r="D257" s="10" t="s">
        <v>2357</v>
      </c>
      <c r="E257" s="55"/>
      <c r="F257" s="55"/>
      <c r="G257" s="25">
        <v>119560</v>
      </c>
      <c r="H257" s="300" t="str">
        <f>CONCATENATE([1]Cover!$D$6,"fdd/view?i=",G257)</f>
        <v>https://www.dgiwg.org/FAD/fdd/view?i=119560</v>
      </c>
      <c r="I257" s="8" t="s">
        <v>2354</v>
      </c>
      <c r="J257" s="38" t="s">
        <v>151</v>
      </c>
    </row>
    <row r="258" spans="1:10" ht="51">
      <c r="A258" s="302" t="str">
        <f t="shared" si="3"/>
        <v>FinancialServiceInfo</v>
      </c>
      <c r="B258" s="6" t="s">
        <v>2359</v>
      </c>
      <c r="C258" s="17" t="s">
        <v>2360</v>
      </c>
      <c r="D258" s="10" t="s">
        <v>2361</v>
      </c>
      <c r="E258" s="55"/>
      <c r="F258" s="55"/>
      <c r="G258" s="25">
        <v>204294</v>
      </c>
      <c r="H258" s="300" t="str">
        <f>CONCATENATE([1]Cover!$D$6,"fdd/view?i=",G258)</f>
        <v>https://www.dgiwg.org/FAD/fdd/view?i=204294</v>
      </c>
      <c r="I258" s="8" t="s">
        <v>2358</v>
      </c>
      <c r="J258" s="38" t="s">
        <v>1295</v>
      </c>
    </row>
    <row r="259" spans="1:10" ht="38.25">
      <c r="A259" s="302" t="str">
        <f t="shared" ref="A259:A322" si="4">HYPERLINK(H259,B259)</f>
        <v>FinancialTransactionInfo</v>
      </c>
      <c r="B259" s="6" t="s">
        <v>2363</v>
      </c>
      <c r="C259" s="17" t="s">
        <v>2364</v>
      </c>
      <c r="D259" s="10" t="s">
        <v>2365</v>
      </c>
      <c r="E259" s="55"/>
      <c r="F259" s="55"/>
      <c r="G259" s="25">
        <v>204293</v>
      </c>
      <c r="H259" s="300" t="str">
        <f>CONCATENATE([1]Cover!$D$6,"fdd/view?i=",G259)</f>
        <v>https://www.dgiwg.org/FAD/fdd/view?i=204293</v>
      </c>
      <c r="I259" s="8" t="s">
        <v>2362</v>
      </c>
      <c r="J259" s="38" t="s">
        <v>1295</v>
      </c>
    </row>
    <row r="260" spans="1:10" ht="38.25">
      <c r="A260" s="302" t="str">
        <f t="shared" si="4"/>
        <v>FireFightingCapInfo</v>
      </c>
      <c r="B260" s="6" t="s">
        <v>2367</v>
      </c>
      <c r="C260" s="17" t="s">
        <v>2368</v>
      </c>
      <c r="D260" s="10" t="s">
        <v>2369</v>
      </c>
      <c r="E260" s="55"/>
      <c r="F260" s="55"/>
      <c r="G260" s="25">
        <v>204286</v>
      </c>
      <c r="H260" s="300" t="str">
        <f>CONCATENATE([1]Cover!$D$6,"fdd/view?i=",G260)</f>
        <v>https://www.dgiwg.org/FAD/fdd/view?i=204286</v>
      </c>
      <c r="I260" s="8" t="s">
        <v>2366</v>
      </c>
      <c r="J260" s="38" t="s">
        <v>1295</v>
      </c>
    </row>
    <row r="261" spans="1:10" ht="38.25">
      <c r="A261" s="302" t="str">
        <f t="shared" si="4"/>
        <v>FireHydrant</v>
      </c>
      <c r="B261" s="6" t="s">
        <v>2371</v>
      </c>
      <c r="C261" s="17" t="s">
        <v>2372</v>
      </c>
      <c r="D261" s="10" t="s">
        <v>2373</v>
      </c>
      <c r="E261" s="55"/>
      <c r="F261" s="55"/>
      <c r="G261" s="25">
        <v>100082</v>
      </c>
      <c r="H261" s="300" t="str">
        <f>CONCATENATE([1]Cover!$D$6,"fdd/view?i=",G261)</f>
        <v>https://www.dgiwg.org/FAD/fdd/view?i=100082</v>
      </c>
      <c r="I261" s="8" t="s">
        <v>2370</v>
      </c>
      <c r="J261" s="38" t="s">
        <v>151</v>
      </c>
    </row>
    <row r="262" spans="1:10" ht="25.5">
      <c r="A262" s="302" t="str">
        <f t="shared" si="4"/>
        <v>FiringRange</v>
      </c>
      <c r="B262" s="6" t="s">
        <v>2375</v>
      </c>
      <c r="C262" s="17" t="s">
        <v>2376</v>
      </c>
      <c r="D262" s="10" t="s">
        <v>2377</v>
      </c>
      <c r="E262" s="55"/>
      <c r="F262" s="10" t="s">
        <v>2378</v>
      </c>
      <c r="G262" s="25">
        <v>100457</v>
      </c>
      <c r="H262" s="300" t="str">
        <f>CONCATENATE([1]Cover!$D$6,"fdd/view?i=",G262)</f>
        <v>https://www.dgiwg.org/FAD/fdd/view?i=100457</v>
      </c>
      <c r="I262" s="8" t="s">
        <v>2374</v>
      </c>
      <c r="J262" s="38" t="s">
        <v>151</v>
      </c>
    </row>
    <row r="263" spans="1:10" ht="38.25">
      <c r="A263" s="302" t="str">
        <f t="shared" si="4"/>
        <v>FishFarmFacility</v>
      </c>
      <c r="B263" s="6" t="s">
        <v>2380</v>
      </c>
      <c r="C263" s="17" t="s">
        <v>2381</v>
      </c>
      <c r="D263" s="10" t="s">
        <v>2382</v>
      </c>
      <c r="E263" s="10" t="s">
        <v>2383</v>
      </c>
      <c r="F263" s="55"/>
      <c r="G263" s="25">
        <v>113621</v>
      </c>
      <c r="H263" s="300" t="str">
        <f>CONCATENATE([1]Cover!$D$6,"fdd/view?i=",G263)</f>
        <v>https://www.dgiwg.org/FAD/fdd/view?i=113621</v>
      </c>
      <c r="I263" s="8" t="s">
        <v>2379</v>
      </c>
      <c r="J263" s="38" t="s">
        <v>151</v>
      </c>
    </row>
    <row r="264" spans="1:10" ht="51">
      <c r="A264" s="302" t="str">
        <f t="shared" si="4"/>
        <v>FishHaven</v>
      </c>
      <c r="B264" s="6" t="s">
        <v>2385</v>
      </c>
      <c r="C264" s="17" t="s">
        <v>2386</v>
      </c>
      <c r="D264" s="10" t="s">
        <v>2387</v>
      </c>
      <c r="E264" s="10" t="s">
        <v>2388</v>
      </c>
      <c r="F264" s="10" t="s">
        <v>2389</v>
      </c>
      <c r="G264" s="25">
        <v>111293</v>
      </c>
      <c r="H264" s="300" t="str">
        <f>CONCATENATE([1]Cover!$D$6,"fdd/view?i=",G264)</f>
        <v>https://www.dgiwg.org/FAD/fdd/view?i=111293</v>
      </c>
      <c r="I264" s="8" t="s">
        <v>2384</v>
      </c>
      <c r="J264" s="38" t="s">
        <v>151</v>
      </c>
    </row>
    <row r="265" spans="1:10" ht="25.5">
      <c r="A265" s="302" t="str">
        <f t="shared" si="4"/>
        <v>FishLadder</v>
      </c>
      <c r="B265" s="6" t="s">
        <v>2391</v>
      </c>
      <c r="C265" s="17" t="s">
        <v>2392</v>
      </c>
      <c r="D265" s="10" t="s">
        <v>2393</v>
      </c>
      <c r="E265" s="55"/>
      <c r="F265" s="55"/>
      <c r="G265" s="25">
        <v>100377</v>
      </c>
      <c r="H265" s="300" t="str">
        <f>CONCATENATE([1]Cover!$D$6,"fdd/view?i=",G265)</f>
        <v>https://www.dgiwg.org/FAD/fdd/view?i=100377</v>
      </c>
      <c r="I265" s="8" t="s">
        <v>2390</v>
      </c>
      <c r="J265" s="38" t="s">
        <v>151</v>
      </c>
    </row>
    <row r="266" spans="1:10">
      <c r="A266" s="302" t="str">
        <f t="shared" si="4"/>
        <v>FishTrapArea</v>
      </c>
      <c r="B266" s="6" t="s">
        <v>2395</v>
      </c>
      <c r="C266" s="17" t="s">
        <v>2396</v>
      </c>
      <c r="D266" s="10" t="s">
        <v>2397</v>
      </c>
      <c r="E266" s="55"/>
      <c r="F266" s="55"/>
      <c r="G266" s="25">
        <v>111100</v>
      </c>
      <c r="H266" s="300" t="str">
        <f>CONCATENATE([1]Cover!$D$6,"fdd/view?i=",G266)</f>
        <v>https://www.dgiwg.org/FAD/fdd/view?i=111100</v>
      </c>
      <c r="I266" s="8" t="s">
        <v>2394</v>
      </c>
      <c r="J266" s="38" t="s">
        <v>151</v>
      </c>
    </row>
    <row r="267" spans="1:10" ht="76.5">
      <c r="A267" s="302" t="str">
        <f t="shared" si="4"/>
        <v>FishWeir</v>
      </c>
      <c r="B267" s="6" t="s">
        <v>2399</v>
      </c>
      <c r="C267" s="17" t="s">
        <v>2400</v>
      </c>
      <c r="D267" s="10" t="s">
        <v>2401</v>
      </c>
      <c r="E267" s="10" t="s">
        <v>2402</v>
      </c>
      <c r="F267" s="55"/>
      <c r="G267" s="25">
        <v>100238</v>
      </c>
      <c r="H267" s="300" t="str">
        <f>CONCATENATE([1]Cover!$D$6,"fdd/view?i=",G267)</f>
        <v>https://www.dgiwg.org/FAD/fdd/view?i=100238</v>
      </c>
      <c r="I267" s="8" t="s">
        <v>2398</v>
      </c>
      <c r="J267" s="38" t="s">
        <v>151</v>
      </c>
    </row>
    <row r="268" spans="1:10" ht="25.5">
      <c r="A268" s="302" t="str">
        <f t="shared" si="4"/>
        <v>FisherySpeciesDistribution</v>
      </c>
      <c r="B268" s="6" t="s">
        <v>2404</v>
      </c>
      <c r="C268" s="17" t="s">
        <v>2405</v>
      </c>
      <c r="D268" s="10" t="s">
        <v>2406</v>
      </c>
      <c r="E268" s="10" t="s">
        <v>2407</v>
      </c>
      <c r="F268" s="55"/>
      <c r="G268" s="25">
        <v>119167</v>
      </c>
      <c r="H268" s="300" t="str">
        <f>CONCATENATE([1]Cover!$D$6,"fdd/view?i=",G268)</f>
        <v>https://www.dgiwg.org/FAD/fdd/view?i=119167</v>
      </c>
      <c r="I268" s="8" t="s">
        <v>2403</v>
      </c>
      <c r="J268" s="38" t="s">
        <v>151</v>
      </c>
    </row>
    <row r="269" spans="1:10" ht="25.5">
      <c r="A269" s="302" t="str">
        <f t="shared" si="4"/>
        <v>FishingStakes</v>
      </c>
      <c r="B269" s="6" t="s">
        <v>2409</v>
      </c>
      <c r="C269" s="17" t="s">
        <v>2410</v>
      </c>
      <c r="D269" s="10" t="s">
        <v>2411</v>
      </c>
      <c r="E269" s="55"/>
      <c r="F269" s="10" t="s">
        <v>2412</v>
      </c>
      <c r="G269" s="25">
        <v>100236</v>
      </c>
      <c r="H269" s="300" t="str">
        <f>CONCATENATE([1]Cover!$D$6,"fdd/view?i=",G269)</f>
        <v>https://www.dgiwg.org/FAD/fdd/view?i=100236</v>
      </c>
      <c r="I269" s="8" t="s">
        <v>2408</v>
      </c>
      <c r="J269" s="38" t="s">
        <v>151</v>
      </c>
    </row>
    <row r="270" spans="1:10" ht="38.25">
      <c r="A270" s="302" t="str">
        <f t="shared" si="4"/>
        <v>FishingVesselActivityRegion</v>
      </c>
      <c r="B270" s="6" t="s">
        <v>2414</v>
      </c>
      <c r="C270" s="17" t="s">
        <v>2415</v>
      </c>
      <c r="D270" s="10" t="s">
        <v>2416</v>
      </c>
      <c r="E270" s="10" t="s">
        <v>2417</v>
      </c>
      <c r="F270" s="55"/>
      <c r="G270" s="25">
        <v>119166</v>
      </c>
      <c r="H270" s="300" t="str">
        <f>CONCATENATE([1]Cover!$D$6,"fdd/view?i=",G270)</f>
        <v>https://www.dgiwg.org/FAD/fdd/view?i=119166</v>
      </c>
      <c r="I270" s="8" t="s">
        <v>2413</v>
      </c>
      <c r="J270" s="38" t="s">
        <v>151</v>
      </c>
    </row>
    <row r="271" spans="1:10">
      <c r="A271" s="302" t="str">
        <f t="shared" si="4"/>
        <v>Flagpole</v>
      </c>
      <c r="B271" s="6" t="s">
        <v>2419</v>
      </c>
      <c r="C271" s="17" t="s">
        <v>2419</v>
      </c>
      <c r="D271" s="10" t="s">
        <v>2420</v>
      </c>
      <c r="E271" s="55"/>
      <c r="F271" s="55"/>
      <c r="G271" s="25">
        <v>100095</v>
      </c>
      <c r="H271" s="300" t="str">
        <f>CONCATENATE([1]Cover!$D$6,"fdd/view?i=",G271)</f>
        <v>https://www.dgiwg.org/FAD/fdd/view?i=100095</v>
      </c>
      <c r="I271" s="8" t="s">
        <v>2418</v>
      </c>
      <c r="J271" s="38" t="s">
        <v>151</v>
      </c>
    </row>
    <row r="272" spans="1:10">
      <c r="A272" s="302" t="str">
        <f t="shared" si="4"/>
        <v>FlarePipe</v>
      </c>
      <c r="B272" s="6" t="s">
        <v>2422</v>
      </c>
      <c r="C272" s="17" t="s">
        <v>2423</v>
      </c>
      <c r="D272" s="10" t="s">
        <v>2424</v>
      </c>
      <c r="E272" s="55"/>
      <c r="F272" s="55"/>
      <c r="G272" s="25">
        <v>100036</v>
      </c>
      <c r="H272" s="300" t="str">
        <f>CONCATENATE([1]Cover!$D$6,"fdd/view?i=",G272)</f>
        <v>https://www.dgiwg.org/FAD/fdd/view?i=100036</v>
      </c>
      <c r="I272" s="8" t="s">
        <v>2421</v>
      </c>
      <c r="J272" s="38" t="s">
        <v>151</v>
      </c>
    </row>
    <row r="273" spans="1:10" ht="25.5">
      <c r="A273" s="302" t="str">
        <f t="shared" si="4"/>
        <v>FloatingBarrier</v>
      </c>
      <c r="B273" s="6" t="s">
        <v>2426</v>
      </c>
      <c r="C273" s="17" t="s">
        <v>2427</v>
      </c>
      <c r="D273" s="10" t="s">
        <v>2428</v>
      </c>
      <c r="E273" s="10" t="s">
        <v>2429</v>
      </c>
      <c r="F273" s="55"/>
      <c r="G273" s="25">
        <v>100304</v>
      </c>
      <c r="H273" s="300" t="str">
        <f>CONCATENATE([1]Cover!$D$6,"fdd/view?i=",G273)</f>
        <v>https://www.dgiwg.org/FAD/fdd/view?i=100304</v>
      </c>
      <c r="I273" s="8" t="s">
        <v>2425</v>
      </c>
      <c r="J273" s="38" t="s">
        <v>151</v>
      </c>
    </row>
    <row r="274" spans="1:10" ht="51">
      <c r="A274" s="302" t="str">
        <f t="shared" si="4"/>
        <v>FloatingDryDock</v>
      </c>
      <c r="B274" s="6" t="s">
        <v>2431</v>
      </c>
      <c r="C274" s="17" t="s">
        <v>2432</v>
      </c>
      <c r="D274" s="10" t="s">
        <v>2433</v>
      </c>
      <c r="E274" s="55"/>
      <c r="F274" s="55"/>
      <c r="G274" s="25">
        <v>100250</v>
      </c>
      <c r="H274" s="300" t="str">
        <f>CONCATENATE([1]Cover!$D$6,"fdd/view?i=",G274)</f>
        <v>https://www.dgiwg.org/FAD/fdd/view?i=100250</v>
      </c>
      <c r="I274" s="8" t="s">
        <v>2430</v>
      </c>
      <c r="J274" s="38" t="s">
        <v>151</v>
      </c>
    </row>
    <row r="275" spans="1:10" ht="38.25">
      <c r="A275" s="302" t="str">
        <f t="shared" si="4"/>
        <v>FloodControlStructure</v>
      </c>
      <c r="B275" s="6" t="s">
        <v>2435</v>
      </c>
      <c r="C275" s="17" t="s">
        <v>2436</v>
      </c>
      <c r="D275" s="10" t="s">
        <v>2437</v>
      </c>
      <c r="E275" s="10" t="s">
        <v>2438</v>
      </c>
      <c r="F275" s="55"/>
      <c r="G275" s="25">
        <v>117763</v>
      </c>
      <c r="H275" s="300" t="str">
        <f>CONCATENATE([1]Cover!$D$6,"fdd/view?i=",G275)</f>
        <v>https://www.dgiwg.org/FAD/fdd/view?i=117763</v>
      </c>
      <c r="I275" s="8" t="s">
        <v>2434</v>
      </c>
      <c r="J275" s="38" t="s">
        <v>151</v>
      </c>
    </row>
    <row r="276" spans="1:10" ht="38.25">
      <c r="A276" s="302" t="str">
        <f t="shared" si="4"/>
        <v>FogSignal</v>
      </c>
      <c r="B276" s="6" t="s">
        <v>2440</v>
      </c>
      <c r="C276" s="17" t="s">
        <v>2441</v>
      </c>
      <c r="D276" s="10" t="s">
        <v>2442</v>
      </c>
      <c r="E276" s="55"/>
      <c r="F276" s="55"/>
      <c r="G276" s="25">
        <v>100277</v>
      </c>
      <c r="H276" s="300" t="str">
        <f>CONCATENATE([1]Cover!$D$6,"fdd/view?i=",G276)</f>
        <v>https://www.dgiwg.org/FAD/fdd/view?i=100277</v>
      </c>
      <c r="I276" s="8" t="s">
        <v>2439</v>
      </c>
      <c r="J276" s="38" t="s">
        <v>151</v>
      </c>
    </row>
    <row r="277" spans="1:10">
      <c r="A277" s="302" t="str">
        <f t="shared" si="4"/>
        <v>Ford</v>
      </c>
      <c r="B277" s="6" t="s">
        <v>2444</v>
      </c>
      <c r="C277" s="17" t="s">
        <v>2444</v>
      </c>
      <c r="D277" s="10" t="s">
        <v>2445</v>
      </c>
      <c r="E277" s="55"/>
      <c r="F277" s="55"/>
      <c r="G277" s="25">
        <v>100338</v>
      </c>
      <c r="H277" s="300" t="str">
        <f>CONCATENATE([1]Cover!$D$6,"fdd/view?i=",G277)</f>
        <v>https://www.dgiwg.org/FAD/fdd/view?i=100338</v>
      </c>
      <c r="I277" s="8" t="s">
        <v>2443</v>
      </c>
      <c r="J277" s="38" t="s">
        <v>151</v>
      </c>
    </row>
    <row r="278" spans="1:10" ht="25.5">
      <c r="A278" s="302" t="str">
        <f t="shared" si="4"/>
        <v>Foreshore</v>
      </c>
      <c r="B278" s="6" t="s">
        <v>2447</v>
      </c>
      <c r="C278" s="17" t="s">
        <v>2447</v>
      </c>
      <c r="D278" s="10" t="s">
        <v>2448</v>
      </c>
      <c r="E278" s="55"/>
      <c r="F278" s="55"/>
      <c r="G278" s="25">
        <v>100209</v>
      </c>
      <c r="H278" s="300" t="str">
        <f>CONCATENATE([1]Cover!$D$6,"fdd/view?i=",G278)</f>
        <v>https://www.dgiwg.org/FAD/fdd/view?i=100209</v>
      </c>
      <c r="I278" s="8" t="s">
        <v>2446</v>
      </c>
      <c r="J278" s="38" t="s">
        <v>151</v>
      </c>
    </row>
    <row r="279" spans="1:10">
      <c r="A279" s="302" t="str">
        <f t="shared" si="4"/>
        <v>Forest</v>
      </c>
      <c r="B279" s="6" t="s">
        <v>2450</v>
      </c>
      <c r="C279" s="17" t="s">
        <v>2450</v>
      </c>
      <c r="D279" s="10" t="s">
        <v>2451</v>
      </c>
      <c r="E279" s="10" t="s">
        <v>2452</v>
      </c>
      <c r="F279" s="55"/>
      <c r="G279" s="25">
        <v>111298</v>
      </c>
      <c r="H279" s="300" t="str">
        <f>CONCATENATE([1]Cover!$D$6,"fdd/view?i=",G279)</f>
        <v>https://www.dgiwg.org/FAD/fdd/view?i=111298</v>
      </c>
      <c r="I279" s="8" t="s">
        <v>2449</v>
      </c>
      <c r="J279" s="38" t="s">
        <v>151</v>
      </c>
    </row>
    <row r="280" spans="1:10" ht="25.5">
      <c r="A280" s="302" t="str">
        <f t="shared" si="4"/>
        <v>ForestClearing</v>
      </c>
      <c r="B280" s="6" t="s">
        <v>2454</v>
      </c>
      <c r="C280" s="17" t="s">
        <v>2455</v>
      </c>
      <c r="D280" s="10" t="s">
        <v>2456</v>
      </c>
      <c r="E280" s="10" t="s">
        <v>2457</v>
      </c>
      <c r="F280" s="55"/>
      <c r="G280" s="25">
        <v>110675</v>
      </c>
      <c r="H280" s="300" t="str">
        <f>CONCATENATE([1]Cover!$D$6,"fdd/view?i=",G280)</f>
        <v>https://www.dgiwg.org/FAD/fdd/view?i=110675</v>
      </c>
      <c r="I280" s="8" t="s">
        <v>2453</v>
      </c>
      <c r="J280" s="38" t="s">
        <v>151</v>
      </c>
    </row>
    <row r="281" spans="1:10" ht="25.5">
      <c r="A281" s="302" t="str">
        <f t="shared" si="4"/>
        <v>FortifiedBuilding</v>
      </c>
      <c r="B281" s="6" t="s">
        <v>2459</v>
      </c>
      <c r="C281" s="17" t="s">
        <v>2460</v>
      </c>
      <c r="D281" s="10" t="s">
        <v>2461</v>
      </c>
      <c r="E281" s="55"/>
      <c r="F281" s="55"/>
      <c r="G281" s="25">
        <v>117989</v>
      </c>
      <c r="H281" s="300" t="str">
        <f>CONCATENATE([1]Cover!$D$6,"fdd/view?i=",G281)</f>
        <v>https://www.dgiwg.org/FAD/fdd/view?i=117989</v>
      </c>
      <c r="I281" s="8" t="s">
        <v>2458</v>
      </c>
      <c r="J281" s="38" t="s">
        <v>151</v>
      </c>
    </row>
    <row r="282" spans="1:10" ht="25.5">
      <c r="A282" s="302" t="str">
        <f t="shared" si="4"/>
        <v>FoulGround</v>
      </c>
      <c r="B282" s="6" t="s">
        <v>2463</v>
      </c>
      <c r="C282" s="17" t="s">
        <v>2464</v>
      </c>
      <c r="D282" s="10" t="s">
        <v>2465</v>
      </c>
      <c r="E282" s="55"/>
      <c r="F282" s="55"/>
      <c r="G282" s="25">
        <v>100287</v>
      </c>
      <c r="H282" s="300" t="str">
        <f>CONCATENATE([1]Cover!$D$6,"fdd/view?i=",G282)</f>
        <v>https://www.dgiwg.org/FAD/fdd/view?i=100287</v>
      </c>
      <c r="I282" s="8" t="s">
        <v>2462</v>
      </c>
      <c r="J282" s="38" t="s">
        <v>151</v>
      </c>
    </row>
    <row r="283" spans="1:10" ht="25.5">
      <c r="A283" s="302" t="str">
        <f t="shared" si="4"/>
        <v>Fountain</v>
      </c>
      <c r="B283" s="6" t="s">
        <v>2467</v>
      </c>
      <c r="C283" s="17" t="s">
        <v>2467</v>
      </c>
      <c r="D283" s="10" t="s">
        <v>2468</v>
      </c>
      <c r="E283" s="10" t="s">
        <v>2469</v>
      </c>
      <c r="F283" s="55"/>
      <c r="G283" s="25">
        <v>100339</v>
      </c>
      <c r="H283" s="300" t="str">
        <f>CONCATENATE([1]Cover!$D$6,"fdd/view?i=",G283)</f>
        <v>https://www.dgiwg.org/FAD/fdd/view?i=100339</v>
      </c>
      <c r="I283" s="8" t="s">
        <v>2466</v>
      </c>
      <c r="J283" s="38" t="s">
        <v>151</v>
      </c>
    </row>
    <row r="284" spans="1:10" ht="76.5">
      <c r="A284" s="302" t="str">
        <f t="shared" si="4"/>
        <v>FuelStorageFacility</v>
      </c>
      <c r="B284" s="6" t="s">
        <v>2471</v>
      </c>
      <c r="C284" s="17" t="s">
        <v>2472</v>
      </c>
      <c r="D284" s="10" t="s">
        <v>2473</v>
      </c>
      <c r="E284" s="10" t="s">
        <v>2474</v>
      </c>
      <c r="F284" s="55"/>
      <c r="G284" s="25">
        <v>111427</v>
      </c>
      <c r="H284" s="300" t="str">
        <f>CONCATENATE([1]Cover!$D$6,"fdd/view?i=",G284)</f>
        <v>https://www.dgiwg.org/FAD/fdd/view?i=111427</v>
      </c>
      <c r="I284" s="8" t="s">
        <v>2470</v>
      </c>
      <c r="J284" s="38" t="s">
        <v>151</v>
      </c>
    </row>
    <row r="285" spans="1:10" ht="63.75">
      <c r="A285" s="302" t="str">
        <f t="shared" si="4"/>
        <v>Gantry</v>
      </c>
      <c r="B285" s="6" t="s">
        <v>2476</v>
      </c>
      <c r="C285" s="17" t="s">
        <v>2476</v>
      </c>
      <c r="D285" s="10" t="s">
        <v>2477</v>
      </c>
      <c r="E285" s="10" t="s">
        <v>2478</v>
      </c>
      <c r="F285" s="55"/>
      <c r="G285" s="25">
        <v>100097</v>
      </c>
      <c r="H285" s="300" t="str">
        <f>CONCATENATE([1]Cover!$D$6,"fdd/view?i=",G285)</f>
        <v>https://www.dgiwg.org/FAD/fdd/view?i=100097</v>
      </c>
      <c r="I285" s="8" t="s">
        <v>2475</v>
      </c>
      <c r="J285" s="38" t="s">
        <v>151</v>
      </c>
    </row>
    <row r="286" spans="1:10" ht="25.5">
      <c r="A286" s="302" t="str">
        <f t="shared" si="4"/>
        <v>Gate</v>
      </c>
      <c r="B286" s="6" t="s">
        <v>2480</v>
      </c>
      <c r="C286" s="17" t="s">
        <v>2480</v>
      </c>
      <c r="D286" s="10" t="s">
        <v>2481</v>
      </c>
      <c r="E286" s="55"/>
      <c r="F286" s="55"/>
      <c r="G286" s="25">
        <v>100146</v>
      </c>
      <c r="H286" s="300" t="str">
        <f>CONCATENATE([1]Cover!$D$6,"fdd/view?i=",G286)</f>
        <v>https://www.dgiwg.org/FAD/fdd/view?i=100146</v>
      </c>
      <c r="I286" s="8" t="s">
        <v>2479</v>
      </c>
      <c r="J286" s="38" t="s">
        <v>151</v>
      </c>
    </row>
    <row r="287" spans="1:10" ht="25.5">
      <c r="A287" s="302" t="str">
        <f t="shared" si="4"/>
        <v>GaugingStation</v>
      </c>
      <c r="B287" s="6" t="s">
        <v>2483</v>
      </c>
      <c r="C287" s="17" t="s">
        <v>2484</v>
      </c>
      <c r="D287" s="10" t="s">
        <v>2485</v>
      </c>
      <c r="E287" s="55"/>
      <c r="F287" s="55"/>
      <c r="G287" s="25">
        <v>100378</v>
      </c>
      <c r="H287" s="300" t="str">
        <f>CONCATENATE([1]Cover!$D$6,"fdd/view?i=",G287)</f>
        <v>https://www.dgiwg.org/FAD/fdd/view?i=100378</v>
      </c>
      <c r="I287" s="8" t="s">
        <v>2482</v>
      </c>
      <c r="J287" s="38" t="s">
        <v>151</v>
      </c>
    </row>
    <row r="288" spans="1:10" ht="25.5">
      <c r="A288" s="302" t="str">
        <f t="shared" si="4"/>
        <v>EX_GeographicBoundingBox</v>
      </c>
      <c r="B288" s="6" t="s">
        <v>2487</v>
      </c>
      <c r="C288" s="17" t="s">
        <v>2488</v>
      </c>
      <c r="D288" s="10" t="s">
        <v>2489</v>
      </c>
      <c r="E288" s="10" t="s">
        <v>2490</v>
      </c>
      <c r="F288" s="55"/>
      <c r="G288" s="25">
        <v>203446</v>
      </c>
      <c r="H288" s="300" t="str">
        <f>CONCATENATE([1]Cover!$D$6,"fdd/view?i=",G288)</f>
        <v>https://www.dgiwg.org/FAD/fdd/view?i=203446</v>
      </c>
      <c r="I288" s="8" t="s">
        <v>2486</v>
      </c>
      <c r="J288" s="38" t="s">
        <v>1295</v>
      </c>
    </row>
    <row r="289" spans="1:10" ht="25.5">
      <c r="A289" s="302" t="str">
        <f t="shared" si="4"/>
        <v>EX_BoundingPolygon</v>
      </c>
      <c r="B289" s="6" t="s">
        <v>2492</v>
      </c>
      <c r="C289" s="17" t="s">
        <v>2493</v>
      </c>
      <c r="D289" s="10" t="s">
        <v>2494</v>
      </c>
      <c r="E289" s="55"/>
      <c r="F289" s="55"/>
      <c r="G289" s="25">
        <v>203445</v>
      </c>
      <c r="H289" s="300" t="str">
        <f>CONCATENATE([1]Cover!$D$6,"fdd/view?i=",G289)</f>
        <v>https://www.dgiwg.org/FAD/fdd/view?i=203445</v>
      </c>
      <c r="I289" s="8" t="s">
        <v>2491</v>
      </c>
      <c r="J289" s="38" t="s">
        <v>1295</v>
      </c>
    </row>
    <row r="290" spans="1:10" ht="25.5">
      <c r="A290" s="302" t="str">
        <f t="shared" si="4"/>
        <v>EX_GeographicDescription</v>
      </c>
      <c r="B290" s="6" t="s">
        <v>2496</v>
      </c>
      <c r="C290" s="17" t="s">
        <v>2497</v>
      </c>
      <c r="D290" s="10" t="s">
        <v>2498</v>
      </c>
      <c r="E290" s="55"/>
      <c r="F290" s="55"/>
      <c r="G290" s="25">
        <v>203447</v>
      </c>
      <c r="H290" s="300" t="str">
        <f>CONCATENATE([1]Cover!$D$6,"fdd/view?i=",G290)</f>
        <v>https://www.dgiwg.org/FAD/fdd/view?i=203447</v>
      </c>
      <c r="I290" s="8" t="s">
        <v>2495</v>
      </c>
      <c r="J290" s="38" t="s">
        <v>1295</v>
      </c>
    </row>
    <row r="291" spans="1:10">
      <c r="A291" s="302" t="str">
        <f t="shared" si="4"/>
        <v>EX_GeographicExtent</v>
      </c>
      <c r="B291" s="6" t="s">
        <v>2500</v>
      </c>
      <c r="C291" s="17" t="s">
        <v>2501</v>
      </c>
      <c r="D291" s="10" t="s">
        <v>2502</v>
      </c>
      <c r="E291" s="55"/>
      <c r="F291" s="55"/>
      <c r="G291" s="25">
        <v>203448</v>
      </c>
      <c r="H291" s="300" t="str">
        <f>CONCATENATE([1]Cover!$D$6,"fdd/view?i=",G291)</f>
        <v>https://www.dgiwg.org/FAD/fdd/view?i=203448</v>
      </c>
      <c r="I291" s="8" t="s">
        <v>2499</v>
      </c>
      <c r="J291" s="38" t="s">
        <v>1295</v>
      </c>
    </row>
    <row r="292" spans="1:10" ht="25.5">
      <c r="A292" s="302" t="str">
        <f t="shared" si="4"/>
        <v>GeographicInfoLocation</v>
      </c>
      <c r="B292" s="6" t="s">
        <v>2504</v>
      </c>
      <c r="C292" s="17" t="s">
        <v>2505</v>
      </c>
      <c r="D292" s="10" t="s">
        <v>2506</v>
      </c>
      <c r="E292" s="55"/>
      <c r="F292" s="55"/>
      <c r="G292" s="25">
        <v>100575</v>
      </c>
      <c r="H292" s="300" t="str">
        <f>CONCATENATE([1]Cover!$D$6,"fdd/view?i=",G292)</f>
        <v>https://www.dgiwg.org/FAD/fdd/view?i=100575</v>
      </c>
      <c r="I292" s="8" t="s">
        <v>2503</v>
      </c>
      <c r="J292" s="38" t="s">
        <v>151</v>
      </c>
    </row>
    <row r="293" spans="1:10" ht="38.25">
      <c r="A293" s="302" t="str">
        <f t="shared" si="4"/>
        <v>GeoNameCollection</v>
      </c>
      <c r="B293" s="6" t="s">
        <v>2508</v>
      </c>
      <c r="C293" s="17" t="s">
        <v>2509</v>
      </c>
      <c r="D293" s="10" t="s">
        <v>2510</v>
      </c>
      <c r="E293" s="55"/>
      <c r="F293" s="55"/>
      <c r="G293" s="25">
        <v>111463</v>
      </c>
      <c r="H293" s="300" t="str">
        <f>CONCATENATE([1]Cover!$D$6,"fdd/view?i=",G293)</f>
        <v>https://www.dgiwg.org/FAD/fdd/view?i=111463</v>
      </c>
      <c r="I293" s="8" t="s">
        <v>2507</v>
      </c>
      <c r="J293" s="38" t="s">
        <v>151</v>
      </c>
    </row>
    <row r="294" spans="1:10" ht="25.5">
      <c r="A294" s="302" t="str">
        <f t="shared" si="4"/>
        <v>GeoNameInfo</v>
      </c>
      <c r="B294" s="6" t="s">
        <v>2512</v>
      </c>
      <c r="C294" s="17" t="s">
        <v>2513</v>
      </c>
      <c r="D294" s="10" t="s">
        <v>2514</v>
      </c>
      <c r="E294" s="55"/>
      <c r="F294" s="55"/>
      <c r="G294" s="25">
        <v>111462</v>
      </c>
      <c r="H294" s="300" t="str">
        <f>CONCATENATE([1]Cover!$D$6,"fdd/view?i=",G294)</f>
        <v>https://www.dgiwg.org/FAD/fdd/view?i=111462</v>
      </c>
      <c r="I294" s="8" t="s">
        <v>2511</v>
      </c>
      <c r="J294" s="38" t="s">
        <v>151</v>
      </c>
    </row>
    <row r="295" spans="1:10" ht="76.5">
      <c r="A295" s="302" t="str">
        <f t="shared" si="4"/>
        <v>GeologicFault</v>
      </c>
      <c r="B295" s="6" t="s">
        <v>2516</v>
      </c>
      <c r="C295" s="17" t="s">
        <v>2517</v>
      </c>
      <c r="D295" s="10" t="s">
        <v>2518</v>
      </c>
      <c r="E295" s="10" t="s">
        <v>2519</v>
      </c>
      <c r="F295" s="55"/>
      <c r="G295" s="25">
        <v>100414</v>
      </c>
      <c r="H295" s="300" t="str">
        <f>CONCATENATE([1]Cover!$D$6,"fdd/view?i=",G295)</f>
        <v>https://www.dgiwg.org/FAD/fdd/view?i=100414</v>
      </c>
      <c r="I295" s="8" t="s">
        <v>2515</v>
      </c>
      <c r="J295" s="38" t="s">
        <v>151</v>
      </c>
    </row>
    <row r="296" spans="1:10" ht="51">
      <c r="A296" s="302" t="str">
        <f t="shared" si="4"/>
        <v>GM_Curve</v>
      </c>
      <c r="B296" s="6" t="s">
        <v>2521</v>
      </c>
      <c r="C296" s="17" t="s">
        <v>2522</v>
      </c>
      <c r="D296" s="10" t="s">
        <v>2523</v>
      </c>
      <c r="E296" s="10" t="s">
        <v>2524</v>
      </c>
      <c r="F296" s="55"/>
      <c r="G296" s="25">
        <v>207766</v>
      </c>
      <c r="H296" s="300" t="str">
        <f>CONCATENATE([1]Cover!$D$6,"fdd/view?i=",G296)</f>
        <v>https://www.dgiwg.org/FAD/fdd/view?i=207766</v>
      </c>
      <c r="I296" s="8" t="s">
        <v>2520</v>
      </c>
      <c r="J296" s="38" t="s">
        <v>1295</v>
      </c>
    </row>
    <row r="297" spans="1:10" ht="38.25">
      <c r="A297" s="302" t="str">
        <f t="shared" si="4"/>
        <v>GeometryInfo</v>
      </c>
      <c r="B297" s="6" t="s">
        <v>2526</v>
      </c>
      <c r="C297" s="17" t="s">
        <v>2527</v>
      </c>
      <c r="D297" s="10" t="s">
        <v>2528</v>
      </c>
      <c r="E297" s="10" t="s">
        <v>2529</v>
      </c>
      <c r="F297" s="55"/>
      <c r="G297" s="25">
        <v>114210</v>
      </c>
      <c r="H297" s="300" t="str">
        <f>CONCATENATE([1]Cover!$D$6,"fdd/view?i=",G297)</f>
        <v>https://www.dgiwg.org/FAD/fdd/view?i=114210</v>
      </c>
      <c r="I297" s="8" t="s">
        <v>2525</v>
      </c>
      <c r="J297" s="38" t="s">
        <v>151</v>
      </c>
    </row>
    <row r="298" spans="1:10" ht="25.5">
      <c r="A298" s="302" t="str">
        <f t="shared" si="4"/>
        <v>GM_Object</v>
      </c>
      <c r="B298" s="6" t="s">
        <v>2531</v>
      </c>
      <c r="C298" s="17" t="s">
        <v>2532</v>
      </c>
      <c r="D298" s="10" t="s">
        <v>2533</v>
      </c>
      <c r="E298" s="55"/>
      <c r="F298" s="55"/>
      <c r="G298" s="25">
        <v>207763</v>
      </c>
      <c r="H298" s="300" t="str">
        <f>CONCATENATE([1]Cover!$D$6,"fdd/view?i=",G298)</f>
        <v>https://www.dgiwg.org/FAD/fdd/view?i=207763</v>
      </c>
      <c r="I298" s="8" t="s">
        <v>2530</v>
      </c>
      <c r="J298" s="38" t="s">
        <v>1295</v>
      </c>
    </row>
    <row r="299" spans="1:10" ht="51">
      <c r="A299" s="302" t="str">
        <f t="shared" si="4"/>
        <v>GM_OrientableCurve</v>
      </c>
      <c r="B299" s="6" t="s">
        <v>2535</v>
      </c>
      <c r="C299" s="17" t="s">
        <v>2536</v>
      </c>
      <c r="D299" s="10" t="s">
        <v>2537</v>
      </c>
      <c r="E299" s="10" t="s">
        <v>2538</v>
      </c>
      <c r="F299" s="55"/>
      <c r="G299" s="25">
        <v>207769</v>
      </c>
      <c r="H299" s="300" t="str">
        <f>CONCATENATE([1]Cover!$D$6,"fdd/view?i=",G299)</f>
        <v>https://www.dgiwg.org/FAD/fdd/view?i=207769</v>
      </c>
      <c r="I299" s="8" t="s">
        <v>2534</v>
      </c>
      <c r="J299" s="38" t="s">
        <v>1295</v>
      </c>
    </row>
    <row r="300" spans="1:10" ht="51">
      <c r="A300" s="302" t="str">
        <f t="shared" si="4"/>
        <v>GM_OrientablePrimitive</v>
      </c>
      <c r="B300" s="6" t="s">
        <v>2540</v>
      </c>
      <c r="C300" s="17" t="s">
        <v>2541</v>
      </c>
      <c r="D300" s="10" t="s">
        <v>2542</v>
      </c>
      <c r="E300" s="10" t="s">
        <v>2543</v>
      </c>
      <c r="F300" s="55"/>
      <c r="G300" s="25">
        <v>207768</v>
      </c>
      <c r="H300" s="300" t="str">
        <f>CONCATENATE([1]Cover!$D$6,"fdd/view?i=",G300)</f>
        <v>https://www.dgiwg.org/FAD/fdd/view?i=207768</v>
      </c>
      <c r="I300" s="8" t="s">
        <v>2539</v>
      </c>
      <c r="J300" s="38" t="s">
        <v>1295</v>
      </c>
    </row>
    <row r="301" spans="1:10" ht="51">
      <c r="A301" s="302" t="str">
        <f t="shared" si="4"/>
        <v>GM_OrientableSurface</v>
      </c>
      <c r="B301" s="6" t="s">
        <v>2545</v>
      </c>
      <c r="C301" s="17" t="s">
        <v>2546</v>
      </c>
      <c r="D301" s="10" t="s">
        <v>2547</v>
      </c>
      <c r="E301" s="10" t="s">
        <v>2548</v>
      </c>
      <c r="F301" s="55"/>
      <c r="G301" s="25">
        <v>207770</v>
      </c>
      <c r="H301" s="300" t="str">
        <f>CONCATENATE([1]Cover!$D$6,"fdd/view?i=",G301)</f>
        <v>https://www.dgiwg.org/FAD/fdd/view?i=207770</v>
      </c>
      <c r="I301" s="8" t="s">
        <v>2544</v>
      </c>
      <c r="J301" s="38" t="s">
        <v>1295</v>
      </c>
    </row>
    <row r="302" spans="1:10" ht="25.5">
      <c r="A302" s="302" t="str">
        <f t="shared" si="4"/>
        <v>GM_Point</v>
      </c>
      <c r="B302" s="6" t="s">
        <v>2550</v>
      </c>
      <c r="C302" s="17" t="s">
        <v>2551</v>
      </c>
      <c r="D302" s="10" t="s">
        <v>2552</v>
      </c>
      <c r="E302" s="55"/>
      <c r="F302" s="55"/>
      <c r="G302" s="25">
        <v>207765</v>
      </c>
      <c r="H302" s="300" t="str">
        <f>CONCATENATE([1]Cover!$D$6,"fdd/view?i=",G302)</f>
        <v>https://www.dgiwg.org/FAD/fdd/view?i=207765</v>
      </c>
      <c r="I302" s="8" t="s">
        <v>2549</v>
      </c>
      <c r="J302" s="38" t="s">
        <v>1295</v>
      </c>
    </row>
    <row r="303" spans="1:10" ht="51">
      <c r="A303" s="302" t="str">
        <f t="shared" si="4"/>
        <v>GM_Primitive</v>
      </c>
      <c r="B303" s="6" t="s">
        <v>2554</v>
      </c>
      <c r="C303" s="17" t="s">
        <v>2555</v>
      </c>
      <c r="D303" s="10" t="s">
        <v>2556</v>
      </c>
      <c r="E303" s="10" t="s">
        <v>2557</v>
      </c>
      <c r="F303" s="55"/>
      <c r="G303" s="25">
        <v>207764</v>
      </c>
      <c r="H303" s="300" t="str">
        <f>CONCATENATE([1]Cover!$D$6,"fdd/view?i=",G303)</f>
        <v>https://www.dgiwg.org/FAD/fdd/view?i=207764</v>
      </c>
      <c r="I303" s="8" t="s">
        <v>2553</v>
      </c>
      <c r="J303" s="38" t="s">
        <v>1295</v>
      </c>
    </row>
    <row r="304" spans="1:10" ht="51">
      <c r="A304" s="302" t="str">
        <f t="shared" si="4"/>
        <v>GM_Surface</v>
      </c>
      <c r="B304" s="6" t="s">
        <v>2559</v>
      </c>
      <c r="C304" s="17" t="s">
        <v>2560</v>
      </c>
      <c r="D304" s="10" t="s">
        <v>2561</v>
      </c>
      <c r="E304" s="10" t="s">
        <v>2562</v>
      </c>
      <c r="F304" s="55"/>
      <c r="G304" s="25">
        <v>207767</v>
      </c>
      <c r="H304" s="300" t="str">
        <f>CONCATENATE([1]Cover!$D$6,"fdd/view?i=",G304)</f>
        <v>https://www.dgiwg.org/FAD/fdd/view?i=207767</v>
      </c>
      <c r="I304" s="8" t="s">
        <v>2558</v>
      </c>
      <c r="J304" s="38" t="s">
        <v>1295</v>
      </c>
    </row>
    <row r="305" spans="1:10" ht="38.25">
      <c r="A305" s="302" t="str">
        <f t="shared" si="4"/>
        <v>GeomorphicBreakline</v>
      </c>
      <c r="B305" s="6" t="s">
        <v>2564</v>
      </c>
      <c r="C305" s="17" t="s">
        <v>2565</v>
      </c>
      <c r="D305" s="10" t="s">
        <v>2566</v>
      </c>
      <c r="E305" s="10" t="s">
        <v>2567</v>
      </c>
      <c r="F305" s="55"/>
      <c r="G305" s="25">
        <v>119163</v>
      </c>
      <c r="H305" s="300" t="str">
        <f>CONCATENATE([1]Cover!$D$6,"fdd/view?i=",G305)</f>
        <v>https://www.dgiwg.org/FAD/fdd/view?i=119163</v>
      </c>
      <c r="I305" s="8" t="s">
        <v>2563</v>
      </c>
      <c r="J305" s="38" t="s">
        <v>151</v>
      </c>
    </row>
    <row r="306" spans="1:10" ht="25.5">
      <c r="A306" s="302" t="str">
        <f t="shared" si="4"/>
        <v>GeomorphicExtreme</v>
      </c>
      <c r="B306" s="6" t="s">
        <v>2569</v>
      </c>
      <c r="C306" s="17" t="s">
        <v>2570</v>
      </c>
      <c r="D306" s="10" t="s">
        <v>2571</v>
      </c>
      <c r="E306" s="10" t="s">
        <v>2572</v>
      </c>
      <c r="F306" s="55"/>
      <c r="G306" s="25">
        <v>119162</v>
      </c>
      <c r="H306" s="300" t="str">
        <f>CONCATENATE([1]Cover!$D$6,"fdd/view?i=",G306)</f>
        <v>https://www.dgiwg.org/FAD/fdd/view?i=119162</v>
      </c>
      <c r="I306" s="8" t="s">
        <v>2568</v>
      </c>
      <c r="J306" s="38" t="s">
        <v>151</v>
      </c>
    </row>
    <row r="307" spans="1:10" ht="25.5">
      <c r="A307" s="302" t="str">
        <f t="shared" si="4"/>
        <v>GeophysicalDataTrackLine</v>
      </c>
      <c r="B307" s="6" t="s">
        <v>2574</v>
      </c>
      <c r="C307" s="17" t="s">
        <v>2575</v>
      </c>
      <c r="D307" s="10" t="s">
        <v>2576</v>
      </c>
      <c r="E307" s="55"/>
      <c r="F307" s="55"/>
      <c r="G307" s="25">
        <v>111455</v>
      </c>
      <c r="H307" s="300" t="str">
        <f>CONCATENATE([1]Cover!$D$6,"fdd/view?i=",G307)</f>
        <v>https://www.dgiwg.org/FAD/fdd/view?i=111455</v>
      </c>
      <c r="I307" s="8" t="s">
        <v>2573</v>
      </c>
      <c r="J307" s="38" t="s">
        <v>151</v>
      </c>
    </row>
    <row r="308" spans="1:10" ht="51">
      <c r="A308" s="302" t="str">
        <f t="shared" si="4"/>
        <v>GeopoliticalEntity</v>
      </c>
      <c r="B308" s="6" t="s">
        <v>2578</v>
      </c>
      <c r="C308" s="17" t="s">
        <v>2579</v>
      </c>
      <c r="D308" s="10" t="s">
        <v>2580</v>
      </c>
      <c r="E308" s="10" t="s">
        <v>2581</v>
      </c>
      <c r="F308" s="55"/>
      <c r="G308" s="25">
        <v>111453</v>
      </c>
      <c r="H308" s="300" t="str">
        <f>CONCATENATE([1]Cover!$D$6,"fdd/view?i=",G308)</f>
        <v>https://www.dgiwg.org/FAD/fdd/view?i=111453</v>
      </c>
      <c r="I308" s="8" t="s">
        <v>2577</v>
      </c>
      <c r="J308" s="38" t="s">
        <v>151</v>
      </c>
    </row>
    <row r="309" spans="1:10" ht="38.25">
      <c r="A309" s="302" t="str">
        <f t="shared" si="4"/>
        <v>GeopoliticalEntityDesig</v>
      </c>
      <c r="B309" s="6" t="s">
        <v>2583</v>
      </c>
      <c r="C309" s="17" t="s">
        <v>2584</v>
      </c>
      <c r="D309" s="10" t="s">
        <v>2585</v>
      </c>
      <c r="E309" s="55"/>
      <c r="F309" s="55"/>
      <c r="G309" s="25">
        <v>114203</v>
      </c>
      <c r="H309" s="300" t="str">
        <f>CONCATENATE([1]Cover!$D$6,"fdd/view?i=",G309)</f>
        <v>https://www.dgiwg.org/FAD/fdd/view?i=114203</v>
      </c>
      <c r="I309" s="8" t="s">
        <v>2582</v>
      </c>
      <c r="J309" s="38" t="s">
        <v>151</v>
      </c>
    </row>
    <row r="310" spans="1:10" ht="63.75">
      <c r="A310" s="302" t="str">
        <f t="shared" si="4"/>
        <v>GeopoliticalLine</v>
      </c>
      <c r="B310" s="6" t="s">
        <v>2587</v>
      </c>
      <c r="C310" s="17" t="s">
        <v>2588</v>
      </c>
      <c r="D310" s="10" t="s">
        <v>2589</v>
      </c>
      <c r="E310" s="10" t="s">
        <v>2590</v>
      </c>
      <c r="F310" s="55"/>
      <c r="G310" s="25">
        <v>119394</v>
      </c>
      <c r="H310" s="300" t="str">
        <f>CONCATENATE([1]Cover!$D$6,"fdd/view?i=",G310)</f>
        <v>https://www.dgiwg.org/FAD/fdd/view?i=119394</v>
      </c>
      <c r="I310" s="8" t="s">
        <v>2586</v>
      </c>
      <c r="J310" s="38" t="s">
        <v>151</v>
      </c>
    </row>
    <row r="311" spans="1:10" ht="25.5">
      <c r="A311" s="302" t="str">
        <f t="shared" si="4"/>
        <v>GeothermalOutlet</v>
      </c>
      <c r="B311" s="6" t="s">
        <v>2592</v>
      </c>
      <c r="C311" s="17" t="s">
        <v>2593</v>
      </c>
      <c r="D311" s="10" t="s">
        <v>2594</v>
      </c>
      <c r="E311" s="10" t="s">
        <v>2595</v>
      </c>
      <c r="F311" s="55"/>
      <c r="G311" s="25">
        <v>100415</v>
      </c>
      <c r="H311" s="300" t="str">
        <f>CONCATENATE([1]Cover!$D$6,"fdd/view?i=",G311)</f>
        <v>https://www.dgiwg.org/FAD/fdd/view?i=100415</v>
      </c>
      <c r="I311" s="8" t="s">
        <v>2591</v>
      </c>
      <c r="J311" s="38" t="s">
        <v>151</v>
      </c>
    </row>
    <row r="312" spans="1:10" ht="38.25">
      <c r="A312" s="302" t="str">
        <f t="shared" si="4"/>
        <v>Glacier</v>
      </c>
      <c r="B312" s="6" t="s">
        <v>2597</v>
      </c>
      <c r="C312" s="17" t="s">
        <v>2597</v>
      </c>
      <c r="D312" s="10" t="s">
        <v>2598</v>
      </c>
      <c r="E312" s="55"/>
      <c r="F312" s="55"/>
      <c r="G312" s="25">
        <v>100381</v>
      </c>
      <c r="H312" s="300" t="str">
        <f>CONCATENATE([1]Cover!$D$6,"fdd/view?i=",G312)</f>
        <v>https://www.dgiwg.org/FAD/fdd/view?i=100381</v>
      </c>
      <c r="I312" s="8" t="s">
        <v>2596</v>
      </c>
      <c r="J312" s="38" t="s">
        <v>151</v>
      </c>
    </row>
    <row r="313" spans="1:10" ht="51">
      <c r="A313" s="302" t="str">
        <f t="shared" si="4"/>
        <v>GlobalNavSatelliteSystem</v>
      </c>
      <c r="B313" s="6" t="s">
        <v>2600</v>
      </c>
      <c r="C313" s="17" t="s">
        <v>2601</v>
      </c>
      <c r="D313" s="10" t="s">
        <v>2602</v>
      </c>
      <c r="E313" s="10" t="s">
        <v>2603</v>
      </c>
      <c r="F313" s="10" t="s">
        <v>2604</v>
      </c>
      <c r="G313" s="25">
        <v>114503</v>
      </c>
      <c r="H313" s="300" t="str">
        <f>CONCATENATE([1]Cover!$D$6,"fdd/view?i=",G313)</f>
        <v>https://www.dgiwg.org/FAD/fdd/view?i=114503</v>
      </c>
      <c r="I313" s="8" t="s">
        <v>2599</v>
      </c>
      <c r="J313" s="38" t="s">
        <v>151</v>
      </c>
    </row>
    <row r="314" spans="1:10">
      <c r="A314" s="302" t="str">
        <f t="shared" si="4"/>
        <v>GolfCourse</v>
      </c>
      <c r="B314" s="6" t="s">
        <v>2606</v>
      </c>
      <c r="C314" s="17" t="s">
        <v>2607</v>
      </c>
      <c r="D314" s="10" t="s">
        <v>2608</v>
      </c>
      <c r="E314" s="55"/>
      <c r="F314" s="55"/>
      <c r="G314" s="25">
        <v>100061</v>
      </c>
      <c r="H314" s="300" t="str">
        <f>CONCATENATE([1]Cover!$D$6,"fdd/view?i=",G314)</f>
        <v>https://www.dgiwg.org/FAD/fdd/view?i=100061</v>
      </c>
      <c r="I314" s="8" t="s">
        <v>2605</v>
      </c>
      <c r="J314" s="38" t="s">
        <v>151</v>
      </c>
    </row>
    <row r="315" spans="1:10">
      <c r="A315" s="302" t="str">
        <f t="shared" si="4"/>
        <v>GolfDrivingRange</v>
      </c>
      <c r="B315" s="6" t="s">
        <v>2610</v>
      </c>
      <c r="C315" s="17" t="s">
        <v>2611</v>
      </c>
      <c r="D315" s="10" t="s">
        <v>2612</v>
      </c>
      <c r="E315" s="55"/>
      <c r="F315" s="55"/>
      <c r="G315" s="25">
        <v>100062</v>
      </c>
      <c r="H315" s="300" t="str">
        <f>CONCATENATE([1]Cover!$D$6,"fdd/view?i=",G315)</f>
        <v>https://www.dgiwg.org/FAD/fdd/view?i=100062</v>
      </c>
      <c r="I315" s="8" t="s">
        <v>2609</v>
      </c>
      <c r="J315" s="38" t="s">
        <v>151</v>
      </c>
    </row>
    <row r="316" spans="1:10" ht="25.5">
      <c r="A316" s="302" t="str">
        <f t="shared" si="4"/>
        <v>GrainElevator</v>
      </c>
      <c r="B316" s="6" t="s">
        <v>2614</v>
      </c>
      <c r="C316" s="17" t="s">
        <v>2615</v>
      </c>
      <c r="D316" s="10" t="s">
        <v>2616</v>
      </c>
      <c r="E316" s="55"/>
      <c r="F316" s="55"/>
      <c r="G316" s="25">
        <v>100128</v>
      </c>
      <c r="H316" s="300" t="str">
        <f>CONCATENATE([1]Cover!$D$6,"fdd/view?i=",G316)</f>
        <v>https://www.dgiwg.org/FAD/fdd/view?i=100128</v>
      </c>
      <c r="I316" s="8" t="s">
        <v>2613</v>
      </c>
      <c r="J316" s="38" t="s">
        <v>151</v>
      </c>
    </row>
    <row r="317" spans="1:10" ht="25.5">
      <c r="A317" s="302" t="str">
        <f t="shared" si="4"/>
        <v>GrainStorageStructure</v>
      </c>
      <c r="B317" s="6" t="s">
        <v>2618</v>
      </c>
      <c r="C317" s="17" t="s">
        <v>2619</v>
      </c>
      <c r="D317" s="10" t="s">
        <v>2620</v>
      </c>
      <c r="E317" s="55"/>
      <c r="F317" s="55"/>
      <c r="G317" s="25">
        <v>100127</v>
      </c>
      <c r="H317" s="300" t="str">
        <f>CONCATENATE([1]Cover!$D$6,"fdd/view?i=",G317)</f>
        <v>https://www.dgiwg.org/FAD/fdd/view?i=100127</v>
      </c>
      <c r="I317" s="8" t="s">
        <v>2617</v>
      </c>
      <c r="J317" s="38" t="s">
        <v>151</v>
      </c>
    </row>
    <row r="318" spans="1:10" ht="25.5">
      <c r="A318" s="302" t="str">
        <f t="shared" si="4"/>
        <v>Grandstand</v>
      </c>
      <c r="B318" s="6" t="s">
        <v>2622</v>
      </c>
      <c r="C318" s="17" t="s">
        <v>2622</v>
      </c>
      <c r="D318" s="10" t="s">
        <v>2623</v>
      </c>
      <c r="E318" s="55"/>
      <c r="F318" s="55"/>
      <c r="G318" s="25">
        <v>100063</v>
      </c>
      <c r="H318" s="300" t="str">
        <f>CONCATENATE([1]Cover!$D$6,"fdd/view?i=",G318)</f>
        <v>https://www.dgiwg.org/FAD/fdd/view?i=100063</v>
      </c>
      <c r="I318" s="8" t="s">
        <v>2621</v>
      </c>
      <c r="J318" s="38" t="s">
        <v>151</v>
      </c>
    </row>
    <row r="319" spans="1:10">
      <c r="A319" s="302" t="str">
        <f t="shared" si="4"/>
        <v>Grassland</v>
      </c>
      <c r="B319" s="6" t="s">
        <v>2625</v>
      </c>
      <c r="C319" s="17" t="s">
        <v>2625</v>
      </c>
      <c r="D319" s="10" t="s">
        <v>2626</v>
      </c>
      <c r="E319" s="10" t="s">
        <v>2627</v>
      </c>
      <c r="F319" s="55"/>
      <c r="G319" s="25">
        <v>100439</v>
      </c>
      <c r="H319" s="300" t="str">
        <f>CONCATENATE([1]Cover!$D$6,"fdd/view?i=",G319)</f>
        <v>https://www.dgiwg.org/FAD/fdd/view?i=100439</v>
      </c>
      <c r="I319" s="8" t="s">
        <v>2624</v>
      </c>
      <c r="J319" s="38" t="s">
        <v>151</v>
      </c>
    </row>
    <row r="320" spans="1:10" ht="38.25">
      <c r="A320" s="302" t="str">
        <f t="shared" si="4"/>
        <v>Grave</v>
      </c>
      <c r="B320" s="6" t="s">
        <v>2629</v>
      </c>
      <c r="C320" s="17" t="s">
        <v>2629</v>
      </c>
      <c r="D320" s="10" t="s">
        <v>2630</v>
      </c>
      <c r="E320" s="10" t="s">
        <v>2631</v>
      </c>
      <c r="F320" s="55"/>
      <c r="G320" s="25">
        <v>111418</v>
      </c>
      <c r="H320" s="300" t="str">
        <f>CONCATENATE([1]Cover!$D$6,"fdd/view?i=",G320)</f>
        <v>https://www.dgiwg.org/FAD/fdd/view?i=111418</v>
      </c>
      <c r="I320" s="8" t="s">
        <v>2628</v>
      </c>
      <c r="J320" s="38" t="s">
        <v>151</v>
      </c>
    </row>
    <row r="321" spans="1:10">
      <c r="A321" s="302" t="str">
        <f t="shared" si="4"/>
        <v>GraveMarker</v>
      </c>
      <c r="B321" s="6" t="s">
        <v>2633</v>
      </c>
      <c r="C321" s="17" t="s">
        <v>2634</v>
      </c>
      <c r="D321" s="10" t="s">
        <v>2635</v>
      </c>
      <c r="E321" s="10" t="s">
        <v>2636</v>
      </c>
      <c r="F321" s="10" t="s">
        <v>2637</v>
      </c>
      <c r="G321" s="25">
        <v>100098</v>
      </c>
      <c r="H321" s="300" t="str">
        <f>CONCATENATE([1]Cover!$D$6,"fdd/view?i=",G321)</f>
        <v>https://www.dgiwg.org/FAD/fdd/view?i=100098</v>
      </c>
      <c r="I321" s="8" t="s">
        <v>2632</v>
      </c>
      <c r="J321" s="38" t="s">
        <v>151</v>
      </c>
    </row>
    <row r="322" spans="1:10" ht="127.5">
      <c r="A322" s="302" t="str">
        <f t="shared" si="4"/>
        <v>Greenhouse</v>
      </c>
      <c r="B322" s="6" t="s">
        <v>2639</v>
      </c>
      <c r="C322" s="17" t="s">
        <v>2639</v>
      </c>
      <c r="D322" s="10" t="s">
        <v>2640</v>
      </c>
      <c r="E322" s="10" t="s">
        <v>2641</v>
      </c>
      <c r="F322" s="55"/>
      <c r="G322" s="25">
        <v>111408</v>
      </c>
      <c r="H322" s="300" t="str">
        <f>CONCATENATE([1]Cover!$D$6,"fdd/view?i=",G322)</f>
        <v>https://www.dgiwg.org/FAD/fdd/view?i=111408</v>
      </c>
      <c r="I322" s="8" t="s">
        <v>2638</v>
      </c>
      <c r="J322" s="38" t="s">
        <v>151</v>
      </c>
    </row>
    <row r="323" spans="1:10" ht="38.25">
      <c r="A323" s="302" t="str">
        <f t="shared" ref="A323:A386" si="5">HYPERLINK(H323,B323)</f>
        <v>Gridiron</v>
      </c>
      <c r="B323" s="6" t="s">
        <v>2643</v>
      </c>
      <c r="C323" s="17" t="s">
        <v>2643</v>
      </c>
      <c r="D323" s="10" t="s">
        <v>2644</v>
      </c>
      <c r="E323" s="55"/>
      <c r="F323" s="55"/>
      <c r="G323" s="25">
        <v>100240</v>
      </c>
      <c r="H323" s="300" t="str">
        <f>CONCATENATE([1]Cover!$D$6,"fdd/view?i=",G323)</f>
        <v>https://www.dgiwg.org/FAD/fdd/view?i=100240</v>
      </c>
      <c r="I323" s="8" t="s">
        <v>2642</v>
      </c>
      <c r="J323" s="38" t="s">
        <v>151</v>
      </c>
    </row>
    <row r="324" spans="1:10" ht="51">
      <c r="A324" s="302" t="str">
        <f t="shared" si="5"/>
        <v>GroundPowerEquipmentInfo</v>
      </c>
      <c r="B324" s="6" t="s">
        <v>2646</v>
      </c>
      <c r="C324" s="17" t="s">
        <v>2647</v>
      </c>
      <c r="D324" s="10" t="s">
        <v>2648</v>
      </c>
      <c r="E324" s="10" t="s">
        <v>2649</v>
      </c>
      <c r="F324" s="55"/>
      <c r="G324" s="25">
        <v>119576</v>
      </c>
      <c r="H324" s="300" t="str">
        <f>CONCATENATE([1]Cover!$D$6,"fdd/view?i=",G324)</f>
        <v>https://www.dgiwg.org/FAD/fdd/view?i=119576</v>
      </c>
      <c r="I324" s="8" t="s">
        <v>2645</v>
      </c>
      <c r="J324" s="38" t="s">
        <v>151</v>
      </c>
    </row>
    <row r="325" spans="1:10" ht="38.25">
      <c r="A325" s="302" t="str">
        <f t="shared" si="5"/>
        <v>Grove</v>
      </c>
      <c r="B325" s="6" t="s">
        <v>2651</v>
      </c>
      <c r="C325" s="17" t="s">
        <v>2651</v>
      </c>
      <c r="D325" s="10" t="s">
        <v>2652</v>
      </c>
      <c r="E325" s="10" t="s">
        <v>2653</v>
      </c>
      <c r="F325" s="55"/>
      <c r="G325" s="25">
        <v>110674</v>
      </c>
      <c r="H325" s="300" t="str">
        <f>CONCATENATE([1]Cover!$D$6,"fdd/view?i=",G325)</f>
        <v>https://www.dgiwg.org/FAD/fdd/view?i=110674</v>
      </c>
      <c r="I325" s="8" t="s">
        <v>2650</v>
      </c>
      <c r="J325" s="38" t="s">
        <v>151</v>
      </c>
    </row>
    <row r="326" spans="1:10" ht="25.5">
      <c r="A326" s="302" t="str">
        <f t="shared" si="5"/>
        <v>Harbour</v>
      </c>
      <c r="B326" s="6" t="s">
        <v>2655</v>
      </c>
      <c r="C326" s="17" t="s">
        <v>2655</v>
      </c>
      <c r="D326" s="10" t="s">
        <v>2656</v>
      </c>
      <c r="E326" s="10" t="s">
        <v>2657</v>
      </c>
      <c r="F326" s="10" t="s">
        <v>2658</v>
      </c>
      <c r="G326" s="25">
        <v>100216</v>
      </c>
      <c r="H326" s="300" t="str">
        <f>CONCATENATE([1]Cover!$D$6,"fdd/view?i=",G326)</f>
        <v>https://www.dgiwg.org/FAD/fdd/view?i=100216</v>
      </c>
      <c r="I326" s="8" t="s">
        <v>2654</v>
      </c>
      <c r="J326" s="38" t="s">
        <v>151</v>
      </c>
    </row>
    <row r="327" spans="1:10" ht="51">
      <c r="A327" s="302" t="str">
        <f t="shared" si="5"/>
        <v>HardenedAircraftShelter</v>
      </c>
      <c r="B327" s="6" t="s">
        <v>2660</v>
      </c>
      <c r="C327" s="17" t="s">
        <v>2661</v>
      </c>
      <c r="D327" s="10" t="s">
        <v>2662</v>
      </c>
      <c r="E327" s="10" t="s">
        <v>2663</v>
      </c>
      <c r="F327" s="10" t="s">
        <v>2664</v>
      </c>
      <c r="G327" s="25">
        <v>114635</v>
      </c>
      <c r="H327" s="300" t="str">
        <f>CONCATENATE([1]Cover!$D$6,"fdd/view?i=",G327)</f>
        <v>https://www.dgiwg.org/FAD/fdd/view?i=114635</v>
      </c>
      <c r="I327" s="8" t="s">
        <v>2659</v>
      </c>
      <c r="J327" s="38" t="s">
        <v>151</v>
      </c>
    </row>
    <row r="328" spans="1:10" ht="127.5">
      <c r="A328" s="302" t="str">
        <f t="shared" si="5"/>
        <v>HazardousMaterialInfo</v>
      </c>
      <c r="B328" s="6" t="s">
        <v>2666</v>
      </c>
      <c r="C328" s="17" t="s">
        <v>2667</v>
      </c>
      <c r="D328" s="10" t="s">
        <v>2668</v>
      </c>
      <c r="E328" s="10" t="s">
        <v>2669</v>
      </c>
      <c r="F328" s="55"/>
      <c r="G328" s="25">
        <v>204290</v>
      </c>
      <c r="H328" s="300" t="str">
        <f>CONCATENATE([1]Cover!$D$6,"fdd/view?i=",G328)</f>
        <v>https://www.dgiwg.org/FAD/fdd/view?i=204290</v>
      </c>
      <c r="I328" s="8" t="s">
        <v>2665</v>
      </c>
      <c r="J328" s="38" t="s">
        <v>1295</v>
      </c>
    </row>
    <row r="329" spans="1:10" ht="25.5">
      <c r="A329" s="302" t="str">
        <f t="shared" si="5"/>
        <v>HazardousRock</v>
      </c>
      <c r="B329" s="6" t="s">
        <v>2671</v>
      </c>
      <c r="C329" s="17" t="s">
        <v>2672</v>
      </c>
      <c r="D329" s="10" t="s">
        <v>2673</v>
      </c>
      <c r="E329" s="10" t="s">
        <v>2674</v>
      </c>
      <c r="F329" s="55"/>
      <c r="G329" s="25">
        <v>100306</v>
      </c>
      <c r="H329" s="300" t="str">
        <f>CONCATENATE([1]Cover!$D$6,"fdd/view?i=",G329)</f>
        <v>https://www.dgiwg.org/FAD/fdd/view?i=100306</v>
      </c>
      <c r="I329" s="8" t="s">
        <v>2670</v>
      </c>
      <c r="J329" s="38" t="s">
        <v>151</v>
      </c>
    </row>
    <row r="330" spans="1:10" ht="25.5">
      <c r="A330" s="302" t="str">
        <f t="shared" si="5"/>
        <v>Heathland</v>
      </c>
      <c r="B330" s="6" t="s">
        <v>2676</v>
      </c>
      <c r="C330" s="17" t="s">
        <v>2676</v>
      </c>
      <c r="D330" s="10" t="s">
        <v>2677</v>
      </c>
      <c r="E330" s="55"/>
      <c r="F330" s="55"/>
      <c r="G330" s="25">
        <v>110672</v>
      </c>
      <c r="H330" s="300" t="str">
        <f>CONCATENATE([1]Cover!$D$6,"fdd/view?i=",G330)</f>
        <v>https://www.dgiwg.org/FAD/fdd/view?i=110672</v>
      </c>
      <c r="I330" s="8" t="s">
        <v>2675</v>
      </c>
      <c r="J330" s="38" t="s">
        <v>151</v>
      </c>
    </row>
    <row r="331" spans="1:10">
      <c r="A331" s="302" t="str">
        <f t="shared" si="5"/>
        <v>HeatingFacility</v>
      </c>
      <c r="B331" s="6" t="s">
        <v>2679</v>
      </c>
      <c r="C331" s="17" t="s">
        <v>2680</v>
      </c>
      <c r="D331" s="10" t="s">
        <v>2681</v>
      </c>
      <c r="E331" s="55"/>
      <c r="F331" s="55"/>
      <c r="G331" s="25">
        <v>100026</v>
      </c>
      <c r="H331" s="300" t="str">
        <f>CONCATENATE([1]Cover!$D$6,"fdd/view?i=",G331)</f>
        <v>https://www.dgiwg.org/FAD/fdd/view?i=100026</v>
      </c>
      <c r="I331" s="8" t="s">
        <v>2678</v>
      </c>
      <c r="J331" s="38" t="s">
        <v>151</v>
      </c>
    </row>
    <row r="332" spans="1:10" ht="25.5">
      <c r="A332" s="302" t="str">
        <f t="shared" si="5"/>
        <v>Hedgerow</v>
      </c>
      <c r="B332" s="6" t="s">
        <v>2683</v>
      </c>
      <c r="C332" s="17" t="s">
        <v>2683</v>
      </c>
      <c r="D332" s="10" t="s">
        <v>2684</v>
      </c>
      <c r="E332" s="55"/>
      <c r="F332" s="55"/>
      <c r="G332" s="25">
        <v>100433</v>
      </c>
      <c r="H332" s="300" t="str">
        <f>CONCATENATE([1]Cover!$D$6,"fdd/view?i=",G332)</f>
        <v>https://www.dgiwg.org/FAD/fdd/view?i=100433</v>
      </c>
      <c r="I332" s="8" t="s">
        <v>2682</v>
      </c>
      <c r="J332" s="38" t="s">
        <v>151</v>
      </c>
    </row>
    <row r="333" spans="1:10" ht="38.25">
      <c r="A333" s="302" t="str">
        <f t="shared" si="5"/>
        <v>Helipad</v>
      </c>
      <c r="B333" s="6" t="s">
        <v>2686</v>
      </c>
      <c r="C333" s="17" t="s">
        <v>2686</v>
      </c>
      <c r="D333" s="10" t="s">
        <v>2687</v>
      </c>
      <c r="E333" s="10" t="s">
        <v>2688</v>
      </c>
      <c r="F333" s="10" t="s">
        <v>2689</v>
      </c>
      <c r="G333" s="25">
        <v>114594</v>
      </c>
      <c r="H333" s="300" t="str">
        <f>CONCATENATE([1]Cover!$D$6,"fdd/view?i=",G333)</f>
        <v>https://www.dgiwg.org/FAD/fdd/view?i=114594</v>
      </c>
      <c r="I333" s="8" t="s">
        <v>2685</v>
      </c>
      <c r="J333" s="38" t="s">
        <v>151</v>
      </c>
    </row>
    <row r="334" spans="1:10" ht="25.5">
      <c r="A334" s="302" t="str">
        <f t="shared" si="5"/>
        <v>Heliport</v>
      </c>
      <c r="B334" s="6" t="s">
        <v>2691</v>
      </c>
      <c r="C334" s="17" t="s">
        <v>2691</v>
      </c>
      <c r="D334" s="10" t="s">
        <v>2692</v>
      </c>
      <c r="E334" s="55"/>
      <c r="F334" s="55"/>
      <c r="G334" s="25">
        <v>114595</v>
      </c>
      <c r="H334" s="300" t="str">
        <f>CONCATENATE([1]Cover!$D$6,"fdd/view?i=",G334)</f>
        <v>https://www.dgiwg.org/FAD/fdd/view?i=114595</v>
      </c>
      <c r="I334" s="8" t="s">
        <v>2690</v>
      </c>
      <c r="J334" s="38" t="s">
        <v>151</v>
      </c>
    </row>
    <row r="335" spans="1:10" ht="25.5">
      <c r="A335" s="302" t="str">
        <f t="shared" si="5"/>
        <v>HighWaterLine</v>
      </c>
      <c r="B335" s="6" t="s">
        <v>2694</v>
      </c>
      <c r="C335" s="17" t="s">
        <v>2695</v>
      </c>
      <c r="D335" s="10" t="s">
        <v>2696</v>
      </c>
      <c r="E335" s="55"/>
      <c r="F335" s="55"/>
      <c r="G335" s="25">
        <v>100577</v>
      </c>
      <c r="H335" s="300" t="str">
        <f>CONCATENATE([1]Cover!$D$6,"fdd/view?i=",G335)</f>
        <v>https://www.dgiwg.org/FAD/fdd/view?i=100577</v>
      </c>
      <c r="I335" s="8" t="s">
        <v>2693</v>
      </c>
      <c r="J335" s="38" t="s">
        <v>151</v>
      </c>
    </row>
    <row r="336" spans="1:10">
      <c r="A336" s="302" t="str">
        <f t="shared" si="5"/>
        <v>Hill</v>
      </c>
      <c r="B336" s="6" t="s">
        <v>2698</v>
      </c>
      <c r="C336" s="17" t="s">
        <v>2698</v>
      </c>
      <c r="D336" s="10" t="s">
        <v>2699</v>
      </c>
      <c r="E336" s="10" t="s">
        <v>2700</v>
      </c>
      <c r="F336" s="55"/>
      <c r="G336" s="25">
        <v>100408</v>
      </c>
      <c r="H336" s="300" t="str">
        <f>CONCATENATE([1]Cover!$D$6,"fdd/view?i=",G336)</f>
        <v>https://www.dgiwg.org/FAD/fdd/view?i=100408</v>
      </c>
      <c r="I336" s="8" t="s">
        <v>2697</v>
      </c>
      <c r="J336" s="38" t="s">
        <v>151</v>
      </c>
    </row>
    <row r="337" spans="1:10" ht="38.25">
      <c r="A337" s="302" t="str">
        <f t="shared" si="5"/>
        <v>HoldingPen</v>
      </c>
      <c r="B337" s="6" t="s">
        <v>2702</v>
      </c>
      <c r="C337" s="17" t="s">
        <v>2703</v>
      </c>
      <c r="D337" s="10" t="s">
        <v>2704</v>
      </c>
      <c r="E337" s="10" t="s">
        <v>2705</v>
      </c>
      <c r="F337" s="55"/>
      <c r="G337" s="25">
        <v>100047</v>
      </c>
      <c r="H337" s="300" t="str">
        <f>CONCATENATE([1]Cover!$D$6,"fdd/view?i=",G337)</f>
        <v>https://www.dgiwg.org/FAD/fdd/view?i=100047</v>
      </c>
      <c r="I337" s="8" t="s">
        <v>2701</v>
      </c>
      <c r="J337" s="38" t="s">
        <v>151</v>
      </c>
    </row>
    <row r="338" spans="1:10" ht="25.5">
      <c r="A338" s="302" t="str">
        <f t="shared" si="5"/>
        <v>HoldingProcedure</v>
      </c>
      <c r="B338" s="6" t="s">
        <v>2707</v>
      </c>
      <c r="C338" s="17" t="s">
        <v>2708</v>
      </c>
      <c r="D338" s="10" t="s">
        <v>2709</v>
      </c>
      <c r="E338" s="55"/>
      <c r="F338" s="55"/>
      <c r="G338" s="25">
        <v>114522</v>
      </c>
      <c r="H338" s="300" t="str">
        <f>CONCATENATE([1]Cover!$D$6,"fdd/view?i=",G338)</f>
        <v>https://www.dgiwg.org/FAD/fdd/view?i=114522</v>
      </c>
      <c r="I338" s="8" t="s">
        <v>2706</v>
      </c>
      <c r="J338" s="38" t="s">
        <v>151</v>
      </c>
    </row>
    <row r="339" spans="1:10">
      <c r="A339" s="302" t="str">
        <f t="shared" si="5"/>
        <v>HopField</v>
      </c>
      <c r="B339" s="6" t="s">
        <v>2711</v>
      </c>
      <c r="C339" s="17" t="s">
        <v>2712</v>
      </c>
      <c r="D339" s="10" t="s">
        <v>2713</v>
      </c>
      <c r="E339" s="55"/>
      <c r="F339" s="55"/>
      <c r="G339" s="25">
        <v>100438</v>
      </c>
      <c r="H339" s="300" t="str">
        <f>CONCATENATE([1]Cover!$D$6,"fdd/view?i=",G339)</f>
        <v>https://www.dgiwg.org/FAD/fdd/view?i=100438</v>
      </c>
      <c r="I339" s="8" t="s">
        <v>2710</v>
      </c>
      <c r="J339" s="38" t="s">
        <v>151</v>
      </c>
    </row>
    <row r="340" spans="1:10" ht="25.5">
      <c r="A340" s="302" t="str">
        <f t="shared" si="5"/>
        <v>Hopper</v>
      </c>
      <c r="B340" s="6" t="s">
        <v>2715</v>
      </c>
      <c r="C340" s="17" t="s">
        <v>2715</v>
      </c>
      <c r="D340" s="10" t="s">
        <v>2716</v>
      </c>
      <c r="E340" s="55"/>
      <c r="F340" s="55"/>
      <c r="G340" s="25">
        <v>100037</v>
      </c>
      <c r="H340" s="300" t="str">
        <f>CONCATENATE([1]Cover!$D$6,"fdd/view?i=",G340)</f>
        <v>https://www.dgiwg.org/FAD/fdd/view?i=100037</v>
      </c>
      <c r="I340" s="8" t="s">
        <v>2714</v>
      </c>
      <c r="J340" s="38" t="s">
        <v>151</v>
      </c>
    </row>
    <row r="341" spans="1:10" ht="38.25">
      <c r="A341" s="302" t="str">
        <f t="shared" si="5"/>
        <v>HorizCoordMetadata</v>
      </c>
      <c r="B341" s="6" t="s">
        <v>2718</v>
      </c>
      <c r="C341" s="17" t="s">
        <v>2719</v>
      </c>
      <c r="D341" s="10" t="s">
        <v>2720</v>
      </c>
      <c r="E341" s="10" t="s">
        <v>2721</v>
      </c>
      <c r="F341" s="55"/>
      <c r="G341" s="25">
        <v>114194</v>
      </c>
      <c r="H341" s="300" t="str">
        <f>CONCATENATE([1]Cover!$D$6,"fdd/view?i=",G341)</f>
        <v>https://www.dgiwg.org/FAD/fdd/view?i=114194</v>
      </c>
      <c r="I341" s="8" t="s">
        <v>2717</v>
      </c>
      <c r="J341" s="38" t="s">
        <v>151</v>
      </c>
    </row>
    <row r="342" spans="1:10" ht="38.25">
      <c r="A342" s="302" t="str">
        <f t="shared" si="5"/>
        <v>Hulk</v>
      </c>
      <c r="B342" s="6" t="s">
        <v>2723</v>
      </c>
      <c r="C342" s="17" t="s">
        <v>2723</v>
      </c>
      <c r="D342" s="10" t="s">
        <v>2724</v>
      </c>
      <c r="E342" s="55"/>
      <c r="F342" s="55"/>
      <c r="G342" s="25">
        <v>100309</v>
      </c>
      <c r="H342" s="300" t="str">
        <f>CONCATENATE([1]Cover!$D$6,"fdd/view?i=",G342)</f>
        <v>https://www.dgiwg.org/FAD/fdd/view?i=100309</v>
      </c>
      <c r="I342" s="8" t="s">
        <v>2722</v>
      </c>
      <c r="J342" s="38" t="s">
        <v>151</v>
      </c>
    </row>
    <row r="343" spans="1:10" ht="25.5">
      <c r="A343" s="302" t="str">
        <f t="shared" si="5"/>
        <v>HullIntegTestSampleSite</v>
      </c>
      <c r="B343" s="6" t="s">
        <v>2726</v>
      </c>
      <c r="C343" s="17" t="s">
        <v>2727</v>
      </c>
      <c r="D343" s="10" t="s">
        <v>2728</v>
      </c>
      <c r="E343" s="55"/>
      <c r="F343" s="55"/>
      <c r="G343" s="25">
        <v>200115</v>
      </c>
      <c r="H343" s="300" t="str">
        <f>CONCATENATE([1]Cover!$D$6,"fdd/view?i=",G343)</f>
        <v>https://www.dgiwg.org/FAD/fdd/view?i=200115</v>
      </c>
      <c r="I343" s="8" t="s">
        <v>2725</v>
      </c>
      <c r="J343" s="38" t="s">
        <v>1295</v>
      </c>
    </row>
    <row r="344" spans="1:10">
      <c r="A344" s="302" t="str">
        <f t="shared" si="5"/>
        <v>HullIntegTestSite</v>
      </c>
      <c r="B344" s="6" t="s">
        <v>2730</v>
      </c>
      <c r="C344" s="17" t="s">
        <v>2731</v>
      </c>
      <c r="D344" s="10" t="s">
        <v>2732</v>
      </c>
      <c r="E344" s="55"/>
      <c r="F344" s="55"/>
      <c r="G344" s="25">
        <v>200132</v>
      </c>
      <c r="H344" s="300" t="str">
        <f>CONCATENATE([1]Cover!$D$6,"fdd/view?i=",G344)</f>
        <v>https://www.dgiwg.org/FAD/fdd/view?i=200132</v>
      </c>
      <c r="I344" s="8" t="s">
        <v>2729</v>
      </c>
      <c r="J344" s="38" t="s">
        <v>1295</v>
      </c>
    </row>
    <row r="345" spans="1:10" ht="25.5">
      <c r="A345" s="302" t="str">
        <f t="shared" si="5"/>
        <v>HullIntegTestSiteBottom</v>
      </c>
      <c r="B345" s="6" t="s">
        <v>2734</v>
      </c>
      <c r="C345" s="17" t="s">
        <v>2735</v>
      </c>
      <c r="D345" s="10" t="s">
        <v>2736</v>
      </c>
      <c r="E345" s="55"/>
      <c r="F345" s="55"/>
      <c r="G345" s="25">
        <v>200134</v>
      </c>
      <c r="H345" s="300" t="str">
        <f>CONCATENATE([1]Cover!$D$6,"fdd/view?i=",G345)</f>
        <v>https://www.dgiwg.org/FAD/fdd/view?i=200134</v>
      </c>
      <c r="I345" s="8" t="s">
        <v>2733</v>
      </c>
      <c r="J345" s="38" t="s">
        <v>1295</v>
      </c>
    </row>
    <row r="346" spans="1:10" ht="38.25">
      <c r="A346" s="302" t="str">
        <f t="shared" si="5"/>
        <v>HumReliefAdminRegion</v>
      </c>
      <c r="B346" s="6" t="s">
        <v>2738</v>
      </c>
      <c r="C346" s="17" t="s">
        <v>2739</v>
      </c>
      <c r="D346" s="10" t="s">
        <v>2740</v>
      </c>
      <c r="E346" s="10" t="s">
        <v>2741</v>
      </c>
      <c r="F346" s="55"/>
      <c r="G346" s="25">
        <v>119088</v>
      </c>
      <c r="H346" s="300" t="str">
        <f>CONCATENATE([1]Cover!$D$6,"fdd/view?i=",G346)</f>
        <v>https://www.dgiwg.org/FAD/fdd/view?i=119088</v>
      </c>
      <c r="I346" s="8" t="s">
        <v>2737</v>
      </c>
      <c r="J346" s="38" t="s">
        <v>151</v>
      </c>
    </row>
    <row r="347" spans="1:10" ht="25.5">
      <c r="A347" s="302" t="str">
        <f t="shared" si="5"/>
        <v>Hummock</v>
      </c>
      <c r="B347" s="6" t="s">
        <v>2743</v>
      </c>
      <c r="C347" s="17" t="s">
        <v>2743</v>
      </c>
      <c r="D347" s="10" t="s">
        <v>2744</v>
      </c>
      <c r="E347" s="55"/>
      <c r="F347" s="55"/>
      <c r="G347" s="25">
        <v>100340</v>
      </c>
      <c r="H347" s="300" t="str">
        <f>CONCATENATE([1]Cover!$D$6,"fdd/view?i=",G347)</f>
        <v>https://www.dgiwg.org/FAD/fdd/view?i=100340</v>
      </c>
      <c r="I347" s="8" t="s">
        <v>2742</v>
      </c>
      <c r="J347" s="38" t="s">
        <v>151</v>
      </c>
    </row>
    <row r="348" spans="1:10" ht="63.75">
      <c r="A348" s="302" t="str">
        <f t="shared" si="5"/>
        <v>Hut</v>
      </c>
      <c r="B348" s="6" t="s">
        <v>2746</v>
      </c>
      <c r="C348" s="17" t="s">
        <v>2746</v>
      </c>
      <c r="D348" s="10" t="s">
        <v>2747</v>
      </c>
      <c r="E348" s="10" t="s">
        <v>2748</v>
      </c>
      <c r="F348" s="10" t="s">
        <v>2749</v>
      </c>
      <c r="G348" s="25">
        <v>114178</v>
      </c>
      <c r="H348" s="300" t="str">
        <f>CONCATENATE([1]Cover!$D$6,"fdd/view?i=",G348)</f>
        <v>https://www.dgiwg.org/FAD/fdd/view?i=114178</v>
      </c>
      <c r="I348" s="8" t="s">
        <v>2745</v>
      </c>
      <c r="J348" s="38" t="s">
        <v>151</v>
      </c>
    </row>
    <row r="349" spans="1:10" ht="25.5">
      <c r="A349" s="302" t="str">
        <f t="shared" si="5"/>
        <v>HydrocarbonProdFacility</v>
      </c>
      <c r="B349" s="6" t="s">
        <v>2751</v>
      </c>
      <c r="C349" s="17" t="s">
        <v>2752</v>
      </c>
      <c r="D349" s="10" t="s">
        <v>2753</v>
      </c>
      <c r="E349" s="55"/>
      <c r="F349" s="55"/>
      <c r="G349" s="25">
        <v>100019</v>
      </c>
      <c r="H349" s="300" t="str">
        <f>CONCATENATE([1]Cover!$D$6,"fdd/view?i=",G349)</f>
        <v>https://www.dgiwg.org/FAD/fdd/view?i=100019</v>
      </c>
      <c r="I349" s="8" t="s">
        <v>2750</v>
      </c>
      <c r="J349" s="38" t="s">
        <v>151</v>
      </c>
    </row>
    <row r="350" spans="1:10" ht="25.5">
      <c r="A350" s="302" t="str">
        <f t="shared" si="5"/>
        <v>HydrocarbonsField</v>
      </c>
      <c r="B350" s="6" t="s">
        <v>2755</v>
      </c>
      <c r="C350" s="17" t="s">
        <v>2756</v>
      </c>
      <c r="D350" s="10" t="s">
        <v>2757</v>
      </c>
      <c r="E350" s="10" t="s">
        <v>2758</v>
      </c>
      <c r="F350" s="55"/>
      <c r="G350" s="25">
        <v>117996</v>
      </c>
      <c r="H350" s="300" t="str">
        <f>CONCATENATE([1]Cover!$D$6,"fdd/view?i=",G350)</f>
        <v>https://www.dgiwg.org/FAD/fdd/view?i=117996</v>
      </c>
      <c r="I350" s="8" t="s">
        <v>2754</v>
      </c>
      <c r="J350" s="38" t="s">
        <v>151</v>
      </c>
    </row>
    <row r="351" spans="1:10" ht="38.25">
      <c r="A351" s="302" t="str">
        <f t="shared" si="5"/>
        <v>HydrocarbonsPipelineInfo</v>
      </c>
      <c r="B351" s="6" t="s">
        <v>2760</v>
      </c>
      <c r="C351" s="17" t="s">
        <v>2761</v>
      </c>
      <c r="D351" s="10" t="s">
        <v>2762</v>
      </c>
      <c r="E351" s="55"/>
      <c r="F351" s="55"/>
      <c r="G351" s="25">
        <v>204295</v>
      </c>
      <c r="H351" s="300" t="str">
        <f>CONCATENATE([1]Cover!$D$6,"fdd/view?i=",G351)</f>
        <v>https://www.dgiwg.org/FAD/fdd/view?i=204295</v>
      </c>
      <c r="I351" s="8" t="s">
        <v>2759</v>
      </c>
      <c r="J351" s="38" t="s">
        <v>1295</v>
      </c>
    </row>
    <row r="352" spans="1:10" ht="38.25">
      <c r="A352" s="302" t="str">
        <f t="shared" si="5"/>
        <v>HydroVertPositioningInfo</v>
      </c>
      <c r="B352" s="6" t="s">
        <v>2764</v>
      </c>
      <c r="C352" s="17" t="s">
        <v>2765</v>
      </c>
      <c r="D352" s="10" t="s">
        <v>2766</v>
      </c>
      <c r="E352" s="55"/>
      <c r="F352" s="55"/>
      <c r="G352" s="25">
        <v>114206</v>
      </c>
      <c r="H352" s="300" t="str">
        <f>CONCATENATE([1]Cover!$D$6,"fdd/view?i=",G352)</f>
        <v>https://www.dgiwg.org/FAD/fdd/view?i=114206</v>
      </c>
      <c r="I352" s="8" t="s">
        <v>2763</v>
      </c>
      <c r="J352" s="38" t="s">
        <v>151</v>
      </c>
    </row>
    <row r="353" spans="1:10">
      <c r="A353" s="302" t="str">
        <f t="shared" si="5"/>
        <v>IceCliff</v>
      </c>
      <c r="B353" s="6" t="s">
        <v>2768</v>
      </c>
      <c r="C353" s="17" t="s">
        <v>2769</v>
      </c>
      <c r="D353" s="10" t="s">
        <v>2770</v>
      </c>
      <c r="E353" s="55"/>
      <c r="F353" s="55"/>
      <c r="G353" s="25">
        <v>100382</v>
      </c>
      <c r="H353" s="300" t="str">
        <f>CONCATENATE([1]Cover!$D$6,"fdd/view?i=",G353)</f>
        <v>https://www.dgiwg.org/FAD/fdd/view?i=100382</v>
      </c>
      <c r="I353" s="8" t="s">
        <v>2767</v>
      </c>
      <c r="J353" s="38" t="s">
        <v>151</v>
      </c>
    </row>
    <row r="354" spans="1:10" ht="25.5">
      <c r="A354" s="302" t="str">
        <f t="shared" si="5"/>
        <v>IcePeak</v>
      </c>
      <c r="B354" s="6" t="s">
        <v>2772</v>
      </c>
      <c r="C354" s="17" t="s">
        <v>2773</v>
      </c>
      <c r="D354" s="10" t="s">
        <v>2774</v>
      </c>
      <c r="E354" s="55"/>
      <c r="F354" s="10" t="s">
        <v>2775</v>
      </c>
      <c r="G354" s="25">
        <v>100383</v>
      </c>
      <c r="H354" s="300" t="str">
        <f>CONCATENATE([1]Cover!$D$6,"fdd/view?i=",G354)</f>
        <v>https://www.dgiwg.org/FAD/fdd/view?i=100383</v>
      </c>
      <c r="I354" s="8" t="s">
        <v>2771</v>
      </c>
      <c r="J354" s="38" t="s">
        <v>151</v>
      </c>
    </row>
    <row r="355" spans="1:10" ht="25.5">
      <c r="A355" s="302" t="str">
        <f t="shared" si="5"/>
        <v>IceRoute</v>
      </c>
      <c r="B355" s="6" t="s">
        <v>2777</v>
      </c>
      <c r="C355" s="17" t="s">
        <v>2778</v>
      </c>
      <c r="D355" s="10" t="s">
        <v>2779</v>
      </c>
      <c r="E355" s="10" t="s">
        <v>2780</v>
      </c>
      <c r="F355" s="55"/>
      <c r="G355" s="25">
        <v>100177</v>
      </c>
      <c r="H355" s="300" t="str">
        <f>CONCATENATE([1]Cover!$D$6,"fdd/view?i=",G355)</f>
        <v>https://www.dgiwg.org/FAD/fdd/view?i=100177</v>
      </c>
      <c r="I355" s="8" t="s">
        <v>2776</v>
      </c>
      <c r="J355" s="38" t="s">
        <v>151</v>
      </c>
    </row>
    <row r="356" spans="1:10" ht="63.75">
      <c r="A356" s="302" t="str">
        <f t="shared" si="5"/>
        <v>IceShelf</v>
      </c>
      <c r="B356" s="6" t="s">
        <v>2782</v>
      </c>
      <c r="C356" s="17" t="s">
        <v>2783</v>
      </c>
      <c r="D356" s="10" t="s">
        <v>2784</v>
      </c>
      <c r="E356" s="10" t="s">
        <v>2785</v>
      </c>
      <c r="F356" s="55"/>
      <c r="G356" s="25">
        <v>100384</v>
      </c>
      <c r="H356" s="300" t="str">
        <f>CONCATENATE([1]Cover!$D$6,"fdd/view?i=",G356)</f>
        <v>https://www.dgiwg.org/FAD/fdd/view?i=100384</v>
      </c>
      <c r="I356" s="8" t="s">
        <v>2781</v>
      </c>
      <c r="J356" s="38" t="s">
        <v>151</v>
      </c>
    </row>
    <row r="357" spans="1:10" ht="25.5">
      <c r="A357" s="302" t="str">
        <f t="shared" si="5"/>
        <v>IceCap</v>
      </c>
      <c r="B357" s="6" t="s">
        <v>2787</v>
      </c>
      <c r="C357" s="17" t="s">
        <v>2788</v>
      </c>
      <c r="D357" s="10" t="s">
        <v>2789</v>
      </c>
      <c r="E357" s="10" t="s">
        <v>2790</v>
      </c>
      <c r="F357" s="55"/>
      <c r="G357" s="25">
        <v>111448</v>
      </c>
      <c r="H357" s="300" t="str">
        <f>CONCATENATE([1]Cover!$D$6,"fdd/view?i=",G357)</f>
        <v>https://www.dgiwg.org/FAD/fdd/view?i=111448</v>
      </c>
      <c r="I357" s="8" t="s">
        <v>2786</v>
      </c>
      <c r="J357" s="38" t="s">
        <v>151</v>
      </c>
    </row>
    <row r="358" spans="1:10" ht="25.5">
      <c r="A358" s="302" t="str">
        <f t="shared" si="5"/>
        <v>IdentificationInfo</v>
      </c>
      <c r="B358" s="6" t="s">
        <v>2792</v>
      </c>
      <c r="C358" s="17" t="s">
        <v>2793</v>
      </c>
      <c r="D358" s="10" t="s">
        <v>2794</v>
      </c>
      <c r="E358" s="10" t="s">
        <v>2795</v>
      </c>
      <c r="F358" s="55"/>
      <c r="G358" s="25">
        <v>114188</v>
      </c>
      <c r="H358" s="300" t="str">
        <f>CONCATENATE([1]Cover!$D$6,"fdd/view?i=",G358)</f>
        <v>https://www.dgiwg.org/FAD/fdd/view?i=114188</v>
      </c>
      <c r="I358" s="8" t="s">
        <v>2791</v>
      </c>
      <c r="J358" s="38" t="s">
        <v>151</v>
      </c>
    </row>
    <row r="359" spans="1:10" ht="25.5">
      <c r="A359" s="302" t="str">
        <f t="shared" si="5"/>
        <v>IO_IdentifiedObjectBase</v>
      </c>
      <c r="B359" s="6" t="s">
        <v>2797</v>
      </c>
      <c r="C359" s="17" t="s">
        <v>2798</v>
      </c>
      <c r="D359" s="10" t="s">
        <v>2799</v>
      </c>
      <c r="E359" s="55"/>
      <c r="F359" s="55"/>
      <c r="G359" s="25">
        <v>207301</v>
      </c>
      <c r="H359" s="300" t="str">
        <f>CONCATENATE([1]Cover!$D$6,"fdd/view?i=",G359)</f>
        <v>https://www.dgiwg.org/FAD/fdd/view?i=207301</v>
      </c>
      <c r="I359" s="8" t="s">
        <v>2796</v>
      </c>
      <c r="J359" s="38" t="s">
        <v>1295</v>
      </c>
    </row>
    <row r="360" spans="1:10" ht="63.75">
      <c r="A360" s="302" t="str">
        <f t="shared" si="5"/>
        <v>IndustrialClassInfo</v>
      </c>
      <c r="B360" s="6" t="s">
        <v>2801</v>
      </c>
      <c r="C360" s="17" t="s">
        <v>2802</v>
      </c>
      <c r="D360" s="10" t="s">
        <v>2803</v>
      </c>
      <c r="E360" s="10" t="s">
        <v>2804</v>
      </c>
      <c r="F360" s="55"/>
      <c r="G360" s="25">
        <v>204285</v>
      </c>
      <c r="H360" s="300" t="str">
        <f>CONCATENATE([1]Cover!$D$6,"fdd/view?i=",G360)</f>
        <v>https://www.dgiwg.org/FAD/fdd/view?i=204285</v>
      </c>
      <c r="I360" s="8" t="s">
        <v>2800</v>
      </c>
      <c r="J360" s="38" t="s">
        <v>1295</v>
      </c>
    </row>
    <row r="361" spans="1:10" ht="63.75">
      <c r="A361" s="302" t="str">
        <f t="shared" si="5"/>
        <v>IndustrialFarm</v>
      </c>
      <c r="B361" s="6" t="s">
        <v>2806</v>
      </c>
      <c r="C361" s="17" t="s">
        <v>2807</v>
      </c>
      <c r="D361" s="10" t="s">
        <v>2808</v>
      </c>
      <c r="E361" s="10" t="s">
        <v>2809</v>
      </c>
      <c r="F361" s="55"/>
      <c r="G361" s="25">
        <v>100131</v>
      </c>
      <c r="H361" s="300" t="str">
        <f>CONCATENATE([1]Cover!$D$6,"fdd/view?i=",G361)</f>
        <v>https://www.dgiwg.org/FAD/fdd/view?i=100131</v>
      </c>
      <c r="I361" s="8" t="s">
        <v>2805</v>
      </c>
      <c r="J361" s="38" t="s">
        <v>151</v>
      </c>
    </row>
    <row r="362" spans="1:10" ht="51">
      <c r="A362" s="302" t="str">
        <f t="shared" si="5"/>
        <v>IndustrialFurnace</v>
      </c>
      <c r="B362" s="6" t="s">
        <v>2811</v>
      </c>
      <c r="C362" s="17" t="s">
        <v>2812</v>
      </c>
      <c r="D362" s="10" t="s">
        <v>2813</v>
      </c>
      <c r="E362" s="10" t="s">
        <v>2814</v>
      </c>
      <c r="F362" s="10" t="s">
        <v>2815</v>
      </c>
      <c r="G362" s="25">
        <v>111397</v>
      </c>
      <c r="H362" s="300" t="str">
        <f>CONCATENATE([1]Cover!$D$6,"fdd/view?i=",G362)</f>
        <v>https://www.dgiwg.org/FAD/fdd/view?i=111397</v>
      </c>
      <c r="I362" s="8" t="s">
        <v>2810</v>
      </c>
      <c r="J362" s="38" t="s">
        <v>151</v>
      </c>
    </row>
    <row r="363" spans="1:10" ht="89.25">
      <c r="A363" s="302" t="str">
        <f t="shared" si="5"/>
        <v>IndustrialPark</v>
      </c>
      <c r="B363" s="6" t="s">
        <v>2817</v>
      </c>
      <c r="C363" s="17" t="s">
        <v>2818</v>
      </c>
      <c r="D363" s="10" t="s">
        <v>2819</v>
      </c>
      <c r="E363" s="10" t="s">
        <v>2820</v>
      </c>
      <c r="F363" s="55"/>
      <c r="G363" s="25">
        <v>111398</v>
      </c>
      <c r="H363" s="300" t="str">
        <f>CONCATENATE([1]Cover!$D$6,"fdd/view?i=",G363)</f>
        <v>https://www.dgiwg.org/FAD/fdd/view?i=111398</v>
      </c>
      <c r="I363" s="8" t="s">
        <v>2816</v>
      </c>
      <c r="J363" s="38" t="s">
        <v>151</v>
      </c>
    </row>
    <row r="364" spans="1:10" ht="63.75">
      <c r="A364" s="302" t="str">
        <f t="shared" si="5"/>
        <v>InformationEntity</v>
      </c>
      <c r="B364" s="6" t="s">
        <v>2822</v>
      </c>
      <c r="C364" s="17" t="s">
        <v>2823</v>
      </c>
      <c r="D364" s="10" t="s">
        <v>2824</v>
      </c>
      <c r="E364" s="10" t="s">
        <v>2825</v>
      </c>
      <c r="F364" s="55"/>
      <c r="G364" s="25">
        <v>117768</v>
      </c>
      <c r="H364" s="300" t="str">
        <f>CONCATENATE([1]Cover!$D$6,"fdd/view?i=",G364)</f>
        <v>https://www.dgiwg.org/FAD/fdd/view?i=117768</v>
      </c>
      <c r="I364" s="8" t="s">
        <v>2821</v>
      </c>
      <c r="J364" s="38" t="s">
        <v>151</v>
      </c>
    </row>
    <row r="365" spans="1:10" ht="38.25">
      <c r="A365" s="302" t="str">
        <f t="shared" si="5"/>
        <v>InitialApproachSegment</v>
      </c>
      <c r="B365" s="6" t="s">
        <v>2827</v>
      </c>
      <c r="C365" s="17" t="s">
        <v>2828</v>
      </c>
      <c r="D365" s="10" t="s">
        <v>2829</v>
      </c>
      <c r="E365" s="10" t="s">
        <v>1587</v>
      </c>
      <c r="F365" s="55"/>
      <c r="G365" s="25">
        <v>114636</v>
      </c>
      <c r="H365" s="300" t="str">
        <f>CONCATENATE([1]Cover!$D$6,"fdd/view?i=",G365)</f>
        <v>https://www.dgiwg.org/FAD/fdd/view?i=114636</v>
      </c>
      <c r="I365" s="8" t="s">
        <v>2826</v>
      </c>
      <c r="J365" s="38" t="s">
        <v>151</v>
      </c>
    </row>
    <row r="366" spans="1:10" ht="89.25">
      <c r="A366" s="302" t="str">
        <f t="shared" si="5"/>
        <v>InlandWaterbody</v>
      </c>
      <c r="B366" s="6" t="s">
        <v>2831</v>
      </c>
      <c r="C366" s="17" t="s">
        <v>2832</v>
      </c>
      <c r="D366" s="10" t="s">
        <v>2833</v>
      </c>
      <c r="E366" s="10" t="s">
        <v>2834</v>
      </c>
      <c r="F366" s="10" t="s">
        <v>2835</v>
      </c>
      <c r="G366" s="25">
        <v>117762</v>
      </c>
      <c r="H366" s="300" t="str">
        <f>CONCATENATE([1]Cover!$D$6,"fdd/view?i=",G366)</f>
        <v>https://www.dgiwg.org/FAD/fdd/view?i=117762</v>
      </c>
      <c r="I366" s="8" t="s">
        <v>2830</v>
      </c>
      <c r="J366" s="38" t="s">
        <v>151</v>
      </c>
    </row>
    <row r="367" spans="1:10" ht="25.5">
      <c r="A367" s="302" t="str">
        <f t="shared" si="5"/>
        <v>InlandWaterbodyBank</v>
      </c>
      <c r="B367" s="6" t="s">
        <v>2837</v>
      </c>
      <c r="C367" s="17" t="s">
        <v>2838</v>
      </c>
      <c r="D367" s="10" t="s">
        <v>2839</v>
      </c>
      <c r="E367" s="55"/>
      <c r="F367" s="55"/>
      <c r="G367" s="25">
        <v>114373</v>
      </c>
      <c r="H367" s="300" t="str">
        <f>CONCATENATE([1]Cover!$D$6,"fdd/view?i=",G367)</f>
        <v>https://www.dgiwg.org/FAD/fdd/view?i=114373</v>
      </c>
      <c r="I367" s="8" t="s">
        <v>2836</v>
      </c>
      <c r="J367" s="38" t="s">
        <v>151</v>
      </c>
    </row>
    <row r="368" spans="1:10" ht="25.5">
      <c r="A368" s="302" t="str">
        <f t="shared" si="5"/>
        <v>Installation</v>
      </c>
      <c r="B368" s="6" t="s">
        <v>2841</v>
      </c>
      <c r="C368" s="17" t="s">
        <v>2841</v>
      </c>
      <c r="D368" s="10" t="s">
        <v>2842</v>
      </c>
      <c r="E368" s="55"/>
      <c r="F368" s="55"/>
      <c r="G368" s="25">
        <v>111414</v>
      </c>
      <c r="H368" s="300" t="str">
        <f>CONCATENATE([1]Cover!$D$6,"fdd/view?i=",G368)</f>
        <v>https://www.dgiwg.org/FAD/fdd/view?i=111414</v>
      </c>
      <c r="I368" s="8" t="s">
        <v>2840</v>
      </c>
      <c r="J368" s="38" t="s">
        <v>151</v>
      </c>
    </row>
    <row r="369" spans="1:10" ht="51">
      <c r="A369" s="302" t="str">
        <f t="shared" si="5"/>
        <v>InstApproachConditionInfo</v>
      </c>
      <c r="B369" s="6" t="s">
        <v>2844</v>
      </c>
      <c r="C369" s="17" t="s">
        <v>2845</v>
      </c>
      <c r="D369" s="10" t="s">
        <v>2846</v>
      </c>
      <c r="E369" s="10" t="s">
        <v>2847</v>
      </c>
      <c r="F369" s="55"/>
      <c r="G369" s="25">
        <v>206967</v>
      </c>
      <c r="H369" s="300" t="str">
        <f>CONCATENATE([1]Cover!$D$6,"fdd/view?i=",G369)</f>
        <v>https://www.dgiwg.org/FAD/fdd/view?i=206967</v>
      </c>
      <c r="I369" s="8" t="s">
        <v>2843</v>
      </c>
      <c r="J369" s="38" t="s">
        <v>1295</v>
      </c>
    </row>
    <row r="370" spans="1:10" ht="153">
      <c r="A370" s="302" t="str">
        <f t="shared" si="5"/>
        <v>InstrumentApproachProc</v>
      </c>
      <c r="B370" s="6" t="s">
        <v>2849</v>
      </c>
      <c r="C370" s="17" t="s">
        <v>2850</v>
      </c>
      <c r="D370" s="10" t="s">
        <v>2851</v>
      </c>
      <c r="E370" s="10" t="s">
        <v>2852</v>
      </c>
      <c r="F370" s="10" t="s">
        <v>2853</v>
      </c>
      <c r="G370" s="25">
        <v>114623</v>
      </c>
      <c r="H370" s="300" t="str">
        <f>CONCATENATE([1]Cover!$D$6,"fdd/view?i=",G370)</f>
        <v>https://www.dgiwg.org/FAD/fdd/view?i=114623</v>
      </c>
      <c r="I370" s="8" t="s">
        <v>2848</v>
      </c>
      <c r="J370" s="38" t="s">
        <v>151</v>
      </c>
    </row>
    <row r="371" spans="1:10" ht="25.5">
      <c r="A371" s="302" t="str">
        <f t="shared" si="5"/>
        <v>InstrumentApproachProcSeg</v>
      </c>
      <c r="B371" s="6" t="s">
        <v>2855</v>
      </c>
      <c r="C371" s="17" t="s">
        <v>2856</v>
      </c>
      <c r="D371" s="10" t="s">
        <v>2857</v>
      </c>
      <c r="E371" s="10" t="s">
        <v>2858</v>
      </c>
      <c r="F371" s="55"/>
      <c r="G371" s="25">
        <v>119556</v>
      </c>
      <c r="H371" s="300" t="str">
        <f>CONCATENATE([1]Cover!$D$6,"fdd/view?i=",G371)</f>
        <v>https://www.dgiwg.org/FAD/fdd/view?i=119556</v>
      </c>
      <c r="I371" s="8" t="s">
        <v>2854</v>
      </c>
      <c r="J371" s="38" t="s">
        <v>151</v>
      </c>
    </row>
    <row r="372" spans="1:10" ht="38.25">
      <c r="A372" s="302" t="str">
        <f t="shared" si="5"/>
        <v>IfrTakeoffMinInfo</v>
      </c>
      <c r="B372" s="6" t="s">
        <v>2860</v>
      </c>
      <c r="C372" s="17" t="s">
        <v>2861</v>
      </c>
      <c r="D372" s="10" t="s">
        <v>2862</v>
      </c>
      <c r="E372" s="10" t="s">
        <v>2863</v>
      </c>
      <c r="F372" s="55"/>
      <c r="G372" s="25">
        <v>119574</v>
      </c>
      <c r="H372" s="300" t="str">
        <f>CONCATENATE([1]Cover!$D$6,"fdd/view?i=",G372)</f>
        <v>https://www.dgiwg.org/FAD/fdd/view?i=119574</v>
      </c>
      <c r="I372" s="8" t="s">
        <v>2859</v>
      </c>
      <c r="J372" s="38" t="s">
        <v>151</v>
      </c>
    </row>
    <row r="373" spans="1:10" ht="38.25">
      <c r="A373" s="302" t="str">
        <f t="shared" si="5"/>
        <v>InstrumentLandingSystem</v>
      </c>
      <c r="B373" s="6" t="s">
        <v>2865</v>
      </c>
      <c r="C373" s="17" t="s">
        <v>2866</v>
      </c>
      <c r="D373" s="10" t="s">
        <v>2867</v>
      </c>
      <c r="E373" s="10" t="s">
        <v>2868</v>
      </c>
      <c r="F373" s="10" t="s">
        <v>2869</v>
      </c>
      <c r="G373" s="25">
        <v>114504</v>
      </c>
      <c r="H373" s="300" t="str">
        <f>CONCATENATE([1]Cover!$D$6,"fdd/view?i=",G373)</f>
        <v>https://www.dgiwg.org/FAD/fdd/view?i=114504</v>
      </c>
      <c r="I373" s="8" t="s">
        <v>2864</v>
      </c>
      <c r="J373" s="38" t="s">
        <v>151</v>
      </c>
    </row>
    <row r="374" spans="1:10" ht="63.75">
      <c r="A374" s="302" t="str">
        <f t="shared" si="5"/>
        <v>InstLandingSysGlidePath</v>
      </c>
      <c r="B374" s="6" t="s">
        <v>2871</v>
      </c>
      <c r="C374" s="17" t="s">
        <v>2872</v>
      </c>
      <c r="D374" s="10" t="s">
        <v>2873</v>
      </c>
      <c r="E374" s="10" t="s">
        <v>2874</v>
      </c>
      <c r="F374" s="55"/>
      <c r="G374" s="25">
        <v>114505</v>
      </c>
      <c r="H374" s="300" t="str">
        <f>CONCATENATE([1]Cover!$D$6,"fdd/view?i=",G374)</f>
        <v>https://www.dgiwg.org/FAD/fdd/view?i=114505</v>
      </c>
      <c r="I374" s="8" t="s">
        <v>2870</v>
      </c>
      <c r="J374" s="38" t="s">
        <v>151</v>
      </c>
    </row>
    <row r="375" spans="1:10" ht="51">
      <c r="A375" s="302" t="str">
        <f t="shared" si="5"/>
        <v>InstLandingSysLocalizer</v>
      </c>
      <c r="B375" s="6" t="s">
        <v>2876</v>
      </c>
      <c r="C375" s="17" t="s">
        <v>2877</v>
      </c>
      <c r="D375" s="10" t="s">
        <v>2878</v>
      </c>
      <c r="E375" s="55"/>
      <c r="F375" s="55"/>
      <c r="G375" s="25">
        <v>114506</v>
      </c>
      <c r="H375" s="300" t="str">
        <f>CONCATENATE([1]Cover!$D$6,"fdd/view?i=",G375)</f>
        <v>https://www.dgiwg.org/FAD/fdd/view?i=114506</v>
      </c>
      <c r="I375" s="8" t="s">
        <v>2875</v>
      </c>
      <c r="J375" s="38" t="s">
        <v>151</v>
      </c>
    </row>
    <row r="376" spans="1:10" ht="51">
      <c r="A376" s="302" t="str">
        <f t="shared" si="5"/>
        <v>InstLandingSysSensArea</v>
      </c>
      <c r="B376" s="6" t="s">
        <v>2880</v>
      </c>
      <c r="C376" s="17" t="s">
        <v>2881</v>
      </c>
      <c r="D376" s="10" t="s">
        <v>2882</v>
      </c>
      <c r="E376" s="10" t="s">
        <v>2883</v>
      </c>
      <c r="F376" s="55"/>
      <c r="G376" s="25">
        <v>114597</v>
      </c>
      <c r="H376" s="300" t="str">
        <f>CONCATENATE([1]Cover!$D$6,"fdd/view?i=",G376)</f>
        <v>https://www.dgiwg.org/FAD/fdd/view?i=114597</v>
      </c>
      <c r="I376" s="8" t="s">
        <v>2879</v>
      </c>
      <c r="J376" s="38" t="s">
        <v>151</v>
      </c>
    </row>
    <row r="377" spans="1:10" ht="25.5">
      <c r="A377" s="302" t="str">
        <f t="shared" si="5"/>
        <v>InsubstantialNavMark</v>
      </c>
      <c r="B377" s="6" t="s">
        <v>2885</v>
      </c>
      <c r="C377" s="17" t="s">
        <v>2886</v>
      </c>
      <c r="D377" s="10" t="s">
        <v>2887</v>
      </c>
      <c r="E377" s="10" t="s">
        <v>2888</v>
      </c>
      <c r="F377" s="55"/>
      <c r="G377" s="25">
        <v>100273</v>
      </c>
      <c r="H377" s="300" t="str">
        <f>CONCATENATE([1]Cover!$D$6,"fdd/view?i=",G377)</f>
        <v>https://www.dgiwg.org/FAD/fdd/view?i=100273</v>
      </c>
      <c r="I377" s="8" t="s">
        <v>2884</v>
      </c>
      <c r="J377" s="38" t="s">
        <v>151</v>
      </c>
    </row>
    <row r="378" spans="1:10" ht="25.5">
      <c r="A378" s="302" t="str">
        <f t="shared" si="5"/>
        <v>InterestSite</v>
      </c>
      <c r="B378" s="6" t="s">
        <v>2890</v>
      </c>
      <c r="C378" s="17" t="s">
        <v>2891</v>
      </c>
      <c r="D378" s="10" t="s">
        <v>2892</v>
      </c>
      <c r="E378" s="55"/>
      <c r="F378" s="55"/>
      <c r="G378" s="25">
        <v>100116</v>
      </c>
      <c r="H378" s="300" t="str">
        <f>CONCATENATE([1]Cover!$D$6,"fdd/view?i=",G378)</f>
        <v>https://www.dgiwg.org/FAD/fdd/view?i=100116</v>
      </c>
      <c r="I378" s="8" t="s">
        <v>2889</v>
      </c>
      <c r="J378" s="38" t="s">
        <v>151</v>
      </c>
    </row>
    <row r="379" spans="1:10" ht="51">
      <c r="A379" s="302" t="str">
        <f t="shared" si="5"/>
        <v>IntermediateApproachSeg</v>
      </c>
      <c r="B379" s="6" t="s">
        <v>2894</v>
      </c>
      <c r="C379" s="17" t="s">
        <v>2895</v>
      </c>
      <c r="D379" s="10" t="s">
        <v>2896</v>
      </c>
      <c r="E379" s="10" t="s">
        <v>1587</v>
      </c>
      <c r="F379" s="55"/>
      <c r="G379" s="25">
        <v>114637</v>
      </c>
      <c r="H379" s="300" t="str">
        <f>CONCATENATE([1]Cover!$D$6,"fdd/view?i=",G379)</f>
        <v>https://www.dgiwg.org/FAD/fdd/view?i=114637</v>
      </c>
      <c r="I379" s="8" t="s">
        <v>2893</v>
      </c>
      <c r="J379" s="38" t="s">
        <v>151</v>
      </c>
    </row>
    <row r="380" spans="1:10" ht="38.25">
      <c r="A380" s="302" t="str">
        <f t="shared" si="5"/>
        <v>IntermediateHoldingPos</v>
      </c>
      <c r="B380" s="6" t="s">
        <v>2898</v>
      </c>
      <c r="C380" s="17" t="s">
        <v>2899</v>
      </c>
      <c r="D380" s="10" t="s">
        <v>2900</v>
      </c>
      <c r="E380" s="55"/>
      <c r="F380" s="10" t="s">
        <v>2901</v>
      </c>
      <c r="G380" s="25">
        <v>114598</v>
      </c>
      <c r="H380" s="300" t="str">
        <f>CONCATENATE([1]Cover!$D$6,"fdd/view?i=",G380)</f>
        <v>https://www.dgiwg.org/FAD/fdd/view?i=114598</v>
      </c>
      <c r="I380" s="8" t="s">
        <v>2897</v>
      </c>
      <c r="J380" s="38" t="s">
        <v>151</v>
      </c>
    </row>
    <row r="381" spans="1:10" ht="25.5">
      <c r="A381" s="302" t="str">
        <f t="shared" si="5"/>
        <v>InternationalDateLine</v>
      </c>
      <c r="B381" s="6" t="s">
        <v>2903</v>
      </c>
      <c r="C381" s="17" t="s">
        <v>2904</v>
      </c>
      <c r="D381" s="10" t="s">
        <v>2905</v>
      </c>
      <c r="E381" s="10" t="s">
        <v>2906</v>
      </c>
      <c r="F381" s="55"/>
      <c r="G381" s="25">
        <v>100471</v>
      </c>
      <c r="H381" s="300" t="str">
        <f>CONCATENATE([1]Cover!$D$6,"fdd/view?i=",G381)</f>
        <v>https://www.dgiwg.org/FAD/fdd/view?i=100471</v>
      </c>
      <c r="I381" s="8" t="s">
        <v>2902</v>
      </c>
      <c r="J381" s="38" t="s">
        <v>151</v>
      </c>
    </row>
    <row r="382" spans="1:10" ht="63.75">
      <c r="A382" s="302" t="str">
        <f t="shared" si="5"/>
        <v>InundatedLand</v>
      </c>
      <c r="B382" s="6" t="s">
        <v>2908</v>
      </c>
      <c r="C382" s="17" t="s">
        <v>2909</v>
      </c>
      <c r="D382" s="10" t="s">
        <v>2910</v>
      </c>
      <c r="E382" s="10" t="s">
        <v>2911</v>
      </c>
      <c r="F382" s="55"/>
      <c r="G382" s="25">
        <v>117993</v>
      </c>
      <c r="H382" s="300" t="str">
        <f>CONCATENATE([1]Cover!$D$6,"fdd/view?i=",G382)</f>
        <v>https://www.dgiwg.org/FAD/fdd/view?i=117993</v>
      </c>
      <c r="I382" s="8" t="s">
        <v>2907</v>
      </c>
      <c r="J382" s="38" t="s">
        <v>151</v>
      </c>
    </row>
    <row r="383" spans="1:10" ht="38.25">
      <c r="A383" s="302" t="str">
        <f t="shared" si="5"/>
        <v>IrrigationSystem</v>
      </c>
      <c r="B383" s="6" t="s">
        <v>2913</v>
      </c>
      <c r="C383" s="17" t="s">
        <v>2914</v>
      </c>
      <c r="D383" s="10" t="s">
        <v>2915</v>
      </c>
      <c r="E383" s="10" t="s">
        <v>2916</v>
      </c>
      <c r="F383" s="55"/>
      <c r="G383" s="25">
        <v>111447</v>
      </c>
      <c r="H383" s="300" t="str">
        <f>CONCATENATE([1]Cover!$D$6,"fdd/view?i=",G383)</f>
        <v>https://www.dgiwg.org/FAD/fdd/view?i=111447</v>
      </c>
      <c r="I383" s="8" t="s">
        <v>2912</v>
      </c>
      <c r="J383" s="38" t="s">
        <v>151</v>
      </c>
    </row>
    <row r="384" spans="1:10">
      <c r="A384" s="302" t="str">
        <f t="shared" si="5"/>
        <v>Island</v>
      </c>
      <c r="B384" s="6" t="s">
        <v>2918</v>
      </c>
      <c r="C384" s="17" t="s">
        <v>2918</v>
      </c>
      <c r="D384" s="10" t="s">
        <v>2919</v>
      </c>
      <c r="E384" s="55"/>
      <c r="F384" s="55"/>
      <c r="G384" s="25">
        <v>100212</v>
      </c>
      <c r="H384" s="300" t="str">
        <f>CONCATENATE([1]Cover!$D$6,"fdd/view?i=",G384)</f>
        <v>https://www.dgiwg.org/FAD/fdd/view?i=100212</v>
      </c>
      <c r="I384" s="8" t="s">
        <v>2917</v>
      </c>
      <c r="J384" s="38" t="s">
        <v>151</v>
      </c>
    </row>
    <row r="385" spans="1:10">
      <c r="A385" s="302" t="str">
        <f t="shared" si="5"/>
        <v>IsogonicLine</v>
      </c>
      <c r="B385" s="6" t="s">
        <v>2921</v>
      </c>
      <c r="C385" s="17" t="s">
        <v>2922</v>
      </c>
      <c r="D385" s="10" t="s">
        <v>2923</v>
      </c>
      <c r="E385" s="55"/>
      <c r="F385" s="55"/>
      <c r="G385" s="25">
        <v>100571</v>
      </c>
      <c r="H385" s="300" t="str">
        <f>CONCATENATE([1]Cover!$D$6,"fdd/view?i=",G385)</f>
        <v>https://www.dgiwg.org/FAD/fdd/view?i=100571</v>
      </c>
      <c r="I385" s="8" t="s">
        <v>2920</v>
      </c>
      <c r="J385" s="38" t="s">
        <v>151</v>
      </c>
    </row>
    <row r="386" spans="1:10" ht="51">
      <c r="A386" s="302" t="str">
        <f t="shared" si="5"/>
        <v>IsolatedAircraftParkPos</v>
      </c>
      <c r="B386" s="6" t="s">
        <v>2925</v>
      </c>
      <c r="C386" s="17" t="s">
        <v>2926</v>
      </c>
      <c r="D386" s="10" t="s">
        <v>2927</v>
      </c>
      <c r="E386" s="55"/>
      <c r="F386" s="55"/>
      <c r="G386" s="25">
        <v>114646</v>
      </c>
      <c r="H386" s="300" t="str">
        <f>CONCATENATE([1]Cover!$D$6,"fdd/view?i=",G386)</f>
        <v>https://www.dgiwg.org/FAD/fdd/view?i=114646</v>
      </c>
      <c r="I386" s="8" t="s">
        <v>2924</v>
      </c>
      <c r="J386" s="38" t="s">
        <v>151</v>
      </c>
    </row>
    <row r="387" spans="1:10" ht="38.25">
      <c r="A387" s="302" t="str">
        <f t="shared" ref="A387:A450" si="6">HYPERLINK(H387,B387)</f>
        <v>JetAircraftStartUnitServ</v>
      </c>
      <c r="B387" s="6" t="s">
        <v>2929</v>
      </c>
      <c r="C387" s="17" t="s">
        <v>2930</v>
      </c>
      <c r="D387" s="10" t="s">
        <v>2931</v>
      </c>
      <c r="E387" s="55"/>
      <c r="F387" s="55"/>
      <c r="G387" s="25">
        <v>119575</v>
      </c>
      <c r="H387" s="300" t="str">
        <f>CONCATENATE([1]Cover!$D$6,"fdd/view?i=",G387)</f>
        <v>https://www.dgiwg.org/FAD/fdd/view?i=119575</v>
      </c>
      <c r="I387" s="8" t="s">
        <v>2928</v>
      </c>
      <c r="J387" s="38" t="s">
        <v>151</v>
      </c>
    </row>
    <row r="388" spans="1:10">
      <c r="A388" s="302" t="str">
        <f t="shared" si="6"/>
        <v>MD_Keywords</v>
      </c>
      <c r="B388" s="6" t="s">
        <v>2933</v>
      </c>
      <c r="C388" s="17" t="s">
        <v>2934</v>
      </c>
      <c r="D388" s="10" t="s">
        <v>2935</v>
      </c>
      <c r="E388" s="55"/>
      <c r="F388" s="55"/>
      <c r="G388" s="25">
        <v>203470</v>
      </c>
      <c r="H388" s="300" t="str">
        <f>CONCATENATE([1]Cover!$D$6,"fdd/view?i=",G388)</f>
        <v>https://www.dgiwg.org/FAD/fdd/view?i=203470</v>
      </c>
      <c r="I388" s="8" t="s">
        <v>2932</v>
      </c>
      <c r="J388" s="38" t="s">
        <v>1295</v>
      </c>
    </row>
    <row r="389" spans="1:10" ht="38.25">
      <c r="A389" s="302" t="str">
        <f t="shared" si="6"/>
        <v>Lagoon</v>
      </c>
      <c r="B389" s="6" t="s">
        <v>2937</v>
      </c>
      <c r="C389" s="17" t="s">
        <v>2937</v>
      </c>
      <c r="D389" s="10" t="s">
        <v>2938</v>
      </c>
      <c r="E389" s="10" t="s">
        <v>2939</v>
      </c>
      <c r="F389" s="55"/>
      <c r="G389" s="25">
        <v>100361</v>
      </c>
      <c r="H389" s="300" t="str">
        <f>CONCATENATE([1]Cover!$D$6,"fdd/view?i=",G389)</f>
        <v>https://www.dgiwg.org/FAD/fdd/view?i=100361</v>
      </c>
      <c r="I389" s="8" t="s">
        <v>2936</v>
      </c>
      <c r="J389" s="38" t="s">
        <v>151</v>
      </c>
    </row>
    <row r="390" spans="1:10" ht="25.5">
      <c r="A390" s="302" t="str">
        <f t="shared" si="6"/>
        <v>LandAerodrome</v>
      </c>
      <c r="B390" s="6" t="s">
        <v>2941</v>
      </c>
      <c r="C390" s="17" t="s">
        <v>2942</v>
      </c>
      <c r="D390" s="10" t="s">
        <v>2943</v>
      </c>
      <c r="E390" s="55"/>
      <c r="F390" s="10" t="s">
        <v>2944</v>
      </c>
      <c r="G390" s="25">
        <v>114599</v>
      </c>
      <c r="H390" s="300" t="str">
        <f>CONCATENATE([1]Cover!$D$6,"fdd/view?i=",G390)</f>
        <v>https://www.dgiwg.org/FAD/fdd/view?i=114599</v>
      </c>
      <c r="I390" s="8" t="s">
        <v>2940</v>
      </c>
      <c r="J390" s="38" t="s">
        <v>151</v>
      </c>
    </row>
    <row r="391" spans="1:10" ht="51">
      <c r="A391" s="302" t="str">
        <f t="shared" si="6"/>
        <v>LandHoldShortOpHoldPoint</v>
      </c>
      <c r="B391" s="6" t="s">
        <v>2946</v>
      </c>
      <c r="C391" s="17" t="s">
        <v>2947</v>
      </c>
      <c r="D391" s="10" t="s">
        <v>2948</v>
      </c>
      <c r="E391" s="10" t="s">
        <v>2949</v>
      </c>
      <c r="F391" s="55"/>
      <c r="G391" s="25">
        <v>114649</v>
      </c>
      <c r="H391" s="300" t="str">
        <f>CONCATENATE([1]Cover!$D$6,"fdd/view?i=",G391)</f>
        <v>https://www.dgiwg.org/FAD/fdd/view?i=114649</v>
      </c>
      <c r="I391" s="8" t="s">
        <v>2945</v>
      </c>
      <c r="J391" s="38" t="s">
        <v>151</v>
      </c>
    </row>
    <row r="392" spans="1:10" ht="25.5">
      <c r="A392" s="302" t="str">
        <f t="shared" si="6"/>
        <v>LandArea</v>
      </c>
      <c r="B392" s="6" t="s">
        <v>2951</v>
      </c>
      <c r="C392" s="17" t="s">
        <v>2952</v>
      </c>
      <c r="D392" s="10" t="s">
        <v>2953</v>
      </c>
      <c r="E392" s="10" t="s">
        <v>2954</v>
      </c>
      <c r="F392" s="55"/>
      <c r="G392" s="25">
        <v>111449</v>
      </c>
      <c r="H392" s="300" t="str">
        <f>CONCATENATE([1]Cover!$D$6,"fdd/view?i=",G392)</f>
        <v>https://www.dgiwg.org/FAD/fdd/view?i=111449</v>
      </c>
      <c r="I392" s="8" t="s">
        <v>2950</v>
      </c>
      <c r="J392" s="38" t="s">
        <v>151</v>
      </c>
    </row>
    <row r="393" spans="1:10">
      <c r="A393" s="302" t="str">
        <f t="shared" si="6"/>
        <v>LandMorphologyArea</v>
      </c>
      <c r="B393" s="6" t="s">
        <v>2956</v>
      </c>
      <c r="C393" s="17" t="s">
        <v>2957</v>
      </c>
      <c r="D393" s="10" t="s">
        <v>2958</v>
      </c>
      <c r="E393" s="10" t="s">
        <v>2959</v>
      </c>
      <c r="F393" s="55"/>
      <c r="G393" s="25">
        <v>111450</v>
      </c>
      <c r="H393" s="300" t="str">
        <f>CONCATENATE([1]Cover!$D$6,"fdd/view?i=",G393)</f>
        <v>https://www.dgiwg.org/FAD/fdd/view?i=111450</v>
      </c>
      <c r="I393" s="8" t="s">
        <v>2955</v>
      </c>
      <c r="J393" s="38" t="s">
        <v>151</v>
      </c>
    </row>
    <row r="394" spans="1:10" ht="165.75">
      <c r="A394" s="302" t="str">
        <f t="shared" si="6"/>
        <v>LandParcel</v>
      </c>
      <c r="B394" s="6" t="s">
        <v>2961</v>
      </c>
      <c r="C394" s="17" t="s">
        <v>2962</v>
      </c>
      <c r="D394" s="10" t="s">
        <v>2963</v>
      </c>
      <c r="E394" s="10" t="s">
        <v>2964</v>
      </c>
      <c r="F394" s="55"/>
      <c r="G394" s="25">
        <v>100546</v>
      </c>
      <c r="H394" s="300" t="str">
        <f>CONCATENATE([1]Cover!$D$6,"fdd/view?i=",G394)</f>
        <v>https://www.dgiwg.org/FAD/fdd/view?i=100546</v>
      </c>
      <c r="I394" s="8" t="s">
        <v>2960</v>
      </c>
      <c r="J394" s="38" t="s">
        <v>1295</v>
      </c>
    </row>
    <row r="395" spans="1:10">
      <c r="A395" s="302" t="str">
        <f t="shared" si="6"/>
        <v>LandSubjectToInundation</v>
      </c>
      <c r="B395" s="6" t="s">
        <v>2966</v>
      </c>
      <c r="C395" s="17" t="s">
        <v>2967</v>
      </c>
      <c r="D395" s="10" t="s">
        <v>2968</v>
      </c>
      <c r="E395" s="55"/>
      <c r="F395" s="55"/>
      <c r="G395" s="25">
        <v>100342</v>
      </c>
      <c r="H395" s="300" t="str">
        <f>CONCATENATE([1]Cover!$D$6,"fdd/view?i=",G395)</f>
        <v>https://www.dgiwg.org/FAD/fdd/view?i=100342</v>
      </c>
      <c r="I395" s="8" t="s">
        <v>2965</v>
      </c>
      <c r="J395" s="38" t="s">
        <v>151</v>
      </c>
    </row>
    <row r="396" spans="1:10" ht="38.25">
      <c r="A396" s="302" t="str">
        <f t="shared" si="6"/>
        <v>LandWaterBoundary</v>
      </c>
      <c r="B396" s="6" t="s">
        <v>2970</v>
      </c>
      <c r="C396" s="17" t="s">
        <v>2971</v>
      </c>
      <c r="D396" s="10" t="s">
        <v>2972</v>
      </c>
      <c r="E396" s="10" t="s">
        <v>2973</v>
      </c>
      <c r="F396" s="10" t="s">
        <v>2974</v>
      </c>
      <c r="G396" s="25">
        <v>100204</v>
      </c>
      <c r="H396" s="300" t="str">
        <f>CONCATENATE([1]Cover!$D$6,"fdd/view?i=",G396)</f>
        <v>https://www.dgiwg.org/FAD/fdd/view?i=100204</v>
      </c>
      <c r="I396" s="8" t="s">
        <v>2969</v>
      </c>
      <c r="J396" s="38" t="s">
        <v>151</v>
      </c>
    </row>
    <row r="397" spans="1:10" ht="25.5">
      <c r="A397" s="302" t="str">
        <f t="shared" si="6"/>
        <v>LandingDirectionIndicator</v>
      </c>
      <c r="B397" s="6" t="s">
        <v>2976</v>
      </c>
      <c r="C397" s="17" t="s">
        <v>2977</v>
      </c>
      <c r="D397" s="10" t="s">
        <v>2978</v>
      </c>
      <c r="E397" s="55"/>
      <c r="F397" s="10" t="s">
        <v>2979</v>
      </c>
      <c r="G397" s="25">
        <v>114600</v>
      </c>
      <c r="H397" s="300" t="str">
        <f>CONCATENATE([1]Cover!$D$6,"fdd/view?i=",G397)</f>
        <v>https://www.dgiwg.org/FAD/fdd/view?i=114600</v>
      </c>
      <c r="I397" s="8" t="s">
        <v>2975</v>
      </c>
      <c r="J397" s="38" t="s">
        <v>151</v>
      </c>
    </row>
    <row r="398" spans="1:10" ht="25.5">
      <c r="A398" s="302" t="str">
        <f t="shared" si="6"/>
        <v>LandingSteps</v>
      </c>
      <c r="B398" s="6" t="s">
        <v>2981</v>
      </c>
      <c r="C398" s="17" t="s">
        <v>2982</v>
      </c>
      <c r="D398" s="10" t="s">
        <v>2983</v>
      </c>
      <c r="E398" s="55"/>
      <c r="F398" s="55"/>
      <c r="G398" s="25">
        <v>100243</v>
      </c>
      <c r="H398" s="300" t="str">
        <f>CONCATENATE([1]Cover!$D$6,"fdd/view?i=",G398)</f>
        <v>https://www.dgiwg.org/FAD/fdd/view?i=100243</v>
      </c>
      <c r="I398" s="8" t="s">
        <v>2980</v>
      </c>
      <c r="J398" s="38" t="s">
        <v>151</v>
      </c>
    </row>
    <row r="399" spans="1:10" ht="25.5">
      <c r="A399" s="302" t="str">
        <f t="shared" si="6"/>
        <v>LandslideMass</v>
      </c>
      <c r="B399" s="6" t="s">
        <v>2985</v>
      </c>
      <c r="C399" s="17" t="s">
        <v>2986</v>
      </c>
      <c r="D399" s="10" t="s">
        <v>2987</v>
      </c>
      <c r="E399" s="55"/>
      <c r="F399" s="55"/>
      <c r="G399" s="25">
        <v>100427</v>
      </c>
      <c r="H399" s="300" t="str">
        <f>CONCATENATE([1]Cover!$D$6,"fdd/view?i=",G399)</f>
        <v>https://www.dgiwg.org/FAD/fdd/view?i=100427</v>
      </c>
      <c r="I399" s="8" t="s">
        <v>2984</v>
      </c>
      <c r="J399" s="38" t="s">
        <v>151</v>
      </c>
    </row>
    <row r="400" spans="1:10" ht="51">
      <c r="A400" s="302" t="str">
        <f t="shared" si="6"/>
        <v>LargeBottomObject</v>
      </c>
      <c r="B400" s="6" t="s">
        <v>2989</v>
      </c>
      <c r="C400" s="17" t="s">
        <v>2990</v>
      </c>
      <c r="D400" s="10" t="s">
        <v>2991</v>
      </c>
      <c r="E400" s="10" t="s">
        <v>2992</v>
      </c>
      <c r="F400" s="55"/>
      <c r="G400" s="25">
        <v>111443</v>
      </c>
      <c r="H400" s="300" t="str">
        <f>CONCATENATE([1]Cover!$D$6,"fdd/view?i=",G400)</f>
        <v>https://www.dgiwg.org/FAD/fdd/view?i=111443</v>
      </c>
      <c r="I400" s="8" t="s">
        <v>2988</v>
      </c>
      <c r="J400" s="38" t="s">
        <v>151</v>
      </c>
    </row>
    <row r="401" spans="1:10" ht="25.5">
      <c r="A401" s="302" t="str">
        <f t="shared" si="6"/>
        <v>LaunchPad</v>
      </c>
      <c r="B401" s="6" t="s">
        <v>2994</v>
      </c>
      <c r="C401" s="17" t="s">
        <v>2995</v>
      </c>
      <c r="D401" s="10" t="s">
        <v>2996</v>
      </c>
      <c r="E401" s="55"/>
      <c r="F401" s="55"/>
      <c r="G401" s="25">
        <v>100524</v>
      </c>
      <c r="H401" s="300" t="str">
        <f>CONCATENATE([1]Cover!$D$6,"fdd/view?i=",G401)</f>
        <v>https://www.dgiwg.org/FAD/fdd/view?i=100524</v>
      </c>
      <c r="I401" s="8" t="s">
        <v>2993</v>
      </c>
      <c r="J401" s="38" t="s">
        <v>151</v>
      </c>
    </row>
    <row r="402" spans="1:10" ht="25.5">
      <c r="A402" s="302" t="str">
        <f t="shared" si="6"/>
        <v>LeadingLine</v>
      </c>
      <c r="B402" s="6" t="s">
        <v>2998</v>
      </c>
      <c r="C402" s="17" t="s">
        <v>2999</v>
      </c>
      <c r="D402" s="10" t="s">
        <v>3000</v>
      </c>
      <c r="E402" s="55"/>
      <c r="F402" s="55"/>
      <c r="G402" s="25">
        <v>100276</v>
      </c>
      <c r="H402" s="300" t="str">
        <f>CONCATENATE([1]Cover!$D$6,"fdd/view?i=",G402)</f>
        <v>https://www.dgiwg.org/FAD/fdd/view?i=100276</v>
      </c>
      <c r="I402" s="8" t="s">
        <v>2997</v>
      </c>
      <c r="J402" s="38" t="s">
        <v>151</v>
      </c>
    </row>
    <row r="403" spans="1:10" ht="25.5">
      <c r="A403" s="302" t="str">
        <f t="shared" si="6"/>
        <v>MD_LegalConstraints</v>
      </c>
      <c r="B403" s="6" t="s">
        <v>3002</v>
      </c>
      <c r="C403" s="17" t="s">
        <v>3003</v>
      </c>
      <c r="D403" s="10" t="s">
        <v>3004</v>
      </c>
      <c r="E403" s="55"/>
      <c r="F403" s="55"/>
      <c r="G403" s="25">
        <v>203451</v>
      </c>
      <c r="H403" s="300" t="str">
        <f>CONCATENATE([1]Cover!$D$6,"fdd/view?i=",G403)</f>
        <v>https://www.dgiwg.org/FAD/fdd/view?i=203451</v>
      </c>
      <c r="I403" s="8" t="s">
        <v>3001</v>
      </c>
      <c r="J403" s="38" t="s">
        <v>1295</v>
      </c>
    </row>
    <row r="404" spans="1:10" ht="25.5">
      <c r="A404" s="302" t="str">
        <f t="shared" si="6"/>
        <v>LightSector</v>
      </c>
      <c r="B404" s="6" t="s">
        <v>3006</v>
      </c>
      <c r="C404" s="17" t="s">
        <v>3007</v>
      </c>
      <c r="D404" s="10" t="s">
        <v>3008</v>
      </c>
      <c r="E404" s="55"/>
      <c r="F404" s="55"/>
      <c r="G404" s="25">
        <v>100271</v>
      </c>
      <c r="H404" s="300" t="str">
        <f>CONCATENATE([1]Cover!$D$6,"fdd/view?i=",G404)</f>
        <v>https://www.dgiwg.org/FAD/fdd/view?i=100271</v>
      </c>
      <c r="I404" s="8" t="s">
        <v>3005</v>
      </c>
      <c r="J404" s="38" t="s">
        <v>151</v>
      </c>
    </row>
    <row r="405" spans="1:10">
      <c r="A405" s="302" t="str">
        <f t="shared" si="6"/>
        <v>LightSupportStructure</v>
      </c>
      <c r="B405" s="6" t="s">
        <v>3010</v>
      </c>
      <c r="C405" s="17" t="s">
        <v>3011</v>
      </c>
      <c r="D405" s="10" t="s">
        <v>3012</v>
      </c>
      <c r="E405" s="10" t="s">
        <v>3013</v>
      </c>
      <c r="F405" s="55"/>
      <c r="G405" s="25">
        <v>100103</v>
      </c>
      <c r="H405" s="300" t="str">
        <f>CONCATENATE([1]Cover!$D$6,"fdd/view?i=",G405)</f>
        <v>https://www.dgiwg.org/FAD/fdd/view?i=100103</v>
      </c>
      <c r="I405" s="8" t="s">
        <v>3009</v>
      </c>
      <c r="J405" s="38" t="s">
        <v>151</v>
      </c>
    </row>
    <row r="406" spans="1:10" ht="38.25">
      <c r="A406" s="302" t="str">
        <f t="shared" si="6"/>
        <v>LightVessel</v>
      </c>
      <c r="B406" s="6" t="s">
        <v>3015</v>
      </c>
      <c r="C406" s="17" t="s">
        <v>3016</v>
      </c>
      <c r="D406" s="10" t="s">
        <v>3017</v>
      </c>
      <c r="E406" s="10" t="s">
        <v>3018</v>
      </c>
      <c r="F406" s="55"/>
      <c r="G406" s="25">
        <v>100272</v>
      </c>
      <c r="H406" s="300" t="str">
        <f>CONCATENATE([1]Cover!$D$6,"fdd/view?i=",G406)</f>
        <v>https://www.dgiwg.org/FAD/fdd/view?i=100272</v>
      </c>
      <c r="I406" s="8" t="s">
        <v>3014</v>
      </c>
      <c r="J406" s="38" t="s">
        <v>151</v>
      </c>
    </row>
    <row r="407" spans="1:10" ht="25.5">
      <c r="A407" s="302" t="str">
        <f t="shared" si="6"/>
        <v>Lighthouse</v>
      </c>
      <c r="B407" s="6" t="s">
        <v>3020</v>
      </c>
      <c r="C407" s="17" t="s">
        <v>3020</v>
      </c>
      <c r="D407" s="10" t="s">
        <v>3021</v>
      </c>
      <c r="E407" s="55"/>
      <c r="F407" s="55"/>
      <c r="G407" s="25">
        <v>100269</v>
      </c>
      <c r="H407" s="300" t="str">
        <f>CONCATENATE([1]Cover!$D$6,"fdd/view?i=",G407)</f>
        <v>https://www.dgiwg.org/FAD/fdd/view?i=100269</v>
      </c>
      <c r="I407" s="8" t="s">
        <v>3019</v>
      </c>
      <c r="J407" s="38" t="s">
        <v>151</v>
      </c>
    </row>
    <row r="408" spans="1:10" ht="25.5">
      <c r="A408" s="302" t="str">
        <f t="shared" si="6"/>
        <v>LiquidDiffuser</v>
      </c>
      <c r="B408" s="6" t="s">
        <v>3023</v>
      </c>
      <c r="C408" s="17" t="s">
        <v>3024</v>
      </c>
      <c r="D408" s="10" t="s">
        <v>3025</v>
      </c>
      <c r="E408" s="55"/>
      <c r="F408" s="55"/>
      <c r="G408" s="25">
        <v>100013</v>
      </c>
      <c r="H408" s="300" t="str">
        <f>CONCATENATE([1]Cover!$D$6,"fdd/view?i=",G408)</f>
        <v>https://www.dgiwg.org/FAD/fdd/view?i=100013</v>
      </c>
      <c r="I408" s="8" t="s">
        <v>3022</v>
      </c>
      <c r="J408" s="38" t="s">
        <v>151</v>
      </c>
    </row>
    <row r="409" spans="1:10" ht="25.5">
      <c r="A409" s="302" t="str">
        <f t="shared" si="6"/>
        <v>LocalMagneticAnomaly</v>
      </c>
      <c r="B409" s="6" t="s">
        <v>3027</v>
      </c>
      <c r="C409" s="17" t="s">
        <v>3028</v>
      </c>
      <c r="D409" s="10" t="s">
        <v>3029</v>
      </c>
      <c r="E409" s="55"/>
      <c r="F409" s="10" t="s">
        <v>3030</v>
      </c>
      <c r="G409" s="25">
        <v>100570</v>
      </c>
      <c r="H409" s="300" t="str">
        <f>CONCATENATE([1]Cover!$D$6,"fdd/view?i=",G409)</f>
        <v>https://www.dgiwg.org/FAD/fdd/view?i=100570</v>
      </c>
      <c r="I409" s="8" t="s">
        <v>3026</v>
      </c>
      <c r="J409" s="38" t="s">
        <v>151</v>
      </c>
    </row>
    <row r="410" spans="1:10" ht="76.5">
      <c r="A410" s="302" t="str">
        <f t="shared" si="6"/>
        <v>LocalizerDirectionalAid</v>
      </c>
      <c r="B410" s="6" t="s">
        <v>3032</v>
      </c>
      <c r="C410" s="17" t="s">
        <v>3033</v>
      </c>
      <c r="D410" s="10" t="s">
        <v>3034</v>
      </c>
      <c r="E410" s="10" t="s">
        <v>3035</v>
      </c>
      <c r="F410" s="10" t="s">
        <v>3036</v>
      </c>
      <c r="G410" s="25">
        <v>119557</v>
      </c>
      <c r="H410" s="300" t="str">
        <f>CONCATENATE([1]Cover!$D$6,"fdd/view?i=",G410)</f>
        <v>https://www.dgiwg.org/FAD/fdd/view?i=119557</v>
      </c>
      <c r="I410" s="8" t="s">
        <v>3031</v>
      </c>
      <c r="J410" s="38" t="s">
        <v>151</v>
      </c>
    </row>
    <row r="411" spans="1:10" ht="25.5">
      <c r="A411" s="302" t="str">
        <f t="shared" si="6"/>
        <v>Lock</v>
      </c>
      <c r="B411" s="6" t="s">
        <v>3038</v>
      </c>
      <c r="C411" s="17" t="s">
        <v>3038</v>
      </c>
      <c r="D411" s="10" t="s">
        <v>3039</v>
      </c>
      <c r="E411" s="55"/>
      <c r="F411" s="55"/>
      <c r="G411" s="25">
        <v>100369</v>
      </c>
      <c r="H411" s="300" t="str">
        <f>CONCATENATE([1]Cover!$D$6,"fdd/view?i=",G411)</f>
        <v>https://www.dgiwg.org/FAD/fdd/view?i=100369</v>
      </c>
      <c r="I411" s="8" t="s">
        <v>3037</v>
      </c>
      <c r="J411" s="38" t="s">
        <v>151</v>
      </c>
    </row>
    <row r="412" spans="1:10">
      <c r="A412" s="302" t="str">
        <f t="shared" si="6"/>
        <v>LockBasin</v>
      </c>
      <c r="B412" s="6" t="s">
        <v>3041</v>
      </c>
      <c r="C412" s="17" t="s">
        <v>3042</v>
      </c>
      <c r="D412" s="10" t="s">
        <v>3043</v>
      </c>
      <c r="E412" s="55"/>
      <c r="F412" s="55"/>
      <c r="G412" s="25">
        <v>100370</v>
      </c>
      <c r="H412" s="300" t="str">
        <f>CONCATENATE([1]Cover!$D$6,"fdd/view?i=",G412)</f>
        <v>https://www.dgiwg.org/FAD/fdd/view?i=100370</v>
      </c>
      <c r="I412" s="8" t="s">
        <v>3040</v>
      </c>
      <c r="J412" s="38" t="s">
        <v>151</v>
      </c>
    </row>
    <row r="413" spans="1:10">
      <c r="A413" s="302" t="str">
        <f t="shared" si="6"/>
        <v>LoggingSite</v>
      </c>
      <c r="B413" s="6" t="s">
        <v>3045</v>
      </c>
      <c r="C413" s="17" t="s">
        <v>3046</v>
      </c>
      <c r="D413" s="10" t="s">
        <v>3047</v>
      </c>
      <c r="E413" s="55"/>
      <c r="F413" s="55"/>
      <c r="G413" s="25">
        <v>100451</v>
      </c>
      <c r="H413" s="300" t="str">
        <f>CONCATENATE([1]Cover!$D$6,"fdd/view?i=",G413)</f>
        <v>https://www.dgiwg.org/FAD/fdd/view?i=100451</v>
      </c>
      <c r="I413" s="8" t="s">
        <v>3044</v>
      </c>
      <c r="J413" s="38" t="s">
        <v>151</v>
      </c>
    </row>
    <row r="414" spans="1:10" ht="38.25">
      <c r="A414" s="302" t="str">
        <f t="shared" si="6"/>
        <v>Lookout</v>
      </c>
      <c r="B414" s="6" t="s">
        <v>3049</v>
      </c>
      <c r="C414" s="17" t="s">
        <v>3049</v>
      </c>
      <c r="D414" s="10" t="s">
        <v>3050</v>
      </c>
      <c r="E414" s="10" t="s">
        <v>3051</v>
      </c>
      <c r="F414" s="55"/>
      <c r="G414" s="25">
        <v>100065</v>
      </c>
      <c r="H414" s="300" t="str">
        <f>CONCATENATE([1]Cover!$D$6,"fdd/view?i=",G414)</f>
        <v>https://www.dgiwg.org/FAD/fdd/view?i=100065</v>
      </c>
      <c r="I414" s="8" t="s">
        <v>3048</v>
      </c>
      <c r="J414" s="38" t="s">
        <v>151</v>
      </c>
    </row>
    <row r="415" spans="1:10" ht="51">
      <c r="A415" s="302" t="str">
        <f t="shared" si="6"/>
        <v>LowAirManeuverPylon</v>
      </c>
      <c r="B415" s="6" t="s">
        <v>3053</v>
      </c>
      <c r="C415" s="17" t="s">
        <v>3054</v>
      </c>
      <c r="D415" s="10" t="s">
        <v>3055</v>
      </c>
      <c r="E415" s="10" t="s">
        <v>3056</v>
      </c>
      <c r="F415" s="55"/>
      <c r="G415" s="25">
        <v>114375</v>
      </c>
      <c r="H415" s="300" t="str">
        <f>CONCATENATE([1]Cover!$D$6,"fdd/view?i=",G415)</f>
        <v>https://www.dgiwg.org/FAD/fdd/view?i=114375</v>
      </c>
      <c r="I415" s="8" t="s">
        <v>3052</v>
      </c>
      <c r="J415" s="38" t="s">
        <v>151</v>
      </c>
    </row>
    <row r="416" spans="1:10" ht="25.5">
      <c r="A416" s="302" t="str">
        <f t="shared" si="6"/>
        <v>LowWaterLine</v>
      </c>
      <c r="B416" s="6" t="s">
        <v>3058</v>
      </c>
      <c r="C416" s="17" t="s">
        <v>3059</v>
      </c>
      <c r="D416" s="10" t="s">
        <v>3060</v>
      </c>
      <c r="E416" s="55"/>
      <c r="F416" s="55"/>
      <c r="G416" s="25">
        <v>100314</v>
      </c>
      <c r="H416" s="300" t="str">
        <f>CONCATENATE([1]Cover!$D$6,"fdd/view?i=",G416)</f>
        <v>https://www.dgiwg.org/FAD/fdd/view?i=100314</v>
      </c>
      <c r="I416" s="8" t="s">
        <v>3057</v>
      </c>
      <c r="J416" s="38" t="s">
        <v>151</v>
      </c>
    </row>
    <row r="417" spans="1:10" ht="38.25">
      <c r="A417" s="302" t="str">
        <f t="shared" si="6"/>
        <v>MagneticVariationInfo</v>
      </c>
      <c r="B417" s="6" t="s">
        <v>3062</v>
      </c>
      <c r="C417" s="17" t="s">
        <v>3063</v>
      </c>
      <c r="D417" s="10" t="s">
        <v>3064</v>
      </c>
      <c r="E417" s="10" t="s">
        <v>3065</v>
      </c>
      <c r="F417" s="55"/>
      <c r="G417" s="25">
        <v>206966</v>
      </c>
      <c r="H417" s="300" t="str">
        <f>CONCATENATE([1]Cover!$D$6,"fdd/view?i=",G417)</f>
        <v>https://www.dgiwg.org/FAD/fdd/view?i=206966</v>
      </c>
      <c r="I417" s="8" t="s">
        <v>3061</v>
      </c>
      <c r="J417" s="38" t="s">
        <v>1295</v>
      </c>
    </row>
    <row r="418" spans="1:10" ht="114.75">
      <c r="A418" s="302" t="str">
        <f t="shared" si="6"/>
        <v>ManufacturedHomePark</v>
      </c>
      <c r="B418" s="6" t="s">
        <v>3067</v>
      </c>
      <c r="C418" s="17" t="s">
        <v>3068</v>
      </c>
      <c r="D418" s="10" t="s">
        <v>3069</v>
      </c>
      <c r="E418" s="10" t="s">
        <v>3070</v>
      </c>
      <c r="F418" s="10" t="s">
        <v>1814</v>
      </c>
      <c r="G418" s="25">
        <v>117986</v>
      </c>
      <c r="H418" s="300" t="str">
        <f>CONCATENATE([1]Cover!$D$6,"fdd/view?i=",G418)</f>
        <v>https://www.dgiwg.org/FAD/fdd/view?i=117986</v>
      </c>
      <c r="I418" s="8" t="s">
        <v>3066</v>
      </c>
      <c r="J418" s="38" t="s">
        <v>151</v>
      </c>
    </row>
    <row r="419" spans="1:10" ht="63.75">
      <c r="A419" s="302" t="str">
        <f t="shared" si="6"/>
        <v>ManufacturingInfo</v>
      </c>
      <c r="B419" s="6" t="s">
        <v>3072</v>
      </c>
      <c r="C419" s="17" t="s">
        <v>3073</v>
      </c>
      <c r="D419" s="10" t="s">
        <v>3074</v>
      </c>
      <c r="E419" s="10" t="s">
        <v>3075</v>
      </c>
      <c r="F419" s="55"/>
      <c r="G419" s="25">
        <v>114198</v>
      </c>
      <c r="H419" s="300" t="str">
        <f>CONCATENATE([1]Cover!$D$6,"fdd/view?i=",G419)</f>
        <v>https://www.dgiwg.org/FAD/fdd/view?i=114198</v>
      </c>
      <c r="I419" s="8" t="s">
        <v>3071</v>
      </c>
      <c r="J419" s="38" t="s">
        <v>151</v>
      </c>
    </row>
    <row r="420" spans="1:10" ht="63.75">
      <c r="A420" s="302" t="str">
        <f t="shared" si="6"/>
        <v>MaricultureSite</v>
      </c>
      <c r="B420" s="6" t="s">
        <v>3077</v>
      </c>
      <c r="C420" s="17" t="s">
        <v>3078</v>
      </c>
      <c r="D420" s="10" t="s">
        <v>3079</v>
      </c>
      <c r="E420" s="55"/>
      <c r="F420" s="55"/>
      <c r="G420" s="25">
        <v>114168</v>
      </c>
      <c r="H420" s="300" t="str">
        <f>CONCATENATE([1]Cover!$D$6,"fdd/view?i=",G420)</f>
        <v>https://www.dgiwg.org/FAD/fdd/view?i=114168</v>
      </c>
      <c r="I420" s="8" t="s">
        <v>3076</v>
      </c>
      <c r="J420" s="38" t="s">
        <v>151</v>
      </c>
    </row>
    <row r="421" spans="1:10" ht="25.5">
      <c r="A421" s="302" t="str">
        <f t="shared" si="6"/>
        <v>MarineRangeCentreLine</v>
      </c>
      <c r="B421" s="6" t="s">
        <v>3081</v>
      </c>
      <c r="C421" s="17" t="s">
        <v>3082</v>
      </c>
      <c r="D421" s="10" t="s">
        <v>3083</v>
      </c>
      <c r="E421" s="10" t="s">
        <v>3084</v>
      </c>
      <c r="F421" s="55"/>
      <c r="G421" s="25">
        <v>100482</v>
      </c>
      <c r="H421" s="300" t="str">
        <f>CONCATENATE([1]Cover!$D$6,"fdd/view?i=",G421)</f>
        <v>https://www.dgiwg.org/FAD/fdd/view?i=100482</v>
      </c>
      <c r="I421" s="8" t="s">
        <v>3080</v>
      </c>
      <c r="J421" s="38" t="s">
        <v>151</v>
      </c>
    </row>
    <row r="422" spans="1:10" ht="51">
      <c r="A422" s="302" t="str">
        <f t="shared" si="6"/>
        <v>MaritimeCautionArea</v>
      </c>
      <c r="B422" s="6" t="s">
        <v>3086</v>
      </c>
      <c r="C422" s="17" t="s">
        <v>3087</v>
      </c>
      <c r="D422" s="10" t="s">
        <v>3088</v>
      </c>
      <c r="E422" s="10" t="s">
        <v>3089</v>
      </c>
      <c r="F422" s="55"/>
      <c r="G422" s="25">
        <v>111103</v>
      </c>
      <c r="H422" s="300" t="str">
        <f>CONCATENATE([1]Cover!$D$6,"fdd/view?i=",G422)</f>
        <v>https://www.dgiwg.org/FAD/fdd/view?i=111103</v>
      </c>
      <c r="I422" s="8" t="s">
        <v>3085</v>
      </c>
      <c r="J422" s="38" t="s">
        <v>151</v>
      </c>
    </row>
    <row r="423" spans="1:10" ht="25.5">
      <c r="A423" s="302" t="str">
        <f t="shared" si="6"/>
        <v>MaritimeLimit</v>
      </c>
      <c r="B423" s="6" t="s">
        <v>3091</v>
      </c>
      <c r="C423" s="17" t="s">
        <v>3092</v>
      </c>
      <c r="D423" s="10" t="s">
        <v>3093</v>
      </c>
      <c r="E423" s="55"/>
      <c r="F423" s="55"/>
      <c r="G423" s="25">
        <v>100474</v>
      </c>
      <c r="H423" s="300" t="str">
        <f>CONCATENATE([1]Cover!$D$6,"fdd/view?i=",G423)</f>
        <v>https://www.dgiwg.org/FAD/fdd/view?i=100474</v>
      </c>
      <c r="I423" s="8" t="s">
        <v>3090</v>
      </c>
      <c r="J423" s="38" t="s">
        <v>151</v>
      </c>
    </row>
    <row r="424" spans="1:10" ht="25.5">
      <c r="A424" s="302" t="str">
        <f t="shared" si="6"/>
        <v>MaritimeNavigationBeacon</v>
      </c>
      <c r="B424" s="6" t="s">
        <v>3095</v>
      </c>
      <c r="C424" s="17" t="s">
        <v>3096</v>
      </c>
      <c r="D424" s="10" t="s">
        <v>3097</v>
      </c>
      <c r="E424" s="55"/>
      <c r="F424" s="55"/>
      <c r="G424" s="25">
        <v>100261</v>
      </c>
      <c r="H424" s="300" t="str">
        <f>CONCATENATE([1]Cover!$D$6,"fdd/view?i=",G424)</f>
        <v>https://www.dgiwg.org/FAD/fdd/view?i=100261</v>
      </c>
      <c r="I424" s="8" t="s">
        <v>3094</v>
      </c>
      <c r="J424" s="38" t="s">
        <v>151</v>
      </c>
    </row>
    <row r="425" spans="1:10" ht="38.25">
      <c r="A425" s="302" t="str">
        <f t="shared" si="6"/>
        <v>MaritimeNavigationLight</v>
      </c>
      <c r="B425" s="6" t="s">
        <v>3099</v>
      </c>
      <c r="C425" s="17" t="s">
        <v>3100</v>
      </c>
      <c r="D425" s="10" t="s">
        <v>3101</v>
      </c>
      <c r="E425" s="10" t="s">
        <v>3102</v>
      </c>
      <c r="F425" s="10" t="s">
        <v>3103</v>
      </c>
      <c r="G425" s="25">
        <v>100268</v>
      </c>
      <c r="H425" s="300" t="str">
        <f>CONCATENATE([1]Cover!$D$6,"fdd/view?i=",G425)</f>
        <v>https://www.dgiwg.org/FAD/fdd/view?i=100268</v>
      </c>
      <c r="I425" s="8" t="s">
        <v>3098</v>
      </c>
      <c r="J425" s="38" t="s">
        <v>151</v>
      </c>
    </row>
    <row r="426" spans="1:10" ht="25.5">
      <c r="A426" s="302" t="str">
        <f t="shared" si="6"/>
        <v>MaritimeNavLightSupport</v>
      </c>
      <c r="B426" s="6" t="s">
        <v>3105</v>
      </c>
      <c r="C426" s="17" t="s">
        <v>3106</v>
      </c>
      <c r="D426" s="10" t="s">
        <v>3107</v>
      </c>
      <c r="E426" s="10" t="s">
        <v>3108</v>
      </c>
      <c r="F426" s="55"/>
      <c r="G426" s="25">
        <v>118124</v>
      </c>
      <c r="H426" s="300" t="str">
        <f>CONCATENATE([1]Cover!$D$6,"fdd/view?i=",G426)</f>
        <v>https://www.dgiwg.org/FAD/fdd/view?i=118124</v>
      </c>
      <c r="I426" s="8" t="s">
        <v>3104</v>
      </c>
      <c r="J426" s="38" t="s">
        <v>151</v>
      </c>
    </row>
    <row r="427" spans="1:10" ht="38.25">
      <c r="A427" s="302" t="str">
        <f t="shared" si="6"/>
        <v>MaritimeNavigationMarker</v>
      </c>
      <c r="B427" s="6" t="s">
        <v>3110</v>
      </c>
      <c r="C427" s="17" t="s">
        <v>3111</v>
      </c>
      <c r="D427" s="10" t="s">
        <v>3112</v>
      </c>
      <c r="E427" s="55"/>
      <c r="F427" s="55"/>
      <c r="G427" s="25">
        <v>100270</v>
      </c>
      <c r="H427" s="300" t="str">
        <f>CONCATENATE([1]Cover!$D$6,"fdd/view?i=",G427)</f>
        <v>https://www.dgiwg.org/FAD/fdd/view?i=100270</v>
      </c>
      <c r="I427" s="8" t="s">
        <v>3109</v>
      </c>
      <c r="J427" s="38" t="s">
        <v>1295</v>
      </c>
    </row>
    <row r="428" spans="1:10" ht="76.5">
      <c r="A428" s="302" t="str">
        <f t="shared" si="6"/>
        <v>MaritimeNavRetroReflector</v>
      </c>
      <c r="B428" s="6" t="s">
        <v>3114</v>
      </c>
      <c r="C428" s="17" t="s">
        <v>3115</v>
      </c>
      <c r="D428" s="10" t="s">
        <v>3116</v>
      </c>
      <c r="E428" s="10" t="s">
        <v>3117</v>
      </c>
      <c r="F428" s="55"/>
      <c r="G428" s="25">
        <v>119701</v>
      </c>
      <c r="H428" s="300" t="str">
        <f>CONCATENATE([1]Cover!$D$6,"fdd/view?i=",G428)</f>
        <v>https://www.dgiwg.org/FAD/fdd/view?i=119701</v>
      </c>
      <c r="I428" s="8" t="s">
        <v>3113</v>
      </c>
      <c r="J428" s="38" t="s">
        <v>1295</v>
      </c>
    </row>
    <row r="429" spans="1:10" ht="25.5">
      <c r="A429" s="302" t="str">
        <f t="shared" si="6"/>
        <v>MaritimeNoticeBoard</v>
      </c>
      <c r="B429" s="6" t="s">
        <v>3119</v>
      </c>
      <c r="C429" s="17" t="s">
        <v>3120</v>
      </c>
      <c r="D429" s="10" t="s">
        <v>3121</v>
      </c>
      <c r="E429" s="55"/>
      <c r="F429" s="55"/>
      <c r="G429" s="25">
        <v>117992</v>
      </c>
      <c r="H429" s="300" t="str">
        <f>CONCATENATE([1]Cover!$D$6,"fdd/view?i=",G429)</f>
        <v>https://www.dgiwg.org/FAD/fdd/view?i=117992</v>
      </c>
      <c r="I429" s="8" t="s">
        <v>3118</v>
      </c>
      <c r="J429" s="38" t="s">
        <v>151</v>
      </c>
    </row>
    <row r="430" spans="1:10" ht="25.5">
      <c r="A430" s="302" t="str">
        <f t="shared" si="6"/>
        <v>MaritimeRadarRefLine</v>
      </c>
      <c r="B430" s="6" t="s">
        <v>3123</v>
      </c>
      <c r="C430" s="17" t="s">
        <v>3124</v>
      </c>
      <c r="D430" s="10" t="s">
        <v>3125</v>
      </c>
      <c r="E430" s="55"/>
      <c r="F430" s="10" t="s">
        <v>3126</v>
      </c>
      <c r="G430" s="25">
        <v>100483</v>
      </c>
      <c r="H430" s="300" t="str">
        <f>CONCATENATE([1]Cover!$D$6,"fdd/view?i=",G430)</f>
        <v>https://www.dgiwg.org/FAD/fdd/view?i=100483</v>
      </c>
      <c r="I430" s="8" t="s">
        <v>3122</v>
      </c>
      <c r="J430" s="38" t="s">
        <v>151</v>
      </c>
    </row>
    <row r="431" spans="1:10" ht="25.5">
      <c r="A431" s="302" t="str">
        <f t="shared" si="6"/>
        <v>MaritimeRadiobeacon</v>
      </c>
      <c r="B431" s="6" t="s">
        <v>3128</v>
      </c>
      <c r="C431" s="17" t="s">
        <v>3129</v>
      </c>
      <c r="D431" s="10" t="s">
        <v>3130</v>
      </c>
      <c r="E431" s="55"/>
      <c r="F431" s="55"/>
      <c r="G431" s="25">
        <v>111440</v>
      </c>
      <c r="H431" s="300" t="str">
        <f>CONCATENATE([1]Cover!$D$6,"fdd/view?i=",G431)</f>
        <v>https://www.dgiwg.org/FAD/fdd/view?i=111440</v>
      </c>
      <c r="I431" s="8" t="s">
        <v>3127</v>
      </c>
      <c r="J431" s="38" t="s">
        <v>151</v>
      </c>
    </row>
    <row r="432" spans="1:10">
      <c r="A432" s="302" t="str">
        <f t="shared" si="6"/>
        <v>MaritimeRoute</v>
      </c>
      <c r="B432" s="6" t="s">
        <v>3132</v>
      </c>
      <c r="C432" s="17" t="s">
        <v>3133</v>
      </c>
      <c r="D432" s="10" t="s">
        <v>3134</v>
      </c>
      <c r="E432" s="55"/>
      <c r="F432" s="55"/>
      <c r="G432" s="25">
        <v>100484</v>
      </c>
      <c r="H432" s="300" t="str">
        <f>CONCATENATE([1]Cover!$D$6,"fdd/view?i=",G432)</f>
        <v>https://www.dgiwg.org/FAD/fdd/view?i=100484</v>
      </c>
      <c r="I432" s="8" t="s">
        <v>3131</v>
      </c>
      <c r="J432" s="38" t="s">
        <v>151</v>
      </c>
    </row>
    <row r="433" spans="1:10">
      <c r="A433" s="302" t="str">
        <f t="shared" si="6"/>
        <v>MaritimeSignalStation</v>
      </c>
      <c r="B433" s="6" t="s">
        <v>3136</v>
      </c>
      <c r="C433" s="17" t="s">
        <v>3137</v>
      </c>
      <c r="D433" s="10" t="s">
        <v>3138</v>
      </c>
      <c r="E433" s="55"/>
      <c r="F433" s="55"/>
      <c r="G433" s="25">
        <v>100244</v>
      </c>
      <c r="H433" s="300" t="str">
        <f>CONCATENATE([1]Cover!$D$6,"fdd/view?i=",G433)</f>
        <v>https://www.dgiwg.org/FAD/fdd/view?i=100244</v>
      </c>
      <c r="I433" s="8" t="s">
        <v>3135</v>
      </c>
      <c r="J433" s="38" t="s">
        <v>151</v>
      </c>
    </row>
    <row r="434" spans="1:10" ht="38.25">
      <c r="A434" s="302" t="str">
        <f t="shared" si="6"/>
        <v>MarkerRadioBeacon</v>
      </c>
      <c r="B434" s="6" t="s">
        <v>3140</v>
      </c>
      <c r="C434" s="17" t="s">
        <v>3141</v>
      </c>
      <c r="D434" s="10" t="s">
        <v>3142</v>
      </c>
      <c r="E434" s="10" t="s">
        <v>3143</v>
      </c>
      <c r="F434" s="10" t="s">
        <v>3144</v>
      </c>
      <c r="G434" s="25">
        <v>114507</v>
      </c>
      <c r="H434" s="300" t="str">
        <f>CONCATENATE([1]Cover!$D$6,"fdd/view?i=",G434)</f>
        <v>https://www.dgiwg.org/FAD/fdd/view?i=114507</v>
      </c>
      <c r="I434" s="8" t="s">
        <v>3139</v>
      </c>
      <c r="J434" s="38" t="s">
        <v>151</v>
      </c>
    </row>
    <row r="435" spans="1:10" ht="38.25">
      <c r="A435" s="302" t="str">
        <f t="shared" si="6"/>
        <v>Marsh</v>
      </c>
      <c r="B435" s="6" t="s">
        <v>3146</v>
      </c>
      <c r="C435" s="17" t="s">
        <v>3146</v>
      </c>
      <c r="D435" s="10" t="s">
        <v>3147</v>
      </c>
      <c r="E435" s="10" t="s">
        <v>3148</v>
      </c>
      <c r="F435" s="55"/>
      <c r="G435" s="25">
        <v>100448</v>
      </c>
      <c r="H435" s="300" t="str">
        <f>CONCATENATE([1]Cover!$D$6,"fdd/view?i=",G435)</f>
        <v>https://www.dgiwg.org/FAD/fdd/view?i=100448</v>
      </c>
      <c r="I435" s="8" t="s">
        <v>3145</v>
      </c>
      <c r="J435" s="38" t="s">
        <v>151</v>
      </c>
    </row>
    <row r="436" spans="1:10" ht="51">
      <c r="A436" s="302" t="str">
        <f t="shared" si="6"/>
        <v>MassGrave</v>
      </c>
      <c r="B436" s="6" t="s">
        <v>3150</v>
      </c>
      <c r="C436" s="17" t="s">
        <v>3151</v>
      </c>
      <c r="D436" s="10" t="s">
        <v>3152</v>
      </c>
      <c r="E436" s="10" t="s">
        <v>3153</v>
      </c>
      <c r="F436" s="55"/>
      <c r="G436" s="25">
        <v>119393</v>
      </c>
      <c r="H436" s="300" t="str">
        <f>CONCATENATE([1]Cover!$D$6,"fdd/view?i=",G436)</f>
        <v>https://www.dgiwg.org/FAD/fdd/view?i=119393</v>
      </c>
      <c r="I436" s="8" t="s">
        <v>3149</v>
      </c>
      <c r="J436" s="38" t="s">
        <v>151</v>
      </c>
    </row>
    <row r="437" spans="1:10" ht="25.5">
      <c r="A437" s="302" t="str">
        <f t="shared" si="6"/>
        <v>MeasuredDistanceLine</v>
      </c>
      <c r="B437" s="6" t="s">
        <v>3155</v>
      </c>
      <c r="C437" s="17" t="s">
        <v>3156</v>
      </c>
      <c r="D437" s="10" t="s">
        <v>3157</v>
      </c>
      <c r="E437" s="10" t="s">
        <v>3158</v>
      </c>
      <c r="F437" s="55"/>
      <c r="G437" s="25">
        <v>100480</v>
      </c>
      <c r="H437" s="300" t="str">
        <f>CONCATENATE([1]Cover!$D$6,"fdd/view?i=",G437)</f>
        <v>https://www.dgiwg.org/FAD/fdd/view?i=100480</v>
      </c>
      <c r="I437" s="8" t="s">
        <v>3154</v>
      </c>
      <c r="J437" s="38" t="s">
        <v>151</v>
      </c>
    </row>
    <row r="438" spans="1:10" ht="38.25">
      <c r="A438" s="302" t="str">
        <f t="shared" si="6"/>
        <v>MedicalServiceInfo</v>
      </c>
      <c r="B438" s="6" t="s">
        <v>3160</v>
      </c>
      <c r="C438" s="17" t="s">
        <v>3161</v>
      </c>
      <c r="D438" s="10" t="s">
        <v>3162</v>
      </c>
      <c r="E438" s="55"/>
      <c r="F438" s="55"/>
      <c r="G438" s="25">
        <v>204298</v>
      </c>
      <c r="H438" s="300" t="str">
        <f>CONCATENATE([1]Cover!$D$6,"fdd/view?i=",G438)</f>
        <v>https://www.dgiwg.org/FAD/fdd/view?i=204298</v>
      </c>
      <c r="I438" s="8" t="s">
        <v>3159</v>
      </c>
      <c r="J438" s="38" t="s">
        <v>1295</v>
      </c>
    </row>
    <row r="439" spans="1:10" ht="25.5">
      <c r="A439" s="302" t="str">
        <f t="shared" si="6"/>
        <v>MemorialMonument</v>
      </c>
      <c r="B439" s="6" t="s">
        <v>3164</v>
      </c>
      <c r="C439" s="17" t="s">
        <v>3165</v>
      </c>
      <c r="D439" s="10" t="s">
        <v>3166</v>
      </c>
      <c r="E439" s="55"/>
      <c r="F439" s="10" t="s">
        <v>3167</v>
      </c>
      <c r="G439" s="25">
        <v>100107</v>
      </c>
      <c r="H439" s="300" t="str">
        <f>CONCATENATE([1]Cover!$D$6,"fdd/view?i=",G439)</f>
        <v>https://www.dgiwg.org/FAD/fdd/view?i=100107</v>
      </c>
      <c r="I439" s="8" t="s">
        <v>3163</v>
      </c>
      <c r="J439" s="38" t="s">
        <v>151</v>
      </c>
    </row>
    <row r="440" spans="1:10" ht="38.25">
      <c r="A440" s="302" t="str">
        <f t="shared" si="6"/>
        <v>MicrowaveLandingSystem</v>
      </c>
      <c r="B440" s="6" t="s">
        <v>3169</v>
      </c>
      <c r="C440" s="17" t="s">
        <v>3170</v>
      </c>
      <c r="D440" s="10" t="s">
        <v>3171</v>
      </c>
      <c r="E440" s="10" t="s">
        <v>3172</v>
      </c>
      <c r="F440" s="10" t="s">
        <v>3173</v>
      </c>
      <c r="G440" s="25">
        <v>114508</v>
      </c>
      <c r="H440" s="300" t="str">
        <f>CONCATENATE([1]Cover!$D$6,"fdd/view?i=",G440)</f>
        <v>https://www.dgiwg.org/FAD/fdd/view?i=114508</v>
      </c>
      <c r="I440" s="8" t="s">
        <v>3168</v>
      </c>
      <c r="J440" s="38" t="s">
        <v>151</v>
      </c>
    </row>
    <row r="441" spans="1:10" ht="63.75">
      <c r="A441" s="302" t="str">
        <f t="shared" si="6"/>
        <v>MicrowaveLandingSysAzim</v>
      </c>
      <c r="B441" s="6" t="s">
        <v>3175</v>
      </c>
      <c r="C441" s="17" t="s">
        <v>3176</v>
      </c>
      <c r="D441" s="10" t="s">
        <v>3177</v>
      </c>
      <c r="E441" s="10" t="s">
        <v>3178</v>
      </c>
      <c r="F441" s="55"/>
      <c r="G441" s="25">
        <v>114509</v>
      </c>
      <c r="H441" s="300" t="str">
        <f>CONCATENATE([1]Cover!$D$6,"fdd/view?i=",G441)</f>
        <v>https://www.dgiwg.org/FAD/fdd/view?i=114509</v>
      </c>
      <c r="I441" s="8" t="s">
        <v>3174</v>
      </c>
      <c r="J441" s="38" t="s">
        <v>151</v>
      </c>
    </row>
    <row r="442" spans="1:10" ht="63.75">
      <c r="A442" s="302" t="str">
        <f t="shared" si="6"/>
        <v>MicrowaveLandingSysElev</v>
      </c>
      <c r="B442" s="6" t="s">
        <v>3180</v>
      </c>
      <c r="C442" s="17" t="s">
        <v>3181</v>
      </c>
      <c r="D442" s="10" t="s">
        <v>3182</v>
      </c>
      <c r="E442" s="10" t="s">
        <v>3183</v>
      </c>
      <c r="F442" s="55"/>
      <c r="G442" s="25">
        <v>114510</v>
      </c>
      <c r="H442" s="300" t="str">
        <f>CONCATENATE([1]Cover!$D$6,"fdd/view?i=",G442)</f>
        <v>https://www.dgiwg.org/FAD/fdd/view?i=114510</v>
      </c>
      <c r="I442" s="8" t="s">
        <v>3179</v>
      </c>
      <c r="J442" s="38" t="s">
        <v>151</v>
      </c>
    </row>
    <row r="443" spans="1:10" ht="38.25">
      <c r="A443" s="302" t="str">
        <f t="shared" si="6"/>
        <v>MilitaryInstallation</v>
      </c>
      <c r="B443" s="6" t="s">
        <v>3185</v>
      </c>
      <c r="C443" s="17" t="s">
        <v>3186</v>
      </c>
      <c r="D443" s="10" t="s">
        <v>3187</v>
      </c>
      <c r="E443" s="10" t="s">
        <v>3188</v>
      </c>
      <c r="F443" s="55"/>
      <c r="G443" s="25">
        <v>100559</v>
      </c>
      <c r="H443" s="300" t="str">
        <f>CONCATENATE([1]Cover!$D$6,"fdd/view?i=",G443)</f>
        <v>https://www.dgiwg.org/FAD/fdd/view?i=100559</v>
      </c>
      <c r="I443" s="8" t="s">
        <v>3184</v>
      </c>
      <c r="J443" s="38" t="s">
        <v>151</v>
      </c>
    </row>
    <row r="444" spans="1:10" ht="38.25">
      <c r="A444" s="302" t="str">
        <f t="shared" si="6"/>
        <v>MilitaryRealPropertyInfo</v>
      </c>
      <c r="B444" s="6" t="s">
        <v>3190</v>
      </c>
      <c r="C444" s="17" t="s">
        <v>3191</v>
      </c>
      <c r="D444" s="10" t="s">
        <v>3192</v>
      </c>
      <c r="E444" s="55"/>
      <c r="F444" s="55"/>
      <c r="G444" s="25">
        <v>204292</v>
      </c>
      <c r="H444" s="300" t="str">
        <f>CONCATENATE([1]Cover!$D$6,"fdd/view?i=",G444)</f>
        <v>https://www.dgiwg.org/FAD/fdd/view?i=204292</v>
      </c>
      <c r="I444" s="8" t="s">
        <v>3189</v>
      </c>
      <c r="J444" s="38" t="s">
        <v>1295</v>
      </c>
    </row>
    <row r="445" spans="1:10" ht="51">
      <c r="A445" s="302" t="str">
        <f t="shared" si="6"/>
        <v>MineShaftSuperstructure</v>
      </c>
      <c r="B445" s="6" t="s">
        <v>3194</v>
      </c>
      <c r="C445" s="17" t="s">
        <v>3195</v>
      </c>
      <c r="D445" s="10" t="s">
        <v>3196</v>
      </c>
      <c r="E445" s="10" t="s">
        <v>3197</v>
      </c>
      <c r="F445" s="10" t="s">
        <v>3198</v>
      </c>
      <c r="G445" s="25">
        <v>111395</v>
      </c>
      <c r="H445" s="300" t="str">
        <f>CONCATENATE([1]Cover!$D$6,"fdd/view?i=",G445)</f>
        <v>https://www.dgiwg.org/FAD/fdd/view?i=111395</v>
      </c>
      <c r="I445" s="8" t="s">
        <v>3193</v>
      </c>
      <c r="J445" s="38" t="s">
        <v>151</v>
      </c>
    </row>
    <row r="446" spans="1:10">
      <c r="A446" s="302" t="str">
        <f t="shared" si="6"/>
        <v>Minefield</v>
      </c>
      <c r="B446" s="6" t="s">
        <v>3200</v>
      </c>
      <c r="C446" s="17" t="s">
        <v>3200</v>
      </c>
      <c r="D446" s="10" t="s">
        <v>3201</v>
      </c>
      <c r="E446" s="55"/>
      <c r="F446" s="55"/>
      <c r="G446" s="25">
        <v>100093</v>
      </c>
      <c r="H446" s="300" t="str">
        <f>CONCATENATE([1]Cover!$D$6,"fdd/view?i=",G446)</f>
        <v>https://www.dgiwg.org/FAD/fdd/view?i=100093</v>
      </c>
      <c r="I446" s="8" t="s">
        <v>3199</v>
      </c>
      <c r="J446" s="38" t="s">
        <v>151</v>
      </c>
    </row>
    <row r="447" spans="1:10" ht="25.5">
      <c r="A447" s="302" t="str">
        <f t="shared" si="6"/>
        <v>MineralPile</v>
      </c>
      <c r="B447" s="6" t="s">
        <v>3203</v>
      </c>
      <c r="C447" s="17" t="s">
        <v>3204</v>
      </c>
      <c r="D447" s="10" t="s">
        <v>3205</v>
      </c>
      <c r="E447" s="10" t="s">
        <v>3206</v>
      </c>
      <c r="F447" s="55"/>
      <c r="G447" s="25">
        <v>100130</v>
      </c>
      <c r="H447" s="300" t="str">
        <f>CONCATENATE([1]Cover!$D$6,"fdd/view?i=",G447)</f>
        <v>https://www.dgiwg.org/FAD/fdd/view?i=100130</v>
      </c>
      <c r="I447" s="8" t="s">
        <v>3202</v>
      </c>
      <c r="J447" s="38" t="s">
        <v>151</v>
      </c>
    </row>
    <row r="448" spans="1:10" ht="38.25">
      <c r="A448" s="302" t="str">
        <f t="shared" si="6"/>
        <v>MissedApproachInfo</v>
      </c>
      <c r="B448" s="6" t="s">
        <v>3208</v>
      </c>
      <c r="C448" s="17" t="s">
        <v>3209</v>
      </c>
      <c r="D448" s="10" t="s">
        <v>3210</v>
      </c>
      <c r="E448" s="55"/>
      <c r="F448" s="55"/>
      <c r="G448" s="25">
        <v>119561</v>
      </c>
      <c r="H448" s="300" t="str">
        <f>CONCATENATE([1]Cover!$D$6,"fdd/view?i=",G448)</f>
        <v>https://www.dgiwg.org/FAD/fdd/view?i=119561</v>
      </c>
      <c r="I448" s="8" t="s">
        <v>3207</v>
      </c>
      <c r="J448" s="38" t="s">
        <v>151</v>
      </c>
    </row>
    <row r="449" spans="1:10" ht="63.75">
      <c r="A449" s="302" t="str">
        <f t="shared" si="6"/>
        <v>MissedApproachSegment</v>
      </c>
      <c r="B449" s="6" t="s">
        <v>3212</v>
      </c>
      <c r="C449" s="17" t="s">
        <v>3213</v>
      </c>
      <c r="D449" s="10" t="s">
        <v>3214</v>
      </c>
      <c r="E449" s="10" t="s">
        <v>1587</v>
      </c>
      <c r="F449" s="55"/>
      <c r="G449" s="25">
        <v>114638</v>
      </c>
      <c r="H449" s="300" t="str">
        <f>CONCATENATE([1]Cover!$D$6,"fdd/view?i=",G449)</f>
        <v>https://www.dgiwg.org/FAD/fdd/view?i=114638</v>
      </c>
      <c r="I449" s="8" t="s">
        <v>3211</v>
      </c>
      <c r="J449" s="38" t="s">
        <v>151</v>
      </c>
    </row>
    <row r="450" spans="1:10">
      <c r="A450" s="302" t="str">
        <f t="shared" si="6"/>
        <v>MissileSite</v>
      </c>
      <c r="B450" s="6" t="s">
        <v>3216</v>
      </c>
      <c r="C450" s="17" t="s">
        <v>3217</v>
      </c>
      <c r="D450" s="10" t="s">
        <v>3218</v>
      </c>
      <c r="E450" s="55"/>
      <c r="F450" s="55"/>
      <c r="G450" s="25">
        <v>100105</v>
      </c>
      <c r="H450" s="300" t="str">
        <f>CONCATENATE([1]Cover!$D$6,"fdd/view?i=",G450)</f>
        <v>https://www.dgiwg.org/FAD/fdd/view?i=100105</v>
      </c>
      <c r="I450" s="8" t="s">
        <v>3215</v>
      </c>
      <c r="J450" s="38" t="s">
        <v>151</v>
      </c>
    </row>
    <row r="451" spans="1:10">
      <c r="A451" s="302" t="str">
        <f t="shared" ref="A451:A514" si="7">HYPERLINK(H451,B451)</f>
        <v>Moat</v>
      </c>
      <c r="B451" s="6" t="s">
        <v>3220</v>
      </c>
      <c r="C451" s="17" t="s">
        <v>3220</v>
      </c>
      <c r="D451" s="10" t="s">
        <v>3221</v>
      </c>
      <c r="E451" s="10" t="s">
        <v>3222</v>
      </c>
      <c r="F451" s="55"/>
      <c r="G451" s="25">
        <v>100345</v>
      </c>
      <c r="H451" s="300" t="str">
        <f>CONCATENATE([1]Cover!$D$6,"fdd/view?i=",G451)</f>
        <v>https://www.dgiwg.org/FAD/fdd/view?i=100345</v>
      </c>
      <c r="I451" s="8" t="s">
        <v>3219</v>
      </c>
      <c r="J451" s="38" t="s">
        <v>151</v>
      </c>
    </row>
    <row r="452" spans="1:10" ht="25.5">
      <c r="A452" s="302" t="str">
        <f t="shared" si="7"/>
        <v>MooringChain</v>
      </c>
      <c r="B452" s="6" t="s">
        <v>3224</v>
      </c>
      <c r="C452" s="17" t="s">
        <v>3225</v>
      </c>
      <c r="D452" s="10" t="s">
        <v>3226</v>
      </c>
      <c r="E452" s="10" t="s">
        <v>3227</v>
      </c>
      <c r="F452" s="55"/>
      <c r="G452" s="25">
        <v>100293</v>
      </c>
      <c r="H452" s="300" t="str">
        <f>CONCATENATE([1]Cover!$D$6,"fdd/view?i=",G452)</f>
        <v>https://www.dgiwg.org/FAD/fdd/view?i=100293</v>
      </c>
      <c r="I452" s="8" t="s">
        <v>3223</v>
      </c>
      <c r="J452" s="38" t="s">
        <v>151</v>
      </c>
    </row>
    <row r="453" spans="1:10">
      <c r="A453" s="302" t="str">
        <f t="shared" si="7"/>
        <v>MooringMast</v>
      </c>
      <c r="B453" s="6" t="s">
        <v>3229</v>
      </c>
      <c r="C453" s="17" t="s">
        <v>3230</v>
      </c>
      <c r="D453" s="10" t="s">
        <v>3231</v>
      </c>
      <c r="E453" s="55"/>
      <c r="F453" s="55"/>
      <c r="G453" s="25">
        <v>100171</v>
      </c>
      <c r="H453" s="300" t="str">
        <f>CONCATENATE([1]Cover!$D$6,"fdd/view?i=",G453)</f>
        <v>https://www.dgiwg.org/FAD/fdd/view?i=100171</v>
      </c>
      <c r="I453" s="8" t="s">
        <v>3228</v>
      </c>
      <c r="J453" s="38" t="s">
        <v>151</v>
      </c>
    </row>
    <row r="454" spans="1:10">
      <c r="A454" s="302" t="str">
        <f t="shared" si="7"/>
        <v>MooringRing</v>
      </c>
      <c r="B454" s="6" t="s">
        <v>3233</v>
      </c>
      <c r="C454" s="17" t="s">
        <v>3234</v>
      </c>
      <c r="D454" s="10" t="s">
        <v>3235</v>
      </c>
      <c r="E454" s="55"/>
      <c r="F454" s="55"/>
      <c r="G454" s="25">
        <v>100245</v>
      </c>
      <c r="H454" s="300" t="str">
        <f>CONCATENATE([1]Cover!$D$6,"fdd/view?i=",G454)</f>
        <v>https://www.dgiwg.org/FAD/fdd/view?i=100245</v>
      </c>
      <c r="I454" s="8" t="s">
        <v>3232</v>
      </c>
      <c r="J454" s="38" t="s">
        <v>151</v>
      </c>
    </row>
    <row r="455" spans="1:10">
      <c r="A455" s="302" t="str">
        <f t="shared" si="7"/>
        <v>Moraine</v>
      </c>
      <c r="B455" s="6" t="s">
        <v>3237</v>
      </c>
      <c r="C455" s="17" t="s">
        <v>3237</v>
      </c>
      <c r="D455" s="10" t="s">
        <v>3238</v>
      </c>
      <c r="E455" s="55"/>
      <c r="F455" s="55"/>
      <c r="G455" s="25">
        <v>100380</v>
      </c>
      <c r="H455" s="300" t="str">
        <f>CONCATENATE([1]Cover!$D$6,"fdd/view?i=",G455)</f>
        <v>https://www.dgiwg.org/FAD/fdd/view?i=100380</v>
      </c>
      <c r="I455" s="8" t="s">
        <v>3236</v>
      </c>
      <c r="J455" s="38" t="s">
        <v>151</v>
      </c>
    </row>
    <row r="456" spans="1:10" ht="25.5">
      <c r="A456" s="302" t="str">
        <f t="shared" si="7"/>
        <v>MotorVehicleStation</v>
      </c>
      <c r="B456" s="6" t="s">
        <v>3240</v>
      </c>
      <c r="C456" s="17" t="s">
        <v>3241</v>
      </c>
      <c r="D456" s="10" t="s">
        <v>3242</v>
      </c>
      <c r="E456" s="10" t="s">
        <v>3243</v>
      </c>
      <c r="F456" s="10" t="s">
        <v>3244</v>
      </c>
      <c r="G456" s="25">
        <v>111431</v>
      </c>
      <c r="H456" s="300" t="str">
        <f>CONCATENATE([1]Cover!$D$6,"fdd/view?i=",G456)</f>
        <v>https://www.dgiwg.org/FAD/fdd/view?i=111431</v>
      </c>
      <c r="I456" s="8" t="s">
        <v>3239</v>
      </c>
      <c r="J456" s="38" t="s">
        <v>151</v>
      </c>
    </row>
    <row r="457" spans="1:10">
      <c r="A457" s="302" t="str">
        <f t="shared" si="7"/>
        <v>MountainPass</v>
      </c>
      <c r="B457" s="6" t="s">
        <v>3246</v>
      </c>
      <c r="C457" s="17" t="s">
        <v>3247</v>
      </c>
      <c r="D457" s="10" t="s">
        <v>3248</v>
      </c>
      <c r="E457" s="55"/>
      <c r="F457" s="55"/>
      <c r="G457" s="25">
        <v>100417</v>
      </c>
      <c r="H457" s="300" t="str">
        <f>CONCATENATE([1]Cover!$D$6,"fdd/view?i=",G457)</f>
        <v>https://www.dgiwg.org/FAD/fdd/view?i=100417</v>
      </c>
      <c r="I457" s="8" t="s">
        <v>3245</v>
      </c>
      <c r="J457" s="38" t="s">
        <v>151</v>
      </c>
    </row>
    <row r="458" spans="1:10" ht="38.25">
      <c r="A458" s="302" t="str">
        <f t="shared" si="7"/>
        <v>MovementAreaShoulder</v>
      </c>
      <c r="B458" s="6" t="s">
        <v>3250</v>
      </c>
      <c r="C458" s="17" t="s">
        <v>3251</v>
      </c>
      <c r="D458" s="10" t="s">
        <v>3252</v>
      </c>
      <c r="E458" s="10" t="s">
        <v>3253</v>
      </c>
      <c r="F458" s="55"/>
      <c r="G458" s="25">
        <v>114647</v>
      </c>
      <c r="H458" s="300" t="str">
        <f>CONCATENATE([1]Cover!$D$6,"fdd/view?i=",G458)</f>
        <v>https://www.dgiwg.org/FAD/fdd/view?i=114647</v>
      </c>
      <c r="I458" s="8" t="s">
        <v>3249</v>
      </c>
      <c r="J458" s="38" t="s">
        <v>151</v>
      </c>
    </row>
    <row r="459" spans="1:10" ht="89.25">
      <c r="A459" s="302" t="str">
        <f t="shared" si="7"/>
        <v>MunitionStorageFacility</v>
      </c>
      <c r="B459" s="6" t="s">
        <v>3255</v>
      </c>
      <c r="C459" s="17" t="s">
        <v>3256</v>
      </c>
      <c r="D459" s="10" t="s">
        <v>3257</v>
      </c>
      <c r="E459" s="10" t="s">
        <v>3258</v>
      </c>
      <c r="F459" s="55"/>
      <c r="G459" s="25">
        <v>111426</v>
      </c>
      <c r="H459" s="300" t="str">
        <f>CONCATENATE([1]Cover!$D$6,"fdd/view?i=",G459)</f>
        <v>https://www.dgiwg.org/FAD/fdd/view?i=111426</v>
      </c>
      <c r="I459" s="8" t="s">
        <v>3254</v>
      </c>
      <c r="J459" s="38" t="s">
        <v>151</v>
      </c>
    </row>
    <row r="460" spans="1:10" ht="38.25">
      <c r="A460" s="302" t="str">
        <f t="shared" si="7"/>
        <v>NamedLocation</v>
      </c>
      <c r="B460" s="6" t="s">
        <v>3260</v>
      </c>
      <c r="C460" s="17" t="s">
        <v>3261</v>
      </c>
      <c r="D460" s="10" t="s">
        <v>3262</v>
      </c>
      <c r="E460" s="10" t="s">
        <v>3263</v>
      </c>
      <c r="F460" s="55"/>
      <c r="G460" s="25">
        <v>100581</v>
      </c>
      <c r="H460" s="300" t="str">
        <f>CONCATENATE([1]Cover!$D$6,"fdd/view?i=",G460)</f>
        <v>https://www.dgiwg.org/FAD/fdd/view?i=100581</v>
      </c>
      <c r="I460" s="8" t="s">
        <v>3259</v>
      </c>
      <c r="J460" s="38" t="s">
        <v>151</v>
      </c>
    </row>
    <row r="461" spans="1:10" ht="38.25">
      <c r="A461" s="302" t="str">
        <f t="shared" si="7"/>
        <v>NaturalPool</v>
      </c>
      <c r="B461" s="6" t="s">
        <v>3265</v>
      </c>
      <c r="C461" s="17" t="s">
        <v>3266</v>
      </c>
      <c r="D461" s="10" t="s">
        <v>3267</v>
      </c>
      <c r="E461" s="10" t="s">
        <v>3268</v>
      </c>
      <c r="F461" s="55"/>
      <c r="G461" s="25">
        <v>100358</v>
      </c>
      <c r="H461" s="300" t="str">
        <f>CONCATENATE([1]Cover!$D$6,"fdd/view?i=",G461)</f>
        <v>https://www.dgiwg.org/FAD/fdd/view?i=100358</v>
      </c>
      <c r="I461" s="8" t="s">
        <v>3264</v>
      </c>
      <c r="J461" s="38" t="s">
        <v>151</v>
      </c>
    </row>
    <row r="462" spans="1:10" ht="25.5">
      <c r="A462" s="302" t="str">
        <f t="shared" si="7"/>
        <v>NavalFiringPracticeArea</v>
      </c>
      <c r="B462" s="6" t="s">
        <v>3270</v>
      </c>
      <c r="C462" s="17" t="s">
        <v>3271</v>
      </c>
      <c r="D462" s="10" t="s">
        <v>3272</v>
      </c>
      <c r="E462" s="10" t="s">
        <v>3273</v>
      </c>
      <c r="F462" s="55"/>
      <c r="G462" s="25">
        <v>111105</v>
      </c>
      <c r="H462" s="300" t="str">
        <f>CONCATENATE([1]Cover!$D$6,"fdd/view?i=",G462)</f>
        <v>https://www.dgiwg.org/FAD/fdd/view?i=111105</v>
      </c>
      <c r="I462" s="8" t="s">
        <v>3269</v>
      </c>
      <c r="J462" s="38" t="s">
        <v>151</v>
      </c>
    </row>
    <row r="463" spans="1:10" ht="25.5">
      <c r="A463" s="302" t="str">
        <f t="shared" si="7"/>
        <v>NavalOperationsArea</v>
      </c>
      <c r="B463" s="6" t="s">
        <v>3275</v>
      </c>
      <c r="C463" s="17" t="s">
        <v>3276</v>
      </c>
      <c r="D463" s="10" t="s">
        <v>3277</v>
      </c>
      <c r="E463" s="10" t="s">
        <v>3278</v>
      </c>
      <c r="F463" s="55"/>
      <c r="G463" s="25">
        <v>111106</v>
      </c>
      <c r="H463" s="300" t="str">
        <f>CONCATENATE([1]Cover!$D$6,"fdd/view?i=",G463)</f>
        <v>https://www.dgiwg.org/FAD/fdd/view?i=111106</v>
      </c>
      <c r="I463" s="8" t="s">
        <v>3274</v>
      </c>
      <c r="J463" s="38" t="s">
        <v>151</v>
      </c>
    </row>
    <row r="464" spans="1:10" ht="25.5">
      <c r="A464" s="302" t="str">
        <f t="shared" si="7"/>
        <v>Nearshore</v>
      </c>
      <c r="B464" s="6" t="s">
        <v>3280</v>
      </c>
      <c r="C464" s="17" t="s">
        <v>3280</v>
      </c>
      <c r="D464" s="10" t="s">
        <v>3281</v>
      </c>
      <c r="E464" s="55"/>
      <c r="F464" s="55"/>
      <c r="G464" s="25">
        <v>100207</v>
      </c>
      <c r="H464" s="300" t="str">
        <f>CONCATENATE([1]Cover!$D$6,"fdd/view?i=",G464)</f>
        <v>https://www.dgiwg.org/FAD/fdd/view?i=100207</v>
      </c>
      <c r="I464" s="8" t="s">
        <v>3279</v>
      </c>
      <c r="J464" s="38" t="s">
        <v>151</v>
      </c>
    </row>
    <row r="465" spans="1:10" ht="76.5">
      <c r="A465" s="302" t="str">
        <f t="shared" si="7"/>
        <v>NonBuildingStructure</v>
      </c>
      <c r="B465" s="6" t="s">
        <v>3283</v>
      </c>
      <c r="C465" s="17" t="s">
        <v>3284</v>
      </c>
      <c r="D465" s="10" t="s">
        <v>3285</v>
      </c>
      <c r="E465" s="10" t="s">
        <v>3286</v>
      </c>
      <c r="F465" s="55"/>
      <c r="G465" s="25">
        <v>111416</v>
      </c>
      <c r="H465" s="300" t="str">
        <f>CONCATENATE([1]Cover!$D$6,"fdd/view?i=",G465)</f>
        <v>https://www.dgiwg.org/FAD/fdd/view?i=111416</v>
      </c>
      <c r="I465" s="8" t="s">
        <v>3282</v>
      </c>
      <c r="J465" s="38" t="s">
        <v>151</v>
      </c>
    </row>
    <row r="466" spans="1:10" ht="38.25">
      <c r="A466" s="302" t="str">
        <f t="shared" si="7"/>
        <v>NonDirectionalRadioBeacon</v>
      </c>
      <c r="B466" s="6" t="s">
        <v>3288</v>
      </c>
      <c r="C466" s="17" t="s">
        <v>3289</v>
      </c>
      <c r="D466" s="10" t="s">
        <v>3290</v>
      </c>
      <c r="E466" s="10" t="s">
        <v>3291</v>
      </c>
      <c r="F466" s="10" t="s">
        <v>3292</v>
      </c>
      <c r="G466" s="25">
        <v>114511</v>
      </c>
      <c r="H466" s="300" t="str">
        <f>CONCATENATE([1]Cover!$D$6,"fdd/view?i=",G466)</f>
        <v>https://www.dgiwg.org/FAD/fdd/view?i=114511</v>
      </c>
      <c r="I466" s="8" t="s">
        <v>3287</v>
      </c>
      <c r="J466" s="38" t="s">
        <v>151</v>
      </c>
    </row>
    <row r="467" spans="1:10" ht="89.25">
      <c r="A467" s="302" t="str">
        <f t="shared" si="7"/>
        <v>NonSpatialMdEntCollect</v>
      </c>
      <c r="B467" s="6" t="s">
        <v>3294</v>
      </c>
      <c r="C467" s="17" t="s">
        <v>3295</v>
      </c>
      <c r="D467" s="10" t="s">
        <v>3296</v>
      </c>
      <c r="E467" s="10" t="s">
        <v>3297</v>
      </c>
      <c r="F467" s="55"/>
      <c r="G467" s="25">
        <v>203855</v>
      </c>
      <c r="H467" s="300" t="str">
        <f>CONCATENATE([1]Cover!$D$6,"fdd/view?i=",G467)</f>
        <v>https://www.dgiwg.org/FAD/fdd/view?i=203855</v>
      </c>
      <c r="I467" s="8" t="s">
        <v>3293</v>
      </c>
      <c r="J467" s="38" t="s">
        <v>1295</v>
      </c>
    </row>
    <row r="468" spans="1:10" ht="51">
      <c r="A468" s="302" t="str">
        <f t="shared" si="7"/>
        <v>NonWaterWell</v>
      </c>
      <c r="B468" s="6" t="s">
        <v>3299</v>
      </c>
      <c r="C468" s="17" t="s">
        <v>3300</v>
      </c>
      <c r="D468" s="10" t="s">
        <v>3301</v>
      </c>
      <c r="E468" s="10" t="s">
        <v>3302</v>
      </c>
      <c r="F468" s="55"/>
      <c r="G468" s="25">
        <v>118442</v>
      </c>
      <c r="H468" s="300" t="str">
        <f>CONCATENATE([1]Cover!$D$6,"fdd/view?i=",G468)</f>
        <v>https://www.dgiwg.org/FAD/fdd/view?i=118442</v>
      </c>
      <c r="I468" s="8" t="s">
        <v>3298</v>
      </c>
      <c r="J468" s="38" t="s">
        <v>151</v>
      </c>
    </row>
    <row r="469" spans="1:10" ht="25.5">
      <c r="A469" s="302" t="str">
        <f t="shared" si="7"/>
        <v>Note</v>
      </c>
      <c r="B469" s="6" t="s">
        <v>44</v>
      </c>
      <c r="C469" s="17" t="s">
        <v>44</v>
      </c>
      <c r="D469" s="10" t="s">
        <v>3304</v>
      </c>
      <c r="E469" s="55"/>
      <c r="F469" s="55"/>
      <c r="G469" s="25">
        <v>114190</v>
      </c>
      <c r="H469" s="300" t="str">
        <f>CONCATENATE([1]Cover!$D$6,"fdd/view?i=",G469)</f>
        <v>https://www.dgiwg.org/FAD/fdd/view?i=114190</v>
      </c>
      <c r="I469" s="8" t="s">
        <v>3303</v>
      </c>
      <c r="J469" s="38" t="s">
        <v>151</v>
      </c>
    </row>
    <row r="470" spans="1:10" ht="51">
      <c r="A470" s="302" t="str">
        <f t="shared" si="7"/>
        <v>NuclearReactorContainment</v>
      </c>
      <c r="B470" s="6" t="s">
        <v>3306</v>
      </c>
      <c r="C470" s="17" t="s">
        <v>3307</v>
      </c>
      <c r="D470" s="10" t="s">
        <v>3308</v>
      </c>
      <c r="E470" s="10" t="s">
        <v>3309</v>
      </c>
      <c r="F470" s="55"/>
      <c r="G470" s="25">
        <v>114170</v>
      </c>
      <c r="H470" s="300" t="str">
        <f>CONCATENATE([1]Cover!$D$6,"fdd/view?i=",G470)</f>
        <v>https://www.dgiwg.org/FAD/fdd/view?i=114170</v>
      </c>
      <c r="I470" s="8" t="s">
        <v>3305</v>
      </c>
      <c r="J470" s="38" t="s">
        <v>151</v>
      </c>
    </row>
    <row r="471" spans="1:10" ht="25.5">
      <c r="A471" s="302" t="str">
        <f t="shared" si="7"/>
        <v>NuclearReactorInfo</v>
      </c>
      <c r="B471" s="6" t="s">
        <v>3311</v>
      </c>
      <c r="C471" s="17" t="s">
        <v>3312</v>
      </c>
      <c r="D471" s="10" t="s">
        <v>3313</v>
      </c>
      <c r="E471" s="10" t="s">
        <v>3314</v>
      </c>
      <c r="F471" s="55"/>
      <c r="G471" s="25">
        <v>204284</v>
      </c>
      <c r="H471" s="300" t="str">
        <f>CONCATENATE([1]Cover!$D$6,"fdd/view?i=",G471)</f>
        <v>https://www.dgiwg.org/FAD/fdd/view?i=204284</v>
      </c>
      <c r="I471" s="8" t="s">
        <v>3310</v>
      </c>
      <c r="J471" s="38" t="s">
        <v>1295</v>
      </c>
    </row>
    <row r="472" spans="1:10" ht="38.25">
      <c r="A472" s="302" t="str">
        <f t="shared" si="7"/>
        <v>Oasis</v>
      </c>
      <c r="B472" s="6" t="s">
        <v>3316</v>
      </c>
      <c r="C472" s="17" t="s">
        <v>3316</v>
      </c>
      <c r="D472" s="10" t="s">
        <v>3317</v>
      </c>
      <c r="E472" s="10" t="s">
        <v>3318</v>
      </c>
      <c r="F472" s="55"/>
      <c r="G472" s="25">
        <v>100445</v>
      </c>
      <c r="H472" s="300" t="str">
        <f>CONCATENATE([1]Cover!$D$6,"fdd/view?i=",G472)</f>
        <v>https://www.dgiwg.org/FAD/fdd/view?i=100445</v>
      </c>
      <c r="I472" s="8" t="s">
        <v>3315</v>
      </c>
      <c r="J472" s="38" t="s">
        <v>151</v>
      </c>
    </row>
    <row r="473" spans="1:10" ht="25.5">
      <c r="A473" s="302" t="str">
        <f t="shared" si="7"/>
        <v>OceanographicFront</v>
      </c>
      <c r="B473" s="6" t="s">
        <v>3320</v>
      </c>
      <c r="C473" s="17" t="s">
        <v>3321</v>
      </c>
      <c r="D473" s="10" t="s">
        <v>3322</v>
      </c>
      <c r="E473" s="55"/>
      <c r="F473" s="55"/>
      <c r="G473" s="25">
        <v>119168</v>
      </c>
      <c r="H473" s="300" t="str">
        <f>CONCATENATE([1]Cover!$D$6,"fdd/view?i=",G473)</f>
        <v>https://www.dgiwg.org/FAD/fdd/view?i=119168</v>
      </c>
      <c r="I473" s="8" t="s">
        <v>3319</v>
      </c>
      <c r="J473" s="38" t="s">
        <v>151</v>
      </c>
    </row>
    <row r="474" spans="1:10" ht="51">
      <c r="A474" s="302" t="str">
        <f t="shared" si="7"/>
        <v>OffBaseHousingInfo</v>
      </c>
      <c r="B474" s="6" t="s">
        <v>3324</v>
      </c>
      <c r="C474" s="17" t="s">
        <v>3325</v>
      </c>
      <c r="D474" s="10" t="s">
        <v>3326</v>
      </c>
      <c r="E474" s="10" t="s">
        <v>3327</v>
      </c>
      <c r="F474" s="55"/>
      <c r="G474" s="25">
        <v>207660</v>
      </c>
      <c r="H474" s="300" t="str">
        <f>CONCATENATE([1]Cover!$D$6,"fdd/view?i=",G474)</f>
        <v>https://www.dgiwg.org/FAD/fdd/view?i=207660</v>
      </c>
      <c r="I474" s="8" t="s">
        <v>3323</v>
      </c>
      <c r="J474" s="38" t="s">
        <v>1295</v>
      </c>
    </row>
    <row r="475" spans="1:10" ht="89.25">
      <c r="A475" s="302" t="str">
        <f t="shared" si="7"/>
        <v>OfficePark</v>
      </c>
      <c r="B475" s="6" t="s">
        <v>3329</v>
      </c>
      <c r="C475" s="17" t="s">
        <v>3330</v>
      </c>
      <c r="D475" s="10" t="s">
        <v>3331</v>
      </c>
      <c r="E475" s="10" t="s">
        <v>3332</v>
      </c>
      <c r="F475" s="55"/>
      <c r="G475" s="25">
        <v>111401</v>
      </c>
      <c r="H475" s="300" t="str">
        <f>CONCATENATE([1]Cover!$D$6,"fdd/view?i=",G475)</f>
        <v>https://www.dgiwg.org/FAD/fdd/view?i=111401</v>
      </c>
      <c r="I475" s="8" t="s">
        <v>3328</v>
      </c>
      <c r="J475" s="38" t="s">
        <v>151</v>
      </c>
    </row>
    <row r="476" spans="1:10" ht="51">
      <c r="A476" s="302" t="str">
        <f t="shared" si="7"/>
        <v>OffshoreConstruction</v>
      </c>
      <c r="B476" s="6" t="s">
        <v>3334</v>
      </c>
      <c r="C476" s="17" t="s">
        <v>3335</v>
      </c>
      <c r="D476" s="10" t="s">
        <v>3336</v>
      </c>
      <c r="E476" s="10" t="s">
        <v>3337</v>
      </c>
      <c r="F476" s="55"/>
      <c r="G476" s="25">
        <v>111095</v>
      </c>
      <c r="H476" s="300" t="str">
        <f>CONCATENATE([1]Cover!$D$6,"fdd/view?i=",G476)</f>
        <v>https://www.dgiwg.org/FAD/fdd/view?i=111095</v>
      </c>
      <c r="I476" s="8" t="s">
        <v>3333</v>
      </c>
      <c r="J476" s="38" t="s">
        <v>151</v>
      </c>
    </row>
    <row r="477" spans="1:10" ht="25.5">
      <c r="A477" s="302" t="str">
        <f t="shared" si="7"/>
        <v>OperatingTimeInfo</v>
      </c>
      <c r="B477" s="6" t="s">
        <v>3339</v>
      </c>
      <c r="C477" s="17" t="s">
        <v>3340</v>
      </c>
      <c r="D477" s="10" t="s">
        <v>3341</v>
      </c>
      <c r="E477" s="55"/>
      <c r="F477" s="55"/>
      <c r="G477" s="25">
        <v>206965</v>
      </c>
      <c r="H477" s="300" t="str">
        <f>CONCATENATE([1]Cover!$D$6,"fdd/view?i=",G477)</f>
        <v>https://www.dgiwg.org/FAD/fdd/view?i=206965</v>
      </c>
      <c r="I477" s="8" t="s">
        <v>3338</v>
      </c>
      <c r="J477" s="38" t="s">
        <v>1295</v>
      </c>
    </row>
    <row r="478" spans="1:10" ht="25.5">
      <c r="A478" s="302" t="str">
        <f t="shared" si="7"/>
        <v>Orchard</v>
      </c>
      <c r="B478" s="6" t="s">
        <v>3343</v>
      </c>
      <c r="C478" s="17" t="s">
        <v>3343</v>
      </c>
      <c r="D478" s="10" t="s">
        <v>3344</v>
      </c>
      <c r="E478" s="55"/>
      <c r="F478" s="55"/>
      <c r="G478" s="25">
        <v>100436</v>
      </c>
      <c r="H478" s="300" t="str">
        <f>CONCATENATE([1]Cover!$D$6,"fdd/view?i=",G478)</f>
        <v>https://www.dgiwg.org/FAD/fdd/view?i=100436</v>
      </c>
      <c r="I478" s="8" t="s">
        <v>3342</v>
      </c>
      <c r="J478" s="38" t="s">
        <v>151</v>
      </c>
    </row>
    <row r="479" spans="1:10" ht="127.5">
      <c r="A479" s="302" t="str">
        <f t="shared" si="7"/>
        <v>Organisation</v>
      </c>
      <c r="B479" s="6" t="s">
        <v>3346</v>
      </c>
      <c r="C479" s="17" t="s">
        <v>3346</v>
      </c>
      <c r="D479" s="10" t="s">
        <v>3347</v>
      </c>
      <c r="E479" s="10" t="s">
        <v>3348</v>
      </c>
      <c r="F479" s="55"/>
      <c r="G479" s="25">
        <v>204104</v>
      </c>
      <c r="H479" s="300" t="str">
        <f>CONCATENATE([1]Cover!$D$6,"fdd/view?i=",G479)</f>
        <v>https://www.dgiwg.org/FAD/fdd/view?i=204104</v>
      </c>
      <c r="I479" s="8" t="s">
        <v>3345</v>
      </c>
      <c r="J479" s="38" t="s">
        <v>1295</v>
      </c>
    </row>
    <row r="480" spans="1:10" ht="25.5">
      <c r="A480" s="302" t="str">
        <f t="shared" si="7"/>
        <v>OrganisationalUnit</v>
      </c>
      <c r="B480" s="6" t="s">
        <v>3350</v>
      </c>
      <c r="C480" s="17" t="s">
        <v>3351</v>
      </c>
      <c r="D480" s="10" t="s">
        <v>3352</v>
      </c>
      <c r="E480" s="10" t="s">
        <v>3353</v>
      </c>
      <c r="F480" s="55"/>
      <c r="G480" s="25">
        <v>204105</v>
      </c>
      <c r="H480" s="300" t="str">
        <f>CONCATENATE([1]Cover!$D$6,"fdd/view?i=",G480)</f>
        <v>https://www.dgiwg.org/FAD/fdd/view?i=204105</v>
      </c>
      <c r="I480" s="8" t="s">
        <v>3349</v>
      </c>
      <c r="J480" s="38" t="s">
        <v>1295</v>
      </c>
    </row>
    <row r="481" spans="1:10" ht="38.25">
      <c r="A481" s="302" t="str">
        <f t="shared" si="7"/>
        <v>OutdoorTheatreScreen</v>
      </c>
      <c r="B481" s="6" t="s">
        <v>3355</v>
      </c>
      <c r="C481" s="17" t="s">
        <v>3356</v>
      </c>
      <c r="D481" s="10" t="s">
        <v>3357</v>
      </c>
      <c r="E481" s="55"/>
      <c r="F481" s="10" t="s">
        <v>3358</v>
      </c>
      <c r="G481" s="25">
        <v>100058</v>
      </c>
      <c r="H481" s="300" t="str">
        <f>CONCATENATE([1]Cover!$D$6,"fdd/view?i=",G481)</f>
        <v>https://www.dgiwg.org/FAD/fdd/view?i=100058</v>
      </c>
      <c r="I481" s="8" t="s">
        <v>3354</v>
      </c>
      <c r="J481" s="38" t="s">
        <v>151</v>
      </c>
    </row>
    <row r="482" spans="1:10" ht="25.5">
      <c r="A482" s="302" t="str">
        <f t="shared" si="7"/>
        <v>OverheadObstruction</v>
      </c>
      <c r="B482" s="6" t="s">
        <v>3360</v>
      </c>
      <c r="C482" s="17" t="s">
        <v>3361</v>
      </c>
      <c r="D482" s="10" t="s">
        <v>3362</v>
      </c>
      <c r="E482" s="55"/>
      <c r="F482" s="55"/>
      <c r="G482" s="25">
        <v>100111</v>
      </c>
      <c r="H482" s="300" t="str">
        <f>CONCATENATE([1]Cover!$D$6,"fdd/view?i=",G482)</f>
        <v>https://www.dgiwg.org/FAD/fdd/view?i=100111</v>
      </c>
      <c r="I482" s="8" t="s">
        <v>3359</v>
      </c>
      <c r="J482" s="38" t="s">
        <v>151</v>
      </c>
    </row>
    <row r="483" spans="1:10" ht="114.75">
      <c r="A483" s="302" t="str">
        <f t="shared" si="7"/>
        <v>OwnershipGroup</v>
      </c>
      <c r="B483" s="6" t="s">
        <v>3364</v>
      </c>
      <c r="C483" s="17" t="s">
        <v>3365</v>
      </c>
      <c r="D483" s="10" t="s">
        <v>3366</v>
      </c>
      <c r="E483" s="10" t="s">
        <v>3367</v>
      </c>
      <c r="F483" s="55"/>
      <c r="G483" s="25">
        <v>206937</v>
      </c>
      <c r="H483" s="300" t="str">
        <f>CONCATENATE([1]Cover!$D$6,"fdd/view?i=",G483)</f>
        <v>https://www.dgiwg.org/FAD/fdd/view?i=206937</v>
      </c>
      <c r="I483" s="8" t="s">
        <v>3363</v>
      </c>
      <c r="J483" s="38" t="s">
        <v>1295</v>
      </c>
    </row>
    <row r="484" spans="1:10" ht="76.5">
      <c r="A484" s="302" t="str">
        <f t="shared" si="7"/>
        <v>PackIce</v>
      </c>
      <c r="B484" s="6" t="s">
        <v>3369</v>
      </c>
      <c r="C484" s="17" t="s">
        <v>3370</v>
      </c>
      <c r="D484" s="10" t="s">
        <v>3371</v>
      </c>
      <c r="E484" s="10" t="s">
        <v>3372</v>
      </c>
      <c r="F484" s="55"/>
      <c r="G484" s="25">
        <v>100385</v>
      </c>
      <c r="H484" s="300" t="str">
        <f>CONCATENATE([1]Cover!$D$6,"fdd/view?i=",G484)</f>
        <v>https://www.dgiwg.org/FAD/fdd/view?i=100385</v>
      </c>
      <c r="I484" s="8" t="s">
        <v>3368</v>
      </c>
      <c r="J484" s="38" t="s">
        <v>151</v>
      </c>
    </row>
    <row r="485" spans="1:10" ht="38.25">
      <c r="A485" s="302" t="str">
        <f t="shared" si="7"/>
        <v>Park</v>
      </c>
      <c r="B485" s="6" t="s">
        <v>3374</v>
      </c>
      <c r="C485" s="17" t="s">
        <v>3374</v>
      </c>
      <c r="D485" s="10" t="s">
        <v>3375</v>
      </c>
      <c r="E485" s="10" t="s">
        <v>3376</v>
      </c>
      <c r="F485" s="55"/>
      <c r="G485" s="25">
        <v>100064</v>
      </c>
      <c r="H485" s="300" t="str">
        <f>CONCATENATE([1]Cover!$D$6,"fdd/view?i=",G485)</f>
        <v>https://www.dgiwg.org/FAD/fdd/view?i=100064</v>
      </c>
      <c r="I485" s="8" t="s">
        <v>3373</v>
      </c>
      <c r="J485" s="38" t="s">
        <v>151</v>
      </c>
    </row>
    <row r="486" spans="1:10" ht="25.5">
      <c r="A486" s="302" t="str">
        <f t="shared" si="7"/>
        <v>ParkingGarage</v>
      </c>
      <c r="B486" s="6" t="s">
        <v>3378</v>
      </c>
      <c r="C486" s="17" t="s">
        <v>3379</v>
      </c>
      <c r="D486" s="10" t="s">
        <v>3380</v>
      </c>
      <c r="E486" s="10" t="s">
        <v>3381</v>
      </c>
      <c r="F486" s="55"/>
      <c r="G486" s="25">
        <v>100185</v>
      </c>
      <c r="H486" s="300" t="str">
        <f>CONCATENATE([1]Cover!$D$6,"fdd/view?i=",G486)</f>
        <v>https://www.dgiwg.org/FAD/fdd/view?i=100185</v>
      </c>
      <c r="I486" s="8" t="s">
        <v>3377</v>
      </c>
      <c r="J486" s="38" t="s">
        <v>151</v>
      </c>
    </row>
    <row r="487" spans="1:10">
      <c r="A487" s="302" t="str">
        <f t="shared" si="7"/>
        <v>ParticleAccelerator</v>
      </c>
      <c r="B487" s="6" t="s">
        <v>3383</v>
      </c>
      <c r="C487" s="17" t="s">
        <v>3384</v>
      </c>
      <c r="D487" s="10" t="s">
        <v>3385</v>
      </c>
      <c r="E487" s="55"/>
      <c r="F487" s="55"/>
      <c r="G487" s="25">
        <v>100109</v>
      </c>
      <c r="H487" s="300" t="str">
        <f>CONCATENATE([1]Cover!$D$6,"fdd/view?i=",G487)</f>
        <v>https://www.dgiwg.org/FAD/fdd/view?i=100109</v>
      </c>
      <c r="I487" s="8" t="s">
        <v>3382</v>
      </c>
      <c r="J487" s="38" t="s">
        <v>151</v>
      </c>
    </row>
    <row r="488" spans="1:10" ht="25.5">
      <c r="A488" s="302" t="str">
        <f t="shared" si="7"/>
        <v>Penstock</v>
      </c>
      <c r="B488" s="6" t="s">
        <v>3387</v>
      </c>
      <c r="C488" s="17" t="s">
        <v>3387</v>
      </c>
      <c r="D488" s="10" t="s">
        <v>3388</v>
      </c>
      <c r="E488" s="55"/>
      <c r="F488" s="55"/>
      <c r="G488" s="25">
        <v>100346</v>
      </c>
      <c r="H488" s="300" t="str">
        <f>CONCATENATE([1]Cover!$D$6,"fdd/view?i=",G488)</f>
        <v>https://www.dgiwg.org/FAD/fdd/view?i=100346</v>
      </c>
      <c r="I488" s="8" t="s">
        <v>3386</v>
      </c>
      <c r="J488" s="38" t="s">
        <v>151</v>
      </c>
    </row>
    <row r="489" spans="1:10" ht="76.5">
      <c r="A489" s="302" t="str">
        <f t="shared" si="7"/>
        <v>Person</v>
      </c>
      <c r="B489" s="6" t="s">
        <v>3390</v>
      </c>
      <c r="C489" s="17" t="s">
        <v>3390</v>
      </c>
      <c r="D489" s="10" t="s">
        <v>3391</v>
      </c>
      <c r="E489" s="10" t="s">
        <v>3392</v>
      </c>
      <c r="F489" s="55"/>
      <c r="G489" s="25">
        <v>207077</v>
      </c>
      <c r="H489" s="300" t="str">
        <f>CONCATENATE([1]Cover!$D$6,"fdd/view?i=",G489)</f>
        <v>https://www.dgiwg.org/FAD/fdd/view?i=207077</v>
      </c>
      <c r="I489" s="8" t="s">
        <v>3389</v>
      </c>
      <c r="J489" s="38" t="s">
        <v>1295</v>
      </c>
    </row>
    <row r="490" spans="1:10">
      <c r="A490" s="302" t="str">
        <f t="shared" si="7"/>
        <v>PicnicSite</v>
      </c>
      <c r="B490" s="6" t="s">
        <v>3394</v>
      </c>
      <c r="C490" s="17" t="s">
        <v>3395</v>
      </c>
      <c r="D490" s="10" t="s">
        <v>3396</v>
      </c>
      <c r="E490" s="10" t="s">
        <v>3397</v>
      </c>
      <c r="F490" s="55"/>
      <c r="G490" s="25">
        <v>100056</v>
      </c>
      <c r="H490" s="300" t="str">
        <f>CONCATENATE([1]Cover!$D$6,"fdd/view?i=",G490)</f>
        <v>https://www.dgiwg.org/FAD/fdd/view?i=100056</v>
      </c>
      <c r="I490" s="8" t="s">
        <v>3393</v>
      </c>
      <c r="J490" s="38" t="s">
        <v>151</v>
      </c>
    </row>
    <row r="491" spans="1:10">
      <c r="A491" s="302" t="str">
        <f t="shared" si="7"/>
        <v>PicnicTable</v>
      </c>
      <c r="B491" s="6" t="s">
        <v>3399</v>
      </c>
      <c r="C491" s="17" t="s">
        <v>3400</v>
      </c>
      <c r="D491" s="10" t="s">
        <v>3401</v>
      </c>
      <c r="E491" s="10" t="s">
        <v>3402</v>
      </c>
      <c r="F491" s="55"/>
      <c r="G491" s="25">
        <v>100068</v>
      </c>
      <c r="H491" s="300" t="str">
        <f>CONCATENATE([1]Cover!$D$6,"fdd/view?i=",G491)</f>
        <v>https://www.dgiwg.org/FAD/fdd/view?i=100068</v>
      </c>
      <c r="I491" s="8" t="s">
        <v>3398</v>
      </c>
      <c r="J491" s="38" t="s">
        <v>151</v>
      </c>
    </row>
    <row r="492" spans="1:10" ht="38.25">
      <c r="A492" s="302" t="str">
        <f t="shared" si="7"/>
        <v>PilotBoardingPlace</v>
      </c>
      <c r="B492" s="6" t="s">
        <v>3404</v>
      </c>
      <c r="C492" s="17" t="s">
        <v>3405</v>
      </c>
      <c r="D492" s="10" t="s">
        <v>3406</v>
      </c>
      <c r="E492" s="10" t="s">
        <v>3407</v>
      </c>
      <c r="F492" s="55"/>
      <c r="G492" s="25">
        <v>111292</v>
      </c>
      <c r="H492" s="300" t="str">
        <f>CONCATENATE([1]Cover!$D$6,"fdd/view?i=",G492)</f>
        <v>https://www.dgiwg.org/FAD/fdd/view?i=111292</v>
      </c>
      <c r="I492" s="8" t="s">
        <v>3403</v>
      </c>
      <c r="J492" s="38" t="s">
        <v>151</v>
      </c>
    </row>
    <row r="493" spans="1:10" ht="25.5">
      <c r="A493" s="302" t="str">
        <f t="shared" si="7"/>
        <v>Pingo</v>
      </c>
      <c r="B493" s="6" t="s">
        <v>3409</v>
      </c>
      <c r="C493" s="17" t="s">
        <v>3409</v>
      </c>
      <c r="D493" s="10" t="s">
        <v>3410</v>
      </c>
      <c r="E493" s="10" t="s">
        <v>3411</v>
      </c>
      <c r="F493" s="55"/>
      <c r="G493" s="25">
        <v>100302</v>
      </c>
      <c r="H493" s="300" t="str">
        <f>CONCATENATE([1]Cover!$D$6,"fdd/view?i=",G493)</f>
        <v>https://www.dgiwg.org/FAD/fdd/view?i=100302</v>
      </c>
      <c r="I493" s="8" t="s">
        <v>3408</v>
      </c>
      <c r="J493" s="38" t="s">
        <v>151</v>
      </c>
    </row>
    <row r="494" spans="1:10">
      <c r="A494" s="302" t="str">
        <f t="shared" si="7"/>
        <v>Pipeline</v>
      </c>
      <c r="B494" s="6" t="s">
        <v>3413</v>
      </c>
      <c r="C494" s="17" t="s">
        <v>3413</v>
      </c>
      <c r="D494" s="10" t="s">
        <v>3414</v>
      </c>
      <c r="E494" s="10" t="s">
        <v>3415</v>
      </c>
      <c r="F494" s="55"/>
      <c r="G494" s="25">
        <v>100173</v>
      </c>
      <c r="H494" s="300" t="str">
        <f>CONCATENATE([1]Cover!$D$6,"fdd/view?i=",G494)</f>
        <v>https://www.dgiwg.org/FAD/fdd/view?i=100173</v>
      </c>
      <c r="I494" s="8" t="s">
        <v>3412</v>
      </c>
      <c r="J494" s="38" t="s">
        <v>151</v>
      </c>
    </row>
    <row r="495" spans="1:10" ht="25.5">
      <c r="A495" s="302" t="str">
        <f t="shared" si="7"/>
        <v>PipelineCrossingPoint</v>
      </c>
      <c r="B495" s="6" t="s">
        <v>3417</v>
      </c>
      <c r="C495" s="17" t="s">
        <v>3418</v>
      </c>
      <c r="D495" s="10" t="s">
        <v>3419</v>
      </c>
      <c r="E495" s="55"/>
      <c r="F495" s="55"/>
      <c r="G495" s="25">
        <v>100112</v>
      </c>
      <c r="H495" s="300" t="str">
        <f>CONCATENATE([1]Cover!$D$6,"fdd/view?i=",G495)</f>
        <v>https://www.dgiwg.org/FAD/fdd/view?i=100112</v>
      </c>
      <c r="I495" s="8" t="s">
        <v>3416</v>
      </c>
      <c r="J495" s="38" t="s">
        <v>151</v>
      </c>
    </row>
    <row r="496" spans="1:10" ht="25.5">
      <c r="A496" s="302" t="str">
        <f t="shared" si="7"/>
        <v>PlantNursery</v>
      </c>
      <c r="B496" s="6" t="s">
        <v>3421</v>
      </c>
      <c r="C496" s="17" t="s">
        <v>3422</v>
      </c>
      <c r="D496" s="10" t="s">
        <v>3423</v>
      </c>
      <c r="E496" s="55"/>
      <c r="F496" s="55"/>
      <c r="G496" s="25">
        <v>100434</v>
      </c>
      <c r="H496" s="300" t="str">
        <f>CONCATENATE([1]Cover!$D$6,"fdd/view?i=",G496)</f>
        <v>https://www.dgiwg.org/FAD/fdd/view?i=100434</v>
      </c>
      <c r="I496" s="8" t="s">
        <v>3420</v>
      </c>
      <c r="J496" s="38" t="s">
        <v>151</v>
      </c>
    </row>
    <row r="497" spans="1:10" ht="25.5">
      <c r="A497" s="302" t="str">
        <f t="shared" si="7"/>
        <v>Planter</v>
      </c>
      <c r="B497" s="6" t="s">
        <v>3425</v>
      </c>
      <c r="C497" s="17" t="s">
        <v>3425</v>
      </c>
      <c r="D497" s="10" t="s">
        <v>3426</v>
      </c>
      <c r="E497" s="55"/>
      <c r="F497" s="55"/>
      <c r="G497" s="25">
        <v>100070</v>
      </c>
      <c r="H497" s="300" t="str">
        <f>CONCATENATE([1]Cover!$D$6,"fdd/view?i=",G497)</f>
        <v>https://www.dgiwg.org/FAD/fdd/view?i=100070</v>
      </c>
      <c r="I497" s="8" t="s">
        <v>3424</v>
      </c>
      <c r="J497" s="38" t="s">
        <v>151</v>
      </c>
    </row>
    <row r="498" spans="1:10" ht="25.5">
      <c r="A498" s="302" t="str">
        <f t="shared" si="7"/>
        <v>PointGeometryInfo</v>
      </c>
      <c r="B498" s="6" t="s">
        <v>3428</v>
      </c>
      <c r="C498" s="17" t="s">
        <v>3429</v>
      </c>
      <c r="D498" s="10" t="s">
        <v>3430</v>
      </c>
      <c r="E498" s="10" t="s">
        <v>3431</v>
      </c>
      <c r="F498" s="55"/>
      <c r="G498" s="25">
        <v>114191</v>
      </c>
      <c r="H498" s="300" t="str">
        <f>CONCATENATE([1]Cover!$D$6,"fdd/view?i=",G498)</f>
        <v>https://www.dgiwg.org/FAD/fdd/view?i=114191</v>
      </c>
      <c r="I498" s="8" t="s">
        <v>3427</v>
      </c>
      <c r="J498" s="38" t="s">
        <v>151</v>
      </c>
    </row>
    <row r="499" spans="1:10">
      <c r="A499" s="302" t="str">
        <f t="shared" si="7"/>
        <v>PolarIce</v>
      </c>
      <c r="B499" s="6" t="s">
        <v>3433</v>
      </c>
      <c r="C499" s="17" t="s">
        <v>3434</v>
      </c>
      <c r="D499" s="10" t="s">
        <v>3435</v>
      </c>
      <c r="E499" s="10" t="s">
        <v>3436</v>
      </c>
      <c r="F499" s="55"/>
      <c r="G499" s="25">
        <v>100386</v>
      </c>
      <c r="H499" s="300" t="str">
        <f>CONCATENATE([1]Cover!$D$6,"fdd/view?i=",G499)</f>
        <v>https://www.dgiwg.org/FAD/fdd/view?i=100386</v>
      </c>
      <c r="I499" s="8" t="s">
        <v>3432</v>
      </c>
      <c r="J499" s="38" t="s">
        <v>151</v>
      </c>
    </row>
    <row r="500" spans="1:10" ht="102">
      <c r="A500" s="302" t="str">
        <f t="shared" si="7"/>
        <v>PollutantDischargeLoc</v>
      </c>
      <c r="B500" s="6" t="s">
        <v>3438</v>
      </c>
      <c r="C500" s="17" t="s">
        <v>3439</v>
      </c>
      <c r="D500" s="10" t="s">
        <v>3440</v>
      </c>
      <c r="E500" s="10" t="s">
        <v>3441</v>
      </c>
      <c r="F500" s="55"/>
      <c r="G500" s="25">
        <v>118998</v>
      </c>
      <c r="H500" s="300" t="str">
        <f>CONCATENATE([1]Cover!$D$6,"fdd/view?i=",G500)</f>
        <v>https://www.dgiwg.org/FAD/fdd/view?i=118998</v>
      </c>
      <c r="I500" s="8" t="s">
        <v>3437</v>
      </c>
      <c r="J500" s="38" t="s">
        <v>151</v>
      </c>
    </row>
    <row r="501" spans="1:10" ht="25.5">
      <c r="A501" s="302" t="str">
        <f t="shared" si="7"/>
        <v>Pontoon</v>
      </c>
      <c r="B501" s="6" t="s">
        <v>3443</v>
      </c>
      <c r="C501" s="17" t="s">
        <v>3443</v>
      </c>
      <c r="D501" s="10" t="s">
        <v>3444</v>
      </c>
      <c r="E501" s="10" t="s">
        <v>3445</v>
      </c>
      <c r="F501" s="55"/>
      <c r="G501" s="25">
        <v>100291</v>
      </c>
      <c r="H501" s="300" t="str">
        <f>CONCATENATE([1]Cover!$D$6,"fdd/view?i=",G501)</f>
        <v>https://www.dgiwg.org/FAD/fdd/view?i=100291</v>
      </c>
      <c r="I501" s="8" t="s">
        <v>3442</v>
      </c>
      <c r="J501" s="38" t="s">
        <v>151</v>
      </c>
    </row>
    <row r="502" spans="1:10">
      <c r="A502" s="302" t="str">
        <f t="shared" si="7"/>
        <v>PopulatedPlace</v>
      </c>
      <c r="B502" s="6" t="s">
        <v>3447</v>
      </c>
      <c r="C502" s="17" t="s">
        <v>3448</v>
      </c>
      <c r="D502" s="10" t="s">
        <v>3449</v>
      </c>
      <c r="E502" s="10" t="s">
        <v>3450</v>
      </c>
      <c r="F502" s="55"/>
      <c r="G502" s="25">
        <v>111417</v>
      </c>
      <c r="H502" s="300" t="str">
        <f>CONCATENATE([1]Cover!$D$6,"fdd/view?i=",G502)</f>
        <v>https://www.dgiwg.org/FAD/fdd/view?i=111417</v>
      </c>
      <c r="I502" s="8" t="s">
        <v>3446</v>
      </c>
      <c r="J502" s="38" t="s">
        <v>151</v>
      </c>
    </row>
    <row r="503" spans="1:10" ht="25.5">
      <c r="A503" s="302" t="str">
        <f t="shared" si="7"/>
        <v>Port</v>
      </c>
      <c r="B503" s="6" t="s">
        <v>3452</v>
      </c>
      <c r="C503" s="17" t="s">
        <v>3452</v>
      </c>
      <c r="D503" s="10" t="s">
        <v>3453</v>
      </c>
      <c r="E503" s="10" t="s">
        <v>3454</v>
      </c>
      <c r="F503" s="55"/>
      <c r="G503" s="25">
        <v>101063</v>
      </c>
      <c r="H503" s="300" t="str">
        <f>CONCATENATE([1]Cover!$D$6,"fdd/view?i=",G503)</f>
        <v>https://www.dgiwg.org/FAD/fdd/view?i=101063</v>
      </c>
      <c r="I503" s="8" t="s">
        <v>3451</v>
      </c>
      <c r="J503" s="38" t="s">
        <v>151</v>
      </c>
    </row>
    <row r="504" spans="1:10" ht="102">
      <c r="A504" s="302" t="str">
        <f t="shared" si="7"/>
        <v>PowerGeneratingUnit</v>
      </c>
      <c r="B504" s="6" t="s">
        <v>3456</v>
      </c>
      <c r="C504" s="17" t="s">
        <v>3457</v>
      </c>
      <c r="D504" s="10" t="s">
        <v>3458</v>
      </c>
      <c r="E504" s="10" t="s">
        <v>3459</v>
      </c>
      <c r="F504" s="55"/>
      <c r="G504" s="25">
        <v>118443</v>
      </c>
      <c r="H504" s="300" t="str">
        <f>CONCATENATE([1]Cover!$D$6,"fdd/view?i=",G504)</f>
        <v>https://www.dgiwg.org/FAD/fdd/view?i=118443</v>
      </c>
      <c r="I504" s="8" t="s">
        <v>3455</v>
      </c>
      <c r="J504" s="38" t="s">
        <v>151</v>
      </c>
    </row>
    <row r="505" spans="1:10" ht="25.5">
      <c r="A505" s="302" t="str">
        <f t="shared" si="7"/>
        <v>PowerGenerationInfo</v>
      </c>
      <c r="B505" s="6" t="s">
        <v>3461</v>
      </c>
      <c r="C505" s="17" t="s">
        <v>3462</v>
      </c>
      <c r="D505" s="10" t="s">
        <v>3463</v>
      </c>
      <c r="E505" s="10" t="s">
        <v>3464</v>
      </c>
      <c r="F505" s="55"/>
      <c r="G505" s="25">
        <v>204283</v>
      </c>
      <c r="H505" s="300" t="str">
        <f>CONCATENATE([1]Cover!$D$6,"fdd/view?i=",G505)</f>
        <v>https://www.dgiwg.org/FAD/fdd/view?i=204283</v>
      </c>
      <c r="I505" s="8" t="s">
        <v>3460</v>
      </c>
      <c r="J505" s="38" t="s">
        <v>1295</v>
      </c>
    </row>
    <row r="506" spans="1:10" ht="25.5">
      <c r="A506" s="302" t="str">
        <f t="shared" si="7"/>
        <v>PowerSubstation</v>
      </c>
      <c r="B506" s="6" t="s">
        <v>3466</v>
      </c>
      <c r="C506" s="17" t="s">
        <v>3467</v>
      </c>
      <c r="D506" s="10" t="s">
        <v>3468</v>
      </c>
      <c r="E506" s="55"/>
      <c r="F506" s="10" t="s">
        <v>3469</v>
      </c>
      <c r="G506" s="25">
        <v>100024</v>
      </c>
      <c r="H506" s="300" t="str">
        <f>CONCATENATE([1]Cover!$D$6,"fdd/view?i=",G506)</f>
        <v>https://www.dgiwg.org/FAD/fdd/view?i=100024</v>
      </c>
      <c r="I506" s="8" t="s">
        <v>3465</v>
      </c>
      <c r="J506" s="38" t="s">
        <v>151</v>
      </c>
    </row>
    <row r="507" spans="1:10" ht="38.25">
      <c r="A507" s="302" t="str">
        <f t="shared" si="7"/>
        <v>PrecisionApproachRadar</v>
      </c>
      <c r="B507" s="6" t="s">
        <v>3471</v>
      </c>
      <c r="C507" s="17" t="s">
        <v>3472</v>
      </c>
      <c r="D507" s="10" t="s">
        <v>3473</v>
      </c>
      <c r="E507" s="10" t="s">
        <v>3474</v>
      </c>
      <c r="F507" s="10" t="s">
        <v>3475</v>
      </c>
      <c r="G507" s="25">
        <v>114512</v>
      </c>
      <c r="H507" s="300" t="str">
        <f>CONCATENATE([1]Cover!$D$6,"fdd/view?i=",G507)</f>
        <v>https://www.dgiwg.org/FAD/fdd/view?i=114512</v>
      </c>
      <c r="I507" s="8" t="s">
        <v>3470</v>
      </c>
      <c r="J507" s="38" t="s">
        <v>151</v>
      </c>
    </row>
    <row r="508" spans="1:10" ht="38.25">
      <c r="A508" s="302" t="str">
        <f t="shared" si="7"/>
        <v>PreparedWatercourseCross</v>
      </c>
      <c r="B508" s="6" t="s">
        <v>3477</v>
      </c>
      <c r="C508" s="17" t="s">
        <v>3478</v>
      </c>
      <c r="D508" s="10" t="s">
        <v>3479</v>
      </c>
      <c r="E508" s="10" t="s">
        <v>3480</v>
      </c>
      <c r="F508" s="55"/>
      <c r="G508" s="25">
        <v>100172</v>
      </c>
      <c r="H508" s="300" t="str">
        <f>CONCATENATE([1]Cover!$D$6,"fdd/view?i=",G508)</f>
        <v>https://www.dgiwg.org/FAD/fdd/view?i=100172</v>
      </c>
      <c r="I508" s="8" t="s">
        <v>3476</v>
      </c>
      <c r="J508" s="38" t="s">
        <v>151</v>
      </c>
    </row>
    <row r="509" spans="1:10" ht="25.5">
      <c r="A509" s="302" t="str">
        <f t="shared" si="7"/>
        <v>ProcedureSegmentLeg</v>
      </c>
      <c r="B509" s="6" t="s">
        <v>3482</v>
      </c>
      <c r="C509" s="17" t="s">
        <v>3483</v>
      </c>
      <c r="D509" s="10" t="s">
        <v>3484</v>
      </c>
      <c r="E509" s="55"/>
      <c r="F509" s="10" t="s">
        <v>3485</v>
      </c>
      <c r="G509" s="25">
        <v>114622</v>
      </c>
      <c r="H509" s="300" t="str">
        <f>CONCATENATE([1]Cover!$D$6,"fdd/view?i=",G509)</f>
        <v>https://www.dgiwg.org/FAD/fdd/view?i=114622</v>
      </c>
      <c r="I509" s="8" t="s">
        <v>3481</v>
      </c>
      <c r="J509" s="38" t="s">
        <v>151</v>
      </c>
    </row>
    <row r="510" spans="1:10" ht="25.5">
      <c r="A510" s="302" t="str">
        <f t="shared" si="7"/>
        <v>ProcedureTransitionSeg</v>
      </c>
      <c r="B510" s="6" t="s">
        <v>3487</v>
      </c>
      <c r="C510" s="17" t="s">
        <v>3488</v>
      </c>
      <c r="D510" s="10" t="s">
        <v>3489</v>
      </c>
      <c r="E510" s="10" t="s">
        <v>1587</v>
      </c>
      <c r="F510" s="10" t="s">
        <v>3490</v>
      </c>
      <c r="G510" s="25">
        <v>114639</v>
      </c>
      <c r="H510" s="300" t="str">
        <f>CONCATENATE([1]Cover!$D$6,"fdd/view?i=",G510)</f>
        <v>https://www.dgiwg.org/FAD/fdd/view?i=114639</v>
      </c>
      <c r="I510" s="8" t="s">
        <v>3486</v>
      </c>
      <c r="J510" s="38" t="s">
        <v>151</v>
      </c>
    </row>
    <row r="511" spans="1:10" ht="38.25">
      <c r="A511" s="302" t="str">
        <f t="shared" si="7"/>
        <v>ProcessStepInfo</v>
      </c>
      <c r="B511" s="6" t="s">
        <v>3492</v>
      </c>
      <c r="C511" s="17" t="s">
        <v>3493</v>
      </c>
      <c r="D511" s="10" t="s">
        <v>3494</v>
      </c>
      <c r="E511" s="55"/>
      <c r="F511" s="55"/>
      <c r="G511" s="25">
        <v>114189</v>
      </c>
      <c r="H511" s="300" t="str">
        <f>CONCATENATE([1]Cover!$D$6,"fdd/view?i=",G511)</f>
        <v>https://www.dgiwg.org/FAD/fdd/view?i=114189</v>
      </c>
      <c r="I511" s="8" t="s">
        <v>3491</v>
      </c>
      <c r="J511" s="38" t="s">
        <v>151</v>
      </c>
    </row>
    <row r="512" spans="1:10" ht="38.25">
      <c r="A512" s="302" t="str">
        <f t="shared" si="7"/>
        <v>ProtectWaterGatherGround</v>
      </c>
      <c r="B512" s="6" t="s">
        <v>3496</v>
      </c>
      <c r="C512" s="17" t="s">
        <v>3497</v>
      </c>
      <c r="D512" s="10" t="s">
        <v>3498</v>
      </c>
      <c r="E512" s="55"/>
      <c r="F512" s="55"/>
      <c r="G512" s="25">
        <v>100468</v>
      </c>
      <c r="H512" s="300" t="str">
        <f>CONCATENATE([1]Cover!$D$6,"fdd/view?i=",G512)</f>
        <v>https://www.dgiwg.org/FAD/fdd/view?i=100468</v>
      </c>
      <c r="I512" s="8" t="s">
        <v>3495</v>
      </c>
      <c r="J512" s="38" t="s">
        <v>151</v>
      </c>
    </row>
    <row r="513" spans="1:10" ht="25.5">
      <c r="A513" s="302" t="str">
        <f t="shared" si="7"/>
        <v>PublicSquare</v>
      </c>
      <c r="B513" s="6" t="s">
        <v>3500</v>
      </c>
      <c r="C513" s="17" t="s">
        <v>3501</v>
      </c>
      <c r="D513" s="10" t="s">
        <v>3502</v>
      </c>
      <c r="E513" s="55"/>
      <c r="F513" s="10" t="s">
        <v>3503</v>
      </c>
      <c r="G513" s="25">
        <v>100113</v>
      </c>
      <c r="H513" s="300" t="str">
        <f>CONCATENATE([1]Cover!$D$6,"fdd/view?i=",G513)</f>
        <v>https://www.dgiwg.org/FAD/fdd/view?i=100113</v>
      </c>
      <c r="I513" s="8" t="s">
        <v>3499</v>
      </c>
      <c r="J513" s="38" t="s">
        <v>151</v>
      </c>
    </row>
    <row r="514" spans="1:10" ht="25.5">
      <c r="A514" s="302" t="str">
        <f t="shared" si="7"/>
        <v>PumpingStation</v>
      </c>
      <c r="B514" s="6" t="s">
        <v>3505</v>
      </c>
      <c r="C514" s="17" t="s">
        <v>3506</v>
      </c>
      <c r="D514" s="10" t="s">
        <v>3507</v>
      </c>
      <c r="E514" s="55"/>
      <c r="F514" s="55"/>
      <c r="G514" s="25">
        <v>100176</v>
      </c>
      <c r="H514" s="300" t="str">
        <f>CONCATENATE([1]Cover!$D$6,"fdd/view?i=",G514)</f>
        <v>https://www.dgiwg.org/FAD/fdd/view?i=100176</v>
      </c>
      <c r="I514" s="8" t="s">
        <v>3504</v>
      </c>
      <c r="J514" s="38" t="s">
        <v>151</v>
      </c>
    </row>
    <row r="515" spans="1:10">
      <c r="A515" s="302" t="str">
        <f t="shared" ref="A515:A578" si="8">HYPERLINK(H515,B515)</f>
        <v>Pylon</v>
      </c>
      <c r="B515" s="6" t="s">
        <v>3509</v>
      </c>
      <c r="C515" s="17" t="s">
        <v>3509</v>
      </c>
      <c r="D515" s="10" t="s">
        <v>3510</v>
      </c>
      <c r="E515" s="55"/>
      <c r="F515" s="55"/>
      <c r="G515" s="25">
        <v>100576</v>
      </c>
      <c r="H515" s="300" t="str">
        <f>CONCATENATE([1]Cover!$D$6,"fdd/view?i=",G515)</f>
        <v>https://www.dgiwg.org/FAD/fdd/view?i=100576</v>
      </c>
      <c r="I515" s="8" t="s">
        <v>3508</v>
      </c>
      <c r="J515" s="38" t="s">
        <v>151</v>
      </c>
    </row>
    <row r="516" spans="1:10" ht="25.5">
      <c r="A516" s="302" t="str">
        <f t="shared" si="8"/>
        <v>PylonInfo</v>
      </c>
      <c r="B516" s="6" t="s">
        <v>3512</v>
      </c>
      <c r="C516" s="17" t="s">
        <v>3513</v>
      </c>
      <c r="D516" s="10" t="s">
        <v>3514</v>
      </c>
      <c r="E516" s="55"/>
      <c r="F516" s="55"/>
      <c r="G516" s="25">
        <v>114213</v>
      </c>
      <c r="H516" s="300" t="str">
        <f>CONCATENATE([1]Cover!$D$6,"fdd/view?i=",G516)</f>
        <v>https://www.dgiwg.org/FAD/fdd/view?i=114213</v>
      </c>
      <c r="I516" s="8" t="s">
        <v>3511</v>
      </c>
      <c r="J516" s="38" t="s">
        <v>151</v>
      </c>
    </row>
    <row r="517" spans="1:10" ht="63.75">
      <c r="A517" s="302" t="str">
        <f t="shared" si="8"/>
        <v>QanatShaft</v>
      </c>
      <c r="B517" s="6" t="s">
        <v>3516</v>
      </c>
      <c r="C517" s="17" t="s">
        <v>3517</v>
      </c>
      <c r="D517" s="10" t="s">
        <v>3518</v>
      </c>
      <c r="E517" s="10" t="s">
        <v>3519</v>
      </c>
      <c r="F517" s="55"/>
      <c r="G517" s="25">
        <v>117760</v>
      </c>
      <c r="H517" s="300" t="str">
        <f>CONCATENATE([1]Cover!$D$6,"fdd/view?i=",G517)</f>
        <v>https://www.dgiwg.org/FAD/fdd/view?i=117760</v>
      </c>
      <c r="I517" s="8" t="s">
        <v>3515</v>
      </c>
      <c r="J517" s="38" t="s">
        <v>151</v>
      </c>
    </row>
    <row r="518" spans="1:10" ht="51">
      <c r="A518" s="302" t="str">
        <f t="shared" si="8"/>
        <v>Racetrack</v>
      </c>
      <c r="B518" s="6" t="s">
        <v>3521</v>
      </c>
      <c r="C518" s="17" t="s">
        <v>3521</v>
      </c>
      <c r="D518" s="10" t="s">
        <v>3522</v>
      </c>
      <c r="E518" s="10" t="s">
        <v>3523</v>
      </c>
      <c r="F518" s="10" t="s">
        <v>3524</v>
      </c>
      <c r="G518" s="25">
        <v>100069</v>
      </c>
      <c r="H518" s="300" t="str">
        <f>CONCATENATE([1]Cover!$D$6,"fdd/view?i=",G518)</f>
        <v>https://www.dgiwg.org/FAD/fdd/view?i=100069</v>
      </c>
      <c r="I518" s="8" t="s">
        <v>3520</v>
      </c>
      <c r="J518" s="38" t="s">
        <v>151</v>
      </c>
    </row>
    <row r="519" spans="1:10" ht="25.5">
      <c r="A519" s="302" t="str">
        <f t="shared" si="8"/>
        <v>RadarRange</v>
      </c>
      <c r="B519" s="6" t="s">
        <v>3526</v>
      </c>
      <c r="C519" s="17" t="s">
        <v>3527</v>
      </c>
      <c r="D519" s="10" t="s">
        <v>3528</v>
      </c>
      <c r="E519" s="10" t="s">
        <v>3529</v>
      </c>
      <c r="F519" s="55"/>
      <c r="G519" s="25">
        <v>100266</v>
      </c>
      <c r="H519" s="300" t="str">
        <f>CONCATENATE([1]Cover!$D$6,"fdd/view?i=",G519)</f>
        <v>https://www.dgiwg.org/FAD/fdd/view?i=100266</v>
      </c>
      <c r="I519" s="8" t="s">
        <v>3525</v>
      </c>
      <c r="J519" s="38" t="s">
        <v>151</v>
      </c>
    </row>
    <row r="520" spans="1:10" ht="38.25">
      <c r="A520" s="302" t="str">
        <f t="shared" si="8"/>
        <v>RadarStation</v>
      </c>
      <c r="B520" s="6" t="s">
        <v>3531</v>
      </c>
      <c r="C520" s="17" t="s">
        <v>3532</v>
      </c>
      <c r="D520" s="10" t="s">
        <v>3533</v>
      </c>
      <c r="E520" s="10" t="s">
        <v>3534</v>
      </c>
      <c r="F520" s="55"/>
      <c r="G520" s="25">
        <v>100199</v>
      </c>
      <c r="H520" s="300" t="str">
        <f>CONCATENATE([1]Cover!$D$6,"fdd/view?i=",G520)</f>
        <v>https://www.dgiwg.org/FAD/fdd/view?i=100199</v>
      </c>
      <c r="I520" s="8" t="s">
        <v>3530</v>
      </c>
      <c r="J520" s="38" t="s">
        <v>151</v>
      </c>
    </row>
    <row r="521" spans="1:10" ht="25.5">
      <c r="A521" s="302" t="str">
        <f t="shared" si="8"/>
        <v>RadioCommunicationsService</v>
      </c>
      <c r="B521" s="6" t="s">
        <v>3536</v>
      </c>
      <c r="C521" s="17" t="s">
        <v>3537</v>
      </c>
      <c r="D521" s="10" t="s">
        <v>3538</v>
      </c>
      <c r="E521" s="55"/>
      <c r="F521" s="55"/>
      <c r="G521" s="25">
        <v>206963</v>
      </c>
      <c r="H521" s="300" t="str">
        <f>CONCATENATE([1]Cover!$D$6,"fdd/view?i=",G521)</f>
        <v>https://www.dgiwg.org/FAD/fdd/view?i=206963</v>
      </c>
      <c r="I521" s="8" t="s">
        <v>3535</v>
      </c>
      <c r="J521" s="38" t="s">
        <v>1295</v>
      </c>
    </row>
    <row r="522" spans="1:10" ht="25.5">
      <c r="A522" s="302" t="str">
        <f t="shared" si="8"/>
        <v>RadioNavServiceCoverage</v>
      </c>
      <c r="B522" s="6" t="s">
        <v>3540</v>
      </c>
      <c r="C522" s="17" t="s">
        <v>3541</v>
      </c>
      <c r="D522" s="10" t="s">
        <v>3542</v>
      </c>
      <c r="E522" s="55"/>
      <c r="F522" s="55"/>
      <c r="G522" s="25">
        <v>114513</v>
      </c>
      <c r="H522" s="300" t="str">
        <f>CONCATENATE([1]Cover!$D$6,"fdd/view?i=",G522)</f>
        <v>https://www.dgiwg.org/FAD/fdd/view?i=114513</v>
      </c>
      <c r="I522" s="8" t="s">
        <v>3539</v>
      </c>
      <c r="J522" s="38" t="s">
        <v>151</v>
      </c>
    </row>
    <row r="523" spans="1:10" ht="25.5">
      <c r="A523" s="302" t="str">
        <f t="shared" si="8"/>
        <v>RadioNavServiceLimit</v>
      </c>
      <c r="B523" s="6" t="s">
        <v>3544</v>
      </c>
      <c r="C523" s="17" t="s">
        <v>3545</v>
      </c>
      <c r="D523" s="10" t="s">
        <v>3546</v>
      </c>
      <c r="E523" s="55"/>
      <c r="F523" s="55"/>
      <c r="G523" s="25">
        <v>114514</v>
      </c>
      <c r="H523" s="300" t="str">
        <f>CONCATENATE([1]Cover!$D$6,"fdd/view?i=",G523)</f>
        <v>https://www.dgiwg.org/FAD/fdd/view?i=114514</v>
      </c>
      <c r="I523" s="8" t="s">
        <v>3543</v>
      </c>
      <c r="J523" s="38" t="s">
        <v>151</v>
      </c>
    </row>
    <row r="524" spans="1:10" ht="38.25">
      <c r="A524" s="302" t="str">
        <f t="shared" si="8"/>
        <v>RadioTransmissionInfo</v>
      </c>
      <c r="B524" s="6" t="s">
        <v>3548</v>
      </c>
      <c r="C524" s="17" t="s">
        <v>3549</v>
      </c>
      <c r="D524" s="10" t="s">
        <v>3550</v>
      </c>
      <c r="E524" s="10" t="s">
        <v>3551</v>
      </c>
      <c r="F524" s="55"/>
      <c r="G524" s="25">
        <v>206964</v>
      </c>
      <c r="H524" s="300" t="str">
        <f>CONCATENATE([1]Cover!$D$6,"fdd/view?i=",G524)</f>
        <v>https://www.dgiwg.org/FAD/fdd/view?i=206964</v>
      </c>
      <c r="I524" s="8" t="s">
        <v>3547</v>
      </c>
      <c r="J524" s="38" t="s">
        <v>1295</v>
      </c>
    </row>
    <row r="525" spans="1:10" ht="25.5">
      <c r="A525" s="302" t="str">
        <f t="shared" si="8"/>
        <v>Railway</v>
      </c>
      <c r="B525" s="6" t="s">
        <v>3553</v>
      </c>
      <c r="C525" s="17" t="s">
        <v>3553</v>
      </c>
      <c r="D525" s="10" t="s">
        <v>3554</v>
      </c>
      <c r="E525" s="55"/>
      <c r="F525" s="10" t="s">
        <v>3555</v>
      </c>
      <c r="G525" s="25">
        <v>100135</v>
      </c>
      <c r="H525" s="300" t="str">
        <f>CONCATENATE([1]Cover!$D$6,"fdd/view?i=",G525)</f>
        <v>https://www.dgiwg.org/FAD/fdd/view?i=100135</v>
      </c>
      <c r="I525" s="8" t="s">
        <v>3552</v>
      </c>
      <c r="J525" s="38" t="s">
        <v>151</v>
      </c>
    </row>
    <row r="526" spans="1:10" ht="25.5">
      <c r="A526" s="302" t="str">
        <f t="shared" si="8"/>
        <v>RailwaySidetrack</v>
      </c>
      <c r="B526" s="6" t="s">
        <v>3557</v>
      </c>
      <c r="C526" s="17" t="s">
        <v>3558</v>
      </c>
      <c r="D526" s="10" t="s">
        <v>3559</v>
      </c>
      <c r="E526" s="55"/>
      <c r="F526" s="10" t="s">
        <v>3560</v>
      </c>
      <c r="G526" s="25">
        <v>100136</v>
      </c>
      <c r="H526" s="300" t="str">
        <f>CONCATENATE([1]Cover!$D$6,"fdd/view?i=",G526)</f>
        <v>https://www.dgiwg.org/FAD/fdd/view?i=100136</v>
      </c>
      <c r="I526" s="8" t="s">
        <v>3556</v>
      </c>
      <c r="J526" s="38" t="s">
        <v>151</v>
      </c>
    </row>
    <row r="527" spans="1:10">
      <c r="A527" s="302" t="str">
        <f t="shared" si="8"/>
        <v>RailwaySignal</v>
      </c>
      <c r="B527" s="6" t="s">
        <v>3562</v>
      </c>
      <c r="C527" s="17" t="s">
        <v>3563</v>
      </c>
      <c r="D527" s="10" t="s">
        <v>3564</v>
      </c>
      <c r="E527" s="55"/>
      <c r="F527" s="55"/>
      <c r="G527" s="25">
        <v>111429</v>
      </c>
      <c r="H527" s="300" t="str">
        <f>CONCATENATE([1]Cover!$D$6,"fdd/view?i=",G527)</f>
        <v>https://www.dgiwg.org/FAD/fdd/view?i=111429</v>
      </c>
      <c r="I527" s="8" t="s">
        <v>3561</v>
      </c>
      <c r="J527" s="38" t="s">
        <v>151</v>
      </c>
    </row>
    <row r="528" spans="1:10" ht="25.5">
      <c r="A528" s="302" t="str">
        <f t="shared" si="8"/>
        <v>RailwaySwitch</v>
      </c>
      <c r="B528" s="6" t="s">
        <v>3566</v>
      </c>
      <c r="C528" s="17" t="s">
        <v>3567</v>
      </c>
      <c r="D528" s="10" t="s">
        <v>3568</v>
      </c>
      <c r="E528" s="55"/>
      <c r="F528" s="10" t="s">
        <v>3569</v>
      </c>
      <c r="G528" s="25">
        <v>100140</v>
      </c>
      <c r="H528" s="300" t="str">
        <f>CONCATENATE([1]Cover!$D$6,"fdd/view?i=",G528)</f>
        <v>https://www.dgiwg.org/FAD/fdd/view?i=100140</v>
      </c>
      <c r="I528" s="8" t="s">
        <v>3565</v>
      </c>
      <c r="J528" s="38" t="s">
        <v>151</v>
      </c>
    </row>
    <row r="529" spans="1:10" ht="25.5">
      <c r="A529" s="302" t="str">
        <f t="shared" si="8"/>
        <v>RailwayTurntable</v>
      </c>
      <c r="B529" s="6" t="s">
        <v>3571</v>
      </c>
      <c r="C529" s="17" t="s">
        <v>3572</v>
      </c>
      <c r="D529" s="10" t="s">
        <v>3573</v>
      </c>
      <c r="E529" s="10" t="s">
        <v>3574</v>
      </c>
      <c r="F529" s="10" t="s">
        <v>3575</v>
      </c>
      <c r="G529" s="25">
        <v>100139</v>
      </c>
      <c r="H529" s="300" t="str">
        <f>CONCATENATE([1]Cover!$D$6,"fdd/view?i=",G529)</f>
        <v>https://www.dgiwg.org/FAD/fdd/view?i=100139</v>
      </c>
      <c r="I529" s="8" t="s">
        <v>3570</v>
      </c>
      <c r="J529" s="38" t="s">
        <v>151</v>
      </c>
    </row>
    <row r="530" spans="1:10" ht="38.25">
      <c r="A530" s="302" t="str">
        <f t="shared" si="8"/>
        <v>RailwayYard</v>
      </c>
      <c r="B530" s="6" t="s">
        <v>3577</v>
      </c>
      <c r="C530" s="17" t="s">
        <v>3578</v>
      </c>
      <c r="D530" s="10" t="s">
        <v>3579</v>
      </c>
      <c r="E530" s="55"/>
      <c r="F530" s="10" t="s">
        <v>3580</v>
      </c>
      <c r="G530" s="25">
        <v>100137</v>
      </c>
      <c r="H530" s="300" t="str">
        <f>CONCATENATE([1]Cover!$D$6,"fdd/view?i=",G530)</f>
        <v>https://www.dgiwg.org/FAD/fdd/view?i=100137</v>
      </c>
      <c r="I530" s="8" t="s">
        <v>3576</v>
      </c>
      <c r="J530" s="38" t="s">
        <v>151</v>
      </c>
    </row>
    <row r="531" spans="1:10">
      <c r="A531" s="302" t="str">
        <f t="shared" si="8"/>
        <v>Ramp</v>
      </c>
      <c r="B531" s="6" t="s">
        <v>3582</v>
      </c>
      <c r="C531" s="17" t="s">
        <v>3582</v>
      </c>
      <c r="D531" s="10" t="s">
        <v>3583</v>
      </c>
      <c r="E531" s="55"/>
      <c r="F531" s="55"/>
      <c r="G531" s="25">
        <v>100114</v>
      </c>
      <c r="H531" s="300" t="str">
        <f>CONCATENATE([1]Cover!$D$6,"fdd/view?i=",G531)</f>
        <v>https://www.dgiwg.org/FAD/fdd/view?i=100114</v>
      </c>
      <c r="I531" s="8" t="s">
        <v>3581</v>
      </c>
      <c r="J531" s="38" t="s">
        <v>151</v>
      </c>
    </row>
    <row r="532" spans="1:10" ht="76.5">
      <c r="A532" s="302" t="str">
        <f t="shared" si="8"/>
        <v>Ranch</v>
      </c>
      <c r="B532" s="6" t="s">
        <v>3585</v>
      </c>
      <c r="C532" s="17" t="s">
        <v>3585</v>
      </c>
      <c r="D532" s="10" t="s">
        <v>3586</v>
      </c>
      <c r="E532" s="10" t="s">
        <v>3587</v>
      </c>
      <c r="F532" s="55"/>
      <c r="G532" s="25">
        <v>111404</v>
      </c>
      <c r="H532" s="300" t="str">
        <f>CONCATENATE([1]Cover!$D$6,"fdd/view?i=",G532)</f>
        <v>https://www.dgiwg.org/FAD/fdd/view?i=111404</v>
      </c>
      <c r="I532" s="8" t="s">
        <v>3584</v>
      </c>
      <c r="J532" s="38" t="s">
        <v>151</v>
      </c>
    </row>
    <row r="533" spans="1:10" ht="38.25">
      <c r="A533" s="302" t="str">
        <f t="shared" si="8"/>
        <v>Rapids</v>
      </c>
      <c r="B533" s="6" t="s">
        <v>3589</v>
      </c>
      <c r="C533" s="17" t="s">
        <v>3589</v>
      </c>
      <c r="D533" s="10" t="s">
        <v>3590</v>
      </c>
      <c r="E533" s="10" t="s">
        <v>3591</v>
      </c>
      <c r="F533" s="55"/>
      <c r="G533" s="25">
        <v>100348</v>
      </c>
      <c r="H533" s="300" t="str">
        <f>CONCATENATE([1]Cover!$D$6,"fdd/view?i=",G533)</f>
        <v>https://www.dgiwg.org/FAD/fdd/view?i=100348</v>
      </c>
      <c r="I533" s="8" t="s">
        <v>3588</v>
      </c>
      <c r="J533" s="38" t="s">
        <v>151</v>
      </c>
    </row>
    <row r="534" spans="1:10" ht="25.5">
      <c r="A534" s="302" t="str">
        <f t="shared" si="8"/>
        <v>RecyclingSite</v>
      </c>
      <c r="B534" s="6" t="s">
        <v>3593</v>
      </c>
      <c r="C534" s="17" t="s">
        <v>3594</v>
      </c>
      <c r="D534" s="10" t="s">
        <v>3595</v>
      </c>
      <c r="E534" s="10" t="s">
        <v>3596</v>
      </c>
      <c r="F534" s="55"/>
      <c r="G534" s="25">
        <v>100011</v>
      </c>
      <c r="H534" s="300" t="str">
        <f>CONCATENATE([1]Cover!$D$6,"fdd/view?i=",G534)</f>
        <v>https://www.dgiwg.org/FAD/fdd/view?i=100011</v>
      </c>
      <c r="I534" s="8" t="s">
        <v>3592</v>
      </c>
      <c r="J534" s="38" t="s">
        <v>151</v>
      </c>
    </row>
    <row r="535" spans="1:10" ht="25.5">
      <c r="A535" s="302" t="str">
        <f t="shared" si="8"/>
        <v>Reef</v>
      </c>
      <c r="B535" s="6" t="s">
        <v>3598</v>
      </c>
      <c r="C535" s="17" t="s">
        <v>3598</v>
      </c>
      <c r="D535" s="10" t="s">
        <v>3599</v>
      </c>
      <c r="E535" s="55"/>
      <c r="F535" s="55"/>
      <c r="G535" s="25">
        <v>100301</v>
      </c>
      <c r="H535" s="300" t="str">
        <f>CONCATENATE([1]Cover!$D$6,"fdd/view?i=",G535)</f>
        <v>https://www.dgiwg.org/FAD/fdd/view?i=100301</v>
      </c>
      <c r="I535" s="8" t="s">
        <v>3597</v>
      </c>
      <c r="J535" s="38" t="s">
        <v>151</v>
      </c>
    </row>
    <row r="536" spans="1:10" ht="51">
      <c r="A536" s="302" t="str">
        <f t="shared" si="8"/>
        <v>RegulatorySign</v>
      </c>
      <c r="B536" s="6" t="s">
        <v>3601</v>
      </c>
      <c r="C536" s="17" t="s">
        <v>3602</v>
      </c>
      <c r="D536" s="10" t="s">
        <v>3603</v>
      </c>
      <c r="E536" s="55"/>
      <c r="F536" s="55"/>
      <c r="G536" s="25">
        <v>114181</v>
      </c>
      <c r="H536" s="300" t="str">
        <f>CONCATENATE([1]Cover!$D$6,"fdd/view?i=",G536)</f>
        <v>https://www.dgiwg.org/FAD/fdd/view?i=114181</v>
      </c>
      <c r="I536" s="8" t="s">
        <v>3600</v>
      </c>
      <c r="J536" s="38" t="s">
        <v>151</v>
      </c>
    </row>
    <row r="537" spans="1:10" ht="25.5">
      <c r="A537" s="302" t="str">
        <f t="shared" si="8"/>
        <v>ReligiousGroup</v>
      </c>
      <c r="B537" s="6" t="s">
        <v>3605</v>
      </c>
      <c r="C537" s="17" t="s">
        <v>3606</v>
      </c>
      <c r="D537" s="10" t="s">
        <v>3607</v>
      </c>
      <c r="E537" s="55"/>
      <c r="F537" s="55"/>
      <c r="G537" s="25">
        <v>207079</v>
      </c>
      <c r="H537" s="300" t="str">
        <f>CONCATENATE([1]Cover!$D$6,"fdd/view?i=",G537)</f>
        <v>https://www.dgiwg.org/FAD/fdd/view?i=207079</v>
      </c>
      <c r="I537" s="8" t="s">
        <v>3604</v>
      </c>
      <c r="J537" s="38" t="s">
        <v>1295</v>
      </c>
    </row>
    <row r="538" spans="1:10" ht="25.5">
      <c r="A538" s="302" t="str">
        <f t="shared" si="8"/>
        <v>ReligiousInfo</v>
      </c>
      <c r="B538" s="6" t="s">
        <v>3609</v>
      </c>
      <c r="C538" s="17" t="s">
        <v>3610</v>
      </c>
      <c r="D538" s="10" t="s">
        <v>3611</v>
      </c>
      <c r="E538" s="55"/>
      <c r="F538" s="55"/>
      <c r="G538" s="25">
        <v>117769</v>
      </c>
      <c r="H538" s="300" t="str">
        <f>CONCATENATE([1]Cover!$D$6,"fdd/view?i=",G538)</f>
        <v>https://www.dgiwg.org/FAD/fdd/view?i=117769</v>
      </c>
      <c r="I538" s="8" t="s">
        <v>3608</v>
      </c>
      <c r="J538" s="38" t="s">
        <v>151</v>
      </c>
    </row>
    <row r="539" spans="1:10" ht="25.5">
      <c r="A539" s="302" t="str">
        <f t="shared" si="8"/>
        <v>MD_AggregateInformation</v>
      </c>
      <c r="B539" s="6" t="s">
        <v>3613</v>
      </c>
      <c r="C539" s="17" t="s">
        <v>3614</v>
      </c>
      <c r="D539" s="10" t="s">
        <v>3615</v>
      </c>
      <c r="E539" s="55"/>
      <c r="F539" s="55"/>
      <c r="G539" s="25">
        <v>207159</v>
      </c>
      <c r="H539" s="300" t="str">
        <f>CONCATENATE([1]Cover!$D$6,"fdd/view?i=",G539)</f>
        <v>https://www.dgiwg.org/FAD/fdd/view?i=207159</v>
      </c>
      <c r="I539" s="8" t="s">
        <v>3612</v>
      </c>
      <c r="J539" s="38" t="s">
        <v>1295</v>
      </c>
    </row>
    <row r="540" spans="1:10" ht="25.5">
      <c r="A540" s="302" t="str">
        <f t="shared" si="8"/>
        <v>MD_Constraints</v>
      </c>
      <c r="B540" s="6" t="s">
        <v>3617</v>
      </c>
      <c r="C540" s="17" t="s">
        <v>3618</v>
      </c>
      <c r="D540" s="10" t="s">
        <v>3619</v>
      </c>
      <c r="E540" s="10" t="s">
        <v>3620</v>
      </c>
      <c r="F540" s="55"/>
      <c r="G540" s="25">
        <v>203438</v>
      </c>
      <c r="H540" s="300" t="str">
        <f>CONCATENATE([1]Cover!$D$6,"fdd/view?i=",G540)</f>
        <v>https://www.dgiwg.org/FAD/fdd/view?i=203438</v>
      </c>
      <c r="I540" s="8" t="s">
        <v>3616</v>
      </c>
      <c r="J540" s="38" t="s">
        <v>1295</v>
      </c>
    </row>
    <row r="541" spans="1:10">
      <c r="A541" s="302" t="str">
        <f t="shared" si="8"/>
        <v>MD_Identification</v>
      </c>
      <c r="B541" s="6" t="s">
        <v>3622</v>
      </c>
      <c r="C541" s="17" t="s">
        <v>3623</v>
      </c>
      <c r="D541" s="10" t="s">
        <v>3624</v>
      </c>
      <c r="E541" s="10" t="s">
        <v>3625</v>
      </c>
      <c r="F541" s="55"/>
      <c r="G541" s="25">
        <v>203473</v>
      </c>
      <c r="H541" s="300" t="str">
        <f>CONCATENATE([1]Cover!$D$6,"fdd/view?i=",G541)</f>
        <v>https://www.dgiwg.org/FAD/fdd/view?i=203473</v>
      </c>
      <c r="I541" s="8" t="s">
        <v>3621</v>
      </c>
      <c r="J541" s="38" t="s">
        <v>1295</v>
      </c>
    </row>
    <row r="542" spans="1:10">
      <c r="A542" s="302" t="str">
        <f t="shared" si="8"/>
        <v>MD_Metadata</v>
      </c>
      <c r="B542" s="6" t="s">
        <v>3627</v>
      </c>
      <c r="C542" s="17" t="s">
        <v>3628</v>
      </c>
      <c r="D542" s="10" t="s">
        <v>3629</v>
      </c>
      <c r="E542" s="55"/>
      <c r="F542" s="55"/>
      <c r="G542" s="25">
        <v>203471</v>
      </c>
      <c r="H542" s="300" t="str">
        <f>CONCATENATE([1]Cover!$D$6,"fdd/view?i=",G542)</f>
        <v>https://www.dgiwg.org/FAD/fdd/view?i=203471</v>
      </c>
      <c r="I542" s="8" t="s">
        <v>3626</v>
      </c>
      <c r="J542" s="38" t="s">
        <v>1295</v>
      </c>
    </row>
    <row r="543" spans="1:10" ht="38.25">
      <c r="A543" s="302" t="str">
        <f t="shared" si="8"/>
        <v>RestrictionInfo</v>
      </c>
      <c r="B543" s="6" t="s">
        <v>3631</v>
      </c>
      <c r="C543" s="17" t="s">
        <v>3632</v>
      </c>
      <c r="D543" s="10" t="s">
        <v>3633</v>
      </c>
      <c r="E543" s="55"/>
      <c r="F543" s="55"/>
      <c r="G543" s="25">
        <v>114187</v>
      </c>
      <c r="H543" s="300" t="str">
        <f>CONCATENATE([1]Cover!$D$6,"fdd/view?i=",G543)</f>
        <v>https://www.dgiwg.org/FAD/fdd/view?i=114187</v>
      </c>
      <c r="I543" s="8" t="s">
        <v>3630</v>
      </c>
      <c r="J543" s="38" t="s">
        <v>151</v>
      </c>
    </row>
    <row r="544" spans="1:10" ht="89.25">
      <c r="A544" s="302" t="str">
        <f t="shared" si="8"/>
        <v>RetailStand</v>
      </c>
      <c r="B544" s="6" t="s">
        <v>3635</v>
      </c>
      <c r="C544" s="17" t="s">
        <v>3636</v>
      </c>
      <c r="D544" s="10" t="s">
        <v>3637</v>
      </c>
      <c r="E544" s="10" t="s">
        <v>3638</v>
      </c>
      <c r="F544" s="10" t="s">
        <v>3639</v>
      </c>
      <c r="G544" s="25">
        <v>114180</v>
      </c>
      <c r="H544" s="300" t="str">
        <f>CONCATENATE([1]Cover!$D$6,"fdd/view?i=",G544)</f>
        <v>https://www.dgiwg.org/FAD/fdd/view?i=114180</v>
      </c>
      <c r="I544" s="8" t="s">
        <v>3634</v>
      </c>
      <c r="J544" s="38" t="s">
        <v>151</v>
      </c>
    </row>
    <row r="545" spans="1:10" ht="25.5">
      <c r="A545" s="302" t="str">
        <f t="shared" si="8"/>
        <v>RiceField</v>
      </c>
      <c r="B545" s="6" t="s">
        <v>3641</v>
      </c>
      <c r="C545" s="17" t="s">
        <v>3642</v>
      </c>
      <c r="D545" s="10" t="s">
        <v>3643</v>
      </c>
      <c r="E545" s="55"/>
      <c r="F545" s="55"/>
      <c r="G545" s="25">
        <v>100350</v>
      </c>
      <c r="H545" s="300" t="str">
        <f>CONCATENATE([1]Cover!$D$6,"fdd/view?i=",G545)</f>
        <v>https://www.dgiwg.org/FAD/fdd/view?i=100350</v>
      </c>
      <c r="I545" s="8" t="s">
        <v>3640</v>
      </c>
      <c r="J545" s="38" t="s">
        <v>151</v>
      </c>
    </row>
    <row r="546" spans="1:10">
      <c r="A546" s="302" t="str">
        <f t="shared" si="8"/>
        <v>RidgeLine</v>
      </c>
      <c r="B546" s="6" t="s">
        <v>3645</v>
      </c>
      <c r="C546" s="17" t="s">
        <v>3646</v>
      </c>
      <c r="D546" s="10" t="s">
        <v>3647</v>
      </c>
      <c r="E546" s="55"/>
      <c r="F546" s="55"/>
      <c r="G546" s="25">
        <v>100393</v>
      </c>
      <c r="H546" s="300" t="str">
        <f>CONCATENATE([1]Cover!$D$6,"fdd/view?i=",G546)</f>
        <v>https://www.dgiwg.org/FAD/fdd/view?i=100393</v>
      </c>
      <c r="I546" s="8" t="s">
        <v>3644</v>
      </c>
      <c r="J546" s="38" t="s">
        <v>151</v>
      </c>
    </row>
    <row r="547" spans="1:10" ht="25.5">
      <c r="A547" s="302" t="str">
        <f t="shared" si="8"/>
        <v>Rig</v>
      </c>
      <c r="B547" s="6" t="s">
        <v>3649</v>
      </c>
      <c r="C547" s="17" t="s">
        <v>3649</v>
      </c>
      <c r="D547" s="10" t="s">
        <v>3650</v>
      </c>
      <c r="E547" s="55"/>
      <c r="F547" s="55"/>
      <c r="G547" s="25">
        <v>100005</v>
      </c>
      <c r="H547" s="300" t="str">
        <f>CONCATENATE([1]Cover!$D$6,"fdd/view?i=",G547)</f>
        <v>https://www.dgiwg.org/FAD/fdd/view?i=100005</v>
      </c>
      <c r="I547" s="8" t="s">
        <v>3648</v>
      </c>
      <c r="J547" s="38" t="s">
        <v>151</v>
      </c>
    </row>
    <row r="548" spans="1:10">
      <c r="A548" s="302" t="str">
        <f t="shared" si="8"/>
        <v>River</v>
      </c>
      <c r="B548" s="6" t="s">
        <v>3652</v>
      </c>
      <c r="C548" s="17" t="s">
        <v>3652</v>
      </c>
      <c r="D548" s="10" t="s">
        <v>3653</v>
      </c>
      <c r="E548" s="55"/>
      <c r="F548" s="55"/>
      <c r="G548" s="25">
        <v>100351</v>
      </c>
      <c r="H548" s="300" t="str">
        <f>CONCATENATE([1]Cover!$D$6,"fdd/view?i=",G548)</f>
        <v>https://www.dgiwg.org/FAD/fdd/view?i=100351</v>
      </c>
      <c r="I548" s="8" t="s">
        <v>3651</v>
      </c>
      <c r="J548" s="38" t="s">
        <v>151</v>
      </c>
    </row>
    <row r="549" spans="1:10" ht="25.5">
      <c r="A549" s="302" t="str">
        <f t="shared" si="8"/>
        <v>Road</v>
      </c>
      <c r="B549" s="6" t="s">
        <v>3655</v>
      </c>
      <c r="C549" s="17" t="s">
        <v>3655</v>
      </c>
      <c r="D549" s="10" t="s">
        <v>3656</v>
      </c>
      <c r="E549" s="55"/>
      <c r="F549" s="55"/>
      <c r="G549" s="25">
        <v>100143</v>
      </c>
      <c r="H549" s="300" t="str">
        <f>CONCATENATE([1]Cover!$D$6,"fdd/view?i=",G549)</f>
        <v>https://www.dgiwg.org/FAD/fdd/view?i=100143</v>
      </c>
      <c r="I549" s="8" t="s">
        <v>3654</v>
      </c>
      <c r="J549" s="38" t="s">
        <v>151</v>
      </c>
    </row>
    <row r="550" spans="1:10" ht="38.25">
      <c r="A550" s="302" t="str">
        <f t="shared" si="8"/>
        <v>RoadInterchange</v>
      </c>
      <c r="B550" s="6" t="s">
        <v>3658</v>
      </c>
      <c r="C550" s="17" t="s">
        <v>3659</v>
      </c>
      <c r="D550" s="10" t="s">
        <v>3660</v>
      </c>
      <c r="E550" s="10" t="s">
        <v>3661</v>
      </c>
      <c r="F550" s="10" t="s">
        <v>3662</v>
      </c>
      <c r="G550" s="25">
        <v>100142</v>
      </c>
      <c r="H550" s="300" t="str">
        <f>CONCATENATE([1]Cover!$D$6,"fdd/view?i=",G550)</f>
        <v>https://www.dgiwg.org/FAD/fdd/view?i=100142</v>
      </c>
      <c r="I550" s="8" t="s">
        <v>3657</v>
      </c>
      <c r="J550" s="38" t="s">
        <v>151</v>
      </c>
    </row>
    <row r="551" spans="1:10">
      <c r="A551" s="302" t="str">
        <f t="shared" si="8"/>
        <v>RoadsideRestArea</v>
      </c>
      <c r="B551" s="6" t="s">
        <v>3664</v>
      </c>
      <c r="C551" s="17" t="s">
        <v>3665</v>
      </c>
      <c r="D551" s="10" t="s">
        <v>3666</v>
      </c>
      <c r="E551" s="55"/>
      <c r="F551" s="10" t="s">
        <v>3667</v>
      </c>
      <c r="G551" s="25">
        <v>100183</v>
      </c>
      <c r="H551" s="300" t="str">
        <f>CONCATENATE([1]Cover!$D$6,"fdd/view?i=",G551)</f>
        <v>https://www.dgiwg.org/FAD/fdd/view?i=100183</v>
      </c>
      <c r="I551" s="8" t="s">
        <v>3663</v>
      </c>
      <c r="J551" s="38" t="s">
        <v>151</v>
      </c>
    </row>
    <row r="552" spans="1:10" ht="38.25">
      <c r="A552" s="302" t="str">
        <f t="shared" si="8"/>
        <v>Roadstead</v>
      </c>
      <c r="B552" s="6" t="s">
        <v>3669</v>
      </c>
      <c r="C552" s="17" t="s">
        <v>3669</v>
      </c>
      <c r="D552" s="10" t="s">
        <v>3670</v>
      </c>
      <c r="E552" s="10" t="s">
        <v>3671</v>
      </c>
      <c r="F552" s="55"/>
      <c r="G552" s="25">
        <v>111436</v>
      </c>
      <c r="H552" s="300" t="str">
        <f>CONCATENATE([1]Cover!$D$6,"fdd/view?i=",G552)</f>
        <v>https://www.dgiwg.org/FAD/fdd/view?i=111436</v>
      </c>
      <c r="I552" s="8" t="s">
        <v>3668</v>
      </c>
      <c r="J552" s="38" t="s">
        <v>151</v>
      </c>
    </row>
    <row r="553" spans="1:10">
      <c r="A553" s="302" t="str">
        <f t="shared" si="8"/>
        <v>RockFormation</v>
      </c>
      <c r="B553" s="6" t="s">
        <v>3673</v>
      </c>
      <c r="C553" s="17" t="s">
        <v>3674</v>
      </c>
      <c r="D553" s="10" t="s">
        <v>3675</v>
      </c>
      <c r="E553" s="55"/>
      <c r="F553" s="55"/>
      <c r="G553" s="25">
        <v>100418</v>
      </c>
      <c r="H553" s="300" t="str">
        <f>CONCATENATE([1]Cover!$D$6,"fdd/view?i=",G553)</f>
        <v>https://www.dgiwg.org/FAD/fdd/view?i=100418</v>
      </c>
      <c r="I553" s="8" t="s">
        <v>3672</v>
      </c>
      <c r="J553" s="38" t="s">
        <v>151</v>
      </c>
    </row>
    <row r="554" spans="1:10" ht="38.25">
      <c r="A554" s="302" t="str">
        <f t="shared" si="8"/>
        <v>Roundhouse</v>
      </c>
      <c r="B554" s="6" t="s">
        <v>3677</v>
      </c>
      <c r="C554" s="17" t="s">
        <v>3677</v>
      </c>
      <c r="D554" s="10" t="s">
        <v>3678</v>
      </c>
      <c r="E554" s="10" t="s">
        <v>3679</v>
      </c>
      <c r="F554" s="55"/>
      <c r="G554" s="25">
        <v>111428</v>
      </c>
      <c r="H554" s="300" t="str">
        <f>CONCATENATE([1]Cover!$D$6,"fdd/view?i=",G554)</f>
        <v>https://www.dgiwg.org/FAD/fdd/view?i=111428</v>
      </c>
      <c r="I554" s="8" t="s">
        <v>3676</v>
      </c>
      <c r="J554" s="38" t="s">
        <v>151</v>
      </c>
    </row>
    <row r="555" spans="1:10" ht="204">
      <c r="A555" s="302" t="str">
        <f t="shared" si="8"/>
        <v>RoutePavementInfo</v>
      </c>
      <c r="B555" s="6" t="s">
        <v>3681</v>
      </c>
      <c r="C555" s="17" t="s">
        <v>3682</v>
      </c>
      <c r="D555" s="10" t="s">
        <v>3683</v>
      </c>
      <c r="E555" s="10" t="s">
        <v>3684</v>
      </c>
      <c r="F555" s="55"/>
      <c r="G555" s="25">
        <v>114199</v>
      </c>
      <c r="H555" s="300" t="str">
        <f>CONCATENATE([1]Cover!$D$6,"fdd/view?i=",G555)</f>
        <v>https://www.dgiwg.org/FAD/fdd/view?i=114199</v>
      </c>
      <c r="I555" s="8" t="s">
        <v>3680</v>
      </c>
      <c r="J555" s="38" t="s">
        <v>151</v>
      </c>
    </row>
    <row r="556" spans="1:10">
      <c r="A556" s="302" t="str">
        <f t="shared" si="8"/>
        <v>Ruins</v>
      </c>
      <c r="B556" s="6" t="s">
        <v>3686</v>
      </c>
      <c r="C556" s="17" t="s">
        <v>3686</v>
      </c>
      <c r="D556" s="10" t="s">
        <v>3687</v>
      </c>
      <c r="E556" s="55"/>
      <c r="F556" s="55"/>
      <c r="G556" s="25">
        <v>100115</v>
      </c>
      <c r="H556" s="300" t="str">
        <f>CONCATENATE([1]Cover!$D$6,"fdd/view?i=",G556)</f>
        <v>https://www.dgiwg.org/FAD/fdd/view?i=100115</v>
      </c>
      <c r="I556" s="8" t="s">
        <v>3685</v>
      </c>
      <c r="J556" s="38" t="s">
        <v>151</v>
      </c>
    </row>
    <row r="557" spans="1:10" ht="25.5">
      <c r="A557" s="302" t="str">
        <f t="shared" si="8"/>
        <v>Runway</v>
      </c>
      <c r="B557" s="6" t="s">
        <v>3689</v>
      </c>
      <c r="C557" s="17" t="s">
        <v>3689</v>
      </c>
      <c r="D557" s="10" t="s">
        <v>3690</v>
      </c>
      <c r="E557" s="55"/>
      <c r="F557" s="10" t="s">
        <v>3691</v>
      </c>
      <c r="G557" s="25">
        <v>114602</v>
      </c>
      <c r="H557" s="300" t="str">
        <f>CONCATENATE([1]Cover!$D$6,"fdd/view?i=",G557)</f>
        <v>https://www.dgiwg.org/FAD/fdd/view?i=114602</v>
      </c>
      <c r="I557" s="8" t="s">
        <v>3688</v>
      </c>
      <c r="J557" s="38" t="s">
        <v>151</v>
      </c>
    </row>
    <row r="558" spans="1:10" ht="76.5">
      <c r="A558" s="302" t="str">
        <f t="shared" si="8"/>
        <v>RunwayCentreLinePoint</v>
      </c>
      <c r="B558" s="6" t="s">
        <v>3693</v>
      </c>
      <c r="C558" s="17" t="s">
        <v>3694</v>
      </c>
      <c r="D558" s="10" t="s">
        <v>3695</v>
      </c>
      <c r="E558" s="10" t="s">
        <v>3696</v>
      </c>
      <c r="F558" s="55"/>
      <c r="G558" s="25">
        <v>119706</v>
      </c>
      <c r="H558" s="300" t="str">
        <f>CONCATENATE([1]Cover!$D$6,"fdd/view?i=",G558)</f>
        <v>https://www.dgiwg.org/FAD/fdd/view?i=119706</v>
      </c>
      <c r="I558" s="8" t="s">
        <v>3692</v>
      </c>
      <c r="J558" s="38" t="s">
        <v>1295</v>
      </c>
    </row>
    <row r="559" spans="1:10" ht="25.5">
      <c r="A559" s="302" t="str">
        <f t="shared" si="8"/>
        <v>RunwayDeclaredDistInfo</v>
      </c>
      <c r="B559" s="6" t="s">
        <v>3698</v>
      </c>
      <c r="C559" s="17" t="s">
        <v>3699</v>
      </c>
      <c r="D559" s="10" t="s">
        <v>3700</v>
      </c>
      <c r="E559" s="55"/>
      <c r="F559" s="55"/>
      <c r="G559" s="25">
        <v>119171</v>
      </c>
      <c r="H559" s="300" t="str">
        <f>CONCATENATE([1]Cover!$D$6,"fdd/view?i=",G559)</f>
        <v>https://www.dgiwg.org/FAD/fdd/view?i=119171</v>
      </c>
      <c r="I559" s="8" t="s">
        <v>3697</v>
      </c>
      <c r="J559" s="38" t="s">
        <v>151</v>
      </c>
    </row>
    <row r="560" spans="1:10" ht="25.5">
      <c r="A560" s="302" t="str">
        <f t="shared" si="8"/>
        <v>RunwayDirection</v>
      </c>
      <c r="B560" s="6" t="s">
        <v>3702</v>
      </c>
      <c r="C560" s="17" t="s">
        <v>3703</v>
      </c>
      <c r="D560" s="10" t="s">
        <v>3704</v>
      </c>
      <c r="E560" s="10" t="s">
        <v>3705</v>
      </c>
      <c r="F560" s="55"/>
      <c r="G560" s="25">
        <v>114603</v>
      </c>
      <c r="H560" s="300" t="str">
        <f>CONCATENATE([1]Cover!$D$6,"fdd/view?i=",G560)</f>
        <v>https://www.dgiwg.org/FAD/fdd/view?i=114603</v>
      </c>
      <c r="I560" s="8" t="s">
        <v>3701</v>
      </c>
      <c r="J560" s="38" t="s">
        <v>151</v>
      </c>
    </row>
    <row r="561" spans="1:10" ht="25.5">
      <c r="A561" s="302" t="str">
        <f t="shared" si="8"/>
        <v>RunwayElement</v>
      </c>
      <c r="B561" s="6" t="s">
        <v>3707</v>
      </c>
      <c r="C561" s="17" t="s">
        <v>3708</v>
      </c>
      <c r="D561" s="10" t="s">
        <v>3709</v>
      </c>
      <c r="E561" s="10" t="s">
        <v>3710</v>
      </c>
      <c r="F561" s="55"/>
      <c r="G561" s="25">
        <v>119093</v>
      </c>
      <c r="H561" s="300" t="str">
        <f>CONCATENATE([1]Cover!$D$6,"fdd/view?i=",G561)</f>
        <v>https://www.dgiwg.org/FAD/fdd/view?i=119093</v>
      </c>
      <c r="I561" s="8" t="s">
        <v>3706</v>
      </c>
      <c r="J561" s="38" t="s">
        <v>151</v>
      </c>
    </row>
    <row r="562" spans="1:10" ht="51">
      <c r="A562" s="302" t="str">
        <f t="shared" si="8"/>
        <v>RunwayEndSafetyArea</v>
      </c>
      <c r="B562" s="6" t="s">
        <v>3712</v>
      </c>
      <c r="C562" s="17" t="s">
        <v>3713</v>
      </c>
      <c r="D562" s="10" t="s">
        <v>3714</v>
      </c>
      <c r="E562" s="10" t="s">
        <v>3715</v>
      </c>
      <c r="F562" s="10" t="s">
        <v>3716</v>
      </c>
      <c r="G562" s="25">
        <v>114604</v>
      </c>
      <c r="H562" s="300" t="str">
        <f>CONCATENATE([1]Cover!$D$6,"fdd/view?i=",G562)</f>
        <v>https://www.dgiwg.org/FAD/fdd/view?i=114604</v>
      </c>
      <c r="I562" s="8" t="s">
        <v>3711</v>
      </c>
      <c r="J562" s="38" t="s">
        <v>151</v>
      </c>
    </row>
    <row r="563" spans="1:10" ht="25.5">
      <c r="A563" s="302" t="str">
        <f t="shared" si="8"/>
        <v>RunwayEndpoint</v>
      </c>
      <c r="B563" s="6" t="s">
        <v>3718</v>
      </c>
      <c r="C563" s="17" t="s">
        <v>3719</v>
      </c>
      <c r="D563" s="10" t="s">
        <v>3720</v>
      </c>
      <c r="E563" s="55"/>
      <c r="F563" s="10" t="s">
        <v>3721</v>
      </c>
      <c r="G563" s="25">
        <v>114605</v>
      </c>
      <c r="H563" s="300" t="str">
        <f>CONCATENATE([1]Cover!$D$6,"fdd/view?i=",G563)</f>
        <v>https://www.dgiwg.org/FAD/fdd/view?i=114605</v>
      </c>
      <c r="I563" s="8" t="s">
        <v>3717</v>
      </c>
      <c r="J563" s="38" t="s">
        <v>151</v>
      </c>
    </row>
    <row r="564" spans="1:10" ht="51">
      <c r="A564" s="302" t="str">
        <f t="shared" si="8"/>
        <v>RunwayHoldingPosition</v>
      </c>
      <c r="B564" s="6" t="s">
        <v>3723</v>
      </c>
      <c r="C564" s="17" t="s">
        <v>3724</v>
      </c>
      <c r="D564" s="10" t="s">
        <v>3725</v>
      </c>
      <c r="E564" s="55"/>
      <c r="F564" s="55"/>
      <c r="G564" s="25">
        <v>114606</v>
      </c>
      <c r="H564" s="300" t="str">
        <f>CONCATENATE([1]Cover!$D$6,"fdd/view?i=",G564)</f>
        <v>https://www.dgiwg.org/FAD/fdd/view?i=114606</v>
      </c>
      <c r="I564" s="8" t="s">
        <v>3722</v>
      </c>
      <c r="J564" s="38" t="s">
        <v>151</v>
      </c>
    </row>
    <row r="565" spans="1:10">
      <c r="A565" s="302" t="str">
        <f t="shared" si="8"/>
        <v>RunwayIntersection</v>
      </c>
      <c r="B565" s="6" t="s">
        <v>3727</v>
      </c>
      <c r="C565" s="17" t="s">
        <v>3728</v>
      </c>
      <c r="D565" s="10" t="s">
        <v>3729</v>
      </c>
      <c r="E565" s="55"/>
      <c r="F565" s="55"/>
      <c r="G565" s="25">
        <v>119164</v>
      </c>
      <c r="H565" s="300" t="str">
        <f>CONCATENATE([1]Cover!$D$6,"fdd/view?i=",G565)</f>
        <v>https://www.dgiwg.org/FAD/fdd/view?i=119164</v>
      </c>
      <c r="I565" s="8" t="s">
        <v>3726</v>
      </c>
      <c r="J565" s="38" t="s">
        <v>151</v>
      </c>
    </row>
    <row r="566" spans="1:10" ht="25.5">
      <c r="A566" s="302" t="str">
        <f t="shared" si="8"/>
        <v>RunwayRadarReflector</v>
      </c>
      <c r="B566" s="6" t="s">
        <v>3731</v>
      </c>
      <c r="C566" s="17" t="s">
        <v>3732</v>
      </c>
      <c r="D566" s="10" t="s">
        <v>3733</v>
      </c>
      <c r="E566" s="55"/>
      <c r="F566" s="55"/>
      <c r="G566" s="25">
        <v>114640</v>
      </c>
      <c r="H566" s="300" t="str">
        <f>CONCATENATE([1]Cover!$D$6,"fdd/view?i=",G566)</f>
        <v>https://www.dgiwg.org/FAD/fdd/view?i=114640</v>
      </c>
      <c r="I566" s="8" t="s">
        <v>3730</v>
      </c>
      <c r="J566" s="38" t="s">
        <v>151</v>
      </c>
    </row>
    <row r="567" spans="1:10" ht="51">
      <c r="A567" s="302" t="str">
        <f t="shared" si="8"/>
        <v>RunwayStrip</v>
      </c>
      <c r="B567" s="6" t="s">
        <v>3735</v>
      </c>
      <c r="C567" s="17" t="s">
        <v>3736</v>
      </c>
      <c r="D567" s="10" t="s">
        <v>3737</v>
      </c>
      <c r="E567" s="55"/>
      <c r="F567" s="55"/>
      <c r="G567" s="25">
        <v>114607</v>
      </c>
      <c r="H567" s="300" t="str">
        <f>CONCATENATE([1]Cover!$D$6,"fdd/view?i=",G567)</f>
        <v>https://www.dgiwg.org/FAD/fdd/view?i=114607</v>
      </c>
      <c r="I567" s="8" t="s">
        <v>3734</v>
      </c>
      <c r="J567" s="38" t="s">
        <v>151</v>
      </c>
    </row>
    <row r="568" spans="1:10" ht="38.25">
      <c r="A568" s="302" t="str">
        <f t="shared" si="8"/>
        <v>RunwayThreshold</v>
      </c>
      <c r="B568" s="6" t="s">
        <v>3739</v>
      </c>
      <c r="C568" s="17" t="s">
        <v>3740</v>
      </c>
      <c r="D568" s="10" t="s">
        <v>3741</v>
      </c>
      <c r="E568" s="10" t="s">
        <v>3742</v>
      </c>
      <c r="F568" s="55"/>
      <c r="G568" s="25">
        <v>114608</v>
      </c>
      <c r="H568" s="300" t="str">
        <f>CONCATENATE([1]Cover!$D$6,"fdd/view?i=",G568)</f>
        <v>https://www.dgiwg.org/FAD/fdd/view?i=114608</v>
      </c>
      <c r="I568" s="8" t="s">
        <v>3738</v>
      </c>
      <c r="J568" s="38" t="s">
        <v>151</v>
      </c>
    </row>
    <row r="569" spans="1:10" ht="25.5">
      <c r="A569" s="302" t="str">
        <f t="shared" si="8"/>
        <v>RunwayTurnPad</v>
      </c>
      <c r="B569" s="6" t="s">
        <v>3744</v>
      </c>
      <c r="C569" s="17" t="s">
        <v>3745</v>
      </c>
      <c r="D569" s="10" t="s">
        <v>3746</v>
      </c>
      <c r="E569" s="55"/>
      <c r="F569" s="55"/>
      <c r="G569" s="25">
        <v>114609</v>
      </c>
      <c r="H569" s="300" t="str">
        <f>CONCATENATE([1]Cover!$D$6,"fdd/view?i=",G569)</f>
        <v>https://www.dgiwg.org/FAD/fdd/view?i=114609</v>
      </c>
      <c r="I569" s="8" t="s">
        <v>3743</v>
      </c>
      <c r="J569" s="38" t="s">
        <v>151</v>
      </c>
    </row>
    <row r="570" spans="1:10" ht="25.5">
      <c r="A570" s="302" t="str">
        <f t="shared" si="8"/>
        <v>Sabkha</v>
      </c>
      <c r="B570" s="6" t="s">
        <v>3748</v>
      </c>
      <c r="C570" s="17" t="s">
        <v>3748</v>
      </c>
      <c r="D570" s="10" t="s">
        <v>3749</v>
      </c>
      <c r="E570" s="10" t="s">
        <v>3750</v>
      </c>
      <c r="F570" s="55"/>
      <c r="G570" s="25">
        <v>100356</v>
      </c>
      <c r="H570" s="300" t="str">
        <f>CONCATENATE([1]Cover!$D$6,"fdd/view?i=",G570)</f>
        <v>https://www.dgiwg.org/FAD/fdd/view?i=100356</v>
      </c>
      <c r="I570" s="8" t="s">
        <v>3747</v>
      </c>
      <c r="J570" s="38" t="s">
        <v>151</v>
      </c>
    </row>
    <row r="571" spans="1:10" ht="38.25">
      <c r="A571" s="302" t="str">
        <f t="shared" si="8"/>
        <v>SafeAltitudeArea</v>
      </c>
      <c r="B571" s="6" t="s">
        <v>3752</v>
      </c>
      <c r="C571" s="17" t="s">
        <v>3753</v>
      </c>
      <c r="D571" s="10" t="s">
        <v>3754</v>
      </c>
      <c r="E571" s="55"/>
      <c r="F571" s="55"/>
      <c r="G571" s="25">
        <v>114621</v>
      </c>
      <c r="H571" s="300" t="str">
        <f>CONCATENATE([1]Cover!$D$6,"fdd/view?i=",G571)</f>
        <v>https://www.dgiwg.org/FAD/fdd/view?i=114621</v>
      </c>
      <c r="I571" s="8" t="s">
        <v>3751</v>
      </c>
      <c r="J571" s="38" t="s">
        <v>151</v>
      </c>
    </row>
    <row r="572" spans="1:10" ht="63.75">
      <c r="A572" s="302" t="str">
        <f t="shared" si="8"/>
        <v>SafeAltitudeAreaSector</v>
      </c>
      <c r="B572" s="6" t="s">
        <v>3756</v>
      </c>
      <c r="C572" s="17" t="s">
        <v>3757</v>
      </c>
      <c r="D572" s="10" t="s">
        <v>3758</v>
      </c>
      <c r="E572" s="10" t="s">
        <v>3759</v>
      </c>
      <c r="F572" s="55"/>
      <c r="G572" s="25">
        <v>119551</v>
      </c>
      <c r="H572" s="300" t="str">
        <f>CONCATENATE([1]Cover!$D$6,"fdd/view?i=",G572)</f>
        <v>https://www.dgiwg.org/FAD/fdd/view?i=119551</v>
      </c>
      <c r="I572" s="8" t="s">
        <v>3755</v>
      </c>
      <c r="J572" s="38" t="s">
        <v>151</v>
      </c>
    </row>
    <row r="573" spans="1:10" ht="25.5">
      <c r="A573" s="302" t="str">
        <f t="shared" si="8"/>
        <v>SaltEvaporator</v>
      </c>
      <c r="B573" s="6" t="s">
        <v>3761</v>
      </c>
      <c r="C573" s="17" t="s">
        <v>3762</v>
      </c>
      <c r="D573" s="10" t="s">
        <v>3763</v>
      </c>
      <c r="E573" s="55"/>
      <c r="F573" s="55"/>
      <c r="G573" s="25">
        <v>100355</v>
      </c>
      <c r="H573" s="300" t="str">
        <f>CONCATENATE([1]Cover!$D$6,"fdd/view?i=",G573)</f>
        <v>https://www.dgiwg.org/FAD/fdd/view?i=100355</v>
      </c>
      <c r="I573" s="8" t="s">
        <v>3760</v>
      </c>
      <c r="J573" s="38" t="s">
        <v>151</v>
      </c>
    </row>
    <row r="574" spans="1:10" ht="25.5">
      <c r="A574" s="302" t="str">
        <f t="shared" si="8"/>
        <v>SaltFlat</v>
      </c>
      <c r="B574" s="6" t="s">
        <v>3765</v>
      </c>
      <c r="C574" s="17" t="s">
        <v>3766</v>
      </c>
      <c r="D574" s="10" t="s">
        <v>3767</v>
      </c>
      <c r="E574" s="10" t="s">
        <v>3768</v>
      </c>
      <c r="F574" s="55"/>
      <c r="G574" s="25">
        <v>100354</v>
      </c>
      <c r="H574" s="300" t="str">
        <f>CONCATENATE([1]Cover!$D$6,"fdd/view?i=",G574)</f>
        <v>https://www.dgiwg.org/FAD/fdd/view?i=100354</v>
      </c>
      <c r="I574" s="8" t="s">
        <v>3764</v>
      </c>
      <c r="J574" s="38" t="s">
        <v>151</v>
      </c>
    </row>
    <row r="575" spans="1:10">
      <c r="A575" s="302" t="str">
        <f t="shared" si="8"/>
        <v>SandDunes</v>
      </c>
      <c r="B575" s="6" t="s">
        <v>3770</v>
      </c>
      <c r="C575" s="17" t="s">
        <v>3771</v>
      </c>
      <c r="D575" s="10" t="s">
        <v>3772</v>
      </c>
      <c r="E575" s="55"/>
      <c r="F575" s="55"/>
      <c r="G575" s="25">
        <v>100420</v>
      </c>
      <c r="H575" s="300" t="str">
        <f>CONCATENATE([1]Cover!$D$6,"fdd/view?i=",G575)</f>
        <v>https://www.dgiwg.org/FAD/fdd/view?i=100420</v>
      </c>
      <c r="I575" s="8" t="s">
        <v>3769</v>
      </c>
      <c r="J575" s="38" t="s">
        <v>151</v>
      </c>
    </row>
    <row r="576" spans="1:10" ht="38.25">
      <c r="A576" s="302" t="str">
        <f t="shared" si="8"/>
        <v>SatelliteBasedAugSystem</v>
      </c>
      <c r="B576" s="6" t="s">
        <v>3774</v>
      </c>
      <c r="C576" s="17" t="s">
        <v>3775</v>
      </c>
      <c r="D576" s="10" t="s">
        <v>3776</v>
      </c>
      <c r="E576" s="55"/>
      <c r="F576" s="55"/>
      <c r="G576" s="25">
        <v>114520</v>
      </c>
      <c r="H576" s="300" t="str">
        <f>CONCATENATE([1]Cover!$D$6,"fdd/view?i=",G576)</f>
        <v>https://www.dgiwg.org/FAD/fdd/view?i=114520</v>
      </c>
      <c r="I576" s="8" t="s">
        <v>3773</v>
      </c>
      <c r="J576" s="38" t="s">
        <v>151</v>
      </c>
    </row>
    <row r="577" spans="1:10" ht="25.5">
      <c r="A577" s="302" t="str">
        <f t="shared" si="8"/>
        <v>Scoreboard</v>
      </c>
      <c r="B577" s="6" t="s">
        <v>3778</v>
      </c>
      <c r="C577" s="17" t="s">
        <v>3778</v>
      </c>
      <c r="D577" s="10" t="s">
        <v>3779</v>
      </c>
      <c r="E577" s="10" t="s">
        <v>3780</v>
      </c>
      <c r="F577" s="55"/>
      <c r="G577" s="25">
        <v>114177</v>
      </c>
      <c r="H577" s="300" t="str">
        <f>CONCATENATE([1]Cover!$D$6,"fdd/view?i=",G577)</f>
        <v>https://www.dgiwg.org/FAD/fdd/view?i=114177</v>
      </c>
      <c r="I577" s="8" t="s">
        <v>3777</v>
      </c>
      <c r="J577" s="38" t="s">
        <v>151</v>
      </c>
    </row>
    <row r="578" spans="1:10" ht="38.25">
      <c r="A578" s="302" t="str">
        <f t="shared" si="8"/>
        <v>Scrubland</v>
      </c>
      <c r="B578" s="6" t="s">
        <v>3782</v>
      </c>
      <c r="C578" s="17" t="s">
        <v>3782</v>
      </c>
      <c r="D578" s="10" t="s">
        <v>3783</v>
      </c>
      <c r="E578" s="55"/>
      <c r="F578" s="55"/>
      <c r="G578" s="25">
        <v>111451</v>
      </c>
      <c r="H578" s="300" t="str">
        <f>CONCATENATE([1]Cover!$D$6,"fdd/view?i=",G578)</f>
        <v>https://www.dgiwg.org/FAD/fdd/view?i=111451</v>
      </c>
      <c r="I578" s="8" t="s">
        <v>3781</v>
      </c>
      <c r="J578" s="38" t="s">
        <v>151</v>
      </c>
    </row>
    <row r="579" spans="1:10" ht="38.25">
      <c r="A579" s="302" t="str">
        <f t="shared" ref="A579:A642" si="9">HYPERLINK(H579,B579)</f>
        <v>SeaplaneRun</v>
      </c>
      <c r="B579" s="6" t="s">
        <v>3785</v>
      </c>
      <c r="C579" s="17" t="s">
        <v>3786</v>
      </c>
      <c r="D579" s="10" t="s">
        <v>3787</v>
      </c>
      <c r="E579" s="55"/>
      <c r="F579" s="10" t="s">
        <v>3788</v>
      </c>
      <c r="G579" s="25">
        <v>100536</v>
      </c>
      <c r="H579" s="300" t="str">
        <f>CONCATENATE([1]Cover!$D$6,"fdd/view?i=",G579)</f>
        <v>https://www.dgiwg.org/FAD/fdd/view?i=100536</v>
      </c>
      <c r="I579" s="8" t="s">
        <v>3784</v>
      </c>
      <c r="J579" s="38" t="s">
        <v>151</v>
      </c>
    </row>
    <row r="580" spans="1:10" ht="25.5">
      <c r="A580" s="302" t="str">
        <f t="shared" si="9"/>
        <v>SearchRescueRegion</v>
      </c>
      <c r="B580" s="6" t="s">
        <v>3790</v>
      </c>
      <c r="C580" s="17" t="s">
        <v>3791</v>
      </c>
      <c r="D580" s="10" t="s">
        <v>3792</v>
      </c>
      <c r="E580" s="55"/>
      <c r="F580" s="55"/>
      <c r="G580" s="25">
        <v>119565</v>
      </c>
      <c r="H580" s="300" t="str">
        <f>CONCATENATE([1]Cover!$D$6,"fdd/view?i=",G580)</f>
        <v>https://www.dgiwg.org/FAD/fdd/view?i=119565</v>
      </c>
      <c r="I580" s="8" t="s">
        <v>3789</v>
      </c>
      <c r="J580" s="38" t="s">
        <v>151</v>
      </c>
    </row>
    <row r="581" spans="1:10" ht="38.25">
      <c r="A581" s="302" t="str">
        <f t="shared" si="9"/>
        <v>SearchRescueRespOrg</v>
      </c>
      <c r="B581" s="6" t="s">
        <v>3794</v>
      </c>
      <c r="C581" s="17" t="s">
        <v>3795</v>
      </c>
      <c r="D581" s="10" t="s">
        <v>3796</v>
      </c>
      <c r="E581" s="55"/>
      <c r="F581" s="55"/>
      <c r="G581" s="25">
        <v>119564</v>
      </c>
      <c r="H581" s="300" t="str">
        <f>CONCATENATE([1]Cover!$D$6,"fdd/view?i=",G581)</f>
        <v>https://www.dgiwg.org/FAD/fdd/view?i=119564</v>
      </c>
      <c r="I581" s="8" t="s">
        <v>3793</v>
      </c>
      <c r="J581" s="38" t="s">
        <v>151</v>
      </c>
    </row>
    <row r="582" spans="1:10" ht="51">
      <c r="A582" s="302" t="str">
        <f t="shared" si="9"/>
        <v>SearchRescueService</v>
      </c>
      <c r="B582" s="6" t="s">
        <v>3798</v>
      </c>
      <c r="C582" s="17" t="s">
        <v>3799</v>
      </c>
      <c r="D582" s="10" t="s">
        <v>3800</v>
      </c>
      <c r="E582" s="55"/>
      <c r="F582" s="55"/>
      <c r="G582" s="25">
        <v>114653</v>
      </c>
      <c r="H582" s="300" t="str">
        <f>CONCATENATE([1]Cover!$D$6,"fdd/view?i=",G582)</f>
        <v>https://www.dgiwg.org/FAD/fdd/view?i=114653</v>
      </c>
      <c r="I582" s="8" t="s">
        <v>3797</v>
      </c>
      <c r="J582" s="38" t="s">
        <v>151</v>
      </c>
    </row>
    <row r="583" spans="1:10" ht="25.5">
      <c r="A583" s="302" t="str">
        <f t="shared" si="9"/>
        <v>SearchRescueUnit</v>
      </c>
      <c r="B583" s="6" t="s">
        <v>3802</v>
      </c>
      <c r="C583" s="17" t="s">
        <v>3803</v>
      </c>
      <c r="D583" s="10" t="s">
        <v>3804</v>
      </c>
      <c r="E583" s="55"/>
      <c r="F583" s="55"/>
      <c r="G583" s="25">
        <v>119563</v>
      </c>
      <c r="H583" s="300" t="str">
        <f>CONCATENATE([1]Cover!$D$6,"fdd/view?i=",G583)</f>
        <v>https://www.dgiwg.org/FAD/fdd/view?i=119563</v>
      </c>
      <c r="I583" s="8" t="s">
        <v>3801</v>
      </c>
      <c r="J583" s="38" t="s">
        <v>151</v>
      </c>
    </row>
    <row r="584" spans="1:10" ht="25.5">
      <c r="A584" s="302" t="str">
        <f t="shared" si="9"/>
        <v>MD_SecurityConstraints</v>
      </c>
      <c r="B584" s="6" t="s">
        <v>3806</v>
      </c>
      <c r="C584" s="17" t="s">
        <v>3807</v>
      </c>
      <c r="D584" s="10" t="s">
        <v>3808</v>
      </c>
      <c r="E584" s="55"/>
      <c r="F584" s="55"/>
      <c r="G584" s="25">
        <v>203452</v>
      </c>
      <c r="H584" s="300" t="str">
        <f>CONCATENATE([1]Cover!$D$6,"fdd/view?i=",G584)</f>
        <v>https://www.dgiwg.org/FAD/fdd/view?i=203452</v>
      </c>
      <c r="I584" s="8" t="s">
        <v>3805</v>
      </c>
      <c r="J584" s="38" t="s">
        <v>1295</v>
      </c>
    </row>
    <row r="585" spans="1:10" ht="38.25">
      <c r="A585" s="302" t="str">
        <f t="shared" si="9"/>
        <v>SensorCalibrationPoint</v>
      </c>
      <c r="B585" s="6" t="s">
        <v>3810</v>
      </c>
      <c r="C585" s="17" t="s">
        <v>3811</v>
      </c>
      <c r="D585" s="10" t="s">
        <v>3812</v>
      </c>
      <c r="E585" s="10" t="s">
        <v>3813</v>
      </c>
      <c r="F585" s="55"/>
      <c r="G585" s="25">
        <v>119708</v>
      </c>
      <c r="H585" s="300" t="str">
        <f>CONCATENATE([1]Cover!$D$6,"fdd/view?i=",G585)</f>
        <v>https://www.dgiwg.org/FAD/fdd/view?i=119708</v>
      </c>
      <c r="I585" s="8" t="s">
        <v>3809</v>
      </c>
      <c r="J585" s="38" t="s">
        <v>1295</v>
      </c>
    </row>
    <row r="586" spans="1:10" ht="51">
      <c r="A586" s="302" t="str">
        <f t="shared" si="9"/>
        <v>Series</v>
      </c>
      <c r="B586" s="6" t="s">
        <v>3815</v>
      </c>
      <c r="C586" s="17" t="s">
        <v>3815</v>
      </c>
      <c r="D586" s="10" t="s">
        <v>3816</v>
      </c>
      <c r="E586" s="10" t="s">
        <v>3817</v>
      </c>
      <c r="F586" s="55"/>
      <c r="G586" s="25">
        <v>117765</v>
      </c>
      <c r="H586" s="300" t="str">
        <f>CONCATENATE([1]Cover!$D$6,"fdd/view?i=",G586)</f>
        <v>https://www.dgiwg.org/FAD/fdd/view?i=117765</v>
      </c>
      <c r="I586" s="8" t="s">
        <v>3814</v>
      </c>
      <c r="J586" s="38" t="s">
        <v>151</v>
      </c>
    </row>
    <row r="587" spans="1:10" ht="38.25">
      <c r="A587" s="302" t="str">
        <f t="shared" si="9"/>
        <v>ServicePopulationInfo</v>
      </c>
      <c r="B587" s="6" t="s">
        <v>3819</v>
      </c>
      <c r="C587" s="17" t="s">
        <v>3820</v>
      </c>
      <c r="D587" s="10" t="s">
        <v>3821</v>
      </c>
      <c r="E587" s="55"/>
      <c r="F587" s="55"/>
      <c r="G587" s="25">
        <v>204291</v>
      </c>
      <c r="H587" s="300" t="str">
        <f>CONCATENATE([1]Cover!$D$6,"fdd/view?i=",G587)</f>
        <v>https://www.dgiwg.org/FAD/fdd/view?i=204291</v>
      </c>
      <c r="I587" s="8" t="s">
        <v>3818</v>
      </c>
      <c r="J587" s="38" t="s">
        <v>1295</v>
      </c>
    </row>
    <row r="588" spans="1:10" ht="25.5">
      <c r="A588" s="302" t="str">
        <f t="shared" si="9"/>
        <v>Settlement</v>
      </c>
      <c r="B588" s="6" t="s">
        <v>3823</v>
      </c>
      <c r="C588" s="17" t="s">
        <v>3823</v>
      </c>
      <c r="D588" s="10" t="s">
        <v>3824</v>
      </c>
      <c r="E588" s="10" t="s">
        <v>3825</v>
      </c>
      <c r="F588" s="55"/>
      <c r="G588" s="25">
        <v>100102</v>
      </c>
      <c r="H588" s="300" t="str">
        <f>CONCATENATE([1]Cover!$D$6,"fdd/view?i=",G588)</f>
        <v>https://www.dgiwg.org/FAD/fdd/view?i=100102</v>
      </c>
      <c r="I588" s="8" t="s">
        <v>3822</v>
      </c>
      <c r="J588" s="38" t="s">
        <v>151</v>
      </c>
    </row>
    <row r="589" spans="1:10" ht="25.5">
      <c r="A589" s="302" t="str">
        <f t="shared" si="9"/>
        <v>SettlingPond</v>
      </c>
      <c r="B589" s="6" t="s">
        <v>3827</v>
      </c>
      <c r="C589" s="17" t="s">
        <v>3828</v>
      </c>
      <c r="D589" s="10" t="s">
        <v>3829</v>
      </c>
      <c r="E589" s="55"/>
      <c r="F589" s="10" t="s">
        <v>3830</v>
      </c>
      <c r="G589" s="25">
        <v>100018</v>
      </c>
      <c r="H589" s="300" t="str">
        <f>CONCATENATE([1]Cover!$D$6,"fdd/view?i=",G589)</f>
        <v>https://www.dgiwg.org/FAD/fdd/view?i=100018</v>
      </c>
      <c r="I589" s="8" t="s">
        <v>3826</v>
      </c>
      <c r="J589" s="38" t="s">
        <v>151</v>
      </c>
    </row>
    <row r="590" spans="1:10" ht="25.5">
      <c r="A590" s="302" t="str">
        <f t="shared" si="9"/>
        <v>SewageTreatmentPlant</v>
      </c>
      <c r="B590" s="6" t="s">
        <v>3832</v>
      </c>
      <c r="C590" s="17" t="s">
        <v>3833</v>
      </c>
      <c r="D590" s="10" t="s">
        <v>3834</v>
      </c>
      <c r="E590" s="55"/>
      <c r="F590" s="55"/>
      <c r="G590" s="25">
        <v>111344</v>
      </c>
      <c r="H590" s="300" t="str">
        <f>CONCATENATE([1]Cover!$D$6,"fdd/view?i=",G590)</f>
        <v>https://www.dgiwg.org/FAD/fdd/view?i=111344</v>
      </c>
      <c r="I590" s="8" t="s">
        <v>3831</v>
      </c>
      <c r="J590" s="38" t="s">
        <v>151</v>
      </c>
    </row>
    <row r="591" spans="1:10" ht="38.25">
      <c r="A591" s="302" t="str">
        <f t="shared" si="9"/>
        <v>ShallowWaterArea</v>
      </c>
      <c r="B591" s="6" t="s">
        <v>3836</v>
      </c>
      <c r="C591" s="17" t="s">
        <v>3837</v>
      </c>
      <c r="D591" s="10" t="s">
        <v>3838</v>
      </c>
      <c r="E591" s="10" t="s">
        <v>3839</v>
      </c>
      <c r="F591" s="55"/>
      <c r="G591" s="25">
        <v>114183</v>
      </c>
      <c r="H591" s="300" t="str">
        <f>CONCATENATE([1]Cover!$D$6,"fdd/view?i=",G591)</f>
        <v>https://www.dgiwg.org/FAD/fdd/view?i=114183</v>
      </c>
      <c r="I591" s="8" t="s">
        <v>3835</v>
      </c>
      <c r="J591" s="38" t="s">
        <v>151</v>
      </c>
    </row>
    <row r="592" spans="1:10" ht="25.5">
      <c r="A592" s="302" t="str">
        <f t="shared" si="9"/>
        <v>ShantyTown</v>
      </c>
      <c r="B592" s="6" t="s">
        <v>3841</v>
      </c>
      <c r="C592" s="17" t="s">
        <v>3842</v>
      </c>
      <c r="D592" s="10" t="s">
        <v>3843</v>
      </c>
      <c r="E592" s="10" t="s">
        <v>3844</v>
      </c>
      <c r="F592" s="55"/>
      <c r="G592" s="25">
        <v>100117</v>
      </c>
      <c r="H592" s="300" t="str">
        <f>CONCATENATE([1]Cover!$D$6,"fdd/view?i=",G592)</f>
        <v>https://www.dgiwg.org/FAD/fdd/view?i=100117</v>
      </c>
      <c r="I592" s="8" t="s">
        <v>3840</v>
      </c>
      <c r="J592" s="38" t="s">
        <v>151</v>
      </c>
    </row>
    <row r="593" spans="1:10" ht="25.5">
      <c r="A593" s="302" t="str">
        <f t="shared" si="9"/>
        <v>SharpCurve</v>
      </c>
      <c r="B593" s="6" t="s">
        <v>3846</v>
      </c>
      <c r="C593" s="17" t="s">
        <v>3847</v>
      </c>
      <c r="D593" s="10" t="s">
        <v>3848</v>
      </c>
      <c r="E593" s="55"/>
      <c r="F593" s="10" t="s">
        <v>3849</v>
      </c>
      <c r="G593" s="25">
        <v>100178</v>
      </c>
      <c r="H593" s="300" t="str">
        <f>CONCATENATE([1]Cover!$D$6,"fdd/view?i=",G593)</f>
        <v>https://www.dgiwg.org/FAD/fdd/view?i=100178</v>
      </c>
      <c r="I593" s="8" t="s">
        <v>3845</v>
      </c>
      <c r="J593" s="38" t="s">
        <v>151</v>
      </c>
    </row>
    <row r="594" spans="1:10">
      <c r="A594" s="302" t="str">
        <f t="shared" si="9"/>
        <v>ShearWall</v>
      </c>
      <c r="B594" s="6" t="s">
        <v>3851</v>
      </c>
      <c r="C594" s="17" t="s">
        <v>3852</v>
      </c>
      <c r="D594" s="10" t="s">
        <v>3853</v>
      </c>
      <c r="E594" s="55"/>
      <c r="F594" s="55"/>
      <c r="G594" s="25">
        <v>100002</v>
      </c>
      <c r="H594" s="300" t="str">
        <f>CONCATENATE([1]Cover!$D$6,"fdd/view?i=",G594)</f>
        <v>https://www.dgiwg.org/FAD/fdd/view?i=100002</v>
      </c>
      <c r="I594" s="8" t="s">
        <v>3850</v>
      </c>
      <c r="J594" s="38" t="s">
        <v>151</v>
      </c>
    </row>
    <row r="595" spans="1:10" ht="25.5">
      <c r="A595" s="302" t="str">
        <f t="shared" si="9"/>
        <v>Shed</v>
      </c>
      <c r="B595" s="6" t="s">
        <v>3855</v>
      </c>
      <c r="C595" s="17" t="s">
        <v>3855</v>
      </c>
      <c r="D595" s="10" t="s">
        <v>3856</v>
      </c>
      <c r="E595" s="10" t="s">
        <v>3857</v>
      </c>
      <c r="F595" s="55"/>
      <c r="G595" s="25">
        <v>100084</v>
      </c>
      <c r="H595" s="300" t="str">
        <f>CONCATENATE([1]Cover!$D$6,"fdd/view?i=",G595)</f>
        <v>https://www.dgiwg.org/FAD/fdd/view?i=100084</v>
      </c>
      <c r="I595" s="8" t="s">
        <v>3854</v>
      </c>
      <c r="J595" s="38" t="s">
        <v>151</v>
      </c>
    </row>
    <row r="596" spans="1:10" ht="38.25">
      <c r="A596" s="302" t="str">
        <f t="shared" si="9"/>
        <v>ShipElevator</v>
      </c>
      <c r="B596" s="6" t="s">
        <v>3859</v>
      </c>
      <c r="C596" s="17" t="s">
        <v>3860</v>
      </c>
      <c r="D596" s="10" t="s">
        <v>3861</v>
      </c>
      <c r="E596" s="10" t="s">
        <v>3862</v>
      </c>
      <c r="F596" s="55"/>
      <c r="G596" s="25">
        <v>114374</v>
      </c>
      <c r="H596" s="300" t="str">
        <f>CONCATENATE([1]Cover!$D$6,"fdd/view?i=",G596)</f>
        <v>https://www.dgiwg.org/FAD/fdd/view?i=114374</v>
      </c>
      <c r="I596" s="8" t="s">
        <v>3858</v>
      </c>
      <c r="J596" s="38" t="s">
        <v>151</v>
      </c>
    </row>
    <row r="597" spans="1:10" ht="63.75">
      <c r="A597" s="302" t="str">
        <f t="shared" si="9"/>
        <v>ShippingContainer</v>
      </c>
      <c r="B597" s="6" t="s">
        <v>3864</v>
      </c>
      <c r="C597" s="17" t="s">
        <v>3865</v>
      </c>
      <c r="D597" s="10" t="s">
        <v>3866</v>
      </c>
      <c r="E597" s="10" t="s">
        <v>3867</v>
      </c>
      <c r="F597" s="55"/>
      <c r="G597" s="25">
        <v>100126</v>
      </c>
      <c r="H597" s="300" t="str">
        <f>CONCATENATE([1]Cover!$D$6,"fdd/view?i=",G597)</f>
        <v>https://www.dgiwg.org/FAD/fdd/view?i=100126</v>
      </c>
      <c r="I597" s="8" t="s">
        <v>3863</v>
      </c>
      <c r="J597" s="38" t="s">
        <v>151</v>
      </c>
    </row>
    <row r="598" spans="1:10" ht="25.5">
      <c r="A598" s="302" t="str">
        <f t="shared" si="9"/>
        <v>Shipyard</v>
      </c>
      <c r="B598" s="6" t="s">
        <v>3869</v>
      </c>
      <c r="C598" s="17" t="s">
        <v>3869</v>
      </c>
      <c r="D598" s="10" t="s">
        <v>3870</v>
      </c>
      <c r="E598" s="55"/>
      <c r="F598" s="55"/>
      <c r="G598" s="25">
        <v>111439</v>
      </c>
      <c r="H598" s="300" t="str">
        <f>CONCATENATE([1]Cover!$D$6,"fdd/view?i=",G598)</f>
        <v>https://www.dgiwg.org/FAD/fdd/view?i=111439</v>
      </c>
      <c r="I598" s="8" t="s">
        <v>3868</v>
      </c>
      <c r="J598" s="38" t="s">
        <v>151</v>
      </c>
    </row>
    <row r="599" spans="1:10" ht="102">
      <c r="A599" s="302" t="str">
        <f t="shared" si="9"/>
        <v>ShoppingComplex</v>
      </c>
      <c r="B599" s="6" t="s">
        <v>3872</v>
      </c>
      <c r="C599" s="17" t="s">
        <v>3873</v>
      </c>
      <c r="D599" s="10" t="s">
        <v>3874</v>
      </c>
      <c r="E599" s="10" t="s">
        <v>3875</v>
      </c>
      <c r="F599" s="10" t="s">
        <v>3876</v>
      </c>
      <c r="G599" s="25">
        <v>111400</v>
      </c>
      <c r="H599" s="300" t="str">
        <f>CONCATENATE([1]Cover!$D$6,"fdd/view?i=",G599)</f>
        <v>https://www.dgiwg.org/FAD/fdd/view?i=111400</v>
      </c>
      <c r="I599" s="8" t="s">
        <v>3871</v>
      </c>
      <c r="J599" s="38" t="s">
        <v>151</v>
      </c>
    </row>
    <row r="600" spans="1:10" ht="25.5">
      <c r="A600" s="302" t="str">
        <f t="shared" si="9"/>
        <v>Shoreline</v>
      </c>
      <c r="B600" s="6" t="s">
        <v>3878</v>
      </c>
      <c r="C600" s="17" t="s">
        <v>3878</v>
      </c>
      <c r="D600" s="10" t="s">
        <v>3879</v>
      </c>
      <c r="E600" s="10" t="s">
        <v>3880</v>
      </c>
      <c r="F600" s="55"/>
      <c r="G600" s="25">
        <v>100210</v>
      </c>
      <c r="H600" s="300" t="str">
        <f>CONCATENATE([1]Cover!$D$6,"fdd/view?i=",G600)</f>
        <v>https://www.dgiwg.org/FAD/fdd/view?i=100210</v>
      </c>
      <c r="I600" s="8" t="s">
        <v>3877</v>
      </c>
      <c r="J600" s="38" t="s">
        <v>151</v>
      </c>
    </row>
    <row r="601" spans="1:10" ht="63.75">
      <c r="A601" s="302" t="str">
        <f t="shared" si="9"/>
        <v>ShorelineConstruction</v>
      </c>
      <c r="B601" s="6" t="s">
        <v>3882</v>
      </c>
      <c r="C601" s="17" t="s">
        <v>3883</v>
      </c>
      <c r="D601" s="10" t="s">
        <v>3884</v>
      </c>
      <c r="E601" s="10" t="s">
        <v>3885</v>
      </c>
      <c r="F601" s="55"/>
      <c r="G601" s="25">
        <v>100234</v>
      </c>
      <c r="H601" s="300" t="str">
        <f>CONCATENATE([1]Cover!$D$6,"fdd/view?i=",G601)</f>
        <v>https://www.dgiwg.org/FAD/fdd/view?i=100234</v>
      </c>
      <c r="I601" s="8" t="s">
        <v>3881</v>
      </c>
      <c r="J601" s="38" t="s">
        <v>151</v>
      </c>
    </row>
    <row r="602" spans="1:10" ht="38.25">
      <c r="A602" s="302" t="str">
        <f t="shared" si="9"/>
        <v>ShorelineRamp</v>
      </c>
      <c r="B602" s="6" t="s">
        <v>3887</v>
      </c>
      <c r="C602" s="17" t="s">
        <v>3888</v>
      </c>
      <c r="D602" s="10" t="s">
        <v>3889</v>
      </c>
      <c r="E602" s="55"/>
      <c r="F602" s="55"/>
      <c r="G602" s="25">
        <v>111437</v>
      </c>
      <c r="H602" s="300" t="str">
        <f>CONCATENATE([1]Cover!$D$6,"fdd/view?i=",G602)</f>
        <v>https://www.dgiwg.org/FAD/fdd/view?i=111437</v>
      </c>
      <c r="I602" s="8" t="s">
        <v>3886</v>
      </c>
      <c r="J602" s="38" t="s">
        <v>151</v>
      </c>
    </row>
    <row r="603" spans="1:10" ht="51">
      <c r="A603" s="302" t="str">
        <f t="shared" si="9"/>
        <v>ShrubLand</v>
      </c>
      <c r="B603" s="6" t="s">
        <v>3891</v>
      </c>
      <c r="C603" s="17" t="s">
        <v>3892</v>
      </c>
      <c r="D603" s="10" t="s">
        <v>3893</v>
      </c>
      <c r="E603" s="10" t="s">
        <v>3894</v>
      </c>
      <c r="F603" s="55"/>
      <c r="G603" s="25">
        <v>203304</v>
      </c>
      <c r="H603" s="300" t="str">
        <f>CONCATENATE([1]Cover!$D$6,"fdd/view?i=",G603)</f>
        <v>https://www.dgiwg.org/FAD/fdd/view?i=203304</v>
      </c>
      <c r="I603" s="8" t="s">
        <v>3890</v>
      </c>
      <c r="J603" s="38" t="s">
        <v>1295</v>
      </c>
    </row>
    <row r="604" spans="1:10">
      <c r="A604" s="302" t="str">
        <f t="shared" si="9"/>
        <v>SideScanSonarCoverage</v>
      </c>
      <c r="B604" s="6" t="s">
        <v>3896</v>
      </c>
      <c r="C604" s="17" t="s">
        <v>3897</v>
      </c>
      <c r="D604" s="10" t="s">
        <v>3898</v>
      </c>
      <c r="E604" s="55"/>
      <c r="F604" s="55"/>
      <c r="G604" s="25">
        <v>111458</v>
      </c>
      <c r="H604" s="300" t="str">
        <f>CONCATENATE([1]Cover!$D$6,"fdd/view?i=",G604)</f>
        <v>https://www.dgiwg.org/FAD/fdd/view?i=111458</v>
      </c>
      <c r="I604" s="8" t="s">
        <v>3895</v>
      </c>
      <c r="J604" s="38" t="s">
        <v>151</v>
      </c>
    </row>
    <row r="605" spans="1:10" ht="25.5">
      <c r="A605" s="302" t="str">
        <f t="shared" si="9"/>
        <v>Sidewalk</v>
      </c>
      <c r="B605" s="6" t="s">
        <v>3900</v>
      </c>
      <c r="C605" s="17" t="s">
        <v>3900</v>
      </c>
      <c r="D605" s="10" t="s">
        <v>3901</v>
      </c>
      <c r="E605" s="55"/>
      <c r="F605" s="55"/>
      <c r="G605" s="25">
        <v>100154</v>
      </c>
      <c r="H605" s="300" t="str">
        <f>CONCATENATE([1]Cover!$D$6,"fdd/view?i=",G605)</f>
        <v>https://www.dgiwg.org/FAD/fdd/view?i=100154</v>
      </c>
      <c r="I605" s="8" t="s">
        <v>3899</v>
      </c>
      <c r="J605" s="38" t="s">
        <v>151</v>
      </c>
    </row>
    <row r="606" spans="1:10" ht="38.25">
      <c r="A606" s="302" t="str">
        <f t="shared" si="9"/>
        <v>SignificantPoint</v>
      </c>
      <c r="B606" s="6" t="s">
        <v>3903</v>
      </c>
      <c r="C606" s="17" t="s">
        <v>3904</v>
      </c>
      <c r="D606" s="10" t="s">
        <v>3905</v>
      </c>
      <c r="E606" s="55"/>
      <c r="F606" s="55"/>
      <c r="G606" s="25">
        <v>114515</v>
      </c>
      <c r="H606" s="300" t="str">
        <f>CONCATENATE([1]Cover!$D$6,"fdd/view?i=",G606)</f>
        <v>https://www.dgiwg.org/FAD/fdd/view?i=114515</v>
      </c>
      <c r="I606" s="8" t="s">
        <v>3902</v>
      </c>
      <c r="J606" s="38" t="s">
        <v>151</v>
      </c>
    </row>
    <row r="607" spans="1:10" ht="38.25">
      <c r="A607" s="302" t="str">
        <f t="shared" si="9"/>
        <v>SigPointAssocToAirspace</v>
      </c>
      <c r="B607" s="6" t="s">
        <v>3907</v>
      </c>
      <c r="C607" s="17" t="s">
        <v>3908</v>
      </c>
      <c r="D607" s="10" t="s">
        <v>3909</v>
      </c>
      <c r="E607" s="10" t="s">
        <v>3910</v>
      </c>
      <c r="F607" s="10" t="s">
        <v>3911</v>
      </c>
      <c r="G607" s="25">
        <v>114497</v>
      </c>
      <c r="H607" s="300" t="str">
        <f>CONCATENATE([1]Cover!$D$6,"fdd/view?i=",G607)</f>
        <v>https://www.dgiwg.org/FAD/fdd/view?i=114497</v>
      </c>
      <c r="I607" s="8" t="s">
        <v>3906</v>
      </c>
      <c r="J607" s="38" t="s">
        <v>151</v>
      </c>
    </row>
    <row r="608" spans="1:10" ht="89.25">
      <c r="A608" s="302" t="str">
        <f t="shared" si="9"/>
        <v>SimplifiedDirectionFacility</v>
      </c>
      <c r="B608" s="6" t="s">
        <v>3913</v>
      </c>
      <c r="C608" s="17" t="s">
        <v>3914</v>
      </c>
      <c r="D608" s="10" t="s">
        <v>3915</v>
      </c>
      <c r="E608" s="10" t="s">
        <v>3916</v>
      </c>
      <c r="F608" s="10" t="s">
        <v>3917</v>
      </c>
      <c r="G608" s="25">
        <v>119558</v>
      </c>
      <c r="H608" s="300" t="str">
        <f>CONCATENATE([1]Cover!$D$6,"fdd/view?i=",G608)</f>
        <v>https://www.dgiwg.org/FAD/fdd/view?i=119558</v>
      </c>
      <c r="I608" s="8" t="s">
        <v>3912</v>
      </c>
      <c r="J608" s="38" t="s">
        <v>151</v>
      </c>
    </row>
    <row r="609" spans="1:10" ht="25.5">
      <c r="A609" s="302" t="str">
        <f t="shared" si="9"/>
        <v>SC_SingleCRS</v>
      </c>
      <c r="B609" s="6" t="s">
        <v>3919</v>
      </c>
      <c r="C609" s="17" t="s">
        <v>3920</v>
      </c>
      <c r="D609" s="10" t="s">
        <v>3921</v>
      </c>
      <c r="E609" s="10" t="s">
        <v>3922</v>
      </c>
      <c r="F609" s="55"/>
      <c r="G609" s="25">
        <v>207309</v>
      </c>
      <c r="H609" s="300" t="str">
        <f>CONCATENATE([1]Cover!$D$6,"fdd/view?i=",G609)</f>
        <v>https://www.dgiwg.org/FAD/fdd/view?i=207309</v>
      </c>
      <c r="I609" s="8" t="s">
        <v>3918</v>
      </c>
      <c r="J609" s="38" t="s">
        <v>1295</v>
      </c>
    </row>
    <row r="610" spans="1:10" ht="25.5">
      <c r="A610" s="302" t="str">
        <f t="shared" si="9"/>
        <v>SkiJump</v>
      </c>
      <c r="B610" s="6" t="s">
        <v>3924</v>
      </c>
      <c r="C610" s="17" t="s">
        <v>3925</v>
      </c>
      <c r="D610" s="10" t="s">
        <v>3926</v>
      </c>
      <c r="E610" s="55"/>
      <c r="F610" s="55"/>
      <c r="G610" s="25">
        <v>100072</v>
      </c>
      <c r="H610" s="300" t="str">
        <f>CONCATENATE([1]Cover!$D$6,"fdd/view?i=",G610)</f>
        <v>https://www.dgiwg.org/FAD/fdd/view?i=100072</v>
      </c>
      <c r="I610" s="8" t="s">
        <v>3923</v>
      </c>
      <c r="J610" s="38" t="s">
        <v>151</v>
      </c>
    </row>
    <row r="611" spans="1:10">
      <c r="A611" s="302" t="str">
        <f t="shared" si="9"/>
        <v>SkiRun</v>
      </c>
      <c r="B611" s="6" t="s">
        <v>3928</v>
      </c>
      <c r="C611" s="17" t="s">
        <v>3929</v>
      </c>
      <c r="D611" s="10" t="s">
        <v>3930</v>
      </c>
      <c r="E611" s="55"/>
      <c r="F611" s="10" t="s">
        <v>3931</v>
      </c>
      <c r="G611" s="25">
        <v>100073</v>
      </c>
      <c r="H611" s="300" t="str">
        <f>CONCATENATE([1]Cover!$D$6,"fdd/view?i=",G611)</f>
        <v>https://www.dgiwg.org/FAD/fdd/view?i=100073</v>
      </c>
      <c r="I611" s="8" t="s">
        <v>3927</v>
      </c>
      <c r="J611" s="38" t="s">
        <v>151</v>
      </c>
    </row>
    <row r="612" spans="1:10">
      <c r="A612" s="302" t="str">
        <f t="shared" si="9"/>
        <v>SlopeRegion</v>
      </c>
      <c r="B612" s="6" t="s">
        <v>3933</v>
      </c>
      <c r="C612" s="17" t="s">
        <v>3934</v>
      </c>
      <c r="D612" s="10" t="s">
        <v>3935</v>
      </c>
      <c r="E612" s="55"/>
      <c r="F612" s="55"/>
      <c r="G612" s="25">
        <v>100557</v>
      </c>
      <c r="H612" s="300" t="str">
        <f>CONCATENATE([1]Cover!$D$6,"fdd/view?i=",G612)</f>
        <v>https://www.dgiwg.org/FAD/fdd/view?i=100557</v>
      </c>
      <c r="I612" s="8" t="s">
        <v>3932</v>
      </c>
      <c r="J612" s="38" t="s">
        <v>151</v>
      </c>
    </row>
    <row r="613" spans="1:10" ht="127.5">
      <c r="A613" s="302" t="str">
        <f t="shared" si="9"/>
        <v>SluiceGate</v>
      </c>
      <c r="B613" s="6" t="s">
        <v>3937</v>
      </c>
      <c r="C613" s="17" t="s">
        <v>3938</v>
      </c>
      <c r="D613" s="10" t="s">
        <v>3939</v>
      </c>
      <c r="E613" s="10" t="s">
        <v>3940</v>
      </c>
      <c r="F613" s="55"/>
      <c r="G613" s="25">
        <v>100372</v>
      </c>
      <c r="H613" s="300" t="str">
        <f>CONCATENATE([1]Cover!$D$6,"fdd/view?i=",G613)</f>
        <v>https://www.dgiwg.org/FAD/fdd/view?i=100372</v>
      </c>
      <c r="I613" s="8" t="s">
        <v>3936</v>
      </c>
      <c r="J613" s="38" t="s">
        <v>151</v>
      </c>
    </row>
    <row r="614" spans="1:10" ht="51">
      <c r="A614" s="302" t="str">
        <f t="shared" si="9"/>
        <v>SmallBottomObject</v>
      </c>
      <c r="B614" s="6" t="s">
        <v>3942</v>
      </c>
      <c r="C614" s="17" t="s">
        <v>3943</v>
      </c>
      <c r="D614" s="10" t="s">
        <v>3944</v>
      </c>
      <c r="E614" s="10" t="s">
        <v>3945</v>
      </c>
      <c r="F614" s="55"/>
      <c r="G614" s="25">
        <v>111442</v>
      </c>
      <c r="H614" s="300" t="str">
        <f>CONCATENATE([1]Cover!$D$6,"fdd/view?i=",G614)</f>
        <v>https://www.dgiwg.org/FAD/fdd/view?i=111442</v>
      </c>
      <c r="I614" s="8" t="s">
        <v>3941</v>
      </c>
      <c r="J614" s="38" t="s">
        <v>151</v>
      </c>
    </row>
    <row r="615" spans="1:10" ht="25.5">
      <c r="A615" s="302" t="str">
        <f t="shared" si="9"/>
        <v>SmallCraftFacility</v>
      </c>
      <c r="B615" s="6" t="s">
        <v>3947</v>
      </c>
      <c r="C615" s="17" t="s">
        <v>3948</v>
      </c>
      <c r="D615" s="10" t="s">
        <v>3949</v>
      </c>
      <c r="E615" s="55"/>
      <c r="F615" s="55"/>
      <c r="G615" s="25">
        <v>100252</v>
      </c>
      <c r="H615" s="300" t="str">
        <f>CONCATENATE([1]Cover!$D$6,"fdd/view?i=",G615)</f>
        <v>https://www.dgiwg.org/FAD/fdd/view?i=100252</v>
      </c>
      <c r="I615" s="8" t="s">
        <v>3946</v>
      </c>
      <c r="J615" s="38" t="s">
        <v>151</v>
      </c>
    </row>
    <row r="616" spans="1:10" ht="25.5">
      <c r="A616" s="302" t="str">
        <f t="shared" si="9"/>
        <v>Smokestack</v>
      </c>
      <c r="B616" s="6" t="s">
        <v>3951</v>
      </c>
      <c r="C616" s="17" t="s">
        <v>3951</v>
      </c>
      <c r="D616" s="10" t="s">
        <v>3952</v>
      </c>
      <c r="E616" s="55"/>
      <c r="F616" s="10" t="s">
        <v>3953</v>
      </c>
      <c r="G616" s="25">
        <v>100028</v>
      </c>
      <c r="H616" s="300" t="str">
        <f>CONCATENATE([1]Cover!$D$6,"fdd/view?i=",G616)</f>
        <v>https://www.dgiwg.org/FAD/fdd/view?i=100028</v>
      </c>
      <c r="I616" s="8" t="s">
        <v>3950</v>
      </c>
      <c r="J616" s="38" t="s">
        <v>151</v>
      </c>
    </row>
    <row r="617" spans="1:10" ht="51">
      <c r="A617" s="302" t="str">
        <f t="shared" si="9"/>
        <v>Snag</v>
      </c>
      <c r="B617" s="6" t="s">
        <v>3955</v>
      </c>
      <c r="C617" s="17" t="s">
        <v>3955</v>
      </c>
      <c r="D617" s="10" t="s">
        <v>3956</v>
      </c>
      <c r="E617" s="10" t="s">
        <v>3957</v>
      </c>
      <c r="F617" s="55"/>
      <c r="G617" s="25">
        <v>100307</v>
      </c>
      <c r="H617" s="300" t="str">
        <f>CONCATENATE([1]Cover!$D$6,"fdd/view?i=",G617)</f>
        <v>https://www.dgiwg.org/FAD/fdd/view?i=100307</v>
      </c>
      <c r="I617" s="8" t="s">
        <v>3954</v>
      </c>
      <c r="J617" s="38" t="s">
        <v>151</v>
      </c>
    </row>
    <row r="618" spans="1:10">
      <c r="A618" s="302" t="str">
        <f t="shared" si="9"/>
        <v>SnowIceField</v>
      </c>
      <c r="B618" s="6" t="s">
        <v>3959</v>
      </c>
      <c r="C618" s="17" t="s">
        <v>3960</v>
      </c>
      <c r="D618" s="10" t="s">
        <v>3961</v>
      </c>
      <c r="E618" s="10" t="s">
        <v>3962</v>
      </c>
      <c r="F618" s="55"/>
      <c r="G618" s="25">
        <v>100387</v>
      </c>
      <c r="H618" s="300" t="str">
        <f>CONCATENATE([1]Cover!$D$6,"fdd/view?i=",G618)</f>
        <v>https://www.dgiwg.org/FAD/fdd/view?i=100387</v>
      </c>
      <c r="I618" s="8" t="s">
        <v>3958</v>
      </c>
      <c r="J618" s="38" t="s">
        <v>151</v>
      </c>
    </row>
    <row r="619" spans="1:10" ht="114.75">
      <c r="A619" s="302" t="str">
        <f t="shared" si="9"/>
        <v>SocialGroup</v>
      </c>
      <c r="B619" s="6" t="s">
        <v>3964</v>
      </c>
      <c r="C619" s="17" t="s">
        <v>3965</v>
      </c>
      <c r="D619" s="10" t="s">
        <v>3966</v>
      </c>
      <c r="E619" s="10" t="s">
        <v>3967</v>
      </c>
      <c r="F619" s="55"/>
      <c r="G619" s="25">
        <v>207078</v>
      </c>
      <c r="H619" s="300" t="str">
        <f>CONCATENATE([1]Cover!$D$6,"fdd/view?i=",G619)</f>
        <v>https://www.dgiwg.org/FAD/fdd/view?i=207078</v>
      </c>
      <c r="I619" s="8" t="s">
        <v>3963</v>
      </c>
      <c r="J619" s="38" t="s">
        <v>1295</v>
      </c>
    </row>
    <row r="620" spans="1:10" ht="25.5">
      <c r="A620" s="302" t="str">
        <f t="shared" si="9"/>
        <v>SoilSurfaceRegion</v>
      </c>
      <c r="B620" s="6" t="s">
        <v>3969</v>
      </c>
      <c r="C620" s="17" t="s">
        <v>3970</v>
      </c>
      <c r="D620" s="10" t="s">
        <v>3971</v>
      </c>
      <c r="E620" s="55"/>
      <c r="F620" s="55"/>
      <c r="G620" s="25">
        <v>100402</v>
      </c>
      <c r="H620" s="300" t="str">
        <f>CONCATENATE([1]Cover!$D$6,"fdd/view?i=",G620)</f>
        <v>https://www.dgiwg.org/FAD/fdd/view?i=100402</v>
      </c>
      <c r="I620" s="8" t="s">
        <v>3968</v>
      </c>
      <c r="J620" s="38" t="s">
        <v>151</v>
      </c>
    </row>
    <row r="621" spans="1:10" ht="38.25">
      <c r="A621" s="302" t="str">
        <f t="shared" si="9"/>
        <v>SolarFarm</v>
      </c>
      <c r="B621" s="6" t="s">
        <v>3973</v>
      </c>
      <c r="C621" s="17" t="s">
        <v>3974</v>
      </c>
      <c r="D621" s="10" t="s">
        <v>3975</v>
      </c>
      <c r="E621" s="10" t="s">
        <v>3976</v>
      </c>
      <c r="F621" s="55"/>
      <c r="G621" s="25">
        <v>111399</v>
      </c>
      <c r="H621" s="300" t="str">
        <f>CONCATENATE([1]Cover!$D$6,"fdd/view?i=",G621)</f>
        <v>https://www.dgiwg.org/FAD/fdd/view?i=111399</v>
      </c>
      <c r="I621" s="8" t="s">
        <v>3972</v>
      </c>
      <c r="J621" s="38" t="s">
        <v>151</v>
      </c>
    </row>
    <row r="622" spans="1:10" ht="25.5">
      <c r="A622" s="302" t="str">
        <f t="shared" si="9"/>
        <v>SolarPanel</v>
      </c>
      <c r="B622" s="6" t="s">
        <v>3978</v>
      </c>
      <c r="C622" s="17" t="s">
        <v>3979</v>
      </c>
      <c r="D622" s="10" t="s">
        <v>3980</v>
      </c>
      <c r="E622" s="55"/>
      <c r="F622" s="55"/>
      <c r="G622" s="25">
        <v>100023</v>
      </c>
      <c r="H622" s="300" t="str">
        <f>CONCATENATE([1]Cover!$D$6,"fdd/view?i=",G622)</f>
        <v>https://www.dgiwg.org/FAD/fdd/view?i=100023</v>
      </c>
      <c r="I622" s="8" t="s">
        <v>3977</v>
      </c>
      <c r="J622" s="38" t="s">
        <v>151</v>
      </c>
    </row>
    <row r="623" spans="1:10" ht="25.5">
      <c r="A623" s="302" t="str">
        <f t="shared" si="9"/>
        <v>SoundSignalDevice</v>
      </c>
      <c r="B623" s="6" t="s">
        <v>3982</v>
      </c>
      <c r="C623" s="17" t="s">
        <v>3983</v>
      </c>
      <c r="D623" s="10" t="s">
        <v>3984</v>
      </c>
      <c r="E623" s="10" t="s">
        <v>3985</v>
      </c>
      <c r="F623" s="55"/>
      <c r="G623" s="25">
        <v>111441</v>
      </c>
      <c r="H623" s="300" t="str">
        <f>CONCATENATE([1]Cover!$D$6,"fdd/view?i=",G623)</f>
        <v>https://www.dgiwg.org/FAD/fdd/view?i=111441</v>
      </c>
      <c r="I623" s="8" t="s">
        <v>3981</v>
      </c>
      <c r="J623" s="38" t="s">
        <v>151</v>
      </c>
    </row>
    <row r="624" spans="1:10" ht="25.5">
      <c r="A624" s="302" t="str">
        <f t="shared" si="9"/>
        <v>Sounding</v>
      </c>
      <c r="B624" s="6" t="s">
        <v>3987</v>
      </c>
      <c r="C624" s="17" t="s">
        <v>3987</v>
      </c>
      <c r="D624" s="10" t="s">
        <v>3988</v>
      </c>
      <c r="E624" s="55"/>
      <c r="F624" s="55"/>
      <c r="G624" s="25">
        <v>100313</v>
      </c>
      <c r="H624" s="300" t="str">
        <f>CONCATENATE([1]Cover!$D$6,"fdd/view?i=",G624)</f>
        <v>https://www.dgiwg.org/FAD/fdd/view?i=100313</v>
      </c>
      <c r="I624" s="8" t="s">
        <v>3986</v>
      </c>
      <c r="J624" s="38" t="s">
        <v>151</v>
      </c>
    </row>
    <row r="625" spans="1:10" ht="51">
      <c r="A625" s="302" t="str">
        <f t="shared" si="9"/>
        <v>SoundingMetadata</v>
      </c>
      <c r="B625" s="6" t="s">
        <v>3990</v>
      </c>
      <c r="C625" s="17" t="s">
        <v>3991</v>
      </c>
      <c r="D625" s="10" t="s">
        <v>3992</v>
      </c>
      <c r="E625" s="10" t="s">
        <v>3993</v>
      </c>
      <c r="F625" s="55"/>
      <c r="G625" s="25">
        <v>114196</v>
      </c>
      <c r="H625" s="300" t="str">
        <f>CONCATENATE([1]Cover!$D$6,"fdd/view?i=",G625)</f>
        <v>https://www.dgiwg.org/FAD/fdd/view?i=114196</v>
      </c>
      <c r="I625" s="8" t="s">
        <v>3989</v>
      </c>
      <c r="J625" s="38" t="s">
        <v>151</v>
      </c>
    </row>
    <row r="626" spans="1:10" ht="38.25">
      <c r="A626" s="302" t="str">
        <f t="shared" si="9"/>
        <v>SourceInfo</v>
      </c>
      <c r="B626" s="6" t="s">
        <v>3995</v>
      </c>
      <c r="C626" s="17" t="s">
        <v>3996</v>
      </c>
      <c r="D626" s="10" t="s">
        <v>3997</v>
      </c>
      <c r="E626" s="55"/>
      <c r="F626" s="55"/>
      <c r="G626" s="25">
        <v>114186</v>
      </c>
      <c r="H626" s="300" t="str">
        <f>CONCATENATE([1]Cover!$D$6,"fdd/view?i=",G626)</f>
        <v>https://www.dgiwg.org/FAD/fdd/view?i=114186</v>
      </c>
      <c r="I626" s="8" t="s">
        <v>3994</v>
      </c>
      <c r="J626" s="38" t="s">
        <v>151</v>
      </c>
    </row>
    <row r="627" spans="1:10" ht="63.75">
      <c r="A627" s="302" t="str">
        <f t="shared" si="9"/>
        <v>Spa</v>
      </c>
      <c r="B627" s="6" t="s">
        <v>3999</v>
      </c>
      <c r="C627" s="17" t="s">
        <v>3999</v>
      </c>
      <c r="D627" s="10" t="s">
        <v>4000</v>
      </c>
      <c r="E627" s="10" t="s">
        <v>4001</v>
      </c>
      <c r="F627" s="55"/>
      <c r="G627" s="25">
        <v>111412</v>
      </c>
      <c r="H627" s="300" t="str">
        <f>CONCATENATE([1]Cover!$D$6,"fdd/view?i=",G627)</f>
        <v>https://www.dgiwg.org/FAD/fdd/view?i=111412</v>
      </c>
      <c r="I627" s="8" t="s">
        <v>3998</v>
      </c>
      <c r="J627" s="38" t="s">
        <v>151</v>
      </c>
    </row>
    <row r="628" spans="1:10" ht="38.25">
      <c r="A628" s="302" t="str">
        <f t="shared" si="9"/>
        <v>SpaceFacility</v>
      </c>
      <c r="B628" s="6" t="s">
        <v>4003</v>
      </c>
      <c r="C628" s="17" t="s">
        <v>4004</v>
      </c>
      <c r="D628" s="10" t="s">
        <v>4005</v>
      </c>
      <c r="E628" s="55"/>
      <c r="F628" s="55"/>
      <c r="G628" s="25">
        <v>111422</v>
      </c>
      <c r="H628" s="300" t="str">
        <f>CONCATENATE([1]Cover!$D$6,"fdd/view?i=",G628)</f>
        <v>https://www.dgiwg.org/FAD/fdd/view?i=111422</v>
      </c>
      <c r="I628" s="8" t="s">
        <v>4002</v>
      </c>
      <c r="J628" s="38" t="s">
        <v>151</v>
      </c>
    </row>
    <row r="629" spans="1:10" ht="114.75">
      <c r="A629" s="302" t="str">
        <f t="shared" si="9"/>
        <v>SpatialMdEntCollect</v>
      </c>
      <c r="B629" s="6" t="s">
        <v>4007</v>
      </c>
      <c r="C629" s="17" t="s">
        <v>4008</v>
      </c>
      <c r="D629" s="10" t="s">
        <v>4009</v>
      </c>
      <c r="E629" s="10" t="s">
        <v>4010</v>
      </c>
      <c r="F629" s="55"/>
      <c r="G629" s="25">
        <v>203854</v>
      </c>
      <c r="H629" s="300" t="str">
        <f>CONCATENATE([1]Cover!$D$6,"fdd/view?i=",G629)</f>
        <v>https://www.dgiwg.org/FAD/fdd/view?i=203854</v>
      </c>
      <c r="I629" s="8" t="s">
        <v>4006</v>
      </c>
      <c r="J629" s="38" t="s">
        <v>1295</v>
      </c>
    </row>
    <row r="630" spans="1:10">
      <c r="A630" s="302" t="str">
        <f t="shared" si="9"/>
        <v>MD_ReferenceSystem</v>
      </c>
      <c r="B630" s="6" t="s">
        <v>4012</v>
      </c>
      <c r="C630" s="17" t="s">
        <v>4013</v>
      </c>
      <c r="D630" s="10" t="s">
        <v>4014</v>
      </c>
      <c r="E630" s="55"/>
      <c r="F630" s="55"/>
      <c r="G630" s="25">
        <v>203472</v>
      </c>
      <c r="H630" s="300" t="str">
        <f>CONCATENATE([1]Cover!$D$6,"fdd/view?i=",G630)</f>
        <v>https://www.dgiwg.org/FAD/fdd/view?i=203472</v>
      </c>
      <c r="I630" s="8" t="s">
        <v>4011</v>
      </c>
      <c r="J630" s="38" t="s">
        <v>1295</v>
      </c>
    </row>
    <row r="631" spans="1:10" ht="38.25">
      <c r="A631" s="302" t="str">
        <f t="shared" si="9"/>
        <v>SpecialNavigationSystem</v>
      </c>
      <c r="B631" s="6" t="s">
        <v>4016</v>
      </c>
      <c r="C631" s="17" t="s">
        <v>4017</v>
      </c>
      <c r="D631" s="10" t="s">
        <v>4018</v>
      </c>
      <c r="E631" s="10" t="s">
        <v>4019</v>
      </c>
      <c r="F631" s="55"/>
      <c r="G631" s="25">
        <v>114516</v>
      </c>
      <c r="H631" s="300" t="str">
        <f>CONCATENATE([1]Cover!$D$6,"fdd/view?i=",G631)</f>
        <v>https://www.dgiwg.org/FAD/fdd/view?i=114516</v>
      </c>
      <c r="I631" s="8" t="s">
        <v>4015</v>
      </c>
      <c r="J631" s="38" t="s">
        <v>151</v>
      </c>
    </row>
    <row r="632" spans="1:10" ht="25.5">
      <c r="A632" s="302" t="str">
        <f t="shared" si="9"/>
        <v>SpecialNavSystemStation</v>
      </c>
      <c r="B632" s="6" t="s">
        <v>4021</v>
      </c>
      <c r="C632" s="17" t="s">
        <v>4022</v>
      </c>
      <c r="D632" s="10" t="s">
        <v>4023</v>
      </c>
      <c r="E632" s="55"/>
      <c r="F632" s="55"/>
      <c r="G632" s="25">
        <v>114517</v>
      </c>
      <c r="H632" s="300" t="str">
        <f>CONCATENATE([1]Cover!$D$6,"fdd/view?i=",G632)</f>
        <v>https://www.dgiwg.org/FAD/fdd/view?i=114517</v>
      </c>
      <c r="I632" s="8" t="s">
        <v>4020</v>
      </c>
      <c r="J632" s="38" t="s">
        <v>151</v>
      </c>
    </row>
    <row r="633" spans="1:10">
      <c r="A633" s="302" t="str">
        <f t="shared" si="9"/>
        <v>Spillway</v>
      </c>
      <c r="B633" s="6" t="s">
        <v>4025</v>
      </c>
      <c r="C633" s="17" t="s">
        <v>4025</v>
      </c>
      <c r="D633" s="10" t="s">
        <v>4026</v>
      </c>
      <c r="E633" s="55"/>
      <c r="F633" s="55"/>
      <c r="G633" s="25">
        <v>100357</v>
      </c>
      <c r="H633" s="300" t="str">
        <f>CONCATENATE([1]Cover!$D$6,"fdd/view?i=",G633)</f>
        <v>https://www.dgiwg.org/FAD/fdd/view?i=100357</v>
      </c>
      <c r="I633" s="8" t="s">
        <v>4024</v>
      </c>
      <c r="J633" s="38" t="s">
        <v>151</v>
      </c>
    </row>
    <row r="634" spans="1:10" ht="76.5">
      <c r="A634" s="302" t="str">
        <f t="shared" si="9"/>
        <v>SportingEvent</v>
      </c>
      <c r="B634" s="6" t="s">
        <v>4028</v>
      </c>
      <c r="C634" s="17" t="s">
        <v>4029</v>
      </c>
      <c r="D634" s="10" t="s">
        <v>4030</v>
      </c>
      <c r="E634" s="10" t="s">
        <v>4031</v>
      </c>
      <c r="F634" s="55"/>
      <c r="G634" s="25">
        <v>204311</v>
      </c>
      <c r="H634" s="300" t="str">
        <f>CONCATENATE([1]Cover!$D$6,"fdd/view?i=",G634)</f>
        <v>https://www.dgiwg.org/FAD/fdd/view?i=204311</v>
      </c>
      <c r="I634" s="8" t="s">
        <v>4027</v>
      </c>
      <c r="J634" s="38" t="s">
        <v>1295</v>
      </c>
    </row>
    <row r="635" spans="1:10" ht="76.5">
      <c r="A635" s="302" t="str">
        <f t="shared" si="9"/>
        <v>SportingEventSeries</v>
      </c>
      <c r="B635" s="6" t="s">
        <v>4033</v>
      </c>
      <c r="C635" s="17" t="s">
        <v>4034</v>
      </c>
      <c r="D635" s="10" t="s">
        <v>4035</v>
      </c>
      <c r="E635" s="10" t="s">
        <v>4036</v>
      </c>
      <c r="F635" s="55"/>
      <c r="G635" s="25">
        <v>204312</v>
      </c>
      <c r="H635" s="300" t="str">
        <f>CONCATENATE([1]Cover!$D$6,"fdd/view?i=",G635)</f>
        <v>https://www.dgiwg.org/FAD/fdd/view?i=204312</v>
      </c>
      <c r="I635" s="8" t="s">
        <v>4032</v>
      </c>
      <c r="J635" s="38" t="s">
        <v>1295</v>
      </c>
    </row>
    <row r="636" spans="1:10">
      <c r="A636" s="302" t="str">
        <f t="shared" si="9"/>
        <v>SportsGround</v>
      </c>
      <c r="B636" s="6" t="s">
        <v>4038</v>
      </c>
      <c r="C636" s="17" t="s">
        <v>4039</v>
      </c>
      <c r="D636" s="10" t="s">
        <v>4040</v>
      </c>
      <c r="E636" s="10" t="s">
        <v>4041</v>
      </c>
      <c r="F636" s="10" t="s">
        <v>4042</v>
      </c>
      <c r="G636" s="25">
        <v>100053</v>
      </c>
      <c r="H636" s="300" t="str">
        <f>CONCATENATE([1]Cover!$D$6,"fdd/view?i=",G636)</f>
        <v>https://www.dgiwg.org/FAD/fdd/view?i=100053</v>
      </c>
      <c r="I636" s="8" t="s">
        <v>4037</v>
      </c>
      <c r="J636" s="38" t="s">
        <v>151</v>
      </c>
    </row>
    <row r="637" spans="1:10" ht="38.25">
      <c r="A637" s="302" t="str">
        <f t="shared" si="9"/>
        <v>SportsLeague</v>
      </c>
      <c r="B637" s="6" t="s">
        <v>4044</v>
      </c>
      <c r="C637" s="17" t="s">
        <v>4045</v>
      </c>
      <c r="D637" s="10" t="s">
        <v>4046</v>
      </c>
      <c r="E637" s="10" t="s">
        <v>4047</v>
      </c>
      <c r="F637" s="55"/>
      <c r="G637" s="25">
        <v>204303</v>
      </c>
      <c r="H637" s="300" t="str">
        <f>CONCATENATE([1]Cover!$D$6,"fdd/view?i=",G637)</f>
        <v>https://www.dgiwg.org/FAD/fdd/view?i=204303</v>
      </c>
      <c r="I637" s="8" t="s">
        <v>4043</v>
      </c>
      <c r="J637" s="38" t="s">
        <v>1295</v>
      </c>
    </row>
    <row r="638" spans="1:10" ht="51">
      <c r="A638" s="302" t="str">
        <f t="shared" si="9"/>
        <v>SportsOrganisation</v>
      </c>
      <c r="B638" s="6" t="s">
        <v>4049</v>
      </c>
      <c r="C638" s="17" t="s">
        <v>4050</v>
      </c>
      <c r="D638" s="10" t="s">
        <v>4051</v>
      </c>
      <c r="E638" s="10" t="s">
        <v>4052</v>
      </c>
      <c r="F638" s="55"/>
      <c r="G638" s="25">
        <v>204302</v>
      </c>
      <c r="H638" s="300" t="str">
        <f>CONCATENATE([1]Cover!$D$6,"fdd/view?i=",G638)</f>
        <v>https://www.dgiwg.org/FAD/fdd/view?i=204302</v>
      </c>
      <c r="I638" s="8" t="s">
        <v>4048</v>
      </c>
      <c r="J638" s="38" t="s">
        <v>1295</v>
      </c>
    </row>
    <row r="639" spans="1:10" ht="51">
      <c r="A639" s="302" t="str">
        <f t="shared" si="9"/>
        <v>SportsTeam</v>
      </c>
      <c r="B639" s="6" t="s">
        <v>4054</v>
      </c>
      <c r="C639" s="17" t="s">
        <v>4055</v>
      </c>
      <c r="D639" s="10" t="s">
        <v>4056</v>
      </c>
      <c r="E639" s="10" t="s">
        <v>4057</v>
      </c>
      <c r="F639" s="55"/>
      <c r="G639" s="25">
        <v>204304</v>
      </c>
      <c r="H639" s="300" t="str">
        <f>CONCATENATE([1]Cover!$D$6,"fdd/view?i=",G639)</f>
        <v>https://www.dgiwg.org/FAD/fdd/view?i=204304</v>
      </c>
      <c r="I639" s="8" t="s">
        <v>4053</v>
      </c>
      <c r="J639" s="38" t="s">
        <v>1295</v>
      </c>
    </row>
    <row r="640" spans="1:10" ht="25.5">
      <c r="A640" s="302" t="str">
        <f t="shared" si="9"/>
        <v>SpotElevation</v>
      </c>
      <c r="B640" s="6" t="s">
        <v>4059</v>
      </c>
      <c r="C640" s="17" t="s">
        <v>4060</v>
      </c>
      <c r="D640" s="10" t="s">
        <v>4061</v>
      </c>
      <c r="E640" s="55"/>
      <c r="F640" s="55"/>
      <c r="G640" s="25">
        <v>100396</v>
      </c>
      <c r="H640" s="300" t="str">
        <f>CONCATENATE([1]Cover!$D$6,"fdd/view?i=",G640)</f>
        <v>https://www.dgiwg.org/FAD/fdd/view?i=100396</v>
      </c>
      <c r="I640" s="8" t="s">
        <v>4058</v>
      </c>
      <c r="J640" s="38" t="s">
        <v>151</v>
      </c>
    </row>
    <row r="641" spans="1:10" ht="38.25">
      <c r="A641" s="302" t="str">
        <f t="shared" si="9"/>
        <v>Stable</v>
      </c>
      <c r="B641" s="6" t="s">
        <v>4063</v>
      </c>
      <c r="C641" s="17" t="s">
        <v>4063</v>
      </c>
      <c r="D641" s="10" t="s">
        <v>4064</v>
      </c>
      <c r="E641" s="10" t="s">
        <v>4065</v>
      </c>
      <c r="F641" s="55"/>
      <c r="G641" s="25">
        <v>111405</v>
      </c>
      <c r="H641" s="300" t="str">
        <f>CONCATENATE([1]Cover!$D$6,"fdd/view?i=",G641)</f>
        <v>https://www.dgiwg.org/FAD/fdd/view?i=111405</v>
      </c>
      <c r="I641" s="8" t="s">
        <v>4062</v>
      </c>
      <c r="J641" s="38" t="s">
        <v>151</v>
      </c>
    </row>
    <row r="642" spans="1:10" ht="63.75">
      <c r="A642" s="302" t="str">
        <f t="shared" si="9"/>
        <v>Stadium</v>
      </c>
      <c r="B642" s="6" t="s">
        <v>4067</v>
      </c>
      <c r="C642" s="17" t="s">
        <v>4067</v>
      </c>
      <c r="D642" s="10" t="s">
        <v>4068</v>
      </c>
      <c r="E642" s="10" t="s">
        <v>4069</v>
      </c>
      <c r="F642" s="55"/>
      <c r="G642" s="25">
        <v>100074</v>
      </c>
      <c r="H642" s="300" t="str">
        <f>CONCATENATE([1]Cover!$D$6,"fdd/view?i=",G642)</f>
        <v>https://www.dgiwg.org/FAD/fdd/view?i=100074</v>
      </c>
      <c r="I642" s="8" t="s">
        <v>4066</v>
      </c>
      <c r="J642" s="38" t="s">
        <v>151</v>
      </c>
    </row>
    <row r="643" spans="1:10" ht="25.5">
      <c r="A643" s="302" t="str">
        <f t="shared" ref="A643:A706" si="10">HYPERLINK(H643,B643)</f>
        <v>Stair</v>
      </c>
      <c r="B643" s="6" t="s">
        <v>4071</v>
      </c>
      <c r="C643" s="17" t="s">
        <v>4071</v>
      </c>
      <c r="D643" s="10" t="s">
        <v>4072</v>
      </c>
      <c r="E643" s="10" t="s">
        <v>4073</v>
      </c>
      <c r="F643" s="55"/>
      <c r="G643" s="25">
        <v>100186</v>
      </c>
      <c r="H643" s="300" t="str">
        <f>CONCATENATE([1]Cover!$D$6,"fdd/view?i=",G643)</f>
        <v>https://www.dgiwg.org/FAD/fdd/view?i=100186</v>
      </c>
      <c r="I643" s="8" t="s">
        <v>4070</v>
      </c>
      <c r="J643" s="38" t="s">
        <v>151</v>
      </c>
    </row>
    <row r="644" spans="1:10" ht="51">
      <c r="A644" s="302" t="str">
        <f t="shared" si="10"/>
        <v>StandardInstrumentArrival</v>
      </c>
      <c r="B644" s="6" t="s">
        <v>4075</v>
      </c>
      <c r="C644" s="17" t="s">
        <v>4076</v>
      </c>
      <c r="D644" s="10" t="s">
        <v>4077</v>
      </c>
      <c r="E644" s="55"/>
      <c r="F644" s="10" t="s">
        <v>4078</v>
      </c>
      <c r="G644" s="25">
        <v>114617</v>
      </c>
      <c r="H644" s="300" t="str">
        <f>CONCATENATE([1]Cover!$D$6,"fdd/view?i=",G644)</f>
        <v>https://www.dgiwg.org/FAD/fdd/view?i=114617</v>
      </c>
      <c r="I644" s="8" t="s">
        <v>4074</v>
      </c>
      <c r="J644" s="38" t="s">
        <v>151</v>
      </c>
    </row>
    <row r="645" spans="1:10" ht="51">
      <c r="A645" s="302" t="str">
        <f t="shared" si="10"/>
        <v>StandardInstrumentDepart</v>
      </c>
      <c r="B645" s="6" t="s">
        <v>4080</v>
      </c>
      <c r="C645" s="17" t="s">
        <v>4081</v>
      </c>
      <c r="D645" s="10" t="s">
        <v>4082</v>
      </c>
      <c r="E645" s="10" t="s">
        <v>4083</v>
      </c>
      <c r="F645" s="10" t="s">
        <v>4084</v>
      </c>
      <c r="G645" s="25">
        <v>114618</v>
      </c>
      <c r="H645" s="300" t="str">
        <f>CONCATENATE([1]Cover!$D$6,"fdd/view?i=",G645)</f>
        <v>https://www.dgiwg.org/FAD/fdd/view?i=114618</v>
      </c>
      <c r="I645" s="8" t="s">
        <v>4079</v>
      </c>
      <c r="J645" s="38" t="s">
        <v>151</v>
      </c>
    </row>
    <row r="646" spans="1:10" ht="127.5">
      <c r="A646" s="302" t="str">
        <f t="shared" si="10"/>
        <v>StatisticalGeoArea</v>
      </c>
      <c r="B646" s="6" t="s">
        <v>4086</v>
      </c>
      <c r="C646" s="17" t="s">
        <v>4087</v>
      </c>
      <c r="D646" s="10" t="s">
        <v>4088</v>
      </c>
      <c r="E646" s="10" t="s">
        <v>4089</v>
      </c>
      <c r="F646" s="55"/>
      <c r="G646" s="25">
        <v>118996</v>
      </c>
      <c r="H646" s="300" t="str">
        <f>CONCATENATE([1]Cover!$D$6,"fdd/view?i=",G646)</f>
        <v>https://www.dgiwg.org/FAD/fdd/view?i=118996</v>
      </c>
      <c r="I646" s="8" t="s">
        <v>4085</v>
      </c>
      <c r="J646" s="38" t="s">
        <v>151</v>
      </c>
    </row>
    <row r="647" spans="1:10">
      <c r="A647" s="302" t="str">
        <f t="shared" si="10"/>
        <v>StatuePedestal</v>
      </c>
      <c r="B647" s="6" t="s">
        <v>4091</v>
      </c>
      <c r="C647" s="17" t="s">
        <v>4092</v>
      </c>
      <c r="D647" s="10" t="s">
        <v>4093</v>
      </c>
      <c r="E647" s="55"/>
      <c r="F647" s="55"/>
      <c r="G647" s="25">
        <v>100071</v>
      </c>
      <c r="H647" s="300" t="str">
        <f>CONCATENATE([1]Cover!$D$6,"fdd/view?i=",G647)</f>
        <v>https://www.dgiwg.org/FAD/fdd/view?i=100071</v>
      </c>
      <c r="I647" s="8" t="s">
        <v>4090</v>
      </c>
      <c r="J647" s="38" t="s">
        <v>151</v>
      </c>
    </row>
    <row r="648" spans="1:10" ht="25.5">
      <c r="A648" s="302" t="str">
        <f t="shared" si="10"/>
        <v>SteepGrade</v>
      </c>
      <c r="B648" s="6" t="s">
        <v>4095</v>
      </c>
      <c r="C648" s="17" t="s">
        <v>4096</v>
      </c>
      <c r="D648" s="10" t="s">
        <v>4097</v>
      </c>
      <c r="E648" s="10" t="s">
        <v>4098</v>
      </c>
      <c r="F648" s="55"/>
      <c r="G648" s="25">
        <v>100180</v>
      </c>
      <c r="H648" s="300" t="str">
        <f>CONCATENATE([1]Cover!$D$6,"fdd/view?i=",G648)</f>
        <v>https://www.dgiwg.org/FAD/fdd/view?i=100180</v>
      </c>
      <c r="I648" s="8" t="s">
        <v>4094</v>
      </c>
      <c r="J648" s="38" t="s">
        <v>151</v>
      </c>
    </row>
    <row r="649" spans="1:10">
      <c r="A649" s="302" t="str">
        <f t="shared" si="10"/>
        <v>SteepTerrainFace</v>
      </c>
      <c r="B649" s="6" t="s">
        <v>4100</v>
      </c>
      <c r="C649" s="17" t="s">
        <v>4101</v>
      </c>
      <c r="D649" s="10" t="s">
        <v>4102</v>
      </c>
      <c r="E649" s="10" t="s">
        <v>4103</v>
      </c>
      <c r="F649" s="55"/>
      <c r="G649" s="25">
        <v>100406</v>
      </c>
      <c r="H649" s="300" t="str">
        <f>CONCATENATE([1]Cover!$D$6,"fdd/view?i=",G649)</f>
        <v>https://www.dgiwg.org/FAD/fdd/view?i=100406</v>
      </c>
      <c r="I649" s="8" t="s">
        <v>4099</v>
      </c>
      <c r="J649" s="38" t="s">
        <v>151</v>
      </c>
    </row>
    <row r="650" spans="1:10" ht="38.25">
      <c r="A650" s="302" t="str">
        <f t="shared" si="10"/>
        <v>Stopway</v>
      </c>
      <c r="B650" s="6" t="s">
        <v>4105</v>
      </c>
      <c r="C650" s="17" t="s">
        <v>4105</v>
      </c>
      <c r="D650" s="10" t="s">
        <v>4106</v>
      </c>
      <c r="E650" s="55"/>
      <c r="F650" s="10" t="s">
        <v>4107</v>
      </c>
      <c r="G650" s="25">
        <v>114610</v>
      </c>
      <c r="H650" s="300" t="str">
        <f>CONCATENATE([1]Cover!$D$6,"fdd/view?i=",G650)</f>
        <v>https://www.dgiwg.org/FAD/fdd/view?i=114610</v>
      </c>
      <c r="I650" s="8" t="s">
        <v>4104</v>
      </c>
      <c r="J650" s="38" t="s">
        <v>151</v>
      </c>
    </row>
    <row r="651" spans="1:10" ht="25.5">
      <c r="A651" s="302" t="str">
        <f t="shared" si="10"/>
        <v>StopwayEndpoint</v>
      </c>
      <c r="B651" s="6" t="s">
        <v>4109</v>
      </c>
      <c r="C651" s="17" t="s">
        <v>4110</v>
      </c>
      <c r="D651" s="10" t="s">
        <v>4111</v>
      </c>
      <c r="E651" s="55"/>
      <c r="F651" s="55"/>
      <c r="G651" s="25">
        <v>119092</v>
      </c>
      <c r="H651" s="300" t="str">
        <f>CONCATENATE([1]Cover!$D$6,"fdd/view?i=",G651)</f>
        <v>https://www.dgiwg.org/FAD/fdd/view?i=119092</v>
      </c>
      <c r="I651" s="8" t="s">
        <v>4108</v>
      </c>
      <c r="J651" s="38" t="s">
        <v>151</v>
      </c>
    </row>
    <row r="652" spans="1:10" ht="25.5">
      <c r="A652" s="302" t="str">
        <f t="shared" si="10"/>
        <v>StorageDepot</v>
      </c>
      <c r="B652" s="6" t="s">
        <v>4113</v>
      </c>
      <c r="C652" s="17" t="s">
        <v>4114</v>
      </c>
      <c r="D652" s="10" t="s">
        <v>4115</v>
      </c>
      <c r="E652" s="55"/>
      <c r="F652" s="55"/>
      <c r="G652" s="25">
        <v>100125</v>
      </c>
      <c r="H652" s="300" t="str">
        <f>CONCATENATE([1]Cover!$D$6,"fdd/view?i=",G652)</f>
        <v>https://www.dgiwg.org/FAD/fdd/view?i=100125</v>
      </c>
      <c r="I652" s="8" t="s">
        <v>4112</v>
      </c>
      <c r="J652" s="38" t="s">
        <v>151</v>
      </c>
    </row>
    <row r="653" spans="1:10" ht="25.5">
      <c r="A653" s="302" t="str">
        <f t="shared" si="10"/>
        <v>StorageTank</v>
      </c>
      <c r="B653" s="6" t="s">
        <v>4117</v>
      </c>
      <c r="C653" s="17" t="s">
        <v>4118</v>
      </c>
      <c r="D653" s="10" t="s">
        <v>4119</v>
      </c>
      <c r="E653" s="55"/>
      <c r="F653" s="55"/>
      <c r="G653" s="25">
        <v>100133</v>
      </c>
      <c r="H653" s="300" t="str">
        <f>CONCATENATE([1]Cover!$D$6,"fdd/view?i=",G653)</f>
        <v>https://www.dgiwg.org/FAD/fdd/view?i=100133</v>
      </c>
      <c r="I653" s="8" t="s">
        <v>4116</v>
      </c>
      <c r="J653" s="38" t="s">
        <v>151</v>
      </c>
    </row>
    <row r="654" spans="1:10" ht="25.5">
      <c r="A654" s="302" t="str">
        <f t="shared" si="10"/>
        <v>StormDrain</v>
      </c>
      <c r="B654" s="6" t="s">
        <v>4121</v>
      </c>
      <c r="C654" s="17" t="s">
        <v>4122</v>
      </c>
      <c r="D654" s="10" t="s">
        <v>4123</v>
      </c>
      <c r="E654" s="10" t="s">
        <v>4124</v>
      </c>
      <c r="F654" s="55"/>
      <c r="G654" s="25">
        <v>100174</v>
      </c>
      <c r="H654" s="300" t="str">
        <f>CONCATENATE([1]Cover!$D$6,"fdd/view?i=",G654)</f>
        <v>https://www.dgiwg.org/FAD/fdd/view?i=100174</v>
      </c>
      <c r="I654" s="8" t="s">
        <v>4120</v>
      </c>
      <c r="J654" s="38" t="s">
        <v>151</v>
      </c>
    </row>
    <row r="655" spans="1:10" ht="25.5">
      <c r="A655" s="302" t="str">
        <f t="shared" si="10"/>
        <v>StreetLamp</v>
      </c>
      <c r="B655" s="6" t="s">
        <v>4126</v>
      </c>
      <c r="C655" s="17" t="s">
        <v>4127</v>
      </c>
      <c r="D655" s="10" t="s">
        <v>4128</v>
      </c>
      <c r="E655" s="10" t="s">
        <v>4129</v>
      </c>
      <c r="F655" s="10" t="s">
        <v>4130</v>
      </c>
      <c r="G655" s="25">
        <v>100190</v>
      </c>
      <c r="H655" s="300" t="str">
        <f>CONCATENATE([1]Cover!$D$6,"fdd/view?i=",G655)</f>
        <v>https://www.dgiwg.org/FAD/fdd/view?i=100190</v>
      </c>
      <c r="I655" s="8" t="s">
        <v>4125</v>
      </c>
      <c r="J655" s="38" t="s">
        <v>151</v>
      </c>
    </row>
    <row r="656" spans="1:10" ht="38.25">
      <c r="A656" s="302" t="str">
        <f t="shared" si="10"/>
        <v>StreetSign</v>
      </c>
      <c r="B656" s="6" t="s">
        <v>4132</v>
      </c>
      <c r="C656" s="17" t="s">
        <v>4133</v>
      </c>
      <c r="D656" s="10" t="s">
        <v>4134</v>
      </c>
      <c r="E656" s="55"/>
      <c r="F656" s="55"/>
      <c r="G656" s="25">
        <v>100191</v>
      </c>
      <c r="H656" s="300" t="str">
        <f>CONCATENATE([1]Cover!$D$6,"fdd/view?i=",G656)</f>
        <v>https://www.dgiwg.org/FAD/fdd/view?i=100191</v>
      </c>
      <c r="I656" s="8" t="s">
        <v>4131</v>
      </c>
      <c r="J656" s="38" t="s">
        <v>151</v>
      </c>
    </row>
    <row r="657" spans="1:10" ht="51">
      <c r="A657" s="302" t="str">
        <f t="shared" si="10"/>
        <v>StructuralPile</v>
      </c>
      <c r="B657" s="6" t="s">
        <v>4136</v>
      </c>
      <c r="C657" s="17" t="s">
        <v>4137</v>
      </c>
      <c r="D657" s="10" t="s">
        <v>4138</v>
      </c>
      <c r="E657" s="55"/>
      <c r="F657" s="55"/>
      <c r="G657" s="25">
        <v>100296</v>
      </c>
      <c r="H657" s="300" t="str">
        <f>CONCATENATE([1]Cover!$D$6,"fdd/view?i=",G657)</f>
        <v>https://www.dgiwg.org/FAD/fdd/view?i=100296</v>
      </c>
      <c r="I657" s="8" t="s">
        <v>4135</v>
      </c>
      <c r="J657" s="38" t="s">
        <v>151</v>
      </c>
    </row>
    <row r="658" spans="1:10" ht="51">
      <c r="A658" s="302" t="str">
        <f t="shared" si="10"/>
        <v>SubmarineSpring</v>
      </c>
      <c r="B658" s="6" t="s">
        <v>4140</v>
      </c>
      <c r="C658" s="17" t="s">
        <v>4141</v>
      </c>
      <c r="D658" s="10" t="s">
        <v>4142</v>
      </c>
      <c r="E658" s="10" t="s">
        <v>4143</v>
      </c>
      <c r="F658" s="55"/>
      <c r="G658" s="25">
        <v>119545</v>
      </c>
      <c r="H658" s="300" t="str">
        <f>CONCATENATE([1]Cover!$D$6,"fdd/view?i=",G658)</f>
        <v>https://www.dgiwg.org/FAD/fdd/view?i=119545</v>
      </c>
      <c r="I658" s="8" t="s">
        <v>4139</v>
      </c>
      <c r="J658" s="38" t="s">
        <v>151</v>
      </c>
    </row>
    <row r="659" spans="1:10" ht="38.25">
      <c r="A659" s="302" t="str">
        <f t="shared" si="10"/>
        <v>SubmergedVolcano</v>
      </c>
      <c r="B659" s="6" t="s">
        <v>4145</v>
      </c>
      <c r="C659" s="17" t="s">
        <v>4146</v>
      </c>
      <c r="D659" s="10" t="s">
        <v>4147</v>
      </c>
      <c r="E659" s="10" t="s">
        <v>4148</v>
      </c>
      <c r="F659" s="55"/>
      <c r="G659" s="25">
        <v>114184</v>
      </c>
      <c r="H659" s="300" t="str">
        <f>CONCATENATE([1]Cover!$D$6,"fdd/view?i=",G659)</f>
        <v>https://www.dgiwg.org/FAD/fdd/view?i=114184</v>
      </c>
      <c r="I659" s="8" t="s">
        <v>4144</v>
      </c>
      <c r="J659" s="38" t="s">
        <v>151</v>
      </c>
    </row>
    <row r="660" spans="1:10" ht="25.5">
      <c r="A660" s="302" t="str">
        <f t="shared" si="10"/>
        <v>SurfaceBunker</v>
      </c>
      <c r="B660" s="6" t="s">
        <v>4150</v>
      </c>
      <c r="C660" s="17" t="s">
        <v>4151</v>
      </c>
      <c r="D660" s="10" t="s">
        <v>4152</v>
      </c>
      <c r="E660" s="10" t="s">
        <v>4153</v>
      </c>
      <c r="F660" s="55"/>
      <c r="G660" s="25">
        <v>102874</v>
      </c>
      <c r="H660" s="300" t="str">
        <f>CONCATENATE([1]Cover!$D$6,"fdd/view?i=",G660)</f>
        <v>https://www.dgiwg.org/FAD/fdd/view?i=102874</v>
      </c>
      <c r="I660" s="8" t="s">
        <v>4149</v>
      </c>
      <c r="J660" s="38" t="s">
        <v>151</v>
      </c>
    </row>
    <row r="661" spans="1:10" ht="25.5">
      <c r="A661" s="302" t="str">
        <f t="shared" si="10"/>
        <v>SurfaceGeometryInfo</v>
      </c>
      <c r="B661" s="6" t="s">
        <v>4155</v>
      </c>
      <c r="C661" s="17" t="s">
        <v>4156</v>
      </c>
      <c r="D661" s="10" t="s">
        <v>4157</v>
      </c>
      <c r="E661" s="10" t="s">
        <v>4158</v>
      </c>
      <c r="F661" s="55"/>
      <c r="G661" s="25">
        <v>114193</v>
      </c>
      <c r="H661" s="300" t="str">
        <f>CONCATENATE([1]Cover!$D$6,"fdd/view?i=",G661)</f>
        <v>https://www.dgiwg.org/FAD/fdd/view?i=114193</v>
      </c>
      <c r="I661" s="8" t="s">
        <v>4154</v>
      </c>
      <c r="J661" s="38" t="s">
        <v>151</v>
      </c>
    </row>
    <row r="662" spans="1:10" ht="38.25">
      <c r="A662" s="302" t="str">
        <f t="shared" si="10"/>
        <v>SurveyPoint</v>
      </c>
      <c r="B662" s="6" t="s">
        <v>4160</v>
      </c>
      <c r="C662" s="17" t="s">
        <v>4161</v>
      </c>
      <c r="D662" s="10" t="s">
        <v>4162</v>
      </c>
      <c r="E662" s="10" t="s">
        <v>4163</v>
      </c>
      <c r="F662" s="55"/>
      <c r="G662" s="25">
        <v>119707</v>
      </c>
      <c r="H662" s="300" t="str">
        <f>CONCATENATE([1]Cover!$D$6,"fdd/view?i=",G662)</f>
        <v>https://www.dgiwg.org/FAD/fdd/view?i=119707</v>
      </c>
      <c r="I662" s="8" t="s">
        <v>4159</v>
      </c>
      <c r="J662" s="38" t="s">
        <v>1295</v>
      </c>
    </row>
    <row r="663" spans="1:10" ht="76.5">
      <c r="A663" s="302" t="str">
        <f t="shared" si="10"/>
        <v>Swamp</v>
      </c>
      <c r="B663" s="6" t="s">
        <v>4165</v>
      </c>
      <c r="C663" s="17" t="s">
        <v>4165</v>
      </c>
      <c r="D663" s="10" t="s">
        <v>4166</v>
      </c>
      <c r="E663" s="10" t="s">
        <v>4167</v>
      </c>
      <c r="F663" s="55"/>
      <c r="G663" s="25">
        <v>100449</v>
      </c>
      <c r="H663" s="300" t="str">
        <f>CONCATENATE([1]Cover!$D$6,"fdd/view?i=",G663)</f>
        <v>https://www.dgiwg.org/FAD/fdd/view?i=100449</v>
      </c>
      <c r="I663" s="8" t="s">
        <v>4164</v>
      </c>
      <c r="J663" s="38" t="s">
        <v>151</v>
      </c>
    </row>
    <row r="664" spans="1:10" ht="25.5">
      <c r="A664" s="302" t="str">
        <f t="shared" si="10"/>
        <v>SweptArea</v>
      </c>
      <c r="B664" s="6" t="s">
        <v>4169</v>
      </c>
      <c r="C664" s="17" t="s">
        <v>4170</v>
      </c>
      <c r="D664" s="10" t="s">
        <v>4171</v>
      </c>
      <c r="E664" s="55"/>
      <c r="F664" s="55"/>
      <c r="G664" s="25">
        <v>100489</v>
      </c>
      <c r="H664" s="300" t="str">
        <f>CONCATENATE([1]Cover!$D$6,"fdd/view?i=",G664)</f>
        <v>https://www.dgiwg.org/FAD/fdd/view?i=100489</v>
      </c>
      <c r="I664" s="8" t="s">
        <v>4168</v>
      </c>
      <c r="J664" s="38" t="s">
        <v>151</v>
      </c>
    </row>
    <row r="665" spans="1:10">
      <c r="A665" s="302" t="str">
        <f t="shared" si="10"/>
        <v>SwimmingPool</v>
      </c>
      <c r="B665" s="6" t="s">
        <v>4173</v>
      </c>
      <c r="C665" s="17" t="s">
        <v>4174</v>
      </c>
      <c r="D665" s="10" t="s">
        <v>4175</v>
      </c>
      <c r="E665" s="55"/>
      <c r="F665" s="55"/>
      <c r="G665" s="25">
        <v>100075</v>
      </c>
      <c r="H665" s="300" t="str">
        <f>CONCATENATE([1]Cover!$D$6,"fdd/view?i=",G665)</f>
        <v>https://www.dgiwg.org/FAD/fdd/view?i=100075</v>
      </c>
      <c r="I665" s="8" t="s">
        <v>4172</v>
      </c>
      <c r="J665" s="38" t="s">
        <v>151</v>
      </c>
    </row>
    <row r="666" spans="1:10" ht="63.75">
      <c r="A666" s="302" t="str">
        <f t="shared" si="10"/>
        <v>TacticalAirNavAidBeacon</v>
      </c>
      <c r="B666" s="6" t="s">
        <v>4177</v>
      </c>
      <c r="C666" s="17" t="s">
        <v>4178</v>
      </c>
      <c r="D666" s="10" t="s">
        <v>4179</v>
      </c>
      <c r="E666" s="10" t="s">
        <v>4180</v>
      </c>
      <c r="F666" s="10" t="s">
        <v>4181</v>
      </c>
      <c r="G666" s="25">
        <v>114518</v>
      </c>
      <c r="H666" s="300" t="str">
        <f>CONCATENATE([1]Cover!$D$6,"fdd/view?i=",G666)</f>
        <v>https://www.dgiwg.org/FAD/fdd/view?i=114518</v>
      </c>
      <c r="I666" s="8" t="s">
        <v>4176</v>
      </c>
      <c r="J666" s="38" t="s">
        <v>151</v>
      </c>
    </row>
    <row r="667" spans="1:10" ht="25.5">
      <c r="A667" s="302" t="str">
        <f t="shared" si="10"/>
        <v>TankFarm</v>
      </c>
      <c r="B667" s="6" t="s">
        <v>4183</v>
      </c>
      <c r="C667" s="17" t="s">
        <v>4184</v>
      </c>
      <c r="D667" s="10" t="s">
        <v>4185</v>
      </c>
      <c r="E667" s="10" t="s">
        <v>4186</v>
      </c>
      <c r="F667" s="55"/>
      <c r="G667" s="25">
        <v>110863</v>
      </c>
      <c r="H667" s="300" t="str">
        <f>CONCATENATE([1]Cover!$D$6,"fdd/view?i=",G667)</f>
        <v>https://www.dgiwg.org/FAD/fdd/view?i=110863</v>
      </c>
      <c r="I667" s="8" t="s">
        <v>4182</v>
      </c>
      <c r="J667" s="38" t="s">
        <v>151</v>
      </c>
    </row>
    <row r="668" spans="1:10" ht="38.25">
      <c r="A668" s="302" t="str">
        <f t="shared" si="10"/>
        <v>Taxiway</v>
      </c>
      <c r="B668" s="6" t="s">
        <v>4188</v>
      </c>
      <c r="C668" s="17" t="s">
        <v>4188</v>
      </c>
      <c r="D668" s="10" t="s">
        <v>4189</v>
      </c>
      <c r="E668" s="55"/>
      <c r="F668" s="10" t="s">
        <v>4190</v>
      </c>
      <c r="G668" s="25">
        <v>114611</v>
      </c>
      <c r="H668" s="300" t="str">
        <f>CONCATENATE([1]Cover!$D$6,"fdd/view?i=",G668)</f>
        <v>https://www.dgiwg.org/FAD/fdd/view?i=114611</v>
      </c>
      <c r="I668" s="8" t="s">
        <v>4187</v>
      </c>
      <c r="J668" s="38" t="s">
        <v>151</v>
      </c>
    </row>
    <row r="669" spans="1:10">
      <c r="A669" s="302" t="str">
        <f t="shared" si="10"/>
        <v>TaxiwayElement</v>
      </c>
      <c r="B669" s="6" t="s">
        <v>4192</v>
      </c>
      <c r="C669" s="17" t="s">
        <v>4193</v>
      </c>
      <c r="D669" s="10" t="s">
        <v>4194</v>
      </c>
      <c r="E669" s="55"/>
      <c r="F669" s="55"/>
      <c r="G669" s="25">
        <v>119094</v>
      </c>
      <c r="H669" s="300" t="str">
        <f>CONCATENATE([1]Cover!$D$6,"fdd/view?i=",G669)</f>
        <v>https://www.dgiwg.org/FAD/fdd/view?i=119094</v>
      </c>
      <c r="I669" s="8" t="s">
        <v>4191</v>
      </c>
      <c r="J669" s="38" t="s">
        <v>151</v>
      </c>
    </row>
    <row r="670" spans="1:10" ht="38.25">
      <c r="A670" s="302" t="str">
        <f t="shared" si="10"/>
        <v>TelecomManagementRegion</v>
      </c>
      <c r="B670" s="6" t="s">
        <v>4196</v>
      </c>
      <c r="C670" s="17" t="s">
        <v>4197</v>
      </c>
      <c r="D670" s="10" t="s">
        <v>4198</v>
      </c>
      <c r="E670" s="10" t="s">
        <v>4199</v>
      </c>
      <c r="F670" s="55"/>
      <c r="G670" s="25">
        <v>119090</v>
      </c>
      <c r="H670" s="300" t="str">
        <f>CONCATENATE([1]Cover!$D$6,"fdd/view?i=",G670)</f>
        <v>https://www.dgiwg.org/FAD/fdd/view?i=119090</v>
      </c>
      <c r="I670" s="8" t="s">
        <v>4195</v>
      </c>
      <c r="J670" s="38" t="s">
        <v>151</v>
      </c>
    </row>
    <row r="671" spans="1:10">
      <c r="A671" s="302" t="str">
        <f t="shared" si="10"/>
        <v>EX_TemporalExtent</v>
      </c>
      <c r="B671" s="6" t="s">
        <v>4201</v>
      </c>
      <c r="C671" s="17" t="s">
        <v>4202</v>
      </c>
      <c r="D671" s="10" t="s">
        <v>4203</v>
      </c>
      <c r="E671" s="55"/>
      <c r="F671" s="55"/>
      <c r="G671" s="25">
        <v>203437</v>
      </c>
      <c r="H671" s="300" t="str">
        <f>CONCATENATE([1]Cover!$D$6,"fdd/view?i=",G671)</f>
        <v>https://www.dgiwg.org/FAD/fdd/view?i=203437</v>
      </c>
      <c r="I671" s="8" t="s">
        <v>4200</v>
      </c>
      <c r="J671" s="38" t="s">
        <v>1295</v>
      </c>
    </row>
    <row r="672" spans="1:10">
      <c r="A672" s="302" t="str">
        <f t="shared" si="10"/>
        <v>TennisCourt</v>
      </c>
      <c r="B672" s="6" t="s">
        <v>4205</v>
      </c>
      <c r="C672" s="17" t="s">
        <v>4206</v>
      </c>
      <c r="D672" s="10" t="s">
        <v>4207</v>
      </c>
      <c r="E672" s="10" t="s">
        <v>4208</v>
      </c>
      <c r="F672" s="55"/>
      <c r="G672" s="25">
        <v>100054</v>
      </c>
      <c r="H672" s="300" t="str">
        <f>CONCATENATE([1]Cover!$D$6,"fdd/view?i=",G672)</f>
        <v>https://www.dgiwg.org/FAD/fdd/view?i=100054</v>
      </c>
      <c r="I672" s="8" t="s">
        <v>4204</v>
      </c>
      <c r="J672" s="38" t="s">
        <v>151</v>
      </c>
    </row>
    <row r="673" spans="1:10" ht="102">
      <c r="A673" s="302" t="str">
        <f t="shared" si="10"/>
        <v>TerminalArrivalAltitude</v>
      </c>
      <c r="B673" s="6" t="s">
        <v>4210</v>
      </c>
      <c r="C673" s="17" t="s">
        <v>4211</v>
      </c>
      <c r="D673" s="10" t="s">
        <v>4212</v>
      </c>
      <c r="E673" s="10" t="s">
        <v>4213</v>
      </c>
      <c r="F673" s="10" t="s">
        <v>4214</v>
      </c>
      <c r="G673" s="25">
        <v>114619</v>
      </c>
      <c r="H673" s="300" t="str">
        <f>CONCATENATE([1]Cover!$D$6,"fdd/view?i=",G673)</f>
        <v>https://www.dgiwg.org/FAD/fdd/view?i=114619</v>
      </c>
      <c r="I673" s="8" t="s">
        <v>4209</v>
      </c>
      <c r="J673" s="38" t="s">
        <v>151</v>
      </c>
    </row>
    <row r="674" spans="1:10" ht="25.5">
      <c r="A674" s="302" t="str">
        <f t="shared" si="10"/>
        <v>TerminalArrivalAltSector</v>
      </c>
      <c r="B674" s="6" t="s">
        <v>4216</v>
      </c>
      <c r="C674" s="17" t="s">
        <v>4217</v>
      </c>
      <c r="D674" s="10" t="s">
        <v>4218</v>
      </c>
      <c r="E674" s="10" t="s">
        <v>4219</v>
      </c>
      <c r="F674" s="10" t="s">
        <v>4220</v>
      </c>
      <c r="G674" s="25">
        <v>114620</v>
      </c>
      <c r="H674" s="300" t="str">
        <f>CONCATENATE([1]Cover!$D$6,"fdd/view?i=",G674)</f>
        <v>https://www.dgiwg.org/FAD/fdd/view?i=114620</v>
      </c>
      <c r="I674" s="8" t="s">
        <v>4215</v>
      </c>
      <c r="J674" s="38" t="s">
        <v>151</v>
      </c>
    </row>
    <row r="675" spans="1:10" ht="38.25">
      <c r="A675" s="302" t="str">
        <f t="shared" si="10"/>
        <v>TerminalInstProcedure</v>
      </c>
      <c r="B675" s="6" t="s">
        <v>4222</v>
      </c>
      <c r="C675" s="17" t="s">
        <v>4223</v>
      </c>
      <c r="D675" s="10" t="s">
        <v>4224</v>
      </c>
      <c r="E675" s="55"/>
      <c r="F675" s="55"/>
      <c r="G675" s="25">
        <v>119552</v>
      </c>
      <c r="H675" s="300" t="str">
        <f>CONCATENATE([1]Cover!$D$6,"fdd/view?i=",G675)</f>
        <v>https://www.dgiwg.org/FAD/fdd/view?i=119552</v>
      </c>
      <c r="I675" s="8" t="s">
        <v>4221</v>
      </c>
      <c r="J675" s="38" t="s">
        <v>151</v>
      </c>
    </row>
    <row r="676" spans="1:10" ht="25.5">
      <c r="A676" s="302" t="str">
        <f t="shared" si="10"/>
        <v>TerminalInstProcMinima</v>
      </c>
      <c r="B676" s="6" t="s">
        <v>4226</v>
      </c>
      <c r="C676" s="17" t="s">
        <v>4227</v>
      </c>
      <c r="D676" s="10" t="s">
        <v>4228</v>
      </c>
      <c r="E676" s="10" t="s">
        <v>4229</v>
      </c>
      <c r="F676" s="55"/>
      <c r="G676" s="25">
        <v>119559</v>
      </c>
      <c r="H676" s="300" t="str">
        <f>CONCATENATE([1]Cover!$D$6,"fdd/view?i=",G676)</f>
        <v>https://www.dgiwg.org/FAD/fdd/view?i=119559</v>
      </c>
      <c r="I676" s="8" t="s">
        <v>4225</v>
      </c>
      <c r="J676" s="38" t="s">
        <v>1295</v>
      </c>
    </row>
    <row r="677" spans="1:10" ht="25.5">
      <c r="A677" s="302" t="str">
        <f t="shared" si="10"/>
        <v>TerminalInstProcSegPoint</v>
      </c>
      <c r="B677" s="6" t="s">
        <v>4231</v>
      </c>
      <c r="C677" s="17" t="s">
        <v>4232</v>
      </c>
      <c r="D677" s="10" t="s">
        <v>4233</v>
      </c>
      <c r="E677" s="10" t="s">
        <v>4234</v>
      </c>
      <c r="F677" s="55"/>
      <c r="G677" s="25">
        <v>119554</v>
      </c>
      <c r="H677" s="300" t="str">
        <f>CONCATENATE([1]Cover!$D$6,"fdd/view?i=",G677)</f>
        <v>https://www.dgiwg.org/FAD/fdd/view?i=119554</v>
      </c>
      <c r="I677" s="8" t="s">
        <v>4230</v>
      </c>
      <c r="J677" s="38" t="s">
        <v>151</v>
      </c>
    </row>
    <row r="678" spans="1:10" ht="51">
      <c r="A678" s="302" t="str">
        <f t="shared" si="10"/>
        <v>TerminalInstProcTransition</v>
      </c>
      <c r="B678" s="6" t="s">
        <v>4236</v>
      </c>
      <c r="C678" s="17" t="s">
        <v>4237</v>
      </c>
      <c r="D678" s="10" t="s">
        <v>4238</v>
      </c>
      <c r="E678" s="55"/>
      <c r="F678" s="55"/>
      <c r="G678" s="25">
        <v>119553</v>
      </c>
      <c r="H678" s="300" t="str">
        <f>CONCATENATE([1]Cover!$D$6,"fdd/view?i=",G678)</f>
        <v>https://www.dgiwg.org/FAD/fdd/view?i=119553</v>
      </c>
      <c r="I678" s="8" t="s">
        <v>4235</v>
      </c>
      <c r="J678" s="38" t="s">
        <v>151</v>
      </c>
    </row>
    <row r="679" spans="1:10">
      <c r="A679" s="302" t="str">
        <f t="shared" si="10"/>
        <v>TestSite</v>
      </c>
      <c r="B679" s="6" t="s">
        <v>4240</v>
      </c>
      <c r="C679" s="17" t="s">
        <v>4241</v>
      </c>
      <c r="D679" s="10" t="s">
        <v>4242</v>
      </c>
      <c r="E679" s="55"/>
      <c r="F679" s="55"/>
      <c r="G679" s="25">
        <v>100470</v>
      </c>
      <c r="H679" s="300" t="str">
        <f>CONCATENATE([1]Cover!$D$6,"fdd/view?i=",G679)</f>
        <v>https://www.dgiwg.org/FAD/fdd/view?i=100470</v>
      </c>
      <c r="I679" s="8" t="s">
        <v>4239</v>
      </c>
      <c r="J679" s="38" t="s">
        <v>151</v>
      </c>
    </row>
    <row r="680" spans="1:10" ht="38.25">
      <c r="A680" s="302" t="str">
        <f t="shared" si="10"/>
        <v>TetheredBalloon</v>
      </c>
      <c r="B680" s="6" t="s">
        <v>4244</v>
      </c>
      <c r="C680" s="17" t="s">
        <v>4245</v>
      </c>
      <c r="D680" s="10" t="s">
        <v>4246</v>
      </c>
      <c r="E680" s="10" t="s">
        <v>4247</v>
      </c>
      <c r="F680" s="55"/>
      <c r="G680" s="25">
        <v>111425</v>
      </c>
      <c r="H680" s="300" t="str">
        <f>CONCATENATE([1]Cover!$D$6,"fdd/view?i=",G680)</f>
        <v>https://www.dgiwg.org/FAD/fdd/view?i=111425</v>
      </c>
      <c r="I680" s="8" t="s">
        <v>4243</v>
      </c>
      <c r="J680" s="38" t="s">
        <v>151</v>
      </c>
    </row>
    <row r="681" spans="1:10" ht="25.5">
      <c r="A681" s="302" t="str">
        <f t="shared" si="10"/>
        <v>Thalweg</v>
      </c>
      <c r="B681" s="6" t="s">
        <v>4248</v>
      </c>
      <c r="C681" s="17" t="s">
        <v>4248</v>
      </c>
      <c r="D681" s="10" t="s">
        <v>4249</v>
      </c>
      <c r="E681" s="10" t="s">
        <v>4250</v>
      </c>
      <c r="F681" s="55"/>
      <c r="G681" s="25">
        <v>114456</v>
      </c>
      <c r="H681" s="300" t="str">
        <f>CONCATENATE([1]Cover!$D$6,"fdd/view?i=",G681)</f>
        <v>https://www.dgiwg.org/FAD/fdd/view?i=114456</v>
      </c>
      <c r="I681" s="161" t="s">
        <v>33677</v>
      </c>
      <c r="J681" s="38" t="s">
        <v>151</v>
      </c>
    </row>
    <row r="682" spans="1:10" ht="25.5">
      <c r="A682" s="302" t="str">
        <f t="shared" si="10"/>
        <v>TheodoliteReferenceLine</v>
      </c>
      <c r="B682" s="6" t="s">
        <v>4252</v>
      </c>
      <c r="C682" s="17" t="s">
        <v>4253</v>
      </c>
      <c r="D682" s="10" t="s">
        <v>4254</v>
      </c>
      <c r="E682" s="55"/>
      <c r="F682" s="55"/>
      <c r="G682" s="25">
        <v>100481</v>
      </c>
      <c r="H682" s="300" t="str">
        <f>CONCATENATE([1]Cover!$D$6,"fdd/view?i=",G682)</f>
        <v>https://www.dgiwg.org/FAD/fdd/view?i=100481</v>
      </c>
      <c r="I682" s="8" t="s">
        <v>4251</v>
      </c>
      <c r="J682" s="38" t="s">
        <v>151</v>
      </c>
    </row>
    <row r="683" spans="1:10" ht="25.5">
      <c r="A683" s="302" t="str">
        <f t="shared" si="10"/>
        <v>Thicket</v>
      </c>
      <c r="B683" s="6" t="s">
        <v>4256</v>
      </c>
      <c r="C683" s="17" t="s">
        <v>4256</v>
      </c>
      <c r="D683" s="10" t="s">
        <v>4257</v>
      </c>
      <c r="E683" s="10" t="s">
        <v>4258</v>
      </c>
      <c r="F683" s="55"/>
      <c r="G683" s="25">
        <v>100441</v>
      </c>
      <c r="H683" s="300" t="str">
        <f>CONCATENATE([1]Cover!$D$6,"fdd/view?i=",G683)</f>
        <v>https://www.dgiwg.org/FAD/fdd/view?i=100441</v>
      </c>
      <c r="I683" s="8" t="s">
        <v>4255</v>
      </c>
      <c r="J683" s="38" t="s">
        <v>151</v>
      </c>
    </row>
    <row r="684" spans="1:10" ht="38.25">
      <c r="A684" s="302" t="str">
        <f t="shared" si="10"/>
        <v>TidalStreamObserveStation</v>
      </c>
      <c r="B684" s="6" t="s">
        <v>4260</v>
      </c>
      <c r="C684" s="17" t="s">
        <v>4261</v>
      </c>
      <c r="D684" s="10" t="s">
        <v>4262</v>
      </c>
      <c r="E684" s="10" t="s">
        <v>4263</v>
      </c>
      <c r="F684" s="10" t="s">
        <v>4264</v>
      </c>
      <c r="G684" s="25">
        <v>100327</v>
      </c>
      <c r="H684" s="300" t="str">
        <f>CONCATENATE([1]Cover!$D$6,"fdd/view?i=",G684)</f>
        <v>https://www.dgiwg.org/FAD/fdd/view?i=100327</v>
      </c>
      <c r="I684" s="8" t="s">
        <v>4259</v>
      </c>
      <c r="J684" s="38" t="s">
        <v>151</v>
      </c>
    </row>
    <row r="685" spans="1:10">
      <c r="A685" s="302" t="str">
        <f t="shared" si="10"/>
        <v>TidalWater</v>
      </c>
      <c r="B685" s="6" t="s">
        <v>4266</v>
      </c>
      <c r="C685" s="17" t="s">
        <v>4267</v>
      </c>
      <c r="D685" s="10" t="s">
        <v>4268</v>
      </c>
      <c r="E685" s="55"/>
      <c r="F685" s="10" t="s">
        <v>4269</v>
      </c>
      <c r="G685" s="25">
        <v>100213</v>
      </c>
      <c r="H685" s="300" t="str">
        <f>CONCATENATE([1]Cover!$D$6,"fdd/view?i=",G685)</f>
        <v>https://www.dgiwg.org/FAD/fdd/view?i=100213</v>
      </c>
      <c r="I685" s="8" t="s">
        <v>4265</v>
      </c>
      <c r="J685" s="38" t="s">
        <v>151</v>
      </c>
    </row>
    <row r="686" spans="1:10">
      <c r="A686" s="302" t="str">
        <f t="shared" si="10"/>
        <v>TideGaugeStation</v>
      </c>
      <c r="B686" s="6" t="s">
        <v>4271</v>
      </c>
      <c r="C686" s="17" t="s">
        <v>4272</v>
      </c>
      <c r="D686" s="10" t="s">
        <v>4273</v>
      </c>
      <c r="E686" s="55"/>
      <c r="F686" s="55"/>
      <c r="G686" s="25">
        <v>100326</v>
      </c>
      <c r="H686" s="300" t="str">
        <f>CONCATENATE([1]Cover!$D$6,"fdd/view?i=",G686)</f>
        <v>https://www.dgiwg.org/FAD/fdd/view?i=100326</v>
      </c>
      <c r="I686" s="8" t="s">
        <v>4270</v>
      </c>
      <c r="J686" s="38" t="s">
        <v>151</v>
      </c>
    </row>
    <row r="687" spans="1:10" ht="63.75">
      <c r="A687" s="302" t="str">
        <f t="shared" si="10"/>
        <v>Tomb</v>
      </c>
      <c r="B687" s="6" t="s">
        <v>4275</v>
      </c>
      <c r="C687" s="17" t="s">
        <v>4275</v>
      </c>
      <c r="D687" s="10" t="s">
        <v>4276</v>
      </c>
      <c r="E687" s="10" t="s">
        <v>4277</v>
      </c>
      <c r="F687" s="55"/>
      <c r="G687" s="25">
        <v>111419</v>
      </c>
      <c r="H687" s="300" t="str">
        <f>CONCATENATE([1]Cover!$D$6,"fdd/view?i=",G687)</f>
        <v>https://www.dgiwg.org/FAD/fdd/view?i=111419</v>
      </c>
      <c r="I687" s="8" t="s">
        <v>4274</v>
      </c>
      <c r="J687" s="38" t="s">
        <v>151</v>
      </c>
    </row>
    <row r="688" spans="1:10" ht="89.25">
      <c r="A688" s="302" t="str">
        <f t="shared" si="10"/>
        <v>TornadoTouchdown</v>
      </c>
      <c r="B688" s="6" t="s">
        <v>4279</v>
      </c>
      <c r="C688" s="17" t="s">
        <v>4280</v>
      </c>
      <c r="D688" s="10" t="s">
        <v>4281</v>
      </c>
      <c r="E688" s="10" t="s">
        <v>4282</v>
      </c>
      <c r="F688" s="55"/>
      <c r="G688" s="25">
        <v>204308</v>
      </c>
      <c r="H688" s="300" t="str">
        <f>CONCATENATE([1]Cover!$D$6,"fdd/view?i=",G688)</f>
        <v>https://www.dgiwg.org/FAD/fdd/view?i=204308</v>
      </c>
      <c r="I688" s="8" t="s">
        <v>4278</v>
      </c>
      <c r="J688" s="38" t="s">
        <v>1295</v>
      </c>
    </row>
    <row r="689" spans="1:10" ht="25.5">
      <c r="A689" s="302" t="str">
        <f t="shared" si="10"/>
        <v>TouchdownAndLiftOffArea</v>
      </c>
      <c r="B689" s="6" t="s">
        <v>4284</v>
      </c>
      <c r="C689" s="17" t="s">
        <v>4285</v>
      </c>
      <c r="D689" s="10" t="s">
        <v>4286</v>
      </c>
      <c r="E689" s="55"/>
      <c r="F689" s="10" t="s">
        <v>4287</v>
      </c>
      <c r="G689" s="25">
        <v>114612</v>
      </c>
      <c r="H689" s="300" t="str">
        <f>CONCATENATE([1]Cover!$D$6,"fdd/view?i=",G689)</f>
        <v>https://www.dgiwg.org/FAD/fdd/view?i=114612</v>
      </c>
      <c r="I689" s="8" t="s">
        <v>4283</v>
      </c>
      <c r="J689" s="38" t="s">
        <v>151</v>
      </c>
    </row>
    <row r="690" spans="1:10" ht="25.5">
      <c r="A690" s="302" t="str">
        <f t="shared" si="10"/>
        <v>Tower</v>
      </c>
      <c r="B690" s="6" t="s">
        <v>4289</v>
      </c>
      <c r="C690" s="17" t="s">
        <v>4289</v>
      </c>
      <c r="D690" s="10" t="s">
        <v>4290</v>
      </c>
      <c r="E690" s="10" t="s">
        <v>4291</v>
      </c>
      <c r="F690" s="55"/>
      <c r="G690" s="25">
        <v>100122</v>
      </c>
      <c r="H690" s="300" t="str">
        <f>CONCATENATE([1]Cover!$D$6,"fdd/view?i=",G690)</f>
        <v>https://www.dgiwg.org/FAD/fdd/view?i=100122</v>
      </c>
      <c r="I690" s="8" t="s">
        <v>4288</v>
      </c>
      <c r="J690" s="38" t="s">
        <v>151</v>
      </c>
    </row>
    <row r="691" spans="1:10" ht="38.25">
      <c r="A691" s="302" t="str">
        <f t="shared" si="10"/>
        <v>Track</v>
      </c>
      <c r="B691" s="6" t="s">
        <v>4293</v>
      </c>
      <c r="C691" s="17" t="s">
        <v>4293</v>
      </c>
      <c r="D691" s="10" t="s">
        <v>4294</v>
      </c>
      <c r="E691" s="10" t="s">
        <v>4295</v>
      </c>
      <c r="F691" s="55"/>
      <c r="G691" s="25">
        <v>204305</v>
      </c>
      <c r="H691" s="300" t="str">
        <f>CONCATENATE([1]Cover!$D$6,"fdd/view?i=",G691)</f>
        <v>https://www.dgiwg.org/FAD/fdd/view?i=204305</v>
      </c>
      <c r="I691" s="8" t="s">
        <v>4292</v>
      </c>
      <c r="J691" s="38" t="s">
        <v>1295</v>
      </c>
    </row>
    <row r="692" spans="1:10" ht="102">
      <c r="A692" s="302" t="str">
        <f t="shared" si="10"/>
        <v>TrackInfo</v>
      </c>
      <c r="B692" s="6" t="s">
        <v>4297</v>
      </c>
      <c r="C692" s="17" t="s">
        <v>4298</v>
      </c>
      <c r="D692" s="10" t="s">
        <v>4299</v>
      </c>
      <c r="E692" s="10" t="s">
        <v>4300</v>
      </c>
      <c r="F692" s="55"/>
      <c r="G692" s="25">
        <v>114200</v>
      </c>
      <c r="H692" s="300" t="str">
        <f>CONCATENATE([1]Cover!$D$6,"fdd/view?i=",G692)</f>
        <v>https://www.dgiwg.org/FAD/fdd/view?i=114200</v>
      </c>
      <c r="I692" s="8" t="s">
        <v>4296</v>
      </c>
      <c r="J692" s="38" t="s">
        <v>151</v>
      </c>
    </row>
    <row r="693" spans="1:10" ht="25.5">
      <c r="A693" s="302" t="str">
        <f t="shared" si="10"/>
        <v>TrackLine</v>
      </c>
      <c r="B693" s="6" t="s">
        <v>4302</v>
      </c>
      <c r="C693" s="17" t="s">
        <v>4303</v>
      </c>
      <c r="D693" s="10" t="s">
        <v>4304</v>
      </c>
      <c r="E693" s="10" t="s">
        <v>4305</v>
      </c>
      <c r="F693" s="55"/>
      <c r="G693" s="25">
        <v>103045</v>
      </c>
      <c r="H693" s="300" t="str">
        <f>CONCATENATE([1]Cover!$D$6,"fdd/view?i=",G693)</f>
        <v>https://www.dgiwg.org/FAD/fdd/view?i=103045</v>
      </c>
      <c r="I693" s="8" t="s">
        <v>4301</v>
      </c>
      <c r="J693" s="38" t="s">
        <v>151</v>
      </c>
    </row>
    <row r="694" spans="1:10">
      <c r="A694" s="302" t="str">
        <f t="shared" si="10"/>
        <v>TrackSwath</v>
      </c>
      <c r="B694" s="6" t="s">
        <v>4307</v>
      </c>
      <c r="C694" s="17" t="s">
        <v>4308</v>
      </c>
      <c r="D694" s="10" t="s">
        <v>4309</v>
      </c>
      <c r="E694" s="55"/>
      <c r="F694" s="55"/>
      <c r="G694" s="25">
        <v>100318</v>
      </c>
      <c r="H694" s="300" t="str">
        <f>CONCATENATE([1]Cover!$D$6,"fdd/view?i=",G694)</f>
        <v>https://www.dgiwg.org/FAD/fdd/view?i=100318</v>
      </c>
      <c r="I694" s="8" t="s">
        <v>4306</v>
      </c>
      <c r="J694" s="38" t="s">
        <v>151</v>
      </c>
    </row>
    <row r="695" spans="1:10" ht="25.5">
      <c r="A695" s="302" t="str">
        <f t="shared" si="10"/>
        <v>TrafficLight</v>
      </c>
      <c r="B695" s="6" t="s">
        <v>4311</v>
      </c>
      <c r="C695" s="17" t="s">
        <v>4312</v>
      </c>
      <c r="D695" s="10" t="s">
        <v>4313</v>
      </c>
      <c r="E695" s="10" t="s">
        <v>4314</v>
      </c>
      <c r="F695" s="55"/>
      <c r="G695" s="25">
        <v>100189</v>
      </c>
      <c r="H695" s="300" t="str">
        <f>CONCATENATE([1]Cover!$D$6,"fdd/view?i=",G695)</f>
        <v>https://www.dgiwg.org/FAD/fdd/view?i=100189</v>
      </c>
      <c r="I695" s="8" t="s">
        <v>4310</v>
      </c>
      <c r="J695" s="38" t="s">
        <v>151</v>
      </c>
    </row>
    <row r="696" spans="1:10" ht="38.25">
      <c r="A696" s="302" t="str">
        <f t="shared" si="10"/>
        <v>TrafficMonitorSite</v>
      </c>
      <c r="B696" s="6" t="s">
        <v>4316</v>
      </c>
      <c r="C696" s="17" t="s">
        <v>4317</v>
      </c>
      <c r="D696" s="10" t="s">
        <v>4318</v>
      </c>
      <c r="E696" s="10" t="s">
        <v>4319</v>
      </c>
      <c r="F696" s="55"/>
      <c r="G696" s="25">
        <v>118994</v>
      </c>
      <c r="H696" s="300" t="str">
        <f>CONCATENATE([1]Cover!$D$6,"fdd/view?i=",G696)</f>
        <v>https://www.dgiwg.org/FAD/fdd/view?i=118994</v>
      </c>
      <c r="I696" s="8" t="s">
        <v>4315</v>
      </c>
      <c r="J696" s="38" t="s">
        <v>151</v>
      </c>
    </row>
    <row r="697" spans="1:10" ht="25.5">
      <c r="A697" s="302" t="str">
        <f t="shared" si="10"/>
        <v>TrafficSeparationScheme</v>
      </c>
      <c r="B697" s="6" t="s">
        <v>4321</v>
      </c>
      <c r="C697" s="17" t="s">
        <v>4322</v>
      </c>
      <c r="D697" s="10" t="s">
        <v>4323</v>
      </c>
      <c r="E697" s="10" t="s">
        <v>4324</v>
      </c>
      <c r="F697" s="55"/>
      <c r="G697" s="25">
        <v>100479</v>
      </c>
      <c r="H697" s="300" t="str">
        <f>CONCATENATE([1]Cover!$D$6,"fdd/view?i=",G697)</f>
        <v>https://www.dgiwg.org/FAD/fdd/view?i=100479</v>
      </c>
      <c r="I697" s="8" t="s">
        <v>4320</v>
      </c>
      <c r="J697" s="38" t="s">
        <v>151</v>
      </c>
    </row>
    <row r="698" spans="1:10">
      <c r="A698" s="302" t="str">
        <f t="shared" si="10"/>
        <v>Trail</v>
      </c>
      <c r="B698" s="6" t="s">
        <v>4326</v>
      </c>
      <c r="C698" s="17" t="s">
        <v>4326</v>
      </c>
      <c r="D698" s="10" t="s">
        <v>4327</v>
      </c>
      <c r="E698" s="55"/>
      <c r="F698" s="10" t="s">
        <v>4328</v>
      </c>
      <c r="G698" s="25">
        <v>100148</v>
      </c>
      <c r="H698" s="300" t="str">
        <f>CONCATENATE([1]Cover!$D$6,"fdd/view?i=",G698)</f>
        <v>https://www.dgiwg.org/FAD/fdd/view?i=100148</v>
      </c>
      <c r="I698" s="8" t="s">
        <v>4325</v>
      </c>
      <c r="J698" s="38" t="s">
        <v>151</v>
      </c>
    </row>
    <row r="699" spans="1:10">
      <c r="A699" s="302" t="str">
        <f t="shared" si="10"/>
        <v>TrainingSite</v>
      </c>
      <c r="B699" s="6" t="s">
        <v>4330</v>
      </c>
      <c r="C699" s="17" t="s">
        <v>4331</v>
      </c>
      <c r="D699" s="10" t="s">
        <v>4332</v>
      </c>
      <c r="E699" s="55"/>
      <c r="F699" s="55"/>
      <c r="G699" s="25">
        <v>100472</v>
      </c>
      <c r="H699" s="300" t="str">
        <f>CONCATENATE([1]Cover!$D$6,"fdd/view?i=",G699)</f>
        <v>https://www.dgiwg.org/FAD/fdd/view?i=100472</v>
      </c>
      <c r="I699" s="8" t="s">
        <v>4329</v>
      </c>
      <c r="J699" s="38" t="s">
        <v>151</v>
      </c>
    </row>
    <row r="700" spans="1:10" ht="89.25">
      <c r="A700" s="302" t="str">
        <f t="shared" si="10"/>
        <v>TranspondLandingSysStation</v>
      </c>
      <c r="B700" s="6" t="s">
        <v>4334</v>
      </c>
      <c r="C700" s="17" t="s">
        <v>4335</v>
      </c>
      <c r="D700" s="10" t="s">
        <v>4336</v>
      </c>
      <c r="E700" s="10" t="s">
        <v>4337</v>
      </c>
      <c r="F700" s="55"/>
      <c r="G700" s="25">
        <v>119702</v>
      </c>
      <c r="H700" s="300" t="str">
        <f>CONCATENATE([1]Cover!$D$6,"fdd/view?i=",G700)</f>
        <v>https://www.dgiwg.org/FAD/fdd/view?i=119702</v>
      </c>
      <c r="I700" s="8" t="s">
        <v>4333</v>
      </c>
      <c r="J700" s="38" t="s">
        <v>1295</v>
      </c>
    </row>
    <row r="701" spans="1:10" ht="38.25">
      <c r="A701" s="302" t="str">
        <f t="shared" si="10"/>
        <v>TransportationBlock</v>
      </c>
      <c r="B701" s="6" t="s">
        <v>4339</v>
      </c>
      <c r="C701" s="17" t="s">
        <v>4340</v>
      </c>
      <c r="D701" s="10" t="s">
        <v>4341</v>
      </c>
      <c r="E701" s="10" t="s">
        <v>4342</v>
      </c>
      <c r="F701" s="55"/>
      <c r="G701" s="25">
        <v>100166</v>
      </c>
      <c r="H701" s="300" t="str">
        <f>CONCATENATE([1]Cover!$D$6,"fdd/view?i=",G701)</f>
        <v>https://www.dgiwg.org/FAD/fdd/view?i=100166</v>
      </c>
      <c r="I701" s="8" t="s">
        <v>4338</v>
      </c>
      <c r="J701" s="38" t="s">
        <v>151</v>
      </c>
    </row>
    <row r="702" spans="1:10" ht="38.25">
      <c r="A702" s="302" t="str">
        <f t="shared" si="10"/>
        <v>TransRouteCharacterChange</v>
      </c>
      <c r="B702" s="6" t="s">
        <v>4344</v>
      </c>
      <c r="C702" s="17" t="s">
        <v>4345</v>
      </c>
      <c r="D702" s="10" t="s">
        <v>4346</v>
      </c>
      <c r="E702" s="10" t="s">
        <v>4347</v>
      </c>
      <c r="F702" s="55"/>
      <c r="G702" s="25">
        <v>117991</v>
      </c>
      <c r="H702" s="300" t="str">
        <f>CONCATENATE([1]Cover!$D$6,"fdd/view?i=",G702)</f>
        <v>https://www.dgiwg.org/FAD/fdd/view?i=117991</v>
      </c>
      <c r="I702" s="8" t="s">
        <v>4343</v>
      </c>
      <c r="J702" s="38" t="s">
        <v>151</v>
      </c>
    </row>
    <row r="703" spans="1:10" ht="38.25">
      <c r="A703" s="302" t="str">
        <f t="shared" si="10"/>
        <v>TransRouteProtectStruct</v>
      </c>
      <c r="B703" s="6" t="s">
        <v>4349</v>
      </c>
      <c r="C703" s="17" t="s">
        <v>4350</v>
      </c>
      <c r="D703" s="10" t="s">
        <v>4351</v>
      </c>
      <c r="E703" s="10" t="s">
        <v>4352</v>
      </c>
      <c r="F703" s="55"/>
      <c r="G703" s="25">
        <v>117756</v>
      </c>
      <c r="H703" s="300" t="str">
        <f>CONCATENATE([1]Cover!$D$6,"fdd/view?i=",G703)</f>
        <v>https://www.dgiwg.org/FAD/fdd/view?i=117756</v>
      </c>
      <c r="I703" s="8" t="s">
        <v>4348</v>
      </c>
      <c r="J703" s="38" t="s">
        <v>151</v>
      </c>
    </row>
    <row r="704" spans="1:10" ht="38.25">
      <c r="A704" s="302" t="str">
        <f t="shared" si="10"/>
        <v>TransportationStation</v>
      </c>
      <c r="B704" s="6" t="s">
        <v>4354</v>
      </c>
      <c r="C704" s="17" t="s">
        <v>4355</v>
      </c>
      <c r="D704" s="10" t="s">
        <v>4356</v>
      </c>
      <c r="E704" s="10" t="s">
        <v>4357</v>
      </c>
      <c r="F704" s="55"/>
      <c r="G704" s="25">
        <v>100181</v>
      </c>
      <c r="H704" s="300" t="str">
        <f>CONCATENATE([1]Cover!$D$6,"fdd/view?i=",G704)</f>
        <v>https://www.dgiwg.org/FAD/fdd/view?i=100181</v>
      </c>
      <c r="I704" s="8" t="s">
        <v>4353</v>
      </c>
      <c r="J704" s="38" t="s">
        <v>151</v>
      </c>
    </row>
    <row r="705" spans="1:10" ht="51">
      <c r="A705" s="302" t="str">
        <f t="shared" si="10"/>
        <v>TransportationStop</v>
      </c>
      <c r="B705" s="6" t="s">
        <v>4359</v>
      </c>
      <c r="C705" s="17" t="s">
        <v>4360</v>
      </c>
      <c r="D705" s="10" t="s">
        <v>4361</v>
      </c>
      <c r="E705" s="10" t="s">
        <v>4362</v>
      </c>
      <c r="F705" s="55"/>
      <c r="G705" s="25">
        <v>119700</v>
      </c>
      <c r="H705" s="300" t="str">
        <f>CONCATENATE([1]Cover!$D$6,"fdd/view?i=",G705)</f>
        <v>https://www.dgiwg.org/FAD/fdd/view?i=119700</v>
      </c>
      <c r="I705" s="8" t="s">
        <v>4358</v>
      </c>
      <c r="J705" s="38" t="s">
        <v>1295</v>
      </c>
    </row>
    <row r="706" spans="1:10" ht="38.25">
      <c r="A706" s="302" t="str">
        <f t="shared" si="10"/>
        <v>Tree</v>
      </c>
      <c r="B706" s="6" t="s">
        <v>4364</v>
      </c>
      <c r="C706" s="17" t="s">
        <v>4364</v>
      </c>
      <c r="D706" s="10" t="s">
        <v>4365</v>
      </c>
      <c r="E706" s="10" t="s">
        <v>4366</v>
      </c>
      <c r="F706" s="55"/>
      <c r="G706" s="25">
        <v>110647</v>
      </c>
      <c r="H706" s="300" t="str">
        <f>CONCATENATE([1]Cover!$D$6,"fdd/view?i=",G706)</f>
        <v>https://www.dgiwg.org/FAD/fdd/view?i=110647</v>
      </c>
      <c r="I706" s="8" t="s">
        <v>4363</v>
      </c>
      <c r="J706" s="38" t="s">
        <v>151</v>
      </c>
    </row>
    <row r="707" spans="1:10" ht="153">
      <c r="A707" s="302" t="str">
        <f t="shared" ref="A707:A766" si="11">HYPERLINK(H707,B707)</f>
        <v>TsunamiRunup</v>
      </c>
      <c r="B707" s="6" t="s">
        <v>4368</v>
      </c>
      <c r="C707" s="17" t="s">
        <v>4369</v>
      </c>
      <c r="D707" s="10" t="s">
        <v>4370</v>
      </c>
      <c r="E707" s="10" t="s">
        <v>4371</v>
      </c>
      <c r="F707" s="55"/>
      <c r="G707" s="25">
        <v>204310</v>
      </c>
      <c r="H707" s="300" t="str">
        <f>CONCATENATE([1]Cover!$D$6,"fdd/view?i=",G707)</f>
        <v>https://www.dgiwg.org/FAD/fdd/view?i=204310</v>
      </c>
      <c r="I707" s="8" t="s">
        <v>4367</v>
      </c>
      <c r="J707" s="38" t="s">
        <v>1295</v>
      </c>
    </row>
    <row r="708" spans="1:10" ht="102">
      <c r="A708" s="302" t="str">
        <f t="shared" si="11"/>
        <v>TsunamiSourceEvent</v>
      </c>
      <c r="B708" s="6" t="s">
        <v>4373</v>
      </c>
      <c r="C708" s="17" t="s">
        <v>4374</v>
      </c>
      <c r="D708" s="10" t="s">
        <v>4375</v>
      </c>
      <c r="E708" s="10" t="s">
        <v>4376</v>
      </c>
      <c r="F708" s="55"/>
      <c r="G708" s="25">
        <v>204309</v>
      </c>
      <c r="H708" s="300" t="str">
        <f>CONCATENATE([1]Cover!$D$6,"fdd/view?i=",G708)</f>
        <v>https://www.dgiwg.org/FAD/fdd/view?i=204309</v>
      </c>
      <c r="I708" s="8" t="s">
        <v>4372</v>
      </c>
      <c r="J708" s="38" t="s">
        <v>1295</v>
      </c>
    </row>
    <row r="709" spans="1:10" ht="25.5">
      <c r="A709" s="302" t="str">
        <f t="shared" si="11"/>
        <v>Tundra</v>
      </c>
      <c r="B709" s="6" t="s">
        <v>4378</v>
      </c>
      <c r="C709" s="17" t="s">
        <v>4378</v>
      </c>
      <c r="D709" s="10" t="s">
        <v>4379</v>
      </c>
      <c r="E709" s="55"/>
      <c r="F709" s="55"/>
      <c r="G709" s="25">
        <v>100388</v>
      </c>
      <c r="H709" s="300" t="str">
        <f>CONCATENATE([1]Cover!$D$6,"fdd/view?i=",G709)</f>
        <v>https://www.dgiwg.org/FAD/fdd/view?i=100388</v>
      </c>
      <c r="I709" s="8" t="s">
        <v>4377</v>
      </c>
      <c r="J709" s="38" t="s">
        <v>151</v>
      </c>
    </row>
    <row r="710" spans="1:10" ht="38.25">
      <c r="A710" s="302" t="str">
        <f t="shared" si="11"/>
        <v>Tunnel</v>
      </c>
      <c r="B710" s="6" t="s">
        <v>4381</v>
      </c>
      <c r="C710" s="17" t="s">
        <v>4381</v>
      </c>
      <c r="D710" s="10" t="s">
        <v>4382</v>
      </c>
      <c r="E710" s="10" t="s">
        <v>4383</v>
      </c>
      <c r="F710" s="55"/>
      <c r="G710" s="25">
        <v>100182</v>
      </c>
      <c r="H710" s="300" t="str">
        <f>CONCATENATE([1]Cover!$D$6,"fdd/view?i=",G710)</f>
        <v>https://www.dgiwg.org/FAD/fdd/view?i=100182</v>
      </c>
      <c r="I710" s="8" t="s">
        <v>4380</v>
      </c>
      <c r="J710" s="38" t="s">
        <v>151</v>
      </c>
    </row>
    <row r="711" spans="1:10" ht="51">
      <c r="A711" s="302" t="str">
        <f t="shared" si="11"/>
        <v>TunnelMouth</v>
      </c>
      <c r="B711" s="6" t="s">
        <v>4385</v>
      </c>
      <c r="C711" s="17" t="s">
        <v>4386</v>
      </c>
      <c r="D711" s="10" t="s">
        <v>4387</v>
      </c>
      <c r="E711" s="10" t="s">
        <v>4388</v>
      </c>
      <c r="F711" s="55"/>
      <c r="G711" s="25">
        <v>111430</v>
      </c>
      <c r="H711" s="300" t="str">
        <f>CONCATENATE([1]Cover!$D$6,"fdd/view?i=",G711)</f>
        <v>https://www.dgiwg.org/FAD/fdd/view?i=111430</v>
      </c>
      <c r="I711" s="8" t="s">
        <v>4384</v>
      </c>
      <c r="J711" s="38" t="s">
        <v>151</v>
      </c>
    </row>
    <row r="712" spans="1:10" ht="38.25">
      <c r="A712" s="302" t="str">
        <f t="shared" si="11"/>
        <v>UndergroundBunker</v>
      </c>
      <c r="B712" s="6" t="s">
        <v>4390</v>
      </c>
      <c r="C712" s="17" t="s">
        <v>4391</v>
      </c>
      <c r="D712" s="10" t="s">
        <v>4392</v>
      </c>
      <c r="E712" s="10" t="s">
        <v>4393</v>
      </c>
      <c r="F712" s="55"/>
      <c r="G712" s="25">
        <v>102872</v>
      </c>
      <c r="H712" s="300" t="str">
        <f>CONCATENATE([1]Cover!$D$6,"fdd/view?i=",G712)</f>
        <v>https://www.dgiwg.org/FAD/fdd/view?i=102872</v>
      </c>
      <c r="I712" s="8" t="s">
        <v>4389</v>
      </c>
      <c r="J712" s="38" t="s">
        <v>151</v>
      </c>
    </row>
    <row r="713" spans="1:10">
      <c r="A713" s="302" t="str">
        <f t="shared" si="11"/>
        <v>UndergroundDwelling</v>
      </c>
      <c r="B713" s="6" t="s">
        <v>4395</v>
      </c>
      <c r="C713" s="17" t="s">
        <v>4396</v>
      </c>
      <c r="D713" s="10" t="s">
        <v>4397</v>
      </c>
      <c r="E713" s="55"/>
      <c r="F713" s="55"/>
      <c r="G713" s="25">
        <v>100123</v>
      </c>
      <c r="H713" s="300" t="str">
        <f>CONCATENATE([1]Cover!$D$6,"fdd/view?i=",G713)</f>
        <v>https://www.dgiwg.org/FAD/fdd/view?i=100123</v>
      </c>
      <c r="I713" s="8" t="s">
        <v>4394</v>
      </c>
      <c r="J713" s="38" t="s">
        <v>151</v>
      </c>
    </row>
    <row r="714" spans="1:10" ht="76.5">
      <c r="A714" s="302" t="str">
        <f t="shared" si="11"/>
        <v>UndergroundStorageForm</v>
      </c>
      <c r="B714" s="6" t="s">
        <v>4399</v>
      </c>
      <c r="C714" s="17" t="s">
        <v>4400</v>
      </c>
      <c r="D714" s="10" t="s">
        <v>4401</v>
      </c>
      <c r="E714" s="10" t="s">
        <v>4402</v>
      </c>
      <c r="F714" s="55"/>
      <c r="G714" s="25">
        <v>118993</v>
      </c>
      <c r="H714" s="300" t="str">
        <f>CONCATENATE([1]Cover!$D$6,"fdd/view?i=",G714)</f>
        <v>https://www.dgiwg.org/FAD/fdd/view?i=118993</v>
      </c>
      <c r="I714" s="8" t="s">
        <v>4398</v>
      </c>
      <c r="J714" s="38" t="s">
        <v>151</v>
      </c>
    </row>
    <row r="715" spans="1:10" ht="38.25">
      <c r="A715" s="302" t="str">
        <f t="shared" si="11"/>
        <v>UnvegetatedLand</v>
      </c>
      <c r="B715" s="6" t="s">
        <v>4404</v>
      </c>
      <c r="C715" s="17" t="s">
        <v>4405</v>
      </c>
      <c r="D715" s="10" t="s">
        <v>4406</v>
      </c>
      <c r="E715" s="10" t="s">
        <v>4407</v>
      </c>
      <c r="F715" s="55"/>
      <c r="G715" s="25">
        <v>100452</v>
      </c>
      <c r="H715" s="300" t="str">
        <f>CONCATENATE([1]Cover!$D$6,"fdd/view?i=",G715)</f>
        <v>https://www.dgiwg.org/FAD/fdd/view?i=100452</v>
      </c>
      <c r="I715" s="8" t="s">
        <v>4403</v>
      </c>
      <c r="J715" s="38" t="s">
        <v>151</v>
      </c>
    </row>
    <row r="716" spans="1:10" ht="25.5">
      <c r="A716" s="302" t="str">
        <f t="shared" si="11"/>
        <v>UtilityCover</v>
      </c>
      <c r="B716" s="6" t="s">
        <v>4409</v>
      </c>
      <c r="C716" s="17" t="s">
        <v>4410</v>
      </c>
      <c r="D716" s="10" t="s">
        <v>4411</v>
      </c>
      <c r="E716" s="10" t="s">
        <v>4412</v>
      </c>
      <c r="F716" s="55"/>
      <c r="G716" s="25">
        <v>100175</v>
      </c>
      <c r="H716" s="300" t="str">
        <f>CONCATENATE([1]Cover!$D$6,"fdd/view?i=",G716)</f>
        <v>https://www.dgiwg.org/FAD/fdd/view?i=100175</v>
      </c>
      <c r="I716" s="8" t="s">
        <v>4408</v>
      </c>
      <c r="J716" s="38" t="s">
        <v>151</v>
      </c>
    </row>
    <row r="717" spans="1:10" ht="38.25">
      <c r="A717" s="302" t="str">
        <f t="shared" si="11"/>
        <v>VanishingPoint</v>
      </c>
      <c r="B717" s="6" t="s">
        <v>4414</v>
      </c>
      <c r="C717" s="17" t="s">
        <v>4415</v>
      </c>
      <c r="D717" s="10" t="s">
        <v>4416</v>
      </c>
      <c r="E717" s="55"/>
      <c r="F717" s="10" t="s">
        <v>4417</v>
      </c>
      <c r="G717" s="25">
        <v>100353</v>
      </c>
      <c r="H717" s="300" t="str">
        <f>CONCATENATE([1]Cover!$D$6,"fdd/view?i=",G717)</f>
        <v>https://www.dgiwg.org/FAD/fdd/view?i=100353</v>
      </c>
      <c r="I717" s="8" t="s">
        <v>4413</v>
      </c>
      <c r="J717" s="38" t="s">
        <v>151</v>
      </c>
    </row>
    <row r="718" spans="1:10" ht="38.25">
      <c r="A718" s="302" t="str">
        <f t="shared" si="11"/>
        <v>VehicleBarrier</v>
      </c>
      <c r="B718" s="6" t="s">
        <v>4419</v>
      </c>
      <c r="C718" s="17" t="s">
        <v>4420</v>
      </c>
      <c r="D718" s="10" t="s">
        <v>4421</v>
      </c>
      <c r="E718" s="55"/>
      <c r="F718" s="55"/>
      <c r="G718" s="25">
        <v>100147</v>
      </c>
      <c r="H718" s="300" t="str">
        <f>CONCATENATE([1]Cover!$D$6,"fdd/view?i=",G718)</f>
        <v>https://www.dgiwg.org/FAD/fdd/view?i=100147</v>
      </c>
      <c r="I718" s="8" t="s">
        <v>4418</v>
      </c>
      <c r="J718" s="38" t="s">
        <v>151</v>
      </c>
    </row>
    <row r="719" spans="1:10" ht="38.25">
      <c r="A719" s="302" t="str">
        <f t="shared" si="11"/>
        <v>VehicleLot</v>
      </c>
      <c r="B719" s="6" t="s">
        <v>4423</v>
      </c>
      <c r="C719" s="17" t="s">
        <v>4424</v>
      </c>
      <c r="D719" s="10" t="s">
        <v>4425</v>
      </c>
      <c r="E719" s="55"/>
      <c r="F719" s="10" t="s">
        <v>4426</v>
      </c>
      <c r="G719" s="25">
        <v>100184</v>
      </c>
      <c r="H719" s="300" t="str">
        <f>CONCATENATE([1]Cover!$D$6,"fdd/view?i=",G719)</f>
        <v>https://www.dgiwg.org/FAD/fdd/view?i=100184</v>
      </c>
      <c r="I719" s="8" t="s">
        <v>4422</v>
      </c>
      <c r="J719" s="38" t="s">
        <v>151</v>
      </c>
    </row>
    <row r="720" spans="1:10" ht="38.25">
      <c r="A720" s="302" t="str">
        <f t="shared" si="11"/>
        <v>VertCoordMetadata</v>
      </c>
      <c r="B720" s="6" t="s">
        <v>4428</v>
      </c>
      <c r="C720" s="17" t="s">
        <v>4429</v>
      </c>
      <c r="D720" s="10" t="s">
        <v>4430</v>
      </c>
      <c r="E720" s="10" t="s">
        <v>4431</v>
      </c>
      <c r="F720" s="55"/>
      <c r="G720" s="25">
        <v>114195</v>
      </c>
      <c r="H720" s="300" t="str">
        <f>CONCATENATE([1]Cover!$D$6,"fdd/view?i=",G720)</f>
        <v>https://www.dgiwg.org/FAD/fdd/view?i=114195</v>
      </c>
      <c r="I720" s="8" t="s">
        <v>4427</v>
      </c>
      <c r="J720" s="38" t="s">
        <v>151</v>
      </c>
    </row>
    <row r="721" spans="1:10" ht="76.5">
      <c r="A721" s="302" t="str">
        <f t="shared" si="11"/>
        <v>SC_VerticalCRS</v>
      </c>
      <c r="B721" s="6" t="s">
        <v>4433</v>
      </c>
      <c r="C721" s="17" t="s">
        <v>4434</v>
      </c>
      <c r="D721" s="10" t="s">
        <v>4435</v>
      </c>
      <c r="E721" s="10" t="s">
        <v>4436</v>
      </c>
      <c r="F721" s="55"/>
      <c r="G721" s="25">
        <v>207310</v>
      </c>
      <c r="H721" s="300" t="str">
        <f>CONCATENATE([1]Cover!$D$6,"fdd/view?i=",G721)</f>
        <v>https://www.dgiwg.org/FAD/fdd/view?i=207310</v>
      </c>
      <c r="I721" s="8" t="s">
        <v>4432</v>
      </c>
      <c r="J721" s="38" t="s">
        <v>1295</v>
      </c>
    </row>
    <row r="722" spans="1:10">
      <c r="A722" s="302" t="str">
        <f t="shared" si="11"/>
        <v>EX_VerticalExtent</v>
      </c>
      <c r="B722" s="6" t="s">
        <v>4438</v>
      </c>
      <c r="C722" s="17" t="s">
        <v>4439</v>
      </c>
      <c r="D722" s="10" t="s">
        <v>4440</v>
      </c>
      <c r="E722" s="55"/>
      <c r="F722" s="55"/>
      <c r="G722" s="25">
        <v>203460</v>
      </c>
      <c r="H722" s="300" t="str">
        <f>CONCATENATE([1]Cover!$D$6,"fdd/view?i=",G722)</f>
        <v>https://www.dgiwg.org/FAD/fdd/view?i=203460</v>
      </c>
      <c r="I722" s="8" t="s">
        <v>4437</v>
      </c>
      <c r="J722" s="38" t="s">
        <v>1295</v>
      </c>
    </row>
    <row r="723" spans="1:10" ht="51">
      <c r="A723" s="302" t="str">
        <f t="shared" si="11"/>
        <v>VesselLift</v>
      </c>
      <c r="B723" s="6" t="s">
        <v>4442</v>
      </c>
      <c r="C723" s="17" t="s">
        <v>4443</v>
      </c>
      <c r="D723" s="10" t="s">
        <v>4444</v>
      </c>
      <c r="E723" s="10" t="s">
        <v>4445</v>
      </c>
      <c r="F723" s="55"/>
      <c r="G723" s="25">
        <v>100366</v>
      </c>
      <c r="H723" s="300" t="str">
        <f>CONCATENATE([1]Cover!$D$6,"fdd/view?i=",G723)</f>
        <v>https://www.dgiwg.org/FAD/fdd/view?i=100366</v>
      </c>
      <c r="I723" s="8" t="s">
        <v>4441</v>
      </c>
      <c r="J723" s="38" t="s">
        <v>151</v>
      </c>
    </row>
    <row r="724" spans="1:10" ht="38.25">
      <c r="A724" s="302" t="str">
        <f t="shared" si="11"/>
        <v>VhfOmniRadioBeacon</v>
      </c>
      <c r="B724" s="6" t="s">
        <v>4447</v>
      </c>
      <c r="C724" s="17" t="s">
        <v>4448</v>
      </c>
      <c r="D724" s="10" t="s">
        <v>4449</v>
      </c>
      <c r="E724" s="10" t="s">
        <v>4450</v>
      </c>
      <c r="F724" s="10" t="s">
        <v>4451</v>
      </c>
      <c r="G724" s="25">
        <v>114519</v>
      </c>
      <c r="H724" s="300" t="str">
        <f>CONCATENATE([1]Cover!$D$6,"fdd/view?i=",G724)</f>
        <v>https://www.dgiwg.org/FAD/fdd/view?i=114519</v>
      </c>
      <c r="I724" s="8" t="s">
        <v>4446</v>
      </c>
      <c r="J724" s="38" t="s">
        <v>151</v>
      </c>
    </row>
    <row r="725" spans="1:10">
      <c r="A725" s="302" t="str">
        <f t="shared" si="11"/>
        <v>Vineyard</v>
      </c>
      <c r="B725" s="6" t="s">
        <v>4453</v>
      </c>
      <c r="C725" s="17" t="s">
        <v>4453</v>
      </c>
      <c r="D725" s="10" t="s">
        <v>4454</v>
      </c>
      <c r="E725" s="55"/>
      <c r="F725" s="55"/>
      <c r="G725" s="25">
        <v>100437</v>
      </c>
      <c r="H725" s="300" t="str">
        <f>CONCATENATE([1]Cover!$D$6,"fdd/view?i=",G725)</f>
        <v>https://www.dgiwg.org/FAD/fdd/view?i=100437</v>
      </c>
      <c r="I725" s="8" t="s">
        <v>4452</v>
      </c>
      <c r="J725" s="38" t="s">
        <v>151</v>
      </c>
    </row>
    <row r="726" spans="1:10" ht="38.25">
      <c r="A726" s="302" t="str">
        <f t="shared" si="11"/>
        <v>VisualAppSlopeIndSystem</v>
      </c>
      <c r="B726" s="6" t="s">
        <v>4456</v>
      </c>
      <c r="C726" s="17" t="s">
        <v>4457</v>
      </c>
      <c r="D726" s="10" t="s">
        <v>4458</v>
      </c>
      <c r="E726" s="10" t="s">
        <v>4459</v>
      </c>
      <c r="F726" s="10" t="s">
        <v>4460</v>
      </c>
      <c r="G726" s="25">
        <v>114613</v>
      </c>
      <c r="H726" s="300" t="str">
        <f>CONCATENATE([1]Cover!$D$6,"fdd/view?i=",G726)</f>
        <v>https://www.dgiwg.org/FAD/fdd/view?i=114613</v>
      </c>
      <c r="I726" s="8" t="s">
        <v>4455</v>
      </c>
      <c r="J726" s="38" t="s">
        <v>151</v>
      </c>
    </row>
    <row r="727" spans="1:10" ht="25.5">
      <c r="A727" s="302" t="str">
        <f t="shared" si="11"/>
        <v>VoidCollectionArea</v>
      </c>
      <c r="B727" s="6" t="s">
        <v>4462</v>
      </c>
      <c r="C727" s="17" t="s">
        <v>4463</v>
      </c>
      <c r="D727" s="10" t="s">
        <v>4464</v>
      </c>
      <c r="E727" s="55"/>
      <c r="F727" s="55"/>
      <c r="G727" s="25">
        <v>100580</v>
      </c>
      <c r="H727" s="300" t="str">
        <f>CONCATENATE([1]Cover!$D$6,"fdd/view?i=",G727)</f>
        <v>https://www.dgiwg.org/FAD/fdd/view?i=100580</v>
      </c>
      <c r="I727" s="8" t="s">
        <v>4461</v>
      </c>
      <c r="J727" s="38" t="s">
        <v>151</v>
      </c>
    </row>
    <row r="728" spans="1:10" ht="25.5">
      <c r="A728" s="302" t="str">
        <f t="shared" si="11"/>
        <v>VolcanicDyke</v>
      </c>
      <c r="B728" s="6" t="s">
        <v>4466</v>
      </c>
      <c r="C728" s="17" t="s">
        <v>4467</v>
      </c>
      <c r="D728" s="10" t="s">
        <v>4468</v>
      </c>
      <c r="E728" s="10" t="s">
        <v>4469</v>
      </c>
      <c r="F728" s="10" t="s">
        <v>4470</v>
      </c>
      <c r="G728" s="25">
        <v>100424</v>
      </c>
      <c r="H728" s="300" t="str">
        <f>CONCATENATE([1]Cover!$D$6,"fdd/view?i=",G728)</f>
        <v>https://www.dgiwg.org/FAD/fdd/view?i=100424</v>
      </c>
      <c r="I728" s="8" t="s">
        <v>4465</v>
      </c>
      <c r="J728" s="38" t="s">
        <v>151</v>
      </c>
    </row>
    <row r="729" spans="1:10" ht="89.25">
      <c r="A729" s="302" t="str">
        <f t="shared" si="11"/>
        <v>VolcanicEruption</v>
      </c>
      <c r="B729" s="6" t="s">
        <v>4472</v>
      </c>
      <c r="C729" s="17" t="s">
        <v>4473</v>
      </c>
      <c r="D729" s="10" t="s">
        <v>4474</v>
      </c>
      <c r="E729" s="10" t="s">
        <v>4475</v>
      </c>
      <c r="F729" s="55"/>
      <c r="G729" s="25">
        <v>204313</v>
      </c>
      <c r="H729" s="300" t="str">
        <f>CONCATENATE([1]Cover!$D$6,"fdd/view?i=",G729)</f>
        <v>https://www.dgiwg.org/FAD/fdd/view?i=204313</v>
      </c>
      <c r="I729" s="8" t="s">
        <v>4471</v>
      </c>
      <c r="J729" s="38" t="s">
        <v>1295</v>
      </c>
    </row>
    <row r="730" spans="1:10" ht="38.25">
      <c r="A730" s="302" t="str">
        <f t="shared" si="11"/>
        <v>Volcano</v>
      </c>
      <c r="B730" s="6" t="s">
        <v>4477</v>
      </c>
      <c r="C730" s="17" t="s">
        <v>4477</v>
      </c>
      <c r="D730" s="10" t="s">
        <v>4478</v>
      </c>
      <c r="E730" s="55"/>
      <c r="F730" s="55"/>
      <c r="G730" s="25">
        <v>100422</v>
      </c>
      <c r="H730" s="300" t="str">
        <f>CONCATENATE([1]Cover!$D$6,"fdd/view?i=",G730)</f>
        <v>https://www.dgiwg.org/FAD/fdd/view?i=100422</v>
      </c>
      <c r="I730" s="8" t="s">
        <v>4476</v>
      </c>
      <c r="J730" s="38" t="s">
        <v>151</v>
      </c>
    </row>
    <row r="731" spans="1:10" ht="25.5">
      <c r="A731" s="302" t="str">
        <f t="shared" si="11"/>
        <v>Wall</v>
      </c>
      <c r="B731" s="6" t="s">
        <v>4480</v>
      </c>
      <c r="C731" s="17" t="s">
        <v>4480</v>
      </c>
      <c r="D731" s="10" t="s">
        <v>4481</v>
      </c>
      <c r="E731" s="55"/>
      <c r="F731" s="55"/>
      <c r="G731" s="25">
        <v>100124</v>
      </c>
      <c r="H731" s="300" t="str">
        <f>CONCATENATE([1]Cover!$D$6,"fdd/view?i=",G731)</f>
        <v>https://www.dgiwg.org/FAD/fdd/view?i=100124</v>
      </c>
      <c r="I731" s="8" t="s">
        <v>4479</v>
      </c>
      <c r="J731" s="38" t="s">
        <v>151</v>
      </c>
    </row>
    <row r="732" spans="1:10" ht="76.5">
      <c r="A732" s="302" t="str">
        <f t="shared" si="11"/>
        <v>WasteHeap</v>
      </c>
      <c r="B732" s="6" t="s">
        <v>4483</v>
      </c>
      <c r="C732" s="17" t="s">
        <v>4484</v>
      </c>
      <c r="D732" s="10" t="s">
        <v>4485</v>
      </c>
      <c r="E732" s="10" t="s">
        <v>4486</v>
      </c>
      <c r="F732" s="55"/>
      <c r="G732" s="25">
        <v>111343</v>
      </c>
      <c r="H732" s="300" t="str">
        <f>CONCATENATE([1]Cover!$D$6,"fdd/view?i=",G732)</f>
        <v>https://www.dgiwg.org/FAD/fdd/view?i=111343</v>
      </c>
      <c r="I732" s="8" t="s">
        <v>4482</v>
      </c>
      <c r="J732" s="38" t="s">
        <v>151</v>
      </c>
    </row>
    <row r="733" spans="1:10" ht="25.5">
      <c r="A733" s="302" t="str">
        <f t="shared" si="11"/>
        <v>WaterAerodrome</v>
      </c>
      <c r="B733" s="6" t="s">
        <v>4488</v>
      </c>
      <c r="C733" s="17" t="s">
        <v>4489</v>
      </c>
      <c r="D733" s="10" t="s">
        <v>4490</v>
      </c>
      <c r="E733" s="55"/>
      <c r="F733" s="10" t="s">
        <v>4491</v>
      </c>
      <c r="G733" s="25">
        <v>114614</v>
      </c>
      <c r="H733" s="300" t="str">
        <f>CONCATENATE([1]Cover!$D$6,"fdd/view?i=",G733)</f>
        <v>https://www.dgiwg.org/FAD/fdd/view?i=114614</v>
      </c>
      <c r="I733" s="8" t="s">
        <v>4487</v>
      </c>
      <c r="J733" s="38" t="s">
        <v>151</v>
      </c>
    </row>
    <row r="734" spans="1:10">
      <c r="A734" s="302" t="str">
        <f t="shared" si="11"/>
        <v>WaterCurrentRegion</v>
      </c>
      <c r="B734" s="6" t="s">
        <v>4493</v>
      </c>
      <c r="C734" s="17" t="s">
        <v>4494</v>
      </c>
      <c r="D734" s="10" t="s">
        <v>4495</v>
      </c>
      <c r="E734" s="10" t="s">
        <v>4496</v>
      </c>
      <c r="F734" s="55"/>
      <c r="G734" s="25">
        <v>111444</v>
      </c>
      <c r="H734" s="300" t="str">
        <f>CONCATENATE([1]Cover!$D$6,"fdd/view?i=",G734)</f>
        <v>https://www.dgiwg.org/FAD/fdd/view?i=111444</v>
      </c>
      <c r="I734" s="8" t="s">
        <v>4492</v>
      </c>
      <c r="J734" s="38" t="s">
        <v>151</v>
      </c>
    </row>
    <row r="735" spans="1:10" ht="25.5">
      <c r="A735" s="302" t="str">
        <f t="shared" si="11"/>
        <v>WaterIntakeTower</v>
      </c>
      <c r="B735" s="6" t="s">
        <v>4498</v>
      </c>
      <c r="C735" s="17" t="s">
        <v>4499</v>
      </c>
      <c r="D735" s="10" t="s">
        <v>4500</v>
      </c>
      <c r="E735" s="55"/>
      <c r="F735" s="55"/>
      <c r="G735" s="25">
        <v>100376</v>
      </c>
      <c r="H735" s="300" t="str">
        <f>CONCATENATE([1]Cover!$D$6,"fdd/view?i=",G735)</f>
        <v>https://www.dgiwg.org/FAD/fdd/view?i=100376</v>
      </c>
      <c r="I735" s="8" t="s">
        <v>4497</v>
      </c>
      <c r="J735" s="38" t="s">
        <v>151</v>
      </c>
    </row>
    <row r="736" spans="1:10" ht="38.25">
      <c r="A736" s="302" t="str">
        <f t="shared" si="11"/>
        <v>WaterLine</v>
      </c>
      <c r="B736" s="6" t="s">
        <v>4502</v>
      </c>
      <c r="C736" s="17" t="s">
        <v>4503</v>
      </c>
      <c r="D736" s="10" t="s">
        <v>4504</v>
      </c>
      <c r="E736" s="10" t="s">
        <v>4505</v>
      </c>
      <c r="F736" s="55"/>
      <c r="G736" s="25">
        <v>118995</v>
      </c>
      <c r="H736" s="300" t="str">
        <f>CONCATENATE([1]Cover!$D$6,"fdd/view?i=",G736)</f>
        <v>https://www.dgiwg.org/FAD/fdd/view?i=118995</v>
      </c>
      <c r="I736" s="8" t="s">
        <v>4501</v>
      </c>
      <c r="J736" s="38" t="s">
        <v>151</v>
      </c>
    </row>
    <row r="737" spans="1:10" ht="38.25">
      <c r="A737" s="302" t="str">
        <f t="shared" si="11"/>
        <v>WaterMeasurementLocation</v>
      </c>
      <c r="B737" s="6" t="s">
        <v>4507</v>
      </c>
      <c r="C737" s="17" t="s">
        <v>4508</v>
      </c>
      <c r="D737" s="10" t="s">
        <v>4509</v>
      </c>
      <c r="E737" s="10" t="s">
        <v>4510</v>
      </c>
      <c r="F737" s="55"/>
      <c r="G737" s="25">
        <v>119395</v>
      </c>
      <c r="H737" s="300" t="str">
        <f>CONCATENATE([1]Cover!$D$6,"fdd/view?i=",G737)</f>
        <v>https://www.dgiwg.org/FAD/fdd/view?i=119395</v>
      </c>
      <c r="I737" s="8" t="s">
        <v>4506</v>
      </c>
      <c r="J737" s="38" t="s">
        <v>151</v>
      </c>
    </row>
    <row r="738" spans="1:10" ht="38.25">
      <c r="A738" s="302" t="str">
        <f t="shared" si="11"/>
        <v>WaterMill</v>
      </c>
      <c r="B738" s="6" t="s">
        <v>4512</v>
      </c>
      <c r="C738" s="17" t="s">
        <v>4513</v>
      </c>
      <c r="D738" s="10" t="s">
        <v>4514</v>
      </c>
      <c r="E738" s="10" t="s">
        <v>4515</v>
      </c>
      <c r="F738" s="55"/>
      <c r="G738" s="25">
        <v>111402</v>
      </c>
      <c r="H738" s="300" t="str">
        <f>CONCATENATE([1]Cover!$D$6,"fdd/view?i=",G738)</f>
        <v>https://www.dgiwg.org/FAD/fdd/view?i=111402</v>
      </c>
      <c r="I738" s="8" t="s">
        <v>4511</v>
      </c>
      <c r="J738" s="38" t="s">
        <v>151</v>
      </c>
    </row>
    <row r="739" spans="1:10" ht="25.5">
      <c r="A739" s="302" t="str">
        <f t="shared" si="11"/>
        <v>WaterMovementDataLocation</v>
      </c>
      <c r="B739" s="6" t="s">
        <v>4517</v>
      </c>
      <c r="C739" s="17" t="s">
        <v>4518</v>
      </c>
      <c r="D739" s="10" t="s">
        <v>4519</v>
      </c>
      <c r="E739" s="55"/>
      <c r="F739" s="10" t="s">
        <v>4520</v>
      </c>
      <c r="G739" s="25">
        <v>100323</v>
      </c>
      <c r="H739" s="300" t="str">
        <f>CONCATENATE([1]Cover!$D$6,"fdd/view?i=",G739)</f>
        <v>https://www.dgiwg.org/FAD/fdd/view?i=100323</v>
      </c>
      <c r="I739" s="8" t="s">
        <v>4516</v>
      </c>
      <c r="J739" s="38" t="s">
        <v>151</v>
      </c>
    </row>
    <row r="740" spans="1:10" ht="38.25">
      <c r="A740" s="302" t="str">
        <f t="shared" si="11"/>
        <v>WaterRace</v>
      </c>
      <c r="B740" s="6" t="s">
        <v>4522</v>
      </c>
      <c r="C740" s="17" t="s">
        <v>4523</v>
      </c>
      <c r="D740" s="10" t="s">
        <v>4524</v>
      </c>
      <c r="E740" s="10" t="s">
        <v>4525</v>
      </c>
      <c r="F740" s="55"/>
      <c r="G740" s="25">
        <v>117761</v>
      </c>
      <c r="H740" s="300" t="str">
        <f>CONCATENATE([1]Cover!$D$6,"fdd/view?i=",G740)</f>
        <v>https://www.dgiwg.org/FAD/fdd/view?i=117761</v>
      </c>
      <c r="I740" s="8" t="s">
        <v>4521</v>
      </c>
      <c r="J740" s="38" t="s">
        <v>151</v>
      </c>
    </row>
    <row r="741" spans="1:10" ht="25.5">
      <c r="A741" s="302" t="str">
        <f t="shared" si="11"/>
        <v>WaterResourceInfo</v>
      </c>
      <c r="B741" s="6" t="s">
        <v>4527</v>
      </c>
      <c r="C741" s="17" t="s">
        <v>4528</v>
      </c>
      <c r="D741" s="10" t="s">
        <v>4529</v>
      </c>
      <c r="E741" s="55"/>
      <c r="F741" s="55"/>
      <c r="G741" s="25">
        <v>114205</v>
      </c>
      <c r="H741" s="300" t="str">
        <f>CONCATENATE([1]Cover!$D$6,"fdd/view?i=",G741)</f>
        <v>https://www.dgiwg.org/FAD/fdd/view?i=114205</v>
      </c>
      <c r="I741" s="8" t="s">
        <v>4526</v>
      </c>
      <c r="J741" s="38" t="s">
        <v>151</v>
      </c>
    </row>
    <row r="742" spans="1:10" ht="51">
      <c r="A742" s="302" t="str">
        <f t="shared" si="11"/>
        <v>WaterSupplyService</v>
      </c>
      <c r="B742" s="6" t="s">
        <v>4531</v>
      </c>
      <c r="C742" s="17" t="s">
        <v>4532</v>
      </c>
      <c r="D742" s="10" t="s">
        <v>4533</v>
      </c>
      <c r="E742" s="10" t="s">
        <v>4534</v>
      </c>
      <c r="F742" s="55"/>
      <c r="G742" s="25">
        <v>207658</v>
      </c>
      <c r="H742" s="300" t="str">
        <f>CONCATENATE([1]Cover!$D$6,"fdd/view?i=",G742)</f>
        <v>https://www.dgiwg.org/FAD/fdd/view?i=207658</v>
      </c>
      <c r="I742" s="8" t="s">
        <v>4530</v>
      </c>
      <c r="J742" s="38" t="s">
        <v>1295</v>
      </c>
    </row>
    <row r="743" spans="1:10" ht="25.5">
      <c r="A743" s="302" t="str">
        <f t="shared" si="11"/>
        <v>WaterTower</v>
      </c>
      <c r="B743" s="6" t="s">
        <v>4536</v>
      </c>
      <c r="C743" s="17" t="s">
        <v>4537</v>
      </c>
      <c r="D743" s="10" t="s">
        <v>4538</v>
      </c>
      <c r="E743" s="55"/>
      <c r="F743" s="55"/>
      <c r="G743" s="25">
        <v>100134</v>
      </c>
      <c r="H743" s="300" t="str">
        <f>CONCATENATE([1]Cover!$D$6,"fdd/view?i=",G743)</f>
        <v>https://www.dgiwg.org/FAD/fdd/view?i=100134</v>
      </c>
      <c r="I743" s="8" t="s">
        <v>4535</v>
      </c>
      <c r="J743" s="38" t="s">
        <v>151</v>
      </c>
    </row>
    <row r="744" spans="1:10" ht="25.5">
      <c r="A744" s="302" t="str">
        <f t="shared" si="11"/>
        <v>WaterTreatmentBed</v>
      </c>
      <c r="B744" s="6" t="s">
        <v>4540</v>
      </c>
      <c r="C744" s="17" t="s">
        <v>4541</v>
      </c>
      <c r="D744" s="10" t="s">
        <v>4542</v>
      </c>
      <c r="E744" s="55"/>
      <c r="F744" s="55"/>
      <c r="G744" s="25">
        <v>100335</v>
      </c>
      <c r="H744" s="300" t="str">
        <f>CONCATENATE([1]Cover!$D$6,"fdd/view?i=",G744)</f>
        <v>https://www.dgiwg.org/FAD/fdd/view?i=100335</v>
      </c>
      <c r="I744" s="8" t="s">
        <v>4539</v>
      </c>
      <c r="J744" s="38" t="s">
        <v>151</v>
      </c>
    </row>
    <row r="745" spans="1:10" ht="25.5">
      <c r="A745" s="302" t="str">
        <f t="shared" si="11"/>
        <v>WaterTurbulence</v>
      </c>
      <c r="B745" s="6" t="s">
        <v>4544</v>
      </c>
      <c r="C745" s="17" t="s">
        <v>4545</v>
      </c>
      <c r="D745" s="10" t="s">
        <v>4546</v>
      </c>
      <c r="E745" s="55"/>
      <c r="F745" s="55"/>
      <c r="G745" s="25">
        <v>100325</v>
      </c>
      <c r="H745" s="300" t="str">
        <f>CONCATENATE([1]Cover!$D$6,"fdd/view?i=",G745)</f>
        <v>https://www.dgiwg.org/FAD/fdd/view?i=100325</v>
      </c>
      <c r="I745" s="8" t="s">
        <v>4543</v>
      </c>
      <c r="J745" s="38" t="s">
        <v>151</v>
      </c>
    </row>
    <row r="746" spans="1:10" ht="51">
      <c r="A746" s="302" t="str">
        <f t="shared" si="11"/>
        <v>WaterWell</v>
      </c>
      <c r="B746" s="6" t="s">
        <v>4548</v>
      </c>
      <c r="C746" s="17" t="s">
        <v>4549</v>
      </c>
      <c r="D746" s="10" t="s">
        <v>4550</v>
      </c>
      <c r="E746" s="10" t="s">
        <v>4551</v>
      </c>
      <c r="F746" s="55"/>
      <c r="G746" s="25">
        <v>111446</v>
      </c>
      <c r="H746" s="300" t="str">
        <f>CONCATENATE([1]Cover!$D$6,"fdd/view?i=",G746)</f>
        <v>https://www.dgiwg.org/FAD/fdd/view?i=111446</v>
      </c>
      <c r="I746" s="8" t="s">
        <v>4547</v>
      </c>
      <c r="J746" s="38" t="s">
        <v>151</v>
      </c>
    </row>
    <row r="747" spans="1:10" ht="25.5">
      <c r="A747" s="302" t="str">
        <f t="shared" si="11"/>
        <v>WaterbodyArea</v>
      </c>
      <c r="B747" s="6" t="s">
        <v>4553</v>
      </c>
      <c r="C747" s="17" t="s">
        <v>4554</v>
      </c>
      <c r="D747" s="10" t="s">
        <v>4555</v>
      </c>
      <c r="E747" s="10" t="s">
        <v>4556</v>
      </c>
      <c r="F747" s="55"/>
      <c r="G747" s="25">
        <v>111456</v>
      </c>
      <c r="H747" s="300" t="str">
        <f>CONCATENATE([1]Cover!$D$6,"fdd/view?i=",G747)</f>
        <v>https://www.dgiwg.org/FAD/fdd/view?i=111456</v>
      </c>
      <c r="I747" s="8" t="s">
        <v>4552</v>
      </c>
      <c r="J747" s="38" t="s">
        <v>151</v>
      </c>
    </row>
    <row r="748" spans="1:10" ht="51">
      <c r="A748" s="302" t="str">
        <f t="shared" si="11"/>
        <v>WaterbodyBar</v>
      </c>
      <c r="B748" s="6" t="s">
        <v>4558</v>
      </c>
      <c r="C748" s="17" t="s">
        <v>4559</v>
      </c>
      <c r="D748" s="10" t="s">
        <v>4560</v>
      </c>
      <c r="E748" s="55"/>
      <c r="F748" s="55"/>
      <c r="G748" s="25">
        <v>111435</v>
      </c>
      <c r="H748" s="300" t="str">
        <f>CONCATENATE([1]Cover!$D$6,"fdd/view?i=",G748)</f>
        <v>https://www.dgiwg.org/FAD/fdd/view?i=111435</v>
      </c>
      <c r="I748" s="8" t="s">
        <v>4557</v>
      </c>
      <c r="J748" s="38" t="s">
        <v>151</v>
      </c>
    </row>
    <row r="749" spans="1:10" ht="51">
      <c r="A749" s="302" t="str">
        <f t="shared" si="11"/>
        <v>WaterbodyDivider</v>
      </c>
      <c r="B749" s="6" t="s">
        <v>4562</v>
      </c>
      <c r="C749" s="17" t="s">
        <v>4563</v>
      </c>
      <c r="D749" s="10" t="s">
        <v>4564</v>
      </c>
      <c r="E749" s="10" t="s">
        <v>4565</v>
      </c>
      <c r="F749" s="55"/>
      <c r="G749" s="25">
        <v>100476</v>
      </c>
      <c r="H749" s="300" t="str">
        <f>CONCATENATE([1]Cover!$D$6,"fdd/view?i=",G749)</f>
        <v>https://www.dgiwg.org/FAD/fdd/view?i=100476</v>
      </c>
      <c r="I749" s="8" t="s">
        <v>4561</v>
      </c>
      <c r="J749" s="38" t="s">
        <v>151</v>
      </c>
    </row>
    <row r="750" spans="1:10" ht="25.5">
      <c r="A750" s="302" t="str">
        <f t="shared" si="11"/>
        <v>WaterbodyMorphologyArea</v>
      </c>
      <c r="B750" s="6" t="s">
        <v>4567</v>
      </c>
      <c r="C750" s="17" t="s">
        <v>4568</v>
      </c>
      <c r="D750" s="10" t="s">
        <v>4569</v>
      </c>
      <c r="E750" s="10" t="s">
        <v>4570</v>
      </c>
      <c r="F750" s="55"/>
      <c r="G750" s="25">
        <v>111457</v>
      </c>
      <c r="H750" s="300" t="str">
        <f>CONCATENATE([1]Cover!$D$6,"fdd/view?i=",G750)</f>
        <v>https://www.dgiwg.org/FAD/fdd/view?i=111457</v>
      </c>
      <c r="I750" s="8" t="s">
        <v>4566</v>
      </c>
      <c r="J750" s="38" t="s">
        <v>151</v>
      </c>
    </row>
    <row r="751" spans="1:10" ht="25.5">
      <c r="A751" s="302" t="str">
        <f t="shared" si="11"/>
        <v>Waterfall</v>
      </c>
      <c r="B751" s="6" t="s">
        <v>4572</v>
      </c>
      <c r="C751" s="17" t="s">
        <v>4572</v>
      </c>
      <c r="D751" s="10" t="s">
        <v>4573</v>
      </c>
      <c r="E751" s="10" t="s">
        <v>4574</v>
      </c>
      <c r="F751" s="10" t="s">
        <v>4575</v>
      </c>
      <c r="G751" s="25">
        <v>100360</v>
      </c>
      <c r="H751" s="300" t="str">
        <f>CONCATENATE([1]Cover!$D$6,"fdd/view?i=",G751)</f>
        <v>https://www.dgiwg.org/FAD/fdd/view?i=100360</v>
      </c>
      <c r="I751" s="8" t="s">
        <v>4571</v>
      </c>
      <c r="J751" s="38" t="s">
        <v>151</v>
      </c>
    </row>
    <row r="752" spans="1:10" ht="25.5">
      <c r="A752" s="302" t="str">
        <f t="shared" si="11"/>
        <v>Waterwork</v>
      </c>
      <c r="B752" s="6" t="s">
        <v>4577</v>
      </c>
      <c r="C752" s="17" t="s">
        <v>4577</v>
      </c>
      <c r="D752" s="10" t="s">
        <v>4578</v>
      </c>
      <c r="E752" s="55"/>
      <c r="F752" s="55"/>
      <c r="G752" s="25">
        <v>111445</v>
      </c>
      <c r="H752" s="300" t="str">
        <f>CONCATENATE([1]Cover!$D$6,"fdd/view?i=",G752)</f>
        <v>https://www.dgiwg.org/FAD/fdd/view?i=111445</v>
      </c>
      <c r="I752" s="8" t="s">
        <v>4576</v>
      </c>
      <c r="J752" s="38" t="s">
        <v>151</v>
      </c>
    </row>
    <row r="753" spans="1:22" ht="25.5">
      <c r="A753" s="302" t="str">
        <f t="shared" si="11"/>
        <v>WayPoint</v>
      </c>
      <c r="B753" s="6" t="s">
        <v>4580</v>
      </c>
      <c r="C753" s="17" t="s">
        <v>4581</v>
      </c>
      <c r="D753" s="10" t="s">
        <v>4582</v>
      </c>
      <c r="E753" s="55"/>
      <c r="F753" s="10" t="s">
        <v>4583</v>
      </c>
      <c r="G753" s="25">
        <v>114626</v>
      </c>
      <c r="H753" s="300" t="str">
        <f>CONCATENATE([1]Cover!$D$6,"fdd/view?i=",G753)</f>
        <v>https://www.dgiwg.org/FAD/fdd/view?i=114626</v>
      </c>
      <c r="I753" s="8" t="s">
        <v>4579</v>
      </c>
      <c r="J753" s="38" t="s">
        <v>151</v>
      </c>
    </row>
    <row r="754" spans="1:22" ht="76.5">
      <c r="A754" s="302" t="str">
        <f t="shared" si="11"/>
        <v>WeighStation</v>
      </c>
      <c r="B754" s="6" t="s">
        <v>4585</v>
      </c>
      <c r="C754" s="17" t="s">
        <v>4586</v>
      </c>
      <c r="D754" s="10" t="s">
        <v>4587</v>
      </c>
      <c r="E754" s="10" t="s">
        <v>4588</v>
      </c>
      <c r="F754" s="10" t="s">
        <v>4589</v>
      </c>
      <c r="G754" s="25">
        <v>111432</v>
      </c>
      <c r="H754" s="300" t="str">
        <f>CONCATENATE([1]Cover!$D$6,"fdd/view?i=",G754)</f>
        <v>https://www.dgiwg.org/FAD/fdd/view?i=111432</v>
      </c>
      <c r="I754" s="8" t="s">
        <v>4584</v>
      </c>
      <c r="J754" s="38" t="s">
        <v>151</v>
      </c>
    </row>
    <row r="755" spans="1:22" ht="25.5">
      <c r="A755" s="302" t="str">
        <f t="shared" si="11"/>
        <v>Well</v>
      </c>
      <c r="B755" s="6" t="s">
        <v>4591</v>
      </c>
      <c r="C755" s="17" t="s">
        <v>4591</v>
      </c>
      <c r="D755" s="10" t="s">
        <v>4592</v>
      </c>
      <c r="E755" s="55"/>
      <c r="F755" s="55"/>
      <c r="G755" s="25">
        <v>100006</v>
      </c>
      <c r="H755" s="300" t="str">
        <f>CONCATENATE([1]Cover!$D$6,"fdd/view?i=",G755)</f>
        <v>https://www.dgiwg.org/FAD/fdd/view?i=100006</v>
      </c>
      <c r="I755" s="8" t="s">
        <v>4590</v>
      </c>
      <c r="J755" s="38" t="s">
        <v>151</v>
      </c>
    </row>
    <row r="756" spans="1:22" ht="25.5">
      <c r="A756" s="302" t="str">
        <f t="shared" si="11"/>
        <v>Wetland</v>
      </c>
      <c r="B756" s="6" t="s">
        <v>4594</v>
      </c>
      <c r="C756" s="17" t="s">
        <v>4594</v>
      </c>
      <c r="D756" s="10" t="s">
        <v>4595</v>
      </c>
      <c r="E756" s="55"/>
      <c r="F756" s="55"/>
      <c r="G756" s="25">
        <v>100344</v>
      </c>
      <c r="H756" s="300" t="str">
        <f>CONCATENATE([1]Cover!$D$6,"fdd/view?i=",G756)</f>
        <v>https://www.dgiwg.org/FAD/fdd/view?i=100344</v>
      </c>
      <c r="I756" s="8" t="s">
        <v>4593</v>
      </c>
      <c r="J756" s="38" t="s">
        <v>151</v>
      </c>
    </row>
    <row r="757" spans="1:22" ht="63.75">
      <c r="A757" s="302" t="str">
        <f t="shared" si="11"/>
        <v>WildlandFire</v>
      </c>
      <c r="B757" s="6" t="s">
        <v>4597</v>
      </c>
      <c r="C757" s="17" t="s">
        <v>4598</v>
      </c>
      <c r="D757" s="10" t="s">
        <v>4599</v>
      </c>
      <c r="E757" s="10" t="s">
        <v>4600</v>
      </c>
      <c r="F757" s="55"/>
      <c r="G757" s="25">
        <v>204307</v>
      </c>
      <c r="H757" s="300" t="str">
        <f>CONCATENATE([1]Cover!$D$6,"fdd/view?i=",G757)</f>
        <v>https://www.dgiwg.org/FAD/fdd/view?i=204307</v>
      </c>
      <c r="I757" s="8" t="s">
        <v>4596</v>
      </c>
      <c r="J757" s="38" t="s">
        <v>1295</v>
      </c>
    </row>
    <row r="758" spans="1:22" ht="76.5">
      <c r="A758" s="302" t="str">
        <f t="shared" si="11"/>
        <v>WildlandFirePerimeter</v>
      </c>
      <c r="B758" s="6" t="s">
        <v>4602</v>
      </c>
      <c r="C758" s="17" t="s">
        <v>4603</v>
      </c>
      <c r="D758" s="10" t="s">
        <v>4604</v>
      </c>
      <c r="E758" s="10" t="s">
        <v>4605</v>
      </c>
      <c r="F758" s="55"/>
      <c r="G758" s="25">
        <v>118997</v>
      </c>
      <c r="H758" s="300" t="str">
        <f>CONCATENATE([1]Cover!$D$6,"fdd/view?i=",G758)</f>
        <v>https://www.dgiwg.org/FAD/fdd/view?i=118997</v>
      </c>
      <c r="I758" s="8" t="s">
        <v>4601</v>
      </c>
      <c r="J758" s="38" t="s">
        <v>151</v>
      </c>
    </row>
    <row r="759" spans="1:22" ht="25.5">
      <c r="A759" s="302" t="str">
        <f t="shared" si="11"/>
        <v>WindDirectionIndicator</v>
      </c>
      <c r="B759" s="6" t="s">
        <v>4607</v>
      </c>
      <c r="C759" s="17" t="s">
        <v>4608</v>
      </c>
      <c r="D759" s="10" t="s">
        <v>4609</v>
      </c>
      <c r="E759" s="55"/>
      <c r="F759" s="10" t="s">
        <v>4610</v>
      </c>
      <c r="G759" s="25">
        <v>114615</v>
      </c>
      <c r="H759" s="300" t="str">
        <f>CONCATENATE([1]Cover!$D$6,"fdd/view?i=",G759)</f>
        <v>https://www.dgiwg.org/FAD/fdd/view?i=114615</v>
      </c>
      <c r="I759" s="8" t="s">
        <v>4606</v>
      </c>
      <c r="J759" s="38" t="s">
        <v>151</v>
      </c>
    </row>
    <row r="760" spans="1:22" ht="25.5">
      <c r="A760" s="302" t="str">
        <f t="shared" si="11"/>
        <v>WindFarm</v>
      </c>
      <c r="B760" s="6" t="s">
        <v>4612</v>
      </c>
      <c r="C760" s="17" t="s">
        <v>4613</v>
      </c>
      <c r="D760" s="10" t="s">
        <v>4614</v>
      </c>
      <c r="E760" s="55"/>
      <c r="F760" s="55"/>
      <c r="G760" s="25">
        <v>114172</v>
      </c>
      <c r="H760" s="300" t="str">
        <f>CONCATENATE([1]Cover!$D$6,"fdd/view?i=",G760)</f>
        <v>https://www.dgiwg.org/FAD/fdd/view?i=114172</v>
      </c>
      <c r="I760" s="8" t="s">
        <v>4611</v>
      </c>
      <c r="J760" s="38" t="s">
        <v>151</v>
      </c>
    </row>
    <row r="761" spans="1:22" ht="25.5">
      <c r="A761" s="302" t="str">
        <f t="shared" si="11"/>
        <v>WindTurbine</v>
      </c>
      <c r="B761" s="6" t="s">
        <v>4616</v>
      </c>
      <c r="C761" s="17" t="s">
        <v>4617</v>
      </c>
      <c r="D761" s="10" t="s">
        <v>4618</v>
      </c>
      <c r="E761" s="55"/>
      <c r="F761" s="10" t="s">
        <v>4619</v>
      </c>
      <c r="G761" s="25">
        <v>100049</v>
      </c>
      <c r="H761" s="300" t="str">
        <f>CONCATENATE([1]Cover!$D$6,"fdd/view?i=",G761)</f>
        <v>https://www.dgiwg.org/FAD/fdd/view?i=100049</v>
      </c>
      <c r="I761" s="8" t="s">
        <v>4615</v>
      </c>
      <c r="J761" s="38" t="s">
        <v>151</v>
      </c>
    </row>
    <row r="762" spans="1:22" ht="25.5">
      <c r="A762" s="302" t="str">
        <f t="shared" si="11"/>
        <v>Windmill</v>
      </c>
      <c r="B762" s="6" t="s">
        <v>4621</v>
      </c>
      <c r="C762" s="17" t="s">
        <v>4621</v>
      </c>
      <c r="D762" s="10" t="s">
        <v>4622</v>
      </c>
      <c r="E762" s="55"/>
      <c r="F762" s="55"/>
      <c r="G762" s="25">
        <v>100048</v>
      </c>
      <c r="H762" s="300" t="str">
        <f>CONCATENATE([1]Cover!$D$6,"fdd/view?i=",G762)</f>
        <v>https://www.dgiwg.org/FAD/fdd/view?i=100048</v>
      </c>
      <c r="I762" s="8" t="s">
        <v>4620</v>
      </c>
      <c r="J762" s="38" t="s">
        <v>151</v>
      </c>
    </row>
    <row r="763" spans="1:22" ht="25.5">
      <c r="A763" s="302" t="str">
        <f t="shared" si="11"/>
        <v>WiredTelecomInfo</v>
      </c>
      <c r="B763" s="6" t="s">
        <v>4624</v>
      </c>
      <c r="C763" s="17" t="s">
        <v>4625</v>
      </c>
      <c r="D763" s="10" t="s">
        <v>4626</v>
      </c>
      <c r="E763" s="55"/>
      <c r="F763" s="55"/>
      <c r="G763" s="25">
        <v>204301</v>
      </c>
      <c r="H763" s="300" t="str">
        <f>CONCATENATE([1]Cover!$D$6,"fdd/view?i=",G763)</f>
        <v>https://www.dgiwg.org/FAD/fdd/view?i=204301</v>
      </c>
      <c r="I763" s="8" t="s">
        <v>4623</v>
      </c>
      <c r="J763" s="38" t="s">
        <v>1295</v>
      </c>
    </row>
    <row r="764" spans="1:22" ht="38.25">
      <c r="A764" s="302" t="str">
        <f t="shared" si="11"/>
        <v>WirelessTelecomInfo</v>
      </c>
      <c r="B764" s="6" t="s">
        <v>4628</v>
      </c>
      <c r="C764" s="17" t="s">
        <v>4629</v>
      </c>
      <c r="D764" s="10" t="s">
        <v>4630</v>
      </c>
      <c r="E764" s="55"/>
      <c r="F764" s="55"/>
      <c r="G764" s="25">
        <v>114201</v>
      </c>
      <c r="H764" s="300" t="str">
        <f>CONCATENATE([1]Cover!$D$6,"fdd/view?i=",G764)</f>
        <v>https://www.dgiwg.org/FAD/fdd/view?i=114201</v>
      </c>
      <c r="I764" s="8" t="s">
        <v>4627</v>
      </c>
      <c r="J764" s="38" t="s">
        <v>151</v>
      </c>
    </row>
    <row r="765" spans="1:22" ht="25.5">
      <c r="A765" s="302" t="str">
        <f t="shared" si="11"/>
        <v>Wreck</v>
      </c>
      <c r="B765" s="6" t="s">
        <v>4632</v>
      </c>
      <c r="C765" s="17" t="s">
        <v>4632</v>
      </c>
      <c r="D765" s="10" t="s">
        <v>4633</v>
      </c>
      <c r="E765" s="55"/>
      <c r="F765" s="55"/>
      <c r="G765" s="25">
        <v>100308</v>
      </c>
      <c r="H765" s="300" t="str">
        <f>CONCATENATE([1]Cover!$D$6,"fdd/view?i=",G765)</f>
        <v>https://www.dgiwg.org/FAD/fdd/view?i=100308</v>
      </c>
      <c r="I765" s="8" t="s">
        <v>4631</v>
      </c>
      <c r="J765" s="38" t="s">
        <v>151</v>
      </c>
    </row>
    <row r="766" spans="1:22" ht="25.5">
      <c r="A766" s="302" t="str">
        <f t="shared" si="11"/>
        <v>Zoo</v>
      </c>
      <c r="B766" s="57" t="s">
        <v>4635</v>
      </c>
      <c r="C766" s="58" t="s">
        <v>4635</v>
      </c>
      <c r="D766" s="59" t="s">
        <v>4636</v>
      </c>
      <c r="E766" s="60"/>
      <c r="F766" s="59" t="s">
        <v>4637</v>
      </c>
      <c r="G766" s="61">
        <v>100076</v>
      </c>
      <c r="H766" s="301" t="str">
        <f>CONCATENATE([1]Cover!$D$6,"fdd/view?i=",G766)</f>
        <v>https://www.dgiwg.org/FAD/fdd/view?i=100076</v>
      </c>
      <c r="I766" s="59" t="s">
        <v>4634</v>
      </c>
      <c r="J766" s="73" t="s">
        <v>151</v>
      </c>
      <c r="K766" s="59"/>
      <c r="L766" s="59"/>
      <c r="M766" s="59"/>
      <c r="N766" s="59"/>
      <c r="O766" s="59"/>
      <c r="P766" s="59"/>
      <c r="Q766" s="59"/>
      <c r="R766" s="59"/>
      <c r="S766" s="59"/>
      <c r="T766" s="59"/>
      <c r="U766" s="59"/>
      <c r="V766" s="59"/>
    </row>
    <row r="767" spans="1:22">
      <c r="A767" s="31"/>
    </row>
  </sheetData>
  <phoneticPr fontId="3" type="noConversion"/>
  <pageMargins left="0.53" right="0.39" top="0.56000000000000005" bottom="0.56000000000000005" header="0.43" footer="0.4"/>
  <pageSetup scale="65" orientation="landscape" r:id="rId1"/>
  <headerFooter alignWithMargins="0">
    <oddHeader>&amp;A</oddHeader>
    <oddFooter>Page &amp;P of &amp;N</oddFooter>
  </headerFooter>
</worksheet>
</file>

<file path=xl/worksheets/sheet3.xml><?xml version="1.0" encoding="utf-8"?>
<worksheet xmlns="http://schemas.openxmlformats.org/spreadsheetml/2006/main" xmlns:r="http://schemas.openxmlformats.org/officeDocument/2006/relationships">
  <sheetPr codeName="Sheet5" enableFormatConditionsCalculation="0">
    <tabColor indexed="31"/>
  </sheetPr>
  <dimension ref="A1:W1386"/>
  <sheetViews>
    <sheetView zoomScale="80" zoomScaleNormal="80" workbookViewId="0">
      <pane xSplit="3" ySplit="1" topLeftCell="D2" activePane="bottomRight" state="frozen"/>
      <selection pane="topRight" activeCell="D1" sqref="D1"/>
      <selection pane="bottomLeft" activeCell="A2" sqref="A2"/>
      <selection pane="bottomRight" activeCell="C1" sqref="C1"/>
    </sheetView>
  </sheetViews>
  <sheetFormatPr baseColWidth="10" defaultColWidth="11.42578125" defaultRowHeight="12.75"/>
  <cols>
    <col min="1" max="1" width="28.7109375" style="20" customWidth="1"/>
    <col min="2" max="2" width="22.7109375" style="6" customWidth="1"/>
    <col min="3" max="3" width="30.7109375" style="17" customWidth="1"/>
    <col min="4" max="5" width="60.7109375" style="10" customWidth="1"/>
    <col min="6" max="6" width="15.7109375" style="10" customWidth="1"/>
    <col min="7" max="7" width="5" style="12" customWidth="1"/>
    <col min="8" max="8" width="11" style="12" customWidth="1"/>
    <col min="9" max="9" width="41.85546875" style="10" customWidth="1"/>
    <col min="10" max="10" width="18" style="42" customWidth="1"/>
    <col min="11" max="12" width="18" style="43" customWidth="1"/>
    <col min="13" max="13" width="9.28515625" style="19" customWidth="1"/>
    <col min="14" max="14" width="7.5703125" style="12" customWidth="1"/>
    <col min="15" max="15" width="9.85546875" style="25" customWidth="1"/>
    <col min="16" max="16" width="45.85546875" style="304" hidden="1" customWidth="1"/>
    <col min="17" max="17" width="6.7109375" style="8" customWidth="1"/>
    <col min="18" max="18" width="7.85546875" style="38" customWidth="1"/>
    <col min="19" max="23" width="2.7109375" style="10" customWidth="1"/>
    <col min="24" max="16384" width="11.42578125" style="10"/>
  </cols>
  <sheetData>
    <row r="1" spans="1:23" s="11" customFormat="1" ht="59.25" customHeight="1">
      <c r="A1" s="32" t="s">
        <v>83</v>
      </c>
      <c r="B1" s="35" t="s">
        <v>41</v>
      </c>
      <c r="C1" s="27" t="s">
        <v>38</v>
      </c>
      <c r="D1" s="27" t="s">
        <v>39</v>
      </c>
      <c r="E1" s="27" t="s">
        <v>37</v>
      </c>
      <c r="F1" s="28" t="s">
        <v>35</v>
      </c>
      <c r="G1" s="29" t="s">
        <v>45</v>
      </c>
      <c r="H1" s="29" t="s">
        <v>5975</v>
      </c>
      <c r="I1" s="30" t="s">
        <v>80</v>
      </c>
      <c r="J1" s="41" t="s">
        <v>124</v>
      </c>
      <c r="K1" s="41" t="s">
        <v>123</v>
      </c>
      <c r="L1" s="41" t="s">
        <v>122</v>
      </c>
      <c r="M1" s="48" t="s">
        <v>121</v>
      </c>
      <c r="N1" s="29" t="s">
        <v>74</v>
      </c>
      <c r="O1" s="273" t="s">
        <v>33749</v>
      </c>
      <c r="P1" s="303"/>
      <c r="Q1" s="36" t="s">
        <v>1241</v>
      </c>
      <c r="R1" s="37" t="s">
        <v>112</v>
      </c>
      <c r="S1" s="276"/>
      <c r="T1" s="276"/>
      <c r="U1" s="276"/>
      <c r="V1" s="276"/>
      <c r="W1" s="276"/>
    </row>
    <row r="2" spans="1:23" ht="51">
      <c r="A2" s="302" t="str">
        <f>HYPERLINK(P2,B2)</f>
        <v>aboveWaterBankSlope</v>
      </c>
      <c r="B2" s="6" t="s">
        <v>4639</v>
      </c>
      <c r="C2" s="17" t="s">
        <v>4640</v>
      </c>
      <c r="D2" s="10" t="s">
        <v>4641</v>
      </c>
      <c r="E2" s="10" t="s">
        <v>4642</v>
      </c>
      <c r="F2" s="55"/>
      <c r="G2" s="12" t="s">
        <v>4643</v>
      </c>
      <c r="H2" s="74"/>
      <c r="I2" s="147" t="str">
        <f>HYPERLINK("[#]Datatypes!B1099:L1099","RealInterval")</f>
        <v>RealInterval</v>
      </c>
      <c r="J2" s="76" t="str">
        <f>HYPERLINK("[#]PhysicalQuantities!A39:N39","Pure Number")</f>
        <v>Pure Number</v>
      </c>
      <c r="K2" s="75" t="str">
        <f>HYPERLINK("[#]UnitsOfMeasure!D215:G215","Percent")</f>
        <v>Percent</v>
      </c>
      <c r="L2" s="77"/>
      <c r="M2" s="78"/>
      <c r="N2" s="74"/>
      <c r="O2" s="25">
        <v>114344</v>
      </c>
      <c r="P2" s="304" t="str">
        <f>CONCATENATE([1]Cover!$D$6,"fdd/view?i=",O2)</f>
        <v>https://www.dgiwg.org/FAD/fdd/view?i=114344</v>
      </c>
      <c r="Q2" s="8" t="s">
        <v>4638</v>
      </c>
      <c r="R2" s="38" t="s">
        <v>151</v>
      </c>
    </row>
    <row r="3" spans="1:23" ht="38.25">
      <c r="A3" s="302" t="str">
        <f>HYPERLINK(P3,B3)</f>
        <v>absoluteHorizAccuracy90</v>
      </c>
      <c r="B3" s="6" t="s">
        <v>4646</v>
      </c>
      <c r="C3" s="17" t="s">
        <v>4647</v>
      </c>
      <c r="D3" s="10" t="s">
        <v>4648</v>
      </c>
      <c r="E3" s="10" t="s">
        <v>4649</v>
      </c>
      <c r="F3" s="55"/>
      <c r="G3" s="12" t="s">
        <v>4643</v>
      </c>
      <c r="H3" s="74"/>
      <c r="I3" s="147" t="str">
        <f>HYPERLINK("[#]Datatypes!B1097:L1097","Real")</f>
        <v>Real</v>
      </c>
      <c r="J3" s="76" t="str">
        <f>HYPERLINK("[#]PhysicalQuantities!A20:N20","Length")</f>
        <v>Length</v>
      </c>
      <c r="K3" s="75" t="str">
        <f>HYPERLINK("[#]UnitsOfMeasure!D80:G80","Metre")</f>
        <v>Metre</v>
      </c>
      <c r="L3" s="77"/>
      <c r="M3" s="78"/>
      <c r="N3" s="74"/>
      <c r="O3" s="25">
        <v>100600</v>
      </c>
      <c r="P3" s="304" t="str">
        <f>CONCATENATE([1]Cover!$D$6,"fdd/view?i=",O3)</f>
        <v>https://www.dgiwg.org/FAD/fdd/view?i=100600</v>
      </c>
      <c r="Q3" s="8" t="s">
        <v>4645</v>
      </c>
      <c r="R3" s="38" t="s">
        <v>151</v>
      </c>
    </row>
    <row r="4" spans="1:23" ht="114.75">
      <c r="A4" s="302" t="str">
        <f t="shared" ref="A4:A67" si="0">HYPERLINK(P4,B4)</f>
        <v>absoluteHorizAccuracy95</v>
      </c>
      <c r="B4" s="6" t="s">
        <v>4652</v>
      </c>
      <c r="C4" s="17" t="s">
        <v>4653</v>
      </c>
      <c r="D4" s="10" t="s">
        <v>4654</v>
      </c>
      <c r="E4" s="10" t="s">
        <v>4655</v>
      </c>
      <c r="F4" s="10" t="s">
        <v>4656</v>
      </c>
      <c r="G4" s="12" t="s">
        <v>4643</v>
      </c>
      <c r="H4" s="74"/>
      <c r="I4" s="147" t="str">
        <f>HYPERLINK("[#]Datatypes!B1097:L1097","Real")</f>
        <v>Real</v>
      </c>
      <c r="J4" s="76" t="str">
        <f>HYPERLINK("[#]PhysicalQuantities!A20:N20","Length")</f>
        <v>Length</v>
      </c>
      <c r="K4" s="75" t="str">
        <f>HYPERLINK("[#]UnitsOfMeasure!D80:G80","Metre")</f>
        <v>Metre</v>
      </c>
      <c r="L4" s="77"/>
      <c r="M4" s="79"/>
      <c r="N4" s="74"/>
      <c r="O4" s="25">
        <v>117490</v>
      </c>
      <c r="P4" s="304" t="str">
        <f>CONCATENATE([1]Cover!$D$6,"fdd/view?i=",O4)</f>
        <v>https://www.dgiwg.org/FAD/fdd/view?i=117490</v>
      </c>
      <c r="Q4" s="8" t="s">
        <v>4651</v>
      </c>
      <c r="R4" s="38" t="s">
        <v>151</v>
      </c>
    </row>
    <row r="5" spans="1:23" ht="25.5">
      <c r="A5" s="302" t="str">
        <f t="shared" si="0"/>
        <v>absoluteHorizAccEvalMeth</v>
      </c>
      <c r="B5" s="6" t="s">
        <v>4658</v>
      </c>
      <c r="C5" s="17" t="s">
        <v>4659</v>
      </c>
      <c r="D5" s="10" t="s">
        <v>4660</v>
      </c>
      <c r="E5" s="55"/>
      <c r="F5" s="55"/>
      <c r="G5" s="12" t="s">
        <v>4643</v>
      </c>
      <c r="H5" s="74"/>
      <c r="I5" s="147" t="str">
        <f>HYPERLINK("[#]Datatypes!B2:L2","AbsHorizAccEvalMethodCode")</f>
        <v>AbsHorizAccEvalMethodCode</v>
      </c>
      <c r="J5" s="80"/>
      <c r="K5" s="77"/>
      <c r="L5" s="77"/>
      <c r="M5" s="71" t="str">
        <f>HYPERLINK("[#]DatatypeListedValues!A2:H2","&lt;values&gt;")</f>
        <v>&lt;values&gt;</v>
      </c>
      <c r="N5" s="12" t="b">
        <v>1</v>
      </c>
      <c r="O5" s="25">
        <v>109936</v>
      </c>
      <c r="P5" s="304" t="str">
        <f>CONCATENATE([1]Cover!$D$6,"fdd/view?i=",O5)</f>
        <v>https://www.dgiwg.org/FAD/fdd/view?i=109936</v>
      </c>
      <c r="Q5" s="8" t="s">
        <v>4657</v>
      </c>
      <c r="R5" s="38" t="s">
        <v>151</v>
      </c>
    </row>
    <row r="6" spans="1:23" ht="38.25">
      <c r="A6" s="302" t="str">
        <f t="shared" si="0"/>
        <v>absoluteLatitudeAccuracy</v>
      </c>
      <c r="B6" s="6" t="s">
        <v>4663</v>
      </c>
      <c r="C6" s="17" t="s">
        <v>4664</v>
      </c>
      <c r="D6" s="10" t="s">
        <v>4665</v>
      </c>
      <c r="E6" s="55"/>
      <c r="F6" s="55"/>
      <c r="G6" s="12" t="s">
        <v>4643</v>
      </c>
      <c r="H6" s="74"/>
      <c r="I6" s="147" t="str">
        <f>HYPERLINK("[#]Datatypes!B658:L658","HorizPosAccuracyReason")</f>
        <v>HorizPosAccuracyReason</v>
      </c>
      <c r="J6" s="76" t="str">
        <f>HYPERLINK("[#]PhysicalQuantities!A20:N20","Length")</f>
        <v>Length</v>
      </c>
      <c r="K6" s="75" t="str">
        <f>HYPERLINK("[#]UnitsOfMeasure!D80:G80","Metre")</f>
        <v>Metre</v>
      </c>
      <c r="L6" s="77"/>
      <c r="M6" s="81"/>
      <c r="N6" s="74"/>
      <c r="O6" s="25">
        <v>111473</v>
      </c>
      <c r="P6" s="304" t="str">
        <f>CONCATENATE([1]Cover!$D$6,"fdd/view?i=",O6)</f>
        <v>https://www.dgiwg.org/FAD/fdd/view?i=111473</v>
      </c>
      <c r="Q6" s="8" t="s">
        <v>4662</v>
      </c>
      <c r="R6" s="38" t="s">
        <v>151</v>
      </c>
    </row>
    <row r="7" spans="1:23" ht="38.25">
      <c r="A7" s="302" t="str">
        <f t="shared" si="0"/>
        <v>absoluteLongitudeAccuracy</v>
      </c>
      <c r="B7" s="6" t="s">
        <v>4668</v>
      </c>
      <c r="C7" s="17" t="s">
        <v>4669</v>
      </c>
      <c r="D7" s="10" t="s">
        <v>4670</v>
      </c>
      <c r="E7" s="55"/>
      <c r="F7" s="55"/>
      <c r="G7" s="12" t="s">
        <v>4643</v>
      </c>
      <c r="H7" s="74"/>
      <c r="I7" s="147" t="str">
        <f>HYPERLINK("[#]Datatypes!B658:L658","HorizPosAccuracyReason")</f>
        <v>HorizPosAccuracyReason</v>
      </c>
      <c r="J7" s="76" t="str">
        <f>HYPERLINK("[#]PhysicalQuantities!A20:N20","Length")</f>
        <v>Length</v>
      </c>
      <c r="K7" s="75" t="str">
        <f>HYPERLINK("[#]UnitsOfMeasure!D80:G80","Metre")</f>
        <v>Metre</v>
      </c>
      <c r="L7" s="77"/>
      <c r="M7" s="78"/>
      <c r="N7" s="74"/>
      <c r="O7" s="25">
        <v>111477</v>
      </c>
      <c r="P7" s="304" t="str">
        <f>CONCATENATE([1]Cover!$D$6,"fdd/view?i=",O7)</f>
        <v>https://www.dgiwg.org/FAD/fdd/view?i=111477</v>
      </c>
      <c r="Q7" s="8" t="s">
        <v>4667</v>
      </c>
      <c r="R7" s="38" t="s">
        <v>151</v>
      </c>
    </row>
    <row r="8" spans="1:23" ht="38.25">
      <c r="A8" s="302" t="str">
        <f t="shared" si="0"/>
        <v>absoluteVertAccuracy90</v>
      </c>
      <c r="B8" s="6" t="s">
        <v>4672</v>
      </c>
      <c r="C8" s="17" t="s">
        <v>4673</v>
      </c>
      <c r="D8" s="10" t="s">
        <v>4674</v>
      </c>
      <c r="E8" s="10" t="s">
        <v>4649</v>
      </c>
      <c r="F8" s="55"/>
      <c r="G8" s="12" t="s">
        <v>4643</v>
      </c>
      <c r="H8" s="74"/>
      <c r="I8" s="147" t="str">
        <f>HYPERLINK("[#]Datatypes!B1097:L1097","Real")</f>
        <v>Real</v>
      </c>
      <c r="J8" s="76" t="str">
        <f>HYPERLINK("[#]PhysicalQuantities!A20:N20","Length")</f>
        <v>Length</v>
      </c>
      <c r="K8" s="75" t="str">
        <f>HYPERLINK("[#]UnitsOfMeasure!D80:G80","Metre")</f>
        <v>Metre</v>
      </c>
      <c r="L8" s="77"/>
      <c r="M8" s="78"/>
      <c r="N8" s="74"/>
      <c r="O8" s="25">
        <v>100640</v>
      </c>
      <c r="P8" s="304" t="str">
        <f>CONCATENATE([1]Cover!$D$6,"fdd/view?i=",O8)</f>
        <v>https://www.dgiwg.org/FAD/fdd/view?i=100640</v>
      </c>
      <c r="Q8" s="8" t="s">
        <v>4671</v>
      </c>
      <c r="R8" s="38" t="s">
        <v>151</v>
      </c>
    </row>
    <row r="9" spans="1:23" ht="114.75">
      <c r="A9" s="302" t="str">
        <f t="shared" si="0"/>
        <v>absoluteVertAccuracy95</v>
      </c>
      <c r="B9" s="6" t="s">
        <v>4676</v>
      </c>
      <c r="C9" s="17" t="s">
        <v>4677</v>
      </c>
      <c r="D9" s="10" t="s">
        <v>4678</v>
      </c>
      <c r="E9" s="10" t="s">
        <v>4679</v>
      </c>
      <c r="F9" s="10" t="s">
        <v>4680</v>
      </c>
      <c r="G9" s="12" t="s">
        <v>4643</v>
      </c>
      <c r="H9" s="74"/>
      <c r="I9" s="147" t="str">
        <f>HYPERLINK("[#]Datatypes!B1097:L1097","Real")</f>
        <v>Real</v>
      </c>
      <c r="J9" s="76" t="str">
        <f>HYPERLINK("[#]PhysicalQuantities!A20:N20","Length")</f>
        <v>Length</v>
      </c>
      <c r="K9" s="75" t="str">
        <f>HYPERLINK("[#]UnitsOfMeasure!D80:G80","Metre")</f>
        <v>Metre</v>
      </c>
      <c r="L9" s="77"/>
      <c r="M9" s="78"/>
      <c r="N9" s="74"/>
      <c r="O9" s="25">
        <v>117529</v>
      </c>
      <c r="P9" s="304" t="str">
        <f>CONCATENATE([1]Cover!$D$6,"fdd/view?i=",O9)</f>
        <v>https://www.dgiwg.org/FAD/fdd/view?i=117529</v>
      </c>
      <c r="Q9" s="8" t="s">
        <v>4675</v>
      </c>
      <c r="R9" s="38" t="s">
        <v>151</v>
      </c>
    </row>
    <row r="10" spans="1:23" ht="25.5">
      <c r="A10" s="302" t="str">
        <f t="shared" si="0"/>
        <v>absoluteVertAccEvalMeth</v>
      </c>
      <c r="B10" s="6" t="s">
        <v>4682</v>
      </c>
      <c r="C10" s="17" t="s">
        <v>4683</v>
      </c>
      <c r="D10" s="10" t="s">
        <v>4684</v>
      </c>
      <c r="E10" s="55"/>
      <c r="F10" s="55"/>
      <c r="G10" s="12" t="s">
        <v>4643</v>
      </c>
      <c r="H10" s="74"/>
      <c r="I10" s="147" t="str">
        <f>HYPERLINK("[#]Datatypes!B4:L4","AbsVertAccEvalMethodCode")</f>
        <v>AbsVertAccEvalMethodCode</v>
      </c>
      <c r="J10" s="80"/>
      <c r="K10" s="77"/>
      <c r="L10" s="77"/>
      <c r="M10" s="71" t="str">
        <f>HYPERLINK("[#]DatatypeListedValues!A25:H25","&lt;values&gt;")</f>
        <v>&lt;values&gt;</v>
      </c>
      <c r="N10" s="12" t="b">
        <v>1</v>
      </c>
      <c r="O10" s="25">
        <v>109938</v>
      </c>
      <c r="P10" s="304" t="str">
        <f>CONCATENATE([1]Cover!$D$6,"fdd/view?i=",O10)</f>
        <v>https://www.dgiwg.org/FAD/fdd/view?i=109938</v>
      </c>
      <c r="Q10" s="8" t="s">
        <v>4681</v>
      </c>
      <c r="R10" s="38" t="s">
        <v>151</v>
      </c>
    </row>
    <row r="11" spans="1:23" ht="25.5">
      <c r="A11" s="302" t="str">
        <f t="shared" si="0"/>
        <v>accelerateStopDistAvail</v>
      </c>
      <c r="B11" s="6" t="s">
        <v>4687</v>
      </c>
      <c r="C11" s="17" t="s">
        <v>4688</v>
      </c>
      <c r="D11" s="10" t="s">
        <v>4689</v>
      </c>
      <c r="E11" s="55"/>
      <c r="F11" s="10" t="s">
        <v>4690</v>
      </c>
      <c r="G11" s="12" t="s">
        <v>4643</v>
      </c>
      <c r="H11" s="74"/>
      <c r="I11" s="147" t="str">
        <f>HYPERLINK("[#]Datatypes!B1097:L1097","Real")</f>
        <v>Real</v>
      </c>
      <c r="J11" s="76" t="str">
        <f>HYPERLINK("[#]PhysicalQuantities!A20:N20","Length")</f>
        <v>Length</v>
      </c>
      <c r="K11" s="75" t="str">
        <f>HYPERLINK("[#]UnitsOfMeasure!D80:G80","Metre")</f>
        <v>Metre</v>
      </c>
      <c r="L11" s="77"/>
      <c r="M11" s="78"/>
      <c r="N11" s="74"/>
      <c r="O11" s="25">
        <v>117511</v>
      </c>
      <c r="P11" s="304" t="str">
        <f>CONCATENATE([1]Cover!$D$6,"fdd/view?i=",O11)</f>
        <v>https://www.dgiwg.org/FAD/fdd/view?i=117511</v>
      </c>
      <c r="Q11" s="8" t="s">
        <v>4686</v>
      </c>
      <c r="R11" s="38" t="s">
        <v>151</v>
      </c>
    </row>
    <row r="12" spans="1:23">
      <c r="A12" s="302" t="str">
        <f t="shared" si="0"/>
        <v>accessibilityStatus</v>
      </c>
      <c r="B12" s="6" t="s">
        <v>4692</v>
      </c>
      <c r="C12" s="17" t="s">
        <v>4693</v>
      </c>
      <c r="D12" s="10" t="s">
        <v>4694</v>
      </c>
      <c r="E12" s="55"/>
      <c r="F12" s="55"/>
      <c r="G12" s="12" t="s">
        <v>4643</v>
      </c>
      <c r="H12" s="74"/>
      <c r="I12" s="147" t="str">
        <f>HYPERLINK("[#]Datatypes!B6:L6","AccessibilityStatusCode")</f>
        <v>AccessibilityStatusCode</v>
      </c>
      <c r="J12" s="80"/>
      <c r="K12" s="77"/>
      <c r="L12" s="77"/>
      <c r="M12" s="71" t="str">
        <f>HYPERLINK("[#]DatatypeListedValues!A48:H48","&lt;values&gt;")</f>
        <v>&lt;values&gt;</v>
      </c>
      <c r="N12" s="12" t="b">
        <v>1</v>
      </c>
      <c r="O12" s="25">
        <v>100591</v>
      </c>
      <c r="P12" s="304" t="str">
        <f>CONCATENATE([1]Cover!$D$6,"fdd/view?i=",O12)</f>
        <v>https://www.dgiwg.org/FAD/fdd/view?i=100591</v>
      </c>
      <c r="Q12" s="8" t="s">
        <v>4691</v>
      </c>
      <c r="R12" s="38" t="s">
        <v>151</v>
      </c>
    </row>
    <row r="13" spans="1:23">
      <c r="A13" s="302" t="str">
        <f t="shared" si="0"/>
        <v>accessibleUtilityType</v>
      </c>
      <c r="B13" s="6" t="s">
        <v>4697</v>
      </c>
      <c r="C13" s="17" t="s">
        <v>4698</v>
      </c>
      <c r="D13" s="10" t="s">
        <v>4699</v>
      </c>
      <c r="E13" s="55"/>
      <c r="F13" s="55"/>
      <c r="G13" s="12" t="s">
        <v>4643</v>
      </c>
      <c r="H13" s="12" t="s">
        <v>4700</v>
      </c>
      <c r="I13" s="147" t="str">
        <f>HYPERLINK("[#]Datatypes!B8:L8","AccessibleUtilityTypeCode")</f>
        <v>AccessibleUtilityTypeCode</v>
      </c>
      <c r="J13" s="80"/>
      <c r="K13" s="77"/>
      <c r="L13" s="77"/>
      <c r="M13" s="71" t="str">
        <f>HYPERLINK("[#]DatatypeListedValues!A55:H55","&lt;values&gt;")</f>
        <v>&lt;values&gt;</v>
      </c>
      <c r="N13" s="82" t="b">
        <v>0</v>
      </c>
      <c r="O13" s="25">
        <v>118051</v>
      </c>
      <c r="P13" s="304" t="str">
        <f>CONCATENATE([1]Cover!$D$6,"fdd/view?i=",O13)</f>
        <v>https://www.dgiwg.org/FAD/fdd/view?i=118051</v>
      </c>
      <c r="Q13" s="8" t="s">
        <v>4696</v>
      </c>
      <c r="R13" s="38" t="s">
        <v>151</v>
      </c>
    </row>
    <row r="14" spans="1:23" ht="25.5">
      <c r="A14" s="302" t="str">
        <f t="shared" si="0"/>
        <v>accommodationType</v>
      </c>
      <c r="B14" s="6" t="s">
        <v>4703</v>
      </c>
      <c r="C14" s="17" t="s">
        <v>4704</v>
      </c>
      <c r="D14" s="10" t="s">
        <v>4705</v>
      </c>
      <c r="E14" s="55"/>
      <c r="F14" s="55"/>
      <c r="G14" s="12" t="s">
        <v>4643</v>
      </c>
      <c r="H14" s="74"/>
      <c r="I14" s="147" t="str">
        <f>HYPERLINK("[#]Datatypes!B10:L10","AccomodationTypeCode")</f>
        <v>AccomodationTypeCode</v>
      </c>
      <c r="J14" s="80"/>
      <c r="K14" s="77"/>
      <c r="L14" s="77"/>
      <c r="M14" s="71" t="str">
        <f>HYPERLINK("[#]DatatypeListedValues!A68:H68","&lt;values&gt;")</f>
        <v>&lt;values&gt;</v>
      </c>
      <c r="N14" s="82" t="b">
        <v>0</v>
      </c>
      <c r="O14" s="25">
        <v>207693</v>
      </c>
      <c r="P14" s="304" t="str">
        <f>CONCATENATE([1]Cover!$D$6,"fdd/view?i=",O14)</f>
        <v>https://www.dgiwg.org/FAD/fdd/view?i=207693</v>
      </c>
      <c r="Q14" s="8" t="s">
        <v>4702</v>
      </c>
      <c r="R14" s="38" t="s">
        <v>1295</v>
      </c>
    </row>
    <row r="15" spans="1:23" ht="38.25">
      <c r="A15" s="302" t="str">
        <f t="shared" si="0"/>
        <v>activityDuration</v>
      </c>
      <c r="B15" s="6" t="s">
        <v>4708</v>
      </c>
      <c r="C15" s="17" t="s">
        <v>4709</v>
      </c>
      <c r="D15" s="10" t="s">
        <v>4710</v>
      </c>
      <c r="E15" s="10" t="s">
        <v>4711</v>
      </c>
      <c r="F15" s="55"/>
      <c r="G15" s="12" t="s">
        <v>4643</v>
      </c>
      <c r="H15" s="74"/>
      <c r="I15" s="147" t="str">
        <f>HYPERLINK("[#]Datatypes!B12:L12","ActivityDurationStrucText")</f>
        <v>ActivityDurationStrucText</v>
      </c>
      <c r="J15" s="80"/>
      <c r="K15" s="77"/>
      <c r="L15" s="77"/>
      <c r="M15" s="78"/>
      <c r="N15" s="74"/>
      <c r="O15" s="25">
        <v>109948</v>
      </c>
      <c r="P15" s="304" t="str">
        <f>CONCATENATE([1]Cover!$D$6,"fdd/view?i=",O15)</f>
        <v>https://www.dgiwg.org/FAD/fdd/view?i=109948</v>
      </c>
      <c r="Q15" s="8" t="s">
        <v>4707</v>
      </c>
      <c r="R15" s="38" t="s">
        <v>151</v>
      </c>
    </row>
    <row r="16" spans="1:23" ht="63.75">
      <c r="A16" s="302" t="str">
        <f t="shared" si="0"/>
        <v>acufNamingPolicy</v>
      </c>
      <c r="B16" s="6" t="s">
        <v>4714</v>
      </c>
      <c r="C16" s="17" t="s">
        <v>4715</v>
      </c>
      <c r="D16" s="10" t="s">
        <v>4716</v>
      </c>
      <c r="E16" s="10" t="s">
        <v>4717</v>
      </c>
      <c r="F16" s="55"/>
      <c r="G16" s="12" t="s">
        <v>4643</v>
      </c>
      <c r="H16" s="74"/>
      <c r="I16" s="147" t="str">
        <f>HYPERLINK("[#]Datatypes!B230:L230","Boolean")</f>
        <v>Boolean</v>
      </c>
      <c r="J16" s="80"/>
      <c r="K16" s="77"/>
      <c r="L16" s="77"/>
      <c r="M16" s="78"/>
      <c r="N16" s="74"/>
      <c r="O16" s="25">
        <v>200536</v>
      </c>
      <c r="P16" s="304" t="str">
        <f>CONCATENATE([1]Cover!$D$6,"fdd/view?i=",O16)</f>
        <v>https://www.dgiwg.org/FAD/fdd/view?i=200536</v>
      </c>
      <c r="Q16" s="8" t="s">
        <v>4713</v>
      </c>
      <c r="R16" s="38" t="s">
        <v>1295</v>
      </c>
    </row>
    <row r="17" spans="1:18" ht="25.5">
      <c r="A17" s="302" t="str">
        <f t="shared" si="0"/>
        <v>address</v>
      </c>
      <c r="B17" s="6" t="s">
        <v>4720</v>
      </c>
      <c r="C17" s="17" t="s">
        <v>4721</v>
      </c>
      <c r="D17" s="10" t="s">
        <v>4722</v>
      </c>
      <c r="E17" s="55"/>
      <c r="F17" s="55"/>
      <c r="G17" s="12" t="s">
        <v>4643</v>
      </c>
      <c r="H17" s="74"/>
      <c r="I17" s="147" t="str">
        <f>HYPERLINK("[#]Datatypes!B14:L14","CI_Address")</f>
        <v>CI_Address</v>
      </c>
      <c r="J17" s="80"/>
      <c r="K17" s="77"/>
      <c r="L17" s="77"/>
      <c r="M17" s="78"/>
      <c r="N17" s="74"/>
      <c r="O17" s="25">
        <v>111466</v>
      </c>
      <c r="P17" s="304" t="str">
        <f>CONCATENATE([1]Cover!$D$6,"fdd/view?i=",O17)</f>
        <v>https://www.dgiwg.org/FAD/fdd/view?i=111466</v>
      </c>
      <c r="Q17" s="8" t="s">
        <v>4719</v>
      </c>
      <c r="R17" s="38" t="s">
        <v>151</v>
      </c>
    </row>
    <row r="18" spans="1:18" ht="63.75">
      <c r="A18" s="302" t="str">
        <f t="shared" si="0"/>
        <v>adminDivision</v>
      </c>
      <c r="B18" s="6" t="s">
        <v>4725</v>
      </c>
      <c r="C18" s="17" t="s">
        <v>1261</v>
      </c>
      <c r="D18" s="10" t="s">
        <v>4726</v>
      </c>
      <c r="E18" s="55"/>
      <c r="F18" s="55"/>
      <c r="G18" s="12" t="s">
        <v>4643</v>
      </c>
      <c r="H18" s="74"/>
      <c r="I18" s="147" t="str">
        <f>HYPERLINK("[#]Datatypes!B22:L22","AdminDivisionCode")</f>
        <v>AdminDivisionCode</v>
      </c>
      <c r="J18" s="80"/>
      <c r="K18" s="77"/>
      <c r="L18" s="77"/>
      <c r="M18" s="71" t="str">
        <f>HYPERLINK("[#]DatatypeListedValues!A70:H70","&lt;values&gt;")</f>
        <v>&lt;values&gt;</v>
      </c>
      <c r="N18" s="82" t="b">
        <v>0</v>
      </c>
      <c r="O18" s="25">
        <v>200460</v>
      </c>
      <c r="P18" s="304" t="str">
        <f>CONCATENATE([1]Cover!$D$6,"fdd/view?i=",O18)</f>
        <v>https://www.dgiwg.org/FAD/fdd/view?i=200460</v>
      </c>
      <c r="Q18" s="8" t="s">
        <v>4724</v>
      </c>
      <c r="R18" s="38" t="s">
        <v>1295</v>
      </c>
    </row>
    <row r="19" spans="1:18" ht="51">
      <c r="A19" s="302" t="str">
        <f t="shared" si="0"/>
        <v>adminName</v>
      </c>
      <c r="B19" s="6" t="s">
        <v>4729</v>
      </c>
      <c r="C19" s="17" t="s">
        <v>4730</v>
      </c>
      <c r="D19" s="10" t="s">
        <v>4731</v>
      </c>
      <c r="E19" s="10" t="s">
        <v>4732</v>
      </c>
      <c r="F19" s="55"/>
      <c r="G19" s="12" t="s">
        <v>4643</v>
      </c>
      <c r="H19" s="74"/>
      <c r="I19" s="147" t="str">
        <f>HYPERLINK("[#]Datatypes!B1406:L1406","TextLex200")</f>
        <v>TextLex200</v>
      </c>
      <c r="J19" s="80"/>
      <c r="K19" s="77"/>
      <c r="L19" s="77"/>
      <c r="M19" s="78"/>
      <c r="N19" s="74"/>
      <c r="O19" s="25">
        <v>114215</v>
      </c>
      <c r="P19" s="304" t="str">
        <f>CONCATENATE([1]Cover!$D$6,"fdd/view?i=",O19)</f>
        <v>https://www.dgiwg.org/FAD/fdd/view?i=114215</v>
      </c>
      <c r="Q19" s="8" t="s">
        <v>4728</v>
      </c>
      <c r="R19" s="38" t="s">
        <v>151</v>
      </c>
    </row>
    <row r="20" spans="1:18">
      <c r="A20" s="302" t="str">
        <f t="shared" si="0"/>
        <v>aerialPresent</v>
      </c>
      <c r="B20" s="6" t="s">
        <v>4735</v>
      </c>
      <c r="C20" s="17" t="s">
        <v>4736</v>
      </c>
      <c r="D20" s="10" t="s">
        <v>4737</v>
      </c>
      <c r="E20" s="55"/>
      <c r="F20" s="55"/>
      <c r="G20" s="12" t="s">
        <v>4643</v>
      </c>
      <c r="H20" s="74"/>
      <c r="I20" s="147" t="str">
        <f>HYPERLINK("[#]Datatypes!B230:L230","Boolean")</f>
        <v>Boolean</v>
      </c>
      <c r="J20" s="80"/>
      <c r="K20" s="77"/>
      <c r="L20" s="77"/>
      <c r="M20" s="78"/>
      <c r="N20" s="74"/>
      <c r="O20" s="25">
        <v>111479</v>
      </c>
      <c r="P20" s="304" t="str">
        <f>CONCATENATE([1]Cover!$D$6,"fdd/view?i=",O20)</f>
        <v>https://www.dgiwg.org/FAD/fdd/view?i=111479</v>
      </c>
      <c r="Q20" s="8" t="s">
        <v>4734</v>
      </c>
      <c r="R20" s="38" t="s">
        <v>151</v>
      </c>
    </row>
    <row r="21" spans="1:18" ht="25.5">
      <c r="A21" s="302" t="str">
        <f t="shared" si="0"/>
        <v>aerialRefuelBaseLevel</v>
      </c>
      <c r="B21" s="6" t="s">
        <v>4739</v>
      </c>
      <c r="C21" s="17" t="s">
        <v>4740</v>
      </c>
      <c r="D21" s="10" t="s">
        <v>4741</v>
      </c>
      <c r="E21" s="55"/>
      <c r="F21" s="55"/>
      <c r="G21" s="12" t="s">
        <v>4643</v>
      </c>
      <c r="H21" s="74"/>
      <c r="I21" s="147" t="str">
        <f>HYPERLINK("[#]Datatypes!B1097:L1097","Real")</f>
        <v>Real</v>
      </c>
      <c r="J21" s="76" t="str">
        <f>HYPERLINK("[#]PhysicalQuantities!A20:N20","Length")</f>
        <v>Length</v>
      </c>
      <c r="K21" s="75" t="str">
        <f>HYPERLINK("[#]UnitsOfMeasure!D80:G80","Metre")</f>
        <v>Metre</v>
      </c>
      <c r="L21" s="77"/>
      <c r="M21" s="78"/>
      <c r="N21" s="74"/>
      <c r="O21" s="25">
        <v>117463</v>
      </c>
      <c r="P21" s="304" t="str">
        <f>CONCATENATE([1]Cover!$D$6,"fdd/view?i=",O21)</f>
        <v>https://www.dgiwg.org/FAD/fdd/view?i=117463</v>
      </c>
      <c r="Q21" s="8" t="s">
        <v>4738</v>
      </c>
      <c r="R21" s="38" t="s">
        <v>151</v>
      </c>
    </row>
    <row r="22" spans="1:18" ht="25.5">
      <c r="A22" s="302" t="str">
        <f t="shared" si="0"/>
        <v>aerialRefuelBidirectUse</v>
      </c>
      <c r="B22" s="6" t="s">
        <v>4743</v>
      </c>
      <c r="C22" s="17" t="s">
        <v>4744</v>
      </c>
      <c r="D22" s="10" t="s">
        <v>4745</v>
      </c>
      <c r="E22" s="55"/>
      <c r="F22" s="55"/>
      <c r="G22" s="12" t="s">
        <v>4643</v>
      </c>
      <c r="H22" s="74"/>
      <c r="I22" s="147" t="str">
        <f>HYPERLINK("[#]Datatypes!B230:L230","Boolean")</f>
        <v>Boolean</v>
      </c>
      <c r="J22" s="80"/>
      <c r="K22" s="77"/>
      <c r="L22" s="77"/>
      <c r="M22" s="78"/>
      <c r="N22" s="74"/>
      <c r="O22" s="25">
        <v>117506</v>
      </c>
      <c r="P22" s="304" t="str">
        <f>CONCATENATE([1]Cover!$D$6,"fdd/view?i=",O22)</f>
        <v>https://www.dgiwg.org/FAD/fdd/view?i=117506</v>
      </c>
      <c r="Q22" s="8" t="s">
        <v>4742</v>
      </c>
      <c r="R22" s="38" t="s">
        <v>151</v>
      </c>
    </row>
    <row r="23" spans="1:18" ht="25.5">
      <c r="A23" s="302" t="str">
        <f t="shared" si="0"/>
        <v>aerialRefuelCopterOnly</v>
      </c>
      <c r="B23" s="6" t="s">
        <v>4747</v>
      </c>
      <c r="C23" s="17" t="s">
        <v>4748</v>
      </c>
      <c r="D23" s="10" t="s">
        <v>4749</v>
      </c>
      <c r="E23" s="55"/>
      <c r="F23" s="55"/>
      <c r="G23" s="12" t="s">
        <v>4643</v>
      </c>
      <c r="H23" s="74"/>
      <c r="I23" s="147" t="str">
        <f>HYPERLINK("[#]Datatypes!B230:L230","Boolean")</f>
        <v>Boolean</v>
      </c>
      <c r="J23" s="80"/>
      <c r="K23" s="77"/>
      <c r="L23" s="77"/>
      <c r="M23" s="78"/>
      <c r="N23" s="74"/>
      <c r="O23" s="25">
        <v>117509</v>
      </c>
      <c r="P23" s="304" t="str">
        <f>CONCATENATE([1]Cover!$D$6,"fdd/view?i=",O23)</f>
        <v>https://www.dgiwg.org/FAD/fdd/view?i=117509</v>
      </c>
      <c r="Q23" s="8" t="s">
        <v>4746</v>
      </c>
      <c r="R23" s="38" t="s">
        <v>151</v>
      </c>
    </row>
    <row r="24" spans="1:18" ht="38.25">
      <c r="A24" s="302" t="str">
        <f t="shared" si="0"/>
        <v>aerialRefuelReceiveChan</v>
      </c>
      <c r="B24" s="6" t="s">
        <v>4751</v>
      </c>
      <c r="C24" s="17" t="s">
        <v>4752</v>
      </c>
      <c r="D24" s="10" t="s">
        <v>4753</v>
      </c>
      <c r="E24" s="10" t="s">
        <v>4754</v>
      </c>
      <c r="F24" s="55"/>
      <c r="G24" s="12" t="s">
        <v>4643</v>
      </c>
      <c r="H24" s="74"/>
      <c r="I24" s="147" t="str">
        <f>HYPERLINK("[#]Datatypes!B24:L24","AerialRefuelReceiveChanCode")</f>
        <v>AerialRefuelReceiveChanCode</v>
      </c>
      <c r="J24" s="80"/>
      <c r="K24" s="77"/>
      <c r="L24" s="77"/>
      <c r="M24" s="71" t="str">
        <f>HYPERLINK("[#]DatatypeListedValues!A76:H76","&lt;values&gt;")</f>
        <v>&lt;values&gt;</v>
      </c>
      <c r="N24" s="12" t="b">
        <v>1</v>
      </c>
      <c r="O24" s="25">
        <v>117536</v>
      </c>
      <c r="P24" s="304" t="str">
        <f>CONCATENATE([1]Cover!$D$6,"fdd/view?i=",O24)</f>
        <v>https://www.dgiwg.org/FAD/fdd/view?i=117536</v>
      </c>
      <c r="Q24" s="8" t="s">
        <v>4750</v>
      </c>
      <c r="R24" s="38" t="s">
        <v>151</v>
      </c>
    </row>
    <row r="25" spans="1:18" ht="38.25">
      <c r="A25" s="302" t="str">
        <f t="shared" si="0"/>
        <v>aerialRefuelTankerChan</v>
      </c>
      <c r="B25" s="6" t="s">
        <v>4757</v>
      </c>
      <c r="C25" s="17" t="s">
        <v>4758</v>
      </c>
      <c r="D25" s="10" t="s">
        <v>4759</v>
      </c>
      <c r="E25" s="10" t="s">
        <v>4754</v>
      </c>
      <c r="F25" s="55"/>
      <c r="G25" s="12" t="s">
        <v>4643</v>
      </c>
      <c r="H25" s="74"/>
      <c r="I25" s="147" t="str">
        <f>HYPERLINK("[#]Datatypes!B26:L26","AerialRefuelTankerChanCode")</f>
        <v>AerialRefuelTankerChanCode</v>
      </c>
      <c r="J25" s="80"/>
      <c r="K25" s="77"/>
      <c r="L25" s="77"/>
      <c r="M25" s="71" t="str">
        <f>HYPERLINK("[#]DatatypeListedValues!A428:H428","&lt;values&gt;")</f>
        <v>&lt;values&gt;</v>
      </c>
      <c r="N25" s="12" t="b">
        <v>1</v>
      </c>
      <c r="O25" s="25">
        <v>117537</v>
      </c>
      <c r="P25" s="304" t="str">
        <f>CONCATENATE([1]Cover!$D$6,"fdd/view?i=",O25)</f>
        <v>https://www.dgiwg.org/FAD/fdd/view?i=117537</v>
      </c>
      <c r="Q25" s="8" t="s">
        <v>4756</v>
      </c>
      <c r="R25" s="38" t="s">
        <v>151</v>
      </c>
    </row>
    <row r="26" spans="1:18" ht="51">
      <c r="A26" s="302" t="str">
        <f t="shared" si="0"/>
        <v>aerodromeAltName</v>
      </c>
      <c r="B26" s="6" t="s">
        <v>4762</v>
      </c>
      <c r="C26" s="17" t="s">
        <v>4763</v>
      </c>
      <c r="D26" s="10" t="s">
        <v>4764</v>
      </c>
      <c r="E26" s="10" t="s">
        <v>4765</v>
      </c>
      <c r="F26" s="55"/>
      <c r="G26" s="12" t="s">
        <v>4643</v>
      </c>
      <c r="H26" s="74"/>
      <c r="I26" s="147" t="str">
        <f>HYPERLINK("[#]Datatypes!B1416:L1416","TextLexUnconstrained")</f>
        <v>TextLexUnconstrained</v>
      </c>
      <c r="J26" s="80"/>
      <c r="K26" s="77"/>
      <c r="L26" s="77"/>
      <c r="M26" s="78"/>
      <c r="N26" s="74"/>
      <c r="O26" s="25">
        <v>119176</v>
      </c>
      <c r="P26" s="304" t="str">
        <f>CONCATENATE([1]Cover!$D$6,"fdd/view?i=",O26)</f>
        <v>https://www.dgiwg.org/FAD/fdd/view?i=119176</v>
      </c>
      <c r="Q26" s="8" t="s">
        <v>4761</v>
      </c>
      <c r="R26" s="38" t="s">
        <v>151</v>
      </c>
    </row>
    <row r="27" spans="1:18" ht="25.5">
      <c r="A27" s="302" t="str">
        <f t="shared" si="0"/>
        <v>aerodromeAppLightSysType</v>
      </c>
      <c r="B27" s="6" t="s">
        <v>4768</v>
      </c>
      <c r="C27" s="17" t="s">
        <v>4769</v>
      </c>
      <c r="D27" s="10" t="s">
        <v>4770</v>
      </c>
      <c r="E27" s="55"/>
      <c r="F27" s="55"/>
      <c r="G27" s="12" t="s">
        <v>4643</v>
      </c>
      <c r="H27" s="74"/>
      <c r="I27" s="147" t="str">
        <f>HYPERLINK("[#]Datatypes!B28:L28","AerodromeAppLightSysTypeCode")</f>
        <v>AerodromeAppLightSysTypeCode</v>
      </c>
      <c r="J27" s="80"/>
      <c r="K27" s="77"/>
      <c r="L27" s="77"/>
      <c r="M27" s="71" t="str">
        <f>HYPERLINK("[#]DatatypeListedValues!A780:H780","&lt;values&gt;")</f>
        <v>&lt;values&gt;</v>
      </c>
      <c r="N27" s="82" t="b">
        <v>0</v>
      </c>
      <c r="O27" s="25">
        <v>117686</v>
      </c>
      <c r="P27" s="304" t="str">
        <f>CONCATENATE([1]Cover!$D$6,"fdd/view?i=",O27)</f>
        <v>https://www.dgiwg.org/FAD/fdd/view?i=117686</v>
      </c>
      <c r="Q27" s="8" t="s">
        <v>4767</v>
      </c>
      <c r="R27" s="38" t="s">
        <v>151</v>
      </c>
    </row>
    <row r="28" spans="1:18" ht="25.5">
      <c r="A28" s="302" t="str">
        <f t="shared" si="0"/>
        <v>aerodromeCityCrossRef</v>
      </c>
      <c r="B28" s="6" t="s">
        <v>4773</v>
      </c>
      <c r="C28" s="17" t="s">
        <v>4774</v>
      </c>
      <c r="D28" s="10" t="s">
        <v>4775</v>
      </c>
      <c r="E28" s="55"/>
      <c r="F28" s="55"/>
      <c r="G28" s="12" t="s">
        <v>4643</v>
      </c>
      <c r="H28" s="74"/>
      <c r="I28" s="147" t="str">
        <f>HYPERLINK("[#]Datatypes!B1416:L1416","TextLexUnconstrained")</f>
        <v>TextLexUnconstrained</v>
      </c>
      <c r="J28" s="80"/>
      <c r="K28" s="77"/>
      <c r="L28" s="77"/>
      <c r="M28" s="78"/>
      <c r="N28" s="74"/>
      <c r="O28" s="25">
        <v>203934</v>
      </c>
      <c r="P28" s="304" t="str">
        <f>CONCATENATE([1]Cover!$D$6,"fdd/view?i=",O28)</f>
        <v>https://www.dgiwg.org/FAD/fdd/view?i=203934</v>
      </c>
      <c r="Q28" s="8" t="s">
        <v>4772</v>
      </c>
      <c r="R28" s="38" t="s">
        <v>1295</v>
      </c>
    </row>
    <row r="29" spans="1:18" ht="25.5">
      <c r="A29" s="302" t="str">
        <f t="shared" si="0"/>
        <v>aerodromeCoLocationIdent</v>
      </c>
      <c r="B29" s="6" t="s">
        <v>4777</v>
      </c>
      <c r="C29" s="17" t="s">
        <v>4778</v>
      </c>
      <c r="D29" s="10" t="s">
        <v>4779</v>
      </c>
      <c r="E29" s="55"/>
      <c r="F29" s="55"/>
      <c r="G29" s="12" t="s">
        <v>4643</v>
      </c>
      <c r="H29" s="74"/>
      <c r="I29" s="147" t="str">
        <f>HYPERLINK("[#]Datatypes!B30:L30","AerodromeCoLocationIdentStrucText")</f>
        <v>AerodromeCoLocationIdentStrucText</v>
      </c>
      <c r="J29" s="80"/>
      <c r="K29" s="77"/>
      <c r="L29" s="77"/>
      <c r="M29" s="78"/>
      <c r="N29" s="74"/>
      <c r="O29" s="25">
        <v>117469</v>
      </c>
      <c r="P29" s="304" t="str">
        <f>CONCATENATE([1]Cover!$D$6,"fdd/view?i=",O29)</f>
        <v>https://www.dgiwg.org/FAD/fdd/view?i=117469</v>
      </c>
      <c r="Q29" s="8" t="s">
        <v>4776</v>
      </c>
      <c r="R29" s="38" t="s">
        <v>151</v>
      </c>
    </row>
    <row r="30" spans="1:18" ht="38.25">
      <c r="A30" s="302" t="str">
        <f t="shared" si="0"/>
        <v>aerodromeControlStationType</v>
      </c>
      <c r="B30" s="6" t="s">
        <v>4782</v>
      </c>
      <c r="C30" s="17" t="s">
        <v>4783</v>
      </c>
      <c r="D30" s="10" t="s">
        <v>4784</v>
      </c>
      <c r="E30" s="55"/>
      <c r="F30" s="55"/>
      <c r="G30" s="12" t="s">
        <v>4643</v>
      </c>
      <c r="H30" s="74"/>
      <c r="I30" s="147" t="str">
        <f>HYPERLINK("[#]Datatypes!B32:L32","AerodromeControlStationTypeCode")</f>
        <v>AerodromeControlStationTypeCode</v>
      </c>
      <c r="J30" s="80"/>
      <c r="K30" s="77"/>
      <c r="L30" s="77"/>
      <c r="M30" s="71" t="str">
        <f>HYPERLINK("[#]DatatypeListedValues!A803:H803","&lt;values&gt;")</f>
        <v>&lt;values&gt;</v>
      </c>
      <c r="N30" s="82" t="b">
        <v>0</v>
      </c>
      <c r="O30" s="25">
        <v>119800</v>
      </c>
      <c r="P30" s="304" t="str">
        <f>CONCATENATE([1]Cover!$D$6,"fdd/view?i=",O30)</f>
        <v>https://www.dgiwg.org/FAD/fdd/view?i=119800</v>
      </c>
      <c r="Q30" s="8" t="s">
        <v>4781</v>
      </c>
      <c r="R30" s="38" t="s">
        <v>1295</v>
      </c>
    </row>
    <row r="31" spans="1:18" ht="25.5">
      <c r="A31" s="302" t="str">
        <f t="shared" si="0"/>
        <v>aerodromeElevation</v>
      </c>
      <c r="B31" s="6" t="s">
        <v>4787</v>
      </c>
      <c r="C31" s="17" t="s">
        <v>4788</v>
      </c>
      <c r="D31" s="10" t="s">
        <v>4789</v>
      </c>
      <c r="E31" s="55"/>
      <c r="F31" s="55"/>
      <c r="G31" s="12" t="s">
        <v>4643</v>
      </c>
      <c r="H31" s="74"/>
      <c r="I31" s="147" t="str">
        <f>HYPERLINK("[#]Datatypes!B1097:L1097","Real")</f>
        <v>Real</v>
      </c>
      <c r="J31" s="76" t="str">
        <f>HYPERLINK("[#]PhysicalQuantities!A20:N20","Length")</f>
        <v>Length</v>
      </c>
      <c r="K31" s="75" t="str">
        <f>HYPERLINK("[#]UnitsOfMeasure!D80:G80","Metre")</f>
        <v>Metre</v>
      </c>
      <c r="L31" s="77"/>
      <c r="M31" s="78"/>
      <c r="N31" s="74"/>
      <c r="O31" s="25">
        <v>117748</v>
      </c>
      <c r="P31" s="304" t="str">
        <f>CONCATENATE([1]Cover!$D$6,"fdd/view?i=",O31)</f>
        <v>https://www.dgiwg.org/FAD/fdd/view?i=117748</v>
      </c>
      <c r="Q31" s="8" t="s">
        <v>4786</v>
      </c>
      <c r="R31" s="38" t="s">
        <v>151</v>
      </c>
    </row>
    <row r="32" spans="1:18" ht="25.5">
      <c r="A32" s="302" t="str">
        <f t="shared" si="0"/>
        <v>aerodromeEmergMedPersCnt</v>
      </c>
      <c r="B32" s="6" t="s">
        <v>4791</v>
      </c>
      <c r="C32" s="17" t="s">
        <v>4792</v>
      </c>
      <c r="D32" s="10" t="s">
        <v>4793</v>
      </c>
      <c r="E32" s="55"/>
      <c r="F32" s="55"/>
      <c r="G32" s="12" t="s">
        <v>4643</v>
      </c>
      <c r="H32" s="74"/>
      <c r="I32" s="147" t="str">
        <f>HYPERLINK("[#]Datatypes!B366:L366","Count")</f>
        <v>Count</v>
      </c>
      <c r="J32" s="80"/>
      <c r="K32" s="77"/>
      <c r="L32" s="77"/>
      <c r="M32" s="78"/>
      <c r="N32" s="74"/>
      <c r="O32" s="25">
        <v>119619</v>
      </c>
      <c r="P32" s="304" t="str">
        <f>CONCATENATE([1]Cover!$D$6,"fdd/view?i=",O32)</f>
        <v>https://www.dgiwg.org/FAD/fdd/view?i=119619</v>
      </c>
      <c r="Q32" s="8" t="s">
        <v>4790</v>
      </c>
      <c r="R32" s="38" t="s">
        <v>151</v>
      </c>
    </row>
    <row r="33" spans="1:18" ht="38.25">
      <c r="A33" s="302" t="str">
        <f t="shared" si="0"/>
        <v>aerodromeEmergRespVehCnt</v>
      </c>
      <c r="B33" s="6" t="s">
        <v>4796</v>
      </c>
      <c r="C33" s="17" t="s">
        <v>4797</v>
      </c>
      <c r="D33" s="10" t="s">
        <v>4798</v>
      </c>
      <c r="E33" s="55"/>
      <c r="F33" s="55"/>
      <c r="G33" s="12" t="s">
        <v>4643</v>
      </c>
      <c r="H33" s="74"/>
      <c r="I33" s="147" t="str">
        <f>HYPERLINK("[#]Datatypes!B366:L366","Count")</f>
        <v>Count</v>
      </c>
      <c r="J33" s="80"/>
      <c r="K33" s="77"/>
      <c r="L33" s="77"/>
      <c r="M33" s="78"/>
      <c r="N33" s="74"/>
      <c r="O33" s="25">
        <v>119621</v>
      </c>
      <c r="P33" s="304" t="str">
        <f>CONCATENATE([1]Cover!$D$6,"fdd/view?i=",O33)</f>
        <v>https://www.dgiwg.org/FAD/fdd/view?i=119621</v>
      </c>
      <c r="Q33" s="8" t="s">
        <v>4795</v>
      </c>
      <c r="R33" s="38" t="s">
        <v>151</v>
      </c>
    </row>
    <row r="34" spans="1:18" ht="38.25">
      <c r="A34" s="302" t="str">
        <f t="shared" si="0"/>
        <v>aerodromeFireFightingCat</v>
      </c>
      <c r="B34" s="6" t="s">
        <v>4800</v>
      </c>
      <c r="C34" s="17" t="s">
        <v>4801</v>
      </c>
      <c r="D34" s="10" t="s">
        <v>4802</v>
      </c>
      <c r="E34" s="10" t="s">
        <v>4803</v>
      </c>
      <c r="F34" s="55"/>
      <c r="G34" s="12" t="s">
        <v>4643</v>
      </c>
      <c r="H34" s="74"/>
      <c r="I34" s="147" t="str">
        <f>HYPERLINK("[#]Datatypes!B34:L34","AerodromeFireFightingCatCode")</f>
        <v>AerodromeFireFightingCatCode</v>
      </c>
      <c r="J34" s="80"/>
      <c r="K34" s="77"/>
      <c r="L34" s="77"/>
      <c r="M34" s="71" t="str">
        <f>HYPERLINK("[#]DatatypeListedValues!A805:H805","&lt;values&gt;")</f>
        <v>&lt;values&gt;</v>
      </c>
      <c r="N34" s="82" t="b">
        <v>0</v>
      </c>
      <c r="O34" s="25">
        <v>117482</v>
      </c>
      <c r="P34" s="304" t="str">
        <f>CONCATENATE([1]Cover!$D$6,"fdd/view?i=",O34)</f>
        <v>https://www.dgiwg.org/FAD/fdd/view?i=117482</v>
      </c>
      <c r="Q34" s="8" t="s">
        <v>4799</v>
      </c>
      <c r="R34" s="38" t="s">
        <v>151</v>
      </c>
    </row>
    <row r="35" spans="1:18" ht="38.25">
      <c r="A35" s="302" t="str">
        <f t="shared" si="0"/>
        <v>aerodromeHotSpotDesig</v>
      </c>
      <c r="B35" s="6" t="s">
        <v>4806</v>
      </c>
      <c r="C35" s="17" t="s">
        <v>4807</v>
      </c>
      <c r="D35" s="10" t="s">
        <v>1331</v>
      </c>
      <c r="E35" s="10" t="s">
        <v>4808</v>
      </c>
      <c r="F35" s="55"/>
      <c r="G35" s="12" t="s">
        <v>4643</v>
      </c>
      <c r="H35" s="74"/>
      <c r="I35" s="147" t="str">
        <f>HYPERLINK("[#]Datatypes!B36:L36","AerodromeHotSpotDesigStrucText")</f>
        <v>AerodromeHotSpotDesigStrucText</v>
      </c>
      <c r="J35" s="80"/>
      <c r="K35" s="77"/>
      <c r="L35" s="77"/>
      <c r="M35" s="78"/>
      <c r="N35" s="74"/>
      <c r="O35" s="25">
        <v>119000</v>
      </c>
      <c r="P35" s="304" t="str">
        <f>CONCATENATE([1]Cover!$D$6,"fdd/view?i=",O35)</f>
        <v>https://www.dgiwg.org/FAD/fdd/view?i=119000</v>
      </c>
      <c r="Q35" s="8" t="s">
        <v>4805</v>
      </c>
      <c r="R35" s="38" t="s">
        <v>151</v>
      </c>
    </row>
    <row r="36" spans="1:18" ht="63.75">
      <c r="A36" s="302" t="str">
        <f t="shared" si="0"/>
        <v>aerodromeHydroImpact</v>
      </c>
      <c r="B36" s="6" t="s">
        <v>4811</v>
      </c>
      <c r="C36" s="17" t="s">
        <v>4812</v>
      </c>
      <c r="D36" s="10" t="s">
        <v>4813</v>
      </c>
      <c r="E36" s="10" t="s">
        <v>4814</v>
      </c>
      <c r="F36" s="55"/>
      <c r="G36" s="12" t="s">
        <v>4643</v>
      </c>
      <c r="H36" s="74"/>
      <c r="I36" s="147" t="str">
        <f>HYPERLINK("[#]Datatypes!B230:L230","Boolean")</f>
        <v>Boolean</v>
      </c>
      <c r="J36" s="80"/>
      <c r="K36" s="77"/>
      <c r="L36" s="77"/>
      <c r="M36" s="78"/>
      <c r="N36" s="74"/>
      <c r="O36" s="25">
        <v>119207</v>
      </c>
      <c r="P36" s="304" t="str">
        <f>CONCATENATE([1]Cover!$D$6,"fdd/view?i=",O36)</f>
        <v>https://www.dgiwg.org/FAD/fdd/view?i=119207</v>
      </c>
      <c r="Q36" s="8" t="s">
        <v>4810</v>
      </c>
      <c r="R36" s="38" t="s">
        <v>151</v>
      </c>
    </row>
    <row r="37" spans="1:18" ht="38.25">
      <c r="A37" s="302" t="str">
        <f t="shared" si="0"/>
        <v>aerodromeIdentifier</v>
      </c>
      <c r="B37" s="6" t="s">
        <v>4816</v>
      </c>
      <c r="C37" s="17" t="s">
        <v>4817</v>
      </c>
      <c r="D37" s="10" t="s">
        <v>4818</v>
      </c>
      <c r="E37" s="10" t="s">
        <v>4819</v>
      </c>
      <c r="F37" s="55"/>
      <c r="G37" s="12" t="s">
        <v>4643</v>
      </c>
      <c r="H37" s="74"/>
      <c r="I37" s="147" t="str">
        <f>HYPERLINK("[#]Datatypes!B38:L38","AerodromeIdentifierKey")</f>
        <v>AerodromeIdentifierKey</v>
      </c>
      <c r="J37" s="80"/>
      <c r="K37" s="77"/>
      <c r="L37" s="77"/>
      <c r="M37" s="78"/>
      <c r="N37" s="74"/>
      <c r="O37" s="25">
        <v>119002</v>
      </c>
      <c r="P37" s="304" t="str">
        <f>CONCATENATE([1]Cover!$D$6,"fdd/view?i=",O37)</f>
        <v>https://www.dgiwg.org/FAD/fdd/view?i=119002</v>
      </c>
      <c r="Q37" s="8" t="s">
        <v>4815</v>
      </c>
      <c r="R37" s="38" t="s">
        <v>151</v>
      </c>
    </row>
    <row r="38" spans="1:18" ht="38.25">
      <c r="A38" s="302" t="str">
        <f t="shared" si="0"/>
        <v>aerodromeLocationDesc</v>
      </c>
      <c r="B38" s="6" t="s">
        <v>4822</v>
      </c>
      <c r="C38" s="17" t="s">
        <v>4823</v>
      </c>
      <c r="D38" s="10" t="s">
        <v>4824</v>
      </c>
      <c r="E38" s="55"/>
      <c r="F38" s="55"/>
      <c r="G38" s="12" t="s">
        <v>4643</v>
      </c>
      <c r="H38" s="74"/>
      <c r="I38" s="147" t="str">
        <f>HYPERLINK("[#]Datatypes!B1416:L1416","TextLexUnconstrained")</f>
        <v>TextLexUnconstrained</v>
      </c>
      <c r="J38" s="80"/>
      <c r="K38" s="77"/>
      <c r="L38" s="77"/>
      <c r="M38" s="78"/>
      <c r="N38" s="74"/>
      <c r="O38" s="25">
        <v>117571</v>
      </c>
      <c r="P38" s="304" t="str">
        <f>CONCATENATE([1]Cover!$D$6,"fdd/view?i=",O38)</f>
        <v>https://www.dgiwg.org/FAD/fdd/view?i=117571</v>
      </c>
      <c r="Q38" s="8" t="s">
        <v>4821</v>
      </c>
      <c r="R38" s="38" t="s">
        <v>151</v>
      </c>
    </row>
    <row r="39" spans="1:18" ht="25.5">
      <c r="A39" s="302" t="str">
        <f t="shared" si="0"/>
        <v>aerodromeLowestTemp</v>
      </c>
      <c r="B39" s="6" t="s">
        <v>4826</v>
      </c>
      <c r="C39" s="17" t="s">
        <v>4827</v>
      </c>
      <c r="D39" s="10" t="s">
        <v>4828</v>
      </c>
      <c r="E39" s="55"/>
      <c r="F39" s="55"/>
      <c r="G39" s="12" t="s">
        <v>4643</v>
      </c>
      <c r="H39" s="74"/>
      <c r="I39" s="147" t="str">
        <f>HYPERLINK("[#]Datatypes!B1097:L1097","Real")</f>
        <v>Real</v>
      </c>
      <c r="J39" s="76" t="str">
        <f>HYPERLINK("[#]PhysicalQuantities!A50:N50","Thermodynamic Temperature")</f>
        <v>Thermodynamic Temperature</v>
      </c>
      <c r="K39" s="75" t="str">
        <f>HYPERLINK("[#]UnitsOfMeasure!D262:G262","Degree Celsius")</f>
        <v>Degree Celsius</v>
      </c>
      <c r="L39" s="77"/>
      <c r="M39" s="78"/>
      <c r="N39" s="74"/>
      <c r="O39" s="25">
        <v>117480</v>
      </c>
      <c r="P39" s="304" t="str">
        <f>CONCATENATE([1]Cover!$D$6,"fdd/view?i=",O39)</f>
        <v>https://www.dgiwg.org/FAD/fdd/view?i=117480</v>
      </c>
      <c r="Q39" s="8" t="s">
        <v>4825</v>
      </c>
      <c r="R39" s="38" t="s">
        <v>151</v>
      </c>
    </row>
    <row r="40" spans="1:18" ht="25.5">
      <c r="A40" s="302" t="str">
        <f t="shared" si="0"/>
        <v>aerodromeMilitaryTenant</v>
      </c>
      <c r="B40" s="6" t="s">
        <v>4830</v>
      </c>
      <c r="C40" s="17" t="s">
        <v>4831</v>
      </c>
      <c r="D40" s="10" t="s">
        <v>4832</v>
      </c>
      <c r="E40" s="55"/>
      <c r="F40" s="55"/>
      <c r="G40" s="12" t="s">
        <v>4643</v>
      </c>
      <c r="H40" s="74"/>
      <c r="I40" s="147" t="str">
        <f>HYPERLINK("[#]Datatypes!B1416:L1416","TextLexUnconstrained")</f>
        <v>TextLexUnconstrained</v>
      </c>
      <c r="J40" s="80"/>
      <c r="K40" s="77"/>
      <c r="L40" s="77"/>
      <c r="M40" s="78"/>
      <c r="N40" s="74"/>
      <c r="O40" s="25">
        <v>203936</v>
      </c>
      <c r="P40" s="304" t="str">
        <f>CONCATENATE([1]Cover!$D$6,"fdd/view?i=",O40)</f>
        <v>https://www.dgiwg.org/FAD/fdd/view?i=203936</v>
      </c>
      <c r="Q40" s="8" t="s">
        <v>4829</v>
      </c>
      <c r="R40" s="38" t="s">
        <v>1295</v>
      </c>
    </row>
    <row r="41" spans="1:18" ht="25.5">
      <c r="A41" s="302" t="str">
        <f t="shared" si="0"/>
        <v>aeroMoveAreaLightSysType</v>
      </c>
      <c r="B41" s="6" t="s">
        <v>4834</v>
      </c>
      <c r="C41" s="17" t="s">
        <v>4835</v>
      </c>
      <c r="D41" s="10" t="s">
        <v>4836</v>
      </c>
      <c r="E41" s="55"/>
      <c r="F41" s="55"/>
      <c r="G41" s="12" t="s">
        <v>4643</v>
      </c>
      <c r="H41" s="12" t="s">
        <v>4837</v>
      </c>
      <c r="I41" s="147" t="str">
        <f>HYPERLINK("[#]Datatypes!B40:L40","AeroMoveAreaLightSysTypeCode")</f>
        <v>AeroMoveAreaLightSysTypeCode</v>
      </c>
      <c r="J41" s="80"/>
      <c r="K41" s="77"/>
      <c r="L41" s="77"/>
      <c r="M41" s="71" t="str">
        <f>HYPERLINK("[#]DatatypeListedValues!A818:H818","&lt;values&gt;")</f>
        <v>&lt;values&gt;</v>
      </c>
      <c r="N41" s="82" t="b">
        <v>0</v>
      </c>
      <c r="O41" s="25">
        <v>117619</v>
      </c>
      <c r="P41" s="304" t="str">
        <f>CONCATENATE([1]Cover!$D$6,"fdd/view?i=",O41)</f>
        <v>https://www.dgiwg.org/FAD/fdd/view?i=117619</v>
      </c>
      <c r="Q41" s="8" t="s">
        <v>4833</v>
      </c>
      <c r="R41" s="38" t="s">
        <v>151</v>
      </c>
    </row>
    <row r="42" spans="1:18" ht="25.5">
      <c r="A42" s="302" t="str">
        <f t="shared" si="0"/>
        <v>aeroMoveAreaPaveCond</v>
      </c>
      <c r="B42" s="6" t="s">
        <v>4840</v>
      </c>
      <c r="C42" s="17" t="s">
        <v>4841</v>
      </c>
      <c r="D42" s="10" t="s">
        <v>4842</v>
      </c>
      <c r="E42" s="10" t="s">
        <v>4843</v>
      </c>
      <c r="F42" s="55"/>
      <c r="G42" s="12" t="s">
        <v>4643</v>
      </c>
      <c r="H42" s="74"/>
      <c r="I42" s="147" t="str">
        <f>HYPERLINK("[#]Datatypes!B42:L42","AeroMoveAreaPaveCondCode")</f>
        <v>AeroMoveAreaPaveCondCode</v>
      </c>
      <c r="J42" s="80"/>
      <c r="K42" s="77"/>
      <c r="L42" s="77"/>
      <c r="M42" s="71" t="str">
        <f>HYPERLINK("[#]DatatypeListedValues!A841:H841","&lt;values&gt;")</f>
        <v>&lt;values&gt;</v>
      </c>
      <c r="N42" s="82" t="b">
        <v>0</v>
      </c>
      <c r="O42" s="25">
        <v>117520</v>
      </c>
      <c r="P42" s="304" t="str">
        <f>CONCATENATE([1]Cover!$D$6,"fdd/view?i=",O42)</f>
        <v>https://www.dgiwg.org/FAD/fdd/view?i=117520</v>
      </c>
      <c r="Q42" s="8" t="s">
        <v>4839</v>
      </c>
      <c r="R42" s="38" t="s">
        <v>151</v>
      </c>
    </row>
    <row r="43" spans="1:18" ht="25.5">
      <c r="A43" s="302" t="str">
        <f t="shared" si="0"/>
        <v>aeroMoveAreaSurfaceCat</v>
      </c>
      <c r="B43" s="6" t="s">
        <v>4846</v>
      </c>
      <c r="C43" s="17" t="s">
        <v>4847</v>
      </c>
      <c r="D43" s="10" t="s">
        <v>4848</v>
      </c>
      <c r="E43" s="10" t="s">
        <v>4849</v>
      </c>
      <c r="F43" s="55"/>
      <c r="G43" s="12" t="s">
        <v>4643</v>
      </c>
      <c r="H43" s="74"/>
      <c r="I43" s="147" t="str">
        <f>HYPERLINK("[#]Datatypes!B44:L44","AeroMoveAreaSurfaceCatCode")</f>
        <v>AeroMoveAreaSurfaceCatCode</v>
      </c>
      <c r="J43" s="80"/>
      <c r="K43" s="77"/>
      <c r="L43" s="77"/>
      <c r="M43" s="71" t="str">
        <f>HYPERLINK("[#]DatatypeListedValues!A848:H848","&lt;values&gt;")</f>
        <v>&lt;values&gt;</v>
      </c>
      <c r="N43" s="82" t="b">
        <v>0</v>
      </c>
      <c r="O43" s="25">
        <v>117519</v>
      </c>
      <c r="P43" s="304" t="str">
        <f>CONCATENATE([1]Cover!$D$6,"fdd/view?i=",O43)</f>
        <v>https://www.dgiwg.org/FAD/fdd/view?i=117519</v>
      </c>
      <c r="Q43" s="8" t="s">
        <v>4845</v>
      </c>
      <c r="R43" s="38" t="s">
        <v>151</v>
      </c>
    </row>
    <row r="44" spans="1:18" ht="25.5">
      <c r="A44" s="302" t="str">
        <f t="shared" si="0"/>
        <v>aeroMoveAreaSurfaceComp</v>
      </c>
      <c r="B44" s="6" t="s">
        <v>4852</v>
      </c>
      <c r="C44" s="17" t="s">
        <v>4853</v>
      </c>
      <c r="D44" s="10" t="s">
        <v>4854</v>
      </c>
      <c r="E44" s="10" t="s">
        <v>4855</v>
      </c>
      <c r="F44" s="55"/>
      <c r="G44" s="12" t="s">
        <v>4643</v>
      </c>
      <c r="H44" s="12" t="s">
        <v>4700</v>
      </c>
      <c r="I44" s="147" t="str">
        <f>HYPERLINK("[#]Datatypes!B46:L46","AeroMoveAreaSurfaceCompCode")</f>
        <v>AeroMoveAreaSurfaceCompCode</v>
      </c>
      <c r="J44" s="80"/>
      <c r="K44" s="77"/>
      <c r="L44" s="77"/>
      <c r="M44" s="71" t="str">
        <f>HYPERLINK("[#]DatatypeListedValues!A853:H853","&lt;values&gt;")</f>
        <v>&lt;values&gt;</v>
      </c>
      <c r="N44" s="82" t="b">
        <v>0</v>
      </c>
      <c r="O44" s="25">
        <v>117518</v>
      </c>
      <c r="P44" s="304" t="str">
        <f>CONCATENATE([1]Cover!$D$6,"fdd/view?i=",O44)</f>
        <v>https://www.dgiwg.org/FAD/fdd/view?i=117518</v>
      </c>
      <c r="Q44" s="8" t="s">
        <v>4851</v>
      </c>
      <c r="R44" s="38" t="s">
        <v>151</v>
      </c>
    </row>
    <row r="45" spans="1:18" ht="25.5">
      <c r="A45" s="302" t="str">
        <f t="shared" si="0"/>
        <v>aeroMoveAreaSurfacePrep</v>
      </c>
      <c r="B45" s="6" t="s">
        <v>4858</v>
      </c>
      <c r="C45" s="17" t="s">
        <v>4859</v>
      </c>
      <c r="D45" s="10" t="s">
        <v>4860</v>
      </c>
      <c r="E45" s="55"/>
      <c r="F45" s="55"/>
      <c r="G45" s="12" t="s">
        <v>4643</v>
      </c>
      <c r="H45" s="12" t="s">
        <v>4700</v>
      </c>
      <c r="I45" s="147" t="str">
        <f>HYPERLINK("[#]Datatypes!B48:L48","AeroMoveAreaSurfacePrepCode")</f>
        <v>AeroMoveAreaSurfacePrepCode</v>
      </c>
      <c r="J45" s="80"/>
      <c r="K45" s="77"/>
      <c r="L45" s="77"/>
      <c r="M45" s="71" t="str">
        <f>HYPERLINK("[#]DatatypeListedValues!A874:H874","&lt;values&gt;")</f>
        <v>&lt;values&gt;</v>
      </c>
      <c r="N45" s="82" t="b">
        <v>0</v>
      </c>
      <c r="O45" s="25">
        <v>117515</v>
      </c>
      <c r="P45" s="304" t="str">
        <f>CONCATENATE([1]Cover!$D$6,"fdd/view?i=",O45)</f>
        <v>https://www.dgiwg.org/FAD/fdd/view?i=117515</v>
      </c>
      <c r="Q45" s="8" t="s">
        <v>4857</v>
      </c>
      <c r="R45" s="38" t="s">
        <v>151</v>
      </c>
    </row>
    <row r="46" spans="1:18" ht="38.25">
      <c r="A46" s="302" t="str">
        <f t="shared" si="0"/>
        <v>aeroMoveAreaType</v>
      </c>
      <c r="B46" s="6" t="s">
        <v>4863</v>
      </c>
      <c r="C46" s="17" t="s">
        <v>4864</v>
      </c>
      <c r="D46" s="10" t="s">
        <v>4865</v>
      </c>
      <c r="E46" s="55"/>
      <c r="F46" s="55"/>
      <c r="G46" s="12" t="s">
        <v>4643</v>
      </c>
      <c r="H46" s="74"/>
      <c r="I46" s="147" t="str">
        <f>HYPERLINK("[#]Datatypes!B50:L50","AeroMoveAreaTypeCode")</f>
        <v>AeroMoveAreaTypeCode</v>
      </c>
      <c r="J46" s="80"/>
      <c r="K46" s="77"/>
      <c r="L46" s="77"/>
      <c r="M46" s="71" t="str">
        <f>HYPERLINK("[#]DatatypeListedValues!A882:H882","&lt;values&gt;")</f>
        <v>&lt;values&gt;</v>
      </c>
      <c r="N46" s="82" t="b">
        <v>0</v>
      </c>
      <c r="O46" s="25">
        <v>204133</v>
      </c>
      <c r="P46" s="304" t="str">
        <f>CONCATENATE([1]Cover!$D$6,"fdd/view?i=",O46)</f>
        <v>https://www.dgiwg.org/FAD/fdd/view?i=204133</v>
      </c>
      <c r="Q46" s="8" t="s">
        <v>4862</v>
      </c>
      <c r="R46" s="38" t="s">
        <v>1295</v>
      </c>
    </row>
    <row r="47" spans="1:18" ht="25.5">
      <c r="A47" s="302" t="str">
        <f t="shared" si="0"/>
        <v>aerodromeOfficialName</v>
      </c>
      <c r="B47" s="6" t="s">
        <v>4868</v>
      </c>
      <c r="C47" s="17" t="s">
        <v>4869</v>
      </c>
      <c r="D47" s="10" t="s">
        <v>4870</v>
      </c>
      <c r="E47" s="55"/>
      <c r="F47" s="55"/>
      <c r="G47" s="12" t="s">
        <v>4643</v>
      </c>
      <c r="H47" s="74"/>
      <c r="I47" s="147" t="str">
        <f>HYPERLINK("[#]Datatypes!B1416:L1416","TextLexUnconstrained")</f>
        <v>TextLexUnconstrained</v>
      </c>
      <c r="J47" s="80"/>
      <c r="K47" s="77"/>
      <c r="L47" s="77"/>
      <c r="M47" s="78"/>
      <c r="N47" s="74"/>
      <c r="O47" s="25">
        <v>117754</v>
      </c>
      <c r="P47" s="304" t="str">
        <f>CONCATENATE([1]Cover!$D$6,"fdd/view?i=",O47)</f>
        <v>https://www.dgiwg.org/FAD/fdd/view?i=117754</v>
      </c>
      <c r="Q47" s="8" t="s">
        <v>4867</v>
      </c>
      <c r="R47" s="38" t="s">
        <v>151</v>
      </c>
    </row>
    <row r="48" spans="1:18" ht="38.25">
      <c r="A48" s="302" t="str">
        <f t="shared" si="0"/>
        <v>aeroPavementFuncStatus</v>
      </c>
      <c r="B48" s="6" t="s">
        <v>4872</v>
      </c>
      <c r="C48" s="17" t="s">
        <v>4873</v>
      </c>
      <c r="D48" s="10" t="s">
        <v>4874</v>
      </c>
      <c r="E48" s="10" t="s">
        <v>4875</v>
      </c>
      <c r="F48" s="55"/>
      <c r="G48" s="12" t="s">
        <v>4643</v>
      </c>
      <c r="H48" s="74"/>
      <c r="I48" s="147" t="str">
        <f>HYPERLINK("[#]Datatypes!B52:L52","AeroPavementFuncStatusCode")</f>
        <v>AeroPavementFuncStatusCode</v>
      </c>
      <c r="J48" s="80"/>
      <c r="K48" s="77"/>
      <c r="L48" s="77"/>
      <c r="M48" s="71" t="str">
        <f>HYPERLINK("[#]DatatypeListedValues!A892:H892","&lt;values&gt;")</f>
        <v>&lt;values&gt;</v>
      </c>
      <c r="N48" s="12" t="b">
        <v>1</v>
      </c>
      <c r="O48" s="25">
        <v>119064</v>
      </c>
      <c r="P48" s="304" t="str">
        <f>CONCATENATE([1]Cover!$D$6,"fdd/view?i=",O48)</f>
        <v>https://www.dgiwg.org/FAD/fdd/view?i=119064</v>
      </c>
      <c r="Q48" s="8" t="s">
        <v>4871</v>
      </c>
      <c r="R48" s="38" t="s">
        <v>151</v>
      </c>
    </row>
    <row r="49" spans="1:18" ht="38.25">
      <c r="A49" s="302" t="str">
        <f t="shared" si="0"/>
        <v>aerodromeReferenceTemp</v>
      </c>
      <c r="B49" s="6" t="s">
        <v>4878</v>
      </c>
      <c r="C49" s="17" t="s">
        <v>4879</v>
      </c>
      <c r="D49" s="10" t="s">
        <v>4880</v>
      </c>
      <c r="E49" s="10" t="s">
        <v>4881</v>
      </c>
      <c r="F49" s="55"/>
      <c r="G49" s="12" t="s">
        <v>4643</v>
      </c>
      <c r="H49" s="74"/>
      <c r="I49" s="147" t="str">
        <f>HYPERLINK("[#]Datatypes!B1097:L1097","Real")</f>
        <v>Real</v>
      </c>
      <c r="J49" s="76" t="str">
        <f>HYPERLINK("[#]PhysicalQuantities!A50:N50","Thermodynamic Temperature")</f>
        <v>Thermodynamic Temperature</v>
      </c>
      <c r="K49" s="75" t="str">
        <f>HYPERLINK("[#]UnitsOfMeasure!D262:G262","Degree Celsius")</f>
        <v>Degree Celsius</v>
      </c>
      <c r="L49" s="77"/>
      <c r="M49" s="78"/>
      <c r="N49" s="74"/>
      <c r="O49" s="25">
        <v>117479</v>
      </c>
      <c r="P49" s="304" t="str">
        <f>CONCATENATE([1]Cover!$D$6,"fdd/view?i=",O49)</f>
        <v>https://www.dgiwg.org/FAD/fdd/view?i=117479</v>
      </c>
      <c r="Q49" s="8" t="s">
        <v>4877</v>
      </c>
      <c r="R49" s="38" t="s">
        <v>151</v>
      </c>
    </row>
    <row r="50" spans="1:18" ht="25.5">
      <c r="A50" s="302" t="str">
        <f t="shared" si="0"/>
        <v>aerodromeSnowPlan</v>
      </c>
      <c r="B50" s="6" t="s">
        <v>4883</v>
      </c>
      <c r="C50" s="17" t="s">
        <v>4884</v>
      </c>
      <c r="D50" s="10" t="s">
        <v>4885</v>
      </c>
      <c r="E50" s="55"/>
      <c r="F50" s="55"/>
      <c r="G50" s="12" t="s">
        <v>4643</v>
      </c>
      <c r="H50" s="74"/>
      <c r="I50" s="147" t="str">
        <f>HYPERLINK("[#]Datatypes!B1442:L1442","TextNonLexUnconstrained")</f>
        <v>TextNonLexUnconstrained</v>
      </c>
      <c r="J50" s="80"/>
      <c r="K50" s="77"/>
      <c r="L50" s="77"/>
      <c r="M50" s="78"/>
      <c r="N50" s="74"/>
      <c r="O50" s="25">
        <v>117481</v>
      </c>
      <c r="P50" s="304" t="str">
        <f>CONCATENATE([1]Cover!$D$6,"fdd/view?i=",O50)</f>
        <v>https://www.dgiwg.org/FAD/fdd/view?i=117481</v>
      </c>
      <c r="Q50" s="8" t="s">
        <v>4882</v>
      </c>
      <c r="R50" s="38" t="s">
        <v>151</v>
      </c>
    </row>
    <row r="51" spans="1:18">
      <c r="A51" s="302" t="str">
        <f t="shared" si="0"/>
        <v>aerodromeSurfaceStatus</v>
      </c>
      <c r="B51" s="6" t="s">
        <v>4888</v>
      </c>
      <c r="C51" s="17" t="s">
        <v>4889</v>
      </c>
      <c r="D51" s="10" t="s">
        <v>4890</v>
      </c>
      <c r="E51" s="10" t="s">
        <v>4891</v>
      </c>
      <c r="F51" s="55"/>
      <c r="G51" s="12" t="s">
        <v>4643</v>
      </c>
      <c r="H51" s="74"/>
      <c r="I51" s="147" t="str">
        <f>HYPERLINK("[#]Datatypes!B54:L54","AerodromeSurfaceStatusCode")</f>
        <v>AerodromeSurfaceStatusCode</v>
      </c>
      <c r="J51" s="80"/>
      <c r="K51" s="77"/>
      <c r="L51" s="77"/>
      <c r="M51" s="71" t="str">
        <f>HYPERLINK("[#]DatatypeListedValues!A901:H901","&lt;values&gt;")</f>
        <v>&lt;values&gt;</v>
      </c>
      <c r="N51" s="82" t="b">
        <v>0</v>
      </c>
      <c r="O51" s="25">
        <v>117717</v>
      </c>
      <c r="P51" s="304" t="str">
        <f>CONCATENATE([1]Cover!$D$6,"fdd/view?i=",O51)</f>
        <v>https://www.dgiwg.org/FAD/fdd/view?i=117717</v>
      </c>
      <c r="Q51" s="8" t="s">
        <v>4887</v>
      </c>
      <c r="R51" s="38" t="s">
        <v>151</v>
      </c>
    </row>
    <row r="52" spans="1:18" ht="51">
      <c r="A52" s="302" t="str">
        <f t="shared" si="0"/>
        <v>aerodromeTerrainImpact</v>
      </c>
      <c r="B52" s="6" t="s">
        <v>4894</v>
      </c>
      <c r="C52" s="17" t="s">
        <v>4895</v>
      </c>
      <c r="D52" s="10" t="s">
        <v>4896</v>
      </c>
      <c r="E52" s="10" t="s">
        <v>4897</v>
      </c>
      <c r="F52" s="55"/>
      <c r="G52" s="12" t="s">
        <v>4643</v>
      </c>
      <c r="H52" s="74"/>
      <c r="I52" s="147" t="str">
        <f>HYPERLINK("[#]Datatypes!B230:L230","Boolean")</f>
        <v>Boolean</v>
      </c>
      <c r="J52" s="80"/>
      <c r="K52" s="77"/>
      <c r="L52" s="77"/>
      <c r="M52" s="78"/>
      <c r="N52" s="74"/>
      <c r="O52" s="25">
        <v>119140</v>
      </c>
      <c r="P52" s="304" t="str">
        <f>CONCATENATE([1]Cover!$D$6,"fdd/view?i=",O52)</f>
        <v>https://www.dgiwg.org/FAD/fdd/view?i=119140</v>
      </c>
      <c r="Q52" s="8" t="s">
        <v>4893</v>
      </c>
      <c r="R52" s="38" t="s">
        <v>151</v>
      </c>
    </row>
    <row r="53" spans="1:18" ht="38.25">
      <c r="A53" s="302" t="str">
        <f t="shared" si="0"/>
        <v>aerodromeType</v>
      </c>
      <c r="B53" s="6" t="s">
        <v>4899</v>
      </c>
      <c r="C53" s="17" t="s">
        <v>4900</v>
      </c>
      <c r="D53" s="10" t="s">
        <v>4901</v>
      </c>
      <c r="E53" s="55"/>
      <c r="F53" s="55"/>
      <c r="G53" s="12" t="s">
        <v>4643</v>
      </c>
      <c r="H53" s="74"/>
      <c r="I53" s="147" t="str">
        <f>HYPERLINK("[#]Datatypes!B56:L56","AerodromeTypeCode")</f>
        <v>AerodromeTypeCode</v>
      </c>
      <c r="J53" s="80"/>
      <c r="K53" s="77"/>
      <c r="L53" s="77"/>
      <c r="M53" s="71" t="str">
        <f>HYPERLINK("[#]DatatypeListedValues!A905:H905","&lt;values&gt;")</f>
        <v>&lt;values&gt;</v>
      </c>
      <c r="N53" s="82" t="b">
        <v>0</v>
      </c>
      <c r="O53" s="25">
        <v>204132</v>
      </c>
      <c r="P53" s="304" t="str">
        <f>CONCATENATE([1]Cover!$D$6,"fdd/view?i=",O53)</f>
        <v>https://www.dgiwg.org/FAD/fdd/view?i=204132</v>
      </c>
      <c r="Q53" s="8" t="s">
        <v>4898</v>
      </c>
      <c r="R53" s="38" t="s">
        <v>1295</v>
      </c>
    </row>
    <row r="54" spans="1:18" ht="25.5">
      <c r="A54" s="302" t="str">
        <f t="shared" si="0"/>
        <v>aeroAdviceInfoServiceType</v>
      </c>
      <c r="B54" s="6" t="s">
        <v>4904</v>
      </c>
      <c r="C54" s="17" t="s">
        <v>4905</v>
      </c>
      <c r="D54" s="10" t="s">
        <v>4906</v>
      </c>
      <c r="E54" s="55"/>
      <c r="F54" s="55"/>
      <c r="G54" s="12" t="s">
        <v>4643</v>
      </c>
      <c r="H54" s="12" t="s">
        <v>4700</v>
      </c>
      <c r="I54" s="147" t="str">
        <f>HYPERLINK("[#]Datatypes!B58:L58","AeroAdviceInfoServiceTypeCode")</f>
        <v>AeroAdviceInfoServiceTypeCode</v>
      </c>
      <c r="J54" s="80"/>
      <c r="K54" s="77"/>
      <c r="L54" s="77"/>
      <c r="M54" s="71" t="str">
        <f>HYPERLINK("[#]DatatypeListedValues!A908:H908","&lt;values&gt;")</f>
        <v>&lt;values&gt;</v>
      </c>
      <c r="N54" s="82" t="b">
        <v>0</v>
      </c>
      <c r="O54" s="25">
        <v>117517</v>
      </c>
      <c r="P54" s="304" t="str">
        <f>CONCATENATE([1]Cover!$D$6,"fdd/view?i=",O54)</f>
        <v>https://www.dgiwg.org/FAD/fdd/view?i=117517</v>
      </c>
      <c r="Q54" s="8" t="s">
        <v>4903</v>
      </c>
      <c r="R54" s="38" t="s">
        <v>151</v>
      </c>
    </row>
    <row r="55" spans="1:18" ht="25.5">
      <c r="A55" s="302" t="str">
        <f t="shared" si="0"/>
        <v>aeroBeaconType</v>
      </c>
      <c r="B55" s="6" t="s">
        <v>4909</v>
      </c>
      <c r="C55" s="17" t="s">
        <v>4910</v>
      </c>
      <c r="D55" s="10" t="s">
        <v>4911</v>
      </c>
      <c r="E55" s="10" t="s">
        <v>4912</v>
      </c>
      <c r="F55" s="55"/>
      <c r="G55" s="12" t="s">
        <v>4643</v>
      </c>
      <c r="H55" s="12" t="s">
        <v>4837</v>
      </c>
      <c r="I55" s="147" t="str">
        <f>HYPERLINK("[#]Datatypes!B60:L60","AeroBeaconTypeCode")</f>
        <v>AeroBeaconTypeCode</v>
      </c>
      <c r="J55" s="80"/>
      <c r="K55" s="77"/>
      <c r="L55" s="77"/>
      <c r="M55" s="71" t="str">
        <f>HYPERLINK("[#]DatatypeListedValues!A929:H929","&lt;values&gt;")</f>
        <v>&lt;values&gt;</v>
      </c>
      <c r="N55" s="82" t="b">
        <v>0</v>
      </c>
      <c r="O55" s="25">
        <v>117464</v>
      </c>
      <c r="P55" s="304" t="str">
        <f>CONCATENATE([1]Cover!$D$6,"fdd/view?i=",O55)</f>
        <v>https://www.dgiwg.org/FAD/fdd/view?i=117464</v>
      </c>
      <c r="Q55" s="8" t="s">
        <v>4908</v>
      </c>
      <c r="R55" s="38" t="s">
        <v>151</v>
      </c>
    </row>
    <row r="56" spans="1:18" ht="25.5">
      <c r="A56" s="302" t="str">
        <f t="shared" si="0"/>
        <v>aeroCommChannelMode</v>
      </c>
      <c r="B56" s="6" t="s">
        <v>4915</v>
      </c>
      <c r="C56" s="17" t="s">
        <v>4916</v>
      </c>
      <c r="D56" s="10" t="s">
        <v>4917</v>
      </c>
      <c r="E56" s="55"/>
      <c r="F56" s="55"/>
      <c r="G56" s="12" t="s">
        <v>4643</v>
      </c>
      <c r="H56" s="74"/>
      <c r="I56" s="147" t="str">
        <f>HYPERLINK("[#]Datatypes!B62:L62","AeroCommChannelModeCode")</f>
        <v>AeroCommChannelModeCode</v>
      </c>
      <c r="J56" s="80"/>
      <c r="K56" s="77"/>
      <c r="L56" s="77"/>
      <c r="M56" s="71" t="str">
        <f>HYPERLINK("[#]DatatypeListedValues!A939:H939","&lt;values&gt;")</f>
        <v>&lt;values&gt;</v>
      </c>
      <c r="N56" s="82" t="b">
        <v>0</v>
      </c>
      <c r="O56" s="25">
        <v>117470</v>
      </c>
      <c r="P56" s="304" t="str">
        <f>CONCATENATE([1]Cover!$D$6,"fdd/view?i=",O56)</f>
        <v>https://www.dgiwg.org/FAD/fdd/view?i=117470</v>
      </c>
      <c r="Q56" s="8" t="s">
        <v>4914</v>
      </c>
      <c r="R56" s="38" t="s">
        <v>151</v>
      </c>
    </row>
    <row r="57" spans="1:18" ht="25.5">
      <c r="A57" s="302" t="str">
        <f t="shared" si="0"/>
        <v>aeroObstacleLightPresent</v>
      </c>
      <c r="B57" s="6" t="s">
        <v>4920</v>
      </c>
      <c r="C57" s="17" t="s">
        <v>4921</v>
      </c>
      <c r="D57" s="10" t="s">
        <v>4922</v>
      </c>
      <c r="E57" s="55"/>
      <c r="F57" s="10" t="s">
        <v>4923</v>
      </c>
      <c r="G57" s="12" t="s">
        <v>4643</v>
      </c>
      <c r="H57" s="74"/>
      <c r="I57" s="147" t="str">
        <f>HYPERLINK("[#]Datatypes!B230:L230","Boolean")</f>
        <v>Boolean</v>
      </c>
      <c r="J57" s="80"/>
      <c r="K57" s="77"/>
      <c r="L57" s="77"/>
      <c r="M57" s="78"/>
      <c r="N57" s="74"/>
      <c r="O57" s="25">
        <v>117530</v>
      </c>
      <c r="P57" s="304" t="str">
        <f>CONCATENATE([1]Cover!$D$6,"fdd/view?i=",O57)</f>
        <v>https://www.dgiwg.org/FAD/fdd/view?i=117530</v>
      </c>
      <c r="Q57" s="8" t="s">
        <v>4919</v>
      </c>
      <c r="R57" s="38" t="s">
        <v>151</v>
      </c>
    </row>
    <row r="58" spans="1:18" ht="38.25">
      <c r="A58" s="302" t="str">
        <f t="shared" si="0"/>
        <v>aeronauticalOrgIdentifier</v>
      </c>
      <c r="B58" s="6" t="s">
        <v>4925</v>
      </c>
      <c r="C58" s="17" t="s">
        <v>4926</v>
      </c>
      <c r="D58" s="10" t="s">
        <v>4927</v>
      </c>
      <c r="E58" s="10" t="s">
        <v>4928</v>
      </c>
      <c r="F58" s="55"/>
      <c r="G58" s="12" t="s">
        <v>4643</v>
      </c>
      <c r="H58" s="74"/>
      <c r="I58" s="147" t="str">
        <f>HYPERLINK("[#]Datatypes!B1442:L1442","TextNonLexUnconstrained")</f>
        <v>TextNonLexUnconstrained</v>
      </c>
      <c r="J58" s="80"/>
      <c r="K58" s="77"/>
      <c r="L58" s="77"/>
      <c r="M58" s="78"/>
      <c r="N58" s="74"/>
      <c r="O58" s="25">
        <v>117651</v>
      </c>
      <c r="P58" s="304" t="str">
        <f>CONCATENATE([1]Cover!$D$6,"fdd/view?i=",O58)</f>
        <v>https://www.dgiwg.org/FAD/fdd/view?i=117651</v>
      </c>
      <c r="Q58" s="8" t="s">
        <v>4924</v>
      </c>
      <c r="R58" s="38" t="s">
        <v>151</v>
      </c>
    </row>
    <row r="59" spans="1:18" ht="25.5">
      <c r="A59" s="302" t="str">
        <f t="shared" si="0"/>
        <v>aeroRadioNavServiceIdent</v>
      </c>
      <c r="B59" s="6" t="s">
        <v>4930</v>
      </c>
      <c r="C59" s="17" t="s">
        <v>4931</v>
      </c>
      <c r="D59" s="10" t="s">
        <v>4932</v>
      </c>
      <c r="E59" s="55"/>
      <c r="F59" s="10" t="s">
        <v>4933</v>
      </c>
      <c r="G59" s="12" t="s">
        <v>4643</v>
      </c>
      <c r="H59" s="74"/>
      <c r="I59" s="147" t="str">
        <f>HYPERLINK("[#]Datatypes!B64:L64","AeroRadioNavServiceIdentStrucText")</f>
        <v>AeroRadioNavServiceIdentStrucText</v>
      </c>
      <c r="J59" s="80"/>
      <c r="K59" s="77"/>
      <c r="L59" s="77"/>
      <c r="M59" s="78"/>
      <c r="N59" s="74"/>
      <c r="O59" s="25">
        <v>117498</v>
      </c>
      <c r="P59" s="304" t="str">
        <f>CONCATENATE([1]Cover!$D$6,"fdd/view?i=",O59)</f>
        <v>https://www.dgiwg.org/FAD/fdd/view?i=117498</v>
      </c>
      <c r="Q59" s="8" t="s">
        <v>4929</v>
      </c>
      <c r="R59" s="38" t="s">
        <v>151</v>
      </c>
    </row>
    <row r="60" spans="1:18" ht="25.5">
      <c r="A60" s="302" t="str">
        <f t="shared" si="0"/>
        <v>aeroRadioNavServiceName</v>
      </c>
      <c r="B60" s="6" t="s">
        <v>4936</v>
      </c>
      <c r="C60" s="17" t="s">
        <v>4937</v>
      </c>
      <c r="D60" s="10" t="s">
        <v>4938</v>
      </c>
      <c r="E60" s="55"/>
      <c r="F60" s="55"/>
      <c r="G60" s="12" t="s">
        <v>4643</v>
      </c>
      <c r="H60" s="74"/>
      <c r="I60" s="147" t="str">
        <f>HYPERLINK("[#]Datatypes!B1416:L1416","TextLexUnconstrained")</f>
        <v>TextLexUnconstrained</v>
      </c>
      <c r="J60" s="80"/>
      <c r="K60" s="77"/>
      <c r="L60" s="77"/>
      <c r="M60" s="78"/>
      <c r="N60" s="74"/>
      <c r="O60" s="25">
        <v>117647</v>
      </c>
      <c r="P60" s="304" t="str">
        <f>CONCATENATE([1]Cover!$D$6,"fdd/view?i=",O60)</f>
        <v>https://www.dgiwg.org/FAD/fdd/view?i=117647</v>
      </c>
      <c r="Q60" s="8" t="s">
        <v>4935</v>
      </c>
      <c r="R60" s="38" t="s">
        <v>151</v>
      </c>
    </row>
    <row r="61" spans="1:18" ht="25.5">
      <c r="A61" s="302" t="str">
        <f t="shared" si="0"/>
        <v>aeroResponsibleAuthority</v>
      </c>
      <c r="B61" s="6" t="s">
        <v>4940</v>
      </c>
      <c r="C61" s="17" t="s">
        <v>4941</v>
      </c>
      <c r="D61" s="10" t="s">
        <v>4942</v>
      </c>
      <c r="E61" s="10" t="s">
        <v>4943</v>
      </c>
      <c r="F61" s="55"/>
      <c r="G61" s="12" t="s">
        <v>4643</v>
      </c>
      <c r="H61" s="74"/>
      <c r="I61" s="147" t="str">
        <f>HYPERLINK("[#]Datatypes!B1416:L1416","TextLexUnconstrained")</f>
        <v>TextLexUnconstrained</v>
      </c>
      <c r="J61" s="80"/>
      <c r="K61" s="77"/>
      <c r="L61" s="77"/>
      <c r="M61" s="78"/>
      <c r="N61" s="74"/>
      <c r="O61" s="25">
        <v>117522</v>
      </c>
      <c r="P61" s="304" t="str">
        <f>CONCATENATE([1]Cover!$D$6,"fdd/view?i=",O61)</f>
        <v>https://www.dgiwg.org/FAD/fdd/view?i=117522</v>
      </c>
      <c r="Q61" s="8" t="s">
        <v>4939</v>
      </c>
      <c r="R61" s="38" t="s">
        <v>151</v>
      </c>
    </row>
    <row r="62" spans="1:18" ht="38.25">
      <c r="A62" s="302" t="str">
        <f t="shared" si="0"/>
        <v>aeroResponsibleAuthType</v>
      </c>
      <c r="B62" s="6" t="s">
        <v>4945</v>
      </c>
      <c r="C62" s="17" t="s">
        <v>4946</v>
      </c>
      <c r="D62" s="10" t="s">
        <v>4947</v>
      </c>
      <c r="E62" s="10" t="s">
        <v>4948</v>
      </c>
      <c r="F62" s="55"/>
      <c r="G62" s="12" t="s">
        <v>4643</v>
      </c>
      <c r="H62" s="74"/>
      <c r="I62" s="147" t="str">
        <f>HYPERLINK("[#]Datatypes!B66:L66","AeroResponsibleAuthTypeCode")</f>
        <v>AeroResponsibleAuthTypeCode</v>
      </c>
      <c r="J62" s="80"/>
      <c r="K62" s="77"/>
      <c r="L62" s="77"/>
      <c r="M62" s="71" t="str">
        <f>HYPERLINK("[#]DatatypeListedValues!A950:H950","&lt;values&gt;")</f>
        <v>&lt;values&gt;</v>
      </c>
      <c r="N62" s="82" t="b">
        <v>0</v>
      </c>
      <c r="O62" s="25">
        <v>117462</v>
      </c>
      <c r="P62" s="304" t="str">
        <f>CONCATENATE([1]Cover!$D$6,"fdd/view?i=",O62)</f>
        <v>https://www.dgiwg.org/FAD/fdd/view?i=117462</v>
      </c>
      <c r="Q62" s="8" t="s">
        <v>4944</v>
      </c>
      <c r="R62" s="38" t="s">
        <v>151</v>
      </c>
    </row>
    <row r="63" spans="1:18" ht="25.5">
      <c r="A63" s="302" t="str">
        <f t="shared" si="0"/>
        <v>aeroRouteCategory</v>
      </c>
      <c r="B63" s="6" t="s">
        <v>4951</v>
      </c>
      <c r="C63" s="17" t="s">
        <v>4952</v>
      </c>
      <c r="D63" s="10" t="s">
        <v>4953</v>
      </c>
      <c r="E63" s="55"/>
      <c r="F63" s="55"/>
      <c r="G63" s="12" t="s">
        <v>4643</v>
      </c>
      <c r="H63" s="74"/>
      <c r="I63" s="147" t="str">
        <f>HYPERLINK("[#]Datatypes!B68:L68","AeroRouteCategoryCode")</f>
        <v>AeroRouteCategoryCode</v>
      </c>
      <c r="J63" s="80"/>
      <c r="K63" s="77"/>
      <c r="L63" s="77"/>
      <c r="M63" s="71" t="str">
        <f>HYPERLINK("[#]DatatypeListedValues!A954:H954","&lt;values&gt;")</f>
        <v>&lt;values&gt;</v>
      </c>
      <c r="N63" s="12" t="b">
        <v>1</v>
      </c>
      <c r="O63" s="25">
        <v>119494</v>
      </c>
      <c r="P63" s="304" t="str">
        <f>CONCATENATE([1]Cover!$D$6,"fdd/view?i=",O63)</f>
        <v>https://www.dgiwg.org/FAD/fdd/view?i=119494</v>
      </c>
      <c r="Q63" s="8" t="s">
        <v>4950</v>
      </c>
      <c r="R63" s="38" t="s">
        <v>151</v>
      </c>
    </row>
    <row r="64" spans="1:18" ht="25.5">
      <c r="A64" s="302" t="str">
        <f t="shared" si="0"/>
        <v>aeronauticalServiceName</v>
      </c>
      <c r="B64" s="6" t="s">
        <v>4956</v>
      </c>
      <c r="C64" s="17" t="s">
        <v>4957</v>
      </c>
      <c r="D64" s="10" t="s">
        <v>4958</v>
      </c>
      <c r="E64" s="55"/>
      <c r="F64" s="55"/>
      <c r="G64" s="12" t="s">
        <v>4643</v>
      </c>
      <c r="H64" s="74"/>
      <c r="I64" s="147" t="str">
        <f>HYPERLINK("[#]Datatypes!B1416:L1416","TextLexUnconstrained")</f>
        <v>TextLexUnconstrained</v>
      </c>
      <c r="J64" s="80"/>
      <c r="K64" s="77"/>
      <c r="L64" s="77"/>
      <c r="M64" s="78"/>
      <c r="N64" s="74"/>
      <c r="O64" s="25">
        <v>117513</v>
      </c>
      <c r="P64" s="304" t="str">
        <f>CONCATENATE([1]Cover!$D$6,"fdd/view?i=",O64)</f>
        <v>https://www.dgiwg.org/FAD/fdd/view?i=117513</v>
      </c>
      <c r="Q64" s="8" t="s">
        <v>4955</v>
      </c>
      <c r="R64" s="38" t="s">
        <v>151</v>
      </c>
    </row>
    <row r="65" spans="1:18" ht="25.5">
      <c r="A65" s="302" t="str">
        <f t="shared" si="0"/>
        <v>aeroServiceOperStatus</v>
      </c>
      <c r="B65" s="6" t="s">
        <v>4960</v>
      </c>
      <c r="C65" s="17" t="s">
        <v>4961</v>
      </c>
      <c r="D65" s="10" t="s">
        <v>4962</v>
      </c>
      <c r="E65" s="55"/>
      <c r="F65" s="55"/>
      <c r="G65" s="12" t="s">
        <v>4643</v>
      </c>
      <c r="H65" s="74"/>
      <c r="I65" s="147" t="str">
        <f>HYPERLINK("[#]Datatypes!B70:L70","AeroServiceOperStatusCode")</f>
        <v>AeroServiceOperStatusCode</v>
      </c>
      <c r="J65" s="80"/>
      <c r="K65" s="77"/>
      <c r="L65" s="77"/>
      <c r="M65" s="71" t="str">
        <f>HYPERLINK("[#]DatatypeListedValues!A957:H957","&lt;values&gt;")</f>
        <v>&lt;values&gt;</v>
      </c>
      <c r="N65" s="12" t="b">
        <v>1</v>
      </c>
      <c r="O65" s="25">
        <v>117514</v>
      </c>
      <c r="P65" s="304" t="str">
        <f>CONCATENATE([1]Cover!$D$6,"fdd/view?i=",O65)</f>
        <v>https://www.dgiwg.org/FAD/fdd/view?i=117514</v>
      </c>
      <c r="Q65" s="8" t="s">
        <v>4959</v>
      </c>
      <c r="R65" s="38" t="s">
        <v>151</v>
      </c>
    </row>
    <row r="66" spans="1:18">
      <c r="A66" s="302" t="str">
        <f t="shared" si="0"/>
        <v>aeroServiceRanking</v>
      </c>
      <c r="B66" s="6" t="s">
        <v>4965</v>
      </c>
      <c r="C66" s="17" t="s">
        <v>4966</v>
      </c>
      <c r="D66" s="10" t="s">
        <v>4967</v>
      </c>
      <c r="E66" s="10" t="s">
        <v>4968</v>
      </c>
      <c r="F66" s="55"/>
      <c r="G66" s="12" t="s">
        <v>4643</v>
      </c>
      <c r="H66" s="74"/>
      <c r="I66" s="147" t="str">
        <f>HYPERLINK("[#]Datatypes!B72:L72","AeroServiceRankingCode")</f>
        <v>AeroServiceRankingCode</v>
      </c>
      <c r="J66" s="80"/>
      <c r="K66" s="77"/>
      <c r="L66" s="77"/>
      <c r="M66" s="71" t="str">
        <f>HYPERLINK("[#]DatatypeListedValues!A972:H972","&lt;values&gt;")</f>
        <v>&lt;values&gt;</v>
      </c>
      <c r="N66" s="82" t="b">
        <v>0</v>
      </c>
      <c r="O66" s="25">
        <v>117708</v>
      </c>
      <c r="P66" s="304" t="str">
        <f>CONCATENATE([1]Cover!$D$6,"fdd/view?i=",O66)</f>
        <v>https://www.dgiwg.org/FAD/fdd/view?i=117708</v>
      </c>
      <c r="Q66" s="8" t="s">
        <v>4964</v>
      </c>
      <c r="R66" s="38" t="s">
        <v>151</v>
      </c>
    </row>
    <row r="67" spans="1:18" ht="63.75">
      <c r="A67" s="302" t="str">
        <f t="shared" si="0"/>
        <v>aeronauticalUnitDesignator</v>
      </c>
      <c r="B67" s="6" t="s">
        <v>4971</v>
      </c>
      <c r="C67" s="17" t="s">
        <v>4972</v>
      </c>
      <c r="D67" s="10" t="s">
        <v>4973</v>
      </c>
      <c r="E67" s="10" t="s">
        <v>4974</v>
      </c>
      <c r="F67" s="55"/>
      <c r="G67" s="12" t="s">
        <v>4643</v>
      </c>
      <c r="H67" s="74"/>
      <c r="I67" s="147" t="str">
        <f>HYPERLINK("[#]Datatypes!B1442:L1442","TextNonLexUnconstrained")</f>
        <v>TextNonLexUnconstrained</v>
      </c>
      <c r="J67" s="80"/>
      <c r="K67" s="77"/>
      <c r="L67" s="77"/>
      <c r="M67" s="78"/>
      <c r="N67" s="74"/>
      <c r="O67" s="25">
        <v>117526</v>
      </c>
      <c r="P67" s="304" t="str">
        <f>CONCATENATE([1]Cover!$D$6,"fdd/view?i=",O67)</f>
        <v>https://www.dgiwg.org/FAD/fdd/view?i=117526</v>
      </c>
      <c r="Q67" s="8" t="s">
        <v>4970</v>
      </c>
      <c r="R67" s="38" t="s">
        <v>151</v>
      </c>
    </row>
    <row r="68" spans="1:18" ht="38.25">
      <c r="A68" s="302" t="str">
        <f t="shared" ref="A68:A131" si="1">HYPERLINK(P68,B68)</f>
        <v>aeronauticalUnitName</v>
      </c>
      <c r="B68" s="6" t="s">
        <v>4976</v>
      </c>
      <c r="C68" s="17" t="s">
        <v>4977</v>
      </c>
      <c r="D68" s="10" t="s">
        <v>4978</v>
      </c>
      <c r="E68" s="10" t="s">
        <v>4979</v>
      </c>
      <c r="F68" s="55"/>
      <c r="G68" s="12" t="s">
        <v>4643</v>
      </c>
      <c r="H68" s="74"/>
      <c r="I68" s="147" t="str">
        <f>HYPERLINK("[#]Datatypes!B1416:L1416","TextLexUnconstrained")</f>
        <v>TextLexUnconstrained</v>
      </c>
      <c r="J68" s="80"/>
      <c r="K68" s="77"/>
      <c r="L68" s="77"/>
      <c r="M68" s="78"/>
      <c r="N68" s="74"/>
      <c r="O68" s="25">
        <v>117527</v>
      </c>
      <c r="P68" s="304" t="str">
        <f>CONCATENATE([1]Cover!$D$6,"fdd/view?i=",O68)</f>
        <v>https://www.dgiwg.org/FAD/fdd/view?i=117527</v>
      </c>
      <c r="Q68" s="8" t="s">
        <v>4975</v>
      </c>
      <c r="R68" s="38" t="s">
        <v>151</v>
      </c>
    </row>
    <row r="69" spans="1:18" ht="38.25">
      <c r="A69" s="302" t="str">
        <f t="shared" si="1"/>
        <v>aeronauticalUnitType</v>
      </c>
      <c r="B69" s="6" t="s">
        <v>4981</v>
      </c>
      <c r="C69" s="17" t="s">
        <v>4982</v>
      </c>
      <c r="D69" s="10" t="s">
        <v>4983</v>
      </c>
      <c r="E69" s="10" t="s">
        <v>4979</v>
      </c>
      <c r="F69" s="55"/>
      <c r="G69" s="12" t="s">
        <v>4643</v>
      </c>
      <c r="H69" s="74"/>
      <c r="I69" s="147" t="str">
        <f>HYPERLINK("[#]Datatypes!B74:L74","AeronauticalUnitTypeCode")</f>
        <v>AeronauticalUnitTypeCode</v>
      </c>
      <c r="J69" s="80"/>
      <c r="K69" s="77"/>
      <c r="L69" s="77"/>
      <c r="M69" s="71" t="str">
        <f>HYPERLINK("[#]DatatypeListedValues!A977:H977","&lt;values&gt;")</f>
        <v>&lt;values&gt;</v>
      </c>
      <c r="N69" s="82" t="b">
        <v>0</v>
      </c>
      <c r="O69" s="25">
        <v>117523</v>
      </c>
      <c r="P69" s="304" t="str">
        <f>CONCATENATE([1]Cover!$D$6,"fdd/view?i=",O69)</f>
        <v>https://www.dgiwg.org/FAD/fdd/view?i=117523</v>
      </c>
      <c r="Q69" s="8" t="s">
        <v>4980</v>
      </c>
      <c r="R69" s="38" t="s">
        <v>151</v>
      </c>
    </row>
    <row r="70" spans="1:18" ht="25.5">
      <c r="A70" s="302" t="str">
        <f t="shared" si="1"/>
        <v>aggregateDataSetIdentifier</v>
      </c>
      <c r="B70" s="6" t="s">
        <v>4986</v>
      </c>
      <c r="C70" s="17" t="s">
        <v>4987</v>
      </c>
      <c r="D70" s="10" t="s">
        <v>4988</v>
      </c>
      <c r="E70" s="55"/>
      <c r="F70" s="55"/>
      <c r="G70" s="12" t="s">
        <v>4643</v>
      </c>
      <c r="H70" s="74"/>
      <c r="I70" s="147" t="str">
        <f>HYPERLINK("[#]Datatypes!B688:L688","IdentifierStrucText")</f>
        <v>IdentifierStrucText</v>
      </c>
      <c r="J70" s="80"/>
      <c r="K70" s="77"/>
      <c r="L70" s="77"/>
      <c r="M70" s="78"/>
      <c r="N70" s="74"/>
      <c r="O70" s="25">
        <v>207180</v>
      </c>
      <c r="P70" s="304" t="str">
        <f>CONCATENATE([1]Cover!$D$6,"fdd/view?i=",O70)</f>
        <v>https://www.dgiwg.org/FAD/fdd/view?i=207180</v>
      </c>
      <c r="Q70" s="8" t="s">
        <v>4985</v>
      </c>
      <c r="R70" s="38" t="s">
        <v>1295</v>
      </c>
    </row>
    <row r="71" spans="1:18" ht="25.5">
      <c r="A71" s="302" t="str">
        <f t="shared" si="1"/>
        <v>aggregateDataSetName</v>
      </c>
      <c r="B71" s="6" t="s">
        <v>4991</v>
      </c>
      <c r="C71" s="17" t="s">
        <v>4992</v>
      </c>
      <c r="D71" s="10" t="s">
        <v>4993</v>
      </c>
      <c r="E71" s="55"/>
      <c r="F71" s="55"/>
      <c r="G71" s="12" t="s">
        <v>4643</v>
      </c>
      <c r="H71" s="74"/>
      <c r="I71" s="147" t="str">
        <f>HYPERLINK("[#]Datatypes!B315:L315","CitationStrucText")</f>
        <v>CitationStrucText</v>
      </c>
      <c r="J71" s="80"/>
      <c r="K71" s="77"/>
      <c r="L71" s="77"/>
      <c r="M71" s="78"/>
      <c r="N71" s="74"/>
      <c r="O71" s="25">
        <v>207179</v>
      </c>
      <c r="P71" s="304" t="str">
        <f>CONCATENATE([1]Cover!$D$6,"fdd/view?i=",O71)</f>
        <v>https://www.dgiwg.org/FAD/fdd/view?i=207179</v>
      </c>
      <c r="Q71" s="8" t="s">
        <v>4990</v>
      </c>
      <c r="R71" s="38" t="s">
        <v>1295</v>
      </c>
    </row>
    <row r="72" spans="1:18" ht="25.5">
      <c r="A72" s="302" t="str">
        <f t="shared" si="1"/>
        <v>aggregateGeometry</v>
      </c>
      <c r="B72" s="6" t="s">
        <v>4996</v>
      </c>
      <c r="C72" s="17" t="s">
        <v>4997</v>
      </c>
      <c r="D72" s="10" t="s">
        <v>4998</v>
      </c>
      <c r="E72" s="10" t="s">
        <v>4999</v>
      </c>
      <c r="F72" s="55"/>
      <c r="G72" s="12" t="s">
        <v>4643</v>
      </c>
      <c r="H72" s="74"/>
      <c r="I72" s="147" t="str">
        <f>HYPERLINK("[#]Datatypes!B76:L76","GmAggregate")</f>
        <v>GmAggregate</v>
      </c>
      <c r="J72" s="80"/>
      <c r="K72" s="77"/>
      <c r="L72" s="77"/>
      <c r="M72" s="78"/>
      <c r="N72" s="74"/>
      <c r="O72" s="25">
        <v>200626</v>
      </c>
      <c r="P72" s="304" t="str">
        <f>CONCATENATE([1]Cover!$D$6,"fdd/view?i=",O72)</f>
        <v>https://www.dgiwg.org/FAD/fdd/view?i=200626</v>
      </c>
      <c r="Q72" s="8" t="s">
        <v>4995</v>
      </c>
      <c r="R72" s="38" t="s">
        <v>1295</v>
      </c>
    </row>
    <row r="73" spans="1:18" ht="76.5">
      <c r="A73" s="302" t="str">
        <f t="shared" si="1"/>
        <v>aggregation</v>
      </c>
      <c r="B73" s="6" t="s">
        <v>5002</v>
      </c>
      <c r="C73" s="17" t="s">
        <v>5003</v>
      </c>
      <c r="D73" s="10" t="s">
        <v>5004</v>
      </c>
      <c r="E73" s="10" t="s">
        <v>5005</v>
      </c>
      <c r="F73" s="55"/>
      <c r="G73" s="12" t="s">
        <v>4643</v>
      </c>
      <c r="H73" s="74"/>
      <c r="I73" s="147" t="str">
        <f>HYPERLINK("[#]Datatypes!B230:L230","Boolean")</f>
        <v>Boolean</v>
      </c>
      <c r="J73" s="80"/>
      <c r="K73" s="77"/>
      <c r="L73" s="77"/>
      <c r="M73" s="78"/>
      <c r="N73" s="74"/>
      <c r="O73" s="25">
        <v>111468</v>
      </c>
      <c r="P73" s="304" t="str">
        <f>CONCATENATE([1]Cover!$D$6,"fdd/view?i=",O73)</f>
        <v>https://www.dgiwg.org/FAD/fdd/view?i=111468</v>
      </c>
      <c r="Q73" s="8" t="s">
        <v>5001</v>
      </c>
      <c r="R73" s="38" t="s">
        <v>151</v>
      </c>
    </row>
    <row r="74" spans="1:18">
      <c r="A74" s="302" t="str">
        <f t="shared" si="1"/>
        <v>aggressorAffiliation</v>
      </c>
      <c r="B74" s="6" t="s">
        <v>5007</v>
      </c>
      <c r="C74" s="17" t="s">
        <v>5008</v>
      </c>
      <c r="D74" s="10" t="s">
        <v>5009</v>
      </c>
      <c r="E74" s="55"/>
      <c r="F74" s="55"/>
      <c r="G74" s="12" t="s">
        <v>4643</v>
      </c>
      <c r="H74" s="74"/>
      <c r="I74" s="147" t="str">
        <f>HYPERLINK("[#]Datatypes!B78:L78","AggressorAffiliationCode")</f>
        <v>AggressorAffiliationCode</v>
      </c>
      <c r="J74" s="80"/>
      <c r="K74" s="77"/>
      <c r="L74" s="77"/>
      <c r="M74" s="71" t="str">
        <f>HYPERLINK("[#]DatatypeListedValues!A1014:H1014","&lt;values&gt;")</f>
        <v>&lt;values&gt;</v>
      </c>
      <c r="N74" s="82" t="b">
        <v>0</v>
      </c>
      <c r="O74" s="25">
        <v>111467</v>
      </c>
      <c r="P74" s="304" t="str">
        <f>CONCATENATE([1]Cover!$D$6,"fdd/view?i=",O74)</f>
        <v>https://www.dgiwg.org/FAD/fdd/view?i=111467</v>
      </c>
      <c r="Q74" s="8" t="s">
        <v>5006</v>
      </c>
      <c r="R74" s="38" t="s">
        <v>151</v>
      </c>
    </row>
    <row r="75" spans="1:18" ht="25.5">
      <c r="A75" s="302" t="str">
        <f t="shared" si="1"/>
        <v>aggressorCount</v>
      </c>
      <c r="B75" s="6" t="s">
        <v>5012</v>
      </c>
      <c r="C75" s="17" t="s">
        <v>5013</v>
      </c>
      <c r="D75" s="10" t="s">
        <v>5014</v>
      </c>
      <c r="E75" s="55"/>
      <c r="F75" s="55"/>
      <c r="G75" s="12" t="s">
        <v>4643</v>
      </c>
      <c r="H75" s="74"/>
      <c r="I75" s="147" t="str">
        <f>HYPERLINK("[#]Datatypes!B366:L366","Count")</f>
        <v>Count</v>
      </c>
      <c r="J75" s="80"/>
      <c r="K75" s="77"/>
      <c r="L75" s="77"/>
      <c r="M75" s="78"/>
      <c r="N75" s="74"/>
      <c r="O75" s="25">
        <v>111469</v>
      </c>
      <c r="P75" s="304" t="str">
        <f>CONCATENATE([1]Cover!$D$6,"fdd/view?i=",O75)</f>
        <v>https://www.dgiwg.org/FAD/fdd/view?i=111469</v>
      </c>
      <c r="Q75" s="8" t="s">
        <v>5011</v>
      </c>
      <c r="R75" s="38" t="s">
        <v>151</v>
      </c>
    </row>
    <row r="76" spans="1:18" ht="25.5">
      <c r="A76" s="302" t="str">
        <f t="shared" si="1"/>
        <v>airRefuelPointUsage</v>
      </c>
      <c r="B76" s="6" t="s">
        <v>5016</v>
      </c>
      <c r="C76" s="17" t="s">
        <v>5017</v>
      </c>
      <c r="D76" s="10" t="s">
        <v>5018</v>
      </c>
      <c r="E76" s="55"/>
      <c r="F76" s="55"/>
      <c r="G76" s="12" t="s">
        <v>4643</v>
      </c>
      <c r="H76" s="12" t="s">
        <v>4700</v>
      </c>
      <c r="I76" s="147" t="str">
        <f>HYPERLINK("[#]Datatypes!B80:L80","AirRefuelPointUsageCode")</f>
        <v>AirRefuelPointUsageCode</v>
      </c>
      <c r="J76" s="80"/>
      <c r="K76" s="77"/>
      <c r="L76" s="77"/>
      <c r="M76" s="71" t="str">
        <f>HYPERLINK("[#]DatatypeListedValues!A1017:H1017","&lt;values&gt;")</f>
        <v>&lt;values&gt;</v>
      </c>
      <c r="N76" s="82" t="b">
        <v>0</v>
      </c>
      <c r="O76" s="25">
        <v>117693</v>
      </c>
      <c r="P76" s="304" t="str">
        <f>CONCATENATE([1]Cover!$D$6,"fdd/view?i=",O76)</f>
        <v>https://www.dgiwg.org/FAD/fdd/view?i=117693</v>
      </c>
      <c r="Q76" s="8" t="s">
        <v>5015</v>
      </c>
      <c r="R76" s="38" t="s">
        <v>151</v>
      </c>
    </row>
    <row r="77" spans="1:18" ht="25.5">
      <c r="A77" s="302" t="str">
        <f t="shared" si="1"/>
        <v>airRefuelProcDesignator</v>
      </c>
      <c r="B77" s="6" t="s">
        <v>5021</v>
      </c>
      <c r="C77" s="17" t="s">
        <v>5022</v>
      </c>
      <c r="D77" s="10" t="s">
        <v>5023</v>
      </c>
      <c r="E77" s="10" t="s">
        <v>5024</v>
      </c>
      <c r="F77" s="55"/>
      <c r="G77" s="12" t="s">
        <v>4643</v>
      </c>
      <c r="H77" s="74"/>
      <c r="I77" s="147" t="str">
        <f>HYPERLINK("[#]Datatypes!B1442:L1442","TextNonLexUnconstrained")</f>
        <v>TextNonLexUnconstrained</v>
      </c>
      <c r="J77" s="80"/>
      <c r="K77" s="77"/>
      <c r="L77" s="77"/>
      <c r="M77" s="78"/>
      <c r="N77" s="74"/>
      <c r="O77" s="25">
        <v>117681</v>
      </c>
      <c r="P77" s="304" t="str">
        <f>CONCATENATE([1]Cover!$D$6,"fdd/view?i=",O77)</f>
        <v>https://www.dgiwg.org/FAD/fdd/view?i=117681</v>
      </c>
      <c r="Q77" s="8" t="s">
        <v>5020</v>
      </c>
      <c r="R77" s="38" t="s">
        <v>151</v>
      </c>
    </row>
    <row r="78" spans="1:18" ht="25.5">
      <c r="A78" s="302" t="str">
        <f t="shared" si="1"/>
        <v>airRefuelProcDirection</v>
      </c>
      <c r="B78" s="6" t="s">
        <v>5026</v>
      </c>
      <c r="C78" s="17" t="s">
        <v>5027</v>
      </c>
      <c r="D78" s="10" t="s">
        <v>5028</v>
      </c>
      <c r="E78" s="55"/>
      <c r="F78" s="55"/>
      <c r="G78" s="12" t="s">
        <v>4643</v>
      </c>
      <c r="H78" s="74"/>
      <c r="I78" s="147" t="str">
        <f>HYPERLINK("[#]Datatypes!B82:L82","AirRefuelProcDirectionCode")</f>
        <v>AirRefuelProcDirectionCode</v>
      </c>
      <c r="J78" s="80"/>
      <c r="K78" s="77"/>
      <c r="L78" s="77"/>
      <c r="M78" s="71" t="str">
        <f>HYPERLINK("[#]DatatypeListedValues!A1027:H1027","&lt;values&gt;")</f>
        <v>&lt;values&gt;</v>
      </c>
      <c r="N78" s="82" t="b">
        <v>0</v>
      </c>
      <c r="O78" s="25">
        <v>117682</v>
      </c>
      <c r="P78" s="304" t="str">
        <f>CONCATENATE([1]Cover!$D$6,"fdd/view?i=",O78)</f>
        <v>https://www.dgiwg.org/FAD/fdd/view?i=117682</v>
      </c>
      <c r="Q78" s="8" t="s">
        <v>5025</v>
      </c>
      <c r="R78" s="38" t="s">
        <v>151</v>
      </c>
    </row>
    <row r="79" spans="1:18">
      <c r="A79" s="302" t="str">
        <f t="shared" si="1"/>
        <v>airRefuelProcType</v>
      </c>
      <c r="B79" s="6" t="s">
        <v>5031</v>
      </c>
      <c r="C79" s="17" t="s">
        <v>5032</v>
      </c>
      <c r="D79" s="10" t="s">
        <v>5033</v>
      </c>
      <c r="E79" s="55"/>
      <c r="F79" s="55"/>
      <c r="G79" s="12" t="s">
        <v>4643</v>
      </c>
      <c r="H79" s="74"/>
      <c r="I79" s="147" t="str">
        <f>HYPERLINK("[#]Datatypes!B84:L84","AirRefuelProcTypeCode")</f>
        <v>AirRefuelProcTypeCode</v>
      </c>
      <c r="J79" s="80"/>
      <c r="K79" s="77"/>
      <c r="L79" s="77"/>
      <c r="M79" s="71" t="str">
        <f>HYPERLINK("[#]DatatypeListedValues!A1035:H1035","&lt;values&gt;")</f>
        <v>&lt;values&gt;</v>
      </c>
      <c r="N79" s="82" t="b">
        <v>0</v>
      </c>
      <c r="O79" s="25">
        <v>117692</v>
      </c>
      <c r="P79" s="304" t="str">
        <f>CONCATENATE([1]Cover!$D$6,"fdd/view?i=",O79)</f>
        <v>https://www.dgiwg.org/FAD/fdd/view?i=117692</v>
      </c>
      <c r="Q79" s="8" t="s">
        <v>5030</v>
      </c>
      <c r="R79" s="38" t="s">
        <v>151</v>
      </c>
    </row>
    <row r="80" spans="1:18" ht="51">
      <c r="A80" s="302" t="str">
        <f t="shared" si="1"/>
        <v>airTrafficContingencyRoute</v>
      </c>
      <c r="B80" s="6" t="s">
        <v>5036</v>
      </c>
      <c r="C80" s="17" t="s">
        <v>5037</v>
      </c>
      <c r="D80" s="10" t="s">
        <v>5038</v>
      </c>
      <c r="E80" s="10" t="s">
        <v>5039</v>
      </c>
      <c r="F80" s="55"/>
      <c r="G80" s="12" t="s">
        <v>4643</v>
      </c>
      <c r="H80" s="74"/>
      <c r="I80" s="147" t="str">
        <f>HYPERLINK("[#]Datatypes!B230:L230","Boolean")</f>
        <v>Boolean</v>
      </c>
      <c r="J80" s="80"/>
      <c r="K80" s="77"/>
      <c r="L80" s="77"/>
      <c r="M80" s="78"/>
      <c r="N80" s="74"/>
      <c r="O80" s="25">
        <v>119612</v>
      </c>
      <c r="P80" s="304" t="str">
        <f>CONCATENATE([1]Cover!$D$6,"fdd/view?i=",O80)</f>
        <v>https://www.dgiwg.org/FAD/fdd/view?i=119612</v>
      </c>
      <c r="Q80" s="8" t="s">
        <v>5035</v>
      </c>
      <c r="R80" s="38" t="s">
        <v>151</v>
      </c>
    </row>
    <row r="81" spans="1:18" ht="25.5">
      <c r="A81" s="302" t="str">
        <f t="shared" si="1"/>
        <v>atcRequiredReportType</v>
      </c>
      <c r="B81" s="6" t="s">
        <v>5041</v>
      </c>
      <c r="C81" s="17" t="s">
        <v>5042</v>
      </c>
      <c r="D81" s="10" t="s">
        <v>5043</v>
      </c>
      <c r="E81" s="55"/>
      <c r="F81" s="55"/>
      <c r="G81" s="12" t="s">
        <v>4643</v>
      </c>
      <c r="H81" s="74"/>
      <c r="I81" s="147" t="str">
        <f>HYPERLINK("[#]Datatypes!B86:L86","AtcRequiredReportTypeCode")</f>
        <v>AtcRequiredReportTypeCode</v>
      </c>
      <c r="J81" s="80"/>
      <c r="K81" s="77"/>
      <c r="L81" s="77"/>
      <c r="M81" s="71" t="str">
        <f>HYPERLINK("[#]DatatypeListedValues!A1038:H1038","&lt;values&gt;")</f>
        <v>&lt;values&gt;</v>
      </c>
      <c r="N81" s="82" t="b">
        <v>0</v>
      </c>
      <c r="O81" s="25">
        <v>117694</v>
      </c>
      <c r="P81" s="304" t="str">
        <f>CONCATENATE([1]Cover!$D$6,"fdd/view?i=",O81)</f>
        <v>https://www.dgiwg.org/FAD/fdd/view?i=117694</v>
      </c>
      <c r="Q81" s="8" t="s">
        <v>5040</v>
      </c>
      <c r="R81" s="38" t="s">
        <v>151</v>
      </c>
    </row>
    <row r="82" spans="1:18">
      <c r="A82" s="302" t="str">
        <f t="shared" si="1"/>
        <v>airTrafControlServiceType</v>
      </c>
      <c r="B82" s="6" t="s">
        <v>5046</v>
      </c>
      <c r="C82" s="17" t="s">
        <v>5047</v>
      </c>
      <c r="D82" s="10" t="s">
        <v>5048</v>
      </c>
      <c r="E82" s="55"/>
      <c r="F82" s="55"/>
      <c r="G82" s="12" t="s">
        <v>4643</v>
      </c>
      <c r="H82" s="12" t="s">
        <v>4700</v>
      </c>
      <c r="I82" s="147" t="str">
        <f>HYPERLINK("[#]Datatypes!B88:L88","AirTrafControlServiceTypeCode")</f>
        <v>AirTrafControlServiceTypeCode</v>
      </c>
      <c r="J82" s="80"/>
      <c r="K82" s="77"/>
      <c r="L82" s="77"/>
      <c r="M82" s="71" t="str">
        <f>HYPERLINK("[#]DatatypeListedValues!A1041:H1041","&lt;values&gt;")</f>
        <v>&lt;values&gt;</v>
      </c>
      <c r="N82" s="82" t="b">
        <v>0</v>
      </c>
      <c r="O82" s="25">
        <v>117472</v>
      </c>
      <c r="P82" s="304" t="str">
        <f>CONCATENATE([1]Cover!$D$6,"fdd/view?i=",O82)</f>
        <v>https://www.dgiwg.org/FAD/fdd/view?i=117472</v>
      </c>
      <c r="Q82" s="8" t="s">
        <v>5045</v>
      </c>
      <c r="R82" s="38" t="s">
        <v>151</v>
      </c>
    </row>
    <row r="83" spans="1:18" ht="25.5">
      <c r="A83" s="302" t="str">
        <f t="shared" si="1"/>
        <v>airTrafManageServiceType</v>
      </c>
      <c r="B83" s="6" t="s">
        <v>5051</v>
      </c>
      <c r="C83" s="17" t="s">
        <v>5052</v>
      </c>
      <c r="D83" s="10" t="s">
        <v>5053</v>
      </c>
      <c r="E83" s="55"/>
      <c r="F83" s="55"/>
      <c r="G83" s="12" t="s">
        <v>4643</v>
      </c>
      <c r="H83" s="12" t="s">
        <v>4700</v>
      </c>
      <c r="I83" s="147" t="str">
        <f>HYPERLINK("[#]Datatypes!B90:L90","AirTrafManageServiceTypeCode")</f>
        <v>AirTrafManageServiceTypeCode</v>
      </c>
      <c r="J83" s="80"/>
      <c r="K83" s="77"/>
      <c r="L83" s="77"/>
      <c r="M83" s="71" t="str">
        <f>HYPERLINK("[#]DatatypeListedValues!A1056:H1056","&lt;values&gt;")</f>
        <v>&lt;values&gt;</v>
      </c>
      <c r="N83" s="82" t="b">
        <v>0</v>
      </c>
      <c r="O83" s="25">
        <v>117496</v>
      </c>
      <c r="P83" s="304" t="str">
        <f>CONCATENATE([1]Cover!$D$6,"fdd/view?i=",O83)</f>
        <v>https://www.dgiwg.org/FAD/fdd/view?i=117496</v>
      </c>
      <c r="Q83" s="8" t="s">
        <v>5050</v>
      </c>
      <c r="R83" s="38" t="s">
        <v>151</v>
      </c>
    </row>
    <row r="84" spans="1:18">
      <c r="A84" s="302" t="str">
        <f t="shared" si="1"/>
        <v>airTrafficTypePermitted</v>
      </c>
      <c r="B84" s="6" t="s">
        <v>5056</v>
      </c>
      <c r="C84" s="17" t="s">
        <v>5057</v>
      </c>
      <c r="D84" s="10" t="s">
        <v>5058</v>
      </c>
      <c r="E84" s="10" t="s">
        <v>5059</v>
      </c>
      <c r="F84" s="55"/>
      <c r="G84" s="12" t="s">
        <v>4643</v>
      </c>
      <c r="H84" s="74"/>
      <c r="I84" s="147" t="str">
        <f>HYPERLINK("[#]Datatypes!B92:L92","AirTrafficTypePermittedCode")</f>
        <v>AirTrafficTypePermittedCode</v>
      </c>
      <c r="J84" s="80"/>
      <c r="K84" s="77"/>
      <c r="L84" s="77"/>
      <c r="M84" s="71" t="str">
        <f>HYPERLINK("[#]DatatypeListedValues!A1061:H1061","&lt;values&gt;")</f>
        <v>&lt;values&gt;</v>
      </c>
      <c r="N84" s="82" t="b">
        <v>0</v>
      </c>
      <c r="O84" s="25">
        <v>117524</v>
      </c>
      <c r="P84" s="304" t="str">
        <f>CONCATENATE([1]Cover!$D$6,"fdd/view?i=",O84)</f>
        <v>https://www.dgiwg.org/FAD/fdd/view?i=117524</v>
      </c>
      <c r="Q84" s="8" t="s">
        <v>5055</v>
      </c>
      <c r="R84" s="38" t="s">
        <v>151</v>
      </c>
    </row>
    <row r="85" spans="1:18" ht="25.5">
      <c r="A85" s="302" t="str">
        <f t="shared" si="1"/>
        <v>atsRouteDesignator</v>
      </c>
      <c r="B85" s="6" t="s">
        <v>5062</v>
      </c>
      <c r="C85" s="17" t="s">
        <v>5063</v>
      </c>
      <c r="D85" s="10" t="s">
        <v>5064</v>
      </c>
      <c r="E85" s="10" t="s">
        <v>5065</v>
      </c>
      <c r="F85" s="55"/>
      <c r="G85" s="12" t="s">
        <v>4643</v>
      </c>
      <c r="H85" s="74"/>
      <c r="I85" s="147" t="str">
        <f>HYPERLINK("[#]Datatypes!B1442:L1442","TextNonLexUnconstrained")</f>
        <v>TextNonLexUnconstrained</v>
      </c>
      <c r="J85" s="80"/>
      <c r="K85" s="77"/>
      <c r="L85" s="77"/>
      <c r="M85" s="78"/>
      <c r="N85" s="74"/>
      <c r="O85" s="25">
        <v>117476</v>
      </c>
      <c r="P85" s="304" t="str">
        <f>CONCATENATE([1]Cover!$D$6,"fdd/view?i=",O85)</f>
        <v>https://www.dgiwg.org/FAD/fdd/view?i=117476</v>
      </c>
      <c r="Q85" s="8" t="s">
        <v>5061</v>
      </c>
      <c r="R85" s="38" t="s">
        <v>151</v>
      </c>
    </row>
    <row r="86" spans="1:18" ht="38.25">
      <c r="A86" s="302" t="str">
        <f t="shared" si="1"/>
        <v>atsRouteDesignatorSuffix</v>
      </c>
      <c r="B86" s="6" t="s">
        <v>5067</v>
      </c>
      <c r="C86" s="17" t="s">
        <v>5068</v>
      </c>
      <c r="D86" s="10" t="s">
        <v>5069</v>
      </c>
      <c r="E86" s="10" t="s">
        <v>5070</v>
      </c>
      <c r="F86" s="55"/>
      <c r="G86" s="12" t="s">
        <v>4643</v>
      </c>
      <c r="H86" s="74"/>
      <c r="I86" s="147" t="str">
        <f>HYPERLINK("[#]Datatypes!B94:L94","AtsRouteDesignatorSuffixCode")</f>
        <v>AtsRouteDesignatorSuffixCode</v>
      </c>
      <c r="J86" s="80"/>
      <c r="K86" s="77"/>
      <c r="L86" s="77"/>
      <c r="M86" s="71" t="str">
        <f>HYPERLINK("[#]DatatypeListedValues!A1070:H1070","&lt;values&gt;")</f>
        <v>&lt;values&gt;</v>
      </c>
      <c r="N86" s="82" t="b">
        <v>0</v>
      </c>
      <c r="O86" s="25">
        <v>206970</v>
      </c>
      <c r="P86" s="304" t="str">
        <f>CONCATENATE([1]Cover!$D$6,"fdd/view?i=",O86)</f>
        <v>https://www.dgiwg.org/FAD/fdd/view?i=206970</v>
      </c>
      <c r="Q86" s="8" t="s">
        <v>5066</v>
      </c>
      <c r="R86" s="38" t="s">
        <v>1295</v>
      </c>
    </row>
    <row r="87" spans="1:18" ht="38.25">
      <c r="A87" s="302" t="str">
        <f t="shared" si="1"/>
        <v>atsRouteEssentialSigPoint</v>
      </c>
      <c r="B87" s="6" t="s">
        <v>5073</v>
      </c>
      <c r="C87" s="17" t="s">
        <v>5074</v>
      </c>
      <c r="D87" s="10" t="s">
        <v>5075</v>
      </c>
      <c r="E87" s="55"/>
      <c r="F87" s="55"/>
      <c r="G87" s="12" t="s">
        <v>4643</v>
      </c>
      <c r="H87" s="74"/>
      <c r="I87" s="147" t="str">
        <f>HYPERLINK("[#]Datatypes!B230:L230","Boolean")</f>
        <v>Boolean</v>
      </c>
      <c r="J87" s="80"/>
      <c r="K87" s="77"/>
      <c r="L87" s="77"/>
      <c r="M87" s="78"/>
      <c r="N87" s="74"/>
      <c r="O87" s="25">
        <v>119602</v>
      </c>
      <c r="P87" s="304" t="str">
        <f>CONCATENATE([1]Cover!$D$6,"fdd/view?i=",O87)</f>
        <v>https://www.dgiwg.org/FAD/fdd/view?i=119602</v>
      </c>
      <c r="Q87" s="8" t="s">
        <v>5072</v>
      </c>
      <c r="R87" s="38" t="s">
        <v>151</v>
      </c>
    </row>
    <row r="88" spans="1:18" ht="25.5">
      <c r="A88" s="302" t="str">
        <f t="shared" si="1"/>
        <v>atsRouteLocDesignator</v>
      </c>
      <c r="B88" s="6" t="s">
        <v>5077</v>
      </c>
      <c r="C88" s="17" t="s">
        <v>5078</v>
      </c>
      <c r="D88" s="10" t="s">
        <v>5079</v>
      </c>
      <c r="E88" s="55"/>
      <c r="F88" s="55"/>
      <c r="G88" s="12" t="s">
        <v>4643</v>
      </c>
      <c r="H88" s="74"/>
      <c r="I88" s="147" t="str">
        <f>HYPERLINK("[#]Datatypes!B96:L96","AtsRouteLocDesignatorStrucText")</f>
        <v>AtsRouteLocDesignatorStrucText</v>
      </c>
      <c r="J88" s="80"/>
      <c r="K88" s="77"/>
      <c r="L88" s="77"/>
      <c r="M88" s="78"/>
      <c r="N88" s="74"/>
      <c r="O88" s="25">
        <v>117478</v>
      </c>
      <c r="P88" s="304" t="str">
        <f>CONCATENATE([1]Cover!$D$6,"fdd/view?i=",O88)</f>
        <v>https://www.dgiwg.org/FAD/fdd/view?i=117478</v>
      </c>
      <c r="Q88" s="8" t="s">
        <v>5076</v>
      </c>
      <c r="R88" s="38" t="s">
        <v>151</v>
      </c>
    </row>
    <row r="89" spans="1:18" ht="25.5">
      <c r="A89" s="302" t="str">
        <f t="shared" si="1"/>
        <v>atsRouteSegmentAvailable</v>
      </c>
      <c r="B89" s="6" t="s">
        <v>5082</v>
      </c>
      <c r="C89" s="17" t="s">
        <v>5083</v>
      </c>
      <c r="D89" s="10" t="s">
        <v>5084</v>
      </c>
      <c r="E89" s="10" t="s">
        <v>5085</v>
      </c>
      <c r="F89" s="10" t="s">
        <v>5086</v>
      </c>
      <c r="G89" s="12" t="s">
        <v>4643</v>
      </c>
      <c r="H89" s="74"/>
      <c r="I89" s="147" t="str">
        <f>HYPERLINK("[#]Datatypes!B98:L98","AtsRouteSegmentAvailableCode")</f>
        <v>AtsRouteSegmentAvailableCode</v>
      </c>
      <c r="J89" s="80"/>
      <c r="K89" s="77"/>
      <c r="L89" s="77"/>
      <c r="M89" s="71" t="str">
        <f>HYPERLINK("[#]DatatypeListedValues!A1074:H1074","&lt;values&gt;")</f>
        <v>&lt;values&gt;</v>
      </c>
      <c r="N89" s="82" t="b">
        <v>0</v>
      </c>
      <c r="O89" s="25">
        <v>117695</v>
      </c>
      <c r="P89" s="304" t="str">
        <f>CONCATENATE([1]Cover!$D$6,"fdd/view?i=",O89)</f>
        <v>https://www.dgiwg.org/FAD/fdd/view?i=117695</v>
      </c>
      <c r="Q89" s="8" t="s">
        <v>5081</v>
      </c>
      <c r="R89" s="38" t="s">
        <v>151</v>
      </c>
    </row>
    <row r="90" spans="1:18" ht="25.5">
      <c r="A90" s="302" t="str">
        <f t="shared" si="1"/>
        <v>atsRouteSegmentLength</v>
      </c>
      <c r="B90" s="6" t="s">
        <v>5089</v>
      </c>
      <c r="C90" s="17" t="s">
        <v>5090</v>
      </c>
      <c r="D90" s="10" t="s">
        <v>5091</v>
      </c>
      <c r="E90" s="10" t="s">
        <v>5092</v>
      </c>
      <c r="F90" s="55"/>
      <c r="G90" s="12" t="s">
        <v>4643</v>
      </c>
      <c r="H90" s="74"/>
      <c r="I90" s="147" t="str">
        <f>HYPERLINK("[#]Datatypes!B1097:L1097","Real")</f>
        <v>Real</v>
      </c>
      <c r="J90" s="76" t="str">
        <f>HYPERLINK("[#]PhysicalQuantities!A20:N20","Length")</f>
        <v>Length</v>
      </c>
      <c r="K90" s="75" t="str">
        <f>HYPERLINK("[#]UnitsOfMeasure!D94:G94","Nautical Mile")</f>
        <v>Nautical Mile</v>
      </c>
      <c r="L90" s="77"/>
      <c r="M90" s="78"/>
      <c r="N90" s="74"/>
      <c r="O90" s="25">
        <v>118916</v>
      </c>
      <c r="P90" s="304" t="str">
        <f>CONCATENATE([1]Cover!$D$6,"fdd/view?i=",O90)</f>
        <v>https://www.dgiwg.org/FAD/fdd/view?i=118916</v>
      </c>
      <c r="Q90" s="8" t="s">
        <v>5088</v>
      </c>
      <c r="R90" s="38" t="s">
        <v>151</v>
      </c>
    </row>
    <row r="91" spans="1:18" ht="38.25">
      <c r="A91" s="302" t="str">
        <f t="shared" si="1"/>
        <v>atsRouteSegmentPathBasis</v>
      </c>
      <c r="B91" s="6" t="s">
        <v>5094</v>
      </c>
      <c r="C91" s="17" t="s">
        <v>5095</v>
      </c>
      <c r="D91" s="10" t="s">
        <v>5096</v>
      </c>
      <c r="E91" s="10" t="s">
        <v>5097</v>
      </c>
      <c r="F91" s="10" t="s">
        <v>5098</v>
      </c>
      <c r="G91" s="12" t="s">
        <v>4643</v>
      </c>
      <c r="H91" s="74"/>
      <c r="I91" s="147" t="str">
        <f>HYPERLINK("[#]Datatypes!B100:L100","AtsRouteSegmentPathBasisCode")</f>
        <v>AtsRouteSegmentPathBasisCode</v>
      </c>
      <c r="J91" s="80"/>
      <c r="K91" s="77"/>
      <c r="L91" s="77"/>
      <c r="M91" s="71" t="str">
        <f>HYPERLINK("[#]DatatypeListedValues!A1083:H1083","&lt;values&gt;")</f>
        <v>&lt;values&gt;</v>
      </c>
      <c r="N91" s="82" t="b">
        <v>0</v>
      </c>
      <c r="O91" s="25">
        <v>117507</v>
      </c>
      <c r="P91" s="304" t="str">
        <f>CONCATENATE([1]Cover!$D$6,"fdd/view?i=",O91)</f>
        <v>https://www.dgiwg.org/FAD/fdd/view?i=117507</v>
      </c>
      <c r="Q91" s="8" t="s">
        <v>5093</v>
      </c>
      <c r="R91" s="38" t="s">
        <v>151</v>
      </c>
    </row>
    <row r="92" spans="1:18" ht="25.5">
      <c r="A92" s="302" t="str">
        <f t="shared" si="1"/>
        <v>atsRouteSegmentUsageDir</v>
      </c>
      <c r="B92" s="6" t="s">
        <v>5101</v>
      </c>
      <c r="C92" s="17" t="s">
        <v>5102</v>
      </c>
      <c r="D92" s="10" t="s">
        <v>5103</v>
      </c>
      <c r="E92" s="10" t="s">
        <v>5104</v>
      </c>
      <c r="F92" s="55"/>
      <c r="G92" s="12" t="s">
        <v>4643</v>
      </c>
      <c r="H92" s="74"/>
      <c r="I92" s="147" t="str">
        <f>HYPERLINK("[#]Datatypes!B102:L102","AtsRouteSegmentUsageDirCode")</f>
        <v>AtsRouteSegmentUsageDirCode</v>
      </c>
      <c r="J92" s="80"/>
      <c r="K92" s="77"/>
      <c r="L92" s="77"/>
      <c r="M92" s="71" t="str">
        <f>HYPERLINK("[#]DatatypeListedValues!A1090:H1090","&lt;values&gt;")</f>
        <v>&lt;values&gt;</v>
      </c>
      <c r="N92" s="82" t="b">
        <v>0</v>
      </c>
      <c r="O92" s="25">
        <v>117696</v>
      </c>
      <c r="P92" s="304" t="str">
        <f>CONCATENATE([1]Cover!$D$6,"fdd/view?i=",O92)</f>
        <v>https://www.dgiwg.org/FAD/fdd/view?i=117696</v>
      </c>
      <c r="Q92" s="8" t="s">
        <v>5100</v>
      </c>
      <c r="R92" s="38" t="s">
        <v>151</v>
      </c>
    </row>
    <row r="93" spans="1:18" ht="38.25">
      <c r="A93" s="302" t="str">
        <f t="shared" si="1"/>
        <v>atsRouteSegmentWidth</v>
      </c>
      <c r="B93" s="6" t="s">
        <v>5107</v>
      </c>
      <c r="C93" s="17" t="s">
        <v>5108</v>
      </c>
      <c r="D93" s="10" t="s">
        <v>5109</v>
      </c>
      <c r="E93" s="55"/>
      <c r="F93" s="55"/>
      <c r="G93" s="12" t="s">
        <v>4643</v>
      </c>
      <c r="H93" s="74"/>
      <c r="I93" s="147" t="str">
        <f>HYPERLINK("[#]Datatypes!B1097:L1097","Real")</f>
        <v>Real</v>
      </c>
      <c r="J93" s="76" t="str">
        <f>HYPERLINK("[#]PhysicalQuantities!A20:N20","Length")</f>
        <v>Length</v>
      </c>
      <c r="K93" s="75" t="str">
        <f>HYPERLINK("[#]UnitsOfMeasure!D94:G94","Nautical Mile")</f>
        <v>Nautical Mile</v>
      </c>
      <c r="L93" s="77"/>
      <c r="M93" s="78"/>
      <c r="N93" s="74"/>
      <c r="O93" s="25">
        <v>117531</v>
      </c>
      <c r="P93" s="304" t="str">
        <f>CONCATENATE([1]Cover!$D$6,"fdd/view?i=",O93)</f>
        <v>https://www.dgiwg.org/FAD/fdd/view?i=117531</v>
      </c>
      <c r="Q93" s="8" t="s">
        <v>5106</v>
      </c>
      <c r="R93" s="38" t="s">
        <v>151</v>
      </c>
    </row>
    <row r="94" spans="1:18" ht="25.5">
      <c r="A94" s="302" t="str">
        <f t="shared" si="1"/>
        <v>atsRouteType</v>
      </c>
      <c r="B94" s="6" t="s">
        <v>5111</v>
      </c>
      <c r="C94" s="17" t="s">
        <v>5112</v>
      </c>
      <c r="D94" s="10" t="s">
        <v>5113</v>
      </c>
      <c r="E94" s="10" t="s">
        <v>5114</v>
      </c>
      <c r="F94" s="55"/>
      <c r="G94" s="12" t="s">
        <v>4643</v>
      </c>
      <c r="H94" s="74"/>
      <c r="I94" s="147" t="str">
        <f>HYPERLINK("[#]Datatypes!B104:L104","AtsRouteTypeCode")</f>
        <v>AtsRouteTypeCode</v>
      </c>
      <c r="J94" s="80"/>
      <c r="K94" s="77"/>
      <c r="L94" s="77"/>
      <c r="M94" s="71" t="str">
        <f>HYPERLINK("[#]DatatypeListedValues!A1093:H1093","&lt;values&gt;")</f>
        <v>&lt;values&gt;</v>
      </c>
      <c r="N94" s="82" t="b">
        <v>0</v>
      </c>
      <c r="O94" s="25">
        <v>117510</v>
      </c>
      <c r="P94" s="304" t="str">
        <f>CONCATENATE([1]Cover!$D$6,"fdd/view?i=",O94)</f>
        <v>https://www.dgiwg.org/FAD/fdd/view?i=117510</v>
      </c>
      <c r="Q94" s="8" t="s">
        <v>5110</v>
      </c>
      <c r="R94" s="38" t="s">
        <v>151</v>
      </c>
    </row>
    <row r="95" spans="1:18" ht="25.5">
      <c r="A95" s="302" t="str">
        <f t="shared" si="1"/>
        <v>airbIdentRadarBcnCodeApx</v>
      </c>
      <c r="B95" s="6" t="s">
        <v>5117</v>
      </c>
      <c r="C95" s="17" t="s">
        <v>5118</v>
      </c>
      <c r="D95" s="10" t="s">
        <v>5119</v>
      </c>
      <c r="E95" s="55"/>
      <c r="F95" s="10" t="s">
        <v>5120</v>
      </c>
      <c r="G95" s="12" t="s">
        <v>4643</v>
      </c>
      <c r="H95" s="74"/>
      <c r="I95" s="147" t="str">
        <f>HYPERLINK("[#]Datatypes!B106:L106","AirbIdentRadarBcnCodeApxStrucText")</f>
        <v>AirbIdentRadarBcnCodeApxStrucText</v>
      </c>
      <c r="J95" s="80"/>
      <c r="K95" s="77"/>
      <c r="L95" s="77"/>
      <c r="M95" s="78"/>
      <c r="N95" s="74"/>
      <c r="O95" s="25">
        <v>117505</v>
      </c>
      <c r="P95" s="304" t="str">
        <f>CONCATENATE([1]Cover!$D$6,"fdd/view?i=",O95)</f>
        <v>https://www.dgiwg.org/FAD/fdd/view?i=117505</v>
      </c>
      <c r="Q95" s="8" t="s">
        <v>5116</v>
      </c>
      <c r="R95" s="38" t="s">
        <v>151</v>
      </c>
    </row>
    <row r="96" spans="1:18" ht="25.5">
      <c r="A96" s="302" t="str">
        <f t="shared" si="1"/>
        <v>airbNavRadarBcnCodeApn</v>
      </c>
      <c r="B96" s="6" t="s">
        <v>5123</v>
      </c>
      <c r="C96" s="17" t="s">
        <v>5124</v>
      </c>
      <c r="D96" s="10" t="s">
        <v>5125</v>
      </c>
      <c r="E96" s="55"/>
      <c r="F96" s="10" t="s">
        <v>5126</v>
      </c>
      <c r="G96" s="12" t="s">
        <v>4643</v>
      </c>
      <c r="H96" s="74"/>
      <c r="I96" s="147" t="str">
        <f>HYPERLINK("[#]Datatypes!B108:L108","AirbNavRadarBcnCodeApnStrucText")</f>
        <v>AirbNavRadarBcnCodeApnStrucText</v>
      </c>
      <c r="J96" s="80"/>
      <c r="K96" s="77"/>
      <c r="L96" s="77"/>
      <c r="M96" s="78"/>
      <c r="N96" s="74"/>
      <c r="O96" s="25">
        <v>117504</v>
      </c>
      <c r="P96" s="304" t="str">
        <f>CONCATENATE([1]Cover!$D$6,"fdd/view?i=",O96)</f>
        <v>https://www.dgiwg.org/FAD/fdd/view?i=117504</v>
      </c>
      <c r="Q96" s="8" t="s">
        <v>5122</v>
      </c>
      <c r="R96" s="38" t="s">
        <v>151</v>
      </c>
    </row>
    <row r="97" spans="1:18" ht="25.5">
      <c r="A97" s="302" t="str">
        <f t="shared" si="1"/>
        <v>aircraftApproachCategory</v>
      </c>
      <c r="B97" s="6" t="s">
        <v>5129</v>
      </c>
      <c r="C97" s="17" t="s">
        <v>5130</v>
      </c>
      <c r="D97" s="10" t="s">
        <v>5131</v>
      </c>
      <c r="E97" s="55"/>
      <c r="F97" s="10" t="s">
        <v>5132</v>
      </c>
      <c r="G97" s="12" t="s">
        <v>4643</v>
      </c>
      <c r="H97" s="74"/>
      <c r="I97" s="147" t="str">
        <f>HYPERLINK("[#]Datatypes!B110:L110","AircraftApproachCatCode")</f>
        <v>AircraftApproachCatCode</v>
      </c>
      <c r="J97" s="80"/>
      <c r="K97" s="77"/>
      <c r="L97" s="77"/>
      <c r="M97" s="71" t="str">
        <f>HYPERLINK("[#]DatatypeListedValues!A1101:H1101","&lt;values&gt;")</f>
        <v>&lt;values&gt;</v>
      </c>
      <c r="N97" s="82" t="b">
        <v>0</v>
      </c>
      <c r="O97" s="25">
        <v>117459</v>
      </c>
      <c r="P97" s="304" t="str">
        <f>CONCATENATE([1]Cover!$D$6,"fdd/view?i=",O97)</f>
        <v>https://www.dgiwg.org/FAD/fdd/view?i=117459</v>
      </c>
      <c r="Q97" s="8" t="s">
        <v>5128</v>
      </c>
      <c r="R97" s="38" t="s">
        <v>151</v>
      </c>
    </row>
    <row r="98" spans="1:18" ht="25.5">
      <c r="A98" s="302" t="str">
        <f t="shared" si="1"/>
        <v>aircraftBankAngle</v>
      </c>
      <c r="B98" s="6" t="s">
        <v>5135</v>
      </c>
      <c r="C98" s="17" t="s">
        <v>5136</v>
      </c>
      <c r="D98" s="10" t="s">
        <v>5137</v>
      </c>
      <c r="E98" s="55"/>
      <c r="F98" s="55"/>
      <c r="G98" s="12" t="s">
        <v>4643</v>
      </c>
      <c r="H98" s="74"/>
      <c r="I98" s="147" t="str">
        <f>HYPERLINK("[#]Datatypes!B1097:L1097","Real")</f>
        <v>Real</v>
      </c>
      <c r="J98" s="76" t="str">
        <f>HYPERLINK("[#]PhysicalQuantities!A34:N34","Plane Angle")</f>
        <v>Plane Angle</v>
      </c>
      <c r="K98" s="75" t="str">
        <f>HYPERLINK("[#]UnitsOfMeasure!D159:G159","Arc Degree")</f>
        <v>Arc Degree</v>
      </c>
      <c r="L98" s="77"/>
      <c r="M98" s="78"/>
      <c r="N98" s="74"/>
      <c r="O98" s="25">
        <v>117532</v>
      </c>
      <c r="P98" s="304" t="str">
        <f>CONCATENATE([1]Cover!$D$6,"fdd/view?i=",O98)</f>
        <v>https://www.dgiwg.org/FAD/fdd/view?i=117532</v>
      </c>
      <c r="Q98" s="8" t="s">
        <v>5134</v>
      </c>
      <c r="R98" s="38" t="s">
        <v>151</v>
      </c>
    </row>
    <row r="99" spans="1:18" ht="25.5">
      <c r="A99" s="302" t="str">
        <f t="shared" si="1"/>
        <v>aircraftBayCount</v>
      </c>
      <c r="B99" s="6" t="s">
        <v>5139</v>
      </c>
      <c r="C99" s="17" t="s">
        <v>5140</v>
      </c>
      <c r="D99" s="10" t="s">
        <v>5141</v>
      </c>
      <c r="E99" s="55"/>
      <c r="F99" s="55"/>
      <c r="G99" s="12" t="s">
        <v>4643</v>
      </c>
      <c r="H99" s="74"/>
      <c r="I99" s="147" t="str">
        <f>HYPERLINK("[#]Datatypes!B366:L366","Count")</f>
        <v>Count</v>
      </c>
      <c r="J99" s="80"/>
      <c r="K99" s="77"/>
      <c r="L99" s="77"/>
      <c r="M99" s="78"/>
      <c r="N99" s="74"/>
      <c r="O99" s="25">
        <v>119594</v>
      </c>
      <c r="P99" s="304" t="str">
        <f>CONCATENATE([1]Cover!$D$6,"fdd/view?i=",O99)</f>
        <v>https://www.dgiwg.org/FAD/fdd/view?i=119594</v>
      </c>
      <c r="Q99" s="8" t="s">
        <v>5138</v>
      </c>
      <c r="R99" s="38" t="s">
        <v>151</v>
      </c>
    </row>
    <row r="100" spans="1:18" ht="25.5">
      <c r="A100" s="302" t="str">
        <f t="shared" si="1"/>
        <v>aircraftDeIcingFluidType</v>
      </c>
      <c r="B100" s="6" t="s">
        <v>5143</v>
      </c>
      <c r="C100" s="17" t="s">
        <v>5144</v>
      </c>
      <c r="D100" s="10" t="s">
        <v>5145</v>
      </c>
      <c r="E100" s="55"/>
      <c r="F100" s="55"/>
      <c r="G100" s="12" t="s">
        <v>4643</v>
      </c>
      <c r="H100" s="12" t="s">
        <v>4700</v>
      </c>
      <c r="I100" s="147" t="str">
        <f>HYPERLINK("[#]Datatypes!B112:L112","AircraftDeIcingFluidTypeCode")</f>
        <v>AircraftDeIcingFluidTypeCode</v>
      </c>
      <c r="J100" s="80"/>
      <c r="K100" s="77"/>
      <c r="L100" s="77"/>
      <c r="M100" s="71" t="str">
        <f>HYPERLINK("[#]DatatypeListedValues!A1107:H1107","&lt;values&gt;")</f>
        <v>&lt;values&gt;</v>
      </c>
      <c r="N100" s="82" t="b">
        <v>0</v>
      </c>
      <c r="O100" s="25">
        <v>117477</v>
      </c>
      <c r="P100" s="304" t="str">
        <f>CONCATENATE([1]Cover!$D$6,"fdd/view?i=",O100)</f>
        <v>https://www.dgiwg.org/FAD/fdd/view?i=117477</v>
      </c>
      <c r="Q100" s="8" t="s">
        <v>5142</v>
      </c>
      <c r="R100" s="38" t="s">
        <v>151</v>
      </c>
    </row>
    <row r="101" spans="1:18" ht="25.5">
      <c r="A101" s="302" t="str">
        <f t="shared" si="1"/>
        <v>aircraftFuelServiceUnitCnt</v>
      </c>
      <c r="B101" s="6" t="s">
        <v>5148</v>
      </c>
      <c r="C101" s="17" t="s">
        <v>5149</v>
      </c>
      <c r="D101" s="10" t="s">
        <v>5150</v>
      </c>
      <c r="E101" s="55"/>
      <c r="F101" s="55"/>
      <c r="G101" s="12" t="s">
        <v>4643</v>
      </c>
      <c r="H101" s="74"/>
      <c r="I101" s="147" t="str">
        <f>HYPERLINK("[#]Datatypes!B366:L366","Count")</f>
        <v>Count</v>
      </c>
      <c r="J101" s="80"/>
      <c r="K101" s="77"/>
      <c r="L101" s="77"/>
      <c r="M101" s="78"/>
      <c r="N101" s="74"/>
      <c r="O101" s="25">
        <v>119620</v>
      </c>
      <c r="P101" s="304" t="str">
        <f>CONCATENATE([1]Cover!$D$6,"fdd/view?i=",O101)</f>
        <v>https://www.dgiwg.org/FAD/fdd/view?i=119620</v>
      </c>
      <c r="Q101" s="8" t="s">
        <v>5147</v>
      </c>
      <c r="R101" s="38" t="s">
        <v>151</v>
      </c>
    </row>
    <row r="102" spans="1:18" ht="25.5">
      <c r="A102" s="302" t="str">
        <f t="shared" si="1"/>
        <v>aircraftFuelServiceUnitType</v>
      </c>
      <c r="B102" s="6" t="s">
        <v>5152</v>
      </c>
      <c r="C102" s="17" t="s">
        <v>5153</v>
      </c>
      <c r="D102" s="10" t="s">
        <v>5154</v>
      </c>
      <c r="E102" s="55"/>
      <c r="F102" s="55"/>
      <c r="G102" s="12" t="s">
        <v>4643</v>
      </c>
      <c r="H102" s="12" t="s">
        <v>4700</v>
      </c>
      <c r="I102" s="147" t="str">
        <f>HYPERLINK("[#]Datatypes!B114:L114","AircraftFuelServiceUnitTypeCode")</f>
        <v>AircraftFuelServiceUnitTypeCode</v>
      </c>
      <c r="J102" s="80"/>
      <c r="K102" s="77"/>
      <c r="L102" s="77"/>
      <c r="M102" s="71" t="str">
        <f>HYPERLINK("[#]DatatypeListedValues!A1114:H1114","&lt;values&gt;")</f>
        <v>&lt;values&gt;</v>
      </c>
      <c r="N102" s="82" t="b">
        <v>0</v>
      </c>
      <c r="O102" s="25">
        <v>119653</v>
      </c>
      <c r="P102" s="304" t="str">
        <f>CONCATENATE([1]Cover!$D$6,"fdd/view?i=",O102)</f>
        <v>https://www.dgiwg.org/FAD/fdd/view?i=119653</v>
      </c>
      <c r="Q102" s="8" t="s">
        <v>5151</v>
      </c>
      <c r="R102" s="38" t="s">
        <v>151</v>
      </c>
    </row>
    <row r="103" spans="1:18" ht="38.25">
      <c r="A103" s="302" t="str">
        <f t="shared" si="1"/>
        <v>aircraftFuelTransferInf</v>
      </c>
      <c r="B103" s="6" t="s">
        <v>5157</v>
      </c>
      <c r="C103" s="17" t="s">
        <v>5158</v>
      </c>
      <c r="D103" s="10" t="s">
        <v>5159</v>
      </c>
      <c r="E103" s="55"/>
      <c r="F103" s="55"/>
      <c r="G103" s="12" t="s">
        <v>4643</v>
      </c>
      <c r="H103" s="12" t="s">
        <v>4700</v>
      </c>
      <c r="I103" s="147" t="str">
        <f>HYPERLINK("[#]Datatypes!B116:L116","AircraftFuelTransferInfCode")</f>
        <v>AircraftFuelTransferInfCode</v>
      </c>
      <c r="J103" s="80"/>
      <c r="K103" s="77"/>
      <c r="L103" s="77"/>
      <c r="M103" s="71" t="str">
        <f>HYPERLINK("[#]DatatypeListedValues!A1117:H1117","&lt;values&gt;")</f>
        <v>&lt;values&gt;</v>
      </c>
      <c r="N103" s="82" t="b">
        <v>0</v>
      </c>
      <c r="O103" s="25">
        <v>119654</v>
      </c>
      <c r="P103" s="304" t="str">
        <f>CONCATENATE([1]Cover!$D$6,"fdd/view?i=",O103)</f>
        <v>https://www.dgiwg.org/FAD/fdd/view?i=119654</v>
      </c>
      <c r="Q103" s="8" t="s">
        <v>5156</v>
      </c>
      <c r="R103" s="38" t="s">
        <v>151</v>
      </c>
    </row>
    <row r="104" spans="1:18" ht="25.5">
      <c r="A104" s="302" t="str">
        <f t="shared" si="1"/>
        <v>aircraftFuellingRate</v>
      </c>
      <c r="B104" s="6" t="s">
        <v>5162</v>
      </c>
      <c r="C104" s="17" t="s">
        <v>5163</v>
      </c>
      <c r="D104" s="10" t="s">
        <v>5164</v>
      </c>
      <c r="E104" s="55"/>
      <c r="F104" s="55"/>
      <c r="G104" s="12" t="s">
        <v>4643</v>
      </c>
      <c r="H104" s="74"/>
      <c r="I104" s="147" t="str">
        <f>HYPERLINK("[#]Datatypes!B958:L958","RealNonNegative")</f>
        <v>RealNonNegative</v>
      </c>
      <c r="J104" s="76" t="str">
        <f>HYPERLINK("[#]PhysicalQuantities!A53:N53","Volume Flow Rate")</f>
        <v>Volume Flow Rate</v>
      </c>
      <c r="K104" s="75" t="str">
        <f>HYPERLINK("[#]UnitsOfMeasure!D291:G291","Litre per Minute")</f>
        <v>Litre per Minute</v>
      </c>
      <c r="L104" s="77"/>
      <c r="M104" s="78"/>
      <c r="N104" s="74"/>
      <c r="O104" s="25">
        <v>119596</v>
      </c>
      <c r="P104" s="304" t="str">
        <f>CONCATENATE([1]Cover!$D$6,"fdd/view?i=",O104)</f>
        <v>https://www.dgiwg.org/FAD/fdd/view?i=119596</v>
      </c>
      <c r="Q104" s="8" t="s">
        <v>5161</v>
      </c>
      <c r="R104" s="38" t="s">
        <v>151</v>
      </c>
    </row>
    <row r="105" spans="1:18" ht="25.5">
      <c r="A105" s="302" t="str">
        <f t="shared" si="1"/>
        <v>aircraftGroundServiceType</v>
      </c>
      <c r="B105" s="6" t="s">
        <v>5167</v>
      </c>
      <c r="C105" s="17" t="s">
        <v>5168</v>
      </c>
      <c r="D105" s="10" t="s">
        <v>5169</v>
      </c>
      <c r="E105" s="55"/>
      <c r="F105" s="55"/>
      <c r="G105" s="12" t="s">
        <v>4643</v>
      </c>
      <c r="H105" s="12" t="s">
        <v>4700</v>
      </c>
      <c r="I105" s="147" t="str">
        <f>HYPERLINK("[#]Datatypes!B118:L118","AircraftGroundServiceTypeCode")</f>
        <v>AircraftGroundServiceTypeCode</v>
      </c>
      <c r="J105" s="80"/>
      <c r="K105" s="77"/>
      <c r="L105" s="77"/>
      <c r="M105" s="71" t="str">
        <f>HYPERLINK("[#]DatatypeListedValues!A1120:H1120","&lt;values&gt;")</f>
        <v>&lt;values&gt;</v>
      </c>
      <c r="N105" s="82" t="b">
        <v>0</v>
      </c>
      <c r="O105" s="25">
        <v>117489</v>
      </c>
      <c r="P105" s="304" t="str">
        <f>CONCATENATE([1]Cover!$D$6,"fdd/view?i=",O105)</f>
        <v>https://www.dgiwg.org/FAD/fdd/view?i=117489</v>
      </c>
      <c r="Q105" s="8" t="s">
        <v>5166</v>
      </c>
      <c r="R105" s="38" t="s">
        <v>151</v>
      </c>
    </row>
    <row r="106" spans="1:18" ht="25.5">
      <c r="A106" s="302" t="str">
        <f t="shared" si="1"/>
        <v>aircraftMaxDemoLcnSpan</v>
      </c>
      <c r="B106" s="6" t="s">
        <v>5172</v>
      </c>
      <c r="C106" s="17" t="s">
        <v>5173</v>
      </c>
      <c r="D106" s="10" t="s">
        <v>5174</v>
      </c>
      <c r="E106" s="10" t="s">
        <v>5175</v>
      </c>
      <c r="F106" s="55"/>
      <c r="G106" s="12" t="s">
        <v>4643</v>
      </c>
      <c r="H106" s="74"/>
      <c r="I106" s="147" t="str">
        <f>HYPERLINK("[#]Datatypes!B1418:L1418","TextNonLex10")</f>
        <v>TextNonLex10</v>
      </c>
      <c r="J106" s="80"/>
      <c r="K106" s="77"/>
      <c r="L106" s="77"/>
      <c r="M106" s="78"/>
      <c r="N106" s="74"/>
      <c r="O106" s="25">
        <v>119195</v>
      </c>
      <c r="P106" s="304" t="str">
        <f>CONCATENATE([1]Cover!$D$6,"fdd/view?i=",O106)</f>
        <v>https://www.dgiwg.org/FAD/fdd/view?i=119195</v>
      </c>
      <c r="Q106" s="8" t="s">
        <v>5171</v>
      </c>
      <c r="R106" s="38" t="s">
        <v>151</v>
      </c>
    </row>
    <row r="107" spans="1:18" ht="25.5">
      <c r="A107" s="302" t="str">
        <f t="shared" si="1"/>
        <v>aircraftMaxDemoSpan</v>
      </c>
      <c r="B107" s="6" t="s">
        <v>5178</v>
      </c>
      <c r="C107" s="17" t="s">
        <v>5179</v>
      </c>
      <c r="D107" s="10" t="s">
        <v>5180</v>
      </c>
      <c r="E107" s="10" t="s">
        <v>5181</v>
      </c>
      <c r="F107" s="55"/>
      <c r="G107" s="12" t="s">
        <v>4643</v>
      </c>
      <c r="H107" s="74"/>
      <c r="I107" s="147" t="str">
        <f>HYPERLINK("[#]Datatypes!B1418:L1418","TextNonLex10")</f>
        <v>TextNonLex10</v>
      </c>
      <c r="J107" s="80"/>
      <c r="K107" s="77"/>
      <c r="L107" s="77"/>
      <c r="M107" s="78"/>
      <c r="N107" s="74"/>
      <c r="O107" s="25">
        <v>207666</v>
      </c>
      <c r="P107" s="304" t="str">
        <f>CONCATENATE([1]Cover!$D$6,"fdd/view?i=",O107)</f>
        <v>https://www.dgiwg.org/FAD/fdd/view?i=207666</v>
      </c>
      <c r="Q107" s="8" t="s">
        <v>5177</v>
      </c>
      <c r="R107" s="38" t="s">
        <v>1295</v>
      </c>
    </row>
    <row r="108" spans="1:18">
      <c r="A108" s="302" t="str">
        <f t="shared" si="1"/>
        <v>aircraftSpeedReference</v>
      </c>
      <c r="B108" s="6" t="s">
        <v>5183</v>
      </c>
      <c r="C108" s="17" t="s">
        <v>5184</v>
      </c>
      <c r="D108" s="10" t="s">
        <v>5185</v>
      </c>
      <c r="E108" s="55"/>
      <c r="F108" s="55"/>
      <c r="G108" s="12" t="s">
        <v>4643</v>
      </c>
      <c r="H108" s="74"/>
      <c r="I108" s="147" t="str">
        <f>HYPERLINK("[#]Datatypes!B120:L120","AircraftSpeedReferenceCode")</f>
        <v>AircraftSpeedReferenceCode</v>
      </c>
      <c r="J108" s="80"/>
      <c r="K108" s="77"/>
      <c r="L108" s="77"/>
      <c r="M108" s="71" t="str">
        <f>HYPERLINK("[#]DatatypeListedValues!A1128:H1128","&lt;values&gt;")</f>
        <v>&lt;values&gt;</v>
      </c>
      <c r="N108" s="82" t="b">
        <v>0</v>
      </c>
      <c r="O108" s="25">
        <v>117516</v>
      </c>
      <c r="P108" s="304" t="str">
        <f>CONCATENATE([1]Cover!$D$6,"fdd/view?i=",O108)</f>
        <v>https://www.dgiwg.org/FAD/fdd/view?i=117516</v>
      </c>
      <c r="Q108" s="8" t="s">
        <v>5182</v>
      </c>
      <c r="R108" s="38" t="s">
        <v>151</v>
      </c>
    </row>
    <row r="109" spans="1:18" ht="25.5">
      <c r="A109" s="302" t="str">
        <f t="shared" si="1"/>
        <v>aircraftStandDesignator</v>
      </c>
      <c r="B109" s="6" t="s">
        <v>5188</v>
      </c>
      <c r="C109" s="17" t="s">
        <v>5189</v>
      </c>
      <c r="D109" s="10" t="s">
        <v>5190</v>
      </c>
      <c r="E109" s="10" t="s">
        <v>5191</v>
      </c>
      <c r="F109" s="55"/>
      <c r="G109" s="12" t="s">
        <v>4643</v>
      </c>
      <c r="H109" s="74"/>
      <c r="I109" s="147" t="str">
        <f>HYPERLINK("[#]Datatypes!B1442:L1442","TextNonLexUnconstrained")</f>
        <v>TextNonLexUnconstrained</v>
      </c>
      <c r="J109" s="80"/>
      <c r="K109" s="77"/>
      <c r="L109" s="77"/>
      <c r="M109" s="78"/>
      <c r="N109" s="74"/>
      <c r="O109" s="25">
        <v>117512</v>
      </c>
      <c r="P109" s="304" t="str">
        <f>CONCATENATE([1]Cover!$D$6,"fdd/view?i=",O109)</f>
        <v>https://www.dgiwg.org/FAD/fdd/view?i=117512</v>
      </c>
      <c r="Q109" s="8" t="s">
        <v>5187</v>
      </c>
      <c r="R109" s="38" t="s">
        <v>151</v>
      </c>
    </row>
    <row r="110" spans="1:18" ht="25.5">
      <c r="A110" s="302" t="str">
        <f t="shared" si="1"/>
        <v>aircraftStandType</v>
      </c>
      <c r="B110" s="6" t="s">
        <v>5193</v>
      </c>
      <c r="C110" s="17" t="s">
        <v>5194</v>
      </c>
      <c r="D110" s="10" t="s">
        <v>5195</v>
      </c>
      <c r="E110" s="10" t="s">
        <v>5196</v>
      </c>
      <c r="F110" s="55"/>
      <c r="G110" s="12" t="s">
        <v>4643</v>
      </c>
      <c r="H110" s="74"/>
      <c r="I110" s="147" t="str">
        <f>HYPERLINK("[#]Datatypes!B122:L122","AircraftStandTypeCode")</f>
        <v>AircraftStandTypeCode</v>
      </c>
      <c r="J110" s="80"/>
      <c r="K110" s="77"/>
      <c r="L110" s="77"/>
      <c r="M110" s="71" t="str">
        <f>HYPERLINK("[#]DatatypeListedValues!A1133:H1133","&lt;values&gt;")</f>
        <v>&lt;values&gt;</v>
      </c>
      <c r="N110" s="82" t="b">
        <v>0</v>
      </c>
      <c r="O110" s="25">
        <v>117703</v>
      </c>
      <c r="P110" s="304" t="str">
        <f>CONCATENATE([1]Cover!$D$6,"fdd/view?i=",O110)</f>
        <v>https://www.dgiwg.org/FAD/fdd/view?i=117703</v>
      </c>
      <c r="Q110" s="8" t="s">
        <v>5192</v>
      </c>
      <c r="R110" s="38" t="s">
        <v>151</v>
      </c>
    </row>
    <row r="111" spans="1:18">
      <c r="A111" s="302" t="str">
        <f t="shared" si="1"/>
        <v>airfieldSymbolType</v>
      </c>
      <c r="B111" s="6" t="s">
        <v>5199</v>
      </c>
      <c r="C111" s="17" t="s">
        <v>5200</v>
      </c>
      <c r="D111" s="10" t="s">
        <v>5201</v>
      </c>
      <c r="E111" s="55"/>
      <c r="F111" s="55"/>
      <c r="G111" s="12" t="s">
        <v>4643</v>
      </c>
      <c r="H111" s="74"/>
      <c r="I111" s="147" t="str">
        <f>HYPERLINK("[#]Datatypes!B124:L124","AirfieldSymbolTypeCode")</f>
        <v>AirfieldSymbolTypeCode</v>
      </c>
      <c r="J111" s="80"/>
      <c r="K111" s="77"/>
      <c r="L111" s="77"/>
      <c r="M111" s="71" t="str">
        <f>HYPERLINK("[#]DatatypeListedValues!A1139:H1139","&lt;values&gt;")</f>
        <v>&lt;values&gt;</v>
      </c>
      <c r="N111" s="12" t="b">
        <v>1</v>
      </c>
      <c r="O111" s="25">
        <v>200282</v>
      </c>
      <c r="P111" s="304" t="str">
        <f>CONCATENATE([1]Cover!$D$6,"fdd/view?i=",O111)</f>
        <v>https://www.dgiwg.org/FAD/fdd/view?i=200282</v>
      </c>
      <c r="Q111" s="8" t="s">
        <v>5198</v>
      </c>
      <c r="R111" s="38" t="s">
        <v>1295</v>
      </c>
    </row>
    <row r="112" spans="1:18">
      <c r="A112" s="302" t="str">
        <f t="shared" si="1"/>
        <v>airfieldType</v>
      </c>
      <c r="B112" s="6" t="s">
        <v>5204</v>
      </c>
      <c r="C112" s="17" t="s">
        <v>5205</v>
      </c>
      <c r="D112" s="10" t="s">
        <v>5206</v>
      </c>
      <c r="E112" s="55"/>
      <c r="F112" s="55"/>
      <c r="G112" s="12" t="s">
        <v>4643</v>
      </c>
      <c r="H112" s="74"/>
      <c r="I112" s="147" t="str">
        <f>HYPERLINK("[#]Datatypes!B126:L126","AirfieldTypeCode")</f>
        <v>AirfieldTypeCode</v>
      </c>
      <c r="J112" s="80"/>
      <c r="K112" s="77"/>
      <c r="L112" s="77"/>
      <c r="M112" s="71" t="str">
        <f>HYPERLINK("[#]DatatypeListedValues!A1152:H1152","&lt;values&gt;")</f>
        <v>&lt;values&gt;</v>
      </c>
      <c r="N112" s="82" t="b">
        <v>0</v>
      </c>
      <c r="O112" s="25">
        <v>100897</v>
      </c>
      <c r="P112" s="304" t="str">
        <f>CONCATENATE([1]Cover!$D$6,"fdd/view?i=",O112)</f>
        <v>https://www.dgiwg.org/FAD/fdd/view?i=100897</v>
      </c>
      <c r="Q112" s="8" t="s">
        <v>5203</v>
      </c>
      <c r="R112" s="38" t="s">
        <v>151</v>
      </c>
    </row>
    <row r="113" spans="1:18">
      <c r="A113" s="302" t="str">
        <f t="shared" si="1"/>
        <v>airfieldUse</v>
      </c>
      <c r="B113" s="6" t="s">
        <v>5209</v>
      </c>
      <c r="C113" s="17" t="s">
        <v>5210</v>
      </c>
      <c r="D113" s="10" t="s">
        <v>5211</v>
      </c>
      <c r="E113" s="55"/>
      <c r="F113" s="55"/>
      <c r="G113" s="12" t="s">
        <v>4643</v>
      </c>
      <c r="H113" s="12" t="s">
        <v>4700</v>
      </c>
      <c r="I113" s="147" t="str">
        <f>HYPERLINK("[#]Datatypes!B128:L128","AirfieldUseCode")</f>
        <v>AirfieldUseCode</v>
      </c>
      <c r="J113" s="80"/>
      <c r="K113" s="77"/>
      <c r="L113" s="77"/>
      <c r="M113" s="71" t="str">
        <f>HYPERLINK("[#]DatatypeListedValues!A1156:H1156","&lt;values&gt;")</f>
        <v>&lt;values&gt;</v>
      </c>
      <c r="N113" s="12" t="b">
        <v>1</v>
      </c>
      <c r="O113" s="25">
        <v>100618</v>
      </c>
      <c r="P113" s="304" t="str">
        <f>CONCATENATE([1]Cover!$D$6,"fdd/view?i=",O113)</f>
        <v>https://www.dgiwg.org/FAD/fdd/view?i=100618</v>
      </c>
      <c r="Q113" s="8" t="s">
        <v>5208</v>
      </c>
      <c r="R113" s="38" t="s">
        <v>151</v>
      </c>
    </row>
    <row r="114" spans="1:18" ht="25.5">
      <c r="A114" s="302" t="str">
        <f t="shared" si="1"/>
        <v>airportCommunicationClass</v>
      </c>
      <c r="B114" s="6" t="s">
        <v>5214</v>
      </c>
      <c r="C114" s="17" t="s">
        <v>5215</v>
      </c>
      <c r="D114" s="10" t="s">
        <v>5216</v>
      </c>
      <c r="E114" s="55"/>
      <c r="F114" s="55"/>
      <c r="G114" s="12" t="s">
        <v>4643</v>
      </c>
      <c r="H114" s="74"/>
      <c r="I114" s="147" t="str">
        <f>HYPERLINK("[#]Datatypes!B130:L130","AirportCommunicationClassCode")</f>
        <v>AirportCommunicationClassCode</v>
      </c>
      <c r="J114" s="80"/>
      <c r="K114" s="77"/>
      <c r="L114" s="77"/>
      <c r="M114" s="71" t="str">
        <f>HYPERLINK("[#]DatatypeListedValues!A1166:H1166","&lt;values&gt;")</f>
        <v>&lt;values&gt;</v>
      </c>
      <c r="N114" s="12" t="b">
        <v>1</v>
      </c>
      <c r="O114" s="25">
        <v>200423</v>
      </c>
      <c r="P114" s="304" t="str">
        <f>CONCATENATE([1]Cover!$D$6,"fdd/view?i=",O114)</f>
        <v>https://www.dgiwg.org/FAD/fdd/view?i=200423</v>
      </c>
      <c r="Q114" s="8" t="s">
        <v>5213</v>
      </c>
      <c r="R114" s="38" t="s">
        <v>1295</v>
      </c>
    </row>
    <row r="115" spans="1:18" ht="25.5">
      <c r="A115" s="302" t="str">
        <f t="shared" si="1"/>
        <v>airspaceActivity</v>
      </c>
      <c r="B115" s="6" t="s">
        <v>5219</v>
      </c>
      <c r="C115" s="17" t="s">
        <v>5220</v>
      </c>
      <c r="D115" s="10" t="s">
        <v>5221</v>
      </c>
      <c r="E115" s="10" t="s">
        <v>5222</v>
      </c>
      <c r="F115" s="10" t="s">
        <v>5223</v>
      </c>
      <c r="G115" s="12" t="s">
        <v>4643</v>
      </c>
      <c r="H115" s="12" t="s">
        <v>4700</v>
      </c>
      <c r="I115" s="147" t="str">
        <f>HYPERLINK("[#]Datatypes!B132:L132","AirspaceActivityCode")</f>
        <v>AirspaceActivityCode</v>
      </c>
      <c r="J115" s="80"/>
      <c r="K115" s="77"/>
      <c r="L115" s="77"/>
      <c r="M115" s="71" t="str">
        <f>HYPERLINK("[#]DatatypeListedValues!A1169:H1169","&lt;values&gt;")</f>
        <v>&lt;values&gt;</v>
      </c>
      <c r="N115" s="82" t="b">
        <v>0</v>
      </c>
      <c r="O115" s="25">
        <v>117458</v>
      </c>
      <c r="P115" s="304" t="str">
        <f>CONCATENATE([1]Cover!$D$6,"fdd/view?i=",O115)</f>
        <v>https://www.dgiwg.org/FAD/fdd/view?i=117458</v>
      </c>
      <c r="Q115" s="8" t="s">
        <v>5218</v>
      </c>
      <c r="R115" s="38" t="s">
        <v>151</v>
      </c>
    </row>
    <row r="116" spans="1:18" ht="25.5">
      <c r="A116" s="302" t="str">
        <f t="shared" si="1"/>
        <v>airspaceClass</v>
      </c>
      <c r="B116" s="6" t="s">
        <v>5226</v>
      </c>
      <c r="C116" s="17" t="s">
        <v>5227</v>
      </c>
      <c r="D116" s="10" t="s">
        <v>5228</v>
      </c>
      <c r="E116" s="55"/>
      <c r="F116" s="55"/>
      <c r="G116" s="12" t="s">
        <v>4643</v>
      </c>
      <c r="H116" s="74"/>
      <c r="I116" s="147" t="str">
        <f>HYPERLINK("[#]Datatypes!B134:L134","AirspaceClassCode")</f>
        <v>AirspaceClassCode</v>
      </c>
      <c r="J116" s="80"/>
      <c r="K116" s="77"/>
      <c r="L116" s="77"/>
      <c r="M116" s="71" t="str">
        <f>HYPERLINK("[#]DatatypeListedValues!A1227:H1227","&lt;values&gt;")</f>
        <v>&lt;values&gt;</v>
      </c>
      <c r="N116" s="82" t="b">
        <v>0</v>
      </c>
      <c r="O116" s="25">
        <v>117473</v>
      </c>
      <c r="P116" s="304" t="str">
        <f>CONCATENATE([1]Cover!$D$6,"fdd/view?i=",O116)</f>
        <v>https://www.dgiwg.org/FAD/fdd/view?i=117473</v>
      </c>
      <c r="Q116" s="8" t="s">
        <v>5225</v>
      </c>
      <c r="R116" s="38" t="s">
        <v>151</v>
      </c>
    </row>
    <row r="117" spans="1:18" ht="25.5">
      <c r="A117" s="302" t="str">
        <f t="shared" si="1"/>
        <v>airspaceControl</v>
      </c>
      <c r="B117" s="6" t="s">
        <v>5231</v>
      </c>
      <c r="C117" s="17" t="s">
        <v>5232</v>
      </c>
      <c r="D117" s="10" t="s">
        <v>5233</v>
      </c>
      <c r="E117" s="10" t="s">
        <v>5234</v>
      </c>
      <c r="F117" s="55"/>
      <c r="G117" s="12" t="s">
        <v>4643</v>
      </c>
      <c r="H117" s="74"/>
      <c r="I117" s="147" t="str">
        <f>HYPERLINK("[#]Datatypes!B136:L136","AirspaceControlCode")</f>
        <v>AirspaceControlCode</v>
      </c>
      <c r="J117" s="80"/>
      <c r="K117" s="77"/>
      <c r="L117" s="77"/>
      <c r="M117" s="71" t="str">
        <f>HYPERLINK("[#]DatatypeListedValues!A1234:H1234","&lt;values&gt;")</f>
        <v>&lt;values&gt;</v>
      </c>
      <c r="N117" s="82" t="b">
        <v>0</v>
      </c>
      <c r="O117" s="25">
        <v>117471</v>
      </c>
      <c r="P117" s="304" t="str">
        <f>CONCATENATE([1]Cover!$D$6,"fdd/view?i=",O117)</f>
        <v>https://www.dgiwg.org/FAD/fdd/view?i=117471</v>
      </c>
      <c r="Q117" s="8" t="s">
        <v>5230</v>
      </c>
      <c r="R117" s="38" t="s">
        <v>151</v>
      </c>
    </row>
    <row r="118" spans="1:18" ht="25.5">
      <c r="A118" s="302" t="str">
        <f t="shared" si="1"/>
        <v>airspaceIdentifier</v>
      </c>
      <c r="B118" s="6" t="s">
        <v>5237</v>
      </c>
      <c r="C118" s="17" t="s">
        <v>5238</v>
      </c>
      <c r="D118" s="10" t="s">
        <v>5239</v>
      </c>
      <c r="E118" s="10" t="s">
        <v>5240</v>
      </c>
      <c r="F118" s="55"/>
      <c r="G118" s="12" t="s">
        <v>4643</v>
      </c>
      <c r="H118" s="74"/>
      <c r="I118" s="147" t="str">
        <f>HYPERLINK("[#]Datatypes!B1442:L1442","TextNonLexUnconstrained")</f>
        <v>TextNonLexUnconstrained</v>
      </c>
      <c r="J118" s="80"/>
      <c r="K118" s="77"/>
      <c r="L118" s="77"/>
      <c r="M118" s="78"/>
      <c r="N118" s="74"/>
      <c r="O118" s="25">
        <v>117492</v>
      </c>
      <c r="P118" s="304" t="str">
        <f>CONCATENATE([1]Cover!$D$6,"fdd/view?i=",O118)</f>
        <v>https://www.dgiwg.org/FAD/fdd/view?i=117492</v>
      </c>
      <c r="Q118" s="8" t="s">
        <v>5236</v>
      </c>
      <c r="R118" s="38" t="s">
        <v>151</v>
      </c>
    </row>
    <row r="119" spans="1:18" ht="25.5">
      <c r="A119" s="302" t="str">
        <f t="shared" si="1"/>
        <v>airspaceName</v>
      </c>
      <c r="B119" s="6" t="s">
        <v>5242</v>
      </c>
      <c r="C119" s="17" t="s">
        <v>5243</v>
      </c>
      <c r="D119" s="10" t="s">
        <v>5244</v>
      </c>
      <c r="E119" s="10" t="s">
        <v>5245</v>
      </c>
      <c r="F119" s="55"/>
      <c r="G119" s="12" t="s">
        <v>4643</v>
      </c>
      <c r="H119" s="74"/>
      <c r="I119" s="147" t="str">
        <f>HYPERLINK("[#]Datatypes!B1442:L1442","TextNonLexUnconstrained")</f>
        <v>TextNonLexUnconstrained</v>
      </c>
      <c r="J119" s="80"/>
      <c r="K119" s="77"/>
      <c r="L119" s="77"/>
      <c r="M119" s="78"/>
      <c r="N119" s="74"/>
      <c r="O119" s="25">
        <v>117643</v>
      </c>
      <c r="P119" s="304" t="str">
        <f>CONCATENATE([1]Cover!$D$6,"fdd/view?i=",O119)</f>
        <v>https://www.dgiwg.org/FAD/fdd/view?i=117643</v>
      </c>
      <c r="Q119" s="8" t="s">
        <v>5241</v>
      </c>
      <c r="R119" s="38" t="s">
        <v>151</v>
      </c>
    </row>
    <row r="120" spans="1:18" ht="25.5">
      <c r="A120" s="302" t="str">
        <f t="shared" si="1"/>
        <v>airspaceType</v>
      </c>
      <c r="B120" s="6" t="s">
        <v>5247</v>
      </c>
      <c r="C120" s="17" t="s">
        <v>5248</v>
      </c>
      <c r="D120" s="10" t="s">
        <v>5249</v>
      </c>
      <c r="E120" s="55"/>
      <c r="F120" s="55"/>
      <c r="G120" s="12" t="s">
        <v>4643</v>
      </c>
      <c r="H120" s="74"/>
      <c r="I120" s="147" t="str">
        <f>HYPERLINK("[#]Datatypes!B138:L138","AirspaceTypeCode")</f>
        <v>AirspaceTypeCode</v>
      </c>
      <c r="J120" s="80"/>
      <c r="K120" s="77"/>
      <c r="L120" s="77"/>
      <c r="M120" s="71" t="str">
        <f>HYPERLINK("[#]DatatypeListedValues!A1237:H1237","&lt;values&gt;")</f>
        <v>&lt;values&gt;</v>
      </c>
      <c r="N120" s="82" t="b">
        <v>0</v>
      </c>
      <c r="O120" s="25">
        <v>117525</v>
      </c>
      <c r="P120" s="304" t="str">
        <f>CONCATENATE([1]Cover!$D$6,"fdd/view?i=",O120)</f>
        <v>https://www.dgiwg.org/FAD/fdd/view?i=117525</v>
      </c>
      <c r="Q120" s="8" t="s">
        <v>5246</v>
      </c>
      <c r="R120" s="38" t="s">
        <v>151</v>
      </c>
    </row>
    <row r="121" spans="1:18" ht="38.25">
      <c r="A121" s="302" t="str">
        <f t="shared" si="1"/>
        <v>allUpWheelWeight</v>
      </c>
      <c r="B121" s="6" t="s">
        <v>5252</v>
      </c>
      <c r="C121" s="17" t="s">
        <v>5253</v>
      </c>
      <c r="D121" s="10" t="s">
        <v>5254</v>
      </c>
      <c r="E121" s="55"/>
      <c r="F121" s="10" t="s">
        <v>5251</v>
      </c>
      <c r="G121" s="12" t="s">
        <v>4643</v>
      </c>
      <c r="H121" s="74"/>
      <c r="I121" s="147" t="str">
        <f>HYPERLINK("[#]Datatypes!B1097:L1097","Real")</f>
        <v>Real</v>
      </c>
      <c r="J121" s="76" t="str">
        <f>HYPERLINK("[#]PhysicalQuantities!A28:N28","Mass")</f>
        <v>Mass</v>
      </c>
      <c r="K121" s="75" t="str">
        <f>HYPERLINK("[#]UnitsOfMeasure!D127:G127","Kilogram")</f>
        <v>Kilogram</v>
      </c>
      <c r="L121" s="77"/>
      <c r="M121" s="78"/>
      <c r="N121" s="74"/>
      <c r="O121" s="25">
        <v>117528</v>
      </c>
      <c r="P121" s="304" t="str">
        <f>CONCATENATE([1]Cover!$D$6,"fdd/view?i=",O121)</f>
        <v>https://www.dgiwg.org/FAD/fdd/view?i=117528</v>
      </c>
      <c r="Q121" s="8" t="s">
        <v>5251</v>
      </c>
      <c r="R121" s="38" t="s">
        <v>151</v>
      </c>
    </row>
    <row r="122" spans="1:18">
      <c r="A122" s="302" t="str">
        <f t="shared" si="1"/>
        <v>allowedAircraftOnRoute</v>
      </c>
      <c r="B122" s="6" t="s">
        <v>5256</v>
      </c>
      <c r="C122" s="17" t="s">
        <v>5257</v>
      </c>
      <c r="D122" s="10" t="s">
        <v>5258</v>
      </c>
      <c r="E122" s="10" t="s">
        <v>5259</v>
      </c>
      <c r="F122" s="55"/>
      <c r="G122" s="12" t="s">
        <v>4643</v>
      </c>
      <c r="H122" s="12" t="s">
        <v>4837</v>
      </c>
      <c r="I122" s="147" t="str">
        <f>HYPERLINK("[#]Datatypes!B140:L140","AllowedAircraftOnRouteCode")</f>
        <v>AllowedAircraftOnRouteCode</v>
      </c>
      <c r="J122" s="80"/>
      <c r="K122" s="77"/>
      <c r="L122" s="77"/>
      <c r="M122" s="71" t="str">
        <f>HYPERLINK("[#]DatatypeListedValues!A1274:H1274","&lt;values&gt;")</f>
        <v>&lt;values&gt;</v>
      </c>
      <c r="N122" s="82" t="b">
        <v>0</v>
      </c>
      <c r="O122" s="25">
        <v>117461</v>
      </c>
      <c r="P122" s="304" t="str">
        <f>CONCATENATE([1]Cover!$D$6,"fdd/view?i=",O122)</f>
        <v>https://www.dgiwg.org/FAD/fdd/view?i=117461</v>
      </c>
      <c r="Q122" s="8" t="s">
        <v>5255</v>
      </c>
      <c r="R122" s="38" t="s">
        <v>151</v>
      </c>
    </row>
    <row r="123" spans="1:18" ht="38.25">
      <c r="A123" s="302" t="str">
        <f t="shared" si="1"/>
        <v>altAircraftDestinationUse</v>
      </c>
      <c r="B123" s="6" t="s">
        <v>5262</v>
      </c>
      <c r="C123" s="17" t="s">
        <v>5263</v>
      </c>
      <c r="D123" s="10" t="s">
        <v>5264</v>
      </c>
      <c r="E123" s="55"/>
      <c r="F123" s="55"/>
      <c r="G123" s="12" t="s">
        <v>4643</v>
      </c>
      <c r="H123" s="74"/>
      <c r="I123" s="147" t="str">
        <f>HYPERLINK("[#]Datatypes!B230:L230","Boolean")</f>
        <v>Boolean</v>
      </c>
      <c r="J123" s="80"/>
      <c r="K123" s="77"/>
      <c r="L123" s="77"/>
      <c r="M123" s="78"/>
      <c r="N123" s="74"/>
      <c r="O123" s="25">
        <v>119593</v>
      </c>
      <c r="P123" s="304" t="str">
        <f>CONCATENATE([1]Cover!$D$6,"fdd/view?i=",O123)</f>
        <v>https://www.dgiwg.org/FAD/fdd/view?i=119593</v>
      </c>
      <c r="Q123" s="8" t="s">
        <v>5261</v>
      </c>
      <c r="R123" s="38" t="s">
        <v>151</v>
      </c>
    </row>
    <row r="124" spans="1:18" ht="25.5">
      <c r="A124" s="302" t="str">
        <f t="shared" si="1"/>
        <v>altitudeDescription</v>
      </c>
      <c r="B124" s="6" t="s">
        <v>5266</v>
      </c>
      <c r="C124" s="17" t="s">
        <v>5267</v>
      </c>
      <c r="D124" s="10" t="s">
        <v>5268</v>
      </c>
      <c r="E124" s="55"/>
      <c r="F124" s="10" t="s">
        <v>5269</v>
      </c>
      <c r="G124" s="12" t="s">
        <v>4643</v>
      </c>
      <c r="H124" s="74"/>
      <c r="I124" s="147" t="str">
        <f>HYPERLINK("[#]Datatypes!B142:L142","AltitudeDescriptionCode")</f>
        <v>AltitudeDescriptionCode</v>
      </c>
      <c r="J124" s="80"/>
      <c r="K124" s="77"/>
      <c r="L124" s="77"/>
      <c r="M124" s="71" t="str">
        <f>HYPERLINK("[#]DatatypeListedValues!A1280:H1280","&lt;values&gt;")</f>
        <v>&lt;values&gt;</v>
      </c>
      <c r="N124" s="82" t="b">
        <v>0</v>
      </c>
      <c r="O124" s="25">
        <v>117494</v>
      </c>
      <c r="P124" s="304" t="str">
        <f>CONCATENATE([1]Cover!$D$6,"fdd/view?i=",O124)</f>
        <v>https://www.dgiwg.org/FAD/fdd/view?i=117494</v>
      </c>
      <c r="Q124" s="8" t="s">
        <v>5265</v>
      </c>
      <c r="R124" s="38" t="s">
        <v>151</v>
      </c>
    </row>
    <row r="125" spans="1:18" ht="25.5">
      <c r="A125" s="302" t="str">
        <f t="shared" si="1"/>
        <v>amusementAttractionType</v>
      </c>
      <c r="B125" s="6" t="s">
        <v>5272</v>
      </c>
      <c r="C125" s="17" t="s">
        <v>5273</v>
      </c>
      <c r="D125" s="10" t="s">
        <v>5274</v>
      </c>
      <c r="E125" s="55"/>
      <c r="F125" s="55"/>
      <c r="G125" s="12" t="s">
        <v>4643</v>
      </c>
      <c r="H125" s="74"/>
      <c r="I125" s="147" t="str">
        <f>HYPERLINK("[#]Datatypes!B144:L144","AmusementAttractionTypeCode")</f>
        <v>AmusementAttractionTypeCode</v>
      </c>
      <c r="J125" s="80"/>
      <c r="K125" s="77"/>
      <c r="L125" s="77"/>
      <c r="M125" s="71" t="str">
        <f>HYPERLINK("[#]DatatypeListedValues!A1287:H1287","&lt;values&gt;")</f>
        <v>&lt;values&gt;</v>
      </c>
      <c r="N125" s="82" t="b">
        <v>0</v>
      </c>
      <c r="O125" s="25">
        <v>103063</v>
      </c>
      <c r="P125" s="304" t="str">
        <f>CONCATENATE([1]Cover!$D$6,"fdd/view?i=",O125)</f>
        <v>https://www.dgiwg.org/FAD/fdd/view?i=103063</v>
      </c>
      <c r="Q125" s="8" t="s">
        <v>5271</v>
      </c>
      <c r="R125" s="38" t="s">
        <v>151</v>
      </c>
    </row>
    <row r="126" spans="1:18" ht="25.5">
      <c r="A126" s="302" t="str">
        <f t="shared" si="1"/>
        <v>anchorageType</v>
      </c>
      <c r="B126" s="6" t="s">
        <v>5277</v>
      </c>
      <c r="C126" s="17" t="s">
        <v>5278</v>
      </c>
      <c r="D126" s="10" t="s">
        <v>5279</v>
      </c>
      <c r="E126" s="55"/>
      <c r="F126" s="55"/>
      <c r="G126" s="12" t="s">
        <v>4643</v>
      </c>
      <c r="H126" s="12" t="s">
        <v>4700</v>
      </c>
      <c r="I126" s="147" t="str">
        <f>HYPERLINK("[#]Datatypes!B146:L146","AnchorageTypeCode")</f>
        <v>AnchorageTypeCode</v>
      </c>
      <c r="J126" s="80"/>
      <c r="K126" s="77"/>
      <c r="L126" s="77"/>
      <c r="M126" s="71" t="str">
        <f>HYPERLINK("[#]DatatypeListedValues!A1293:H1293","&lt;values&gt;")</f>
        <v>&lt;values&gt;</v>
      </c>
      <c r="N126" s="82" t="b">
        <v>0</v>
      </c>
      <c r="O126" s="25">
        <v>111110</v>
      </c>
      <c r="P126" s="304" t="str">
        <f>CONCATENATE([1]Cover!$D$6,"fdd/view?i=",O126)</f>
        <v>https://www.dgiwg.org/FAD/fdd/view?i=111110</v>
      </c>
      <c r="Q126" s="8" t="s">
        <v>5276</v>
      </c>
      <c r="R126" s="38" t="s">
        <v>151</v>
      </c>
    </row>
    <row r="127" spans="1:18" ht="25.5">
      <c r="A127" s="302" t="str">
        <f t="shared" si="1"/>
        <v>angleInitialLimit</v>
      </c>
      <c r="B127" s="6" t="s">
        <v>5282</v>
      </c>
      <c r="C127" s="17" t="s">
        <v>5283</v>
      </c>
      <c r="D127" s="10" t="s">
        <v>5284</v>
      </c>
      <c r="E127" s="10" t="s">
        <v>5285</v>
      </c>
      <c r="F127" s="55"/>
      <c r="G127" s="12" t="s">
        <v>4643</v>
      </c>
      <c r="H127" s="74"/>
      <c r="I127" s="147" t="str">
        <f>HYPERLINK("[#]Datatypes!B1126:L1126","RealNonNeg359r9")</f>
        <v>RealNonNeg359r9</v>
      </c>
      <c r="J127" s="76" t="str">
        <f>HYPERLINK("[#]PhysicalQuantities!A34:N34","Plane Angle")</f>
        <v>Plane Angle</v>
      </c>
      <c r="K127" s="75" t="str">
        <f>HYPERLINK("[#]UnitsOfMeasure!D159:G159","Arc Degree")</f>
        <v>Arc Degree</v>
      </c>
      <c r="L127" s="77"/>
      <c r="M127" s="78"/>
      <c r="N127" s="74"/>
      <c r="O127" s="25">
        <v>206972</v>
      </c>
      <c r="P127" s="304" t="str">
        <f>CONCATENATE([1]Cover!$D$6,"fdd/view?i=",O127)</f>
        <v>https://www.dgiwg.org/FAD/fdd/view?i=206972</v>
      </c>
      <c r="Q127" s="8" t="s">
        <v>5281</v>
      </c>
      <c r="R127" s="38" t="s">
        <v>1295</v>
      </c>
    </row>
    <row r="128" spans="1:18" ht="25.5">
      <c r="A128" s="302" t="str">
        <f t="shared" si="1"/>
        <v>angleOfOrientation</v>
      </c>
      <c r="B128" s="6" t="s">
        <v>5288</v>
      </c>
      <c r="C128" s="17" t="s">
        <v>5289</v>
      </c>
      <c r="D128" s="10" t="s">
        <v>5290</v>
      </c>
      <c r="E128" s="10" t="s">
        <v>5291</v>
      </c>
      <c r="F128" s="55"/>
      <c r="G128" s="12" t="s">
        <v>4643</v>
      </c>
      <c r="H128" s="74"/>
      <c r="I128" s="147" t="str">
        <f>HYPERLINK("[#]Datatypes!B1097:L1097","Real")</f>
        <v>Real</v>
      </c>
      <c r="J128" s="76" t="str">
        <f>HYPERLINK("[#]PhysicalQuantities!A34:N34","Plane Angle")</f>
        <v>Plane Angle</v>
      </c>
      <c r="K128" s="75" t="str">
        <f>HYPERLINK("[#]UnitsOfMeasure!D159:G159","Arc Degree")</f>
        <v>Arc Degree</v>
      </c>
      <c r="L128" s="77"/>
      <c r="M128" s="78"/>
      <c r="N128" s="74"/>
      <c r="O128" s="25">
        <v>100616</v>
      </c>
      <c r="P128" s="304" t="str">
        <f>CONCATENATE([1]Cover!$D$6,"fdd/view?i=",O128)</f>
        <v>https://www.dgiwg.org/FAD/fdd/view?i=100616</v>
      </c>
      <c r="Q128" s="8" t="s">
        <v>5287</v>
      </c>
      <c r="R128" s="38" t="s">
        <v>151</v>
      </c>
    </row>
    <row r="129" spans="1:18" ht="25.5">
      <c r="A129" s="302" t="str">
        <f t="shared" si="1"/>
        <v>angleRadarReflector</v>
      </c>
      <c r="B129" s="6" t="s">
        <v>5293</v>
      </c>
      <c r="C129" s="17" t="s">
        <v>5294</v>
      </c>
      <c r="D129" s="10" t="s">
        <v>5295</v>
      </c>
      <c r="E129" s="55"/>
      <c r="F129" s="55"/>
      <c r="G129" s="12" t="s">
        <v>4643</v>
      </c>
      <c r="H129" s="74"/>
      <c r="I129" s="147" t="str">
        <f>HYPERLINK("[#]Datatypes!B1097:L1097","Real")</f>
        <v>Real</v>
      </c>
      <c r="J129" s="76" t="str">
        <f>HYPERLINK("[#]PhysicalQuantities!A34:N34","Plane Angle")</f>
        <v>Plane Angle</v>
      </c>
      <c r="K129" s="75" t="str">
        <f>HYPERLINK("[#]UnitsOfMeasure!D159:G159","Arc Degree")</f>
        <v>Arc Degree</v>
      </c>
      <c r="L129" s="77"/>
      <c r="M129" s="78"/>
      <c r="N129" s="74"/>
      <c r="O129" s="25">
        <v>117508</v>
      </c>
      <c r="P129" s="304" t="str">
        <f>CONCATENATE([1]Cover!$D$6,"fdd/view?i=",O129)</f>
        <v>https://www.dgiwg.org/FAD/fdd/view?i=117508</v>
      </c>
      <c r="Q129" s="8" t="s">
        <v>5292</v>
      </c>
      <c r="R129" s="38" t="s">
        <v>151</v>
      </c>
    </row>
    <row r="130" spans="1:18" ht="25.5">
      <c r="A130" s="302" t="str">
        <f t="shared" si="1"/>
        <v>angleTerminalLimit</v>
      </c>
      <c r="B130" s="6" t="s">
        <v>5297</v>
      </c>
      <c r="C130" s="17" t="s">
        <v>5298</v>
      </c>
      <c r="D130" s="10" t="s">
        <v>5299</v>
      </c>
      <c r="E130" s="10" t="s">
        <v>5285</v>
      </c>
      <c r="F130" s="55"/>
      <c r="G130" s="12" t="s">
        <v>4643</v>
      </c>
      <c r="H130" s="74"/>
      <c r="I130" s="147" t="str">
        <f>HYPERLINK("[#]Datatypes!B1126:L1126","RealNonNeg359r9")</f>
        <v>RealNonNeg359r9</v>
      </c>
      <c r="J130" s="76" t="str">
        <f>HYPERLINK("[#]PhysicalQuantities!A34:N34","Plane Angle")</f>
        <v>Plane Angle</v>
      </c>
      <c r="K130" s="75" t="str">
        <f>HYPERLINK("[#]UnitsOfMeasure!D159:G159","Arc Degree")</f>
        <v>Arc Degree</v>
      </c>
      <c r="L130" s="77"/>
      <c r="M130" s="78"/>
      <c r="N130" s="74"/>
      <c r="O130" s="25">
        <v>206973</v>
      </c>
      <c r="P130" s="304" t="str">
        <f>CONCATENATE([1]Cover!$D$6,"fdd/view?i=",O130)</f>
        <v>https://www.dgiwg.org/FAD/fdd/view?i=206973</v>
      </c>
      <c r="Q130" s="8" t="s">
        <v>5296</v>
      </c>
      <c r="R130" s="38" t="s">
        <v>1295</v>
      </c>
    </row>
    <row r="131" spans="1:18" ht="25.5">
      <c r="A131" s="302" t="str">
        <f t="shared" si="1"/>
        <v>schemaAscii</v>
      </c>
      <c r="B131" s="6" t="s">
        <v>5301</v>
      </c>
      <c r="C131" s="17" t="s">
        <v>5302</v>
      </c>
      <c r="D131" s="10" t="s">
        <v>5303</v>
      </c>
      <c r="E131" s="55"/>
      <c r="F131" s="55"/>
      <c r="G131" s="12" t="s">
        <v>4643</v>
      </c>
      <c r="H131" s="74"/>
      <c r="I131" s="147" t="str">
        <f>HYPERLINK("[#]Datatypes!B1416:L1416","TextLexUnconstrained")</f>
        <v>TextLexUnconstrained</v>
      </c>
      <c r="J131" s="80"/>
      <c r="K131" s="77"/>
      <c r="L131" s="77"/>
      <c r="M131" s="78"/>
      <c r="N131" s="74"/>
      <c r="O131" s="25">
        <v>207261</v>
      </c>
      <c r="P131" s="304" t="str">
        <f>CONCATENATE([1]Cover!$D$6,"fdd/view?i=",O131)</f>
        <v>https://www.dgiwg.org/FAD/fdd/view?i=207261</v>
      </c>
      <c r="Q131" s="8" t="s">
        <v>5300</v>
      </c>
      <c r="R131" s="38" t="s">
        <v>1295</v>
      </c>
    </row>
    <row r="132" spans="1:18" ht="38.25">
      <c r="A132" s="302" t="str">
        <f t="shared" ref="A132:A195" si="2">HYPERLINK(P132,B132)</f>
        <v>constraintLanguage</v>
      </c>
      <c r="B132" s="6" t="s">
        <v>5305</v>
      </c>
      <c r="C132" s="17" t="s">
        <v>5306</v>
      </c>
      <c r="D132" s="10" t="s">
        <v>5307</v>
      </c>
      <c r="E132" s="55"/>
      <c r="F132" s="55"/>
      <c r="G132" s="12" t="s">
        <v>4643</v>
      </c>
      <c r="H132" s="74"/>
      <c r="I132" s="147" t="str">
        <f>HYPERLINK("[#]Datatypes!B1416:L1416","TextLexUnconstrained")</f>
        <v>TextLexUnconstrained</v>
      </c>
      <c r="J132" s="80"/>
      <c r="K132" s="77"/>
      <c r="L132" s="77"/>
      <c r="M132" s="78"/>
      <c r="N132" s="74"/>
      <c r="O132" s="25">
        <v>207196</v>
      </c>
      <c r="P132" s="304" t="str">
        <f>CONCATENATE([1]Cover!$D$6,"fdd/view?i=",O132)</f>
        <v>https://www.dgiwg.org/FAD/fdd/view?i=207196</v>
      </c>
      <c r="Q132" s="8" t="s">
        <v>5304</v>
      </c>
      <c r="R132" s="38" t="s">
        <v>1295</v>
      </c>
    </row>
    <row r="133" spans="1:18" ht="25.5">
      <c r="A133" s="302" t="str">
        <f t="shared" si="2"/>
        <v>graphicsFile</v>
      </c>
      <c r="B133" s="6" t="s">
        <v>5309</v>
      </c>
      <c r="C133" s="17" t="s">
        <v>5310</v>
      </c>
      <c r="D133" s="10" t="s">
        <v>5311</v>
      </c>
      <c r="E133" s="55"/>
      <c r="F133" s="55"/>
      <c r="G133" s="12" t="s">
        <v>4643</v>
      </c>
      <c r="H133" s="74"/>
      <c r="I133" s="147" t="str">
        <f>HYPERLINK("[#]Datatypes!B1416:L1416","TextLexUnconstrained")</f>
        <v>TextLexUnconstrained</v>
      </c>
      <c r="J133" s="80"/>
      <c r="K133" s="77"/>
      <c r="L133" s="77"/>
      <c r="M133" s="78"/>
      <c r="N133" s="74"/>
      <c r="O133" s="25">
        <v>207262</v>
      </c>
      <c r="P133" s="304" t="str">
        <f>CONCATENATE([1]Cover!$D$6,"fdd/view?i=",O133)</f>
        <v>https://www.dgiwg.org/FAD/fdd/view?i=207262</v>
      </c>
      <c r="Q133" s="8" t="s">
        <v>5308</v>
      </c>
      <c r="R133" s="38" t="s">
        <v>1295</v>
      </c>
    </row>
    <row r="134" spans="1:18" ht="25.5">
      <c r="A134" s="302" t="str">
        <f t="shared" si="2"/>
        <v>schemaLanguage</v>
      </c>
      <c r="B134" s="6" t="s">
        <v>5313</v>
      </c>
      <c r="C134" s="17" t="s">
        <v>5314</v>
      </c>
      <c r="D134" s="10" t="s">
        <v>5315</v>
      </c>
      <c r="E134" s="55"/>
      <c r="F134" s="55"/>
      <c r="G134" s="12" t="s">
        <v>4643</v>
      </c>
      <c r="H134" s="74"/>
      <c r="I134" s="147" t="str">
        <f>HYPERLINK("[#]Datatypes!B1416:L1416","TextLexUnconstrained")</f>
        <v>TextLexUnconstrained</v>
      </c>
      <c r="J134" s="80"/>
      <c r="K134" s="77"/>
      <c r="L134" s="77"/>
      <c r="M134" s="78"/>
      <c r="N134" s="74"/>
      <c r="O134" s="25">
        <v>207195</v>
      </c>
      <c r="P134" s="304" t="str">
        <f>CONCATENATE([1]Cover!$D$6,"fdd/view?i=",O134)</f>
        <v>https://www.dgiwg.org/FAD/fdd/view?i=207195</v>
      </c>
      <c r="Q134" s="8" t="s">
        <v>5312</v>
      </c>
      <c r="R134" s="38" t="s">
        <v>1295</v>
      </c>
    </row>
    <row r="135" spans="1:18" ht="25.5">
      <c r="A135" s="302" t="str">
        <f t="shared" si="2"/>
        <v>name</v>
      </c>
      <c r="B135" s="6" t="s">
        <v>5317</v>
      </c>
      <c r="C135" s="17" t="s">
        <v>5318</v>
      </c>
      <c r="D135" s="10" t="s">
        <v>5319</v>
      </c>
      <c r="E135" s="55"/>
      <c r="F135" s="55"/>
      <c r="G135" s="12" t="s">
        <v>4643</v>
      </c>
      <c r="H135" s="74"/>
      <c r="I135" s="147" t="str">
        <f>HYPERLINK("[#]Datatypes!B315:L315","CitationStrucText")</f>
        <v>CitationStrucText</v>
      </c>
      <c r="J135" s="80"/>
      <c r="K135" s="77"/>
      <c r="L135" s="77"/>
      <c r="M135" s="78"/>
      <c r="N135" s="74"/>
      <c r="O135" s="25">
        <v>207194</v>
      </c>
      <c r="P135" s="304" t="str">
        <f>CONCATENATE([1]Cover!$D$6,"fdd/view?i=",O135)</f>
        <v>https://www.dgiwg.org/FAD/fdd/view?i=207194</v>
      </c>
      <c r="Q135" s="8" t="s">
        <v>5316</v>
      </c>
      <c r="R135" s="38" t="s">
        <v>151</v>
      </c>
    </row>
    <row r="136" spans="1:18" ht="25.5">
      <c r="A136" s="302" t="str">
        <f t="shared" si="2"/>
        <v>softwareDevelopmentFile</v>
      </c>
      <c r="B136" s="6" t="s">
        <v>5321</v>
      </c>
      <c r="C136" s="17" t="s">
        <v>5322</v>
      </c>
      <c r="D136" s="10" t="s">
        <v>5323</v>
      </c>
      <c r="E136" s="55"/>
      <c r="F136" s="55"/>
      <c r="G136" s="12" t="s">
        <v>4643</v>
      </c>
      <c r="H136" s="74"/>
      <c r="I136" s="147" t="str">
        <f>HYPERLINK("[#]Datatypes!B1416:L1416","TextLexUnconstrained")</f>
        <v>TextLexUnconstrained</v>
      </c>
      <c r="J136" s="80"/>
      <c r="K136" s="77"/>
      <c r="L136" s="77"/>
      <c r="M136" s="78"/>
      <c r="N136" s="74"/>
      <c r="O136" s="25">
        <v>207263</v>
      </c>
      <c r="P136" s="304" t="str">
        <f>CONCATENATE([1]Cover!$D$6,"fdd/view?i=",O136)</f>
        <v>https://www.dgiwg.org/FAD/fdd/view?i=207263</v>
      </c>
      <c r="Q136" s="8" t="s">
        <v>5320</v>
      </c>
      <c r="R136" s="38" t="s">
        <v>1295</v>
      </c>
    </row>
    <row r="137" spans="1:18" ht="38.25">
      <c r="A137" s="302" t="str">
        <f t="shared" si="2"/>
        <v>softwareDevelopmentFileFormat</v>
      </c>
      <c r="B137" s="6" t="s">
        <v>5325</v>
      </c>
      <c r="C137" s="17" t="s">
        <v>5326</v>
      </c>
      <c r="D137" s="10" t="s">
        <v>5327</v>
      </c>
      <c r="E137" s="55"/>
      <c r="F137" s="55"/>
      <c r="G137" s="12" t="s">
        <v>4643</v>
      </c>
      <c r="H137" s="74"/>
      <c r="I137" s="147" t="str">
        <f>HYPERLINK("[#]Datatypes!B1416:L1416","TextLexUnconstrained")</f>
        <v>TextLexUnconstrained</v>
      </c>
      <c r="J137" s="80"/>
      <c r="K137" s="77"/>
      <c r="L137" s="77"/>
      <c r="M137" s="78"/>
      <c r="N137" s="74"/>
      <c r="O137" s="25">
        <v>207264</v>
      </c>
      <c r="P137" s="304" t="str">
        <f>CONCATENATE([1]Cover!$D$6,"fdd/view?i=",O137)</f>
        <v>https://www.dgiwg.org/FAD/fdd/view?i=207264</v>
      </c>
      <c r="Q137" s="8" t="s">
        <v>5324</v>
      </c>
      <c r="R137" s="38" t="s">
        <v>1295</v>
      </c>
    </row>
    <row r="138" spans="1:18">
      <c r="A138" s="302" t="str">
        <f t="shared" si="2"/>
        <v>approachCapMarkings</v>
      </c>
      <c r="B138" s="6" t="s">
        <v>5329</v>
      </c>
      <c r="C138" s="17" t="s">
        <v>5330</v>
      </c>
      <c r="D138" s="10" t="s">
        <v>5331</v>
      </c>
      <c r="E138" s="55"/>
      <c r="F138" s="55"/>
      <c r="G138" s="12" t="s">
        <v>4643</v>
      </c>
      <c r="H138" s="74"/>
      <c r="I138" s="147" t="str">
        <f>HYPERLINK("[#]Datatypes!B148:L148","ApproachCapMarkingsCode")</f>
        <v>ApproachCapMarkingsCode</v>
      </c>
      <c r="J138" s="80"/>
      <c r="K138" s="77"/>
      <c r="L138" s="77"/>
      <c r="M138" s="71" t="str">
        <f>HYPERLINK("[#]DatatypeListedValues!A1306:H1306","&lt;values&gt;")</f>
        <v>&lt;values&gt;</v>
      </c>
      <c r="N138" s="82" t="b">
        <v>0</v>
      </c>
      <c r="O138" s="25">
        <v>119009</v>
      </c>
      <c r="P138" s="304" t="str">
        <f>CONCATENATE([1]Cover!$D$6,"fdd/view?i=",O138)</f>
        <v>https://www.dgiwg.org/FAD/fdd/view?i=119009</v>
      </c>
      <c r="Q138" s="8" t="s">
        <v>5328</v>
      </c>
      <c r="R138" s="38" t="s">
        <v>151</v>
      </c>
    </row>
    <row r="139" spans="1:18" ht="89.25">
      <c r="A139" s="302" t="str">
        <f t="shared" si="2"/>
        <v>approachMinimumVisibility</v>
      </c>
      <c r="B139" s="6" t="s">
        <v>5334</v>
      </c>
      <c r="C139" s="17" t="s">
        <v>5335</v>
      </c>
      <c r="D139" s="10" t="s">
        <v>5336</v>
      </c>
      <c r="E139" s="10" t="s">
        <v>5337</v>
      </c>
      <c r="F139" s="55"/>
      <c r="G139" s="12" t="s">
        <v>4643</v>
      </c>
      <c r="H139" s="74"/>
      <c r="I139" s="147" t="str">
        <f>HYPERLINK("[#]Datatypes!B1097:L1097","Real")</f>
        <v>Real</v>
      </c>
      <c r="J139" s="76" t="str">
        <f>HYPERLINK("[#]PhysicalQuantities!A20:N20","Length")</f>
        <v>Length</v>
      </c>
      <c r="K139" s="75" t="str">
        <f>HYPERLINK("[#]UnitsOfMeasure!D80:G80","Metre")</f>
        <v>Metre</v>
      </c>
      <c r="L139" s="77"/>
      <c r="M139" s="78"/>
      <c r="N139" s="74"/>
      <c r="O139" s="25">
        <v>117497</v>
      </c>
      <c r="P139" s="304" t="str">
        <f>CONCATENATE([1]Cover!$D$6,"fdd/view?i=",O139)</f>
        <v>https://www.dgiwg.org/FAD/fdd/view?i=117497</v>
      </c>
      <c r="Q139" s="8" t="s">
        <v>5333</v>
      </c>
      <c r="R139" s="38" t="s">
        <v>151</v>
      </c>
    </row>
    <row r="140" spans="1:18" ht="38.25">
      <c r="A140" s="302" t="str">
        <f t="shared" si="2"/>
        <v>approachPerfDesignator</v>
      </c>
      <c r="B140" s="6" t="s">
        <v>5339</v>
      </c>
      <c r="C140" s="17" t="s">
        <v>5340</v>
      </c>
      <c r="D140" s="10" t="s">
        <v>5341</v>
      </c>
      <c r="E140" s="10" t="s">
        <v>5342</v>
      </c>
      <c r="F140" s="55"/>
      <c r="G140" s="12" t="s">
        <v>4643</v>
      </c>
      <c r="H140" s="74"/>
      <c r="I140" s="147" t="str">
        <f>HYPERLINK("[#]Datatypes!B150:L150","ApproachPerfDesignatorStrucText")</f>
        <v>ApproachPerfDesignatorStrucText</v>
      </c>
      <c r="J140" s="80"/>
      <c r="K140" s="77"/>
      <c r="L140" s="77"/>
      <c r="M140" s="78"/>
      <c r="N140" s="74"/>
      <c r="O140" s="25">
        <v>206974</v>
      </c>
      <c r="P140" s="304" t="str">
        <f>CONCATENATE([1]Cover!$D$6,"fdd/view?i=",O140)</f>
        <v>https://www.dgiwg.org/FAD/fdd/view?i=206974</v>
      </c>
      <c r="Q140" s="8" t="s">
        <v>5338</v>
      </c>
      <c r="R140" s="38" t="s">
        <v>1295</v>
      </c>
    </row>
    <row r="141" spans="1:18" ht="25.5">
      <c r="A141" s="302" t="str">
        <f t="shared" si="2"/>
        <v>approachPrefix</v>
      </c>
      <c r="B141" s="6" t="s">
        <v>5345</v>
      </c>
      <c r="C141" s="17" t="s">
        <v>5346</v>
      </c>
      <c r="D141" s="10" t="s">
        <v>5347</v>
      </c>
      <c r="E141" s="55"/>
      <c r="F141" s="55"/>
      <c r="G141" s="12" t="s">
        <v>4643</v>
      </c>
      <c r="H141" s="74"/>
      <c r="I141" s="147" t="str">
        <f>HYPERLINK("[#]Datatypes!B152:L152","ApproachPrefixCode")</f>
        <v>ApproachPrefixCode</v>
      </c>
      <c r="J141" s="80"/>
      <c r="K141" s="77"/>
      <c r="L141" s="77"/>
      <c r="M141" s="71" t="str">
        <f>HYPERLINK("[#]DatatypeListedValues!A1309:H1309","&lt;values&gt;")</f>
        <v>&lt;values&gt;</v>
      </c>
      <c r="N141" s="82" t="b">
        <v>0</v>
      </c>
      <c r="O141" s="25">
        <v>117503</v>
      </c>
      <c r="P141" s="304" t="str">
        <f>CONCATENATE([1]Cover!$D$6,"fdd/view?i=",O141)</f>
        <v>https://www.dgiwg.org/FAD/fdd/view?i=117503</v>
      </c>
      <c r="Q141" s="8" t="s">
        <v>5344</v>
      </c>
      <c r="R141" s="38" t="s">
        <v>151</v>
      </c>
    </row>
    <row r="142" spans="1:18" ht="25.5">
      <c r="A142" s="302" t="str">
        <f t="shared" si="2"/>
        <v>approachType</v>
      </c>
      <c r="B142" s="6" t="s">
        <v>5350</v>
      </c>
      <c r="C142" s="17" t="s">
        <v>5351</v>
      </c>
      <c r="D142" s="10" t="s">
        <v>5352</v>
      </c>
      <c r="E142" s="10" t="s">
        <v>5353</v>
      </c>
      <c r="F142" s="55"/>
      <c r="G142" s="12" t="s">
        <v>4643</v>
      </c>
      <c r="H142" s="74"/>
      <c r="I142" s="147" t="str">
        <f>HYPERLINK("[#]Datatypes!B154:L154","ApproachTypeCode")</f>
        <v>ApproachTypeCode</v>
      </c>
      <c r="J142" s="80"/>
      <c r="K142" s="77"/>
      <c r="L142" s="77"/>
      <c r="M142" s="71" t="str">
        <f>HYPERLINK("[#]DatatypeListedValues!A1312:H1312","&lt;values&gt;")</f>
        <v>&lt;values&gt;</v>
      </c>
      <c r="N142" s="82" t="b">
        <v>0</v>
      </c>
      <c r="O142" s="25">
        <v>117592</v>
      </c>
      <c r="P142" s="304" t="str">
        <f>CONCATENATE([1]Cover!$D$6,"fdd/view?i=",O142)</f>
        <v>https://www.dgiwg.org/FAD/fdd/view?i=117592</v>
      </c>
      <c r="Q142" s="8" t="s">
        <v>5349</v>
      </c>
      <c r="R142" s="38" t="s">
        <v>151</v>
      </c>
    </row>
    <row r="143" spans="1:18" ht="25.5">
      <c r="A143" s="302" t="str">
        <f t="shared" si="2"/>
        <v>apronTieDownAvail</v>
      </c>
      <c r="B143" s="6" t="s">
        <v>5356</v>
      </c>
      <c r="C143" s="17" t="s">
        <v>5357</v>
      </c>
      <c r="D143" s="10" t="s">
        <v>5358</v>
      </c>
      <c r="E143" s="10" t="s">
        <v>5359</v>
      </c>
      <c r="F143" s="55"/>
      <c r="G143" s="12" t="s">
        <v>4643</v>
      </c>
      <c r="H143" s="74"/>
      <c r="I143" s="147" t="str">
        <f>HYPERLINK("[#]Datatypes!B230:L230","Boolean")</f>
        <v>Boolean</v>
      </c>
      <c r="J143" s="80"/>
      <c r="K143" s="77"/>
      <c r="L143" s="77"/>
      <c r="M143" s="78"/>
      <c r="N143" s="74"/>
      <c r="O143" s="25">
        <v>119053</v>
      </c>
      <c r="P143" s="304" t="str">
        <f>CONCATENATE([1]Cover!$D$6,"fdd/view?i=",O143)</f>
        <v>https://www.dgiwg.org/FAD/fdd/view?i=119053</v>
      </c>
      <c r="Q143" s="8" t="s">
        <v>5355</v>
      </c>
      <c r="R143" s="38" t="s">
        <v>151</v>
      </c>
    </row>
    <row r="144" spans="1:18" ht="25.5">
      <c r="A144" s="302" t="str">
        <f t="shared" si="2"/>
        <v>apronType</v>
      </c>
      <c r="B144" s="6" t="s">
        <v>5361</v>
      </c>
      <c r="C144" s="17" t="s">
        <v>5362</v>
      </c>
      <c r="D144" s="10" t="s">
        <v>5363</v>
      </c>
      <c r="E144" s="55"/>
      <c r="F144" s="55"/>
      <c r="G144" s="12" t="s">
        <v>4643</v>
      </c>
      <c r="H144" s="74"/>
      <c r="I144" s="147" t="str">
        <f>HYPERLINK("[#]Datatypes!B156:L156","ApronTypeCode")</f>
        <v>ApronTypeCode</v>
      </c>
      <c r="J144" s="80"/>
      <c r="K144" s="77"/>
      <c r="L144" s="77"/>
      <c r="M144" s="71" t="str">
        <f>HYPERLINK("[#]DatatypeListedValues!A1346:H1346","&lt;values&gt;")</f>
        <v>&lt;values&gt;</v>
      </c>
      <c r="N144" s="82" t="b">
        <v>0</v>
      </c>
      <c r="O144" s="25">
        <v>117576</v>
      </c>
      <c r="P144" s="304" t="str">
        <f>CONCATENATE([1]Cover!$D$6,"fdd/view?i=",O144)</f>
        <v>https://www.dgiwg.org/FAD/fdd/view?i=117576</v>
      </c>
      <c r="Q144" s="8" t="s">
        <v>5360</v>
      </c>
      <c r="R144" s="38" t="s">
        <v>151</v>
      </c>
    </row>
    <row r="145" spans="1:18">
      <c r="A145" s="302" t="str">
        <f t="shared" si="2"/>
        <v>apronUsage</v>
      </c>
      <c r="B145" s="6" t="s">
        <v>5366</v>
      </c>
      <c r="C145" s="17" t="s">
        <v>5367</v>
      </c>
      <c r="D145" s="10" t="s">
        <v>5368</v>
      </c>
      <c r="E145" s="55"/>
      <c r="F145" s="55"/>
      <c r="G145" s="12" t="s">
        <v>4643</v>
      </c>
      <c r="H145" s="12" t="s">
        <v>4700</v>
      </c>
      <c r="I145" s="147" t="str">
        <f>HYPERLINK("[#]Datatypes!B158:L158","ApronUsageCode")</f>
        <v>ApronUsageCode</v>
      </c>
      <c r="J145" s="80"/>
      <c r="K145" s="77"/>
      <c r="L145" s="77"/>
      <c r="M145" s="71" t="str">
        <f>HYPERLINK("[#]DatatypeListedValues!A1354:H1354","&lt;values&gt;")</f>
        <v>&lt;values&gt;</v>
      </c>
      <c r="N145" s="82" t="b">
        <v>0</v>
      </c>
      <c r="O145" s="25">
        <v>117580</v>
      </c>
      <c r="P145" s="304" t="str">
        <f>CONCATENATE([1]Cover!$D$6,"fdd/view?i=",O145)</f>
        <v>https://www.dgiwg.org/FAD/fdd/view?i=117580</v>
      </c>
      <c r="Q145" s="8" t="s">
        <v>5365</v>
      </c>
      <c r="R145" s="38" t="s">
        <v>151</v>
      </c>
    </row>
    <row r="146" spans="1:18">
      <c r="A146" s="302" t="str">
        <f t="shared" si="2"/>
        <v>aquacultureFacilityType</v>
      </c>
      <c r="B146" s="6" t="s">
        <v>5371</v>
      </c>
      <c r="C146" s="17" t="s">
        <v>5372</v>
      </c>
      <c r="D146" s="10" t="s">
        <v>5373</v>
      </c>
      <c r="E146" s="55"/>
      <c r="F146" s="55"/>
      <c r="G146" s="12" t="s">
        <v>4643</v>
      </c>
      <c r="H146" s="74"/>
      <c r="I146" s="147" t="str">
        <f>HYPERLINK("[#]Datatypes!B160:L160","AquacultureFacilityTypeCode")</f>
        <v>AquacultureFacilityTypeCode</v>
      </c>
      <c r="J146" s="80"/>
      <c r="K146" s="77"/>
      <c r="L146" s="77"/>
      <c r="M146" s="71" t="str">
        <f>HYPERLINK("[#]DatatypeListedValues!A1368:H1368","&lt;values&gt;")</f>
        <v>&lt;values&gt;</v>
      </c>
      <c r="N146" s="82" t="b">
        <v>0</v>
      </c>
      <c r="O146" s="25">
        <v>113623</v>
      </c>
      <c r="P146" s="304" t="str">
        <f>CONCATENATE([1]Cover!$D$6,"fdd/view?i=",O146)</f>
        <v>https://www.dgiwg.org/FAD/fdd/view?i=113623</v>
      </c>
      <c r="Q146" s="8" t="s">
        <v>5370</v>
      </c>
      <c r="R146" s="38" t="s">
        <v>151</v>
      </c>
    </row>
    <row r="147" spans="1:18" ht="25.5">
      <c r="A147" s="302" t="str">
        <f t="shared" si="2"/>
        <v>aquaticVegCover</v>
      </c>
      <c r="B147" s="6" t="s">
        <v>5376</v>
      </c>
      <c r="C147" s="17" t="s">
        <v>5377</v>
      </c>
      <c r="D147" s="10" t="s">
        <v>5378</v>
      </c>
      <c r="E147" s="55"/>
      <c r="F147" s="55"/>
      <c r="G147" s="12" t="s">
        <v>4643</v>
      </c>
      <c r="H147" s="74"/>
      <c r="I147" s="147" t="str">
        <f>HYPERLINK("[#]Datatypes!B1110:L1110","RealNonNegInterval100")</f>
        <v>RealNonNegInterval100</v>
      </c>
      <c r="J147" s="76" t="str">
        <f>HYPERLINK("[#]PhysicalQuantities!A39:N39","Pure Number")</f>
        <v>Pure Number</v>
      </c>
      <c r="K147" s="75" t="str">
        <f>HYPERLINK("[#]UnitsOfMeasure!D215:G215","Percent")</f>
        <v>Percent</v>
      </c>
      <c r="L147" s="77"/>
      <c r="M147" s="78"/>
      <c r="N147" s="74"/>
      <c r="O147" s="25">
        <v>114343</v>
      </c>
      <c r="P147" s="304" t="str">
        <f>CONCATENATE([1]Cover!$D$6,"fdd/view?i=",O147)</f>
        <v>https://www.dgiwg.org/FAD/fdd/view?i=114343</v>
      </c>
      <c r="Q147" s="8" t="s">
        <v>5375</v>
      </c>
      <c r="R147" s="38" t="s">
        <v>151</v>
      </c>
    </row>
    <row r="148" spans="1:18" ht="25.5">
      <c r="A148" s="302" t="str">
        <f t="shared" si="2"/>
        <v>aquaticVegGrowthHabit</v>
      </c>
      <c r="B148" s="6" t="s">
        <v>5381</v>
      </c>
      <c r="C148" s="17" t="s">
        <v>5382</v>
      </c>
      <c r="D148" s="10" t="s">
        <v>5383</v>
      </c>
      <c r="E148" s="55"/>
      <c r="F148" s="55"/>
      <c r="G148" s="12" t="s">
        <v>4643</v>
      </c>
      <c r="H148" s="74"/>
      <c r="I148" s="147" t="str">
        <f>HYPERLINK("[#]Datatypes!B162:L162","AquaticVegGrowthHabitCode")</f>
        <v>AquaticVegGrowthHabitCode</v>
      </c>
      <c r="J148" s="80"/>
      <c r="K148" s="77"/>
      <c r="L148" s="77"/>
      <c r="M148" s="71" t="str">
        <f>HYPERLINK("[#]DatatypeListedValues!A1375:H1375","&lt;values&gt;")</f>
        <v>&lt;values&gt;</v>
      </c>
      <c r="N148" s="82" t="b">
        <v>0</v>
      </c>
      <c r="O148" s="25">
        <v>119178</v>
      </c>
      <c r="P148" s="304" t="str">
        <f>CONCATENATE([1]Cover!$D$6,"fdd/view?i=",O148)</f>
        <v>https://www.dgiwg.org/FAD/fdd/view?i=119178</v>
      </c>
      <c r="Q148" s="8" t="s">
        <v>5380</v>
      </c>
      <c r="R148" s="38" t="s">
        <v>151</v>
      </c>
    </row>
    <row r="149" spans="1:18">
      <c r="A149" s="302" t="str">
        <f t="shared" si="2"/>
        <v>aqueductType</v>
      </c>
      <c r="B149" s="6" t="s">
        <v>5386</v>
      </c>
      <c r="C149" s="17" t="s">
        <v>5387</v>
      </c>
      <c r="D149" s="10" t="s">
        <v>5388</v>
      </c>
      <c r="E149" s="55"/>
      <c r="F149" s="55"/>
      <c r="G149" s="12" t="s">
        <v>4643</v>
      </c>
      <c r="H149" s="74"/>
      <c r="I149" s="147" t="str">
        <f>HYPERLINK("[#]Datatypes!B164:L164","AqueductTypeCode")</f>
        <v>AqueductTypeCode</v>
      </c>
      <c r="J149" s="80"/>
      <c r="K149" s="77"/>
      <c r="L149" s="77"/>
      <c r="M149" s="71" t="str">
        <f>HYPERLINK("[#]DatatypeListedValues!A1379:H1379","&lt;values&gt;")</f>
        <v>&lt;values&gt;</v>
      </c>
      <c r="N149" s="82" t="b">
        <v>0</v>
      </c>
      <c r="O149" s="25">
        <v>100629</v>
      </c>
      <c r="P149" s="304" t="str">
        <f>CONCATENATE([1]Cover!$D$6,"fdd/view?i=",O149)</f>
        <v>https://www.dgiwg.org/FAD/fdd/view?i=100629</v>
      </c>
      <c r="Q149" s="8" t="s">
        <v>5385</v>
      </c>
      <c r="R149" s="38" t="s">
        <v>151</v>
      </c>
    </row>
    <row r="150" spans="1:18" ht="25.5">
      <c r="A150" s="302" t="str">
        <f t="shared" si="2"/>
        <v>aquiferComposition</v>
      </c>
      <c r="B150" s="6" t="s">
        <v>5391</v>
      </c>
      <c r="C150" s="17" t="s">
        <v>5392</v>
      </c>
      <c r="D150" s="10" t="s">
        <v>5393</v>
      </c>
      <c r="E150" s="10" t="s">
        <v>5394</v>
      </c>
      <c r="F150" s="55"/>
      <c r="G150" s="12" t="s">
        <v>4643</v>
      </c>
      <c r="H150" s="74"/>
      <c r="I150" s="147" t="str">
        <f>HYPERLINK("[#]Datatypes!B166:L166","AquiferCompositionCode")</f>
        <v>AquiferCompositionCode</v>
      </c>
      <c r="J150" s="80"/>
      <c r="K150" s="77"/>
      <c r="L150" s="77"/>
      <c r="M150" s="71" t="str">
        <f>HYPERLINK("[#]DatatypeListedValues!A1383:H1383","&lt;values&gt;")</f>
        <v>&lt;values&gt;</v>
      </c>
      <c r="N150" s="82" t="b">
        <v>0</v>
      </c>
      <c r="O150" s="25">
        <v>119034</v>
      </c>
      <c r="P150" s="304" t="str">
        <f>CONCATENATE([1]Cover!$D$6,"fdd/view?i=",O150)</f>
        <v>https://www.dgiwg.org/FAD/fdd/view?i=119034</v>
      </c>
      <c r="Q150" s="8" t="s">
        <v>5390</v>
      </c>
      <c r="R150" s="38" t="s">
        <v>151</v>
      </c>
    </row>
    <row r="151" spans="1:18" ht="25.5">
      <c r="A151" s="302" t="str">
        <f t="shared" si="2"/>
        <v>aquiferDepth</v>
      </c>
      <c r="B151" s="6" t="s">
        <v>5397</v>
      </c>
      <c r="C151" s="17" t="s">
        <v>5398</v>
      </c>
      <c r="D151" s="10" t="s">
        <v>5399</v>
      </c>
      <c r="E151" s="55"/>
      <c r="F151" s="55"/>
      <c r="G151" s="12" t="s">
        <v>4643</v>
      </c>
      <c r="H151" s="74"/>
      <c r="I151" s="147" t="str">
        <f>HYPERLINK("[#]Datatypes!B1099:L1099","RealInterval")</f>
        <v>RealInterval</v>
      </c>
      <c r="J151" s="76" t="str">
        <f>HYPERLINK("[#]PhysicalQuantities!A20:N20","Length")</f>
        <v>Length</v>
      </c>
      <c r="K151" s="75" t="str">
        <f>HYPERLINK("[#]UnitsOfMeasure!D80:G80","Metre")</f>
        <v>Metre</v>
      </c>
      <c r="L151" s="77"/>
      <c r="M151" s="78"/>
      <c r="N151" s="74"/>
      <c r="O151" s="25">
        <v>118581</v>
      </c>
      <c r="P151" s="304" t="str">
        <f>CONCATENATE([1]Cover!$D$6,"fdd/view?i=",O151)</f>
        <v>https://www.dgiwg.org/FAD/fdd/view?i=118581</v>
      </c>
      <c r="Q151" s="8" t="s">
        <v>5396</v>
      </c>
      <c r="R151" s="38" t="s">
        <v>151</v>
      </c>
    </row>
    <row r="152" spans="1:18">
      <c r="A152" s="302" t="str">
        <f t="shared" si="2"/>
        <v>aquiferName</v>
      </c>
      <c r="B152" s="6" t="s">
        <v>5401</v>
      </c>
      <c r="C152" s="17" t="s">
        <v>5402</v>
      </c>
      <c r="D152" s="10" t="s">
        <v>5403</v>
      </c>
      <c r="E152" s="55"/>
      <c r="F152" s="55"/>
      <c r="G152" s="12" t="s">
        <v>4643</v>
      </c>
      <c r="H152" s="74"/>
      <c r="I152" s="147" t="str">
        <f>HYPERLINK("[#]Datatypes!B1416:L1416","TextLexUnconstrained")</f>
        <v>TextLexUnconstrained</v>
      </c>
      <c r="J152" s="80"/>
      <c r="K152" s="77"/>
      <c r="L152" s="77"/>
      <c r="M152" s="78"/>
      <c r="N152" s="74"/>
      <c r="O152" s="25">
        <v>119397</v>
      </c>
      <c r="P152" s="304" t="str">
        <f>CONCATENATE([1]Cover!$D$6,"fdd/view?i=",O152)</f>
        <v>https://www.dgiwg.org/FAD/fdd/view?i=119397</v>
      </c>
      <c r="Q152" s="8" t="s">
        <v>5400</v>
      </c>
      <c r="R152" s="38" t="s">
        <v>151</v>
      </c>
    </row>
    <row r="153" spans="1:18" ht="25.5">
      <c r="A153" s="302" t="str">
        <f t="shared" si="2"/>
        <v>aquiferOverburden</v>
      </c>
      <c r="B153" s="6" t="s">
        <v>5405</v>
      </c>
      <c r="C153" s="17" t="s">
        <v>5406</v>
      </c>
      <c r="D153" s="10" t="s">
        <v>5407</v>
      </c>
      <c r="E153" s="55"/>
      <c r="F153" s="55"/>
      <c r="G153" s="12" t="s">
        <v>4643</v>
      </c>
      <c r="H153" s="12" t="s">
        <v>4700</v>
      </c>
      <c r="I153" s="147" t="str">
        <f>HYPERLINK("[#]Datatypes!B168:L168","AquiferOverburdenCode")</f>
        <v>AquiferOverburdenCode</v>
      </c>
      <c r="J153" s="80"/>
      <c r="K153" s="77"/>
      <c r="L153" s="77"/>
      <c r="M153" s="71" t="str">
        <f>HYPERLINK("[#]DatatypeListedValues!A1401:H1401","&lt;values&gt;")</f>
        <v>&lt;values&gt;</v>
      </c>
      <c r="N153" s="82" t="b">
        <v>0</v>
      </c>
      <c r="O153" s="25">
        <v>119014</v>
      </c>
      <c r="P153" s="304" t="str">
        <f>CONCATENATE([1]Cover!$D$6,"fdd/view?i=",O153)</f>
        <v>https://www.dgiwg.org/FAD/fdd/view?i=119014</v>
      </c>
      <c r="Q153" s="8" t="s">
        <v>5404</v>
      </c>
      <c r="R153" s="38" t="s">
        <v>151</v>
      </c>
    </row>
    <row r="154" spans="1:18" ht="25.5">
      <c r="A154" s="302" t="str">
        <f t="shared" si="2"/>
        <v>aquiferThickness</v>
      </c>
      <c r="B154" s="6" t="s">
        <v>5410</v>
      </c>
      <c r="C154" s="17" t="s">
        <v>5411</v>
      </c>
      <c r="D154" s="10" t="s">
        <v>5412</v>
      </c>
      <c r="E154" s="10" t="s">
        <v>5413</v>
      </c>
      <c r="F154" s="55"/>
      <c r="G154" s="12" t="s">
        <v>4643</v>
      </c>
      <c r="H154" s="74"/>
      <c r="I154" s="147" t="str">
        <f>HYPERLINK("[#]Datatypes!B1099:L1099","RealInterval")</f>
        <v>RealInterval</v>
      </c>
      <c r="J154" s="76" t="str">
        <f>HYPERLINK("[#]PhysicalQuantities!A20:N20","Length")</f>
        <v>Length</v>
      </c>
      <c r="K154" s="75" t="str">
        <f>HYPERLINK("[#]UnitsOfMeasure!D80:G80","Metre")</f>
        <v>Metre</v>
      </c>
      <c r="L154" s="77"/>
      <c r="M154" s="78"/>
      <c r="N154" s="74"/>
      <c r="O154" s="25">
        <v>111482</v>
      </c>
      <c r="P154" s="304" t="str">
        <f>CONCATENATE([1]Cover!$D$6,"fdd/view?i=",O154)</f>
        <v>https://www.dgiwg.org/FAD/fdd/view?i=111482</v>
      </c>
      <c r="Q154" s="8" t="s">
        <v>5409</v>
      </c>
      <c r="R154" s="38" t="s">
        <v>151</v>
      </c>
    </row>
    <row r="155" spans="1:18" ht="25.5">
      <c r="A155" s="302" t="str">
        <f t="shared" si="2"/>
        <v>aquiferYieldRating</v>
      </c>
      <c r="B155" s="6" t="s">
        <v>5415</v>
      </c>
      <c r="C155" s="17" t="s">
        <v>5416</v>
      </c>
      <c r="D155" s="10" t="s">
        <v>5417</v>
      </c>
      <c r="E155" s="55"/>
      <c r="F155" s="55"/>
      <c r="G155" s="12" t="s">
        <v>4643</v>
      </c>
      <c r="H155" s="74"/>
      <c r="I155" s="147" t="str">
        <f>HYPERLINK("[#]Datatypes!B1099:L1099","RealInterval")</f>
        <v>RealInterval</v>
      </c>
      <c r="J155" s="76" t="str">
        <f>HYPERLINK("[#]PhysicalQuantities!A53:N53","Volume Flow Rate")</f>
        <v>Volume Flow Rate</v>
      </c>
      <c r="K155" s="75" t="str">
        <f>HYPERLINK("[#]UnitsOfMeasure!D291:G291","Litre per Minute")</f>
        <v>Litre per Minute</v>
      </c>
      <c r="L155" s="77"/>
      <c r="M155" s="78"/>
      <c r="N155" s="74"/>
      <c r="O155" s="25">
        <v>119054</v>
      </c>
      <c r="P155" s="304" t="str">
        <f>CONCATENATE([1]Cover!$D$6,"fdd/view?i=",O155)</f>
        <v>https://www.dgiwg.org/FAD/fdd/view?i=119054</v>
      </c>
      <c r="Q155" s="8" t="s">
        <v>5414</v>
      </c>
      <c r="R155" s="38" t="s">
        <v>151</v>
      </c>
    </row>
    <row r="156" spans="1:18" ht="25.5">
      <c r="A156" s="302" t="str">
        <f t="shared" si="2"/>
        <v>arcGeometry</v>
      </c>
      <c r="B156" s="6" t="s">
        <v>5419</v>
      </c>
      <c r="C156" s="17" t="s">
        <v>5420</v>
      </c>
      <c r="D156" s="10" t="s">
        <v>5421</v>
      </c>
      <c r="E156" s="10" t="s">
        <v>5422</v>
      </c>
      <c r="F156" s="55"/>
      <c r="G156" s="12" t="s">
        <v>4643</v>
      </c>
      <c r="H156" s="74"/>
      <c r="I156" s="147" t="str">
        <f>HYPERLINK("[#]Datatypes!B170:L170","GmArc")</f>
        <v>GmArc</v>
      </c>
      <c r="J156" s="80"/>
      <c r="K156" s="77"/>
      <c r="L156" s="77"/>
      <c r="M156" s="78"/>
      <c r="N156" s="74"/>
      <c r="O156" s="25">
        <v>200635</v>
      </c>
      <c r="P156" s="304" t="str">
        <f>CONCATENATE([1]Cover!$D$6,"fdd/view?i=",O156)</f>
        <v>https://www.dgiwg.org/FAD/fdd/view?i=200635</v>
      </c>
      <c r="Q156" s="8" t="s">
        <v>5418</v>
      </c>
      <c r="R156" s="38" t="s">
        <v>1295</v>
      </c>
    </row>
    <row r="157" spans="1:18">
      <c r="A157" s="302" t="str">
        <f t="shared" si="2"/>
        <v>arcStringGeometry</v>
      </c>
      <c r="B157" s="6" t="s">
        <v>5425</v>
      </c>
      <c r="C157" s="17" t="s">
        <v>5426</v>
      </c>
      <c r="D157" s="10" t="s">
        <v>5427</v>
      </c>
      <c r="E157" s="10" t="s">
        <v>5428</v>
      </c>
      <c r="F157" s="55"/>
      <c r="G157" s="12" t="s">
        <v>4643</v>
      </c>
      <c r="H157" s="74"/>
      <c r="I157" s="147" t="str">
        <f>HYPERLINK("[#]Datatypes!B172:L172","GmArcString")</f>
        <v>GmArcString</v>
      </c>
      <c r="J157" s="80"/>
      <c r="K157" s="77"/>
      <c r="L157" s="77"/>
      <c r="M157" s="78"/>
      <c r="N157" s="74"/>
      <c r="O157" s="25">
        <v>200636</v>
      </c>
      <c r="P157" s="304" t="str">
        <f>CONCATENATE([1]Cover!$D$6,"fdd/view?i=",O157)</f>
        <v>https://www.dgiwg.org/FAD/fdd/view?i=200636</v>
      </c>
      <c r="Q157" s="8" t="s">
        <v>5424</v>
      </c>
      <c r="R157" s="38" t="s">
        <v>1295</v>
      </c>
    </row>
    <row r="158" spans="1:18">
      <c r="A158" s="302" t="str">
        <f t="shared" si="2"/>
        <v>area</v>
      </c>
      <c r="B158" s="6" t="s">
        <v>155</v>
      </c>
      <c r="C158" s="17" t="s">
        <v>156</v>
      </c>
      <c r="D158" s="10" t="s">
        <v>5431</v>
      </c>
      <c r="E158" s="55"/>
      <c r="F158" s="55"/>
      <c r="G158" s="12" t="s">
        <v>4643</v>
      </c>
      <c r="H158" s="74"/>
      <c r="I158" s="147" t="str">
        <f t="shared" ref="I158:I163" si="3">HYPERLINK("[#]Datatypes!B1097:L1097","Real")</f>
        <v>Real</v>
      </c>
      <c r="J158" s="76" t="str">
        <f>HYPERLINK("[#]PhysicalQuantities!A4:N4","Area")</f>
        <v>Area</v>
      </c>
      <c r="K158" s="75" t="str">
        <f>HYPERLINK("[#]UnitsOfMeasure!D7:G7","Square Metre")</f>
        <v>Square Metre</v>
      </c>
      <c r="L158" s="77"/>
      <c r="M158" s="78"/>
      <c r="N158" s="74"/>
      <c r="O158" s="25">
        <v>100620</v>
      </c>
      <c r="P158" s="304" t="str">
        <f>CONCATENATE([1]Cover!$D$6,"fdd/view?i=",O158)</f>
        <v>https://www.dgiwg.org/FAD/fdd/view?i=100620</v>
      </c>
      <c r="Q158" s="8" t="s">
        <v>5430</v>
      </c>
      <c r="R158" s="38" t="s">
        <v>151</v>
      </c>
    </row>
    <row r="159" spans="1:18" ht="25.5">
      <c r="A159" s="302" t="str">
        <f t="shared" si="2"/>
        <v>areaInitialAngle</v>
      </c>
      <c r="B159" s="6" t="s">
        <v>5433</v>
      </c>
      <c r="C159" s="17" t="s">
        <v>5434</v>
      </c>
      <c r="D159" s="10" t="s">
        <v>5435</v>
      </c>
      <c r="E159" s="10" t="s">
        <v>5436</v>
      </c>
      <c r="F159" s="55"/>
      <c r="G159" s="12" t="s">
        <v>4643</v>
      </c>
      <c r="H159" s="74"/>
      <c r="I159" s="147" t="str">
        <f t="shared" si="3"/>
        <v>Real</v>
      </c>
      <c r="J159" s="76" t="str">
        <f>HYPERLINK("[#]PhysicalQuantities!A34:N34","Plane Angle")</f>
        <v>Plane Angle</v>
      </c>
      <c r="K159" s="75" t="str">
        <f>HYPERLINK("[#]UnitsOfMeasure!D159:G159","Arc Degree")</f>
        <v>Arc Degree</v>
      </c>
      <c r="L159" s="77"/>
      <c r="M159" s="78"/>
      <c r="N159" s="74"/>
      <c r="O159" s="25">
        <v>117456</v>
      </c>
      <c r="P159" s="304" t="str">
        <f>CONCATENATE([1]Cover!$D$6,"fdd/view?i=",O159)</f>
        <v>https://www.dgiwg.org/FAD/fdd/view?i=117456</v>
      </c>
      <c r="Q159" s="8" t="s">
        <v>5432</v>
      </c>
      <c r="R159" s="38" t="s">
        <v>151</v>
      </c>
    </row>
    <row r="160" spans="1:18" ht="25.5">
      <c r="A160" s="302" t="str">
        <f t="shared" si="2"/>
        <v>areaInnerBoundaryDistance</v>
      </c>
      <c r="B160" s="6" t="s">
        <v>5438</v>
      </c>
      <c r="C160" s="17" t="s">
        <v>5439</v>
      </c>
      <c r="D160" s="10" t="s">
        <v>5440</v>
      </c>
      <c r="E160" s="10" t="s">
        <v>5436</v>
      </c>
      <c r="F160" s="55"/>
      <c r="G160" s="12" t="s">
        <v>4643</v>
      </c>
      <c r="H160" s="74"/>
      <c r="I160" s="147" t="str">
        <f t="shared" si="3"/>
        <v>Real</v>
      </c>
      <c r="J160" s="76" t="str">
        <f>HYPERLINK("[#]PhysicalQuantities!A20:N20","Length")</f>
        <v>Length</v>
      </c>
      <c r="K160" s="75" t="str">
        <f>HYPERLINK("[#]UnitsOfMeasure!D94:G94","Nautical Mile")</f>
        <v>Nautical Mile</v>
      </c>
      <c r="L160" s="77"/>
      <c r="M160" s="78"/>
      <c r="N160" s="74"/>
      <c r="O160" s="25">
        <v>117474</v>
      </c>
      <c r="P160" s="304" t="str">
        <f>CONCATENATE([1]Cover!$D$6,"fdd/view?i=",O160)</f>
        <v>https://www.dgiwg.org/FAD/fdd/view?i=117474</v>
      </c>
      <c r="Q160" s="8" t="s">
        <v>5437</v>
      </c>
      <c r="R160" s="38" t="s">
        <v>151</v>
      </c>
    </row>
    <row r="161" spans="1:18" ht="38.25">
      <c r="A161" s="302" t="str">
        <f t="shared" si="2"/>
        <v>areaMinimumAltitude</v>
      </c>
      <c r="B161" s="6" t="s">
        <v>5442</v>
      </c>
      <c r="C161" s="17" t="s">
        <v>5443</v>
      </c>
      <c r="D161" s="10" t="s">
        <v>5444</v>
      </c>
      <c r="E161" s="10" t="s">
        <v>5445</v>
      </c>
      <c r="F161" s="10" t="s">
        <v>5271</v>
      </c>
      <c r="G161" s="12" t="s">
        <v>4643</v>
      </c>
      <c r="H161" s="74"/>
      <c r="I161" s="147" t="str">
        <f t="shared" si="3"/>
        <v>Real</v>
      </c>
      <c r="J161" s="76" t="str">
        <f>HYPERLINK("[#]PhysicalQuantities!A20:N20","Length")</f>
        <v>Length</v>
      </c>
      <c r="K161" s="75" t="str">
        <f>HYPERLINK("[#]UnitsOfMeasure!D80:G80","Metre")</f>
        <v>Metre</v>
      </c>
      <c r="L161" s="77"/>
      <c r="M161" s="78"/>
      <c r="N161" s="74"/>
      <c r="O161" s="25">
        <v>117460</v>
      </c>
      <c r="P161" s="304" t="str">
        <f>CONCATENATE([1]Cover!$D$6,"fdd/view?i=",O161)</f>
        <v>https://www.dgiwg.org/FAD/fdd/view?i=117460</v>
      </c>
      <c r="Q161" s="8" t="s">
        <v>5441</v>
      </c>
      <c r="R161" s="38" t="s">
        <v>151</v>
      </c>
    </row>
    <row r="162" spans="1:18" ht="25.5">
      <c r="A162" s="302" t="str">
        <f t="shared" si="2"/>
        <v>areaOuterBoundaryDistance</v>
      </c>
      <c r="B162" s="6" t="s">
        <v>5447</v>
      </c>
      <c r="C162" s="17" t="s">
        <v>5448</v>
      </c>
      <c r="D162" s="10" t="s">
        <v>5449</v>
      </c>
      <c r="E162" s="10" t="s">
        <v>5436</v>
      </c>
      <c r="F162" s="55"/>
      <c r="G162" s="12" t="s">
        <v>4643</v>
      </c>
      <c r="H162" s="74"/>
      <c r="I162" s="147" t="str">
        <f t="shared" si="3"/>
        <v>Real</v>
      </c>
      <c r="J162" s="76" t="str">
        <f>HYPERLINK("[#]PhysicalQuantities!A20:N20","Length")</f>
        <v>Length</v>
      </c>
      <c r="K162" s="75" t="str">
        <f>HYPERLINK("[#]UnitsOfMeasure!D94:G94","Nautical Mile")</f>
        <v>Nautical Mile</v>
      </c>
      <c r="L162" s="77"/>
      <c r="M162" s="78"/>
      <c r="N162" s="74"/>
      <c r="O162" s="25">
        <v>117475</v>
      </c>
      <c r="P162" s="304" t="str">
        <f>CONCATENATE([1]Cover!$D$6,"fdd/view?i=",O162)</f>
        <v>https://www.dgiwg.org/FAD/fdd/view?i=117475</v>
      </c>
      <c r="Q162" s="8" t="s">
        <v>5446</v>
      </c>
      <c r="R162" s="38" t="s">
        <v>151</v>
      </c>
    </row>
    <row r="163" spans="1:18" ht="25.5">
      <c r="A163" s="302" t="str">
        <f t="shared" si="2"/>
        <v>areaTerminatingAngle</v>
      </c>
      <c r="B163" s="6" t="s">
        <v>5451</v>
      </c>
      <c r="C163" s="17" t="s">
        <v>5452</v>
      </c>
      <c r="D163" s="10" t="s">
        <v>5453</v>
      </c>
      <c r="E163" s="10" t="s">
        <v>5436</v>
      </c>
      <c r="F163" s="55"/>
      <c r="G163" s="12" t="s">
        <v>4643</v>
      </c>
      <c r="H163" s="74"/>
      <c r="I163" s="147" t="str">
        <f t="shared" si="3"/>
        <v>Real</v>
      </c>
      <c r="J163" s="76" t="str">
        <f>HYPERLINK("[#]PhysicalQuantities!A34:N34","Plane Angle")</f>
        <v>Plane Angle</v>
      </c>
      <c r="K163" s="75" t="str">
        <f>HYPERLINK("[#]UnitsOfMeasure!D159:G159","Arc Degree")</f>
        <v>Arc Degree</v>
      </c>
      <c r="L163" s="77"/>
      <c r="M163" s="78"/>
      <c r="N163" s="74"/>
      <c r="O163" s="25">
        <v>117457</v>
      </c>
      <c r="P163" s="304" t="str">
        <f>CONCATENATE([1]Cover!$D$6,"fdd/view?i=",O163)</f>
        <v>https://www.dgiwg.org/FAD/fdd/view?i=117457</v>
      </c>
      <c r="Q163" s="8" t="s">
        <v>5450</v>
      </c>
      <c r="R163" s="38" t="s">
        <v>151</v>
      </c>
    </row>
    <row r="164" spans="1:18" ht="25.5">
      <c r="A164" s="302" t="str">
        <f t="shared" si="2"/>
        <v>arrestSysCommand</v>
      </c>
      <c r="B164" s="6" t="s">
        <v>5455</v>
      </c>
      <c r="C164" s="17" t="s">
        <v>5456</v>
      </c>
      <c r="D164" s="10" t="s">
        <v>5457</v>
      </c>
      <c r="E164" s="55"/>
      <c r="F164" s="55"/>
      <c r="G164" s="12" t="s">
        <v>4643</v>
      </c>
      <c r="H164" s="74"/>
      <c r="I164" s="147" t="str">
        <f>HYPERLINK("[#]Datatypes!B174:L174","ArrestSysCommandCode")</f>
        <v>ArrestSysCommandCode</v>
      </c>
      <c r="J164" s="80"/>
      <c r="K164" s="77"/>
      <c r="L164" s="77"/>
      <c r="M164" s="71" t="str">
        <f>HYPERLINK("[#]DatatypeListedValues!A1419:H1419","&lt;values&gt;")</f>
        <v>&lt;values&gt;</v>
      </c>
      <c r="N164" s="82" t="b">
        <v>0</v>
      </c>
      <c r="O164" s="25">
        <v>203939</v>
      </c>
      <c r="P164" s="304" t="str">
        <f>CONCATENATE([1]Cover!$D$6,"fdd/view?i=",O164)</f>
        <v>https://www.dgiwg.org/FAD/fdd/view?i=203939</v>
      </c>
      <c r="Q164" s="8" t="s">
        <v>5454</v>
      </c>
      <c r="R164" s="38" t="s">
        <v>1295</v>
      </c>
    </row>
    <row r="165" spans="1:18" ht="38.25">
      <c r="A165" s="302" t="str">
        <f t="shared" si="2"/>
        <v>arrestSysEnergyAbsorbType</v>
      </c>
      <c r="B165" s="6" t="s">
        <v>5460</v>
      </c>
      <c r="C165" s="17" t="s">
        <v>5461</v>
      </c>
      <c r="D165" s="10" t="s">
        <v>5462</v>
      </c>
      <c r="E165" s="10" t="s">
        <v>5463</v>
      </c>
      <c r="F165" s="10" t="s">
        <v>5464</v>
      </c>
      <c r="G165" s="12" t="s">
        <v>4643</v>
      </c>
      <c r="H165" s="74"/>
      <c r="I165" s="147" t="str">
        <f>HYPERLINK("[#]Datatypes!B176:L176","ArrestSysEnergyAbsCode")</f>
        <v>ArrestSysEnergyAbsCode</v>
      </c>
      <c r="J165" s="80"/>
      <c r="K165" s="77"/>
      <c r="L165" s="77"/>
      <c r="M165" s="71" t="str">
        <f>HYPERLINK("[#]DatatypeListedValues!A1488:H1488","&lt;values&gt;")</f>
        <v>&lt;values&gt;</v>
      </c>
      <c r="N165" s="82" t="b">
        <v>0</v>
      </c>
      <c r="O165" s="25">
        <v>117485</v>
      </c>
      <c r="P165" s="304" t="str">
        <f>CONCATENATE([1]Cover!$D$6,"fdd/view?i=",O165)</f>
        <v>https://www.dgiwg.org/FAD/fdd/view?i=117485</v>
      </c>
      <c r="Q165" s="8" t="s">
        <v>5459</v>
      </c>
      <c r="R165" s="38" t="s">
        <v>151</v>
      </c>
    </row>
    <row r="166" spans="1:18" ht="51">
      <c r="A166" s="302" t="str">
        <f t="shared" si="2"/>
        <v>arrestSysEngageDeviceType</v>
      </c>
      <c r="B166" s="6" t="s">
        <v>5467</v>
      </c>
      <c r="C166" s="17" t="s">
        <v>5468</v>
      </c>
      <c r="D166" s="10" t="s">
        <v>5469</v>
      </c>
      <c r="E166" s="10" t="s">
        <v>5470</v>
      </c>
      <c r="F166" s="10" t="s">
        <v>5471</v>
      </c>
      <c r="G166" s="12" t="s">
        <v>4643</v>
      </c>
      <c r="H166" s="74"/>
      <c r="I166" s="147" t="str">
        <f>HYPERLINK("[#]Datatypes!B178:L178","ArrestSysEngageDevCode")</f>
        <v>ArrestSysEngageDevCode</v>
      </c>
      <c r="J166" s="80"/>
      <c r="K166" s="77"/>
      <c r="L166" s="77"/>
      <c r="M166" s="71" t="str">
        <f>HYPERLINK("[#]DatatypeListedValues!A1562:H1562","&lt;values&gt;")</f>
        <v>&lt;values&gt;</v>
      </c>
      <c r="N166" s="82" t="b">
        <v>0</v>
      </c>
      <c r="O166" s="25">
        <v>117487</v>
      </c>
      <c r="P166" s="304" t="str">
        <f>CONCATENATE([1]Cover!$D$6,"fdd/view?i=",O166)</f>
        <v>https://www.dgiwg.org/FAD/fdd/view?i=117487</v>
      </c>
      <c r="Q166" s="8" t="s">
        <v>5466</v>
      </c>
      <c r="R166" s="38" t="s">
        <v>151</v>
      </c>
    </row>
    <row r="167" spans="1:18" ht="38.25">
      <c r="A167" s="302" t="str">
        <f t="shared" si="2"/>
        <v>arrestSysEngageDirect</v>
      </c>
      <c r="B167" s="6" t="s">
        <v>5474</v>
      </c>
      <c r="C167" s="17" t="s">
        <v>5475</v>
      </c>
      <c r="D167" s="10" t="s">
        <v>5476</v>
      </c>
      <c r="E167" s="55"/>
      <c r="F167" s="10" t="s">
        <v>5477</v>
      </c>
      <c r="G167" s="12" t="s">
        <v>4643</v>
      </c>
      <c r="H167" s="74"/>
      <c r="I167" s="147" t="str">
        <f>HYPERLINK("[#]Datatypes!B180:L180","ArrestSysEngageDirectCode")</f>
        <v>ArrestSysEngageDirectCode</v>
      </c>
      <c r="J167" s="80"/>
      <c r="K167" s="77"/>
      <c r="L167" s="77"/>
      <c r="M167" s="71" t="str">
        <f>HYPERLINK("[#]DatatypeListedValues!A1580:H1580","&lt;values&gt;")</f>
        <v>&lt;values&gt;</v>
      </c>
      <c r="N167" s="12" t="b">
        <v>1</v>
      </c>
      <c r="O167" s="25">
        <v>117486</v>
      </c>
      <c r="P167" s="304" t="str">
        <f>CONCATENATE([1]Cover!$D$6,"fdd/view?i=",O167)</f>
        <v>https://www.dgiwg.org/FAD/fdd/view?i=117486</v>
      </c>
      <c r="Q167" s="8" t="s">
        <v>5473</v>
      </c>
      <c r="R167" s="38" t="s">
        <v>151</v>
      </c>
    </row>
    <row r="168" spans="1:18" ht="25.5">
      <c r="A168" s="302" t="str">
        <f t="shared" si="2"/>
        <v>arrestSysLocation</v>
      </c>
      <c r="B168" s="6" t="s">
        <v>5480</v>
      </c>
      <c r="C168" s="17" t="s">
        <v>5481</v>
      </c>
      <c r="D168" s="10" t="s">
        <v>5482</v>
      </c>
      <c r="E168" s="55"/>
      <c r="F168" s="10" t="s">
        <v>5483</v>
      </c>
      <c r="G168" s="12" t="s">
        <v>4643</v>
      </c>
      <c r="H168" s="74"/>
      <c r="I168" s="147" t="str">
        <f>HYPERLINK("[#]Datatypes!B1097:L1097","Real")</f>
        <v>Real</v>
      </c>
      <c r="J168" s="76" t="str">
        <f>HYPERLINK("[#]PhysicalQuantities!A20:N20","Length")</f>
        <v>Length</v>
      </c>
      <c r="K168" s="75" t="str">
        <f>HYPERLINK("[#]UnitsOfMeasure!D80:G80","Metre")</f>
        <v>Metre</v>
      </c>
      <c r="L168" s="77"/>
      <c r="M168" s="78"/>
      <c r="N168" s="74"/>
      <c r="O168" s="25">
        <v>117488</v>
      </c>
      <c r="P168" s="304" t="str">
        <f>CONCATENATE([1]Cover!$D$6,"fdd/view?i=",O168)</f>
        <v>https://www.dgiwg.org/FAD/fdd/view?i=117488</v>
      </c>
      <c r="Q168" s="8" t="s">
        <v>5479</v>
      </c>
      <c r="R168" s="38" t="s">
        <v>151</v>
      </c>
    </row>
    <row r="169" spans="1:18" ht="25.5">
      <c r="A169" s="302" t="str">
        <f t="shared" si="2"/>
        <v>arsenicConcentration</v>
      </c>
      <c r="B169" s="6" t="s">
        <v>5485</v>
      </c>
      <c r="C169" s="17" t="s">
        <v>5486</v>
      </c>
      <c r="D169" s="10" t="s">
        <v>5487</v>
      </c>
      <c r="E169" s="10" t="s">
        <v>5488</v>
      </c>
      <c r="F169" s="55"/>
      <c r="G169" s="12" t="s">
        <v>4643</v>
      </c>
      <c r="H169" s="74"/>
      <c r="I169" s="147" t="str">
        <f>HYPERLINK("[#]Datatypes!B1097:L1097","Real")</f>
        <v>Real</v>
      </c>
      <c r="J169" s="76" t="str">
        <f>HYPERLINK("[#]PhysicalQuantities!A29:N29","Mass Density")</f>
        <v>Mass Density</v>
      </c>
      <c r="K169" s="75" t="str">
        <f>HYPERLINK("[#]UnitsOfMeasure!D140:G140","Gram per cubic Metre")</f>
        <v>Gram per cubic Metre</v>
      </c>
      <c r="L169" s="77"/>
      <c r="M169" s="78"/>
      <c r="N169" s="74"/>
      <c r="O169" s="25">
        <v>119398</v>
      </c>
      <c r="P169" s="304" t="str">
        <f>CONCATENATE([1]Cover!$D$6,"fdd/view?i=",O169)</f>
        <v>https://www.dgiwg.org/FAD/fdd/view?i=119398</v>
      </c>
      <c r="Q169" s="8" t="s">
        <v>5484</v>
      </c>
      <c r="R169" s="38" t="s">
        <v>151</v>
      </c>
    </row>
    <row r="170" spans="1:18" ht="38.25">
      <c r="A170" s="302" t="str">
        <f t="shared" si="2"/>
        <v>asisNumber</v>
      </c>
      <c r="B170" s="6" t="s">
        <v>5490</v>
      </c>
      <c r="C170" s="17" t="s">
        <v>5491</v>
      </c>
      <c r="D170" s="10" t="s">
        <v>5492</v>
      </c>
      <c r="E170" s="55"/>
      <c r="F170" s="55"/>
      <c r="G170" s="12" t="s">
        <v>4643</v>
      </c>
      <c r="H170" s="74"/>
      <c r="I170" s="147" t="str">
        <f>HYPERLINK("[#]Datatypes!B692:L692","Index")</f>
        <v>Index</v>
      </c>
      <c r="J170" s="80"/>
      <c r="K170" s="77"/>
      <c r="L170" s="77"/>
      <c r="M170" s="78"/>
      <c r="N170" s="74"/>
      <c r="O170" s="25">
        <v>206197</v>
      </c>
      <c r="P170" s="304" t="str">
        <f>CONCATENATE([1]Cover!$D$6,"fdd/view?i=",O170)</f>
        <v>https://www.dgiwg.org/FAD/fdd/view?i=206197</v>
      </c>
      <c r="Q170" s="8" t="s">
        <v>5489</v>
      </c>
      <c r="R170" s="38" t="s">
        <v>1295</v>
      </c>
    </row>
    <row r="171" spans="1:18">
      <c r="A171" s="302" t="str">
        <f t="shared" si="2"/>
        <v>assignedFrequency</v>
      </c>
      <c r="B171" s="6" t="s">
        <v>5495</v>
      </c>
      <c r="C171" s="17" t="s">
        <v>5496</v>
      </c>
      <c r="D171" s="10" t="s">
        <v>5497</v>
      </c>
      <c r="E171" s="55"/>
      <c r="F171" s="55"/>
      <c r="G171" s="12" t="s">
        <v>4643</v>
      </c>
      <c r="H171" s="74"/>
      <c r="I171" s="147" t="str">
        <f>HYPERLINK("[#]Datatypes!B958:L958","RealNonNegative")</f>
        <v>RealNonNegative</v>
      </c>
      <c r="J171" s="76" t="str">
        <f>HYPERLINK("[#]PhysicalQuantities!A15:N15","Frequency")</f>
        <v>Frequency</v>
      </c>
      <c r="K171" s="75" t="str">
        <f>HYPERLINK("[#]UnitsOfMeasure!D71:G71","Hertz")</f>
        <v>Hertz</v>
      </c>
      <c r="L171" s="77"/>
      <c r="M171" s="78"/>
      <c r="N171" s="74"/>
      <c r="O171" s="25">
        <v>206975</v>
      </c>
      <c r="P171" s="304" t="str">
        <f>CONCATENATE([1]Cover!$D$6,"fdd/view?i=",O171)</f>
        <v>https://www.dgiwg.org/FAD/fdd/view?i=206975</v>
      </c>
      <c r="Q171" s="8" t="s">
        <v>5494</v>
      </c>
      <c r="R171" s="38" t="s">
        <v>1295</v>
      </c>
    </row>
    <row r="172" spans="1:18" ht="63.75">
      <c r="A172" s="302" t="str">
        <f t="shared" si="2"/>
        <v>astroAzMeridionalComponent</v>
      </c>
      <c r="B172" s="6" t="s">
        <v>5499</v>
      </c>
      <c r="C172" s="17" t="s">
        <v>5500</v>
      </c>
      <c r="D172" s="10" t="s">
        <v>5501</v>
      </c>
      <c r="E172" s="10" t="s">
        <v>5502</v>
      </c>
      <c r="F172" s="55"/>
      <c r="G172" s="12" t="s">
        <v>4643</v>
      </c>
      <c r="H172" s="74"/>
      <c r="I172" s="147" t="str">
        <f>HYPERLINK("[#]Datatypes!B1097:L1097","Real")</f>
        <v>Real</v>
      </c>
      <c r="J172" s="76" t="str">
        <f>HYPERLINK("[#]PhysicalQuantities!A34:N34","Plane Angle")</f>
        <v>Plane Angle</v>
      </c>
      <c r="K172" s="75" t="str">
        <f>HYPERLINK("[#]UnitsOfMeasure!D171:G171","Arc Second")</f>
        <v>Arc Second</v>
      </c>
      <c r="L172" s="77"/>
      <c r="M172" s="78"/>
      <c r="N172" s="74"/>
      <c r="O172" s="25">
        <v>207824</v>
      </c>
      <c r="P172" s="304" t="str">
        <f>CONCATENATE([1]Cover!$D$6,"fdd/view?i=",O172)</f>
        <v>https://www.dgiwg.org/FAD/fdd/view?i=207824</v>
      </c>
      <c r="Q172" s="8" t="s">
        <v>5498</v>
      </c>
      <c r="R172" s="38" t="s">
        <v>1295</v>
      </c>
    </row>
    <row r="173" spans="1:18" ht="63.75">
      <c r="A173" s="302" t="str">
        <f t="shared" si="2"/>
        <v>astroAzPrimeVertComponent</v>
      </c>
      <c r="B173" s="6" t="s">
        <v>5504</v>
      </c>
      <c r="C173" s="17" t="s">
        <v>5505</v>
      </c>
      <c r="D173" s="10" t="s">
        <v>5506</v>
      </c>
      <c r="E173" s="10" t="s">
        <v>5507</v>
      </c>
      <c r="F173" s="55"/>
      <c r="G173" s="12" t="s">
        <v>4643</v>
      </c>
      <c r="H173" s="74"/>
      <c r="I173" s="147" t="str">
        <f>HYPERLINK("[#]Datatypes!B1097:L1097","Real")</f>
        <v>Real</v>
      </c>
      <c r="J173" s="76" t="str">
        <f>HYPERLINK("[#]PhysicalQuantities!A34:N34","Plane Angle")</f>
        <v>Plane Angle</v>
      </c>
      <c r="K173" s="75" t="str">
        <f>HYPERLINK("[#]UnitsOfMeasure!D171:G171","Arc Second")</f>
        <v>Arc Second</v>
      </c>
      <c r="L173" s="77"/>
      <c r="M173" s="78"/>
      <c r="N173" s="74"/>
      <c r="O173" s="25">
        <v>207825</v>
      </c>
      <c r="P173" s="304" t="str">
        <f>CONCATENATE([1]Cover!$D$6,"fdd/view?i=",O173)</f>
        <v>https://www.dgiwg.org/FAD/fdd/view?i=207825</v>
      </c>
      <c r="Q173" s="8" t="s">
        <v>5503</v>
      </c>
      <c r="R173" s="38" t="s">
        <v>1295</v>
      </c>
    </row>
    <row r="174" spans="1:18" ht="63.75">
      <c r="A174" s="302" t="str">
        <f t="shared" si="2"/>
        <v>attachedBuilding</v>
      </c>
      <c r="B174" s="6" t="s">
        <v>5509</v>
      </c>
      <c r="C174" s="17" t="s">
        <v>5510</v>
      </c>
      <c r="D174" s="10" t="s">
        <v>5511</v>
      </c>
      <c r="E174" s="10" t="s">
        <v>5512</v>
      </c>
      <c r="F174" s="55"/>
      <c r="G174" s="12" t="s">
        <v>4643</v>
      </c>
      <c r="H174" s="74"/>
      <c r="I174" s="147" t="str">
        <f>HYPERLINK("[#]Datatypes!B230:L230","Boolean")</f>
        <v>Boolean</v>
      </c>
      <c r="J174" s="80"/>
      <c r="K174" s="77"/>
      <c r="L174" s="77"/>
      <c r="M174" s="78"/>
      <c r="N174" s="74"/>
      <c r="O174" s="25">
        <v>119158</v>
      </c>
      <c r="P174" s="304" t="str">
        <f>CONCATENATE([1]Cover!$D$6,"fdd/view?i=",O174)</f>
        <v>https://www.dgiwg.org/FAD/fdd/view?i=119158</v>
      </c>
      <c r="Q174" s="8" t="s">
        <v>5508</v>
      </c>
      <c r="R174" s="38" t="s">
        <v>151</v>
      </c>
    </row>
    <row r="175" spans="1:18" ht="25.5">
      <c r="A175" s="302" t="str">
        <f t="shared" si="2"/>
        <v>attackThwarted</v>
      </c>
      <c r="B175" s="6" t="s">
        <v>5514</v>
      </c>
      <c r="C175" s="17" t="s">
        <v>5515</v>
      </c>
      <c r="D175" s="10" t="s">
        <v>5516</v>
      </c>
      <c r="E175" s="55"/>
      <c r="F175" s="55"/>
      <c r="G175" s="12" t="s">
        <v>4643</v>
      </c>
      <c r="H175" s="74"/>
      <c r="I175" s="147" t="str">
        <f>HYPERLINK("[#]Datatypes!B230:L230","Boolean")</f>
        <v>Boolean</v>
      </c>
      <c r="J175" s="80"/>
      <c r="K175" s="77"/>
      <c r="L175" s="77"/>
      <c r="M175" s="78"/>
      <c r="N175" s="74"/>
      <c r="O175" s="25">
        <v>111484</v>
      </c>
      <c r="P175" s="304" t="str">
        <f>CONCATENATE([1]Cover!$D$6,"fdd/view?i=",O175)</f>
        <v>https://www.dgiwg.org/FAD/fdd/view?i=111484</v>
      </c>
      <c r="Q175" s="8" t="s">
        <v>5513</v>
      </c>
      <c r="R175" s="38" t="s">
        <v>151</v>
      </c>
    </row>
    <row r="176" spans="1:18" ht="25.5">
      <c r="A176" s="302" t="str">
        <f t="shared" si="2"/>
        <v>automatedWeatherStationType</v>
      </c>
      <c r="B176" s="6" t="s">
        <v>5518</v>
      </c>
      <c r="C176" s="17" t="s">
        <v>5519</v>
      </c>
      <c r="D176" s="10" t="s">
        <v>5520</v>
      </c>
      <c r="E176" s="55"/>
      <c r="F176" s="55"/>
      <c r="G176" s="12" t="s">
        <v>4643</v>
      </c>
      <c r="H176" s="74"/>
      <c r="I176" s="147" t="str">
        <f>HYPERLINK("[#]Datatypes!B182:L182","AutomatedWeatherStationTypeCode")</f>
        <v>AutomatedWeatherStationTypeCode</v>
      </c>
      <c r="J176" s="80"/>
      <c r="K176" s="77"/>
      <c r="L176" s="77"/>
      <c r="M176" s="71" t="str">
        <f>HYPERLINK("[#]DatatypeListedValues!A1583:H1583","&lt;values&gt;")</f>
        <v>&lt;values&gt;</v>
      </c>
      <c r="N176" s="82" t="b">
        <v>0</v>
      </c>
      <c r="O176" s="25">
        <v>207851</v>
      </c>
      <c r="P176" s="304" t="str">
        <f>CONCATENATE([1]Cover!$D$6,"fdd/view?i=",O176)</f>
        <v>https://www.dgiwg.org/FAD/fdd/view?i=207851</v>
      </c>
      <c r="Q176" s="8" t="s">
        <v>5517</v>
      </c>
      <c r="R176" s="38" t="s">
        <v>1295</v>
      </c>
    </row>
    <row r="177" spans="1:18" ht="25.5">
      <c r="A177" s="302" t="str">
        <f t="shared" si="2"/>
        <v>availabilityCategory</v>
      </c>
      <c r="B177" s="6" t="s">
        <v>5523</v>
      </c>
      <c r="C177" s="17" t="s">
        <v>5524</v>
      </c>
      <c r="D177" s="10" t="s">
        <v>5525</v>
      </c>
      <c r="E177" s="55"/>
      <c r="F177" s="55"/>
      <c r="G177" s="12" t="s">
        <v>4643</v>
      </c>
      <c r="H177" s="74"/>
      <c r="I177" s="147" t="str">
        <f>HYPERLINK("[#]Datatypes!B184:L184","AvailabilityCategoryCode")</f>
        <v>AvailabilityCategoryCode</v>
      </c>
      <c r="J177" s="80"/>
      <c r="K177" s="77"/>
      <c r="L177" s="77"/>
      <c r="M177" s="71" t="str">
        <f>HYPERLINK("[#]DatatypeListedValues!A1584:H1584","&lt;values&gt;")</f>
        <v>&lt;values&gt;</v>
      </c>
      <c r="N177" s="82" t="b">
        <v>0</v>
      </c>
      <c r="O177" s="25">
        <v>119177</v>
      </c>
      <c r="P177" s="304" t="str">
        <f>CONCATENATE([1]Cover!$D$6,"fdd/view?i=",O177)</f>
        <v>https://www.dgiwg.org/FAD/fdd/view?i=119177</v>
      </c>
      <c r="Q177" s="8" t="s">
        <v>5522</v>
      </c>
      <c r="R177" s="38" t="s">
        <v>151</v>
      </c>
    </row>
    <row r="178" spans="1:18" ht="38.25">
      <c r="A178" s="302" t="str">
        <f t="shared" si="2"/>
        <v>availablePol</v>
      </c>
      <c r="B178" s="6" t="s">
        <v>5528</v>
      </c>
      <c r="C178" s="17" t="s">
        <v>5529</v>
      </c>
      <c r="D178" s="10" t="s">
        <v>5530</v>
      </c>
      <c r="E178" s="10" t="s">
        <v>5531</v>
      </c>
      <c r="F178" s="55"/>
      <c r="G178" s="12" t="s">
        <v>4643</v>
      </c>
      <c r="H178" s="12" t="s">
        <v>4700</v>
      </c>
      <c r="I178" s="147" t="str">
        <f>HYPERLINK("[#]Datatypes!B186:L186","AvailablePolCode")</f>
        <v>AvailablePolCode</v>
      </c>
      <c r="J178" s="80"/>
      <c r="K178" s="77"/>
      <c r="L178" s="77"/>
      <c r="M178" s="71" t="str">
        <f>HYPERLINK("[#]DatatypeListedValues!A1587:H1587","&lt;values&gt;")</f>
        <v>&lt;values&gt;</v>
      </c>
      <c r="N178" s="82" t="b">
        <v>0</v>
      </c>
      <c r="O178" s="25">
        <v>100886</v>
      </c>
      <c r="P178" s="304" t="str">
        <f>CONCATENATE([1]Cover!$D$6,"fdd/view?i=",O178)</f>
        <v>https://www.dgiwg.org/FAD/fdd/view?i=100886</v>
      </c>
      <c r="Q178" s="8" t="s">
        <v>5527</v>
      </c>
      <c r="R178" s="38" t="s">
        <v>151</v>
      </c>
    </row>
    <row r="179" spans="1:18" ht="25.5">
      <c r="A179" s="302" t="str">
        <f t="shared" si="2"/>
        <v>availableVesselService</v>
      </c>
      <c r="B179" s="6" t="s">
        <v>5534</v>
      </c>
      <c r="C179" s="17" t="s">
        <v>5535</v>
      </c>
      <c r="D179" s="10" t="s">
        <v>5536</v>
      </c>
      <c r="E179" s="55"/>
      <c r="F179" s="55"/>
      <c r="G179" s="12" t="s">
        <v>4643</v>
      </c>
      <c r="H179" s="12" t="s">
        <v>4700</v>
      </c>
      <c r="I179" s="147" t="str">
        <f>HYPERLINK("[#]Datatypes!B188:L188","AvailableVesselServiceCode")</f>
        <v>AvailableVesselServiceCode</v>
      </c>
      <c r="J179" s="80"/>
      <c r="K179" s="77"/>
      <c r="L179" s="77"/>
      <c r="M179" s="71" t="str">
        <f>HYPERLINK("[#]DatatypeListedValues!A1609:H1609","&lt;values&gt;")</f>
        <v>&lt;values&gt;</v>
      </c>
      <c r="N179" s="82" t="b">
        <v>0</v>
      </c>
      <c r="O179" s="25">
        <v>100596</v>
      </c>
      <c r="P179" s="304" t="str">
        <f>CONCATENATE([1]Cover!$D$6,"fdd/view?i=",O179)</f>
        <v>https://www.dgiwg.org/FAD/fdd/view?i=100596</v>
      </c>
      <c r="Q179" s="8" t="s">
        <v>5533</v>
      </c>
      <c r="R179" s="38" t="s">
        <v>151</v>
      </c>
    </row>
    <row r="180" spans="1:18" ht="25.5">
      <c r="A180" s="302" t="str">
        <f t="shared" si="2"/>
        <v>averageWaterDepth</v>
      </c>
      <c r="B180" s="6" t="s">
        <v>5539</v>
      </c>
      <c r="C180" s="17" t="s">
        <v>5540</v>
      </c>
      <c r="D180" s="10" t="s">
        <v>5541</v>
      </c>
      <c r="E180" s="10" t="s">
        <v>5542</v>
      </c>
      <c r="F180" s="55"/>
      <c r="G180" s="12" t="s">
        <v>4643</v>
      </c>
      <c r="H180" s="74"/>
      <c r="I180" s="147" t="str">
        <f>HYPERLINK("[#]Datatypes!B1099:L1099","RealInterval")</f>
        <v>RealInterval</v>
      </c>
      <c r="J180" s="76" t="str">
        <f>HYPERLINK("[#]PhysicalQuantities!A20:N20","Length")</f>
        <v>Length</v>
      </c>
      <c r="K180" s="75" t="str">
        <f>HYPERLINK("[#]UnitsOfMeasure!D80:G80","Metre")</f>
        <v>Metre</v>
      </c>
      <c r="L180" s="77"/>
      <c r="M180" s="78"/>
      <c r="N180" s="74"/>
      <c r="O180" s="25">
        <v>110734</v>
      </c>
      <c r="P180" s="304" t="str">
        <f>CONCATENATE([1]Cover!$D$6,"fdd/view?i=",O180)</f>
        <v>https://www.dgiwg.org/FAD/fdd/view?i=110734</v>
      </c>
      <c r="Q180" s="8" t="s">
        <v>5538</v>
      </c>
      <c r="R180" s="38" t="s">
        <v>151</v>
      </c>
    </row>
    <row r="181" spans="1:18" ht="38.25">
      <c r="A181" s="302" t="str">
        <f t="shared" si="2"/>
        <v>aviationFluidStockLevel</v>
      </c>
      <c r="B181" s="6" t="s">
        <v>5544</v>
      </c>
      <c r="C181" s="17" t="s">
        <v>5545</v>
      </c>
      <c r="D181" s="10" t="s">
        <v>5546</v>
      </c>
      <c r="E181" s="10" t="s">
        <v>5547</v>
      </c>
      <c r="F181" s="55"/>
      <c r="G181" s="12" t="s">
        <v>4643</v>
      </c>
      <c r="H181" s="74"/>
      <c r="I181" s="147" t="str">
        <f>HYPERLINK("[#]Datatypes!B1416:L1416","TextLexUnconstrained")</f>
        <v>TextLexUnconstrained</v>
      </c>
      <c r="J181" s="80"/>
      <c r="K181" s="77"/>
      <c r="L181" s="77"/>
      <c r="M181" s="78"/>
      <c r="N181" s="74"/>
      <c r="O181" s="25">
        <v>207669</v>
      </c>
      <c r="P181" s="304" t="str">
        <f>CONCATENATE([1]Cover!$D$6,"fdd/view?i=",O181)</f>
        <v>https://www.dgiwg.org/FAD/fdd/view?i=207669</v>
      </c>
      <c r="Q181" s="8" t="s">
        <v>5543</v>
      </c>
      <c r="R181" s="38" t="s">
        <v>1295</v>
      </c>
    </row>
    <row r="182" spans="1:18" ht="25.5">
      <c r="A182" s="302" t="str">
        <f t="shared" si="2"/>
        <v>aviationFuelType</v>
      </c>
      <c r="B182" s="6" t="s">
        <v>5549</v>
      </c>
      <c r="C182" s="17" t="s">
        <v>5550</v>
      </c>
      <c r="D182" s="10" t="s">
        <v>5551</v>
      </c>
      <c r="E182" s="10" t="s">
        <v>5552</v>
      </c>
      <c r="F182" s="55"/>
      <c r="G182" s="12" t="s">
        <v>4643</v>
      </c>
      <c r="H182" s="12" t="s">
        <v>4837</v>
      </c>
      <c r="I182" s="147" t="str">
        <f>HYPERLINK("[#]Datatypes!B190:L190","AviationFuelTypeCode")</f>
        <v>AviationFuelTypeCode</v>
      </c>
      <c r="J182" s="80"/>
      <c r="K182" s="77"/>
      <c r="L182" s="77"/>
      <c r="M182" s="71" t="str">
        <f>HYPERLINK("[#]DatatypeListedValues!A1643:H1643","&lt;values&gt;")</f>
        <v>&lt;values&gt;</v>
      </c>
      <c r="N182" s="82" t="b">
        <v>0</v>
      </c>
      <c r="O182" s="25">
        <v>117484</v>
      </c>
      <c r="P182" s="304" t="str">
        <f>CONCATENATE([1]Cover!$D$6,"fdd/view?i=",O182)</f>
        <v>https://www.dgiwg.org/FAD/fdd/view?i=117484</v>
      </c>
      <c r="Q182" s="8" t="s">
        <v>5548</v>
      </c>
      <c r="R182" s="38" t="s">
        <v>151</v>
      </c>
    </row>
    <row r="183" spans="1:18" ht="25.5">
      <c r="A183" s="302" t="str">
        <f t="shared" si="2"/>
        <v>aviationHydraulicFluidType</v>
      </c>
      <c r="B183" s="6" t="s">
        <v>5555</v>
      </c>
      <c r="C183" s="17" t="s">
        <v>5556</v>
      </c>
      <c r="D183" s="10" t="s">
        <v>5557</v>
      </c>
      <c r="E183" s="55"/>
      <c r="F183" s="55"/>
      <c r="G183" s="12" t="s">
        <v>4643</v>
      </c>
      <c r="H183" s="12" t="s">
        <v>4837</v>
      </c>
      <c r="I183" s="147" t="str">
        <f>HYPERLINK("[#]Datatypes!B192:L192","AviationHydraulicFluidTypeCode")</f>
        <v>AviationHydraulicFluidTypeCode</v>
      </c>
      <c r="J183" s="80"/>
      <c r="K183" s="77"/>
      <c r="L183" s="77"/>
      <c r="M183" s="71" t="str">
        <f>HYPERLINK("[#]DatatypeListedValues!A1675:H1675","&lt;values&gt;")</f>
        <v>&lt;values&gt;</v>
      </c>
      <c r="N183" s="82" t="b">
        <v>0</v>
      </c>
      <c r="O183" s="25">
        <v>117491</v>
      </c>
      <c r="P183" s="304" t="str">
        <f>CONCATENATE([1]Cover!$D$6,"fdd/view?i=",O183)</f>
        <v>https://www.dgiwg.org/FAD/fdd/view?i=117491</v>
      </c>
      <c r="Q183" s="8" t="s">
        <v>5554</v>
      </c>
      <c r="R183" s="38" t="s">
        <v>151</v>
      </c>
    </row>
    <row r="184" spans="1:18" ht="25.5">
      <c r="A184" s="302" t="str">
        <f t="shared" si="2"/>
        <v>aviationNitrogenSupplyType</v>
      </c>
      <c r="B184" s="6" t="s">
        <v>5560</v>
      </c>
      <c r="C184" s="17" t="s">
        <v>5561</v>
      </c>
      <c r="D184" s="10" t="s">
        <v>5562</v>
      </c>
      <c r="E184" s="55"/>
      <c r="F184" s="55"/>
      <c r="G184" s="12" t="s">
        <v>4643</v>
      </c>
      <c r="H184" s="12" t="s">
        <v>4837</v>
      </c>
      <c r="I184" s="147" t="str">
        <f>HYPERLINK("[#]Datatypes!B194:L194","AviationNitrogenSupplyTypeCode")</f>
        <v>AviationNitrogenSupplyTypeCode</v>
      </c>
      <c r="J184" s="80"/>
      <c r="K184" s="77"/>
      <c r="L184" s="77"/>
      <c r="M184" s="71" t="str">
        <f>HYPERLINK("[#]DatatypeListedValues!A1682:H1682","&lt;values&gt;")</f>
        <v>&lt;values&gt;</v>
      </c>
      <c r="N184" s="82" t="b">
        <v>0</v>
      </c>
      <c r="O184" s="25">
        <v>117499</v>
      </c>
      <c r="P184" s="304" t="str">
        <f>CONCATENATE([1]Cover!$D$6,"fdd/view?i=",O184)</f>
        <v>https://www.dgiwg.org/FAD/fdd/view?i=117499</v>
      </c>
      <c r="Q184" s="8" t="s">
        <v>5559</v>
      </c>
      <c r="R184" s="38" t="s">
        <v>151</v>
      </c>
    </row>
    <row r="185" spans="1:18">
      <c r="A185" s="302" t="str">
        <f t="shared" si="2"/>
        <v>aviationOilType</v>
      </c>
      <c r="B185" s="6" t="s">
        <v>5565</v>
      </c>
      <c r="C185" s="17" t="s">
        <v>5566</v>
      </c>
      <c r="D185" s="10" t="s">
        <v>5567</v>
      </c>
      <c r="E185" s="55"/>
      <c r="F185" s="55"/>
      <c r="G185" s="12" t="s">
        <v>4643</v>
      </c>
      <c r="H185" s="12" t="s">
        <v>4837</v>
      </c>
      <c r="I185" s="147" t="str">
        <f>HYPERLINK("[#]Datatypes!B196:L196","AviationOilTypeCode")</f>
        <v>AviationOilTypeCode</v>
      </c>
      <c r="J185" s="80"/>
      <c r="K185" s="77"/>
      <c r="L185" s="77"/>
      <c r="M185" s="71" t="str">
        <f>HYPERLINK("[#]DatatypeListedValues!A1690:H1690","&lt;values&gt;")</f>
        <v>&lt;values&gt;</v>
      </c>
      <c r="N185" s="82" t="b">
        <v>0</v>
      </c>
      <c r="O185" s="25">
        <v>117502</v>
      </c>
      <c r="P185" s="304" t="str">
        <f>CONCATENATE([1]Cover!$D$6,"fdd/view?i=",O185)</f>
        <v>https://www.dgiwg.org/FAD/fdd/view?i=117502</v>
      </c>
      <c r="Q185" s="8" t="s">
        <v>5564</v>
      </c>
      <c r="R185" s="38" t="s">
        <v>151</v>
      </c>
    </row>
    <row r="186" spans="1:18" ht="25.5">
      <c r="A186" s="302" t="str">
        <f t="shared" si="2"/>
        <v>aviationOxygenSupplyType</v>
      </c>
      <c r="B186" s="6" t="s">
        <v>5570</v>
      </c>
      <c r="C186" s="17" t="s">
        <v>5571</v>
      </c>
      <c r="D186" s="10" t="s">
        <v>5572</v>
      </c>
      <c r="E186" s="55"/>
      <c r="F186" s="55"/>
      <c r="G186" s="12" t="s">
        <v>4643</v>
      </c>
      <c r="H186" s="12" t="s">
        <v>4837</v>
      </c>
      <c r="I186" s="147" t="str">
        <f>HYPERLINK("[#]Datatypes!B198:L198","AviationOxygenSupplyTypeCode")</f>
        <v>AviationOxygenSupplyTypeCode</v>
      </c>
      <c r="J186" s="80"/>
      <c r="K186" s="77"/>
      <c r="L186" s="77"/>
      <c r="M186" s="71" t="str">
        <f>HYPERLINK("[#]DatatypeListedValues!A1708:H1708","&lt;values&gt;")</f>
        <v>&lt;values&gt;</v>
      </c>
      <c r="N186" s="82" t="b">
        <v>0</v>
      </c>
      <c r="O186" s="25">
        <v>117501</v>
      </c>
      <c r="P186" s="304" t="str">
        <f>CONCATENATE([1]Cover!$D$6,"fdd/view?i=",O186)</f>
        <v>https://www.dgiwg.org/FAD/fdd/view?i=117501</v>
      </c>
      <c r="Q186" s="8" t="s">
        <v>5569</v>
      </c>
      <c r="R186" s="38" t="s">
        <v>151</v>
      </c>
    </row>
    <row r="187" spans="1:18" ht="38.25">
      <c r="A187" s="302" t="str">
        <f t="shared" si="2"/>
        <v>aviationPortOfEntryStatus</v>
      </c>
      <c r="B187" s="6" t="s">
        <v>5575</v>
      </c>
      <c r="C187" s="17" t="s">
        <v>5576</v>
      </c>
      <c r="D187" s="10" t="s">
        <v>5577</v>
      </c>
      <c r="E187" s="10" t="s">
        <v>5578</v>
      </c>
      <c r="F187" s="55"/>
      <c r="G187" s="12" t="s">
        <v>4643</v>
      </c>
      <c r="H187" s="74"/>
      <c r="I187" s="147" t="str">
        <f>HYPERLINK("[#]Datatypes!B200:L200","AviationPortOfEntryStatusCode")</f>
        <v>AviationPortOfEntryStatusCode</v>
      </c>
      <c r="J187" s="80"/>
      <c r="K187" s="77"/>
      <c r="L187" s="77"/>
      <c r="M187" s="71" t="str">
        <f>HYPERLINK("[#]DatatypeListedValues!A1716:H1716","&lt;values&gt;")</f>
        <v>&lt;values&gt;</v>
      </c>
      <c r="N187" s="82" t="b">
        <v>0</v>
      </c>
      <c r="O187" s="25">
        <v>207700</v>
      </c>
      <c r="P187" s="304" t="str">
        <f>CONCATENATE([1]Cover!$D$6,"fdd/view?i=",O187)</f>
        <v>https://www.dgiwg.org/FAD/fdd/view?i=207700</v>
      </c>
      <c r="Q187" s="8" t="s">
        <v>5574</v>
      </c>
      <c r="R187" s="38" t="s">
        <v>1295</v>
      </c>
    </row>
    <row r="188" spans="1:18" ht="38.25">
      <c r="A188" s="302" t="str">
        <f t="shared" si="2"/>
        <v>backcourseLocalizerUseType</v>
      </c>
      <c r="B188" s="6" t="s">
        <v>5581</v>
      </c>
      <c r="C188" s="17" t="s">
        <v>5582</v>
      </c>
      <c r="D188" s="10" t="s">
        <v>5583</v>
      </c>
      <c r="E188" s="55"/>
      <c r="F188" s="10" t="s">
        <v>5582</v>
      </c>
      <c r="G188" s="12" t="s">
        <v>4643</v>
      </c>
      <c r="H188" s="74"/>
      <c r="I188" s="147" t="str">
        <f>HYPERLINK("[#]Datatypes!B202:L202","BackcourseLocalizerUseTypeCode")</f>
        <v>BackcourseLocalizerUseTypeCode</v>
      </c>
      <c r="J188" s="80"/>
      <c r="K188" s="77"/>
      <c r="L188" s="77"/>
      <c r="M188" s="71" t="str">
        <f>HYPERLINK("[#]DatatypeListedValues!A1723:H1723","&lt;values&gt;")</f>
        <v>&lt;values&gt;</v>
      </c>
      <c r="N188" s="82" t="b">
        <v>0</v>
      </c>
      <c r="O188" s="25">
        <v>117603</v>
      </c>
      <c r="P188" s="304" t="str">
        <f>CONCATENATE([1]Cover!$D$6,"fdd/view?i=",O188)</f>
        <v>https://www.dgiwg.org/FAD/fdd/view?i=117603</v>
      </c>
      <c r="Q188" s="8" t="s">
        <v>5580</v>
      </c>
      <c r="R188" s="38" t="s">
        <v>151</v>
      </c>
    </row>
    <row r="189" spans="1:18" ht="25.5">
      <c r="A189" s="302" t="str">
        <f t="shared" si="2"/>
        <v>bankOrientation</v>
      </c>
      <c r="B189" s="6" t="s">
        <v>5586</v>
      </c>
      <c r="C189" s="17" t="s">
        <v>5587</v>
      </c>
      <c r="D189" s="10" t="s">
        <v>5588</v>
      </c>
      <c r="E189" s="55"/>
      <c r="F189" s="55"/>
      <c r="G189" s="12" t="s">
        <v>4643</v>
      </c>
      <c r="H189" s="74"/>
      <c r="I189" s="147" t="str">
        <f>HYPERLINK("[#]Datatypes!B204:L204","BankOrientationCode")</f>
        <v>BankOrientationCode</v>
      </c>
      <c r="J189" s="80"/>
      <c r="K189" s="77"/>
      <c r="L189" s="77"/>
      <c r="M189" s="71" t="str">
        <f>HYPERLINK("[#]DatatypeListedValues!A1726:H1726","&lt;values&gt;")</f>
        <v>&lt;values&gt;</v>
      </c>
      <c r="N189" s="82" t="b">
        <v>0</v>
      </c>
      <c r="O189" s="25">
        <v>117788</v>
      </c>
      <c r="P189" s="304" t="str">
        <f>CONCATENATE([1]Cover!$D$6,"fdd/view?i=",O189)</f>
        <v>https://www.dgiwg.org/FAD/fdd/view?i=117788</v>
      </c>
      <c r="Q189" s="8" t="s">
        <v>5585</v>
      </c>
      <c r="R189" s="38" t="s">
        <v>151</v>
      </c>
    </row>
    <row r="190" spans="1:18" ht="25.5">
      <c r="A190" s="302" t="str">
        <f t="shared" si="2"/>
        <v>bankVegetationCharacter</v>
      </c>
      <c r="B190" s="6" t="s">
        <v>5591</v>
      </c>
      <c r="C190" s="17" t="s">
        <v>5592</v>
      </c>
      <c r="D190" s="10" t="s">
        <v>5593</v>
      </c>
      <c r="E190" s="55"/>
      <c r="F190" s="55"/>
      <c r="G190" s="12" t="s">
        <v>4643</v>
      </c>
      <c r="H190" s="74"/>
      <c r="I190" s="147" t="str">
        <f>HYPERLINK("[#]Datatypes!B206:L206","BankVegetationCharacterCode")</f>
        <v>BankVegetationCharacterCode</v>
      </c>
      <c r="J190" s="80"/>
      <c r="K190" s="77"/>
      <c r="L190" s="77"/>
      <c r="M190" s="71" t="str">
        <f>HYPERLINK("[#]DatatypeListedValues!A1730:H1730","&lt;values&gt;")</f>
        <v>&lt;values&gt;</v>
      </c>
      <c r="N190" s="82" t="b">
        <v>0</v>
      </c>
      <c r="O190" s="25">
        <v>117772</v>
      </c>
      <c r="P190" s="304" t="str">
        <f>CONCATENATE([1]Cover!$D$6,"fdd/view?i=",O190)</f>
        <v>https://www.dgiwg.org/FAD/fdd/view?i=117772</v>
      </c>
      <c r="Q190" s="8" t="s">
        <v>5590</v>
      </c>
      <c r="R190" s="38" t="s">
        <v>151</v>
      </c>
    </row>
    <row r="191" spans="1:18" ht="25.5">
      <c r="A191" s="302" t="str">
        <f t="shared" si="2"/>
        <v>barrierTopType</v>
      </c>
      <c r="B191" s="6" t="s">
        <v>5596</v>
      </c>
      <c r="C191" s="17" t="s">
        <v>5597</v>
      </c>
      <c r="D191" s="10" t="s">
        <v>5598</v>
      </c>
      <c r="E191" s="55"/>
      <c r="F191" s="55"/>
      <c r="G191" s="12" t="s">
        <v>4643</v>
      </c>
      <c r="H191" s="74"/>
      <c r="I191" s="147" t="str">
        <f>HYPERLINK("[#]Datatypes!B208:L208","BarrierTopTypeCode")</f>
        <v>BarrierTopTypeCode</v>
      </c>
      <c r="J191" s="80"/>
      <c r="K191" s="77"/>
      <c r="L191" s="77"/>
      <c r="M191" s="71" t="str">
        <f>HYPERLINK("[#]DatatypeListedValues!A1743:H1743","&lt;values&gt;")</f>
        <v>&lt;values&gt;</v>
      </c>
      <c r="N191" s="82" t="b">
        <v>0</v>
      </c>
      <c r="O191" s="25">
        <v>111487</v>
      </c>
      <c r="P191" s="304" t="str">
        <f>CONCATENATE([1]Cover!$D$6,"fdd/view?i=",O191)</f>
        <v>https://www.dgiwg.org/FAD/fdd/view?i=111487</v>
      </c>
      <c r="Q191" s="8" t="s">
        <v>5595</v>
      </c>
      <c r="R191" s="38" t="s">
        <v>151</v>
      </c>
    </row>
    <row r="192" spans="1:18" ht="76.5">
      <c r="A192" s="302" t="str">
        <f t="shared" si="2"/>
        <v>baseElevation</v>
      </c>
      <c r="B192" s="6" t="s">
        <v>5601</v>
      </c>
      <c r="C192" s="17" t="s">
        <v>5602</v>
      </c>
      <c r="D192" s="10" t="s">
        <v>5603</v>
      </c>
      <c r="E192" s="10" t="s">
        <v>5604</v>
      </c>
      <c r="F192" s="55"/>
      <c r="G192" s="12" t="s">
        <v>4643</v>
      </c>
      <c r="H192" s="74"/>
      <c r="I192" s="147" t="str">
        <f>HYPERLINK("[#]Datatypes!B1097:L1097","Real")</f>
        <v>Real</v>
      </c>
      <c r="J192" s="76" t="str">
        <f>HYPERLINK("[#]PhysicalQuantities!A20:N20","Length")</f>
        <v>Length</v>
      </c>
      <c r="K192" s="75" t="str">
        <f>HYPERLINK("[#]UnitsOfMeasure!D80:G80","Metre")</f>
        <v>Metre</v>
      </c>
      <c r="L192" s="77"/>
      <c r="M192" s="78"/>
      <c r="N192" s="74"/>
      <c r="O192" s="25">
        <v>117770</v>
      </c>
      <c r="P192" s="304" t="str">
        <f>CONCATENATE([1]Cover!$D$6,"fdd/view?i=",O192)</f>
        <v>https://www.dgiwg.org/FAD/fdd/view?i=117770</v>
      </c>
      <c r="Q192" s="8" t="s">
        <v>5600</v>
      </c>
      <c r="R192" s="38" t="s">
        <v>151</v>
      </c>
    </row>
    <row r="193" spans="1:18" ht="38.25">
      <c r="A193" s="302" t="str">
        <f t="shared" si="2"/>
        <v>basicEncyclopediaNumber</v>
      </c>
      <c r="B193" s="6" t="s">
        <v>5606</v>
      </c>
      <c r="C193" s="17" t="s">
        <v>5607</v>
      </c>
      <c r="D193" s="10" t="s">
        <v>5608</v>
      </c>
      <c r="E193" s="10" t="s">
        <v>5609</v>
      </c>
      <c r="F193" s="10" t="s">
        <v>5610</v>
      </c>
      <c r="G193" s="12" t="s">
        <v>4643</v>
      </c>
      <c r="H193" s="74"/>
      <c r="I193" s="147" t="str">
        <f>HYPERLINK("[#]Datatypes!B210:L210","BasicEncyclopediaKey")</f>
        <v>BasicEncyclopediaKey</v>
      </c>
      <c r="J193" s="80"/>
      <c r="K193" s="77"/>
      <c r="L193" s="77"/>
      <c r="M193" s="78"/>
      <c r="N193" s="74"/>
      <c r="O193" s="25">
        <v>100657</v>
      </c>
      <c r="P193" s="304" t="str">
        <f>CONCATENATE([1]Cover!$D$6,"fdd/view?i=",O193)</f>
        <v>https://www.dgiwg.org/FAD/fdd/view?i=100657</v>
      </c>
      <c r="Q193" s="8" t="s">
        <v>5605</v>
      </c>
      <c r="R193" s="38" t="s">
        <v>151</v>
      </c>
    </row>
    <row r="194" spans="1:18">
      <c r="A194" s="302" t="str">
        <f t="shared" si="2"/>
        <v>basinGateType</v>
      </c>
      <c r="B194" s="6" t="s">
        <v>5613</v>
      </c>
      <c r="C194" s="17" t="s">
        <v>5614</v>
      </c>
      <c r="D194" s="10" t="s">
        <v>5615</v>
      </c>
      <c r="E194" s="55"/>
      <c r="F194" s="55"/>
      <c r="G194" s="12" t="s">
        <v>4643</v>
      </c>
      <c r="H194" s="74"/>
      <c r="I194" s="147" t="str">
        <f>HYPERLINK("[#]Datatypes!B212:L212","BasinGateTypeCode")</f>
        <v>BasinGateTypeCode</v>
      </c>
      <c r="J194" s="80"/>
      <c r="K194" s="77"/>
      <c r="L194" s="77"/>
      <c r="M194" s="71" t="str">
        <f>HYPERLINK("[#]DatatypeListedValues!A1748:H1748","&lt;values&gt;")</f>
        <v>&lt;values&gt;</v>
      </c>
      <c r="N194" s="82" t="b">
        <v>0</v>
      </c>
      <c r="O194" s="25">
        <v>117771</v>
      </c>
      <c r="P194" s="304" t="str">
        <f>CONCATENATE([1]Cover!$D$6,"fdd/view?i=",O194)</f>
        <v>https://www.dgiwg.org/FAD/fdd/view?i=117771</v>
      </c>
      <c r="Q194" s="8" t="s">
        <v>5612</v>
      </c>
      <c r="R194" s="38" t="s">
        <v>151</v>
      </c>
    </row>
    <row r="195" spans="1:18" ht="38.25">
      <c r="A195" s="302" t="str">
        <f t="shared" si="2"/>
        <v>bathyMeasureQualityCat</v>
      </c>
      <c r="B195" s="6" t="s">
        <v>5618</v>
      </c>
      <c r="C195" s="17" t="s">
        <v>5619</v>
      </c>
      <c r="D195" s="10" t="s">
        <v>5620</v>
      </c>
      <c r="E195" s="10" t="s">
        <v>5621</v>
      </c>
      <c r="F195" s="55"/>
      <c r="G195" s="12" t="s">
        <v>4643</v>
      </c>
      <c r="H195" s="12" t="s">
        <v>4700</v>
      </c>
      <c r="I195" s="147" t="str">
        <f>HYPERLINK("[#]Datatypes!B214:L214","BathyMeasureQualityCatCode")</f>
        <v>BathyMeasureQualityCatCode</v>
      </c>
      <c r="J195" s="80"/>
      <c r="K195" s="77"/>
      <c r="L195" s="77"/>
      <c r="M195" s="71" t="str">
        <f>HYPERLINK("[#]DatatypeListedValues!A1751:H1751","&lt;values&gt;")</f>
        <v>&lt;values&gt;</v>
      </c>
      <c r="N195" s="82" t="b">
        <v>0</v>
      </c>
      <c r="O195" s="25">
        <v>100817</v>
      </c>
      <c r="P195" s="304" t="str">
        <f>CONCATENATE([1]Cover!$D$6,"fdd/view?i=",O195)</f>
        <v>https://www.dgiwg.org/FAD/fdd/view?i=100817</v>
      </c>
      <c r="Q195" s="8" t="s">
        <v>5617</v>
      </c>
      <c r="R195" s="38" t="s">
        <v>151</v>
      </c>
    </row>
    <row r="196" spans="1:18" ht="25.5">
      <c r="A196" s="302" t="str">
        <f t="shared" ref="A196:A259" si="4">HYPERLINK(P196,B196)</f>
        <v>bathyMeasureTechnique</v>
      </c>
      <c r="B196" s="6" t="s">
        <v>5624</v>
      </c>
      <c r="C196" s="17" t="s">
        <v>5625</v>
      </c>
      <c r="D196" s="10" t="s">
        <v>5626</v>
      </c>
      <c r="E196" s="55"/>
      <c r="F196" s="55"/>
      <c r="G196" s="12" t="s">
        <v>4643</v>
      </c>
      <c r="H196" s="12" t="s">
        <v>4700</v>
      </c>
      <c r="I196" s="147" t="str">
        <f>HYPERLINK("[#]Datatypes!B216:L216","BathyMeasureTechniqueCode")</f>
        <v>BathyMeasureTechniqueCode</v>
      </c>
      <c r="J196" s="80"/>
      <c r="K196" s="77"/>
      <c r="L196" s="77"/>
      <c r="M196" s="71" t="str">
        <f>HYPERLINK("[#]DatatypeListedValues!A1762:H1762","&lt;values&gt;")</f>
        <v>&lt;values&gt;</v>
      </c>
      <c r="N196" s="82" t="b">
        <v>0</v>
      </c>
      <c r="O196" s="25">
        <v>101361</v>
      </c>
      <c r="P196" s="304" t="str">
        <f>CONCATENATE([1]Cover!$D$6,"fdd/view?i=",O196)</f>
        <v>https://www.dgiwg.org/FAD/fdd/view?i=101361</v>
      </c>
      <c r="Q196" s="8" t="s">
        <v>5623</v>
      </c>
      <c r="R196" s="38" t="s">
        <v>151</v>
      </c>
    </row>
    <row r="197" spans="1:18" ht="38.25">
      <c r="A197" s="302" t="str">
        <f t="shared" si="4"/>
        <v>batteryRechargeAvail</v>
      </c>
      <c r="B197" s="6" t="s">
        <v>5629</v>
      </c>
      <c r="C197" s="17" t="s">
        <v>5630</v>
      </c>
      <c r="D197" s="10" t="s">
        <v>5631</v>
      </c>
      <c r="E197" s="10" t="s">
        <v>5632</v>
      </c>
      <c r="F197" s="55"/>
      <c r="G197" s="12" t="s">
        <v>4643</v>
      </c>
      <c r="H197" s="74"/>
      <c r="I197" s="147" t="str">
        <f>HYPERLINK("[#]Datatypes!B230:L230","Boolean")</f>
        <v>Boolean</v>
      </c>
      <c r="J197" s="80"/>
      <c r="K197" s="77"/>
      <c r="L197" s="77"/>
      <c r="M197" s="78"/>
      <c r="N197" s="74"/>
      <c r="O197" s="25">
        <v>206024</v>
      </c>
      <c r="P197" s="304" t="str">
        <f>CONCATENATE([1]Cover!$D$6,"fdd/view?i=",O197)</f>
        <v>https://www.dgiwg.org/FAD/fdd/view?i=206024</v>
      </c>
      <c r="Q197" s="8" t="s">
        <v>5628</v>
      </c>
      <c r="R197" s="38" t="s">
        <v>1295</v>
      </c>
    </row>
    <row r="198" spans="1:18" ht="25.5">
      <c r="A198" s="302" t="str">
        <f t="shared" si="4"/>
        <v>beachConfiguration</v>
      </c>
      <c r="B198" s="6" t="s">
        <v>5634</v>
      </c>
      <c r="C198" s="17" t="s">
        <v>5635</v>
      </c>
      <c r="D198" s="10" t="s">
        <v>5636</v>
      </c>
      <c r="E198" s="55"/>
      <c r="F198" s="55"/>
      <c r="G198" s="12" t="s">
        <v>4643</v>
      </c>
      <c r="H198" s="74"/>
      <c r="I198" s="147" t="str">
        <f>HYPERLINK("[#]Datatypes!B218:L218","BeachConfigurationCode")</f>
        <v>BeachConfigurationCode</v>
      </c>
      <c r="J198" s="80"/>
      <c r="K198" s="77"/>
      <c r="L198" s="77"/>
      <c r="M198" s="71" t="str">
        <f>HYPERLINK("[#]DatatypeListedValues!A1778:H1778","&lt;values&gt;")</f>
        <v>&lt;values&gt;</v>
      </c>
      <c r="N198" s="12" t="b">
        <v>1</v>
      </c>
      <c r="O198" s="25">
        <v>119179</v>
      </c>
      <c r="P198" s="304" t="str">
        <f>CONCATENATE([1]Cover!$D$6,"fdd/view?i=",O198)</f>
        <v>https://www.dgiwg.org/FAD/fdd/view?i=119179</v>
      </c>
      <c r="Q198" s="8" t="s">
        <v>5633</v>
      </c>
      <c r="R198" s="38" t="s">
        <v>151</v>
      </c>
    </row>
    <row r="199" spans="1:18" ht="38.25">
      <c r="A199" s="302" t="str">
        <f t="shared" si="4"/>
        <v>beachType</v>
      </c>
      <c r="B199" s="6" t="s">
        <v>5639</v>
      </c>
      <c r="C199" s="17" t="s">
        <v>5640</v>
      </c>
      <c r="D199" s="10" t="s">
        <v>5641</v>
      </c>
      <c r="E199" s="55"/>
      <c r="F199" s="55"/>
      <c r="G199" s="12" t="s">
        <v>4643</v>
      </c>
      <c r="H199" s="74"/>
      <c r="I199" s="147" t="str">
        <f>HYPERLINK("[#]Datatypes!B220:L220","BeachTypeCode")</f>
        <v>BeachTypeCode</v>
      </c>
      <c r="J199" s="80"/>
      <c r="K199" s="77"/>
      <c r="L199" s="77"/>
      <c r="M199" s="71" t="str">
        <f>HYPERLINK("[#]DatatypeListedValues!A1782:H1782","&lt;values&gt;")</f>
        <v>&lt;values&gt;</v>
      </c>
      <c r="N199" s="82" t="b">
        <v>0</v>
      </c>
      <c r="O199" s="25">
        <v>204138</v>
      </c>
      <c r="P199" s="304" t="str">
        <f>CONCATENATE([1]Cover!$D$6,"fdd/view?i=",O199)</f>
        <v>https://www.dgiwg.org/FAD/fdd/view?i=204138</v>
      </c>
      <c r="Q199" s="8" t="s">
        <v>5638</v>
      </c>
      <c r="R199" s="38" t="s">
        <v>1295</v>
      </c>
    </row>
    <row r="200" spans="1:18" ht="25.5">
      <c r="A200" s="302" t="str">
        <f t="shared" si="4"/>
        <v>beaconMinorAxisBearing</v>
      </c>
      <c r="B200" s="6" t="s">
        <v>5644</v>
      </c>
      <c r="C200" s="17" t="s">
        <v>5645</v>
      </c>
      <c r="D200" s="10" t="s">
        <v>5646</v>
      </c>
      <c r="E200" s="55"/>
      <c r="F200" s="10" t="s">
        <v>5647</v>
      </c>
      <c r="G200" s="12" t="s">
        <v>4643</v>
      </c>
      <c r="H200" s="74"/>
      <c r="I200" s="147" t="str">
        <f>HYPERLINK("[#]Datatypes!B1097:L1097","Real")</f>
        <v>Real</v>
      </c>
      <c r="J200" s="76" t="str">
        <f>HYPERLINK("[#]PhysicalQuantities!A34:N34","Plane Angle")</f>
        <v>Plane Angle</v>
      </c>
      <c r="K200" s="75" t="str">
        <f>HYPERLINK("[#]UnitsOfMeasure!D159:G159","Arc Degree")</f>
        <v>Arc Degree</v>
      </c>
      <c r="L200" s="77"/>
      <c r="M200" s="78"/>
      <c r="N200" s="74"/>
      <c r="O200" s="25">
        <v>117617</v>
      </c>
      <c r="P200" s="304" t="str">
        <f>CONCATENATE([1]Cover!$D$6,"fdd/view?i=",O200)</f>
        <v>https://www.dgiwg.org/FAD/fdd/view?i=117617</v>
      </c>
      <c r="Q200" s="8" t="s">
        <v>5643</v>
      </c>
      <c r="R200" s="38" t="s">
        <v>151</v>
      </c>
    </row>
    <row r="201" spans="1:18" ht="25.5">
      <c r="A201" s="302" t="str">
        <f t="shared" si="4"/>
        <v>bearingReciprocalCategory</v>
      </c>
      <c r="B201" s="6" t="s">
        <v>5649</v>
      </c>
      <c r="C201" s="17" t="s">
        <v>5650</v>
      </c>
      <c r="D201" s="10" t="s">
        <v>5651</v>
      </c>
      <c r="E201" s="55"/>
      <c r="F201" s="55"/>
      <c r="G201" s="12" t="s">
        <v>4643</v>
      </c>
      <c r="H201" s="74"/>
      <c r="I201" s="147" t="str">
        <f>HYPERLINK("[#]Datatypes!B222:L222","BearingReciprocalCategoryStrucText")</f>
        <v>BearingReciprocalCategoryStrucText</v>
      </c>
      <c r="J201" s="80"/>
      <c r="K201" s="77"/>
      <c r="L201" s="77"/>
      <c r="M201" s="78"/>
      <c r="N201" s="74"/>
      <c r="O201" s="25">
        <v>100679</v>
      </c>
      <c r="P201" s="304" t="str">
        <f>CONCATENATE([1]Cover!$D$6,"fdd/view?i=",O201)</f>
        <v>https://www.dgiwg.org/FAD/fdd/view?i=100679</v>
      </c>
      <c r="Q201" s="8" t="s">
        <v>5648</v>
      </c>
      <c r="R201" s="38" t="s">
        <v>151</v>
      </c>
    </row>
    <row r="202" spans="1:18" ht="25.5">
      <c r="A202" s="302" t="str">
        <f t="shared" si="4"/>
        <v>bearingFromSeaward</v>
      </c>
      <c r="B202" s="6" t="s">
        <v>5654</v>
      </c>
      <c r="C202" s="17" t="s">
        <v>5655</v>
      </c>
      <c r="D202" s="10" t="s">
        <v>5656</v>
      </c>
      <c r="E202" s="55"/>
      <c r="F202" s="55"/>
      <c r="G202" s="12" t="s">
        <v>4643</v>
      </c>
      <c r="H202" s="74"/>
      <c r="I202" s="147" t="str">
        <f>HYPERLINK("[#]Datatypes!B1128:L1128","RealNonNeg360")</f>
        <v>RealNonNeg360</v>
      </c>
      <c r="J202" s="76" t="str">
        <f>HYPERLINK("[#]PhysicalQuantities!A34:N34","Plane Angle")</f>
        <v>Plane Angle</v>
      </c>
      <c r="K202" s="75" t="str">
        <f>HYPERLINK("[#]UnitsOfMeasure!D159:G159","Arc Degree")</f>
        <v>Arc Degree</v>
      </c>
      <c r="L202" s="77"/>
      <c r="M202" s="78"/>
      <c r="N202" s="74"/>
      <c r="O202" s="25">
        <v>100680</v>
      </c>
      <c r="P202" s="304" t="str">
        <f>CONCATENATE([1]Cover!$D$6,"fdd/view?i=",O202)</f>
        <v>https://www.dgiwg.org/FAD/fdd/view?i=100680</v>
      </c>
      <c r="Q202" s="8" t="s">
        <v>5653</v>
      </c>
      <c r="R202" s="38" t="s">
        <v>151</v>
      </c>
    </row>
    <row r="203" spans="1:18" ht="25.5">
      <c r="A203" s="302" t="str">
        <f t="shared" si="4"/>
        <v>bearingOfObject</v>
      </c>
      <c r="B203" s="6" t="s">
        <v>5659</v>
      </c>
      <c r="C203" s="17" t="s">
        <v>5660</v>
      </c>
      <c r="D203" s="10" t="s">
        <v>5661</v>
      </c>
      <c r="E203" s="10" t="s">
        <v>5662</v>
      </c>
      <c r="F203" s="55"/>
      <c r="G203" s="12" t="s">
        <v>4643</v>
      </c>
      <c r="H203" s="74"/>
      <c r="I203" s="147" t="str">
        <f>HYPERLINK("[#]Datatypes!B1126:L1126","RealNonNeg359r9")</f>
        <v>RealNonNeg359r9</v>
      </c>
      <c r="J203" s="76" t="str">
        <f>HYPERLINK("[#]PhysicalQuantities!A34:N34","Plane Angle")</f>
        <v>Plane Angle</v>
      </c>
      <c r="K203" s="75" t="str">
        <f>HYPERLINK("[#]UnitsOfMeasure!D159:G159","Arc Degree")</f>
        <v>Arc Degree</v>
      </c>
      <c r="L203" s="77"/>
      <c r="M203" s="78"/>
      <c r="N203" s="74"/>
      <c r="O203" s="25">
        <v>100675</v>
      </c>
      <c r="P203" s="304" t="str">
        <f>CONCATENATE([1]Cover!$D$6,"fdd/view?i=",O203)</f>
        <v>https://www.dgiwg.org/FAD/fdd/view?i=100675</v>
      </c>
      <c r="Q203" s="8" t="s">
        <v>5658</v>
      </c>
      <c r="R203" s="38" t="s">
        <v>151</v>
      </c>
    </row>
    <row r="204" spans="1:18" ht="38.25">
      <c r="A204" s="302" t="str">
        <f t="shared" si="4"/>
        <v>belowWaterBankSlope</v>
      </c>
      <c r="B204" s="6" t="s">
        <v>5664</v>
      </c>
      <c r="C204" s="17" t="s">
        <v>5665</v>
      </c>
      <c r="D204" s="10" t="s">
        <v>5666</v>
      </c>
      <c r="E204" s="10" t="s">
        <v>4642</v>
      </c>
      <c r="F204" s="55"/>
      <c r="G204" s="12" t="s">
        <v>4643</v>
      </c>
      <c r="H204" s="74"/>
      <c r="I204" s="147" t="str">
        <f>HYPERLINK("[#]Datatypes!B1099:L1099","RealInterval")</f>
        <v>RealInterval</v>
      </c>
      <c r="J204" s="76" t="str">
        <f>HYPERLINK("[#]PhysicalQuantities!A39:N39","Pure Number")</f>
        <v>Pure Number</v>
      </c>
      <c r="K204" s="75" t="str">
        <f>HYPERLINK("[#]UnitsOfMeasure!D215:G215","Percent")</f>
        <v>Percent</v>
      </c>
      <c r="L204" s="77"/>
      <c r="M204" s="78"/>
      <c r="N204" s="74"/>
      <c r="O204" s="25">
        <v>114346</v>
      </c>
      <c r="P204" s="304" t="str">
        <f>CONCATENATE([1]Cover!$D$6,"fdd/view?i=",O204)</f>
        <v>https://www.dgiwg.org/FAD/fdd/view?i=114346</v>
      </c>
      <c r="Q204" s="8" t="s">
        <v>5663</v>
      </c>
      <c r="R204" s="38" t="s">
        <v>151</v>
      </c>
    </row>
    <row r="205" spans="1:18">
      <c r="A205" s="302" t="str">
        <f t="shared" si="4"/>
        <v>berthIdentifier</v>
      </c>
      <c r="B205" s="6" t="s">
        <v>5668</v>
      </c>
      <c r="C205" s="17" t="s">
        <v>5669</v>
      </c>
      <c r="D205" s="10" t="s">
        <v>5670</v>
      </c>
      <c r="E205" s="55"/>
      <c r="F205" s="55"/>
      <c r="G205" s="12" t="s">
        <v>4643</v>
      </c>
      <c r="H205" s="74"/>
      <c r="I205" s="147" t="str">
        <f>HYPERLINK("[#]Datatypes!B772:L772","KeyNonLex80")</f>
        <v>KeyNonLex80</v>
      </c>
      <c r="J205" s="80"/>
      <c r="K205" s="77"/>
      <c r="L205" s="77"/>
      <c r="M205" s="78"/>
      <c r="N205" s="74"/>
      <c r="O205" s="25">
        <v>100658</v>
      </c>
      <c r="P205" s="304" t="str">
        <f>CONCATENATE([1]Cover!$D$6,"fdd/view?i=",O205)</f>
        <v>https://www.dgiwg.org/FAD/fdd/view?i=100658</v>
      </c>
      <c r="Q205" s="8" t="s">
        <v>5667</v>
      </c>
      <c r="R205" s="38" t="s">
        <v>151</v>
      </c>
    </row>
    <row r="206" spans="1:18" ht="51">
      <c r="A206" s="302" t="str">
        <f t="shared" si="4"/>
        <v>berthRadius</v>
      </c>
      <c r="B206" s="6" t="s">
        <v>5673</v>
      </c>
      <c r="C206" s="17" t="s">
        <v>5674</v>
      </c>
      <c r="D206" s="10" t="s">
        <v>5675</v>
      </c>
      <c r="E206" s="10" t="s">
        <v>5676</v>
      </c>
      <c r="F206" s="55"/>
      <c r="G206" s="12" t="s">
        <v>4643</v>
      </c>
      <c r="H206" s="74"/>
      <c r="I206" s="147" t="str">
        <f>HYPERLINK("[#]Datatypes!B1097:L1097","Real")</f>
        <v>Real</v>
      </c>
      <c r="J206" s="76" t="str">
        <f>HYPERLINK("[#]PhysicalQuantities!A20:N20","Length")</f>
        <v>Length</v>
      </c>
      <c r="K206" s="75" t="str">
        <f>HYPERLINK("[#]UnitsOfMeasure!D94:G94","Nautical Mile")</f>
        <v>Nautical Mile</v>
      </c>
      <c r="L206" s="77"/>
      <c r="M206" s="78"/>
      <c r="N206" s="74"/>
      <c r="O206" s="25">
        <v>111489</v>
      </c>
      <c r="P206" s="304" t="str">
        <f>CONCATENATE([1]Cover!$D$6,"fdd/view?i=",O206)</f>
        <v>https://www.dgiwg.org/FAD/fdd/view?i=111489</v>
      </c>
      <c r="Q206" s="8" t="s">
        <v>5672</v>
      </c>
      <c r="R206" s="38" t="s">
        <v>151</v>
      </c>
    </row>
    <row r="207" spans="1:18" ht="25.5">
      <c r="A207" s="302" t="str">
        <f t="shared" si="4"/>
        <v>bgnAdminLevel</v>
      </c>
      <c r="B207" s="6" t="s">
        <v>5678</v>
      </c>
      <c r="C207" s="17" t="s">
        <v>5679</v>
      </c>
      <c r="D207" s="10" t="s">
        <v>5680</v>
      </c>
      <c r="E207" s="10" t="s">
        <v>5681</v>
      </c>
      <c r="F207" s="55"/>
      <c r="G207" s="12" t="s">
        <v>4643</v>
      </c>
      <c r="H207" s="74"/>
      <c r="I207" s="147" t="str">
        <f>HYPERLINK("[#]Datatypes!B224:L224","BgnAdminLevelCode")</f>
        <v>BgnAdminLevelCode</v>
      </c>
      <c r="J207" s="80"/>
      <c r="K207" s="77"/>
      <c r="L207" s="77"/>
      <c r="M207" s="71" t="str">
        <f>HYPERLINK("[#]DatatypeListedValues!A1783:H1783","&lt;values&gt;")</f>
        <v>&lt;values&gt;</v>
      </c>
      <c r="N207" s="82" t="b">
        <v>0</v>
      </c>
      <c r="O207" s="25">
        <v>200547</v>
      </c>
      <c r="P207" s="304" t="str">
        <f>CONCATENATE([1]Cover!$D$6,"fdd/view?i=",O207)</f>
        <v>https://www.dgiwg.org/FAD/fdd/view?i=200547</v>
      </c>
      <c r="Q207" s="8" t="s">
        <v>5677</v>
      </c>
      <c r="R207" s="38" t="s">
        <v>1295</v>
      </c>
    </row>
    <row r="208" spans="1:18">
      <c r="A208" s="302" t="str">
        <f t="shared" si="4"/>
        <v>bidirectional</v>
      </c>
      <c r="B208" s="6" t="s">
        <v>5684</v>
      </c>
      <c r="C208" s="17" t="s">
        <v>5685</v>
      </c>
      <c r="D208" s="10" t="s">
        <v>5686</v>
      </c>
      <c r="E208" s="55"/>
      <c r="F208" s="55"/>
      <c r="G208" s="12" t="s">
        <v>4643</v>
      </c>
      <c r="H208" s="74"/>
      <c r="I208" s="147" t="str">
        <f>HYPERLINK("[#]Datatypes!B230:L230","Boolean")</f>
        <v>Boolean</v>
      </c>
      <c r="J208" s="80"/>
      <c r="K208" s="77"/>
      <c r="L208" s="77"/>
      <c r="M208" s="78"/>
      <c r="N208" s="74"/>
      <c r="O208" s="25">
        <v>100654</v>
      </c>
      <c r="P208" s="304" t="str">
        <f>CONCATENATE([1]Cover!$D$6,"fdd/view?i=",O208)</f>
        <v>https://www.dgiwg.org/FAD/fdd/view?i=100654</v>
      </c>
      <c r="Q208" s="8" t="s">
        <v>5683</v>
      </c>
      <c r="R208" s="38" t="s">
        <v>151</v>
      </c>
    </row>
    <row r="209" spans="1:18" ht="76.5">
      <c r="A209" s="302" t="str">
        <f t="shared" si="4"/>
        <v>bodyWaveMagnitude</v>
      </c>
      <c r="B209" s="6" t="s">
        <v>5688</v>
      </c>
      <c r="C209" s="17" t="s">
        <v>5689</v>
      </c>
      <c r="D209" s="10" t="s">
        <v>5690</v>
      </c>
      <c r="E209" s="10" t="s">
        <v>5691</v>
      </c>
      <c r="F209" s="55"/>
      <c r="G209" s="12" t="s">
        <v>4643</v>
      </c>
      <c r="H209" s="74"/>
      <c r="I209" s="147" t="str">
        <f>HYPERLINK("[#]Datatypes!B1097:L1097","Real")</f>
        <v>Real</v>
      </c>
      <c r="J209" s="76" t="str">
        <f>HYPERLINK("[#]PhysicalQuantities!A39:N39","Pure Number")</f>
        <v>Pure Number</v>
      </c>
      <c r="K209" s="75" t="str">
        <f>HYPERLINK("[#]UnitsOfMeasure!D213:G213","Unitless")</f>
        <v>Unitless</v>
      </c>
      <c r="L209" s="77"/>
      <c r="M209" s="78"/>
      <c r="N209" s="74"/>
      <c r="O209" s="25">
        <v>118574</v>
      </c>
      <c r="P209" s="304" t="str">
        <f>CONCATENATE([1]Cover!$D$6,"fdd/view?i=",O209)</f>
        <v>https://www.dgiwg.org/FAD/fdd/view?i=118574</v>
      </c>
      <c r="Q209" s="8" t="s">
        <v>5687</v>
      </c>
      <c r="R209" s="38" t="s">
        <v>151</v>
      </c>
    </row>
    <row r="210" spans="1:18" ht="51">
      <c r="A210" s="302" t="str">
        <f t="shared" si="4"/>
        <v>bogType</v>
      </c>
      <c r="B210" s="6" t="s">
        <v>5693</v>
      </c>
      <c r="C210" s="17" t="s">
        <v>5694</v>
      </c>
      <c r="D210" s="10" t="s">
        <v>5695</v>
      </c>
      <c r="E210" s="10" t="s">
        <v>5696</v>
      </c>
      <c r="F210" s="55"/>
      <c r="G210" s="12" t="s">
        <v>4643</v>
      </c>
      <c r="H210" s="74"/>
      <c r="I210" s="147" t="str">
        <f>HYPERLINK("[#]Datatypes!B226:L226","BogTypeCode")</f>
        <v>BogTypeCode</v>
      </c>
      <c r="J210" s="80"/>
      <c r="K210" s="77"/>
      <c r="L210" s="77"/>
      <c r="M210" s="71" t="str">
        <f>HYPERLINK("[#]DatatypeListedValues!A1788:H1788","&lt;values&gt;")</f>
        <v>&lt;values&gt;</v>
      </c>
      <c r="N210" s="82" t="b">
        <v>0</v>
      </c>
      <c r="O210" s="25">
        <v>100669</v>
      </c>
      <c r="P210" s="304" t="str">
        <f>CONCATENATE([1]Cover!$D$6,"fdd/view?i=",O210)</f>
        <v>https://www.dgiwg.org/FAD/fdd/view?i=100669</v>
      </c>
      <c r="Q210" s="8" t="s">
        <v>5692</v>
      </c>
      <c r="R210" s="38" t="s">
        <v>151</v>
      </c>
    </row>
    <row r="211" spans="1:18">
      <c r="A211" s="302" t="str">
        <f t="shared" si="4"/>
        <v>bollardMobile</v>
      </c>
      <c r="B211" s="6" t="s">
        <v>5699</v>
      </c>
      <c r="C211" s="17" t="s">
        <v>5700</v>
      </c>
      <c r="D211" s="10" t="s">
        <v>5701</v>
      </c>
      <c r="E211" s="10" t="s">
        <v>5702</v>
      </c>
      <c r="F211" s="55"/>
      <c r="G211" s="12" t="s">
        <v>4643</v>
      </c>
      <c r="H211" s="74"/>
      <c r="I211" s="147" t="str">
        <f>HYPERLINK("[#]Datatypes!B230:L230","Boolean")</f>
        <v>Boolean</v>
      </c>
      <c r="J211" s="80"/>
      <c r="K211" s="77"/>
      <c r="L211" s="77"/>
      <c r="M211" s="78"/>
      <c r="N211" s="74"/>
      <c r="O211" s="25">
        <v>119579</v>
      </c>
      <c r="P211" s="304" t="str">
        <f>CONCATENATE([1]Cover!$D$6,"fdd/view?i=",O211)</f>
        <v>https://www.dgiwg.org/FAD/fdd/view?i=119579</v>
      </c>
      <c r="Q211" s="8" t="s">
        <v>5698</v>
      </c>
      <c r="R211" s="38" t="s">
        <v>151</v>
      </c>
    </row>
    <row r="212" spans="1:18">
      <c r="A212" s="302" t="str">
        <f t="shared" si="4"/>
        <v>bollardType</v>
      </c>
      <c r="B212" s="6" t="s">
        <v>5704</v>
      </c>
      <c r="C212" s="17" t="s">
        <v>5705</v>
      </c>
      <c r="D212" s="10" t="s">
        <v>5706</v>
      </c>
      <c r="E212" s="55"/>
      <c r="F212" s="55"/>
      <c r="G212" s="12" t="s">
        <v>4643</v>
      </c>
      <c r="H212" s="74"/>
      <c r="I212" s="147" t="str">
        <f>HYPERLINK("[#]Datatypes!B228:L228","BollardTypeCode")</f>
        <v>BollardTypeCode</v>
      </c>
      <c r="J212" s="80"/>
      <c r="K212" s="77"/>
      <c r="L212" s="77"/>
      <c r="M212" s="71" t="str">
        <f>HYPERLINK("[#]DatatypeListedValues!A1807:H1807","&lt;values&gt;")</f>
        <v>&lt;values&gt;</v>
      </c>
      <c r="N212" s="82" t="b">
        <v>0</v>
      </c>
      <c r="O212" s="25">
        <v>119644</v>
      </c>
      <c r="P212" s="304" t="str">
        <f>CONCATENATE([1]Cover!$D$6,"fdd/view?i=",O212)</f>
        <v>https://www.dgiwg.org/FAD/fdd/view?i=119644</v>
      </c>
      <c r="Q212" s="8" t="s">
        <v>5703</v>
      </c>
      <c r="R212" s="38" t="s">
        <v>151</v>
      </c>
    </row>
    <row r="213" spans="1:18" ht="38.25">
      <c r="A213" s="302" t="str">
        <f t="shared" si="4"/>
        <v>borderCrossingType</v>
      </c>
      <c r="B213" s="6" t="s">
        <v>5709</v>
      </c>
      <c r="C213" s="17" t="s">
        <v>5710</v>
      </c>
      <c r="D213" s="10" t="s">
        <v>5711</v>
      </c>
      <c r="E213" s="55"/>
      <c r="F213" s="55"/>
      <c r="G213" s="12" t="s">
        <v>4643</v>
      </c>
      <c r="H213" s="74"/>
      <c r="I213" s="147" t="str">
        <f>HYPERLINK("[#]Datatypes!B236:L236","BorderCrossingTypeCode")</f>
        <v>BorderCrossingTypeCode</v>
      </c>
      <c r="J213" s="80"/>
      <c r="K213" s="77"/>
      <c r="L213" s="77"/>
      <c r="M213" s="71" t="str">
        <f>HYPERLINK("[#]DatatypeListedValues!A1809:H1809","&lt;values&gt;")</f>
        <v>&lt;values&gt;</v>
      </c>
      <c r="N213" s="82" t="b">
        <v>0</v>
      </c>
      <c r="O213" s="25">
        <v>118625</v>
      </c>
      <c r="P213" s="304" t="str">
        <f>CONCATENATE([1]Cover!$D$6,"fdd/view?i=",O213)</f>
        <v>https://www.dgiwg.org/FAD/fdd/view?i=118625</v>
      </c>
      <c r="Q213" s="8" t="s">
        <v>5708</v>
      </c>
      <c r="R213" s="38" t="s">
        <v>151</v>
      </c>
    </row>
    <row r="214" spans="1:18" ht="38.25">
      <c r="A214" s="302" t="str">
        <f t="shared" si="4"/>
        <v>boreholeType</v>
      </c>
      <c r="B214" s="6" t="s">
        <v>5714</v>
      </c>
      <c r="C214" s="17" t="s">
        <v>5715</v>
      </c>
      <c r="D214" s="10" t="s">
        <v>5716</v>
      </c>
      <c r="E214" s="10" t="s">
        <v>1706</v>
      </c>
      <c r="F214" s="55"/>
      <c r="G214" s="12" t="s">
        <v>4643</v>
      </c>
      <c r="H214" s="74"/>
      <c r="I214" s="147" t="str">
        <f>HYPERLINK("[#]Datatypes!B238:L238","BoreholeTypeCode")</f>
        <v>BoreholeTypeCode</v>
      </c>
      <c r="J214" s="80"/>
      <c r="K214" s="77"/>
      <c r="L214" s="77"/>
      <c r="M214" s="71" t="str">
        <f>HYPERLINK("[#]DatatypeListedValues!A1814:H1814","&lt;values&gt;")</f>
        <v>&lt;values&gt;</v>
      </c>
      <c r="N214" s="82" t="b">
        <v>0</v>
      </c>
      <c r="O214" s="25">
        <v>111682</v>
      </c>
      <c r="P214" s="304" t="str">
        <f>CONCATENATE([1]Cover!$D$6,"fdd/view?i=",O214)</f>
        <v>https://www.dgiwg.org/FAD/fdd/view?i=111682</v>
      </c>
      <c r="Q214" s="8" t="s">
        <v>5713</v>
      </c>
      <c r="R214" s="38" t="s">
        <v>151</v>
      </c>
    </row>
    <row r="215" spans="1:18" ht="25.5">
      <c r="A215" s="302" t="str">
        <f t="shared" si="4"/>
        <v>bottomContactStatus</v>
      </c>
      <c r="B215" s="6" t="s">
        <v>5719</v>
      </c>
      <c r="C215" s="17" t="s">
        <v>5720</v>
      </c>
      <c r="D215" s="10" t="s">
        <v>5721</v>
      </c>
      <c r="E215" s="55"/>
      <c r="F215" s="55"/>
      <c r="G215" s="12" t="s">
        <v>4643</v>
      </c>
      <c r="H215" s="74"/>
      <c r="I215" s="147" t="str">
        <f>HYPERLINK("[#]Datatypes!B240:L240","BottomContactStatusCode")</f>
        <v>BottomContactStatusCode</v>
      </c>
      <c r="J215" s="80"/>
      <c r="K215" s="77"/>
      <c r="L215" s="77"/>
      <c r="M215" s="71" t="str">
        <f>HYPERLINK("[#]DatatypeListedValues!A1824:H1824","&lt;values&gt;")</f>
        <v>&lt;values&gt;</v>
      </c>
      <c r="N215" s="82" t="b">
        <v>0</v>
      </c>
      <c r="O215" s="25">
        <v>111107</v>
      </c>
      <c r="P215" s="304" t="str">
        <f>CONCATENATE([1]Cover!$D$6,"fdd/view?i=",O215)</f>
        <v>https://www.dgiwg.org/FAD/fdd/view?i=111107</v>
      </c>
      <c r="Q215" s="8" t="s">
        <v>5718</v>
      </c>
      <c r="R215" s="38" t="s">
        <v>151</v>
      </c>
    </row>
    <row r="216" spans="1:18" ht="25.5">
      <c r="A216" s="302" t="str">
        <f t="shared" si="4"/>
        <v>bottomMaterialType</v>
      </c>
      <c r="B216" s="6" t="s">
        <v>5724</v>
      </c>
      <c r="C216" s="17" t="s">
        <v>5725</v>
      </c>
      <c r="D216" s="10" t="s">
        <v>5726</v>
      </c>
      <c r="E216" s="55"/>
      <c r="F216" s="55"/>
      <c r="G216" s="12" t="s">
        <v>4643</v>
      </c>
      <c r="H216" s="12" t="s">
        <v>4700</v>
      </c>
      <c r="I216" s="147" t="str">
        <f>HYPERLINK("[#]Datatypes!B242:L242","BottomMaterialTypeCode")</f>
        <v>BottomMaterialTypeCode</v>
      </c>
      <c r="J216" s="80"/>
      <c r="K216" s="77"/>
      <c r="L216" s="77"/>
      <c r="M216" s="71" t="str">
        <f>HYPERLINK("[#]DatatypeListedValues!A1827:H1827","&lt;values&gt;")</f>
        <v>&lt;values&gt;</v>
      </c>
      <c r="N216" s="82" t="b">
        <v>0</v>
      </c>
      <c r="O216" s="25">
        <v>100667</v>
      </c>
      <c r="P216" s="304" t="str">
        <f>CONCATENATE([1]Cover!$D$6,"fdd/view?i=",O216)</f>
        <v>https://www.dgiwg.org/FAD/fdd/view?i=100667</v>
      </c>
      <c r="Q216" s="8" t="s">
        <v>5723</v>
      </c>
      <c r="R216" s="38" t="s">
        <v>151</v>
      </c>
    </row>
    <row r="217" spans="1:18" ht="89.25">
      <c r="A217" s="302" t="str">
        <f t="shared" si="4"/>
        <v>bottomObjectType</v>
      </c>
      <c r="B217" s="6" t="s">
        <v>5729</v>
      </c>
      <c r="C217" s="17" t="s">
        <v>5730</v>
      </c>
      <c r="D217" s="10" t="s">
        <v>5731</v>
      </c>
      <c r="E217" s="10" t="s">
        <v>5732</v>
      </c>
      <c r="F217" s="55"/>
      <c r="G217" s="12" t="s">
        <v>4643</v>
      </c>
      <c r="H217" s="74"/>
      <c r="I217" s="147" t="str">
        <f>HYPERLINK("[#]Datatypes!B244:L244","BottomObjectTypeCode")</f>
        <v>BottomObjectTypeCode</v>
      </c>
      <c r="J217" s="80"/>
      <c r="K217" s="77"/>
      <c r="L217" s="77"/>
      <c r="M217" s="71" t="str">
        <f>HYPERLINK("[#]DatatypeListedValues!A1842:H1842","&lt;values&gt;")</f>
        <v>&lt;values&gt;</v>
      </c>
      <c r="N217" s="82" t="b">
        <v>0</v>
      </c>
      <c r="O217" s="25">
        <v>118162</v>
      </c>
      <c r="P217" s="304" t="str">
        <f>CONCATENATE([1]Cover!$D$6,"fdd/view?i=",O217)</f>
        <v>https://www.dgiwg.org/FAD/fdd/view?i=118162</v>
      </c>
      <c r="Q217" s="8" t="s">
        <v>5728</v>
      </c>
      <c r="R217" s="38" t="s">
        <v>151</v>
      </c>
    </row>
    <row r="218" spans="1:18" ht="38.25">
      <c r="A218" s="302" t="str">
        <f t="shared" si="4"/>
        <v>boundaryDemarcated</v>
      </c>
      <c r="B218" s="6" t="s">
        <v>5735</v>
      </c>
      <c r="C218" s="17" t="s">
        <v>5736</v>
      </c>
      <c r="D218" s="10" t="s">
        <v>5737</v>
      </c>
      <c r="E218" s="10" t="s">
        <v>5738</v>
      </c>
      <c r="F218" s="55"/>
      <c r="G218" s="12" t="s">
        <v>4643</v>
      </c>
      <c r="H218" s="74"/>
      <c r="I218" s="147" t="str">
        <f>HYPERLINK("[#]Datatypes!B230:L230","Boolean")</f>
        <v>Boolean</v>
      </c>
      <c r="J218" s="80"/>
      <c r="K218" s="77"/>
      <c r="L218" s="77"/>
      <c r="M218" s="78"/>
      <c r="N218" s="74"/>
      <c r="O218" s="25">
        <v>100821</v>
      </c>
      <c r="P218" s="304" t="str">
        <f>CONCATENATE([1]Cover!$D$6,"fdd/view?i=",O218)</f>
        <v>https://www.dgiwg.org/FAD/fdd/view?i=100821</v>
      </c>
      <c r="Q218" s="8" t="s">
        <v>5734</v>
      </c>
      <c r="R218" s="38" t="s">
        <v>151</v>
      </c>
    </row>
    <row r="219" spans="1:18" ht="25.5">
      <c r="A219" s="302" t="str">
        <f t="shared" si="4"/>
        <v>boundaryDetermineMethod</v>
      </c>
      <c r="B219" s="6" t="s">
        <v>5740</v>
      </c>
      <c r="C219" s="17" t="s">
        <v>5741</v>
      </c>
      <c r="D219" s="10" t="s">
        <v>5742</v>
      </c>
      <c r="E219" s="55"/>
      <c r="F219" s="55"/>
      <c r="G219" s="12" t="s">
        <v>4643</v>
      </c>
      <c r="H219" s="74"/>
      <c r="I219" s="147" t="str">
        <f>HYPERLINK("[#]Datatypes!B246:L246","BoundaryDetermineMethodCode")</f>
        <v>BoundaryDetermineMethodCode</v>
      </c>
      <c r="J219" s="80"/>
      <c r="K219" s="77"/>
      <c r="L219" s="77"/>
      <c r="M219" s="71" t="str">
        <f>HYPERLINK("[#]DatatypeListedValues!A1849:H1849","&lt;values&gt;")</f>
        <v>&lt;values&gt;</v>
      </c>
      <c r="N219" s="82" t="b">
        <v>0</v>
      </c>
      <c r="O219" s="25">
        <v>100739</v>
      </c>
      <c r="P219" s="304" t="str">
        <f>CONCATENATE([1]Cover!$D$6,"fdd/view?i=",O219)</f>
        <v>https://www.dgiwg.org/FAD/fdd/view?i=100739</v>
      </c>
      <c r="Q219" s="8" t="s">
        <v>5739</v>
      </c>
      <c r="R219" s="38" t="s">
        <v>151</v>
      </c>
    </row>
    <row r="220" spans="1:18">
      <c r="A220" s="302" t="str">
        <f t="shared" si="4"/>
        <v>boundaryDisputeType</v>
      </c>
      <c r="B220" s="6" t="s">
        <v>5745</v>
      </c>
      <c r="C220" s="17" t="s">
        <v>5746</v>
      </c>
      <c r="D220" s="10" t="s">
        <v>5747</v>
      </c>
      <c r="E220" s="55"/>
      <c r="F220" s="55"/>
      <c r="G220" s="12" t="s">
        <v>4643</v>
      </c>
      <c r="H220" s="74"/>
      <c r="I220" s="147" t="str">
        <f>HYPERLINK("[#]Datatypes!B248:L248","BoundaryDisputeTypeCode")</f>
        <v>BoundaryDisputeTypeCode</v>
      </c>
      <c r="J220" s="80"/>
      <c r="K220" s="77"/>
      <c r="L220" s="77"/>
      <c r="M220" s="71" t="str">
        <f>HYPERLINK("[#]DatatypeListedValues!A1880:H1880","&lt;values&gt;")</f>
        <v>&lt;values&gt;</v>
      </c>
      <c r="N220" s="12" t="b">
        <v>1</v>
      </c>
      <c r="O220" s="25">
        <v>100844</v>
      </c>
      <c r="P220" s="304" t="str">
        <f>CONCATENATE([1]Cover!$D$6,"fdd/view?i=",O220)</f>
        <v>https://www.dgiwg.org/FAD/fdd/view?i=100844</v>
      </c>
      <c r="Q220" s="8" t="s">
        <v>5744</v>
      </c>
      <c r="R220" s="38" t="s">
        <v>151</v>
      </c>
    </row>
    <row r="221" spans="1:18">
      <c r="A221" s="302" t="str">
        <f t="shared" si="4"/>
        <v>boundaryLightsPresent</v>
      </c>
      <c r="B221" s="6" t="s">
        <v>5750</v>
      </c>
      <c r="C221" s="17" t="s">
        <v>5751</v>
      </c>
      <c r="D221" s="10" t="s">
        <v>5752</v>
      </c>
      <c r="E221" s="55"/>
      <c r="F221" s="55"/>
      <c r="G221" s="12" t="s">
        <v>4643</v>
      </c>
      <c r="H221" s="74"/>
      <c r="I221" s="147" t="str">
        <f>HYPERLINK("[#]Datatypes!B230:L230","Boolean")</f>
        <v>Boolean</v>
      </c>
      <c r="J221" s="80"/>
      <c r="K221" s="77"/>
      <c r="L221" s="77"/>
      <c r="M221" s="78"/>
      <c r="N221" s="74"/>
      <c r="O221" s="25">
        <v>100875</v>
      </c>
      <c r="P221" s="304" t="str">
        <f>CONCATENATE([1]Cover!$D$6,"fdd/view?i=",O221)</f>
        <v>https://www.dgiwg.org/FAD/fdd/view?i=100875</v>
      </c>
      <c r="Q221" s="8" t="s">
        <v>5749</v>
      </c>
      <c r="R221" s="38" t="s">
        <v>151</v>
      </c>
    </row>
    <row r="222" spans="1:18" ht="38.25">
      <c r="A222" s="302" t="str">
        <f t="shared" si="4"/>
        <v>boundaryRepresentatPolicy</v>
      </c>
      <c r="B222" s="6" t="s">
        <v>5754</v>
      </c>
      <c r="C222" s="17" t="s">
        <v>5755</v>
      </c>
      <c r="D222" s="10" t="s">
        <v>5756</v>
      </c>
      <c r="E222" s="55"/>
      <c r="F222" s="55"/>
      <c r="G222" s="12" t="s">
        <v>4643</v>
      </c>
      <c r="H222" s="74"/>
      <c r="I222" s="147" t="str">
        <f>HYPERLINK("[#]Datatypes!B250:L250","BoundaryRepresentatPolicyCode")</f>
        <v>BoundaryRepresentatPolicyCode</v>
      </c>
      <c r="J222" s="80"/>
      <c r="K222" s="77"/>
      <c r="L222" s="77"/>
      <c r="M222" s="71" t="str">
        <f>HYPERLINK("[#]DatatypeListedValues!A1884:H1884","&lt;values&gt;")</f>
        <v>&lt;values&gt;</v>
      </c>
      <c r="N222" s="82" t="b">
        <v>0</v>
      </c>
      <c r="O222" s="25">
        <v>101240</v>
      </c>
      <c r="P222" s="304" t="str">
        <f>CONCATENATE([1]Cover!$D$6,"fdd/view?i=",O222)</f>
        <v>https://www.dgiwg.org/FAD/fdd/view?i=101240</v>
      </c>
      <c r="Q222" s="8" t="s">
        <v>5753</v>
      </c>
      <c r="R222" s="38" t="s">
        <v>151</v>
      </c>
    </row>
    <row r="223" spans="1:18">
      <c r="A223" s="302" t="str">
        <f t="shared" si="4"/>
        <v>boundaryStatus</v>
      </c>
      <c r="B223" s="6" t="s">
        <v>5759</v>
      </c>
      <c r="C223" s="17" t="s">
        <v>5760</v>
      </c>
      <c r="D223" s="10" t="s">
        <v>5761</v>
      </c>
      <c r="E223" s="55"/>
      <c r="F223" s="55"/>
      <c r="G223" s="12" t="s">
        <v>4643</v>
      </c>
      <c r="H223" s="74"/>
      <c r="I223" s="147" t="str">
        <f>HYPERLINK("[#]Datatypes!B252:L252","BoundaryStatusCode")</f>
        <v>BoundaryStatusCode</v>
      </c>
      <c r="J223" s="80"/>
      <c r="K223" s="77"/>
      <c r="L223" s="77"/>
      <c r="M223" s="71" t="str">
        <f>HYPERLINK("[#]DatatypeListedValues!A1889:H1889","&lt;values&gt;")</f>
        <v>&lt;values&gt;</v>
      </c>
      <c r="N223" s="12" t="b">
        <v>1</v>
      </c>
      <c r="O223" s="25">
        <v>100690</v>
      </c>
      <c r="P223" s="304" t="str">
        <f>CONCATENATE([1]Cover!$D$6,"fdd/view?i=",O223)</f>
        <v>https://www.dgiwg.org/FAD/fdd/view?i=100690</v>
      </c>
      <c r="Q223" s="8" t="s">
        <v>5758</v>
      </c>
      <c r="R223" s="38" t="s">
        <v>151</v>
      </c>
    </row>
    <row r="224" spans="1:18">
      <c r="A224" s="302" t="str">
        <f t="shared" si="4"/>
        <v>branchRailwayType</v>
      </c>
      <c r="B224" s="6" t="s">
        <v>5764</v>
      </c>
      <c r="C224" s="17" t="s">
        <v>5765</v>
      </c>
      <c r="D224" s="10" t="s">
        <v>5766</v>
      </c>
      <c r="E224" s="55"/>
      <c r="F224" s="55"/>
      <c r="G224" s="12" t="s">
        <v>4643</v>
      </c>
      <c r="H224" s="74"/>
      <c r="I224" s="147" t="str">
        <f>HYPERLINK("[#]Datatypes!B254:L254","BranchRailwayTypeCode")</f>
        <v>BranchRailwayTypeCode</v>
      </c>
      <c r="J224" s="80"/>
      <c r="K224" s="77"/>
      <c r="L224" s="77"/>
      <c r="M224" s="71" t="str">
        <f>HYPERLINK("[#]DatatypeListedValues!A1893:H1893","&lt;values&gt;")</f>
        <v>&lt;values&gt;</v>
      </c>
      <c r="N224" s="82" t="b">
        <v>0</v>
      </c>
      <c r="O224" s="25">
        <v>101244</v>
      </c>
      <c r="P224" s="304" t="str">
        <f>CONCATENATE([1]Cover!$D$6,"fdd/view?i=",O224)</f>
        <v>https://www.dgiwg.org/FAD/fdd/view?i=101244</v>
      </c>
      <c r="Q224" s="8" t="s">
        <v>5763</v>
      </c>
      <c r="R224" s="38" t="s">
        <v>151</v>
      </c>
    </row>
    <row r="225" spans="1:18" ht="25.5">
      <c r="A225" s="302" t="str">
        <f t="shared" si="4"/>
        <v>bridgeInfoReliability</v>
      </c>
      <c r="B225" s="6" t="s">
        <v>5769</v>
      </c>
      <c r="C225" s="17" t="s">
        <v>5770</v>
      </c>
      <c r="D225" s="10" t="s">
        <v>5771</v>
      </c>
      <c r="E225" s="55"/>
      <c r="F225" s="55"/>
      <c r="G225" s="12" t="s">
        <v>4643</v>
      </c>
      <c r="H225" s="74"/>
      <c r="I225" s="147" t="str">
        <f>HYPERLINK("[#]Datatypes!B256:L256","BridgeInfoReliabilityCode")</f>
        <v>BridgeInfoReliabilityCode</v>
      </c>
      <c r="J225" s="80"/>
      <c r="K225" s="77"/>
      <c r="L225" s="77"/>
      <c r="M225" s="71" t="str">
        <f>HYPERLINK("[#]DatatypeListedValues!A1896:H1896","&lt;values&gt;")</f>
        <v>&lt;values&gt;</v>
      </c>
      <c r="N225" s="12" t="b">
        <v>1</v>
      </c>
      <c r="O225" s="25">
        <v>101209</v>
      </c>
      <c r="P225" s="304" t="str">
        <f>CONCATENATE([1]Cover!$D$6,"fdd/view?i=",O225)</f>
        <v>https://www.dgiwg.org/FAD/fdd/view?i=101209</v>
      </c>
      <c r="Q225" s="8" t="s">
        <v>5768</v>
      </c>
      <c r="R225" s="38" t="s">
        <v>151</v>
      </c>
    </row>
    <row r="226" spans="1:18" ht="25.5">
      <c r="A226" s="302" t="str">
        <f t="shared" si="4"/>
        <v>bridgeOpeningType</v>
      </c>
      <c r="B226" s="6" t="s">
        <v>5774</v>
      </c>
      <c r="C226" s="17" t="s">
        <v>5775</v>
      </c>
      <c r="D226" s="10" t="s">
        <v>5776</v>
      </c>
      <c r="E226" s="55"/>
      <c r="F226" s="55"/>
      <c r="G226" s="12" t="s">
        <v>4643</v>
      </c>
      <c r="H226" s="74"/>
      <c r="I226" s="147" t="str">
        <f>HYPERLINK("[#]Datatypes!B258:L258","BridgeOpeningTypeCode")</f>
        <v>BridgeOpeningTypeCode</v>
      </c>
      <c r="J226" s="80"/>
      <c r="K226" s="77"/>
      <c r="L226" s="77"/>
      <c r="M226" s="71" t="str">
        <f>HYPERLINK("[#]DatatypeListedValues!A1898:H1898","&lt;values&gt;")</f>
        <v>&lt;values&gt;</v>
      </c>
      <c r="N226" s="82" t="b">
        <v>0</v>
      </c>
      <c r="O226" s="25">
        <v>100670</v>
      </c>
      <c r="P226" s="304" t="str">
        <f>CONCATENATE([1]Cover!$D$6,"fdd/view?i=",O226)</f>
        <v>https://www.dgiwg.org/FAD/fdd/view?i=100670</v>
      </c>
      <c r="Q226" s="8" t="s">
        <v>5773</v>
      </c>
      <c r="R226" s="38" t="s">
        <v>151</v>
      </c>
    </row>
    <row r="227" spans="1:18" ht="89.25">
      <c r="A227" s="302" t="str">
        <f t="shared" si="4"/>
        <v>bridgeReferenceNumber</v>
      </c>
      <c r="B227" s="6" t="s">
        <v>5779</v>
      </c>
      <c r="C227" s="17" t="s">
        <v>5780</v>
      </c>
      <c r="D227" s="10" t="s">
        <v>5781</v>
      </c>
      <c r="E227" s="10" t="s">
        <v>5782</v>
      </c>
      <c r="F227" s="55"/>
      <c r="G227" s="12" t="s">
        <v>4643</v>
      </c>
      <c r="H227" s="74"/>
      <c r="I227" s="147" t="str">
        <f>HYPERLINK("[#]Datatypes!B764:L764","KeyNonLex24")</f>
        <v>KeyNonLex24</v>
      </c>
      <c r="J227" s="80"/>
      <c r="K227" s="77"/>
      <c r="L227" s="77"/>
      <c r="M227" s="78"/>
      <c r="N227" s="74"/>
      <c r="O227" s="25">
        <v>100677</v>
      </c>
      <c r="P227" s="304" t="str">
        <f>CONCATENATE([1]Cover!$D$6,"fdd/view?i=",O227)</f>
        <v>https://www.dgiwg.org/FAD/fdd/view?i=100677</v>
      </c>
      <c r="Q227" s="8" t="s">
        <v>5778</v>
      </c>
      <c r="R227" s="38" t="s">
        <v>151</v>
      </c>
    </row>
    <row r="228" spans="1:18" ht="25.5">
      <c r="A228" s="302" t="str">
        <f t="shared" si="4"/>
        <v>bridgeStructureType</v>
      </c>
      <c r="B228" s="6" t="s">
        <v>5785</v>
      </c>
      <c r="C228" s="17" t="s">
        <v>5786</v>
      </c>
      <c r="D228" s="10" t="s">
        <v>5787</v>
      </c>
      <c r="E228" s="55"/>
      <c r="F228" s="55"/>
      <c r="G228" s="12" t="s">
        <v>4643</v>
      </c>
      <c r="H228" s="12" t="s">
        <v>4700</v>
      </c>
      <c r="I228" s="147" t="str">
        <f>HYPERLINK("[#]Datatypes!B260:L260","BridgeStructureTypeCode")</f>
        <v>BridgeStructureTypeCode</v>
      </c>
      <c r="J228" s="80"/>
      <c r="K228" s="77"/>
      <c r="L228" s="77"/>
      <c r="M228" s="71" t="str">
        <f>HYPERLINK("[#]DatatypeListedValues!A1906:H1906","&lt;values&gt;")</f>
        <v>&lt;values&gt;</v>
      </c>
      <c r="N228" s="82" t="b">
        <v>0</v>
      </c>
      <c r="O228" s="25">
        <v>100683</v>
      </c>
      <c r="P228" s="304" t="str">
        <f>CONCATENATE([1]Cover!$D$6,"fdd/view?i=",O228)</f>
        <v>https://www.dgiwg.org/FAD/fdd/view?i=100683</v>
      </c>
      <c r="Q228" s="8" t="s">
        <v>5784</v>
      </c>
      <c r="R228" s="38" t="s">
        <v>151</v>
      </c>
    </row>
    <row r="229" spans="1:18" ht="25.5">
      <c r="A229" s="302" t="str">
        <f t="shared" si="4"/>
        <v>broadcastFrequency</v>
      </c>
      <c r="B229" s="6" t="s">
        <v>5790</v>
      </c>
      <c r="C229" s="17" t="s">
        <v>5791</v>
      </c>
      <c r="D229" s="10" t="s">
        <v>5792</v>
      </c>
      <c r="E229" s="55"/>
      <c r="F229" s="55"/>
      <c r="G229" s="12" t="s">
        <v>4643</v>
      </c>
      <c r="H229" s="74"/>
      <c r="I229" s="147" t="str">
        <f>HYPERLINK("[#]Datatypes!B710:L710","Integer")</f>
        <v>Integer</v>
      </c>
      <c r="J229" s="76" t="str">
        <f>HYPERLINK("[#]PhysicalQuantities!A15:N15","Frequency")</f>
        <v>Frequency</v>
      </c>
      <c r="K229" s="75" t="str">
        <f>HYPERLINK("[#]UnitsOfMeasure!D71:G71","Hertz")</f>
        <v>Hertz</v>
      </c>
      <c r="L229" s="77"/>
      <c r="M229" s="78"/>
      <c r="N229" s="74"/>
      <c r="O229" s="25">
        <v>100674</v>
      </c>
      <c r="P229" s="304" t="str">
        <f>CONCATENATE([1]Cover!$D$6,"fdd/view?i=",O229)</f>
        <v>https://www.dgiwg.org/FAD/fdd/view?i=100674</v>
      </c>
      <c r="Q229" s="8" t="s">
        <v>5789</v>
      </c>
      <c r="R229" s="38" t="s">
        <v>151</v>
      </c>
    </row>
    <row r="230" spans="1:18" ht="25.5">
      <c r="A230" s="302" t="str">
        <f t="shared" si="4"/>
        <v>buildingSuperstructType</v>
      </c>
      <c r="B230" s="6" t="s">
        <v>5795</v>
      </c>
      <c r="C230" s="17" t="s">
        <v>5796</v>
      </c>
      <c r="D230" s="10" t="s">
        <v>5797</v>
      </c>
      <c r="E230" s="55"/>
      <c r="F230" s="55"/>
      <c r="G230" s="12" t="s">
        <v>4643</v>
      </c>
      <c r="H230" s="74"/>
      <c r="I230" s="147" t="str">
        <f>HYPERLINK("[#]Datatypes!B262:L262","BuildingSuperstructTypeCode")</f>
        <v>BuildingSuperstructTypeCode</v>
      </c>
      <c r="J230" s="80"/>
      <c r="K230" s="77"/>
      <c r="L230" s="77"/>
      <c r="M230" s="71" t="str">
        <f>HYPERLINK("[#]DatatypeListedValues!A1924:H1924","&lt;values&gt;")</f>
        <v>&lt;values&gt;</v>
      </c>
      <c r="N230" s="82" t="b">
        <v>0</v>
      </c>
      <c r="O230" s="25">
        <v>117997</v>
      </c>
      <c r="P230" s="304" t="str">
        <f>CONCATENATE([1]Cover!$D$6,"fdd/view?i=",O230)</f>
        <v>https://www.dgiwg.org/FAD/fdd/view?i=117997</v>
      </c>
      <c r="Q230" s="8" t="s">
        <v>5794</v>
      </c>
      <c r="R230" s="38" t="s">
        <v>151</v>
      </c>
    </row>
    <row r="231" spans="1:18" ht="38.25">
      <c r="A231" s="302" t="str">
        <f t="shared" si="4"/>
        <v>buildingType</v>
      </c>
      <c r="B231" s="6" t="s">
        <v>5800</v>
      </c>
      <c r="C231" s="17" t="s">
        <v>5801</v>
      </c>
      <c r="D231" s="10" t="s">
        <v>5802</v>
      </c>
      <c r="E231" s="55"/>
      <c r="F231" s="55"/>
      <c r="G231" s="12" t="s">
        <v>4643</v>
      </c>
      <c r="H231" s="74"/>
      <c r="I231" s="147" t="str">
        <f>HYPERLINK("[#]Datatypes!B264:L264","BuildingTypeCode")</f>
        <v>BuildingTypeCode</v>
      </c>
      <c r="J231" s="80"/>
      <c r="K231" s="77"/>
      <c r="L231" s="77"/>
      <c r="M231" s="71" t="str">
        <f>HYPERLINK("[#]DatatypeListedValues!A1941:H1941","&lt;values&gt;")</f>
        <v>&lt;values&gt;</v>
      </c>
      <c r="N231" s="82" t="b">
        <v>0</v>
      </c>
      <c r="O231" s="25">
        <v>204134</v>
      </c>
      <c r="P231" s="304" t="str">
        <f>CONCATENATE([1]Cover!$D$6,"fdd/view?i=",O231)</f>
        <v>https://www.dgiwg.org/FAD/fdd/view?i=204134</v>
      </c>
      <c r="Q231" s="8" t="s">
        <v>5799</v>
      </c>
      <c r="R231" s="38" t="s">
        <v>1295</v>
      </c>
    </row>
    <row r="232" spans="1:18">
      <c r="A232" s="302" t="str">
        <f t="shared" si="4"/>
        <v>builtUpAreaDensityCat</v>
      </c>
      <c r="B232" s="6" t="s">
        <v>5805</v>
      </c>
      <c r="C232" s="17" t="s">
        <v>5806</v>
      </c>
      <c r="D232" s="10" t="s">
        <v>5807</v>
      </c>
      <c r="E232" s="55"/>
      <c r="F232" s="55"/>
      <c r="G232" s="12" t="s">
        <v>4643</v>
      </c>
      <c r="H232" s="74"/>
      <c r="I232" s="147" t="str">
        <f>HYPERLINK("[#]Datatypes!B266:L266","BuiltUpAreaDensityCatCode")</f>
        <v>BuiltUpAreaDensityCatCode</v>
      </c>
      <c r="J232" s="80"/>
      <c r="K232" s="77"/>
      <c r="L232" s="77"/>
      <c r="M232" s="71" t="str">
        <f>HYPERLINK("[#]DatatypeListedValues!A1963:H1963","&lt;values&gt;")</f>
        <v>&lt;values&gt;</v>
      </c>
      <c r="N232" s="12" t="b">
        <v>1</v>
      </c>
      <c r="O232" s="25">
        <v>100649</v>
      </c>
      <c r="P232" s="304" t="str">
        <f>CONCATENATE([1]Cover!$D$6,"fdd/view?i=",O232)</f>
        <v>https://www.dgiwg.org/FAD/fdd/view?i=100649</v>
      </c>
      <c r="Q232" s="8" t="s">
        <v>5804</v>
      </c>
      <c r="R232" s="38" t="s">
        <v>151</v>
      </c>
    </row>
    <row r="233" spans="1:18">
      <c r="A233" s="302" t="str">
        <f t="shared" si="4"/>
        <v>buoyShape</v>
      </c>
      <c r="B233" s="6" t="s">
        <v>5810</v>
      </c>
      <c r="C233" s="17" t="s">
        <v>5811</v>
      </c>
      <c r="D233" s="10" t="s">
        <v>5812</v>
      </c>
      <c r="E233" s="55"/>
      <c r="F233" s="55"/>
      <c r="G233" s="12" t="s">
        <v>4643</v>
      </c>
      <c r="H233" s="74"/>
      <c r="I233" s="147" t="str">
        <f>HYPERLINK("[#]Datatypes!B268:L268","BuoyShapeCode")</f>
        <v>BuoyShapeCode</v>
      </c>
      <c r="J233" s="80"/>
      <c r="K233" s="77"/>
      <c r="L233" s="77"/>
      <c r="M233" s="71" t="str">
        <f>HYPERLINK("[#]DatatypeListedValues!A1966:H1966","&lt;values&gt;")</f>
        <v>&lt;values&gt;</v>
      </c>
      <c r="N233" s="12" t="b">
        <v>1</v>
      </c>
      <c r="O233" s="25">
        <v>103226</v>
      </c>
      <c r="P233" s="304" t="str">
        <f>CONCATENATE([1]Cover!$D$6,"fdd/view?i=",O233)</f>
        <v>https://www.dgiwg.org/FAD/fdd/view?i=103226</v>
      </c>
      <c r="Q233" s="8" t="s">
        <v>5809</v>
      </c>
      <c r="R233" s="38" t="s">
        <v>151</v>
      </c>
    </row>
    <row r="234" spans="1:18">
      <c r="A234" s="302" t="str">
        <f t="shared" si="4"/>
        <v>buoyType</v>
      </c>
      <c r="B234" s="6" t="s">
        <v>5815</v>
      </c>
      <c r="C234" s="17" t="s">
        <v>5816</v>
      </c>
      <c r="D234" s="10" t="s">
        <v>5817</v>
      </c>
      <c r="E234" s="55"/>
      <c r="F234" s="55"/>
      <c r="G234" s="12" t="s">
        <v>4643</v>
      </c>
      <c r="H234" s="12" t="s">
        <v>4700</v>
      </c>
      <c r="I234" s="147" t="str">
        <f>HYPERLINK("[#]Datatypes!B270:L270","BuoyTypeCode")</f>
        <v>BuoyTypeCode</v>
      </c>
      <c r="J234" s="80"/>
      <c r="K234" s="77"/>
      <c r="L234" s="77"/>
      <c r="M234" s="71" t="str">
        <f>HYPERLINK("[#]DatatypeListedValues!A1975:H1975","&lt;values&gt;")</f>
        <v>&lt;values&gt;</v>
      </c>
      <c r="N234" s="82" t="b">
        <v>0</v>
      </c>
      <c r="O234" s="25">
        <v>100693</v>
      </c>
      <c r="P234" s="304" t="str">
        <f>CONCATENATE([1]Cover!$D$6,"fdd/view?i=",O234)</f>
        <v>https://www.dgiwg.org/FAD/fdd/view?i=100693</v>
      </c>
      <c r="Q234" s="8" t="s">
        <v>5814</v>
      </c>
      <c r="R234" s="38" t="s">
        <v>151</v>
      </c>
    </row>
    <row r="235" spans="1:18" ht="25.5">
      <c r="A235" s="302" t="str">
        <f t="shared" si="4"/>
        <v>buriedUtilityType</v>
      </c>
      <c r="B235" s="6" t="s">
        <v>5820</v>
      </c>
      <c r="C235" s="17" t="s">
        <v>5821</v>
      </c>
      <c r="D235" s="10" t="s">
        <v>5822</v>
      </c>
      <c r="E235" s="55"/>
      <c r="F235" s="55"/>
      <c r="G235" s="12" t="s">
        <v>4643</v>
      </c>
      <c r="H235" s="12" t="s">
        <v>4700</v>
      </c>
      <c r="I235" s="147" t="str">
        <f>HYPERLINK("[#]Datatypes!B272:L272","BuriedUtilityTypeCode")</f>
        <v>BuriedUtilityTypeCode</v>
      </c>
      <c r="J235" s="80"/>
      <c r="K235" s="77"/>
      <c r="L235" s="77"/>
      <c r="M235" s="71" t="str">
        <f>HYPERLINK("[#]DatatypeListedValues!A2064:H2064","&lt;values&gt;")</f>
        <v>&lt;values&gt;</v>
      </c>
      <c r="N235" s="82" t="b">
        <v>0</v>
      </c>
      <c r="O235" s="25">
        <v>114345</v>
      </c>
      <c r="P235" s="304" t="str">
        <f>CONCATENATE([1]Cover!$D$6,"fdd/view?i=",O235)</f>
        <v>https://www.dgiwg.org/FAD/fdd/view?i=114345</v>
      </c>
      <c r="Q235" s="8" t="s">
        <v>5819</v>
      </c>
      <c r="R235" s="38" t="s">
        <v>151</v>
      </c>
    </row>
    <row r="236" spans="1:18" ht="25.5">
      <c r="A236" s="302" t="str">
        <f t="shared" si="4"/>
        <v>bypassCondition</v>
      </c>
      <c r="B236" s="6" t="s">
        <v>5825</v>
      </c>
      <c r="C236" s="17" t="s">
        <v>5826</v>
      </c>
      <c r="D236" s="10" t="s">
        <v>5827</v>
      </c>
      <c r="E236" s="10" t="s">
        <v>5828</v>
      </c>
      <c r="F236" s="55"/>
      <c r="G236" s="12" t="s">
        <v>4643</v>
      </c>
      <c r="H236" s="74"/>
      <c r="I236" s="147" t="str">
        <f>HYPERLINK("[#]Datatypes!B274:L274","BypassConditionCode")</f>
        <v>BypassConditionCode</v>
      </c>
      <c r="J236" s="80"/>
      <c r="K236" s="77"/>
      <c r="L236" s="77"/>
      <c r="M236" s="71" t="str">
        <f>HYPERLINK("[#]DatatypeListedValues!A2070:H2070","&lt;values&gt;")</f>
        <v>&lt;values&gt;</v>
      </c>
      <c r="N236" s="12" t="b">
        <v>1</v>
      </c>
      <c r="O236" s="25">
        <v>100650</v>
      </c>
      <c r="P236" s="304" t="str">
        <f>CONCATENATE([1]Cover!$D$6,"fdd/view?i=",O236)</f>
        <v>https://www.dgiwg.org/FAD/fdd/view?i=100650</v>
      </c>
      <c r="Q236" s="8" t="s">
        <v>5824</v>
      </c>
      <c r="R236" s="38" t="s">
        <v>151</v>
      </c>
    </row>
    <row r="237" spans="1:18" ht="25.5">
      <c r="A237" s="302" t="str">
        <f t="shared" si="4"/>
        <v>byProduct</v>
      </c>
      <c r="B237" s="6" t="s">
        <v>5831</v>
      </c>
      <c r="C237" s="17" t="s">
        <v>5832</v>
      </c>
      <c r="D237" s="10" t="s">
        <v>5833</v>
      </c>
      <c r="E237" s="10" t="s">
        <v>5834</v>
      </c>
      <c r="F237" s="55"/>
      <c r="G237" s="12" t="s">
        <v>4643</v>
      </c>
      <c r="H237" s="12" t="s">
        <v>4700</v>
      </c>
      <c r="I237" s="147" t="str">
        <f>HYPERLINK("[#]Datatypes!B276:L276","ByProductCode")</f>
        <v>ByProductCode</v>
      </c>
      <c r="J237" s="80"/>
      <c r="K237" s="77"/>
      <c r="L237" s="77"/>
      <c r="M237" s="71" t="str">
        <f>HYPERLINK("[#]DatatypeListedValues!A2073:H2073","&lt;values&gt;")</f>
        <v>&lt;values&gt;</v>
      </c>
      <c r="N237" s="82" t="b">
        <v>0</v>
      </c>
      <c r="O237" s="25">
        <v>101148</v>
      </c>
      <c r="P237" s="304" t="str">
        <f>CONCATENATE([1]Cover!$D$6,"fdd/view?i=",O237)</f>
        <v>https://www.dgiwg.org/FAD/fdd/view?i=101148</v>
      </c>
      <c r="Q237" s="8" t="s">
        <v>5830</v>
      </c>
      <c r="R237" s="38" t="s">
        <v>151</v>
      </c>
    </row>
    <row r="238" spans="1:18">
      <c r="A238" s="302" t="str">
        <f t="shared" si="4"/>
        <v>cableSuspendedShape</v>
      </c>
      <c r="B238" s="6" t="s">
        <v>5837</v>
      </c>
      <c r="C238" s="17" t="s">
        <v>5838</v>
      </c>
      <c r="D238" s="10" t="s">
        <v>5839</v>
      </c>
      <c r="E238" s="55"/>
      <c r="F238" s="55"/>
      <c r="G238" s="12" t="s">
        <v>4643</v>
      </c>
      <c r="H238" s="74"/>
      <c r="I238" s="147" t="str">
        <f>HYPERLINK("[#]Datatypes!B278:L278","CableSuspendedShapeCode")</f>
        <v>CableSuspendedShapeCode</v>
      </c>
      <c r="J238" s="80"/>
      <c r="K238" s="77"/>
      <c r="L238" s="77"/>
      <c r="M238" s="71" t="str">
        <f>HYPERLINK("[#]DatatypeListedValues!A2083:H2083","&lt;values&gt;")</f>
        <v>&lt;values&gt;</v>
      </c>
      <c r="N238" s="82" t="b">
        <v>0</v>
      </c>
      <c r="O238" s="25">
        <v>101397</v>
      </c>
      <c r="P238" s="304" t="str">
        <f>CONCATENATE([1]Cover!$D$6,"fdd/view?i=",O238)</f>
        <v>https://www.dgiwg.org/FAD/fdd/view?i=101397</v>
      </c>
      <c r="Q238" s="8" t="s">
        <v>5836</v>
      </c>
      <c r="R238" s="38" t="s">
        <v>151</v>
      </c>
    </row>
    <row r="239" spans="1:18">
      <c r="A239" s="302" t="str">
        <f t="shared" si="4"/>
        <v>cableType</v>
      </c>
      <c r="B239" s="6" t="s">
        <v>5842</v>
      </c>
      <c r="C239" s="17" t="s">
        <v>5843</v>
      </c>
      <c r="D239" s="10" t="s">
        <v>5844</v>
      </c>
      <c r="E239" s="55"/>
      <c r="F239" s="55"/>
      <c r="G239" s="12" t="s">
        <v>4643</v>
      </c>
      <c r="H239" s="74"/>
      <c r="I239" s="147" t="str">
        <f>HYPERLINK("[#]Datatypes!B280:L280","CableTypeCode")</f>
        <v>CableTypeCode</v>
      </c>
      <c r="J239" s="80"/>
      <c r="K239" s="77"/>
      <c r="L239" s="77"/>
      <c r="M239" s="71" t="str">
        <f>HYPERLINK("[#]DatatypeListedValues!A2086:H2086","&lt;values&gt;")</f>
        <v>&lt;values&gt;</v>
      </c>
      <c r="N239" s="82" t="b">
        <v>0</v>
      </c>
      <c r="O239" s="25">
        <v>100724</v>
      </c>
      <c r="P239" s="304" t="str">
        <f>CONCATENATE([1]Cover!$D$6,"fdd/view?i=",O239)</f>
        <v>https://www.dgiwg.org/FAD/fdd/view?i=100724</v>
      </c>
      <c r="Q239" s="8" t="s">
        <v>5841</v>
      </c>
      <c r="R239" s="38" t="s">
        <v>151</v>
      </c>
    </row>
    <row r="240" spans="1:18">
      <c r="A240" s="302" t="str">
        <f t="shared" si="4"/>
        <v>cablewayType</v>
      </c>
      <c r="B240" s="6" t="s">
        <v>5847</v>
      </c>
      <c r="C240" s="17" t="s">
        <v>5848</v>
      </c>
      <c r="D240" s="10" t="s">
        <v>5849</v>
      </c>
      <c r="E240" s="55"/>
      <c r="F240" s="55"/>
      <c r="G240" s="12" t="s">
        <v>4643</v>
      </c>
      <c r="H240" s="74"/>
      <c r="I240" s="147" t="str">
        <f>HYPERLINK("[#]Datatypes!B282:L282","CablewayTypeCode")</f>
        <v>CablewayTypeCode</v>
      </c>
      <c r="J240" s="80"/>
      <c r="K240" s="77"/>
      <c r="L240" s="77"/>
      <c r="M240" s="71" t="str">
        <f>HYPERLINK("[#]DatatypeListedValues!A2100:H2100","&lt;values&gt;")</f>
        <v>&lt;values&gt;</v>
      </c>
      <c r="N240" s="82" t="b">
        <v>0</v>
      </c>
      <c r="O240" s="25">
        <v>103225</v>
      </c>
      <c r="P240" s="304" t="str">
        <f>CONCATENATE([1]Cover!$D$6,"fdd/view?i=",O240)</f>
        <v>https://www.dgiwg.org/FAD/fdd/view?i=103225</v>
      </c>
      <c r="Q240" s="8" t="s">
        <v>5846</v>
      </c>
      <c r="R240" s="38" t="s">
        <v>151</v>
      </c>
    </row>
    <row r="241" spans="1:18" ht="25.5">
      <c r="A241" s="302" t="str">
        <f t="shared" si="4"/>
        <v>cadastralSourceIdentifier</v>
      </c>
      <c r="B241" s="6" t="s">
        <v>5852</v>
      </c>
      <c r="C241" s="17" t="s">
        <v>5853</v>
      </c>
      <c r="D241" s="10" t="s">
        <v>5854</v>
      </c>
      <c r="E241" s="55"/>
      <c r="F241" s="55"/>
      <c r="G241" s="12" t="s">
        <v>4643</v>
      </c>
      <c r="H241" s="74"/>
      <c r="I241" s="147" t="str">
        <f>HYPERLINK("[#]Datatypes!B1442:L1442","TextNonLexUnconstrained")</f>
        <v>TextNonLexUnconstrained</v>
      </c>
      <c r="J241" s="80"/>
      <c r="K241" s="77"/>
      <c r="L241" s="77"/>
      <c r="M241" s="78"/>
      <c r="N241" s="74"/>
      <c r="O241" s="25">
        <v>207828</v>
      </c>
      <c r="P241" s="304" t="str">
        <f>CONCATENATE([1]Cover!$D$6,"fdd/view?i=",O241)</f>
        <v>https://www.dgiwg.org/FAD/fdd/view?i=207828</v>
      </c>
      <c r="Q241" s="8" t="s">
        <v>5851</v>
      </c>
      <c r="R241" s="38" t="s">
        <v>1295</v>
      </c>
    </row>
    <row r="242" spans="1:18" ht="51">
      <c r="A242" s="302" t="str">
        <f t="shared" si="4"/>
        <v>cadastralSourceIdentType</v>
      </c>
      <c r="B242" s="6" t="s">
        <v>5856</v>
      </c>
      <c r="C242" s="17" t="s">
        <v>5857</v>
      </c>
      <c r="D242" s="10" t="s">
        <v>5858</v>
      </c>
      <c r="E242" s="55"/>
      <c r="F242" s="55"/>
      <c r="G242" s="12" t="s">
        <v>4643</v>
      </c>
      <c r="H242" s="74"/>
      <c r="I242" s="147" t="str">
        <f>HYPERLINK("[#]Datatypes!B1416:L1416","TextLexUnconstrained")</f>
        <v>TextLexUnconstrained</v>
      </c>
      <c r="J242" s="80"/>
      <c r="K242" s="77"/>
      <c r="L242" s="77"/>
      <c r="M242" s="78"/>
      <c r="N242" s="74"/>
      <c r="O242" s="25">
        <v>207918</v>
      </c>
      <c r="P242" s="304" t="str">
        <f>CONCATENATE([1]Cover!$D$6,"fdd/view?i=",O242)</f>
        <v>https://www.dgiwg.org/FAD/fdd/view?i=207918</v>
      </c>
      <c r="Q242" s="8" t="s">
        <v>5855</v>
      </c>
      <c r="R242" s="38" t="s">
        <v>1295</v>
      </c>
    </row>
    <row r="243" spans="1:18" ht="38.25">
      <c r="A243" s="302" t="str">
        <f t="shared" si="4"/>
        <v>cadastralSourceMeasurement</v>
      </c>
      <c r="B243" s="6" t="s">
        <v>5860</v>
      </c>
      <c r="C243" s="17" t="s">
        <v>5861</v>
      </c>
      <c r="D243" s="10" t="s">
        <v>5862</v>
      </c>
      <c r="E243" s="10" t="s">
        <v>5863</v>
      </c>
      <c r="F243" s="55"/>
      <c r="G243" s="12" t="s">
        <v>4643</v>
      </c>
      <c r="H243" s="74"/>
      <c r="I243" s="147" t="str">
        <f>HYPERLINK("[#]Datatypes!B1416:L1416","TextLexUnconstrained")</f>
        <v>TextLexUnconstrained</v>
      </c>
      <c r="J243" s="80"/>
      <c r="K243" s="77"/>
      <c r="L243" s="77"/>
      <c r="M243" s="78"/>
      <c r="N243" s="74"/>
      <c r="O243" s="25">
        <v>207827</v>
      </c>
      <c r="P243" s="304" t="str">
        <f>CONCATENATE([1]Cover!$D$6,"fdd/view?i=",O243)</f>
        <v>https://www.dgiwg.org/FAD/fdd/view?i=207827</v>
      </c>
      <c r="Q243" s="8" t="s">
        <v>5859</v>
      </c>
      <c r="R243" s="38" t="s">
        <v>1295</v>
      </c>
    </row>
    <row r="244" spans="1:18" ht="51">
      <c r="A244" s="302" t="str">
        <f t="shared" si="4"/>
        <v>cadastralSourceType</v>
      </c>
      <c r="B244" s="6" t="s">
        <v>5865</v>
      </c>
      <c r="C244" s="17" t="s">
        <v>5866</v>
      </c>
      <c r="D244" s="10" t="s">
        <v>5867</v>
      </c>
      <c r="E244" s="10" t="s">
        <v>5868</v>
      </c>
      <c r="F244" s="55"/>
      <c r="G244" s="12" t="s">
        <v>4643</v>
      </c>
      <c r="H244" s="74"/>
      <c r="I244" s="147" t="str">
        <f>HYPERLINK("[#]Datatypes!B284:L284","CadastralSourceTypeCode")</f>
        <v>CadastralSourceTypeCode</v>
      </c>
      <c r="J244" s="80"/>
      <c r="K244" s="77"/>
      <c r="L244" s="77"/>
      <c r="M244" s="71" t="str">
        <f>HYPERLINK("[#]DatatypeListedValues!A2107:H2107","&lt;values&gt;")</f>
        <v>&lt;values&gt;</v>
      </c>
      <c r="N244" s="82" t="b">
        <v>0</v>
      </c>
      <c r="O244" s="25">
        <v>207845</v>
      </c>
      <c r="P244" s="304" t="str">
        <f>CONCATENATE([1]Cover!$D$6,"fdd/view?i=",O244)</f>
        <v>https://www.dgiwg.org/FAD/fdd/view?i=207845</v>
      </c>
      <c r="Q244" s="8" t="s">
        <v>5864</v>
      </c>
      <c r="R244" s="38" t="s">
        <v>1295</v>
      </c>
    </row>
    <row r="245" spans="1:18" ht="38.25">
      <c r="A245" s="302" t="str">
        <f t="shared" si="4"/>
        <v>camouflageMethod</v>
      </c>
      <c r="B245" s="6" t="s">
        <v>5871</v>
      </c>
      <c r="C245" s="17" t="s">
        <v>5872</v>
      </c>
      <c r="D245" s="10" t="s">
        <v>5873</v>
      </c>
      <c r="E245" s="10" t="s">
        <v>5874</v>
      </c>
      <c r="F245" s="55"/>
      <c r="G245" s="12" t="s">
        <v>4643</v>
      </c>
      <c r="H245" s="74"/>
      <c r="I245" s="147" t="str">
        <f>HYPERLINK("[#]Datatypes!B286:L286","CamouflageMethodCode")</f>
        <v>CamouflageMethodCode</v>
      </c>
      <c r="J245" s="80"/>
      <c r="K245" s="77"/>
      <c r="L245" s="77"/>
      <c r="M245" s="71" t="str">
        <f>HYPERLINK("[#]DatatypeListedValues!A2121:H2121","&lt;values&gt;")</f>
        <v>&lt;values&gt;</v>
      </c>
      <c r="N245" s="82" t="b">
        <v>0</v>
      </c>
      <c r="O245" s="25">
        <v>119649</v>
      </c>
      <c r="P245" s="304" t="str">
        <f>CONCATENATE([1]Cover!$D$6,"fdd/view?i=",O245)</f>
        <v>https://www.dgiwg.org/FAD/fdd/view?i=119649</v>
      </c>
      <c r="Q245" s="8" t="s">
        <v>5870</v>
      </c>
      <c r="R245" s="38" t="s">
        <v>151</v>
      </c>
    </row>
    <row r="246" spans="1:18" ht="25.5">
      <c r="A246" s="302" t="str">
        <f t="shared" si="4"/>
        <v>canopyCover</v>
      </c>
      <c r="B246" s="6" t="s">
        <v>5877</v>
      </c>
      <c r="C246" s="17" t="s">
        <v>5878</v>
      </c>
      <c r="D246" s="10" t="s">
        <v>5879</v>
      </c>
      <c r="E246" s="10" t="s">
        <v>5880</v>
      </c>
      <c r="F246" s="55"/>
      <c r="G246" s="12" t="s">
        <v>4643</v>
      </c>
      <c r="H246" s="74"/>
      <c r="I246" s="147" t="str">
        <f>HYPERLINK("[#]Datatypes!B1110:L1110","RealNonNegInterval100")</f>
        <v>RealNonNegInterval100</v>
      </c>
      <c r="J246" s="76" t="str">
        <f>HYPERLINK("[#]PhysicalQuantities!A39:N39","Pure Number")</f>
        <v>Pure Number</v>
      </c>
      <c r="K246" s="75" t="str">
        <f>HYPERLINK("[#]UnitsOfMeasure!D215:G215","Percent")</f>
        <v>Percent</v>
      </c>
      <c r="L246" s="77"/>
      <c r="M246" s="78"/>
      <c r="N246" s="74"/>
      <c r="O246" s="25">
        <v>110696</v>
      </c>
      <c r="P246" s="304" t="str">
        <f>CONCATENATE([1]Cover!$D$6,"fdd/view?i=",O246)</f>
        <v>https://www.dgiwg.org/FAD/fdd/view?i=110696</v>
      </c>
      <c r="Q246" s="8" t="s">
        <v>5876</v>
      </c>
      <c r="R246" s="38" t="s">
        <v>151</v>
      </c>
    </row>
    <row r="247" spans="1:18" ht="38.25">
      <c r="A247" s="302" t="str">
        <f t="shared" si="4"/>
        <v>carrierFrequency</v>
      </c>
      <c r="B247" s="6" t="s">
        <v>5882</v>
      </c>
      <c r="C247" s="17" t="s">
        <v>5883</v>
      </c>
      <c r="D247" s="10" t="s">
        <v>5884</v>
      </c>
      <c r="E247" s="10" t="s">
        <v>5885</v>
      </c>
      <c r="F247" s="55"/>
      <c r="G247" s="12" t="s">
        <v>4643</v>
      </c>
      <c r="H247" s="74"/>
      <c r="I247" s="147" t="str">
        <f>HYPERLINK("[#]Datatypes!B1097:L1097","Real")</f>
        <v>Real</v>
      </c>
      <c r="J247" s="76" t="str">
        <f>HYPERLINK("[#]PhysicalQuantities!A15:N15","Frequency")</f>
        <v>Frequency</v>
      </c>
      <c r="K247" s="75" t="str">
        <f>HYPERLINK("[#]UnitsOfMeasure!D71:G71","Hertz")</f>
        <v>Hertz</v>
      </c>
      <c r="L247" s="77"/>
      <c r="M247" s="78"/>
      <c r="N247" s="74"/>
      <c r="O247" s="25">
        <v>117570</v>
      </c>
      <c r="P247" s="304" t="str">
        <f>CONCATENATE([1]Cover!$D$6,"fdd/view?i=",O247)</f>
        <v>https://www.dgiwg.org/FAD/fdd/view?i=117570</v>
      </c>
      <c r="Q247" s="8" t="s">
        <v>5881</v>
      </c>
      <c r="R247" s="38" t="s">
        <v>151</v>
      </c>
    </row>
    <row r="248" spans="1:18">
      <c r="A248" s="302" t="str">
        <f t="shared" si="4"/>
        <v>caveType</v>
      </c>
      <c r="B248" s="6" t="s">
        <v>5887</v>
      </c>
      <c r="C248" s="17" t="s">
        <v>5888</v>
      </c>
      <c r="D248" s="10" t="s">
        <v>5889</v>
      </c>
      <c r="E248" s="10" t="s">
        <v>5890</v>
      </c>
      <c r="F248" s="55"/>
      <c r="G248" s="12" t="s">
        <v>4643</v>
      </c>
      <c r="H248" s="74"/>
      <c r="I248" s="147" t="str">
        <f>HYPERLINK("[#]Datatypes!B288:L288","CaveTypeCode")</f>
        <v>CaveTypeCode</v>
      </c>
      <c r="J248" s="80"/>
      <c r="K248" s="77"/>
      <c r="L248" s="77"/>
      <c r="M248" s="71" t="str">
        <f>HYPERLINK("[#]DatatypeListedValues!A2123:H2123","&lt;values&gt;")</f>
        <v>&lt;values&gt;</v>
      </c>
      <c r="N248" s="82" t="b">
        <v>0</v>
      </c>
      <c r="O248" s="25">
        <v>119182</v>
      </c>
      <c r="P248" s="304" t="str">
        <f>CONCATENATE([1]Cover!$D$6,"fdd/view?i=",O248)</f>
        <v>https://www.dgiwg.org/FAD/fdd/view?i=119182</v>
      </c>
      <c r="Q248" s="8" t="s">
        <v>5886</v>
      </c>
      <c r="R248" s="38" t="s">
        <v>151</v>
      </c>
    </row>
    <row r="249" spans="1:18" ht="63.75">
      <c r="A249" s="302" t="str">
        <f t="shared" si="4"/>
        <v>cellIdentifier</v>
      </c>
      <c r="B249" s="6" t="s">
        <v>5893</v>
      </c>
      <c r="C249" s="17" t="s">
        <v>5894</v>
      </c>
      <c r="D249" s="10" t="s">
        <v>5895</v>
      </c>
      <c r="E249" s="10" t="s">
        <v>5896</v>
      </c>
      <c r="F249" s="55"/>
      <c r="G249" s="12" t="s">
        <v>4643</v>
      </c>
      <c r="H249" s="74"/>
      <c r="I249" s="147" t="str">
        <f>HYPERLINK("[#]Datatypes!B1428:L1428","TextNonLex22")</f>
        <v>TextNonLex22</v>
      </c>
      <c r="J249" s="80"/>
      <c r="K249" s="77"/>
      <c r="L249" s="77"/>
      <c r="M249" s="78"/>
      <c r="N249" s="74"/>
      <c r="O249" s="25">
        <v>117774</v>
      </c>
      <c r="P249" s="304" t="str">
        <f>CONCATENATE([1]Cover!$D$6,"fdd/view?i=",O249)</f>
        <v>https://www.dgiwg.org/FAD/fdd/view?i=117774</v>
      </c>
      <c r="Q249" s="8" t="s">
        <v>5892</v>
      </c>
      <c r="R249" s="38" t="s">
        <v>151</v>
      </c>
    </row>
    <row r="250" spans="1:18" ht="38.25">
      <c r="A250" s="302" t="str">
        <f t="shared" si="4"/>
        <v>cellPartitionScheme</v>
      </c>
      <c r="B250" s="6" t="s">
        <v>5899</v>
      </c>
      <c r="C250" s="17" t="s">
        <v>5900</v>
      </c>
      <c r="D250" s="10" t="s">
        <v>5901</v>
      </c>
      <c r="E250" s="10" t="s">
        <v>5902</v>
      </c>
      <c r="F250" s="55"/>
      <c r="G250" s="12" t="s">
        <v>4643</v>
      </c>
      <c r="H250" s="74"/>
      <c r="I250" s="147" t="str">
        <f>HYPERLINK("[#]Datatypes!B290:L290","CellPartSchemeCodeList")</f>
        <v>CellPartSchemeCodeList</v>
      </c>
      <c r="J250" s="80"/>
      <c r="K250" s="77"/>
      <c r="L250" s="77"/>
      <c r="M250" s="78"/>
      <c r="N250" s="74"/>
      <c r="O250" s="25">
        <v>117775</v>
      </c>
      <c r="P250" s="304" t="str">
        <f>CONCATENATE([1]Cover!$D$6,"fdd/view?i=",O250)</f>
        <v>https://www.dgiwg.org/FAD/fdd/view?i=117775</v>
      </c>
      <c r="Q250" s="8" t="s">
        <v>5898</v>
      </c>
      <c r="R250" s="38" t="s">
        <v>151</v>
      </c>
    </row>
    <row r="251" spans="1:18" ht="25.5">
      <c r="A251" s="302" t="str">
        <f t="shared" si="4"/>
        <v>centerlineSpacing</v>
      </c>
      <c r="B251" s="6" t="s">
        <v>5905</v>
      </c>
      <c r="C251" s="17" t="s">
        <v>5906</v>
      </c>
      <c r="D251" s="10" t="s">
        <v>5907</v>
      </c>
      <c r="E251" s="55"/>
      <c r="F251" s="55"/>
      <c r="G251" s="12" t="s">
        <v>4643</v>
      </c>
      <c r="H251" s="74"/>
      <c r="I251" s="147" t="str">
        <f>HYPERLINK("[#]Datatypes!B1099:L1099","RealInterval")</f>
        <v>RealInterval</v>
      </c>
      <c r="J251" s="76" t="str">
        <f>HYPERLINK("[#]PhysicalQuantities!A20:N20","Length")</f>
        <v>Length</v>
      </c>
      <c r="K251" s="75" t="str">
        <f>HYPERLINK("[#]UnitsOfMeasure!D80:G80","Metre")</f>
        <v>Metre</v>
      </c>
      <c r="L251" s="77"/>
      <c r="M251" s="78"/>
      <c r="N251" s="74"/>
      <c r="O251" s="25">
        <v>101087</v>
      </c>
      <c r="P251" s="304" t="str">
        <f>CONCATENATE([1]Cover!$D$6,"fdd/view?i=",O251)</f>
        <v>https://www.dgiwg.org/FAD/fdd/view?i=101087</v>
      </c>
      <c r="Q251" s="8" t="s">
        <v>5904</v>
      </c>
      <c r="R251" s="38" t="s">
        <v>151</v>
      </c>
    </row>
    <row r="252" spans="1:18" ht="63.75">
      <c r="A252" s="302" t="str">
        <f t="shared" si="4"/>
        <v>changeOverPointDistance</v>
      </c>
      <c r="B252" s="6" t="s">
        <v>5909</v>
      </c>
      <c r="C252" s="17" t="s">
        <v>5910</v>
      </c>
      <c r="D252" s="10" t="s">
        <v>5911</v>
      </c>
      <c r="E252" s="10" t="s">
        <v>5912</v>
      </c>
      <c r="F252" s="55"/>
      <c r="G252" s="12" t="s">
        <v>4643</v>
      </c>
      <c r="H252" s="74"/>
      <c r="I252" s="147" t="str">
        <f>HYPERLINK("[#]Datatypes!B1097:L1097","Real")</f>
        <v>Real</v>
      </c>
      <c r="J252" s="76" t="str">
        <f>HYPERLINK("[#]PhysicalQuantities!A20:N20","Length")</f>
        <v>Length</v>
      </c>
      <c r="K252" s="75" t="str">
        <f>HYPERLINK("[#]UnitsOfMeasure!D94:G94","Nautical Mile")</f>
        <v>Nautical Mile</v>
      </c>
      <c r="L252" s="77"/>
      <c r="M252" s="78"/>
      <c r="N252" s="74"/>
      <c r="O252" s="25">
        <v>117543</v>
      </c>
      <c r="P252" s="304" t="str">
        <f>CONCATENATE([1]Cover!$D$6,"fdd/view?i=",O252)</f>
        <v>https://www.dgiwg.org/FAD/fdd/view?i=117543</v>
      </c>
      <c r="Q252" s="8" t="s">
        <v>5908</v>
      </c>
      <c r="R252" s="38" t="s">
        <v>151</v>
      </c>
    </row>
    <row r="253" spans="1:18" ht="25.5">
      <c r="A253" s="302" t="str">
        <f t="shared" si="4"/>
        <v>channelNumber</v>
      </c>
      <c r="B253" s="6" t="s">
        <v>5914</v>
      </c>
      <c r="C253" s="17" t="s">
        <v>5915</v>
      </c>
      <c r="D253" s="10" t="s">
        <v>5916</v>
      </c>
      <c r="E253" s="55"/>
      <c r="F253" s="55"/>
      <c r="G253" s="12" t="s">
        <v>4643</v>
      </c>
      <c r="H253" s="74"/>
      <c r="I253" s="147" t="str">
        <f>HYPERLINK("[#]Datatypes!B710:L710","Integer")</f>
        <v>Integer</v>
      </c>
      <c r="J253" s="76" t="str">
        <f>HYPERLINK("[#]PhysicalQuantities!A15:N15","Frequency")</f>
        <v>Frequency</v>
      </c>
      <c r="K253" s="75" t="str">
        <f>HYPERLINK("[#]UnitsOfMeasure!D71:G71","Hertz")</f>
        <v>Hertz</v>
      </c>
      <c r="L253" s="77"/>
      <c r="M253" s="78"/>
      <c r="N253" s="74"/>
      <c r="O253" s="25">
        <v>117648</v>
      </c>
      <c r="P253" s="304" t="str">
        <f>CONCATENATE([1]Cover!$D$6,"fdd/view?i=",O253)</f>
        <v>https://www.dgiwg.org/FAD/fdd/view?i=117648</v>
      </c>
      <c r="Q253" s="8" t="s">
        <v>5913</v>
      </c>
      <c r="R253" s="38" t="s">
        <v>151</v>
      </c>
    </row>
    <row r="254" spans="1:18" ht="25.5">
      <c r="A254" s="302" t="str">
        <f t="shared" si="4"/>
        <v>channelType</v>
      </c>
      <c r="B254" s="6" t="s">
        <v>5918</v>
      </c>
      <c r="C254" s="17" t="s">
        <v>5919</v>
      </c>
      <c r="D254" s="10" t="s">
        <v>5920</v>
      </c>
      <c r="E254" s="10" t="s">
        <v>5921</v>
      </c>
      <c r="F254" s="55"/>
      <c r="G254" s="12" t="s">
        <v>4643</v>
      </c>
      <c r="H254" s="74"/>
      <c r="I254" s="147" t="str">
        <f>HYPERLINK("[#]Datatypes!B292:L292","ChannelTypeCode")</f>
        <v>ChannelTypeCode</v>
      </c>
      <c r="J254" s="80"/>
      <c r="K254" s="77"/>
      <c r="L254" s="77"/>
      <c r="M254" s="71" t="str">
        <f>HYPERLINK("[#]DatatypeListedValues!A2130:H2130","&lt;values&gt;")</f>
        <v>&lt;values&gt;</v>
      </c>
      <c r="N254" s="82" t="b">
        <v>0</v>
      </c>
      <c r="O254" s="25">
        <v>100742</v>
      </c>
      <c r="P254" s="304" t="str">
        <f>CONCATENATE([1]Cover!$D$6,"fdd/view?i=",O254)</f>
        <v>https://www.dgiwg.org/FAD/fdd/view?i=100742</v>
      </c>
      <c r="Q254" s="8" t="s">
        <v>5917</v>
      </c>
      <c r="R254" s="38" t="s">
        <v>151</v>
      </c>
    </row>
    <row r="255" spans="1:18" ht="38.25">
      <c r="A255" s="302" t="str">
        <f t="shared" si="4"/>
        <v>characterOfLight</v>
      </c>
      <c r="B255" s="6" t="s">
        <v>5924</v>
      </c>
      <c r="C255" s="17" t="s">
        <v>5925</v>
      </c>
      <c r="D255" s="10" t="s">
        <v>5926</v>
      </c>
      <c r="E255" s="10" t="s">
        <v>5927</v>
      </c>
      <c r="F255" s="55"/>
      <c r="G255" s="12" t="s">
        <v>4643</v>
      </c>
      <c r="H255" s="74"/>
      <c r="I255" s="147" t="str">
        <f>HYPERLINK("[#]Datatypes!B294:L294","CharacterOfLightStrucText")</f>
        <v>CharacterOfLightStrucText</v>
      </c>
      <c r="J255" s="80"/>
      <c r="K255" s="77"/>
      <c r="L255" s="77"/>
      <c r="M255" s="78"/>
      <c r="N255" s="74"/>
      <c r="O255" s="25">
        <v>100755</v>
      </c>
      <c r="P255" s="304" t="str">
        <f>CONCATENATE([1]Cover!$D$6,"fdd/view?i=",O255)</f>
        <v>https://www.dgiwg.org/FAD/fdd/view?i=100755</v>
      </c>
      <c r="Q255" s="8" t="s">
        <v>5923</v>
      </c>
      <c r="R255" s="38" t="s">
        <v>151</v>
      </c>
    </row>
    <row r="256" spans="1:18" ht="25.5">
      <c r="A256" s="302" t="str">
        <f t="shared" si="4"/>
        <v>characterSet</v>
      </c>
      <c r="B256" s="6" t="s">
        <v>5930</v>
      </c>
      <c r="C256" s="17" t="s">
        <v>5931</v>
      </c>
      <c r="D256" s="10" t="s">
        <v>5932</v>
      </c>
      <c r="E256" s="55"/>
      <c r="F256" s="55"/>
      <c r="G256" s="12" t="s">
        <v>4643</v>
      </c>
      <c r="H256" s="74"/>
      <c r="I256" s="147" t="str">
        <f>HYPERLINK("[#]Datatypes!B296:L296","MD_CharacterSetCode")</f>
        <v>MD_CharacterSetCode</v>
      </c>
      <c r="J256" s="80"/>
      <c r="K256" s="77"/>
      <c r="L256" s="77"/>
      <c r="M256" s="78"/>
      <c r="N256" s="74"/>
      <c r="O256" s="25">
        <v>207173</v>
      </c>
      <c r="P256" s="304" t="str">
        <f>CONCATENATE([1]Cover!$D$6,"fdd/view?i=",O256)</f>
        <v>https://www.dgiwg.org/FAD/fdd/view?i=207173</v>
      </c>
      <c r="Q256" s="8" t="s">
        <v>5929</v>
      </c>
      <c r="R256" s="38" t="s">
        <v>1295</v>
      </c>
    </row>
    <row r="257" spans="1:18" ht="38.25">
      <c r="A257" s="302" t="str">
        <f t="shared" si="4"/>
        <v>charactersEmitted</v>
      </c>
      <c r="B257" s="6" t="s">
        <v>5935</v>
      </c>
      <c r="C257" s="17" t="s">
        <v>5936</v>
      </c>
      <c r="D257" s="10" t="s">
        <v>5937</v>
      </c>
      <c r="E257" s="10" t="s">
        <v>5938</v>
      </c>
      <c r="F257" s="55"/>
      <c r="G257" s="12" t="s">
        <v>4643</v>
      </c>
      <c r="H257" s="74"/>
      <c r="I257" s="147" t="str">
        <f>HYPERLINK("[#]Datatypes!B1440:L1440","TextNonLex80")</f>
        <v>TextNonLex80</v>
      </c>
      <c r="J257" s="80"/>
      <c r="K257" s="77"/>
      <c r="L257" s="77"/>
      <c r="M257" s="78"/>
      <c r="N257" s="74"/>
      <c r="O257" s="25">
        <v>101030</v>
      </c>
      <c r="P257" s="304" t="str">
        <f>CONCATENATE([1]Cover!$D$6,"fdd/view?i=",O257)</f>
        <v>https://www.dgiwg.org/FAD/fdd/view?i=101030</v>
      </c>
      <c r="Q257" s="8" t="s">
        <v>5934</v>
      </c>
      <c r="R257" s="38" t="s">
        <v>151</v>
      </c>
    </row>
    <row r="258" spans="1:18" ht="76.5">
      <c r="A258" s="302" t="str">
        <f t="shared" si="4"/>
        <v>chlorideConcentration</v>
      </c>
      <c r="B258" s="6" t="s">
        <v>5941</v>
      </c>
      <c r="C258" s="17" t="s">
        <v>5942</v>
      </c>
      <c r="D258" s="10" t="s">
        <v>5943</v>
      </c>
      <c r="E258" s="10" t="s">
        <v>5944</v>
      </c>
      <c r="F258" s="55"/>
      <c r="G258" s="12" t="s">
        <v>4643</v>
      </c>
      <c r="H258" s="74"/>
      <c r="I258" s="147" t="str">
        <f>HYPERLINK("[#]Datatypes!B1097:L1097","Real")</f>
        <v>Real</v>
      </c>
      <c r="J258" s="76" t="str">
        <f>HYPERLINK("[#]PhysicalQuantities!A29:N29","Mass Density")</f>
        <v>Mass Density</v>
      </c>
      <c r="K258" s="75" t="str">
        <f>HYPERLINK("[#]UnitsOfMeasure!D140:G140","Gram per cubic Metre")</f>
        <v>Gram per cubic Metre</v>
      </c>
      <c r="L258" s="77"/>
      <c r="M258" s="78"/>
      <c r="N258" s="74"/>
      <c r="O258" s="25">
        <v>119400</v>
      </c>
      <c r="P258" s="304" t="str">
        <f>CONCATENATE([1]Cover!$D$6,"fdd/view?i=",O258)</f>
        <v>https://www.dgiwg.org/FAD/fdd/view?i=119400</v>
      </c>
      <c r="Q258" s="8" t="s">
        <v>5940</v>
      </c>
      <c r="R258" s="38" t="s">
        <v>151</v>
      </c>
    </row>
    <row r="259" spans="1:18" ht="25.5">
      <c r="A259" s="302" t="str">
        <f t="shared" si="4"/>
        <v>circlingProcedureIdent</v>
      </c>
      <c r="B259" s="6" t="s">
        <v>5946</v>
      </c>
      <c r="C259" s="17" t="s">
        <v>5947</v>
      </c>
      <c r="D259" s="10" t="s">
        <v>5948</v>
      </c>
      <c r="E259" s="10" t="s">
        <v>5949</v>
      </c>
      <c r="F259" s="55"/>
      <c r="G259" s="12" t="s">
        <v>4643</v>
      </c>
      <c r="H259" s="74"/>
      <c r="I259" s="147" t="str">
        <f>HYPERLINK("[#]Datatypes!B298:L298","CirclingProcedureIdentStrucText")</f>
        <v>CirclingProcedureIdentStrucText</v>
      </c>
      <c r="J259" s="80"/>
      <c r="K259" s="77"/>
      <c r="L259" s="77"/>
      <c r="M259" s="78"/>
      <c r="N259" s="74"/>
      <c r="O259" s="25">
        <v>117544</v>
      </c>
      <c r="P259" s="304" t="str">
        <f>CONCATENATE([1]Cover!$D$6,"fdd/view?i=",O259)</f>
        <v>https://www.dgiwg.org/FAD/fdd/view?i=117544</v>
      </c>
      <c r="Q259" s="8" t="s">
        <v>5945</v>
      </c>
      <c r="R259" s="38" t="s">
        <v>151</v>
      </c>
    </row>
    <row r="260" spans="1:18">
      <c r="A260" s="302" t="str">
        <f t="shared" ref="A260:A323" si="5">HYPERLINK(P260,B260)</f>
        <v>cityServed</v>
      </c>
      <c r="B260" s="6" t="s">
        <v>5952</v>
      </c>
      <c r="C260" s="17" t="s">
        <v>5953</v>
      </c>
      <c r="D260" s="10" t="s">
        <v>5954</v>
      </c>
      <c r="E260" s="55"/>
      <c r="F260" s="55"/>
      <c r="G260" s="12" t="s">
        <v>4643</v>
      </c>
      <c r="H260" s="74"/>
      <c r="I260" s="147" t="str">
        <f>HYPERLINK("[#]Datatypes!B1416:L1416","TextLexUnconstrained")</f>
        <v>TextLexUnconstrained</v>
      </c>
      <c r="J260" s="80"/>
      <c r="K260" s="77"/>
      <c r="L260" s="77"/>
      <c r="M260" s="78"/>
      <c r="N260" s="74"/>
      <c r="O260" s="25">
        <v>117545</v>
      </c>
      <c r="P260" s="304" t="str">
        <f>CONCATENATE([1]Cover!$D$6,"fdd/view?i=",O260)</f>
        <v>https://www.dgiwg.org/FAD/fdd/view?i=117545</v>
      </c>
      <c r="Q260" s="8" t="s">
        <v>5951</v>
      </c>
      <c r="R260" s="38" t="s">
        <v>151</v>
      </c>
    </row>
    <row r="261" spans="1:18">
      <c r="A261" s="302" t="str">
        <f t="shared" si="5"/>
        <v>coastType</v>
      </c>
      <c r="B261" s="6" t="s">
        <v>5956</v>
      </c>
      <c r="C261" s="17" t="s">
        <v>5957</v>
      </c>
      <c r="D261" s="10" t="s">
        <v>5958</v>
      </c>
      <c r="E261" s="55"/>
      <c r="F261" s="55"/>
      <c r="G261" s="12" t="s">
        <v>4643</v>
      </c>
      <c r="H261" s="74"/>
      <c r="I261" s="147" t="str">
        <f>HYPERLINK("[#]Datatypes!B319:L319","CoastTypeCode")</f>
        <v>CoastTypeCode</v>
      </c>
      <c r="J261" s="80"/>
      <c r="K261" s="77"/>
      <c r="L261" s="77"/>
      <c r="M261" s="71" t="str">
        <f>HYPERLINK("[#]DatatypeListedValues!A2134:H2134","&lt;values&gt;")</f>
        <v>&lt;values&gt;</v>
      </c>
      <c r="N261" s="82" t="b">
        <v>0</v>
      </c>
      <c r="O261" s="25">
        <v>101296</v>
      </c>
      <c r="P261" s="304" t="str">
        <f>CONCATENATE([1]Cover!$D$6,"fdd/view?i=",O261)</f>
        <v>https://www.dgiwg.org/FAD/fdd/view?i=101296</v>
      </c>
      <c r="Q261" s="8" t="s">
        <v>5955</v>
      </c>
      <c r="R261" s="38" t="s">
        <v>151</v>
      </c>
    </row>
    <row r="262" spans="1:18">
      <c r="A262" s="302" t="str">
        <f t="shared" si="5"/>
        <v>coastalWorkType</v>
      </c>
      <c r="B262" s="6" t="s">
        <v>5961</v>
      </c>
      <c r="C262" s="17" t="s">
        <v>5962</v>
      </c>
      <c r="D262" s="10" t="s">
        <v>5963</v>
      </c>
      <c r="E262" s="55"/>
      <c r="F262" s="55"/>
      <c r="G262" s="12" t="s">
        <v>4643</v>
      </c>
      <c r="H262" s="12" t="s">
        <v>4700</v>
      </c>
      <c r="I262" s="147" t="str">
        <f>HYPERLINK("[#]Datatypes!B321:L321","CoastalWorkTypeCode")</f>
        <v>CoastalWorkTypeCode</v>
      </c>
      <c r="J262" s="80"/>
      <c r="K262" s="77"/>
      <c r="L262" s="77"/>
      <c r="M262" s="71" t="str">
        <f>HYPERLINK("[#]DatatypeListedValues!A2139:H2139","&lt;values&gt;")</f>
        <v>&lt;values&gt;</v>
      </c>
      <c r="N262" s="82" t="b">
        <v>0</v>
      </c>
      <c r="O262" s="25">
        <v>101500</v>
      </c>
      <c r="P262" s="304" t="str">
        <f>CONCATENATE([1]Cover!$D$6,"fdd/view?i=",O262)</f>
        <v>https://www.dgiwg.org/FAD/fdd/view?i=101500</v>
      </c>
      <c r="Q262" s="8" t="s">
        <v>5960</v>
      </c>
      <c r="R262" s="38" t="s">
        <v>151</v>
      </c>
    </row>
    <row r="263" spans="1:18" ht="25.5">
      <c r="A263" s="302" t="str">
        <f t="shared" si="5"/>
        <v>code</v>
      </c>
      <c r="B263" s="6" t="s">
        <v>5966</v>
      </c>
      <c r="C263" s="17" t="s">
        <v>36</v>
      </c>
      <c r="D263" s="10" t="s">
        <v>5967</v>
      </c>
      <c r="E263" s="55"/>
      <c r="F263" s="55"/>
      <c r="G263" s="12" t="s">
        <v>4643</v>
      </c>
      <c r="H263" s="74"/>
      <c r="I263" s="147" t="str">
        <f>HYPERLINK("[#]Datatypes!B1416:L1416","TextLexUnconstrained")</f>
        <v>TextLexUnconstrained</v>
      </c>
      <c r="J263" s="80"/>
      <c r="K263" s="77"/>
      <c r="L263" s="77"/>
      <c r="M263" s="78"/>
      <c r="N263" s="74"/>
      <c r="O263" s="25">
        <v>207295</v>
      </c>
      <c r="P263" s="304" t="str">
        <f>CONCATENATE([1]Cover!$D$6,"fdd/view?i=",O263)</f>
        <v>https://www.dgiwg.org/FAD/fdd/view?i=207295</v>
      </c>
      <c r="Q263" s="8" t="s">
        <v>5965</v>
      </c>
      <c r="R263" s="38" t="s">
        <v>1295</v>
      </c>
    </row>
    <row r="264" spans="1:18" ht="63.75">
      <c r="A264" s="302" t="str">
        <f t="shared" si="5"/>
        <v>coliformConcentration</v>
      </c>
      <c r="B264" s="6" t="s">
        <v>5969</v>
      </c>
      <c r="C264" s="17" t="s">
        <v>5970</v>
      </c>
      <c r="D264" s="10" t="s">
        <v>5971</v>
      </c>
      <c r="E264" s="10" t="s">
        <v>5972</v>
      </c>
      <c r="F264" s="55"/>
      <c r="G264" s="12" t="s">
        <v>4643</v>
      </c>
      <c r="H264" s="74"/>
      <c r="I264" s="147" t="str">
        <f>HYPERLINK("[#]Datatypes!B1097:L1097","Real")</f>
        <v>Real</v>
      </c>
      <c r="J264" s="76" t="str">
        <f>HYPERLINK("[#]PhysicalQuantities!A39:N39","Pure Number")</f>
        <v>Pure Number</v>
      </c>
      <c r="K264" s="75" t="str">
        <f>HYPERLINK("[#]UnitsOfMeasure!D213:G213","Unitless")</f>
        <v>Unitless</v>
      </c>
      <c r="L264" s="77"/>
      <c r="M264" s="78"/>
      <c r="N264" s="74"/>
      <c r="O264" s="25">
        <v>119399</v>
      </c>
      <c r="P264" s="304" t="str">
        <f>CONCATENATE([1]Cover!$D$6,"fdd/view?i=",O264)</f>
        <v>https://www.dgiwg.org/FAD/fdd/view?i=119399</v>
      </c>
      <c r="Q264" s="8" t="s">
        <v>5968</v>
      </c>
      <c r="R264" s="38" t="s">
        <v>151</v>
      </c>
    </row>
    <row r="265" spans="1:18" ht="63.75">
      <c r="A265" s="302" t="str">
        <f t="shared" si="5"/>
        <v>collection</v>
      </c>
      <c r="B265" s="6" t="s">
        <v>5974</v>
      </c>
      <c r="C265" s="17" t="s">
        <v>5975</v>
      </c>
      <c r="D265" s="10" t="s">
        <v>5976</v>
      </c>
      <c r="E265" s="10" t="s">
        <v>5977</v>
      </c>
      <c r="F265" s="55"/>
      <c r="G265" s="12" t="s">
        <v>4643</v>
      </c>
      <c r="H265" s="74"/>
      <c r="I265" s="147" t="str">
        <f>HYPERLINK("[#]Datatypes!B230:L230","Boolean")</f>
        <v>Boolean</v>
      </c>
      <c r="J265" s="80"/>
      <c r="K265" s="77"/>
      <c r="L265" s="77"/>
      <c r="M265" s="78"/>
      <c r="N265" s="74"/>
      <c r="O265" s="25">
        <v>114216</v>
      </c>
      <c r="P265" s="304" t="str">
        <f>CONCATENATE([1]Cover!$D$6,"fdd/view?i=",O265)</f>
        <v>https://www.dgiwg.org/FAD/fdd/view?i=114216</v>
      </c>
      <c r="Q265" s="8" t="s">
        <v>5973</v>
      </c>
      <c r="R265" s="38" t="s">
        <v>151</v>
      </c>
    </row>
    <row r="266" spans="1:18" ht="25.5">
      <c r="A266" s="302" t="str">
        <f t="shared" si="5"/>
        <v>coLocationSharedApron</v>
      </c>
      <c r="B266" s="6" t="s">
        <v>5979</v>
      </c>
      <c r="C266" s="17" t="s">
        <v>5980</v>
      </c>
      <c r="D266" s="10" t="s">
        <v>5981</v>
      </c>
      <c r="E266" s="55"/>
      <c r="F266" s="55"/>
      <c r="G266" s="12" t="s">
        <v>4643</v>
      </c>
      <c r="H266" s="74"/>
      <c r="I266" s="147" t="str">
        <f>HYPERLINK("[#]Datatypes!B230:L230","Boolean")</f>
        <v>Boolean</v>
      </c>
      <c r="J266" s="80"/>
      <c r="K266" s="77"/>
      <c r="L266" s="77"/>
      <c r="M266" s="78"/>
      <c r="N266" s="74"/>
      <c r="O266" s="25">
        <v>117467</v>
      </c>
      <c r="P266" s="304" t="str">
        <f>CONCATENATE([1]Cover!$D$6,"fdd/view?i=",O266)</f>
        <v>https://www.dgiwg.org/FAD/fdd/view?i=117467</v>
      </c>
      <c r="Q266" s="8" t="s">
        <v>5978</v>
      </c>
      <c r="R266" s="38" t="s">
        <v>151</v>
      </c>
    </row>
    <row r="267" spans="1:18" ht="25.5">
      <c r="A267" s="302" t="str">
        <f t="shared" si="5"/>
        <v>coLocationSharedFacilities</v>
      </c>
      <c r="B267" s="6" t="s">
        <v>5983</v>
      </c>
      <c r="C267" s="17" t="s">
        <v>5984</v>
      </c>
      <c r="D267" s="10" t="s">
        <v>5985</v>
      </c>
      <c r="E267" s="55"/>
      <c r="F267" s="55"/>
      <c r="G267" s="12" t="s">
        <v>4643</v>
      </c>
      <c r="H267" s="74"/>
      <c r="I267" s="147" t="str">
        <f>HYPERLINK("[#]Datatypes!B230:L230","Boolean")</f>
        <v>Boolean</v>
      </c>
      <c r="J267" s="80"/>
      <c r="K267" s="77"/>
      <c r="L267" s="77"/>
      <c r="M267" s="78"/>
      <c r="N267" s="74"/>
      <c r="O267" s="25">
        <v>117468</v>
      </c>
      <c r="P267" s="304" t="str">
        <f>CONCATENATE([1]Cover!$D$6,"fdd/view?i=",O267)</f>
        <v>https://www.dgiwg.org/FAD/fdd/view?i=117468</v>
      </c>
      <c r="Q267" s="8" t="s">
        <v>5982</v>
      </c>
      <c r="R267" s="38" t="s">
        <v>151</v>
      </c>
    </row>
    <row r="268" spans="1:18" ht="25.5">
      <c r="A268" s="302" t="str">
        <f t="shared" si="5"/>
        <v>coLocationSharedRunway</v>
      </c>
      <c r="B268" s="6" t="s">
        <v>5987</v>
      </c>
      <c r="C268" s="17" t="s">
        <v>5988</v>
      </c>
      <c r="D268" s="10" t="s">
        <v>5989</v>
      </c>
      <c r="E268" s="55"/>
      <c r="F268" s="55"/>
      <c r="G268" s="12" t="s">
        <v>4643</v>
      </c>
      <c r="H268" s="74"/>
      <c r="I268" s="147" t="str">
        <f>HYPERLINK("[#]Datatypes!B230:L230","Boolean")</f>
        <v>Boolean</v>
      </c>
      <c r="J268" s="80"/>
      <c r="K268" s="77"/>
      <c r="L268" s="77"/>
      <c r="M268" s="78"/>
      <c r="N268" s="74"/>
      <c r="O268" s="25">
        <v>117465</v>
      </c>
      <c r="P268" s="304" t="str">
        <f>CONCATENATE([1]Cover!$D$6,"fdd/view?i=",O268)</f>
        <v>https://www.dgiwg.org/FAD/fdd/view?i=117465</v>
      </c>
      <c r="Q268" s="8" t="s">
        <v>5986</v>
      </c>
      <c r="R268" s="38" t="s">
        <v>151</v>
      </c>
    </row>
    <row r="269" spans="1:18" ht="25.5">
      <c r="A269" s="302" t="str">
        <f t="shared" si="5"/>
        <v>coLocationSharedTaxiway</v>
      </c>
      <c r="B269" s="6" t="s">
        <v>5991</v>
      </c>
      <c r="C269" s="17" t="s">
        <v>5992</v>
      </c>
      <c r="D269" s="10" t="s">
        <v>5993</v>
      </c>
      <c r="E269" s="55"/>
      <c r="F269" s="55"/>
      <c r="G269" s="12" t="s">
        <v>4643</v>
      </c>
      <c r="H269" s="74"/>
      <c r="I269" s="147" t="str">
        <f>HYPERLINK("[#]Datatypes!B230:L230","Boolean")</f>
        <v>Boolean</v>
      </c>
      <c r="J269" s="80"/>
      <c r="K269" s="77"/>
      <c r="L269" s="77"/>
      <c r="M269" s="78"/>
      <c r="N269" s="74"/>
      <c r="O269" s="25">
        <v>117466</v>
      </c>
      <c r="P269" s="304" t="str">
        <f>CONCATENATE([1]Cover!$D$6,"fdd/view?i=",O269)</f>
        <v>https://www.dgiwg.org/FAD/fdd/view?i=117466</v>
      </c>
      <c r="Q269" s="8" t="s">
        <v>5990</v>
      </c>
      <c r="R269" s="38" t="s">
        <v>151</v>
      </c>
    </row>
    <row r="270" spans="1:18" ht="38.25">
      <c r="A270" s="302" t="str">
        <f t="shared" si="5"/>
        <v>colourOfNavMarkDesc</v>
      </c>
      <c r="B270" s="6" t="s">
        <v>5995</v>
      </c>
      <c r="C270" s="17" t="s">
        <v>5996</v>
      </c>
      <c r="D270" s="10" t="s">
        <v>5997</v>
      </c>
      <c r="E270" s="10" t="s">
        <v>5998</v>
      </c>
      <c r="F270" s="55"/>
      <c r="G270" s="12" t="s">
        <v>4643</v>
      </c>
      <c r="H270" s="74"/>
      <c r="I270" s="147" t="str">
        <f>HYPERLINK("[#]Datatypes!B1416:L1416","TextLexUnconstrained")</f>
        <v>TextLexUnconstrained</v>
      </c>
      <c r="J270" s="80"/>
      <c r="K270" s="77"/>
      <c r="L270" s="77"/>
      <c r="M270" s="78"/>
      <c r="N270" s="74"/>
      <c r="O270" s="25">
        <v>100729</v>
      </c>
      <c r="P270" s="304" t="str">
        <f>CONCATENATE([1]Cover!$D$6,"fdd/view?i=",O270)</f>
        <v>https://www.dgiwg.org/FAD/fdd/view?i=100729</v>
      </c>
      <c r="Q270" s="8" t="s">
        <v>5994</v>
      </c>
      <c r="R270" s="38" t="s">
        <v>151</v>
      </c>
    </row>
    <row r="271" spans="1:18" ht="38.25">
      <c r="A271" s="302" t="str">
        <f t="shared" si="5"/>
        <v>colourPattern</v>
      </c>
      <c r="B271" s="6" t="s">
        <v>6000</v>
      </c>
      <c r="C271" s="17" t="s">
        <v>6001</v>
      </c>
      <c r="D271" s="10" t="s">
        <v>6002</v>
      </c>
      <c r="E271" s="10" t="s">
        <v>6003</v>
      </c>
      <c r="F271" s="55"/>
      <c r="G271" s="12" t="s">
        <v>4643</v>
      </c>
      <c r="H271" s="74"/>
      <c r="I271" s="147" t="str">
        <f>HYPERLINK("[#]Datatypes!B323:L323","ColourPatternCode")</f>
        <v>ColourPatternCode</v>
      </c>
      <c r="J271" s="80"/>
      <c r="K271" s="77"/>
      <c r="L271" s="77"/>
      <c r="M271" s="71" t="str">
        <f>HYPERLINK("[#]DatatypeListedValues!A2141:H2141","&lt;values&gt;")</f>
        <v>&lt;values&gt;</v>
      </c>
      <c r="N271" s="82" t="b">
        <v>0</v>
      </c>
      <c r="O271" s="25">
        <v>110823</v>
      </c>
      <c r="P271" s="304" t="str">
        <f>CONCATENATE([1]Cover!$D$6,"fdd/view?i=",O271)</f>
        <v>https://www.dgiwg.org/FAD/fdd/view?i=110823</v>
      </c>
      <c r="Q271" s="8" t="s">
        <v>5999</v>
      </c>
      <c r="R271" s="38" t="s">
        <v>151</v>
      </c>
    </row>
    <row r="272" spans="1:18" ht="76.5">
      <c r="A272" s="302" t="str">
        <f t="shared" si="5"/>
        <v>commercialCopyrightNotice</v>
      </c>
      <c r="B272" s="6" t="s">
        <v>6006</v>
      </c>
      <c r="C272" s="17" t="s">
        <v>6007</v>
      </c>
      <c r="D272" s="10" t="s">
        <v>6008</v>
      </c>
      <c r="E272" s="10" t="s">
        <v>6009</v>
      </c>
      <c r="F272" s="55"/>
      <c r="G272" s="12" t="s">
        <v>4643</v>
      </c>
      <c r="H272" s="74"/>
      <c r="I272" s="147" t="str">
        <f>HYPERLINK("[#]Datatypes!B1416:L1416","TextLexUnconstrained")</f>
        <v>TextLexUnconstrained</v>
      </c>
      <c r="J272" s="80"/>
      <c r="K272" s="77"/>
      <c r="L272" s="77"/>
      <c r="M272" s="78"/>
      <c r="N272" s="74"/>
      <c r="O272" s="25">
        <v>109939</v>
      </c>
      <c r="P272" s="304" t="str">
        <f>CONCATENATE([1]Cover!$D$6,"fdd/view?i=",O272)</f>
        <v>https://www.dgiwg.org/FAD/fdd/view?i=109939</v>
      </c>
      <c r="Q272" s="8" t="s">
        <v>6005</v>
      </c>
      <c r="R272" s="38" t="s">
        <v>151</v>
      </c>
    </row>
    <row r="273" spans="1:18" ht="114.75">
      <c r="A273" s="302" t="str">
        <f t="shared" si="5"/>
        <v>commercialDistribRestrict</v>
      </c>
      <c r="B273" s="6" t="s">
        <v>6011</v>
      </c>
      <c r="C273" s="17" t="s">
        <v>6012</v>
      </c>
      <c r="D273" s="10" t="s">
        <v>6013</v>
      </c>
      <c r="E273" s="10" t="s">
        <v>6014</v>
      </c>
      <c r="F273" s="55"/>
      <c r="G273" s="12" t="s">
        <v>4643</v>
      </c>
      <c r="H273" s="74"/>
      <c r="I273" s="147" t="str">
        <f>HYPERLINK("[#]Datatypes!B1416:L1416","TextLexUnconstrained")</f>
        <v>TextLexUnconstrained</v>
      </c>
      <c r="J273" s="80"/>
      <c r="K273" s="77"/>
      <c r="L273" s="77"/>
      <c r="M273" s="78"/>
      <c r="N273" s="74"/>
      <c r="O273" s="25">
        <v>109940</v>
      </c>
      <c r="P273" s="304" t="str">
        <f>CONCATENATE([1]Cover!$D$6,"fdd/view?i=",O273)</f>
        <v>https://www.dgiwg.org/FAD/fdd/view?i=109940</v>
      </c>
      <c r="Q273" s="8" t="s">
        <v>6010</v>
      </c>
      <c r="R273" s="38" t="s">
        <v>151</v>
      </c>
    </row>
    <row r="274" spans="1:18" ht="51">
      <c r="A274" s="302" t="str">
        <f t="shared" si="5"/>
        <v>commercialShipActivityLevel</v>
      </c>
      <c r="B274" s="6" t="s">
        <v>6016</v>
      </c>
      <c r="C274" s="17" t="s">
        <v>6017</v>
      </c>
      <c r="D274" s="10" t="s">
        <v>6018</v>
      </c>
      <c r="E274" s="10" t="s">
        <v>6019</v>
      </c>
      <c r="F274" s="55"/>
      <c r="G274" s="12" t="s">
        <v>4643</v>
      </c>
      <c r="H274" s="74"/>
      <c r="I274" s="147" t="str">
        <f>HYPERLINK("[#]Datatypes!B325:L325","CommercialShipActivityLevelCode")</f>
        <v>CommercialShipActivityLevelCode</v>
      </c>
      <c r="J274" s="80"/>
      <c r="K274" s="77"/>
      <c r="L274" s="77"/>
      <c r="M274" s="71" t="str">
        <f>HYPERLINK("[#]DatatypeListedValues!A2148:H2148","&lt;values&gt;")</f>
        <v>&lt;values&gt;</v>
      </c>
      <c r="N274" s="12" t="b">
        <v>1</v>
      </c>
      <c r="O274" s="25">
        <v>206238</v>
      </c>
      <c r="P274" s="304" t="str">
        <f>CONCATENATE([1]Cover!$D$6,"fdd/view?i=",O274)</f>
        <v>https://www.dgiwg.org/FAD/fdd/view?i=206238</v>
      </c>
      <c r="Q274" s="8" t="s">
        <v>6015</v>
      </c>
      <c r="R274" s="38" t="s">
        <v>1295</v>
      </c>
    </row>
    <row r="275" spans="1:18">
      <c r="A275" s="302" t="str">
        <f t="shared" si="5"/>
        <v>commissionedStatus</v>
      </c>
      <c r="B275" s="6" t="s">
        <v>6022</v>
      </c>
      <c r="C275" s="17" t="s">
        <v>6023</v>
      </c>
      <c r="D275" s="10" t="s">
        <v>6024</v>
      </c>
      <c r="E275" s="55"/>
      <c r="F275" s="55"/>
      <c r="G275" s="12" t="s">
        <v>4643</v>
      </c>
      <c r="H275" s="74"/>
      <c r="I275" s="147" t="str">
        <f>HYPERLINK("[#]Datatypes!B327:L327","CommissionedStatusCode")</f>
        <v>CommissionedStatusCode</v>
      </c>
      <c r="J275" s="80"/>
      <c r="K275" s="77"/>
      <c r="L275" s="77"/>
      <c r="M275" s="71" t="str">
        <f>HYPERLINK("[#]DatatypeListedValues!A2153:H2153","&lt;values&gt;")</f>
        <v>&lt;values&gt;</v>
      </c>
      <c r="N275" s="12" t="b">
        <v>1</v>
      </c>
      <c r="O275" s="25">
        <v>100747</v>
      </c>
      <c r="P275" s="304" t="str">
        <f>CONCATENATE([1]Cover!$D$6,"fdd/view?i=",O275)</f>
        <v>https://www.dgiwg.org/FAD/fdd/view?i=100747</v>
      </c>
      <c r="Q275" s="8" t="s">
        <v>6021</v>
      </c>
      <c r="R275" s="38" t="s">
        <v>151</v>
      </c>
    </row>
    <row r="276" spans="1:18" ht="38.25">
      <c r="A276" s="302" t="str">
        <f t="shared" si="5"/>
        <v>commFailureProcedure</v>
      </c>
      <c r="B276" s="6" t="s">
        <v>6027</v>
      </c>
      <c r="C276" s="17" t="s">
        <v>6028</v>
      </c>
      <c r="D276" s="10" t="s">
        <v>6029</v>
      </c>
      <c r="E276" s="55"/>
      <c r="F276" s="10" t="s">
        <v>6030</v>
      </c>
      <c r="G276" s="12" t="s">
        <v>4643</v>
      </c>
      <c r="H276" s="74"/>
      <c r="I276" s="147" t="str">
        <f>HYPERLINK("[#]Datatypes!B1442:L1442","TextNonLexUnconstrained")</f>
        <v>TextNonLexUnconstrained</v>
      </c>
      <c r="J276" s="80"/>
      <c r="K276" s="77"/>
      <c r="L276" s="77"/>
      <c r="M276" s="78"/>
      <c r="N276" s="74"/>
      <c r="O276" s="25">
        <v>117569</v>
      </c>
      <c r="P276" s="304" t="str">
        <f>CONCATENATE([1]Cover!$D$6,"fdd/view?i=",O276)</f>
        <v>https://www.dgiwg.org/FAD/fdd/view?i=117569</v>
      </c>
      <c r="Q276" s="8" t="s">
        <v>6026</v>
      </c>
      <c r="R276" s="38" t="s">
        <v>151</v>
      </c>
    </row>
    <row r="277" spans="1:18">
      <c r="A277" s="302" t="str">
        <f t="shared" si="5"/>
        <v>communicationType</v>
      </c>
      <c r="B277" s="6" t="s">
        <v>6032</v>
      </c>
      <c r="C277" s="17" t="s">
        <v>6033</v>
      </c>
      <c r="D277" s="10" t="s">
        <v>6034</v>
      </c>
      <c r="E277" s="55"/>
      <c r="F277" s="55"/>
      <c r="G277" s="12" t="s">
        <v>4643</v>
      </c>
      <c r="H277" s="74"/>
      <c r="I277" s="147" t="str">
        <f>HYPERLINK("[#]Datatypes!B329:L329","CommunicationTypeCode")</f>
        <v>CommunicationTypeCode</v>
      </c>
      <c r="J277" s="80"/>
      <c r="K277" s="77"/>
      <c r="L277" s="77"/>
      <c r="M277" s="71" t="str">
        <f>HYPERLINK("[#]DatatypeListedValues!A2159:H2159","&lt;values&gt;")</f>
        <v>&lt;values&gt;</v>
      </c>
      <c r="N277" s="82" t="b">
        <v>0</v>
      </c>
      <c r="O277" s="25">
        <v>200320</v>
      </c>
      <c r="P277" s="304" t="str">
        <f>CONCATENATE([1]Cover!$D$6,"fdd/view?i=",O277)</f>
        <v>https://www.dgiwg.org/FAD/fdd/view?i=200320</v>
      </c>
      <c r="Q277" s="8" t="s">
        <v>6031</v>
      </c>
      <c r="R277" s="38" t="s">
        <v>1295</v>
      </c>
    </row>
    <row r="278" spans="1:18" ht="38.25">
      <c r="A278" s="302" t="str">
        <f t="shared" si="5"/>
        <v>complexGeometry</v>
      </c>
      <c r="B278" s="6" t="s">
        <v>6037</v>
      </c>
      <c r="C278" s="17" t="s">
        <v>6038</v>
      </c>
      <c r="D278" s="10" t="s">
        <v>6039</v>
      </c>
      <c r="E278" s="10" t="s">
        <v>6040</v>
      </c>
      <c r="F278" s="55"/>
      <c r="G278" s="12" t="s">
        <v>4643</v>
      </c>
      <c r="H278" s="74"/>
      <c r="I278" s="147" t="str">
        <f>HYPERLINK("[#]Datatypes!B331:L331","GmComposite")</f>
        <v>GmComposite</v>
      </c>
      <c r="J278" s="80"/>
      <c r="K278" s="77"/>
      <c r="L278" s="77"/>
      <c r="M278" s="78"/>
      <c r="N278" s="74"/>
      <c r="O278" s="25">
        <v>200621</v>
      </c>
      <c r="P278" s="304" t="str">
        <f>CONCATENATE([1]Cover!$D$6,"fdd/view?i=",O278)</f>
        <v>https://www.dgiwg.org/FAD/fdd/view?i=200621</v>
      </c>
      <c r="Q278" s="8" t="s">
        <v>6036</v>
      </c>
      <c r="R278" s="38" t="s">
        <v>1295</v>
      </c>
    </row>
    <row r="279" spans="1:18" ht="51">
      <c r="A279" s="302" t="str">
        <f t="shared" si="5"/>
        <v>componentFeatureCount</v>
      </c>
      <c r="B279" s="6" t="s">
        <v>6043</v>
      </c>
      <c r="C279" s="17" t="s">
        <v>6044</v>
      </c>
      <c r="D279" s="10" t="s">
        <v>6045</v>
      </c>
      <c r="E279" s="10" t="s">
        <v>6046</v>
      </c>
      <c r="F279" s="55"/>
      <c r="G279" s="12" t="s">
        <v>4643</v>
      </c>
      <c r="H279" s="74"/>
      <c r="I279" s="147" t="str">
        <f>HYPERLINK("[#]Datatypes!B366:L366","Count")</f>
        <v>Count</v>
      </c>
      <c r="J279" s="80"/>
      <c r="K279" s="77"/>
      <c r="L279" s="77"/>
      <c r="M279" s="78"/>
      <c r="N279" s="74"/>
      <c r="O279" s="25">
        <v>111492</v>
      </c>
      <c r="P279" s="304" t="str">
        <f>CONCATENATE([1]Cover!$D$6,"fdd/view?i=",O279)</f>
        <v>https://www.dgiwg.org/FAD/fdd/view?i=111492</v>
      </c>
      <c r="Q279" s="8" t="s">
        <v>6042</v>
      </c>
      <c r="R279" s="38" t="s">
        <v>151</v>
      </c>
    </row>
    <row r="280" spans="1:18" ht="25.5">
      <c r="A280" s="302" t="str">
        <f t="shared" si="5"/>
        <v>compositeCurveGeometry</v>
      </c>
      <c r="B280" s="6" t="s">
        <v>6048</v>
      </c>
      <c r="C280" s="17" t="s">
        <v>6049</v>
      </c>
      <c r="D280" s="10" t="s">
        <v>6050</v>
      </c>
      <c r="E280" s="10" t="s">
        <v>6051</v>
      </c>
      <c r="F280" s="55"/>
      <c r="G280" s="12" t="s">
        <v>4643</v>
      </c>
      <c r="H280" s="74"/>
      <c r="I280" s="147" t="str">
        <f>HYPERLINK("[#]Datatypes!B333:L333","GmCompositeCurve")</f>
        <v>GmCompositeCurve</v>
      </c>
      <c r="J280" s="80"/>
      <c r="K280" s="77"/>
      <c r="L280" s="77"/>
      <c r="M280" s="78"/>
      <c r="N280" s="74"/>
      <c r="O280" s="25">
        <v>200623</v>
      </c>
      <c r="P280" s="304" t="str">
        <f>CONCATENATE([1]Cover!$D$6,"fdd/view?i=",O280)</f>
        <v>https://www.dgiwg.org/FAD/fdd/view?i=200623</v>
      </c>
      <c r="Q280" s="8" t="s">
        <v>6047</v>
      </c>
      <c r="R280" s="38" t="s">
        <v>1295</v>
      </c>
    </row>
    <row r="281" spans="1:18">
      <c r="A281" s="302" t="str">
        <f t="shared" si="5"/>
        <v>compositePointGeometry</v>
      </c>
      <c r="B281" s="6" t="s">
        <v>6054</v>
      </c>
      <c r="C281" s="17" t="s">
        <v>6055</v>
      </c>
      <c r="D281" s="10" t="s">
        <v>6056</v>
      </c>
      <c r="E281" s="10" t="s">
        <v>6051</v>
      </c>
      <c r="F281" s="55"/>
      <c r="G281" s="12" t="s">
        <v>4643</v>
      </c>
      <c r="H281" s="74"/>
      <c r="I281" s="147" t="str">
        <f>HYPERLINK("[#]Datatypes!B335:L335","GmCompositePoint")</f>
        <v>GmCompositePoint</v>
      </c>
      <c r="J281" s="80"/>
      <c r="K281" s="77"/>
      <c r="L281" s="77"/>
      <c r="M281" s="78"/>
      <c r="N281" s="74"/>
      <c r="O281" s="25">
        <v>200622</v>
      </c>
      <c r="P281" s="304" t="str">
        <f>CONCATENATE([1]Cover!$D$6,"fdd/view?i=",O281)</f>
        <v>https://www.dgiwg.org/FAD/fdd/view?i=200622</v>
      </c>
      <c r="Q281" s="8" t="s">
        <v>6053</v>
      </c>
      <c r="R281" s="38" t="s">
        <v>1295</v>
      </c>
    </row>
    <row r="282" spans="1:18" ht="25.5">
      <c r="A282" s="302" t="str">
        <f t="shared" si="5"/>
        <v>compositeSolidGeometry</v>
      </c>
      <c r="B282" s="6" t="s">
        <v>6059</v>
      </c>
      <c r="C282" s="17" t="s">
        <v>6060</v>
      </c>
      <c r="D282" s="10" t="s">
        <v>6061</v>
      </c>
      <c r="E282" s="10" t="s">
        <v>6051</v>
      </c>
      <c r="F282" s="55"/>
      <c r="G282" s="12" t="s">
        <v>4643</v>
      </c>
      <c r="H282" s="74"/>
      <c r="I282" s="147" t="str">
        <f>HYPERLINK("[#]Datatypes!B337:L337","GmCompositeSolid")</f>
        <v>GmCompositeSolid</v>
      </c>
      <c r="J282" s="80"/>
      <c r="K282" s="77"/>
      <c r="L282" s="77"/>
      <c r="M282" s="78"/>
      <c r="N282" s="74"/>
      <c r="O282" s="25">
        <v>200625</v>
      </c>
      <c r="P282" s="304" t="str">
        <f>CONCATENATE([1]Cover!$D$6,"fdd/view?i=",O282)</f>
        <v>https://www.dgiwg.org/FAD/fdd/view?i=200625</v>
      </c>
      <c r="Q282" s="8" t="s">
        <v>6058</v>
      </c>
      <c r="R282" s="38" t="s">
        <v>1295</v>
      </c>
    </row>
    <row r="283" spans="1:18" ht="25.5">
      <c r="A283" s="302" t="str">
        <f t="shared" si="5"/>
        <v>compositeSurfaceGeometry</v>
      </c>
      <c r="B283" s="6" t="s">
        <v>6064</v>
      </c>
      <c r="C283" s="17" t="s">
        <v>6065</v>
      </c>
      <c r="D283" s="10" t="s">
        <v>6066</v>
      </c>
      <c r="E283" s="10" t="s">
        <v>6051</v>
      </c>
      <c r="F283" s="55"/>
      <c r="G283" s="12" t="s">
        <v>4643</v>
      </c>
      <c r="H283" s="74"/>
      <c r="I283" s="147" t="str">
        <f>HYPERLINK("[#]Datatypes!B339:L339","GmCompositeSurface")</f>
        <v>GmCompositeSurface</v>
      </c>
      <c r="J283" s="80"/>
      <c r="K283" s="77"/>
      <c r="L283" s="77"/>
      <c r="M283" s="78"/>
      <c r="N283" s="74"/>
      <c r="O283" s="25">
        <v>200624</v>
      </c>
      <c r="P283" s="304" t="str">
        <f>CONCATENATE([1]Cover!$D$6,"fdd/view?i=",O283)</f>
        <v>https://www.dgiwg.org/FAD/fdd/view?i=200624</v>
      </c>
      <c r="Q283" s="8" t="s">
        <v>6063</v>
      </c>
      <c r="R283" s="38" t="s">
        <v>1295</v>
      </c>
    </row>
    <row r="284" spans="1:18" ht="63.75">
      <c r="A284" s="302" t="str">
        <f t="shared" si="5"/>
        <v>confined</v>
      </c>
      <c r="B284" s="6" t="s">
        <v>6069</v>
      </c>
      <c r="C284" s="17" t="s">
        <v>6070</v>
      </c>
      <c r="D284" s="10" t="s">
        <v>6071</v>
      </c>
      <c r="E284" s="10" t="s">
        <v>6072</v>
      </c>
      <c r="F284" s="55"/>
      <c r="G284" s="12" t="s">
        <v>4643</v>
      </c>
      <c r="H284" s="74"/>
      <c r="I284" s="147" t="str">
        <f>HYPERLINK("[#]Datatypes!B230:L230","Boolean")</f>
        <v>Boolean</v>
      </c>
      <c r="J284" s="80"/>
      <c r="K284" s="77"/>
      <c r="L284" s="77"/>
      <c r="M284" s="78"/>
      <c r="N284" s="74"/>
      <c r="O284" s="25">
        <v>119601</v>
      </c>
      <c r="P284" s="304" t="str">
        <f>CONCATENATE([1]Cover!$D$6,"fdd/view?i=",O284)</f>
        <v>https://www.dgiwg.org/FAD/fdd/view?i=119601</v>
      </c>
      <c r="Q284" s="8" t="s">
        <v>6068</v>
      </c>
      <c r="R284" s="38" t="s">
        <v>151</v>
      </c>
    </row>
    <row r="285" spans="1:18" ht="63.75">
      <c r="A285" s="302" t="str">
        <f t="shared" si="5"/>
        <v>conservationAreaManageCat</v>
      </c>
      <c r="B285" s="6" t="s">
        <v>6074</v>
      </c>
      <c r="C285" s="17" t="s">
        <v>6075</v>
      </c>
      <c r="D285" s="10" t="s">
        <v>6076</v>
      </c>
      <c r="E285" s="55"/>
      <c r="F285" s="10" t="s">
        <v>6077</v>
      </c>
      <c r="G285" s="12" t="s">
        <v>4643</v>
      </c>
      <c r="H285" s="74"/>
      <c r="I285" s="147" t="str">
        <f>HYPERLINK("[#]Datatypes!B341:L341","ConservationAreaManageCatCode")</f>
        <v>ConservationAreaManageCatCode</v>
      </c>
      <c r="J285" s="80"/>
      <c r="K285" s="77"/>
      <c r="L285" s="77"/>
      <c r="M285" s="71" t="str">
        <f>HYPERLINK("[#]DatatypeListedValues!A2208:H2208","&lt;values&gt;")</f>
        <v>&lt;values&gt;</v>
      </c>
      <c r="N285" s="82" t="b">
        <v>0</v>
      </c>
      <c r="O285" s="25">
        <v>111299</v>
      </c>
      <c r="P285" s="304" t="str">
        <f>CONCATENATE([1]Cover!$D$6,"fdd/view?i=",O285)</f>
        <v>https://www.dgiwg.org/FAD/fdd/view?i=111299</v>
      </c>
      <c r="Q285" s="8" t="s">
        <v>6073</v>
      </c>
      <c r="R285" s="38" t="s">
        <v>151</v>
      </c>
    </row>
    <row r="286" spans="1:18" ht="38.25">
      <c r="A286" s="302" t="str">
        <f t="shared" si="5"/>
        <v>conspicuousAirCategory</v>
      </c>
      <c r="B286" s="6" t="s">
        <v>6080</v>
      </c>
      <c r="C286" s="17" t="s">
        <v>6081</v>
      </c>
      <c r="D286" s="10" t="s">
        <v>6082</v>
      </c>
      <c r="E286" s="10" t="s">
        <v>6083</v>
      </c>
      <c r="F286" s="55"/>
      <c r="G286" s="12" t="s">
        <v>4643</v>
      </c>
      <c r="H286" s="74"/>
      <c r="I286" s="147" t="str">
        <f>HYPERLINK("[#]Datatypes!B343:L343","ConspicuousAirCategoryCode")</f>
        <v>ConspicuousAirCategoryCode</v>
      </c>
      <c r="J286" s="80"/>
      <c r="K286" s="77"/>
      <c r="L286" s="77"/>
      <c r="M286" s="71" t="str">
        <f>HYPERLINK("[#]DatatypeListedValues!A2219:H2219","&lt;values&gt;")</f>
        <v>&lt;values&gt;</v>
      </c>
      <c r="N286" s="12" t="b">
        <v>1</v>
      </c>
      <c r="O286" s="25">
        <v>103229</v>
      </c>
      <c r="P286" s="304" t="str">
        <f>CONCATENATE([1]Cover!$D$6,"fdd/view?i=",O286)</f>
        <v>https://www.dgiwg.org/FAD/fdd/view?i=103229</v>
      </c>
      <c r="Q286" s="8" t="s">
        <v>6079</v>
      </c>
      <c r="R286" s="38" t="s">
        <v>151</v>
      </c>
    </row>
    <row r="287" spans="1:18" ht="38.25">
      <c r="A287" s="302" t="str">
        <f t="shared" si="5"/>
        <v>conspicuousGroundCategory</v>
      </c>
      <c r="B287" s="6" t="s">
        <v>6086</v>
      </c>
      <c r="C287" s="17" t="s">
        <v>6087</v>
      </c>
      <c r="D287" s="10" t="s">
        <v>6088</v>
      </c>
      <c r="E287" s="10" t="s">
        <v>6083</v>
      </c>
      <c r="F287" s="55"/>
      <c r="G287" s="12" t="s">
        <v>4643</v>
      </c>
      <c r="H287" s="74"/>
      <c r="I287" s="147" t="str">
        <f>HYPERLINK("[#]Datatypes!B345:L345","ConspicuousGroundCategoryCode")</f>
        <v>ConspicuousGroundCategoryCode</v>
      </c>
      <c r="J287" s="80"/>
      <c r="K287" s="77"/>
      <c r="L287" s="77"/>
      <c r="M287" s="71" t="str">
        <f>HYPERLINK("[#]DatatypeListedValues!A2223:H2223","&lt;values&gt;")</f>
        <v>&lt;values&gt;</v>
      </c>
      <c r="N287" s="12" t="b">
        <v>1</v>
      </c>
      <c r="O287" s="25">
        <v>103227</v>
      </c>
      <c r="P287" s="304" t="str">
        <f>CONCATENATE([1]Cover!$D$6,"fdd/view?i=",O287)</f>
        <v>https://www.dgiwg.org/FAD/fdd/view?i=103227</v>
      </c>
      <c r="Q287" s="8" t="s">
        <v>6085</v>
      </c>
      <c r="R287" s="38" t="s">
        <v>151</v>
      </c>
    </row>
    <row r="288" spans="1:18" ht="38.25">
      <c r="A288" s="302" t="str">
        <f t="shared" si="5"/>
        <v>conspicuousSeaCategory</v>
      </c>
      <c r="B288" s="6" t="s">
        <v>6091</v>
      </c>
      <c r="C288" s="17" t="s">
        <v>6092</v>
      </c>
      <c r="D288" s="10" t="s">
        <v>6093</v>
      </c>
      <c r="E288" s="10" t="s">
        <v>6083</v>
      </c>
      <c r="F288" s="55"/>
      <c r="G288" s="12" t="s">
        <v>4643</v>
      </c>
      <c r="H288" s="74"/>
      <c r="I288" s="147" t="str">
        <f>HYPERLINK("[#]Datatypes!B347:L347","ConspicuousSeaCategoryCode")</f>
        <v>ConspicuousSeaCategoryCode</v>
      </c>
      <c r="J288" s="80"/>
      <c r="K288" s="77"/>
      <c r="L288" s="77"/>
      <c r="M288" s="71" t="str">
        <f>HYPERLINK("[#]DatatypeListedValues!A2227:H2227","&lt;values&gt;")</f>
        <v>&lt;values&gt;</v>
      </c>
      <c r="N288" s="12" t="b">
        <v>1</v>
      </c>
      <c r="O288" s="25">
        <v>103231</v>
      </c>
      <c r="P288" s="304" t="str">
        <f>CONCATENATE([1]Cover!$D$6,"fdd/view?i=",O288)</f>
        <v>https://www.dgiwg.org/FAD/fdd/view?i=103231</v>
      </c>
      <c r="Q288" s="8" t="s">
        <v>6090</v>
      </c>
      <c r="R288" s="38" t="s">
        <v>151</v>
      </c>
    </row>
    <row r="289" spans="1:18" ht="25.5">
      <c r="A289" s="302" t="str">
        <f t="shared" si="5"/>
        <v>contactInfo</v>
      </c>
      <c r="B289" s="6" t="s">
        <v>6096</v>
      </c>
      <c r="C289" s="17" t="s">
        <v>6097</v>
      </c>
      <c r="D289" s="10" t="s">
        <v>6098</v>
      </c>
      <c r="E289" s="55"/>
      <c r="F289" s="55"/>
      <c r="G289" s="12" t="s">
        <v>4643</v>
      </c>
      <c r="H289" s="74"/>
      <c r="I289" s="147" t="str">
        <f>HYPERLINK("[#]Datatypes!B349:L349","CI_Contact")</f>
        <v>CI_Contact</v>
      </c>
      <c r="J289" s="80"/>
      <c r="K289" s="77"/>
      <c r="L289" s="77"/>
      <c r="M289" s="78"/>
      <c r="N289" s="74"/>
      <c r="O289" s="25">
        <v>204107</v>
      </c>
      <c r="P289" s="304" t="str">
        <f>CONCATENATE([1]Cover!$D$6,"fdd/view?i=",O289)</f>
        <v>https://www.dgiwg.org/FAD/fdd/view?i=204107</v>
      </c>
      <c r="Q289" s="8" t="s">
        <v>6095</v>
      </c>
      <c r="R289" s="38" t="s">
        <v>1295</v>
      </c>
    </row>
    <row r="290" spans="1:18">
      <c r="A290" s="302" t="str">
        <f t="shared" si="5"/>
        <v>contactMineActuation</v>
      </c>
      <c r="B290" s="6" t="s">
        <v>6101</v>
      </c>
      <c r="C290" s="17" t="s">
        <v>6102</v>
      </c>
      <c r="D290" s="10" t="s">
        <v>6103</v>
      </c>
      <c r="E290" s="55"/>
      <c r="F290" s="55"/>
      <c r="G290" s="12" t="s">
        <v>4643</v>
      </c>
      <c r="H290" s="74"/>
      <c r="I290" s="147" t="str">
        <f>HYPERLINK("[#]Datatypes!B356:L356","ContactMineActuationCode")</f>
        <v>ContactMineActuationCode</v>
      </c>
      <c r="J290" s="80"/>
      <c r="K290" s="77"/>
      <c r="L290" s="77"/>
      <c r="M290" s="71" t="str">
        <f>HYPERLINK("[#]DatatypeListedValues!A2235:H2235","&lt;values&gt;")</f>
        <v>&lt;values&gt;</v>
      </c>
      <c r="N290" s="82" t="b">
        <v>0</v>
      </c>
      <c r="O290" s="25">
        <v>101046</v>
      </c>
      <c r="P290" s="304" t="str">
        <f>CONCATENATE([1]Cover!$D$6,"fdd/view?i=",O290)</f>
        <v>https://www.dgiwg.org/FAD/fdd/view?i=101046</v>
      </c>
      <c r="Q290" s="8" t="s">
        <v>6100</v>
      </c>
      <c r="R290" s="38" t="s">
        <v>151</v>
      </c>
    </row>
    <row r="291" spans="1:18" ht="25.5">
      <c r="A291" s="302" t="str">
        <f t="shared" si="5"/>
        <v>contactStatus</v>
      </c>
      <c r="B291" s="6" t="s">
        <v>6106</v>
      </c>
      <c r="C291" s="17" t="s">
        <v>6107</v>
      </c>
      <c r="D291" s="10" t="s">
        <v>6108</v>
      </c>
      <c r="E291" s="10" t="s">
        <v>6109</v>
      </c>
      <c r="F291" s="55"/>
      <c r="G291" s="12" t="s">
        <v>4643</v>
      </c>
      <c r="H291" s="74"/>
      <c r="I291" s="147" t="str">
        <f>HYPERLINK("[#]Datatypes!B358:L358","ContactStatusCode")</f>
        <v>ContactStatusCode</v>
      </c>
      <c r="J291" s="80"/>
      <c r="K291" s="77"/>
      <c r="L291" s="77"/>
      <c r="M291" s="71" t="str">
        <f>HYPERLINK("[#]DatatypeListedValues!A2238:H2238","&lt;values&gt;")</f>
        <v>&lt;values&gt;</v>
      </c>
      <c r="N291" s="82" t="b">
        <v>0</v>
      </c>
      <c r="O291" s="25">
        <v>111713</v>
      </c>
      <c r="P291" s="304" t="str">
        <f>CONCATENATE([1]Cover!$D$6,"fdd/view?i=",O291)</f>
        <v>https://www.dgiwg.org/FAD/fdd/view?i=111713</v>
      </c>
      <c r="Q291" s="8" t="s">
        <v>6105</v>
      </c>
      <c r="R291" s="38" t="s">
        <v>151</v>
      </c>
    </row>
    <row r="292" spans="1:18" ht="25.5">
      <c r="A292" s="302" t="str">
        <f t="shared" si="5"/>
        <v>containedInServiceTunnel</v>
      </c>
      <c r="B292" s="6" t="s">
        <v>6112</v>
      </c>
      <c r="C292" s="17" t="s">
        <v>6113</v>
      </c>
      <c r="D292" s="10" t="s">
        <v>6114</v>
      </c>
      <c r="E292" s="55"/>
      <c r="F292" s="55"/>
      <c r="G292" s="12" t="s">
        <v>4643</v>
      </c>
      <c r="H292" s="74"/>
      <c r="I292" s="147" t="str">
        <f>HYPERLINK("[#]Datatypes!B230:L230","Boolean")</f>
        <v>Boolean</v>
      </c>
      <c r="J292" s="80"/>
      <c r="K292" s="77"/>
      <c r="L292" s="77"/>
      <c r="M292" s="78"/>
      <c r="N292" s="74"/>
      <c r="O292" s="25">
        <v>109943</v>
      </c>
      <c r="P292" s="304" t="str">
        <f>CONCATENATE([1]Cover!$D$6,"fdd/view?i=",O292)</f>
        <v>https://www.dgiwg.org/FAD/fdd/view?i=109943</v>
      </c>
      <c r="Q292" s="8" t="s">
        <v>6111</v>
      </c>
      <c r="R292" s="38" t="s">
        <v>151</v>
      </c>
    </row>
    <row r="293" spans="1:18">
      <c r="A293" s="302" t="str">
        <f t="shared" si="5"/>
        <v>containedInStructure</v>
      </c>
      <c r="B293" s="6" t="s">
        <v>6116</v>
      </c>
      <c r="C293" s="17" t="s">
        <v>6117</v>
      </c>
      <c r="D293" s="10" t="s">
        <v>6118</v>
      </c>
      <c r="E293" s="10" t="s">
        <v>6119</v>
      </c>
      <c r="F293" s="55"/>
      <c r="G293" s="12" t="s">
        <v>4643</v>
      </c>
      <c r="H293" s="74"/>
      <c r="I293" s="147" t="str">
        <f>HYPERLINK("[#]Datatypes!B230:L230","Boolean")</f>
        <v>Boolean</v>
      </c>
      <c r="J293" s="80"/>
      <c r="K293" s="77"/>
      <c r="L293" s="77"/>
      <c r="M293" s="78"/>
      <c r="N293" s="74"/>
      <c r="O293" s="25">
        <v>109944</v>
      </c>
      <c r="P293" s="304" t="str">
        <f>CONCATENATE([1]Cover!$D$6,"fdd/view?i=",O293)</f>
        <v>https://www.dgiwg.org/FAD/fdd/view?i=109944</v>
      </c>
      <c r="Q293" s="8" t="s">
        <v>6115</v>
      </c>
      <c r="R293" s="38" t="s">
        <v>151</v>
      </c>
    </row>
    <row r="294" spans="1:18" ht="25.5">
      <c r="A294" s="302" t="str">
        <f t="shared" si="5"/>
        <v>containedInTunnel</v>
      </c>
      <c r="B294" s="6" t="s">
        <v>6121</v>
      </c>
      <c r="C294" s="17" t="s">
        <v>6122</v>
      </c>
      <c r="D294" s="10" t="s">
        <v>6123</v>
      </c>
      <c r="E294" s="10" t="s">
        <v>6124</v>
      </c>
      <c r="F294" s="55"/>
      <c r="G294" s="12" t="s">
        <v>4643</v>
      </c>
      <c r="H294" s="74"/>
      <c r="I294" s="147" t="str">
        <f>HYPERLINK("[#]Datatypes!B230:L230","Boolean")</f>
        <v>Boolean</v>
      </c>
      <c r="J294" s="80"/>
      <c r="K294" s="77"/>
      <c r="L294" s="77"/>
      <c r="M294" s="78"/>
      <c r="N294" s="74"/>
      <c r="O294" s="25">
        <v>110758</v>
      </c>
      <c r="P294" s="304" t="str">
        <f>CONCATENATE([1]Cover!$D$6,"fdd/view?i=",O294)</f>
        <v>https://www.dgiwg.org/FAD/fdd/view?i=110758</v>
      </c>
      <c r="Q294" s="8" t="s">
        <v>6120</v>
      </c>
      <c r="R294" s="38" t="s">
        <v>151</v>
      </c>
    </row>
    <row r="295" spans="1:18" ht="51">
      <c r="A295" s="302" t="str">
        <f t="shared" si="5"/>
        <v>containmentBermPresent</v>
      </c>
      <c r="B295" s="6" t="s">
        <v>6126</v>
      </c>
      <c r="C295" s="17" t="s">
        <v>6127</v>
      </c>
      <c r="D295" s="10" t="s">
        <v>6128</v>
      </c>
      <c r="E295" s="10" t="s">
        <v>6129</v>
      </c>
      <c r="F295" s="10" t="s">
        <v>6130</v>
      </c>
      <c r="G295" s="12" t="s">
        <v>4643</v>
      </c>
      <c r="H295" s="74"/>
      <c r="I295" s="147" t="str">
        <f>HYPERLINK("[#]Datatypes!B230:L230","Boolean")</f>
        <v>Boolean</v>
      </c>
      <c r="J295" s="80"/>
      <c r="K295" s="77"/>
      <c r="L295" s="77"/>
      <c r="M295" s="78"/>
      <c r="N295" s="74"/>
      <c r="O295" s="25">
        <v>117773</v>
      </c>
      <c r="P295" s="304" t="str">
        <f>CONCATENATE([1]Cover!$D$6,"fdd/view?i=",O295)</f>
        <v>https://www.dgiwg.org/FAD/fdd/view?i=117773</v>
      </c>
      <c r="Q295" s="8" t="s">
        <v>6125</v>
      </c>
      <c r="R295" s="38" t="s">
        <v>151</v>
      </c>
    </row>
    <row r="296" spans="1:18">
      <c r="A296" s="302" t="str">
        <f t="shared" si="5"/>
        <v>contaminantSource</v>
      </c>
      <c r="B296" s="6" t="s">
        <v>6132</v>
      </c>
      <c r="C296" s="17" t="s">
        <v>6133</v>
      </c>
      <c r="D296" s="10" t="s">
        <v>6134</v>
      </c>
      <c r="E296" s="55"/>
      <c r="F296" s="55"/>
      <c r="G296" s="12" t="s">
        <v>4643</v>
      </c>
      <c r="H296" s="12" t="s">
        <v>4700</v>
      </c>
      <c r="I296" s="147" t="str">
        <f>HYPERLINK("[#]Datatypes!B362:L362","ContaminantSourceCode")</f>
        <v>ContaminantSourceCode</v>
      </c>
      <c r="J296" s="80"/>
      <c r="K296" s="77"/>
      <c r="L296" s="77"/>
      <c r="M296" s="71" t="str">
        <f>HYPERLINK("[#]DatatypeListedValues!A2248:H2248","&lt;values&gt;")</f>
        <v>&lt;values&gt;</v>
      </c>
      <c r="N296" s="82" t="b">
        <v>0</v>
      </c>
      <c r="O296" s="25">
        <v>118070</v>
      </c>
      <c r="P296" s="304" t="str">
        <f>CONCATENATE([1]Cover!$D$6,"fdd/view?i=",O296)</f>
        <v>https://www.dgiwg.org/FAD/fdd/view?i=118070</v>
      </c>
      <c r="Q296" s="8" t="s">
        <v>6131</v>
      </c>
      <c r="R296" s="38" t="s">
        <v>151</v>
      </c>
    </row>
    <row r="297" spans="1:18">
      <c r="A297" s="302" t="str">
        <f t="shared" si="5"/>
        <v>controlled</v>
      </c>
      <c r="B297" s="6" t="s">
        <v>6137</v>
      </c>
      <c r="C297" s="17" t="s">
        <v>6138</v>
      </c>
      <c r="D297" s="10" t="s">
        <v>6139</v>
      </c>
      <c r="E297" s="10" t="s">
        <v>6140</v>
      </c>
      <c r="F297" s="55"/>
      <c r="G297" s="12" t="s">
        <v>4643</v>
      </c>
      <c r="H297" s="74"/>
      <c r="I297" s="147" t="str">
        <f>HYPERLINK("[#]Datatypes!B230:L230","Boolean")</f>
        <v>Boolean</v>
      </c>
      <c r="J297" s="80"/>
      <c r="K297" s="77"/>
      <c r="L297" s="77"/>
      <c r="M297" s="78"/>
      <c r="N297" s="74"/>
      <c r="O297" s="25">
        <v>100749</v>
      </c>
      <c r="P297" s="304" t="str">
        <f>CONCATENATE([1]Cover!$D$6,"fdd/view?i=",O297)</f>
        <v>https://www.dgiwg.org/FAD/fdd/view?i=100749</v>
      </c>
      <c r="Q297" s="8" t="s">
        <v>6136</v>
      </c>
      <c r="R297" s="38" t="s">
        <v>151</v>
      </c>
    </row>
    <row r="298" spans="1:18" ht="38.25">
      <c r="A298" s="302" t="str">
        <f t="shared" si="5"/>
        <v>controllingAuthority</v>
      </c>
      <c r="B298" s="6" t="s">
        <v>6142</v>
      </c>
      <c r="C298" s="17" t="s">
        <v>6143</v>
      </c>
      <c r="D298" s="10" t="s">
        <v>6144</v>
      </c>
      <c r="E298" s="10" t="s">
        <v>6145</v>
      </c>
      <c r="F298" s="55"/>
      <c r="G298" s="12" t="s">
        <v>4643</v>
      </c>
      <c r="H298" s="74"/>
      <c r="I298" s="147" t="str">
        <f>HYPERLINK("[#]Datatypes!B364:L364","ControllingAuthorityCode")</f>
        <v>ControllingAuthorityCode</v>
      </c>
      <c r="J298" s="80"/>
      <c r="K298" s="77"/>
      <c r="L298" s="77"/>
      <c r="M298" s="71" t="str">
        <f>HYPERLINK("[#]DatatypeListedValues!A2256:H2256","&lt;values&gt;")</f>
        <v>&lt;values&gt;</v>
      </c>
      <c r="N298" s="82" t="b">
        <v>0</v>
      </c>
      <c r="O298" s="25">
        <v>100723</v>
      </c>
      <c r="P298" s="304" t="str">
        <f>CONCATENATE([1]Cover!$D$6,"fdd/view?i=",O298)</f>
        <v>https://www.dgiwg.org/FAD/fdd/view?i=100723</v>
      </c>
      <c r="Q298" s="8" t="s">
        <v>6141</v>
      </c>
      <c r="R298" s="38" t="s">
        <v>151</v>
      </c>
    </row>
    <row r="299" spans="1:18">
      <c r="A299" s="302" t="str">
        <f t="shared" si="5"/>
        <v>controllingAuthorityName</v>
      </c>
      <c r="B299" s="6" t="s">
        <v>6148</v>
      </c>
      <c r="C299" s="17" t="s">
        <v>6149</v>
      </c>
      <c r="D299" s="10" t="s">
        <v>6150</v>
      </c>
      <c r="E299" s="55"/>
      <c r="F299" s="55"/>
      <c r="G299" s="12" t="s">
        <v>4643</v>
      </c>
      <c r="H299" s="74"/>
      <c r="I299" s="147" t="str">
        <f>HYPERLINK("[#]Datatypes!B1432:L1432","TextNonLex38")</f>
        <v>TextNonLex38</v>
      </c>
      <c r="J299" s="80"/>
      <c r="K299" s="77"/>
      <c r="L299" s="77"/>
      <c r="M299" s="78"/>
      <c r="N299" s="74"/>
      <c r="O299" s="25">
        <v>114473</v>
      </c>
      <c r="P299" s="304" t="str">
        <f>CONCATENATE([1]Cover!$D$6,"fdd/view?i=",O299)</f>
        <v>https://www.dgiwg.org/FAD/fdd/view?i=114473</v>
      </c>
      <c r="Q299" s="8" t="s">
        <v>6147</v>
      </c>
      <c r="R299" s="38" t="s">
        <v>151</v>
      </c>
    </row>
    <row r="300" spans="1:18" ht="38.25">
      <c r="A300" s="302" t="str">
        <f t="shared" si="5"/>
        <v>controllingObstacle</v>
      </c>
      <c r="B300" s="6" t="s">
        <v>6153</v>
      </c>
      <c r="C300" s="17" t="s">
        <v>6154</v>
      </c>
      <c r="D300" s="10" t="s">
        <v>6155</v>
      </c>
      <c r="E300" s="55"/>
      <c r="F300" s="55"/>
      <c r="G300" s="12" t="s">
        <v>4643</v>
      </c>
      <c r="H300" s="74"/>
      <c r="I300" s="147" t="str">
        <f>HYPERLINK("[#]Datatypes!B230:L230","Boolean")</f>
        <v>Boolean</v>
      </c>
      <c r="J300" s="80"/>
      <c r="K300" s="77"/>
      <c r="L300" s="77"/>
      <c r="M300" s="78"/>
      <c r="N300" s="74"/>
      <c r="O300" s="25">
        <v>117541</v>
      </c>
      <c r="P300" s="304" t="str">
        <f>CONCATENATE([1]Cover!$D$6,"fdd/view?i=",O300)</f>
        <v>https://www.dgiwg.org/FAD/fdd/view?i=117541</v>
      </c>
      <c r="Q300" s="8" t="s">
        <v>6152</v>
      </c>
      <c r="R300" s="38" t="s">
        <v>151</v>
      </c>
    </row>
    <row r="301" spans="1:18" ht="25.5">
      <c r="A301" s="302" t="str">
        <f t="shared" si="5"/>
        <v>copterFinalApproachCourse</v>
      </c>
      <c r="B301" s="6" t="s">
        <v>6157</v>
      </c>
      <c r="C301" s="17" t="s">
        <v>6158</v>
      </c>
      <c r="D301" s="10" t="s">
        <v>6159</v>
      </c>
      <c r="E301" s="10" t="s">
        <v>6160</v>
      </c>
      <c r="F301" s="55"/>
      <c r="G301" s="12" t="s">
        <v>4643</v>
      </c>
      <c r="H301" s="74"/>
      <c r="I301" s="147" t="str">
        <f>HYPERLINK("[#]Datatypes!B1097:L1097","Real")</f>
        <v>Real</v>
      </c>
      <c r="J301" s="76" t="str">
        <f>HYPERLINK("[#]PhysicalQuantities!A34:N34","Plane Angle")</f>
        <v>Plane Angle</v>
      </c>
      <c r="K301" s="75" t="str">
        <f>HYPERLINK("[#]UnitsOfMeasure!D159:G159","Arc Degree")</f>
        <v>Arc Degree</v>
      </c>
      <c r="L301" s="77"/>
      <c r="M301" s="78"/>
      <c r="N301" s="74"/>
      <c r="O301" s="25">
        <v>117534</v>
      </c>
      <c r="P301" s="304" t="str">
        <f>CONCATENATE([1]Cover!$D$6,"fdd/view?i=",O301)</f>
        <v>https://www.dgiwg.org/FAD/fdd/view?i=117534</v>
      </c>
      <c r="Q301" s="8" t="s">
        <v>6156</v>
      </c>
      <c r="R301" s="38" t="s">
        <v>151</v>
      </c>
    </row>
    <row r="302" spans="1:18" ht="25.5">
      <c r="A302" s="302" t="str">
        <f t="shared" si="5"/>
        <v>courseReversalDescription</v>
      </c>
      <c r="B302" s="6" t="s">
        <v>6162</v>
      </c>
      <c r="C302" s="17" t="s">
        <v>6163</v>
      </c>
      <c r="D302" s="10" t="s">
        <v>6164</v>
      </c>
      <c r="E302" s="55"/>
      <c r="F302" s="55"/>
      <c r="G302" s="12" t="s">
        <v>4643</v>
      </c>
      <c r="H302" s="74"/>
      <c r="I302" s="147" t="str">
        <f>HYPERLINK("[#]Datatypes!B1442:L1442","TextNonLexUnconstrained")</f>
        <v>TextNonLexUnconstrained</v>
      </c>
      <c r="J302" s="80"/>
      <c r="K302" s="77"/>
      <c r="L302" s="77"/>
      <c r="M302" s="78"/>
      <c r="N302" s="74"/>
      <c r="O302" s="25">
        <v>117699</v>
      </c>
      <c r="P302" s="304" t="str">
        <f>CONCATENATE([1]Cover!$D$6,"fdd/view?i=",O302)</f>
        <v>https://www.dgiwg.org/FAD/fdd/view?i=117699</v>
      </c>
      <c r="Q302" s="8" t="s">
        <v>6161</v>
      </c>
      <c r="R302" s="38" t="s">
        <v>151</v>
      </c>
    </row>
    <row r="303" spans="1:18" ht="25.5">
      <c r="A303" s="302" t="str">
        <f t="shared" si="5"/>
        <v>courseType</v>
      </c>
      <c r="B303" s="6" t="s">
        <v>6166</v>
      </c>
      <c r="C303" s="17" t="s">
        <v>6167</v>
      </c>
      <c r="D303" s="10" t="s">
        <v>6168</v>
      </c>
      <c r="E303" s="10" t="s">
        <v>6169</v>
      </c>
      <c r="F303" s="55"/>
      <c r="G303" s="12" t="s">
        <v>4643</v>
      </c>
      <c r="H303" s="74"/>
      <c r="I303" s="147" t="str">
        <f>HYPERLINK("[#]Datatypes!B380:L380","CourseTypeCode")</f>
        <v>CourseTypeCode</v>
      </c>
      <c r="J303" s="80"/>
      <c r="K303" s="77"/>
      <c r="L303" s="77"/>
      <c r="M303" s="71" t="str">
        <f>HYPERLINK("[#]DatatypeListedValues!A2268:H2268","&lt;values&gt;")</f>
        <v>&lt;values&gt;</v>
      </c>
      <c r="N303" s="82" t="b">
        <v>0</v>
      </c>
      <c r="O303" s="25">
        <v>117542</v>
      </c>
      <c r="P303" s="304" t="str">
        <f>CONCATENATE([1]Cover!$D$6,"fdd/view?i=",O303)</f>
        <v>https://www.dgiwg.org/FAD/fdd/view?i=117542</v>
      </c>
      <c r="Q303" s="8" t="s">
        <v>6165</v>
      </c>
      <c r="R303" s="38" t="s">
        <v>151</v>
      </c>
    </row>
    <row r="304" spans="1:18" ht="25.5">
      <c r="A304" s="302" t="str">
        <f t="shared" si="5"/>
        <v>coverClosureType</v>
      </c>
      <c r="B304" s="6" t="s">
        <v>6172</v>
      </c>
      <c r="C304" s="17" t="s">
        <v>6173</v>
      </c>
      <c r="D304" s="10" t="s">
        <v>6174</v>
      </c>
      <c r="E304" s="55"/>
      <c r="F304" s="55"/>
      <c r="G304" s="12" t="s">
        <v>4643</v>
      </c>
      <c r="H304" s="74"/>
      <c r="I304" s="147" t="str">
        <f>HYPERLINK("[#]Datatypes!B382:L382","CoverClosureTypeCode")</f>
        <v>CoverClosureTypeCode</v>
      </c>
      <c r="J304" s="80"/>
      <c r="K304" s="77"/>
      <c r="L304" s="77"/>
      <c r="M304" s="71" t="str">
        <f>HYPERLINK("[#]DatatypeListedValues!A2274:H2274","&lt;values&gt;")</f>
        <v>&lt;values&gt;</v>
      </c>
      <c r="N304" s="12" t="b">
        <v>1</v>
      </c>
      <c r="O304" s="25">
        <v>103223</v>
      </c>
      <c r="P304" s="304" t="str">
        <f>CONCATENATE([1]Cover!$D$6,"fdd/view?i=",O304)</f>
        <v>https://www.dgiwg.org/FAD/fdd/view?i=103223</v>
      </c>
      <c r="Q304" s="8" t="s">
        <v>6171</v>
      </c>
      <c r="R304" s="38" t="s">
        <v>151</v>
      </c>
    </row>
    <row r="305" spans="1:18" ht="25.5">
      <c r="A305" s="302" t="str">
        <f t="shared" si="5"/>
        <v>coveredDrain</v>
      </c>
      <c r="B305" s="6" t="s">
        <v>6177</v>
      </c>
      <c r="C305" s="17" t="s">
        <v>6178</v>
      </c>
      <c r="D305" s="10" t="s">
        <v>6179</v>
      </c>
      <c r="E305" s="55"/>
      <c r="F305" s="55"/>
      <c r="G305" s="12" t="s">
        <v>4643</v>
      </c>
      <c r="H305" s="74"/>
      <c r="I305" s="147" t="str">
        <f>HYPERLINK("[#]Datatypes!B230:L230","Boolean")</f>
        <v>Boolean</v>
      </c>
      <c r="J305" s="80"/>
      <c r="K305" s="77"/>
      <c r="L305" s="77"/>
      <c r="M305" s="78"/>
      <c r="N305" s="74"/>
      <c r="O305" s="25">
        <v>100730</v>
      </c>
      <c r="P305" s="304" t="str">
        <f>CONCATENATE([1]Cover!$D$6,"fdd/view?i=",O305)</f>
        <v>https://www.dgiwg.org/FAD/fdd/view?i=100730</v>
      </c>
      <c r="Q305" s="8" t="s">
        <v>6176</v>
      </c>
      <c r="R305" s="38" t="s">
        <v>151</v>
      </c>
    </row>
    <row r="306" spans="1:18" ht="25.5">
      <c r="A306" s="302" t="str">
        <f t="shared" si="5"/>
        <v>coveredDrainLength</v>
      </c>
      <c r="B306" s="6" t="s">
        <v>6181</v>
      </c>
      <c r="C306" s="17" t="s">
        <v>6182</v>
      </c>
      <c r="D306" s="10" t="s">
        <v>6183</v>
      </c>
      <c r="E306" s="55"/>
      <c r="F306" s="55"/>
      <c r="G306" s="12" t="s">
        <v>4643</v>
      </c>
      <c r="H306" s="74"/>
      <c r="I306" s="147" t="str">
        <f>HYPERLINK("[#]Datatypes!B1099:L1099","RealInterval")</f>
        <v>RealInterval</v>
      </c>
      <c r="J306" s="76" t="str">
        <f>HYPERLINK("[#]PhysicalQuantities!A20:N20","Length")</f>
        <v>Length</v>
      </c>
      <c r="K306" s="75" t="str">
        <f>HYPERLINK("[#]UnitsOfMeasure!D80:G80","Metre")</f>
        <v>Metre</v>
      </c>
      <c r="L306" s="77"/>
      <c r="M306" s="78"/>
      <c r="N306" s="74"/>
      <c r="O306" s="25">
        <v>110882</v>
      </c>
      <c r="P306" s="304" t="str">
        <f>CONCATENATE([1]Cover!$D$6,"fdd/view?i=",O306)</f>
        <v>https://www.dgiwg.org/FAD/fdd/view?i=110882</v>
      </c>
      <c r="Q306" s="8" t="s">
        <v>6180</v>
      </c>
      <c r="R306" s="38" t="s">
        <v>151</v>
      </c>
    </row>
    <row r="307" spans="1:18" ht="25.5">
      <c r="A307" s="302" t="str">
        <f t="shared" si="5"/>
        <v>craneMaxObsClearance</v>
      </c>
      <c r="B307" s="6" t="s">
        <v>6185</v>
      </c>
      <c r="C307" s="17" t="s">
        <v>6186</v>
      </c>
      <c r="D307" s="10" t="s">
        <v>6187</v>
      </c>
      <c r="E307" s="55"/>
      <c r="F307" s="55"/>
      <c r="G307" s="12" t="s">
        <v>4643</v>
      </c>
      <c r="H307" s="74"/>
      <c r="I307" s="147" t="str">
        <f>HYPERLINK("[#]Datatypes!B1097:L1097","Real")</f>
        <v>Real</v>
      </c>
      <c r="J307" s="76" t="str">
        <f>HYPERLINK("[#]PhysicalQuantities!A20:N20","Length")</f>
        <v>Length</v>
      </c>
      <c r="K307" s="75" t="str">
        <f>HYPERLINK("[#]UnitsOfMeasure!D80:G80","Metre")</f>
        <v>Metre</v>
      </c>
      <c r="L307" s="77"/>
      <c r="M307" s="78"/>
      <c r="N307" s="74"/>
      <c r="O307" s="25">
        <v>119580</v>
      </c>
      <c r="P307" s="304" t="str">
        <f>CONCATENATE([1]Cover!$D$6,"fdd/view?i=",O307)</f>
        <v>https://www.dgiwg.org/FAD/fdd/view?i=119580</v>
      </c>
      <c r="Q307" s="8" t="s">
        <v>6184</v>
      </c>
      <c r="R307" s="38" t="s">
        <v>151</v>
      </c>
    </row>
    <row r="308" spans="1:18">
      <c r="A308" s="302" t="str">
        <f t="shared" si="5"/>
        <v>craneMobilityType</v>
      </c>
      <c r="B308" s="6" t="s">
        <v>6189</v>
      </c>
      <c r="C308" s="17" t="s">
        <v>6190</v>
      </c>
      <c r="D308" s="10" t="s">
        <v>6191</v>
      </c>
      <c r="E308" s="55"/>
      <c r="F308" s="55"/>
      <c r="G308" s="12" t="s">
        <v>4643</v>
      </c>
      <c r="H308" s="74"/>
      <c r="I308" s="147" t="str">
        <f>HYPERLINK("[#]Datatypes!B384:L384","CraneMobilityTypeCode")</f>
        <v>CraneMobilityTypeCode</v>
      </c>
      <c r="J308" s="80"/>
      <c r="K308" s="77"/>
      <c r="L308" s="77"/>
      <c r="M308" s="71" t="str">
        <f>HYPERLINK("[#]DatatypeListedValues!A2278:H2278","&lt;values&gt;")</f>
        <v>&lt;values&gt;</v>
      </c>
      <c r="N308" s="82" t="b">
        <v>0</v>
      </c>
      <c r="O308" s="25">
        <v>100764</v>
      </c>
      <c r="P308" s="304" t="str">
        <f>CONCATENATE([1]Cover!$D$6,"fdd/view?i=",O308)</f>
        <v>https://www.dgiwg.org/FAD/fdd/view?i=100764</v>
      </c>
      <c r="Q308" s="8" t="s">
        <v>6188</v>
      </c>
      <c r="R308" s="38" t="s">
        <v>151</v>
      </c>
    </row>
    <row r="309" spans="1:18" ht="25.5">
      <c r="A309" s="302" t="str">
        <f t="shared" si="5"/>
        <v>craneSupportDistance</v>
      </c>
      <c r="B309" s="6" t="s">
        <v>6194</v>
      </c>
      <c r="C309" s="17" t="s">
        <v>6195</v>
      </c>
      <c r="D309" s="10" t="s">
        <v>6196</v>
      </c>
      <c r="E309" s="55"/>
      <c r="F309" s="55"/>
      <c r="G309" s="12" t="s">
        <v>4643</v>
      </c>
      <c r="H309" s="74"/>
      <c r="I309" s="147" t="str">
        <f>HYPERLINK("[#]Datatypes!B1097:L1097","Real")</f>
        <v>Real</v>
      </c>
      <c r="J309" s="76" t="str">
        <f>HYPERLINK("[#]PhysicalQuantities!A20:N20","Length")</f>
        <v>Length</v>
      </c>
      <c r="K309" s="75" t="str">
        <f>HYPERLINK("[#]UnitsOfMeasure!D80:G80","Metre")</f>
        <v>Metre</v>
      </c>
      <c r="L309" s="77"/>
      <c r="M309" s="78"/>
      <c r="N309" s="74"/>
      <c r="O309" s="25">
        <v>110690</v>
      </c>
      <c r="P309" s="304" t="str">
        <f>CONCATENATE([1]Cover!$D$6,"fdd/view?i=",O309)</f>
        <v>https://www.dgiwg.org/FAD/fdd/view?i=110690</v>
      </c>
      <c r="Q309" s="8" t="s">
        <v>6193</v>
      </c>
      <c r="R309" s="38" t="s">
        <v>151</v>
      </c>
    </row>
    <row r="310" spans="1:18">
      <c r="A310" s="302" t="str">
        <f t="shared" si="5"/>
        <v>craneType</v>
      </c>
      <c r="B310" s="6" t="s">
        <v>6198</v>
      </c>
      <c r="C310" s="17" t="s">
        <v>6199</v>
      </c>
      <c r="D310" s="10" t="s">
        <v>6200</v>
      </c>
      <c r="E310" s="55"/>
      <c r="F310" s="55"/>
      <c r="G310" s="12" t="s">
        <v>4643</v>
      </c>
      <c r="H310" s="74"/>
      <c r="I310" s="147" t="str">
        <f>HYPERLINK("[#]Datatypes!B386:L386","CraneTypeCode")</f>
        <v>CraneTypeCode</v>
      </c>
      <c r="J310" s="80"/>
      <c r="K310" s="77"/>
      <c r="L310" s="77"/>
      <c r="M310" s="71" t="str">
        <f>HYPERLINK("[#]DatatypeListedValues!A2282:H2282","&lt;values&gt;")</f>
        <v>&lt;values&gt;</v>
      </c>
      <c r="N310" s="82" t="b">
        <v>0</v>
      </c>
      <c r="O310" s="25">
        <v>100761</v>
      </c>
      <c r="P310" s="304" t="str">
        <f>CONCATENATE([1]Cover!$D$6,"fdd/view?i=",O310)</f>
        <v>https://www.dgiwg.org/FAD/fdd/view?i=100761</v>
      </c>
      <c r="Q310" s="8" t="s">
        <v>6197</v>
      </c>
      <c r="R310" s="38" t="s">
        <v>151</v>
      </c>
    </row>
    <row r="311" spans="1:18" ht="38.25">
      <c r="A311" s="302" t="str">
        <f t="shared" si="5"/>
        <v>creationDateTime</v>
      </c>
      <c r="B311" s="6" t="s">
        <v>6203</v>
      </c>
      <c r="C311" s="17" t="s">
        <v>6204</v>
      </c>
      <c r="D311" s="10" t="s">
        <v>6205</v>
      </c>
      <c r="E311" s="10" t="s">
        <v>6206</v>
      </c>
      <c r="F311" s="55"/>
      <c r="G311" s="12" t="s">
        <v>4643</v>
      </c>
      <c r="H311" s="74"/>
      <c r="I311" s="147" t="str">
        <f>HYPERLINK("[#]Datatypes!B388:L388","CreationDateTimeStrucText")</f>
        <v>CreationDateTimeStrucText</v>
      </c>
      <c r="J311" s="80"/>
      <c r="K311" s="77"/>
      <c r="L311" s="77"/>
      <c r="M311" s="78"/>
      <c r="N311" s="74"/>
      <c r="O311" s="25">
        <v>119180</v>
      </c>
      <c r="P311" s="304" t="str">
        <f>CONCATENATE([1]Cover!$D$6,"fdd/view?i=",O311)</f>
        <v>https://www.dgiwg.org/FAD/fdd/view?i=119180</v>
      </c>
      <c r="Q311" s="8" t="s">
        <v>6202</v>
      </c>
      <c r="R311" s="38" t="s">
        <v>151</v>
      </c>
    </row>
    <row r="312" spans="1:18" ht="51">
      <c r="A312" s="302" t="str">
        <f t="shared" si="5"/>
        <v>creationProcComplete</v>
      </c>
      <c r="B312" s="6" t="s">
        <v>6209</v>
      </c>
      <c r="C312" s="17" t="s">
        <v>6210</v>
      </c>
      <c r="D312" s="10" t="s">
        <v>6211</v>
      </c>
      <c r="E312" s="55"/>
      <c r="F312" s="55"/>
      <c r="G312" s="12" t="s">
        <v>4643</v>
      </c>
      <c r="H312" s="74"/>
      <c r="I312" s="147" t="str">
        <f>HYPERLINK("[#]Datatypes!B230:L230","Boolean")</f>
        <v>Boolean</v>
      </c>
      <c r="J312" s="80"/>
      <c r="K312" s="77"/>
      <c r="L312" s="77"/>
      <c r="M312" s="78"/>
      <c r="N312" s="74"/>
      <c r="O312" s="25">
        <v>111502</v>
      </c>
      <c r="P312" s="304" t="str">
        <f>CONCATENATE([1]Cover!$D$6,"fdd/view?i=",O312)</f>
        <v>https://www.dgiwg.org/FAD/fdd/view?i=111502</v>
      </c>
      <c r="Q312" s="8" t="s">
        <v>6208</v>
      </c>
      <c r="R312" s="38" t="s">
        <v>1295</v>
      </c>
    </row>
    <row r="313" spans="1:18" ht="25.5">
      <c r="A313" s="302" t="str">
        <f t="shared" si="5"/>
        <v>crewInjuries</v>
      </c>
      <c r="B313" s="6" t="s">
        <v>6213</v>
      </c>
      <c r="C313" s="17" t="s">
        <v>6214</v>
      </c>
      <c r="D313" s="10" t="s">
        <v>6215</v>
      </c>
      <c r="E313" s="55"/>
      <c r="F313" s="55"/>
      <c r="G313" s="12" t="s">
        <v>4643</v>
      </c>
      <c r="H313" s="12" t="s">
        <v>4700</v>
      </c>
      <c r="I313" s="147" t="str">
        <f>HYPERLINK("[#]Datatypes!B390:L390","CrewInjuriesCode")</f>
        <v>CrewInjuriesCode</v>
      </c>
      <c r="J313" s="80"/>
      <c r="K313" s="77"/>
      <c r="L313" s="77"/>
      <c r="M313" s="71" t="str">
        <f>HYPERLINK("[#]DatatypeListedValues!A2286:H2286","&lt;values&gt;")</f>
        <v>&lt;values&gt;</v>
      </c>
      <c r="N313" s="82" t="b">
        <v>0</v>
      </c>
      <c r="O313" s="25">
        <v>111497</v>
      </c>
      <c r="P313" s="304" t="str">
        <f>CONCATENATE([1]Cover!$D$6,"fdd/view?i=",O313)</f>
        <v>https://www.dgiwg.org/FAD/fdd/view?i=111497</v>
      </c>
      <c r="Q313" s="8" t="s">
        <v>6212</v>
      </c>
      <c r="R313" s="38" t="s">
        <v>151</v>
      </c>
    </row>
    <row r="314" spans="1:18">
      <c r="A314" s="302" t="str">
        <f t="shared" si="5"/>
        <v>cropSpecies</v>
      </c>
      <c r="B314" s="6" t="s">
        <v>6218</v>
      </c>
      <c r="C314" s="17" t="s">
        <v>6219</v>
      </c>
      <c r="D314" s="10" t="s">
        <v>6220</v>
      </c>
      <c r="E314" s="55"/>
      <c r="F314" s="55"/>
      <c r="G314" s="12" t="s">
        <v>4643</v>
      </c>
      <c r="H314" s="12" t="s">
        <v>4700</v>
      </c>
      <c r="I314" s="147" t="str">
        <f>HYPERLINK("[#]Datatypes!B392:L392","CropSpeciesCode")</f>
        <v>CropSpeciesCode</v>
      </c>
      <c r="J314" s="80"/>
      <c r="K314" s="77"/>
      <c r="L314" s="77"/>
      <c r="M314" s="71" t="str">
        <f>HYPERLINK("[#]DatatypeListedValues!A2290:H2290","&lt;values&gt;")</f>
        <v>&lt;values&gt;</v>
      </c>
      <c r="N314" s="82" t="b">
        <v>0</v>
      </c>
      <c r="O314" s="25">
        <v>109942</v>
      </c>
      <c r="P314" s="304" t="str">
        <f>CONCATENATE([1]Cover!$D$6,"fdd/view?i=",O314)</f>
        <v>https://www.dgiwg.org/FAD/fdd/view?i=109942</v>
      </c>
      <c r="Q314" s="8" t="s">
        <v>6217</v>
      </c>
      <c r="R314" s="38" t="s">
        <v>151</v>
      </c>
    </row>
    <row r="315" spans="1:18" ht="25.5">
      <c r="A315" s="302" t="str">
        <f t="shared" si="5"/>
        <v>crossSectionalProfile</v>
      </c>
      <c r="B315" s="6" t="s">
        <v>6223</v>
      </c>
      <c r="C315" s="17" t="s">
        <v>6224</v>
      </c>
      <c r="D315" s="10" t="s">
        <v>6225</v>
      </c>
      <c r="E315" s="55"/>
      <c r="F315" s="55"/>
      <c r="G315" s="12" t="s">
        <v>4643</v>
      </c>
      <c r="H315" s="74"/>
      <c r="I315" s="147" t="str">
        <f>HYPERLINK("[#]Datatypes!B394:L394","CrossSectionalProfileCode")</f>
        <v>CrossSectionalProfileCode</v>
      </c>
      <c r="J315" s="80"/>
      <c r="K315" s="77"/>
      <c r="L315" s="77"/>
      <c r="M315" s="71" t="str">
        <f>HYPERLINK("[#]DatatypeListedValues!A2340:H2340","&lt;values&gt;")</f>
        <v>&lt;values&gt;</v>
      </c>
      <c r="N315" s="82" t="b">
        <v>0</v>
      </c>
      <c r="O315" s="25">
        <v>101360</v>
      </c>
      <c r="P315" s="304" t="str">
        <f>CONCATENATE([1]Cover!$D$6,"fdd/view?i=",O315)</f>
        <v>https://www.dgiwg.org/FAD/fdd/view?i=101360</v>
      </c>
      <c r="Q315" s="8" t="s">
        <v>6222</v>
      </c>
      <c r="R315" s="38" t="s">
        <v>151</v>
      </c>
    </row>
    <row r="316" spans="1:18">
      <c r="A316" s="302" t="str">
        <f t="shared" si="5"/>
        <v>crossSectionalShape</v>
      </c>
      <c r="B316" s="6" t="s">
        <v>6228</v>
      </c>
      <c r="C316" s="17" t="s">
        <v>6229</v>
      </c>
      <c r="D316" s="10" t="s">
        <v>6230</v>
      </c>
      <c r="E316" s="55"/>
      <c r="F316" s="55"/>
      <c r="G316" s="12" t="s">
        <v>4643</v>
      </c>
      <c r="H316" s="74"/>
      <c r="I316" s="147" t="str">
        <f>HYPERLINK("[#]Datatypes!B396:L396","CrossSectionalShapeCode")</f>
        <v>CrossSectionalShapeCode</v>
      </c>
      <c r="J316" s="80"/>
      <c r="K316" s="77"/>
      <c r="L316" s="77"/>
      <c r="M316" s="71" t="str">
        <f>HYPERLINK("[#]DatatypeListedValues!A2343:H2343","&lt;values&gt;")</f>
        <v>&lt;values&gt;</v>
      </c>
      <c r="N316" s="82" t="b">
        <v>0</v>
      </c>
      <c r="O316" s="25">
        <v>103057</v>
      </c>
      <c r="P316" s="304" t="str">
        <f>CONCATENATE([1]Cover!$D$6,"fdd/view?i=",O316)</f>
        <v>https://www.dgiwg.org/FAD/fdd/view?i=103057</v>
      </c>
      <c r="Q316" s="8" t="s">
        <v>6227</v>
      </c>
      <c r="R316" s="38" t="s">
        <v>151</v>
      </c>
    </row>
    <row r="317" spans="1:18" ht="127.5">
      <c r="A317" s="302" t="str">
        <f t="shared" si="5"/>
        <v>crownDiameter</v>
      </c>
      <c r="B317" s="6" t="s">
        <v>6233</v>
      </c>
      <c r="C317" s="17" t="s">
        <v>6234</v>
      </c>
      <c r="D317" s="10" t="s">
        <v>6235</v>
      </c>
      <c r="E317" s="10" t="s">
        <v>6236</v>
      </c>
      <c r="F317" s="55"/>
      <c r="G317" s="12" t="s">
        <v>4643</v>
      </c>
      <c r="H317" s="74"/>
      <c r="I317" s="147" t="str">
        <f>HYPERLINK("[#]Datatypes!B1099:L1099","RealInterval")</f>
        <v>RealInterval</v>
      </c>
      <c r="J317" s="76" t="str">
        <f>HYPERLINK("[#]PhysicalQuantities!A20:N20","Length")</f>
        <v>Length</v>
      </c>
      <c r="K317" s="75" t="str">
        <f>HYPERLINK("[#]UnitsOfMeasure!D80:G80","Metre")</f>
        <v>Metre</v>
      </c>
      <c r="L317" s="77"/>
      <c r="M317" s="78"/>
      <c r="N317" s="74"/>
      <c r="O317" s="25">
        <v>110689</v>
      </c>
      <c r="P317" s="304" t="str">
        <f>CONCATENATE([1]Cover!$D$6,"fdd/view?i=",O317)</f>
        <v>https://www.dgiwg.org/FAD/fdd/view?i=110689</v>
      </c>
      <c r="Q317" s="8" t="s">
        <v>6232</v>
      </c>
      <c r="R317" s="38" t="s">
        <v>151</v>
      </c>
    </row>
    <row r="318" spans="1:18" ht="25.5">
      <c r="A318" s="302" t="str">
        <f t="shared" si="5"/>
        <v>scope</v>
      </c>
      <c r="B318" s="6" t="s">
        <v>6238</v>
      </c>
      <c r="C318" s="17" t="s">
        <v>6239</v>
      </c>
      <c r="D318" s="10" t="s">
        <v>6240</v>
      </c>
      <c r="E318" s="55"/>
      <c r="F318" s="55"/>
      <c r="G318" s="12" t="s">
        <v>4643</v>
      </c>
      <c r="H318" s="74"/>
      <c r="I318" s="147" t="str">
        <f>HYPERLINK("[#]Datatypes!B1416:L1416","TextLexUnconstrained")</f>
        <v>TextLexUnconstrained</v>
      </c>
      <c r="J318" s="80"/>
      <c r="K318" s="77"/>
      <c r="L318" s="77"/>
      <c r="M318" s="78"/>
      <c r="N318" s="74"/>
      <c r="O318" s="25">
        <v>207306</v>
      </c>
      <c r="P318" s="304" t="str">
        <f>CONCATENATE([1]Cover!$D$6,"fdd/view?i=",O318)</f>
        <v>https://www.dgiwg.org/FAD/fdd/view?i=207306</v>
      </c>
      <c r="Q318" s="8" t="s">
        <v>6237</v>
      </c>
      <c r="R318" s="38" t="s">
        <v>1295</v>
      </c>
    </row>
    <row r="319" spans="1:18" ht="89.25">
      <c r="A319" s="302" t="str">
        <f t="shared" si="5"/>
        <v>cruisingLevelDirection</v>
      </c>
      <c r="B319" s="6" t="s">
        <v>6242</v>
      </c>
      <c r="C319" s="17" t="s">
        <v>6243</v>
      </c>
      <c r="D319" s="10" t="s">
        <v>6244</v>
      </c>
      <c r="E319" s="10" t="s">
        <v>6245</v>
      </c>
      <c r="F319" s="55"/>
      <c r="G319" s="12" t="s">
        <v>4643</v>
      </c>
      <c r="H319" s="74"/>
      <c r="I319" s="147" t="str">
        <f>HYPERLINK("[#]Datatypes!B398:L398","CruisingLevelDirectionCode")</f>
        <v>CruisingLevelDirectionCode</v>
      </c>
      <c r="J319" s="80"/>
      <c r="K319" s="77"/>
      <c r="L319" s="77"/>
      <c r="M319" s="71" t="str">
        <f>HYPERLINK("[#]DatatypeListedValues!A2353:H2353","&lt;values&gt;")</f>
        <v>&lt;values&gt;</v>
      </c>
      <c r="N319" s="12" t="b">
        <v>1</v>
      </c>
      <c r="O319" s="25">
        <v>206976</v>
      </c>
      <c r="P319" s="304" t="str">
        <f>CONCATENATE([1]Cover!$D$6,"fdd/view?i=",O319)</f>
        <v>https://www.dgiwg.org/FAD/fdd/view?i=206976</v>
      </c>
      <c r="Q319" s="8" t="s">
        <v>6241</v>
      </c>
      <c r="R319" s="38" t="s">
        <v>1295</v>
      </c>
    </row>
    <row r="320" spans="1:18" ht="25.5">
      <c r="A320" s="302" t="str">
        <f t="shared" si="5"/>
        <v>culturalContextType</v>
      </c>
      <c r="B320" s="6" t="s">
        <v>6248</v>
      </c>
      <c r="C320" s="17" t="s">
        <v>6249</v>
      </c>
      <c r="D320" s="10" t="s">
        <v>6250</v>
      </c>
      <c r="E320" s="55"/>
      <c r="F320" s="55"/>
      <c r="G320" s="12" t="s">
        <v>4643</v>
      </c>
      <c r="H320" s="74"/>
      <c r="I320" s="147" t="str">
        <f>HYPERLINK("[#]Datatypes!B400:L400","CulturalContextTypeCode")</f>
        <v>CulturalContextTypeCode</v>
      </c>
      <c r="J320" s="80"/>
      <c r="K320" s="77"/>
      <c r="L320" s="77"/>
      <c r="M320" s="71" t="str">
        <f>HYPERLINK("[#]DatatypeListedValues!A2355:H2355","&lt;values&gt;")</f>
        <v>&lt;values&gt;</v>
      </c>
      <c r="N320" s="82" t="b">
        <v>0</v>
      </c>
      <c r="O320" s="25">
        <v>111506</v>
      </c>
      <c r="P320" s="304" t="str">
        <f>CONCATENATE([1]Cover!$D$6,"fdd/view?i=",O320)</f>
        <v>https://www.dgiwg.org/FAD/fdd/view?i=111506</v>
      </c>
      <c r="Q320" s="8" t="s">
        <v>6247</v>
      </c>
      <c r="R320" s="38" t="s">
        <v>151</v>
      </c>
    </row>
    <row r="321" spans="1:18" ht="25.5">
      <c r="A321" s="302" t="str">
        <f t="shared" si="5"/>
        <v>culturalCover</v>
      </c>
      <c r="B321" s="6" t="s">
        <v>6253</v>
      </c>
      <c r="C321" s="17" t="s">
        <v>6254</v>
      </c>
      <c r="D321" s="10" t="s">
        <v>6255</v>
      </c>
      <c r="E321" s="55"/>
      <c r="F321" s="55"/>
      <c r="G321" s="12" t="s">
        <v>4643</v>
      </c>
      <c r="H321" s="74"/>
      <c r="I321" s="147" t="str">
        <f>HYPERLINK("[#]Datatypes!B1110:L1110","RealNonNegInterval100")</f>
        <v>RealNonNegInterval100</v>
      </c>
      <c r="J321" s="76" t="str">
        <f>HYPERLINK("[#]PhysicalQuantities!A39:N39","Pure Number")</f>
        <v>Pure Number</v>
      </c>
      <c r="K321" s="75" t="str">
        <f>HYPERLINK("[#]UnitsOfMeasure!D215:G215","Percent")</f>
        <v>Percent</v>
      </c>
      <c r="L321" s="77"/>
      <c r="M321" s="78"/>
      <c r="N321" s="74"/>
      <c r="O321" s="25">
        <v>110688</v>
      </c>
      <c r="P321" s="304" t="str">
        <f>CONCATENATE([1]Cover!$D$6,"fdd/view?i=",O321)</f>
        <v>https://www.dgiwg.org/FAD/fdd/view?i=110688</v>
      </c>
      <c r="Q321" s="8" t="s">
        <v>6252</v>
      </c>
      <c r="R321" s="38" t="s">
        <v>151</v>
      </c>
    </row>
    <row r="322" spans="1:18">
      <c r="A322" s="302" t="str">
        <f t="shared" si="5"/>
        <v>culturalSignificance</v>
      </c>
      <c r="B322" s="6" t="s">
        <v>6257</v>
      </c>
      <c r="C322" s="17" t="s">
        <v>6258</v>
      </c>
      <c r="D322" s="10" t="s">
        <v>6259</v>
      </c>
      <c r="E322" s="55"/>
      <c r="F322" s="55"/>
      <c r="G322" s="12" t="s">
        <v>4643</v>
      </c>
      <c r="H322" s="74"/>
      <c r="I322" s="147" t="str">
        <f>HYPERLINK("[#]Datatypes!B402:L402","CulturalSignificanceCode")</f>
        <v>CulturalSignificanceCode</v>
      </c>
      <c r="J322" s="80"/>
      <c r="K322" s="77"/>
      <c r="L322" s="77"/>
      <c r="M322" s="71" t="str">
        <f>HYPERLINK("[#]DatatypeListedValues!A2361:H2361","&lt;values&gt;")</f>
        <v>&lt;values&gt;</v>
      </c>
      <c r="N322" s="12" t="b">
        <v>1</v>
      </c>
      <c r="O322" s="25">
        <v>200325</v>
      </c>
      <c r="P322" s="304" t="str">
        <f>CONCATENATE([1]Cover!$D$6,"fdd/view?i=",O322)</f>
        <v>https://www.dgiwg.org/FAD/fdd/view?i=200325</v>
      </c>
      <c r="Q322" s="8" t="s">
        <v>6256</v>
      </c>
      <c r="R322" s="38" t="s">
        <v>1295</v>
      </c>
    </row>
    <row r="323" spans="1:18">
      <c r="A323" s="302" t="str">
        <f t="shared" si="5"/>
        <v>culvertType</v>
      </c>
      <c r="B323" s="6" t="s">
        <v>6262</v>
      </c>
      <c r="C323" s="17" t="s">
        <v>6263</v>
      </c>
      <c r="D323" s="10" t="s">
        <v>6264</v>
      </c>
      <c r="E323" s="55"/>
      <c r="F323" s="55"/>
      <c r="G323" s="12" t="s">
        <v>4643</v>
      </c>
      <c r="H323" s="74"/>
      <c r="I323" s="147" t="str">
        <f>HYPERLINK("[#]Datatypes!B404:L404","CulvertTypeCode")</f>
        <v>CulvertTypeCode</v>
      </c>
      <c r="J323" s="80"/>
      <c r="K323" s="77"/>
      <c r="L323" s="77"/>
      <c r="M323" s="71" t="str">
        <f>HYPERLINK("[#]DatatypeListedValues!A2366:H2366","&lt;values&gt;")</f>
        <v>&lt;values&gt;</v>
      </c>
      <c r="N323" s="82" t="b">
        <v>0</v>
      </c>
      <c r="O323" s="25">
        <v>100773</v>
      </c>
      <c r="P323" s="304" t="str">
        <f>CONCATENATE([1]Cover!$D$6,"fdd/view?i=",O323)</f>
        <v>https://www.dgiwg.org/FAD/fdd/view?i=100773</v>
      </c>
      <c r="Q323" s="8" t="s">
        <v>6261</v>
      </c>
      <c r="R323" s="38" t="s">
        <v>151</v>
      </c>
    </row>
    <row r="324" spans="1:18" ht="38.25">
      <c r="A324" s="302" t="str">
        <f t="shared" ref="A324:A387" si="6">HYPERLINK(P324,B324)</f>
        <v>cumulativeTrackLength</v>
      </c>
      <c r="B324" s="6" t="s">
        <v>6267</v>
      </c>
      <c r="C324" s="17" t="s">
        <v>6268</v>
      </c>
      <c r="D324" s="10" t="s">
        <v>6269</v>
      </c>
      <c r="E324" s="55"/>
      <c r="F324" s="55"/>
      <c r="G324" s="12" t="s">
        <v>4643</v>
      </c>
      <c r="H324" s="74"/>
      <c r="I324" s="147" t="str">
        <f>HYPERLINK("[#]Datatypes!B1099:L1099","RealInterval")</f>
        <v>RealInterval</v>
      </c>
      <c r="J324" s="76" t="str">
        <f>HYPERLINK("[#]PhysicalQuantities!A20:N20","Length")</f>
        <v>Length</v>
      </c>
      <c r="K324" s="75" t="str">
        <f>HYPERLINK("[#]UnitsOfMeasure!D80:G80","Metre")</f>
        <v>Metre</v>
      </c>
      <c r="L324" s="77"/>
      <c r="M324" s="78"/>
      <c r="N324" s="74"/>
      <c r="O324" s="25">
        <v>110691</v>
      </c>
      <c r="P324" s="304" t="str">
        <f>CONCATENATE([1]Cover!$D$6,"fdd/view?i=",O324)</f>
        <v>https://www.dgiwg.org/FAD/fdd/view?i=110691</v>
      </c>
      <c r="Q324" s="8" t="s">
        <v>6266</v>
      </c>
      <c r="R324" s="38" t="s">
        <v>151</v>
      </c>
    </row>
    <row r="325" spans="1:18" ht="51">
      <c r="A325" s="302" t="str">
        <f t="shared" si="6"/>
        <v>currencyDateTime</v>
      </c>
      <c r="B325" s="6" t="s">
        <v>6271</v>
      </c>
      <c r="C325" s="17" t="s">
        <v>6272</v>
      </c>
      <c r="D325" s="10" t="s">
        <v>6273</v>
      </c>
      <c r="E325" s="10" t="s">
        <v>6274</v>
      </c>
      <c r="F325" s="55"/>
      <c r="G325" s="12" t="s">
        <v>4643</v>
      </c>
      <c r="H325" s="74"/>
      <c r="I325" s="147" t="str">
        <f>HYPERLINK("[#]Datatypes!B406:L406","CurrencyDateTimeStrucText")</f>
        <v>CurrencyDateTimeStrucText</v>
      </c>
      <c r="J325" s="80"/>
      <c r="K325" s="77"/>
      <c r="L325" s="77"/>
      <c r="M325" s="78"/>
      <c r="N325" s="74"/>
      <c r="O325" s="25">
        <v>200584</v>
      </c>
      <c r="P325" s="304" t="str">
        <f>CONCATENATE([1]Cover!$D$6,"fdd/view?i=",O325)</f>
        <v>https://www.dgiwg.org/FAD/fdd/view?i=200584</v>
      </c>
      <c r="Q325" s="8" t="s">
        <v>6270</v>
      </c>
      <c r="R325" s="38" t="s">
        <v>1295</v>
      </c>
    </row>
    <row r="326" spans="1:18">
      <c r="A326" s="302" t="str">
        <f t="shared" si="6"/>
        <v>currentRate</v>
      </c>
      <c r="B326" s="6" t="s">
        <v>6277</v>
      </c>
      <c r="C326" s="17" t="s">
        <v>6278</v>
      </c>
      <c r="D326" s="10" t="s">
        <v>6279</v>
      </c>
      <c r="E326" s="55"/>
      <c r="F326" s="55"/>
      <c r="G326" s="12" t="s">
        <v>4643</v>
      </c>
      <c r="H326" s="74"/>
      <c r="I326" s="147" t="str">
        <f>HYPERLINK("[#]Datatypes!B1099:L1099","RealInterval")</f>
        <v>RealInterval</v>
      </c>
      <c r="J326" s="76" t="str">
        <f>HYPERLINK("[#]PhysicalQuantities!A48:N48","Speed")</f>
        <v>Speed</v>
      </c>
      <c r="K326" s="75" t="str">
        <f>HYPERLINK("[#]UnitsOfMeasure!D251:G251","Knot")</f>
        <v>Knot</v>
      </c>
      <c r="L326" s="77"/>
      <c r="M326" s="78"/>
      <c r="N326" s="74"/>
      <c r="O326" s="25">
        <v>100766</v>
      </c>
      <c r="P326" s="304" t="str">
        <f>CONCATENATE([1]Cover!$D$6,"fdd/view?i=",O326)</f>
        <v>https://www.dgiwg.org/FAD/fdd/view?i=100766</v>
      </c>
      <c r="Q326" s="8" t="s">
        <v>6276</v>
      </c>
      <c r="R326" s="38" t="s">
        <v>151</v>
      </c>
    </row>
    <row r="327" spans="1:18">
      <c r="A327" s="302" t="str">
        <f t="shared" si="6"/>
        <v>currentRateMaximum</v>
      </c>
      <c r="B327" s="6" t="s">
        <v>6281</v>
      </c>
      <c r="C327" s="17" t="s">
        <v>6282</v>
      </c>
      <c r="D327" s="10" t="s">
        <v>6283</v>
      </c>
      <c r="E327" s="55"/>
      <c r="F327" s="55"/>
      <c r="G327" s="12" t="s">
        <v>4643</v>
      </c>
      <c r="H327" s="74"/>
      <c r="I327" s="147" t="str">
        <f>HYPERLINK("[#]Datatypes!B1097:L1097","Real")</f>
        <v>Real</v>
      </c>
      <c r="J327" s="76" t="str">
        <f>HYPERLINK("[#]PhysicalQuantities!A48:N48","Speed")</f>
        <v>Speed</v>
      </c>
      <c r="K327" s="75" t="str">
        <f>HYPERLINK("[#]UnitsOfMeasure!D251:G251","Knot")</f>
        <v>Knot</v>
      </c>
      <c r="L327" s="77"/>
      <c r="M327" s="78"/>
      <c r="N327" s="74"/>
      <c r="O327" s="25">
        <v>100769</v>
      </c>
      <c r="P327" s="304" t="str">
        <f>CONCATENATE([1]Cover!$D$6,"fdd/view?i=",O327)</f>
        <v>https://www.dgiwg.org/FAD/fdd/view?i=100769</v>
      </c>
      <c r="Q327" s="8" t="s">
        <v>6280</v>
      </c>
      <c r="R327" s="38" t="s">
        <v>151</v>
      </c>
    </row>
    <row r="328" spans="1:18">
      <c r="A328" s="302" t="str">
        <f t="shared" si="6"/>
        <v>currentRateMinimum</v>
      </c>
      <c r="B328" s="6" t="s">
        <v>6285</v>
      </c>
      <c r="C328" s="17" t="s">
        <v>6286</v>
      </c>
      <c r="D328" s="10" t="s">
        <v>6287</v>
      </c>
      <c r="E328" s="55"/>
      <c r="F328" s="55"/>
      <c r="G328" s="12" t="s">
        <v>4643</v>
      </c>
      <c r="H328" s="74"/>
      <c r="I328" s="147" t="str">
        <f>HYPERLINK("[#]Datatypes!B1097:L1097","Real")</f>
        <v>Real</v>
      </c>
      <c r="J328" s="76" t="str">
        <f>HYPERLINK("[#]PhysicalQuantities!A48:N48","Speed")</f>
        <v>Speed</v>
      </c>
      <c r="K328" s="75" t="str">
        <f>HYPERLINK("[#]UnitsOfMeasure!D251:G251","Knot")</f>
        <v>Knot</v>
      </c>
      <c r="L328" s="77"/>
      <c r="M328" s="78"/>
      <c r="N328" s="74"/>
      <c r="O328" s="25">
        <v>100765</v>
      </c>
      <c r="P328" s="304" t="str">
        <f>CONCATENATE([1]Cover!$D$6,"fdd/view?i=",O328)</f>
        <v>https://www.dgiwg.org/FAD/fdd/view?i=100765</v>
      </c>
      <c r="Q328" s="8" t="s">
        <v>6284</v>
      </c>
      <c r="R328" s="38" t="s">
        <v>151</v>
      </c>
    </row>
    <row r="329" spans="1:18" ht="25.5">
      <c r="A329" s="302" t="str">
        <f t="shared" si="6"/>
        <v>currentTypeCategory</v>
      </c>
      <c r="B329" s="6" t="s">
        <v>6289</v>
      </c>
      <c r="C329" s="17" t="s">
        <v>6290</v>
      </c>
      <c r="D329" s="10" t="s">
        <v>6291</v>
      </c>
      <c r="E329" s="55"/>
      <c r="F329" s="55"/>
      <c r="G329" s="12" t="s">
        <v>4643</v>
      </c>
      <c r="H329" s="74"/>
      <c r="I329" s="147" t="str">
        <f>HYPERLINK("[#]Datatypes!B408:L408","CurrentTypeCategoryCode")</f>
        <v>CurrentTypeCategoryCode</v>
      </c>
      <c r="J329" s="80"/>
      <c r="K329" s="77"/>
      <c r="L329" s="77"/>
      <c r="M329" s="71" t="str">
        <f>HYPERLINK("[#]DatatypeListedValues!A2369:H2369","&lt;values&gt;")</f>
        <v>&lt;values&gt;</v>
      </c>
      <c r="N329" s="82" t="b">
        <v>0</v>
      </c>
      <c r="O329" s="25">
        <v>100775</v>
      </c>
      <c r="P329" s="304" t="str">
        <f>CONCATENATE([1]Cover!$D$6,"fdd/view?i=",O329)</f>
        <v>https://www.dgiwg.org/FAD/fdd/view?i=100775</v>
      </c>
      <c r="Q329" s="8" t="s">
        <v>6288</v>
      </c>
      <c r="R329" s="38" t="s">
        <v>151</v>
      </c>
    </row>
    <row r="330" spans="1:18" ht="38.25">
      <c r="A330" s="302" t="str">
        <f t="shared" si="6"/>
        <v>curveGeometry</v>
      </c>
      <c r="B330" s="6" t="s">
        <v>6294</v>
      </c>
      <c r="C330" s="17" t="s">
        <v>6295</v>
      </c>
      <c r="D330" s="10" t="s">
        <v>6296</v>
      </c>
      <c r="E330" s="10" t="s">
        <v>6297</v>
      </c>
      <c r="F330" s="55"/>
      <c r="G330" s="12" t="s">
        <v>4643</v>
      </c>
      <c r="H330" s="74"/>
      <c r="I330" s="147" t="str">
        <f>HYPERLINK("[#]Datatypes!B410:L410","GmCurve")</f>
        <v>GmCurve</v>
      </c>
      <c r="J330" s="80"/>
      <c r="K330" s="77"/>
      <c r="L330" s="77"/>
      <c r="M330" s="78"/>
      <c r="N330" s="74"/>
      <c r="O330" s="25">
        <v>200618</v>
      </c>
      <c r="P330" s="304" t="str">
        <f>CONCATENATE([1]Cover!$D$6,"fdd/view?i=",O330)</f>
        <v>https://www.dgiwg.org/FAD/fdd/view?i=200618</v>
      </c>
      <c r="Q330" s="8" t="s">
        <v>6293</v>
      </c>
      <c r="R330" s="38" t="s">
        <v>1295</v>
      </c>
    </row>
    <row r="331" spans="1:18" ht="25.5">
      <c r="A331" s="302" t="str">
        <f t="shared" si="6"/>
        <v>curveRadius</v>
      </c>
      <c r="B331" s="6" t="s">
        <v>6300</v>
      </c>
      <c r="C331" s="17" t="s">
        <v>6301</v>
      </c>
      <c r="D331" s="10" t="s">
        <v>6302</v>
      </c>
      <c r="E331" s="10" t="s">
        <v>6303</v>
      </c>
      <c r="F331" s="55"/>
      <c r="G331" s="12" t="s">
        <v>4643</v>
      </c>
      <c r="H331" s="74"/>
      <c r="I331" s="147" t="str">
        <f>HYPERLINK("[#]Datatypes!B1099:L1099","RealInterval")</f>
        <v>RealInterval</v>
      </c>
      <c r="J331" s="76" t="str">
        <f>HYPERLINK("[#]PhysicalQuantities!A20:N20","Length")</f>
        <v>Length</v>
      </c>
      <c r="K331" s="75" t="str">
        <f>HYPERLINK("[#]UnitsOfMeasure!D80:G80","Metre")</f>
        <v>Metre</v>
      </c>
      <c r="L331" s="77"/>
      <c r="M331" s="78"/>
      <c r="N331" s="74"/>
      <c r="O331" s="25">
        <v>110714</v>
      </c>
      <c r="P331" s="304" t="str">
        <f>CONCATENATE([1]Cover!$D$6,"fdd/view?i=",O331)</f>
        <v>https://www.dgiwg.org/FAD/fdd/view?i=110714</v>
      </c>
      <c r="Q331" s="8" t="s">
        <v>6299</v>
      </c>
      <c r="R331" s="38" t="s">
        <v>151</v>
      </c>
    </row>
    <row r="332" spans="1:18" ht="25.5">
      <c r="A332" s="302" t="str">
        <f t="shared" si="6"/>
        <v>cyanideConcentration</v>
      </c>
      <c r="B332" s="6" t="s">
        <v>6305</v>
      </c>
      <c r="C332" s="17" t="s">
        <v>6306</v>
      </c>
      <c r="D332" s="10" t="s">
        <v>6307</v>
      </c>
      <c r="E332" s="10" t="s">
        <v>6308</v>
      </c>
      <c r="F332" s="55"/>
      <c r="G332" s="12" t="s">
        <v>4643</v>
      </c>
      <c r="H332" s="74"/>
      <c r="I332" s="147" t="str">
        <f>HYPERLINK("[#]Datatypes!B1097:L1097","Real")</f>
        <v>Real</v>
      </c>
      <c r="J332" s="76" t="str">
        <f>HYPERLINK("[#]PhysicalQuantities!A29:N29","Mass Density")</f>
        <v>Mass Density</v>
      </c>
      <c r="K332" s="75" t="str">
        <f>HYPERLINK("[#]UnitsOfMeasure!D140:G140","Gram per cubic Metre")</f>
        <v>Gram per cubic Metre</v>
      </c>
      <c r="L332" s="77"/>
      <c r="M332" s="78"/>
      <c r="N332" s="74"/>
      <c r="O332" s="25">
        <v>119401</v>
      </c>
      <c r="P332" s="304" t="str">
        <f>CONCATENATE([1]Cover!$D$6,"fdd/view?i=",O332)</f>
        <v>https://www.dgiwg.org/FAD/fdd/view?i=119401</v>
      </c>
      <c r="Q332" s="8" t="s">
        <v>6304</v>
      </c>
      <c r="R332" s="38" t="s">
        <v>151</v>
      </c>
    </row>
    <row r="333" spans="1:18" ht="89.25">
      <c r="A333" s="302" t="str">
        <f t="shared" si="6"/>
        <v>cylicRedundancyCheckValue</v>
      </c>
      <c r="B333" s="6" t="s">
        <v>6310</v>
      </c>
      <c r="C333" s="17" t="s">
        <v>6311</v>
      </c>
      <c r="D333" s="10" t="s">
        <v>6312</v>
      </c>
      <c r="E333" s="10" t="s">
        <v>6313</v>
      </c>
      <c r="F333" s="55"/>
      <c r="G333" s="12" t="s">
        <v>4643</v>
      </c>
      <c r="H333" s="74"/>
      <c r="I333" s="147" t="str">
        <f>HYPERLINK("[#]Datatypes!B412:L412","CylicRedundancyCheckValueStrucText")</f>
        <v>CylicRedundancyCheckValueStrucText</v>
      </c>
      <c r="J333" s="80"/>
      <c r="K333" s="77"/>
      <c r="L333" s="77"/>
      <c r="M333" s="78"/>
      <c r="N333" s="74"/>
      <c r="O333" s="25">
        <v>117546</v>
      </c>
      <c r="P333" s="304" t="str">
        <f>CONCATENATE([1]Cover!$D$6,"fdd/view?i=",O333)</f>
        <v>https://www.dgiwg.org/FAD/fdd/view?i=117546</v>
      </c>
      <c r="Q333" s="8" t="s">
        <v>6309</v>
      </c>
      <c r="R333" s="38" t="s">
        <v>1295</v>
      </c>
    </row>
    <row r="334" spans="1:18">
      <c r="A334" s="302" t="str">
        <f t="shared" si="6"/>
        <v>damCrestWidth</v>
      </c>
      <c r="B334" s="6" t="s">
        <v>6316</v>
      </c>
      <c r="C334" s="17" t="s">
        <v>6317</v>
      </c>
      <c r="D334" s="10" t="s">
        <v>6318</v>
      </c>
      <c r="E334" s="10" t="s">
        <v>6319</v>
      </c>
      <c r="F334" s="55"/>
      <c r="G334" s="12" t="s">
        <v>4643</v>
      </c>
      <c r="H334" s="74"/>
      <c r="I334" s="147" t="str">
        <f>HYPERLINK("[#]Datatypes!B1099:L1099","RealInterval")</f>
        <v>RealInterval</v>
      </c>
      <c r="J334" s="76" t="str">
        <f>HYPERLINK("[#]PhysicalQuantities!A20:N20","Length")</f>
        <v>Length</v>
      </c>
      <c r="K334" s="75" t="str">
        <f>HYPERLINK("[#]UnitsOfMeasure!D80:G80","Metre")</f>
        <v>Metre</v>
      </c>
      <c r="L334" s="77"/>
      <c r="M334" s="78"/>
      <c r="N334" s="74"/>
      <c r="O334" s="25">
        <v>101499</v>
      </c>
      <c r="P334" s="304" t="str">
        <f>CONCATENATE([1]Cover!$D$6,"fdd/view?i=",O334)</f>
        <v>https://www.dgiwg.org/FAD/fdd/view?i=101499</v>
      </c>
      <c r="Q334" s="8" t="s">
        <v>6315</v>
      </c>
      <c r="R334" s="38" t="s">
        <v>151</v>
      </c>
    </row>
    <row r="335" spans="1:18">
      <c r="A335" s="302" t="str">
        <f t="shared" si="6"/>
        <v>damFaceType</v>
      </c>
      <c r="B335" s="6" t="s">
        <v>6321</v>
      </c>
      <c r="C335" s="17" t="s">
        <v>6322</v>
      </c>
      <c r="D335" s="10" t="s">
        <v>6323</v>
      </c>
      <c r="E335" s="55"/>
      <c r="F335" s="55"/>
      <c r="G335" s="12" t="s">
        <v>4643</v>
      </c>
      <c r="H335" s="74"/>
      <c r="I335" s="147" t="str">
        <f>HYPERLINK("[#]Datatypes!B414:L414","DamFaceTypeCode")</f>
        <v>DamFaceTypeCode</v>
      </c>
      <c r="J335" s="80"/>
      <c r="K335" s="77"/>
      <c r="L335" s="77"/>
      <c r="M335" s="71" t="str">
        <f>HYPERLINK("[#]DatatypeListedValues!A2377:H2377","&lt;values&gt;")</f>
        <v>&lt;values&gt;</v>
      </c>
      <c r="N335" s="12" t="b">
        <v>1</v>
      </c>
      <c r="O335" s="25">
        <v>100812</v>
      </c>
      <c r="P335" s="304" t="str">
        <f>CONCATENATE([1]Cover!$D$6,"fdd/view?i=",O335)</f>
        <v>https://www.dgiwg.org/FAD/fdd/view?i=100812</v>
      </c>
      <c r="Q335" s="8" t="s">
        <v>6320</v>
      </c>
      <c r="R335" s="38" t="s">
        <v>151</v>
      </c>
    </row>
    <row r="336" spans="1:18">
      <c r="A336" s="302" t="str">
        <f t="shared" si="6"/>
        <v>damType</v>
      </c>
      <c r="B336" s="6" t="s">
        <v>6326</v>
      </c>
      <c r="C336" s="17" t="s">
        <v>6327</v>
      </c>
      <c r="D336" s="10" t="s">
        <v>6328</v>
      </c>
      <c r="E336" s="10" t="s">
        <v>6329</v>
      </c>
      <c r="F336" s="55"/>
      <c r="G336" s="12" t="s">
        <v>4643</v>
      </c>
      <c r="H336" s="74"/>
      <c r="I336" s="147" t="str">
        <f>HYPERLINK("[#]Datatypes!B416:L416","DamTypeCode")</f>
        <v>DamTypeCode</v>
      </c>
      <c r="J336" s="80"/>
      <c r="K336" s="77"/>
      <c r="L336" s="77"/>
      <c r="M336" s="71" t="str">
        <f>HYPERLINK("[#]DatatypeListedValues!A2379:H2379","&lt;values&gt;")</f>
        <v>&lt;values&gt;</v>
      </c>
      <c r="N336" s="82" t="b">
        <v>0</v>
      </c>
      <c r="O336" s="25">
        <v>100851</v>
      </c>
      <c r="P336" s="304" t="str">
        <f>CONCATENATE([1]Cover!$D$6,"fdd/view?i=",O336)</f>
        <v>https://www.dgiwg.org/FAD/fdd/view?i=100851</v>
      </c>
      <c r="Q336" s="8" t="s">
        <v>6325</v>
      </c>
      <c r="R336" s="38" t="s">
        <v>151</v>
      </c>
    </row>
    <row r="337" spans="1:18">
      <c r="A337" s="302" t="str">
        <f t="shared" si="6"/>
        <v>dammed</v>
      </c>
      <c r="B337" s="6" t="s">
        <v>6332</v>
      </c>
      <c r="C337" s="17" t="s">
        <v>6333</v>
      </c>
      <c r="D337" s="10" t="s">
        <v>6334</v>
      </c>
      <c r="E337" s="55"/>
      <c r="F337" s="55"/>
      <c r="G337" s="12" t="s">
        <v>4643</v>
      </c>
      <c r="H337" s="74"/>
      <c r="I337" s="147" t="str">
        <f>HYPERLINK("[#]Datatypes!B230:L230","Boolean")</f>
        <v>Boolean</v>
      </c>
      <c r="J337" s="80"/>
      <c r="K337" s="77"/>
      <c r="L337" s="77"/>
      <c r="M337" s="78"/>
      <c r="N337" s="74"/>
      <c r="O337" s="25">
        <v>117778</v>
      </c>
      <c r="P337" s="304" t="str">
        <f>CONCATENATE([1]Cover!$D$6,"fdd/view?i=",O337)</f>
        <v>https://www.dgiwg.org/FAD/fdd/view?i=117778</v>
      </c>
      <c r="Q337" s="8" t="s">
        <v>6331</v>
      </c>
      <c r="R337" s="38" t="s">
        <v>151</v>
      </c>
    </row>
    <row r="338" spans="1:18" ht="38.25">
      <c r="A338" s="302" t="str">
        <f t="shared" si="6"/>
        <v>dangerousToNavigation</v>
      </c>
      <c r="B338" s="6" t="s">
        <v>6336</v>
      </c>
      <c r="C338" s="17" t="s">
        <v>6337</v>
      </c>
      <c r="D338" s="10" t="s">
        <v>6338</v>
      </c>
      <c r="E338" s="10" t="s">
        <v>6339</v>
      </c>
      <c r="F338" s="55"/>
      <c r="G338" s="12" t="s">
        <v>4643</v>
      </c>
      <c r="H338" s="74"/>
      <c r="I338" s="147" t="str">
        <f>HYPERLINK("[#]Datatypes!B230:L230","Boolean")</f>
        <v>Boolean</v>
      </c>
      <c r="J338" s="80"/>
      <c r="K338" s="77"/>
      <c r="L338" s="77"/>
      <c r="M338" s="78"/>
      <c r="N338" s="74"/>
      <c r="O338" s="25">
        <v>111528</v>
      </c>
      <c r="P338" s="304" t="str">
        <f>CONCATENATE([1]Cover!$D$6,"fdd/view?i=",O338)</f>
        <v>https://www.dgiwg.org/FAD/fdd/view?i=111528</v>
      </c>
      <c r="Q338" s="8" t="s">
        <v>6335</v>
      </c>
      <c r="R338" s="38" t="s">
        <v>151</v>
      </c>
    </row>
    <row r="339" spans="1:18">
      <c r="A339" s="302" t="str">
        <f t="shared" si="6"/>
        <v>distributorContact</v>
      </c>
      <c r="B339" s="6" t="s">
        <v>6341</v>
      </c>
      <c r="C339" s="17" t="s">
        <v>6342</v>
      </c>
      <c r="D339" s="10" t="s">
        <v>6343</v>
      </c>
      <c r="E339" s="55"/>
      <c r="F339" s="55"/>
      <c r="G339" s="12" t="s">
        <v>4643</v>
      </c>
      <c r="H339" s="74"/>
      <c r="I339" s="147" t="str">
        <f>HYPERLINK("[#]Datatypes!B1211:L1211","ResPartyStrucText")</f>
        <v>ResPartyStrucText</v>
      </c>
      <c r="J339" s="80"/>
      <c r="K339" s="77"/>
      <c r="L339" s="77"/>
      <c r="M339" s="78"/>
      <c r="N339" s="74"/>
      <c r="O339" s="25">
        <v>207191</v>
      </c>
      <c r="P339" s="304" t="str">
        <f>CONCATENATE([1]Cover!$D$6,"fdd/view?i=",O339)</f>
        <v>https://www.dgiwg.org/FAD/fdd/view?i=207191</v>
      </c>
      <c r="Q339" s="8" t="s">
        <v>6340</v>
      </c>
      <c r="R339" s="38" t="s">
        <v>1295</v>
      </c>
    </row>
    <row r="340" spans="1:18" ht="25.5">
      <c r="A340" s="302" t="str">
        <f t="shared" si="6"/>
        <v>amendmentNumber</v>
      </c>
      <c r="B340" s="6" t="s">
        <v>6346</v>
      </c>
      <c r="C340" s="17" t="s">
        <v>6347</v>
      </c>
      <c r="D340" s="10" t="s">
        <v>6348</v>
      </c>
      <c r="E340" s="55"/>
      <c r="F340" s="55"/>
      <c r="G340" s="12" t="s">
        <v>4643</v>
      </c>
      <c r="H340" s="74"/>
      <c r="I340" s="147" t="str">
        <f>HYPERLINK("[#]Datatypes!B1416:L1416","TextLexUnconstrained")</f>
        <v>TextLexUnconstrained</v>
      </c>
      <c r="J340" s="80"/>
      <c r="K340" s="77"/>
      <c r="L340" s="77"/>
      <c r="M340" s="78"/>
      <c r="N340" s="74"/>
      <c r="O340" s="25">
        <v>207258</v>
      </c>
      <c r="P340" s="304" t="str">
        <f>CONCATENATE([1]Cover!$D$6,"fdd/view?i=",O340)</f>
        <v>https://www.dgiwg.org/FAD/fdd/view?i=207258</v>
      </c>
      <c r="Q340" s="8" t="s">
        <v>6345</v>
      </c>
      <c r="R340" s="38" t="s">
        <v>1295</v>
      </c>
    </row>
    <row r="341" spans="1:18" ht="25.5">
      <c r="A341" s="302" t="str">
        <f t="shared" si="6"/>
        <v>name</v>
      </c>
      <c r="B341" s="6" t="s">
        <v>5317</v>
      </c>
      <c r="C341" s="17" t="s">
        <v>6350</v>
      </c>
      <c r="D341" s="10" t="s">
        <v>6351</v>
      </c>
      <c r="E341" s="55"/>
      <c r="F341" s="55"/>
      <c r="G341" s="12" t="s">
        <v>4643</v>
      </c>
      <c r="H341" s="74"/>
      <c r="I341" s="147" t="str">
        <f>HYPERLINK("[#]Datatypes!B1416:L1416","TextLexUnconstrained")</f>
        <v>TextLexUnconstrained</v>
      </c>
      <c r="J341" s="80"/>
      <c r="K341" s="77"/>
      <c r="L341" s="77"/>
      <c r="M341" s="78"/>
      <c r="N341" s="74"/>
      <c r="O341" s="25">
        <v>207192</v>
      </c>
      <c r="P341" s="304" t="str">
        <f>CONCATENATE([1]Cover!$D$6,"fdd/view?i=",O341)</f>
        <v>https://www.dgiwg.org/FAD/fdd/view?i=207192</v>
      </c>
      <c r="Q341" s="8" t="s">
        <v>6349</v>
      </c>
      <c r="R341" s="38" t="s">
        <v>151</v>
      </c>
    </row>
    <row r="342" spans="1:18" ht="25.5">
      <c r="A342" s="302" t="str">
        <f t="shared" si="6"/>
        <v>specification</v>
      </c>
      <c r="B342" s="6" t="s">
        <v>6353</v>
      </c>
      <c r="C342" s="17" t="s">
        <v>6354</v>
      </c>
      <c r="D342" s="10" t="s">
        <v>6355</v>
      </c>
      <c r="E342" s="55"/>
      <c r="F342" s="55"/>
      <c r="G342" s="12" t="s">
        <v>4643</v>
      </c>
      <c r="H342" s="74"/>
      <c r="I342" s="147" t="str">
        <f>HYPERLINK("[#]Datatypes!B1416:L1416","TextLexUnconstrained")</f>
        <v>TextLexUnconstrained</v>
      </c>
      <c r="J342" s="80"/>
      <c r="K342" s="77"/>
      <c r="L342" s="77"/>
      <c r="M342" s="78"/>
      <c r="N342" s="74"/>
      <c r="O342" s="25">
        <v>207259</v>
      </c>
      <c r="P342" s="304" t="str">
        <f>CONCATENATE([1]Cover!$D$6,"fdd/view?i=",O342)</f>
        <v>https://www.dgiwg.org/FAD/fdd/view?i=207259</v>
      </c>
      <c r="Q342" s="8" t="s">
        <v>6352</v>
      </c>
      <c r="R342" s="38" t="s">
        <v>1295</v>
      </c>
    </row>
    <row r="343" spans="1:18" ht="25.5">
      <c r="A343" s="302" t="str">
        <f t="shared" si="6"/>
        <v>version</v>
      </c>
      <c r="B343" s="6" t="s">
        <v>6357</v>
      </c>
      <c r="C343" s="17" t="s">
        <v>6358</v>
      </c>
      <c r="D343" s="10" t="s">
        <v>6359</v>
      </c>
      <c r="E343" s="55"/>
      <c r="F343" s="55"/>
      <c r="G343" s="12" t="s">
        <v>4643</v>
      </c>
      <c r="H343" s="74"/>
      <c r="I343" s="147" t="str">
        <f>HYPERLINK("[#]Datatypes!B1416:L1416","TextLexUnconstrained")</f>
        <v>TextLexUnconstrained</v>
      </c>
      <c r="J343" s="80"/>
      <c r="K343" s="77"/>
      <c r="L343" s="77"/>
      <c r="M343" s="78"/>
      <c r="N343" s="74"/>
      <c r="O343" s="25">
        <v>207193</v>
      </c>
      <c r="P343" s="304" t="str">
        <f>CONCATENATE([1]Cover!$D$6,"fdd/view?i=",O343)</f>
        <v>https://www.dgiwg.org/FAD/fdd/view?i=207193</v>
      </c>
      <c r="Q343" s="8" t="s">
        <v>6356</v>
      </c>
      <c r="R343" s="38" t="s">
        <v>1295</v>
      </c>
    </row>
    <row r="344" spans="1:18" ht="25.5">
      <c r="A344" s="302" t="str">
        <f t="shared" si="6"/>
        <v>dataLinkChannel</v>
      </c>
      <c r="B344" s="6" t="s">
        <v>6361</v>
      </c>
      <c r="C344" s="17" t="s">
        <v>6362</v>
      </c>
      <c r="D344" s="10" t="s">
        <v>6363</v>
      </c>
      <c r="E344" s="55"/>
      <c r="F344" s="55"/>
      <c r="G344" s="12" t="s">
        <v>4643</v>
      </c>
      <c r="H344" s="74"/>
      <c r="I344" s="147" t="str">
        <f>HYPERLINK("[#]Datatypes!B710:L710","Integer")</f>
        <v>Integer</v>
      </c>
      <c r="J344" s="76" t="str">
        <f>HYPERLINK("[#]PhysicalQuantities!A39:N39","Pure Number")</f>
        <v>Pure Number</v>
      </c>
      <c r="K344" s="75" t="str">
        <f>HYPERLINK("[#]UnitsOfMeasure!D213:G213","Unitless")</f>
        <v>Unitless</v>
      </c>
      <c r="L344" s="77"/>
      <c r="M344" s="78"/>
      <c r="N344" s="74"/>
      <c r="O344" s="25">
        <v>117554</v>
      </c>
      <c r="P344" s="304" t="str">
        <f>CONCATENATE([1]Cover!$D$6,"fdd/view?i=",O344)</f>
        <v>https://www.dgiwg.org/FAD/fdd/view?i=117554</v>
      </c>
      <c r="Q344" s="8" t="s">
        <v>6360</v>
      </c>
      <c r="R344" s="38" t="s">
        <v>151</v>
      </c>
    </row>
    <row r="345" spans="1:18" ht="25.5">
      <c r="A345" s="302" t="str">
        <f t="shared" si="6"/>
        <v>dataLinkEnabled</v>
      </c>
      <c r="B345" s="6" t="s">
        <v>6365</v>
      </c>
      <c r="C345" s="17" t="s">
        <v>6366</v>
      </c>
      <c r="D345" s="10" t="s">
        <v>6367</v>
      </c>
      <c r="E345" s="55"/>
      <c r="F345" s="55"/>
      <c r="G345" s="12" t="s">
        <v>4643</v>
      </c>
      <c r="H345" s="74"/>
      <c r="I345" s="147" t="str">
        <f>HYPERLINK("[#]Datatypes!B230:L230","Boolean")</f>
        <v>Boolean</v>
      </c>
      <c r="J345" s="80"/>
      <c r="K345" s="77"/>
      <c r="L345" s="77"/>
      <c r="M345" s="78"/>
      <c r="N345" s="74"/>
      <c r="O345" s="25">
        <v>117553</v>
      </c>
      <c r="P345" s="304" t="str">
        <f>CONCATENATE([1]Cover!$D$6,"fdd/view?i=",O345)</f>
        <v>https://www.dgiwg.org/FAD/fdd/view?i=117553</v>
      </c>
      <c r="Q345" s="8" t="s">
        <v>6364</v>
      </c>
      <c r="R345" s="38" t="s">
        <v>151</v>
      </c>
    </row>
    <row r="346" spans="1:18" ht="25.5">
      <c r="A346" s="302" t="str">
        <f t="shared" si="6"/>
        <v>dataLinkLogonAddress</v>
      </c>
      <c r="B346" s="6" t="s">
        <v>6369</v>
      </c>
      <c r="C346" s="17" t="s">
        <v>6370</v>
      </c>
      <c r="D346" s="10" t="s">
        <v>6371</v>
      </c>
      <c r="E346" s="55"/>
      <c r="F346" s="55"/>
      <c r="G346" s="12" t="s">
        <v>4643</v>
      </c>
      <c r="H346" s="74"/>
      <c r="I346" s="147" t="str">
        <f>HYPERLINK("[#]Datatypes!B1442:L1442","TextNonLexUnconstrained")</f>
        <v>TextNonLexUnconstrained</v>
      </c>
      <c r="J346" s="80"/>
      <c r="K346" s="77"/>
      <c r="L346" s="77"/>
      <c r="M346" s="78"/>
      <c r="N346" s="74"/>
      <c r="O346" s="25">
        <v>117552</v>
      </c>
      <c r="P346" s="304" t="str">
        <f>CONCATENATE([1]Cover!$D$6,"fdd/view?i=",O346)</f>
        <v>https://www.dgiwg.org/FAD/fdd/view?i=117552</v>
      </c>
      <c r="Q346" s="8" t="s">
        <v>6368</v>
      </c>
      <c r="R346" s="38" t="s">
        <v>151</v>
      </c>
    </row>
    <row r="347" spans="1:18">
      <c r="A347" s="302" t="str">
        <f t="shared" si="6"/>
        <v>density</v>
      </c>
      <c r="B347" s="6" t="s">
        <v>6373</v>
      </c>
      <c r="C347" s="17" t="s">
        <v>6374</v>
      </c>
      <c r="D347" s="10" t="s">
        <v>6375</v>
      </c>
      <c r="E347" s="55"/>
      <c r="F347" s="55"/>
      <c r="G347" s="12" t="s">
        <v>4643</v>
      </c>
      <c r="H347" s="74"/>
      <c r="I347" s="147" t="str">
        <f>HYPERLINK("[#]Datatypes!B1097:L1097","Real")</f>
        <v>Real</v>
      </c>
      <c r="J347" s="76" t="str">
        <f>HYPERLINK("[#]PhysicalQuantities!A39:N39","Pure Number")</f>
        <v>Pure Number</v>
      </c>
      <c r="K347" s="75" t="str">
        <f>HYPERLINK("[#]UnitsOfMeasure!D213:G213","Unitless")</f>
        <v>Unitless</v>
      </c>
      <c r="L347" s="77"/>
      <c r="M347" s="78"/>
      <c r="N347" s="74"/>
      <c r="O347" s="25">
        <v>207289</v>
      </c>
      <c r="P347" s="304" t="str">
        <f>CONCATENATE([1]Cover!$D$6,"fdd/view?i=",O347)</f>
        <v>https://www.dgiwg.org/FAD/fdd/view?i=207289</v>
      </c>
      <c r="Q347" s="8" t="s">
        <v>6372</v>
      </c>
      <c r="R347" s="38" t="s">
        <v>1295</v>
      </c>
    </row>
    <row r="348" spans="1:18" ht="25.5">
      <c r="A348" s="302" t="str">
        <f t="shared" si="6"/>
        <v>densityUnits</v>
      </c>
      <c r="B348" s="6" t="s">
        <v>6377</v>
      </c>
      <c r="C348" s="17" t="s">
        <v>6378</v>
      </c>
      <c r="D348" s="10" t="s">
        <v>6379</v>
      </c>
      <c r="E348" s="55"/>
      <c r="F348" s="55"/>
      <c r="G348" s="12" t="s">
        <v>4643</v>
      </c>
      <c r="H348" s="74"/>
      <c r="I348" s="147" t="str">
        <f>HYPERLINK("[#]Datatypes!B1416:L1416","TextLexUnconstrained")</f>
        <v>TextLexUnconstrained</v>
      </c>
      <c r="J348" s="80"/>
      <c r="K348" s="77"/>
      <c r="L348" s="77"/>
      <c r="M348" s="78"/>
      <c r="N348" s="74"/>
      <c r="O348" s="25">
        <v>207290</v>
      </c>
      <c r="P348" s="304" t="str">
        <f>CONCATENATE([1]Cover!$D$6,"fdd/view?i=",O348)</f>
        <v>https://www.dgiwg.org/FAD/fdd/view?i=207290</v>
      </c>
      <c r="Q348" s="8" t="s">
        <v>6376</v>
      </c>
      <c r="R348" s="38" t="s">
        <v>1295</v>
      </c>
    </row>
    <row r="349" spans="1:18" ht="25.5">
      <c r="A349" s="302" t="str">
        <f t="shared" si="6"/>
        <v>mediumFormat</v>
      </c>
      <c r="B349" s="6" t="s">
        <v>6381</v>
      </c>
      <c r="C349" s="17" t="s">
        <v>6382</v>
      </c>
      <c r="D349" s="10" t="s">
        <v>6383</v>
      </c>
      <c r="E349" s="55"/>
      <c r="F349" s="55"/>
      <c r="G349" s="12" t="s">
        <v>4643</v>
      </c>
      <c r="H349" s="74"/>
      <c r="I349" s="147" t="str">
        <f>HYPERLINK("[#]Datatypes!B418:L418","MD_MediumFormatCode")</f>
        <v>MD_MediumFormatCode</v>
      </c>
      <c r="J349" s="80"/>
      <c r="K349" s="77"/>
      <c r="L349" s="77"/>
      <c r="M349" s="78"/>
      <c r="N349" s="74"/>
      <c r="O349" s="25">
        <v>207292</v>
      </c>
      <c r="P349" s="304" t="str">
        <f>CONCATENATE([1]Cover!$D$6,"fdd/view?i=",O349)</f>
        <v>https://www.dgiwg.org/FAD/fdd/view?i=207292</v>
      </c>
      <c r="Q349" s="8" t="s">
        <v>6380</v>
      </c>
      <c r="R349" s="38" t="s">
        <v>1295</v>
      </c>
    </row>
    <row r="350" spans="1:18" ht="25.5">
      <c r="A350" s="302" t="str">
        <f t="shared" si="6"/>
        <v>name</v>
      </c>
      <c r="B350" s="6" t="s">
        <v>5317</v>
      </c>
      <c r="C350" s="17" t="s">
        <v>6386</v>
      </c>
      <c r="D350" s="10" t="s">
        <v>6387</v>
      </c>
      <c r="E350" s="55"/>
      <c r="F350" s="55"/>
      <c r="G350" s="12" t="s">
        <v>4643</v>
      </c>
      <c r="H350" s="74"/>
      <c r="I350" s="147" t="str">
        <f>HYPERLINK("[#]Datatypes!B420:L420","MD_MediumNameCode")</f>
        <v>MD_MediumNameCode</v>
      </c>
      <c r="J350" s="80"/>
      <c r="K350" s="77"/>
      <c r="L350" s="77"/>
      <c r="M350" s="78"/>
      <c r="N350" s="74"/>
      <c r="O350" s="25">
        <v>207288</v>
      </c>
      <c r="P350" s="304" t="str">
        <f>CONCATENATE([1]Cover!$D$6,"fdd/view?i=",O350)</f>
        <v>https://www.dgiwg.org/FAD/fdd/view?i=207288</v>
      </c>
      <c r="Q350" s="8" t="s">
        <v>6385</v>
      </c>
      <c r="R350" s="38" t="s">
        <v>151</v>
      </c>
    </row>
    <row r="351" spans="1:18" ht="25.5">
      <c r="A351" s="302" t="str">
        <f t="shared" si="6"/>
        <v>mediumNote</v>
      </c>
      <c r="B351" s="6" t="s">
        <v>6390</v>
      </c>
      <c r="C351" s="17" t="s">
        <v>6391</v>
      </c>
      <c r="D351" s="10" t="s">
        <v>6392</v>
      </c>
      <c r="E351" s="55"/>
      <c r="F351" s="55"/>
      <c r="G351" s="12" t="s">
        <v>4643</v>
      </c>
      <c r="H351" s="74"/>
      <c r="I351" s="147" t="str">
        <f>HYPERLINK("[#]Datatypes!B1416:L1416","TextLexUnconstrained")</f>
        <v>TextLexUnconstrained</v>
      </c>
      <c r="J351" s="80"/>
      <c r="K351" s="77"/>
      <c r="L351" s="77"/>
      <c r="M351" s="78"/>
      <c r="N351" s="74"/>
      <c r="O351" s="25">
        <v>207293</v>
      </c>
      <c r="P351" s="304" t="str">
        <f>CONCATENATE([1]Cover!$D$6,"fdd/view?i=",O351)</f>
        <v>https://www.dgiwg.org/FAD/fdd/view?i=207293</v>
      </c>
      <c r="Q351" s="8" t="s">
        <v>6389</v>
      </c>
      <c r="R351" s="38" t="s">
        <v>1295</v>
      </c>
    </row>
    <row r="352" spans="1:18">
      <c r="A352" s="302" t="str">
        <f t="shared" si="6"/>
        <v>volumes</v>
      </c>
      <c r="B352" s="6" t="s">
        <v>6394</v>
      </c>
      <c r="C352" s="17" t="s">
        <v>6395</v>
      </c>
      <c r="D352" s="10" t="s">
        <v>6396</v>
      </c>
      <c r="E352" s="55"/>
      <c r="F352" s="55"/>
      <c r="G352" s="12" t="s">
        <v>4643</v>
      </c>
      <c r="H352" s="74"/>
      <c r="I352" s="147" t="str">
        <f>HYPERLINK("[#]Datatypes!B366:L366","Count")</f>
        <v>Count</v>
      </c>
      <c r="J352" s="80"/>
      <c r="K352" s="77"/>
      <c r="L352" s="77"/>
      <c r="M352" s="78"/>
      <c r="N352" s="74"/>
      <c r="O352" s="25">
        <v>207291</v>
      </c>
      <c r="P352" s="304" t="str">
        <f>CONCATENATE([1]Cover!$D$6,"fdd/view?i=",O352)</f>
        <v>https://www.dgiwg.org/FAD/fdd/view?i=207291</v>
      </c>
      <c r="Q352" s="8" t="s">
        <v>6393</v>
      </c>
      <c r="R352" s="38" t="s">
        <v>1295</v>
      </c>
    </row>
    <row r="353" spans="1:18" ht="25.5">
      <c r="A353" s="302" t="str">
        <f t="shared" si="6"/>
        <v>offLine</v>
      </c>
      <c r="B353" s="6" t="s">
        <v>6398</v>
      </c>
      <c r="C353" s="17" t="s">
        <v>6399</v>
      </c>
      <c r="D353" s="10" t="s">
        <v>6400</v>
      </c>
      <c r="E353" s="55"/>
      <c r="F353" s="55"/>
      <c r="G353" s="12" t="s">
        <v>4643</v>
      </c>
      <c r="H353" s="74"/>
      <c r="I353" s="147" t="str">
        <f>HYPERLINK("[#]Datatypes!B426:L426","DataTransMediumStrucText")</f>
        <v>DataTransMediumStrucText</v>
      </c>
      <c r="J353" s="80"/>
      <c r="K353" s="77"/>
      <c r="L353" s="77"/>
      <c r="M353" s="78"/>
      <c r="N353" s="74"/>
      <c r="O353" s="25">
        <v>207257</v>
      </c>
      <c r="P353" s="304" t="str">
        <f>CONCATENATE([1]Cover!$D$6,"fdd/view?i=",O353)</f>
        <v>https://www.dgiwg.org/FAD/fdd/view?i=207257</v>
      </c>
      <c r="Q353" s="8" t="s">
        <v>6397</v>
      </c>
      <c r="R353" s="38" t="s">
        <v>1295</v>
      </c>
    </row>
    <row r="354" spans="1:18" ht="25.5">
      <c r="A354" s="302" t="str">
        <f t="shared" si="6"/>
        <v>onLine</v>
      </c>
      <c r="B354" s="6" t="s">
        <v>6403</v>
      </c>
      <c r="C354" s="17" t="s">
        <v>6404</v>
      </c>
      <c r="D354" s="10" t="s">
        <v>6405</v>
      </c>
      <c r="E354" s="55"/>
      <c r="F354" s="55"/>
      <c r="G354" s="12" t="s">
        <v>4643</v>
      </c>
      <c r="H354" s="74"/>
      <c r="I354" s="147" t="str">
        <f>HYPERLINK("[#]Datatypes!B995:L995","OnlineResStrucText")</f>
        <v>OnlineResStrucText</v>
      </c>
      <c r="J354" s="80"/>
      <c r="K354" s="77"/>
      <c r="L354" s="77"/>
      <c r="M354" s="78"/>
      <c r="N354" s="74"/>
      <c r="O354" s="25">
        <v>207190</v>
      </c>
      <c r="P354" s="304" t="str">
        <f>CONCATENATE([1]Cover!$D$6,"fdd/view?i=",O354)</f>
        <v>https://www.dgiwg.org/FAD/fdd/view?i=207190</v>
      </c>
      <c r="Q354" s="8" t="s">
        <v>6402</v>
      </c>
      <c r="R354" s="38" t="s">
        <v>1295</v>
      </c>
    </row>
    <row r="355" spans="1:18" ht="25.5">
      <c r="A355" s="302" t="str">
        <f t="shared" si="6"/>
        <v>scope</v>
      </c>
      <c r="B355" s="6" t="s">
        <v>6238</v>
      </c>
      <c r="C355" s="17" t="s">
        <v>6408</v>
      </c>
      <c r="D355" s="10" t="s">
        <v>6409</v>
      </c>
      <c r="E355" s="55"/>
      <c r="F355" s="55"/>
      <c r="G355" s="12" t="s">
        <v>4643</v>
      </c>
      <c r="H355" s="74"/>
      <c r="I355" s="147" t="str">
        <f>HYPERLINK("[#]Datatypes!B424:L424","DataQualScopeStrucText")</f>
        <v>DataQualScopeStrucText</v>
      </c>
      <c r="J355" s="80"/>
      <c r="K355" s="77"/>
      <c r="L355" s="77"/>
      <c r="M355" s="78"/>
      <c r="N355" s="74"/>
      <c r="O355" s="25">
        <v>207186</v>
      </c>
      <c r="P355" s="304" t="str">
        <f>CONCATENATE([1]Cover!$D$6,"fdd/view?i=",O355)</f>
        <v>https://www.dgiwg.org/FAD/fdd/view?i=207186</v>
      </c>
      <c r="Q355" s="8" t="s">
        <v>6407</v>
      </c>
      <c r="R355" s="38" t="s">
        <v>1295</v>
      </c>
    </row>
    <row r="356" spans="1:18" ht="51">
      <c r="A356" s="302" t="str">
        <f t="shared" si="6"/>
        <v>dataQualityStatement</v>
      </c>
      <c r="B356" s="6" t="s">
        <v>6412</v>
      </c>
      <c r="C356" s="17" t="s">
        <v>6413</v>
      </c>
      <c r="D356" s="10" t="s">
        <v>6414</v>
      </c>
      <c r="E356" s="10" t="s">
        <v>6415</v>
      </c>
      <c r="F356" s="55"/>
      <c r="G356" s="12" t="s">
        <v>4643</v>
      </c>
      <c r="H356" s="74"/>
      <c r="I356" s="147" t="str">
        <f>HYPERLINK("[#]Datatypes!B1416:L1416","TextLexUnconstrained")</f>
        <v>TextLexUnconstrained</v>
      </c>
      <c r="J356" s="80"/>
      <c r="K356" s="77"/>
      <c r="L356" s="77"/>
      <c r="M356" s="78"/>
      <c r="N356" s="74"/>
      <c r="O356" s="25">
        <v>111524</v>
      </c>
      <c r="P356" s="304" t="str">
        <f>CONCATENATE([1]Cover!$D$6,"fdd/view?i=",O356)</f>
        <v>https://www.dgiwg.org/FAD/fdd/view?i=111524</v>
      </c>
      <c r="Q356" s="8" t="s">
        <v>6411</v>
      </c>
      <c r="R356" s="38" t="s">
        <v>151</v>
      </c>
    </row>
    <row r="357" spans="1:18" ht="25.5">
      <c r="A357" s="302" t="str">
        <f t="shared" si="6"/>
        <v>dataSetCitation</v>
      </c>
      <c r="B357" s="6" t="s">
        <v>6417</v>
      </c>
      <c r="C357" s="17" t="s">
        <v>6418</v>
      </c>
      <c r="D357" s="10" t="s">
        <v>6419</v>
      </c>
      <c r="E357" s="55"/>
      <c r="F357" s="55"/>
      <c r="G357" s="12" t="s">
        <v>4643</v>
      </c>
      <c r="H357" s="74"/>
      <c r="I357" s="147" t="str">
        <f>HYPERLINK("[#]Datatypes!B300:L300","CI_Citation")</f>
        <v>CI_Citation</v>
      </c>
      <c r="J357" s="80"/>
      <c r="K357" s="77"/>
      <c r="L357" s="77"/>
      <c r="M357" s="78"/>
      <c r="N357" s="74"/>
      <c r="O357" s="25">
        <v>111526</v>
      </c>
      <c r="P357" s="304" t="str">
        <f>CONCATENATE([1]Cover!$D$6,"fdd/view?i=",O357)</f>
        <v>https://www.dgiwg.org/FAD/fdd/view?i=111526</v>
      </c>
      <c r="Q357" s="8" t="s">
        <v>6416</v>
      </c>
      <c r="R357" s="38" t="s">
        <v>151</v>
      </c>
    </row>
    <row r="358" spans="1:18" ht="25.5">
      <c r="A358" s="302" t="str">
        <f t="shared" si="6"/>
        <v>transferSize</v>
      </c>
      <c r="B358" s="6" t="s">
        <v>6422</v>
      </c>
      <c r="C358" s="17" t="s">
        <v>6423</v>
      </c>
      <c r="D358" s="10" t="s">
        <v>6424</v>
      </c>
      <c r="E358" s="55"/>
      <c r="F358" s="55"/>
      <c r="G358" s="12" t="s">
        <v>4643</v>
      </c>
      <c r="H358" s="74"/>
      <c r="I358" s="147" t="str">
        <f>HYPERLINK("[#]Datatypes!B1097:L1097","Real")</f>
        <v>Real</v>
      </c>
      <c r="J358" s="76" t="str">
        <f>HYPERLINK("[#]PhysicalQuantities!A39:N39","Pure Number")</f>
        <v>Pure Number</v>
      </c>
      <c r="K358" s="75" t="str">
        <f>HYPERLINK("[#]UnitsOfMeasure!D213:G213","Unitless")</f>
        <v>Unitless</v>
      </c>
      <c r="L358" s="77"/>
      <c r="M358" s="78"/>
      <c r="N358" s="74"/>
      <c r="O358" s="25">
        <v>207189</v>
      </c>
      <c r="P358" s="304" t="str">
        <f>CONCATENATE([1]Cover!$D$6,"fdd/view?i=",O358)</f>
        <v>https://www.dgiwg.org/FAD/fdd/view?i=207189</v>
      </c>
      <c r="Q358" s="8" t="s">
        <v>6421</v>
      </c>
      <c r="R358" s="38" t="s">
        <v>1295</v>
      </c>
    </row>
    <row r="359" spans="1:18" ht="25.5">
      <c r="A359" s="302" t="str">
        <f t="shared" si="6"/>
        <v>unitsOfDistribution</v>
      </c>
      <c r="B359" s="6" t="s">
        <v>6426</v>
      </c>
      <c r="C359" s="17" t="s">
        <v>6427</v>
      </c>
      <c r="D359" s="10" t="s">
        <v>6428</v>
      </c>
      <c r="E359" s="55"/>
      <c r="F359" s="55"/>
      <c r="G359" s="12" t="s">
        <v>4643</v>
      </c>
      <c r="H359" s="74"/>
      <c r="I359" s="147" t="str">
        <f>HYPERLINK("[#]Datatypes!B1416:L1416","TextLexUnconstrained")</f>
        <v>TextLexUnconstrained</v>
      </c>
      <c r="J359" s="80"/>
      <c r="K359" s="77"/>
      <c r="L359" s="77"/>
      <c r="M359" s="78"/>
      <c r="N359" s="74"/>
      <c r="O359" s="25">
        <v>207256</v>
      </c>
      <c r="P359" s="304" t="str">
        <f>CONCATENATE([1]Cover!$D$6,"fdd/view?i=",O359)</f>
        <v>https://www.dgiwg.org/FAD/fdd/view?i=207256</v>
      </c>
      <c r="Q359" s="8" t="s">
        <v>6425</v>
      </c>
      <c r="R359" s="38" t="s">
        <v>1295</v>
      </c>
    </row>
    <row r="360" spans="1:18" ht="38.25">
      <c r="A360" s="302" t="str">
        <f t="shared" si="6"/>
        <v>environmentDescription</v>
      </c>
      <c r="B360" s="6" t="s">
        <v>6430</v>
      </c>
      <c r="C360" s="17" t="s">
        <v>6431</v>
      </c>
      <c r="D360" s="10" t="s">
        <v>6432</v>
      </c>
      <c r="E360" s="55"/>
      <c r="F360" s="55"/>
      <c r="G360" s="12" t="s">
        <v>4643</v>
      </c>
      <c r="H360" s="74"/>
      <c r="I360" s="147" t="str">
        <f>HYPERLINK("[#]Datatypes!B1416:L1416","TextLexUnconstrained")</f>
        <v>TextLexUnconstrained</v>
      </c>
      <c r="J360" s="80"/>
      <c r="K360" s="77"/>
      <c r="L360" s="77"/>
      <c r="M360" s="78"/>
      <c r="N360" s="74"/>
      <c r="O360" s="25">
        <v>207250</v>
      </c>
      <c r="P360" s="304" t="str">
        <f>CONCATENATE([1]Cover!$D$6,"fdd/view?i=",O360)</f>
        <v>https://www.dgiwg.org/FAD/fdd/view?i=207250</v>
      </c>
      <c r="Q360" s="8" t="s">
        <v>6429</v>
      </c>
      <c r="R360" s="38" t="s">
        <v>1295</v>
      </c>
    </row>
    <row r="361" spans="1:18">
      <c r="A361" s="302" t="str">
        <f t="shared" si="6"/>
        <v>initiativeType</v>
      </c>
      <c r="B361" s="6" t="s">
        <v>6434</v>
      </c>
      <c r="C361" s="17" t="s">
        <v>6435</v>
      </c>
      <c r="D361" s="10" t="s">
        <v>6436</v>
      </c>
      <c r="E361" s="55"/>
      <c r="F361" s="55"/>
      <c r="G361" s="12" t="s">
        <v>4643</v>
      </c>
      <c r="H361" s="74"/>
      <c r="I361" s="147" t="str">
        <f>HYPERLINK("[#]Datatypes!B428:L428","MD_InitiativeTypeCode")</f>
        <v>MD_InitiativeTypeCode</v>
      </c>
      <c r="J361" s="80"/>
      <c r="K361" s="77"/>
      <c r="L361" s="77"/>
      <c r="M361" s="78"/>
      <c r="N361" s="74"/>
      <c r="O361" s="25">
        <v>207299</v>
      </c>
      <c r="P361" s="304" t="str">
        <f>CONCATENATE([1]Cover!$D$6,"fdd/view?i=",O361)</f>
        <v>https://www.dgiwg.org/FAD/fdd/view?i=207299</v>
      </c>
      <c r="Q361" s="8" t="s">
        <v>6433</v>
      </c>
      <c r="R361" s="38" t="s">
        <v>1295</v>
      </c>
    </row>
    <row r="362" spans="1:18" ht="25.5">
      <c r="A362" s="302" t="str">
        <f t="shared" si="6"/>
        <v>supplementalInformation</v>
      </c>
      <c r="B362" s="6" t="s">
        <v>6439</v>
      </c>
      <c r="C362" s="17" t="s">
        <v>6440</v>
      </c>
      <c r="D362" s="10" t="s">
        <v>6441</v>
      </c>
      <c r="E362" s="55"/>
      <c r="F362" s="55"/>
      <c r="G362" s="12" t="s">
        <v>4643</v>
      </c>
      <c r="H362" s="74"/>
      <c r="I362" s="147" t="str">
        <f>HYPERLINK("[#]Datatypes!B1416:L1416","TextLexUnconstrained")</f>
        <v>TextLexUnconstrained</v>
      </c>
      <c r="J362" s="80"/>
      <c r="K362" s="77"/>
      <c r="L362" s="77"/>
      <c r="M362" s="78"/>
      <c r="N362" s="74"/>
      <c r="O362" s="25">
        <v>207251</v>
      </c>
      <c r="P362" s="304" t="str">
        <f>CONCATENATE([1]Cover!$D$6,"fdd/view?i=",O362)</f>
        <v>https://www.dgiwg.org/FAD/fdd/view?i=207251</v>
      </c>
      <c r="Q362" s="8" t="s">
        <v>6438</v>
      </c>
      <c r="R362" s="38" t="s">
        <v>1295</v>
      </c>
    </row>
    <row r="363" spans="1:18" ht="25.5">
      <c r="A363" s="302" t="str">
        <f t="shared" si="6"/>
        <v>dataSetURI</v>
      </c>
      <c r="B363" s="6" t="s">
        <v>6443</v>
      </c>
      <c r="C363" s="17" t="s">
        <v>6444</v>
      </c>
      <c r="D363" s="10" t="s">
        <v>6445</v>
      </c>
      <c r="E363" s="55"/>
      <c r="F363" s="55"/>
      <c r="G363" s="12" t="s">
        <v>4643</v>
      </c>
      <c r="H363" s="74"/>
      <c r="I363" s="147" t="str">
        <f>HYPERLINK("[#]Datatypes!B1416:L1416","TextLexUnconstrained")</f>
        <v>TextLexUnconstrained</v>
      </c>
      <c r="J363" s="80"/>
      <c r="K363" s="77"/>
      <c r="L363" s="77"/>
      <c r="M363" s="78"/>
      <c r="N363" s="74"/>
      <c r="O363" s="25">
        <v>207246</v>
      </c>
      <c r="P363" s="304" t="str">
        <f>CONCATENATE([1]Cover!$D$6,"fdd/view?i=",O363)</f>
        <v>https://www.dgiwg.org/FAD/fdd/view?i=207246</v>
      </c>
      <c r="Q363" s="8" t="s">
        <v>6442</v>
      </c>
      <c r="R363" s="38" t="s">
        <v>1295</v>
      </c>
    </row>
    <row r="364" spans="1:18" ht="25.5">
      <c r="A364" s="302" t="str">
        <f t="shared" si="6"/>
        <v>dateTimeOfSinking</v>
      </c>
      <c r="B364" s="6" t="s">
        <v>6447</v>
      </c>
      <c r="C364" s="17" t="s">
        <v>6448</v>
      </c>
      <c r="D364" s="10" t="s">
        <v>6449</v>
      </c>
      <c r="E364" s="55"/>
      <c r="F364" s="55"/>
      <c r="G364" s="12" t="s">
        <v>4643</v>
      </c>
      <c r="H364" s="74"/>
      <c r="I364" s="147" t="str">
        <f>HYPERLINK("[#]Datatypes!B430:L430","DateTimeOfSinkingStrucText")</f>
        <v>DateTimeOfSinkingStrucText</v>
      </c>
      <c r="J364" s="80"/>
      <c r="K364" s="77"/>
      <c r="L364" s="77"/>
      <c r="M364" s="78"/>
      <c r="N364" s="74"/>
      <c r="O364" s="25">
        <v>118138</v>
      </c>
      <c r="P364" s="304" t="str">
        <f>CONCATENATE([1]Cover!$D$6,"fdd/view?i=",O364)</f>
        <v>https://www.dgiwg.org/FAD/fdd/view?i=118138</v>
      </c>
      <c r="Q364" s="8" t="s">
        <v>6446</v>
      </c>
      <c r="R364" s="38" t="s">
        <v>1295</v>
      </c>
    </row>
    <row r="365" spans="1:18" ht="51">
      <c r="A365" s="302" t="str">
        <f t="shared" si="6"/>
        <v>daymarkShape</v>
      </c>
      <c r="B365" s="6" t="s">
        <v>6452</v>
      </c>
      <c r="C365" s="17" t="s">
        <v>6453</v>
      </c>
      <c r="D365" s="10" t="s">
        <v>6454</v>
      </c>
      <c r="E365" s="10" t="s">
        <v>6455</v>
      </c>
      <c r="F365" s="55"/>
      <c r="G365" s="12" t="s">
        <v>4643</v>
      </c>
      <c r="H365" s="74"/>
      <c r="I365" s="147" t="str">
        <f>HYPERLINK("[#]Datatypes!B442:L442","DaymarkShapeCode")</f>
        <v>DaymarkShapeCode</v>
      </c>
      <c r="J365" s="80"/>
      <c r="K365" s="77"/>
      <c r="L365" s="77"/>
      <c r="M365" s="71" t="str">
        <f>HYPERLINK("[#]DatatypeListedValues!A2390:H2390","&lt;values&gt;")</f>
        <v>&lt;values&gt;</v>
      </c>
      <c r="N365" s="82" t="b">
        <v>0</v>
      </c>
      <c r="O365" s="25">
        <v>111096</v>
      </c>
      <c r="P365" s="304" t="str">
        <f>CONCATENATE([1]Cover!$D$6,"fdd/view?i=",O365)</f>
        <v>https://www.dgiwg.org/FAD/fdd/view?i=111096</v>
      </c>
      <c r="Q365" s="8" t="s">
        <v>6451</v>
      </c>
      <c r="R365" s="38" t="s">
        <v>151</v>
      </c>
    </row>
    <row r="366" spans="1:18" ht="51">
      <c r="A366" s="302" t="str">
        <f t="shared" si="6"/>
        <v>decisionAltitude</v>
      </c>
      <c r="B366" s="6" t="s">
        <v>6458</v>
      </c>
      <c r="C366" s="17" t="s">
        <v>6459</v>
      </c>
      <c r="D366" s="10" t="s">
        <v>6460</v>
      </c>
      <c r="E366" s="55"/>
      <c r="F366" s="10" t="s">
        <v>6461</v>
      </c>
      <c r="G366" s="12" t="s">
        <v>4643</v>
      </c>
      <c r="H366" s="74"/>
      <c r="I366" s="147" t="str">
        <f>HYPERLINK("[#]Datatypes!B1097:L1097","Real")</f>
        <v>Real</v>
      </c>
      <c r="J366" s="76" t="str">
        <f>HYPERLINK("[#]PhysicalQuantities!A20:N20","Length")</f>
        <v>Length</v>
      </c>
      <c r="K366" s="75" t="str">
        <f>HYPERLINK("[#]UnitsOfMeasure!D80:G80","Metre")</f>
        <v>Metre</v>
      </c>
      <c r="L366" s="77"/>
      <c r="M366" s="78"/>
      <c r="N366" s="74"/>
      <c r="O366" s="25">
        <v>117547</v>
      </c>
      <c r="P366" s="304" t="str">
        <f>CONCATENATE([1]Cover!$D$6,"fdd/view?i=",O366)</f>
        <v>https://www.dgiwg.org/FAD/fdd/view?i=117547</v>
      </c>
      <c r="Q366" s="8" t="s">
        <v>6457</v>
      </c>
      <c r="R366" s="38" t="s">
        <v>151</v>
      </c>
    </row>
    <row r="367" spans="1:18" ht="51">
      <c r="A367" s="302" t="str">
        <f t="shared" si="6"/>
        <v>decisionHeight</v>
      </c>
      <c r="B367" s="6" t="s">
        <v>6463</v>
      </c>
      <c r="C367" s="17" t="s">
        <v>6464</v>
      </c>
      <c r="D367" s="10" t="s">
        <v>6465</v>
      </c>
      <c r="E367" s="55"/>
      <c r="F367" s="10" t="s">
        <v>6466</v>
      </c>
      <c r="G367" s="12" t="s">
        <v>4643</v>
      </c>
      <c r="H367" s="74"/>
      <c r="I367" s="147" t="str">
        <f>HYPERLINK("[#]Datatypes!B1097:L1097","Real")</f>
        <v>Real</v>
      </c>
      <c r="J367" s="76" t="str">
        <f>HYPERLINK("[#]PhysicalQuantities!A20:N20","Length")</f>
        <v>Length</v>
      </c>
      <c r="K367" s="75" t="str">
        <f>HYPERLINK("[#]UnitsOfMeasure!D80:G80","Metre")</f>
        <v>Metre</v>
      </c>
      <c r="L367" s="77"/>
      <c r="M367" s="78"/>
      <c r="N367" s="74"/>
      <c r="O367" s="25">
        <v>117551</v>
      </c>
      <c r="P367" s="304" t="str">
        <f>CONCATENATE([1]Cover!$D$6,"fdd/view?i=",O367)</f>
        <v>https://www.dgiwg.org/FAD/fdd/view?i=117551</v>
      </c>
      <c r="Q367" s="8" t="s">
        <v>6462</v>
      </c>
      <c r="R367" s="38" t="s">
        <v>151</v>
      </c>
    </row>
    <row r="368" spans="1:18" ht="25.5">
      <c r="A368" s="302" t="str">
        <f t="shared" si="6"/>
        <v>deckCount</v>
      </c>
      <c r="B368" s="6" t="s">
        <v>6468</v>
      </c>
      <c r="C368" s="17" t="s">
        <v>6469</v>
      </c>
      <c r="D368" s="10" t="s">
        <v>6470</v>
      </c>
      <c r="E368" s="55"/>
      <c r="F368" s="55"/>
      <c r="G368" s="12" t="s">
        <v>4643</v>
      </c>
      <c r="H368" s="74"/>
      <c r="I368" s="147" t="str">
        <f>HYPERLINK("[#]Datatypes!B366:L366","Count")</f>
        <v>Count</v>
      </c>
      <c r="J368" s="76" t="str">
        <f>HYPERLINK("[#]PhysicalQuantities!A39:N39","Pure Number")</f>
        <v>Pure Number</v>
      </c>
      <c r="K368" s="75" t="str">
        <f>HYPERLINK("[#]UnitsOfMeasure!D213:G213","Unitless")</f>
        <v>Unitless</v>
      </c>
      <c r="L368" s="77"/>
      <c r="M368" s="78"/>
      <c r="N368" s="74"/>
      <c r="O368" s="25">
        <v>118918</v>
      </c>
      <c r="P368" s="304" t="str">
        <f>CONCATENATE([1]Cover!$D$6,"fdd/view?i=",O368)</f>
        <v>https://www.dgiwg.org/FAD/fdd/view?i=118918</v>
      </c>
      <c r="Q368" s="8" t="s">
        <v>6467</v>
      </c>
      <c r="R368" s="38" t="s">
        <v>151</v>
      </c>
    </row>
    <row r="369" spans="1:18" ht="51">
      <c r="A369" s="302" t="str">
        <f t="shared" si="6"/>
        <v>deckLevel</v>
      </c>
      <c r="B369" s="6" t="s">
        <v>6472</v>
      </c>
      <c r="C369" s="17" t="s">
        <v>6473</v>
      </c>
      <c r="D369" s="10" t="s">
        <v>6474</v>
      </c>
      <c r="E369" s="10" t="s">
        <v>6475</v>
      </c>
      <c r="F369" s="55"/>
      <c r="G369" s="12" t="s">
        <v>4643</v>
      </c>
      <c r="H369" s="74"/>
      <c r="I369" s="147" t="str">
        <f>HYPERLINK("[#]Datatypes!B710:L710","Integer")</f>
        <v>Integer</v>
      </c>
      <c r="J369" s="76" t="str">
        <f>HYPERLINK("[#]PhysicalQuantities!A39:N39","Pure Number")</f>
        <v>Pure Number</v>
      </c>
      <c r="K369" s="75" t="str">
        <f>HYPERLINK("[#]UnitsOfMeasure!D213:G213","Unitless")</f>
        <v>Unitless</v>
      </c>
      <c r="L369" s="77"/>
      <c r="M369" s="78"/>
      <c r="N369" s="74"/>
      <c r="O369" s="25">
        <v>117777</v>
      </c>
      <c r="P369" s="304" t="str">
        <f>CONCATENATE([1]Cover!$D$6,"fdd/view?i=",O369)</f>
        <v>https://www.dgiwg.org/FAD/fdd/view?i=117777</v>
      </c>
      <c r="Q369" s="8" t="s">
        <v>6471</v>
      </c>
      <c r="R369" s="38" t="s">
        <v>151</v>
      </c>
    </row>
    <row r="370" spans="1:18" ht="114.75">
      <c r="A370" s="302" t="str">
        <f t="shared" si="6"/>
        <v>deepDepthBelowSurfLevel</v>
      </c>
      <c r="B370" s="6" t="s">
        <v>6477</v>
      </c>
      <c r="C370" s="17" t="s">
        <v>6478</v>
      </c>
      <c r="D370" s="10" t="s">
        <v>6479</v>
      </c>
      <c r="E370" s="10" t="s">
        <v>6480</v>
      </c>
      <c r="F370" s="55"/>
      <c r="G370" s="12" t="s">
        <v>4643</v>
      </c>
      <c r="H370" s="74"/>
      <c r="I370" s="147" t="str">
        <f>HYPERLINK("[#]Datatypes!B1097:L1097","Real")</f>
        <v>Real</v>
      </c>
      <c r="J370" s="76" t="str">
        <f>HYPERLINK("[#]PhysicalQuantities!A20:N20","Length")</f>
        <v>Length</v>
      </c>
      <c r="K370" s="75" t="str">
        <f>HYPERLINK("[#]UnitsOfMeasure!D80:G80","Metre")</f>
        <v>Metre</v>
      </c>
      <c r="L370" s="77"/>
      <c r="M370" s="78"/>
      <c r="N370" s="74"/>
      <c r="O370" s="25">
        <v>119160</v>
      </c>
      <c r="P370" s="304" t="str">
        <f>CONCATENATE([1]Cover!$D$6,"fdd/view?i=",O370)</f>
        <v>https://www.dgiwg.org/FAD/fdd/view?i=119160</v>
      </c>
      <c r="Q370" s="8" t="s">
        <v>6476</v>
      </c>
      <c r="R370" s="38" t="s">
        <v>151</v>
      </c>
    </row>
    <row r="371" spans="1:18" ht="25.5">
      <c r="A371" s="302" t="str">
        <f t="shared" si="6"/>
        <v>deIcingAntiIcingAreaDesig</v>
      </c>
      <c r="B371" s="6" t="s">
        <v>6482</v>
      </c>
      <c r="C371" s="17" t="s">
        <v>6483</v>
      </c>
      <c r="D371" s="10" t="s">
        <v>6484</v>
      </c>
      <c r="E371" s="55"/>
      <c r="F371" s="55"/>
      <c r="G371" s="12" t="s">
        <v>4643</v>
      </c>
      <c r="H371" s="74"/>
      <c r="I371" s="147" t="str">
        <f>HYPERLINK("[#]Datatypes!B1442:L1442","TextNonLexUnconstrained")</f>
        <v>TextNonLexUnconstrained</v>
      </c>
      <c r="J371" s="80"/>
      <c r="K371" s="77"/>
      <c r="L371" s="77"/>
      <c r="M371" s="78"/>
      <c r="N371" s="74"/>
      <c r="O371" s="25">
        <v>119183</v>
      </c>
      <c r="P371" s="304" t="str">
        <f>CONCATENATE([1]Cover!$D$6,"fdd/view?i=",O371)</f>
        <v>https://www.dgiwg.org/FAD/fdd/view?i=119183</v>
      </c>
      <c r="Q371" s="8" t="s">
        <v>6481</v>
      </c>
      <c r="R371" s="38" t="s">
        <v>151</v>
      </c>
    </row>
    <row r="372" spans="1:18" ht="25.5">
      <c r="A372" s="302" t="str">
        <f t="shared" si="6"/>
        <v>delineationKnown</v>
      </c>
      <c r="B372" s="6" t="s">
        <v>6486</v>
      </c>
      <c r="C372" s="17" t="s">
        <v>6487</v>
      </c>
      <c r="D372" s="10" t="s">
        <v>6488</v>
      </c>
      <c r="E372" s="55"/>
      <c r="F372" s="55"/>
      <c r="G372" s="12" t="s">
        <v>4643</v>
      </c>
      <c r="H372" s="74"/>
      <c r="I372" s="147" t="str">
        <f>HYPERLINK("[#]Datatypes!B230:L230","Boolean")</f>
        <v>Boolean</v>
      </c>
      <c r="J372" s="80"/>
      <c r="K372" s="77"/>
      <c r="L372" s="77"/>
      <c r="M372" s="78"/>
      <c r="N372" s="74"/>
      <c r="O372" s="25">
        <v>100751</v>
      </c>
      <c r="P372" s="304" t="str">
        <f>CONCATENATE([1]Cover!$D$6,"fdd/view?i=",O372)</f>
        <v>https://www.dgiwg.org/FAD/fdd/view?i=100751</v>
      </c>
      <c r="Q372" s="8" t="s">
        <v>6485</v>
      </c>
      <c r="R372" s="38" t="s">
        <v>151</v>
      </c>
    </row>
    <row r="373" spans="1:18" ht="38.25">
      <c r="A373" s="302" t="str">
        <f t="shared" si="6"/>
        <v>dodUniqueGravityStationCode</v>
      </c>
      <c r="B373" s="6" t="s">
        <v>6490</v>
      </c>
      <c r="C373" s="17" t="s">
        <v>6491</v>
      </c>
      <c r="D373" s="10" t="s">
        <v>6492</v>
      </c>
      <c r="E373" s="10" t="s">
        <v>6493</v>
      </c>
      <c r="F373" s="55"/>
      <c r="G373" s="12" t="s">
        <v>4643</v>
      </c>
      <c r="H373" s="74"/>
      <c r="I373" s="147" t="str">
        <f>HYPERLINK("[#]Datatypes!B444:L444","DodUniqueGravityStationCodeStrucText")</f>
        <v>DodUniqueGravityStationCodeStrucText</v>
      </c>
      <c r="J373" s="80"/>
      <c r="K373" s="77"/>
      <c r="L373" s="77"/>
      <c r="M373" s="78"/>
      <c r="N373" s="74"/>
      <c r="O373" s="25">
        <v>207832</v>
      </c>
      <c r="P373" s="304" t="str">
        <f>CONCATENATE([1]Cover!$D$6,"fdd/view?i=",O373)</f>
        <v>https://www.dgiwg.org/FAD/fdd/view?i=207832</v>
      </c>
      <c r="Q373" s="8" t="s">
        <v>6489</v>
      </c>
      <c r="R373" s="38" t="s">
        <v>1295</v>
      </c>
    </row>
    <row r="374" spans="1:18" ht="25.5">
      <c r="A374" s="302" t="str">
        <f t="shared" si="6"/>
        <v>depthCurveOrContourValue</v>
      </c>
      <c r="B374" s="6" t="s">
        <v>6496</v>
      </c>
      <c r="C374" s="17" t="s">
        <v>6497</v>
      </c>
      <c r="D374" s="10" t="s">
        <v>6498</v>
      </c>
      <c r="E374" s="55"/>
      <c r="F374" s="55"/>
      <c r="G374" s="12" t="s">
        <v>4643</v>
      </c>
      <c r="H374" s="74"/>
      <c r="I374" s="147" t="str">
        <f>HYPERLINK("[#]Datatypes!B1097:L1097","Real")</f>
        <v>Real</v>
      </c>
      <c r="J374" s="76" t="str">
        <f>HYPERLINK("[#]PhysicalQuantities!A20:N20","Length")</f>
        <v>Length</v>
      </c>
      <c r="K374" s="75" t="str">
        <f>HYPERLINK("[#]UnitsOfMeasure!D80:G80","Metre")</f>
        <v>Metre</v>
      </c>
      <c r="L374" s="77"/>
      <c r="M374" s="78"/>
      <c r="N374" s="74"/>
      <c r="O374" s="25">
        <v>100768</v>
      </c>
      <c r="P374" s="304" t="str">
        <f>CONCATENATE([1]Cover!$D$6,"fdd/view?i=",O374)</f>
        <v>https://www.dgiwg.org/FAD/fdd/view?i=100768</v>
      </c>
      <c r="Q374" s="8" t="s">
        <v>6495</v>
      </c>
      <c r="R374" s="38" t="s">
        <v>151</v>
      </c>
    </row>
    <row r="375" spans="1:18" ht="25.5">
      <c r="A375" s="302" t="str">
        <f t="shared" si="6"/>
        <v>depthExposition</v>
      </c>
      <c r="B375" s="6" t="s">
        <v>6500</v>
      </c>
      <c r="C375" s="17" t="s">
        <v>6501</v>
      </c>
      <c r="D375" s="10" t="s">
        <v>6502</v>
      </c>
      <c r="E375" s="55"/>
      <c r="F375" s="55"/>
      <c r="G375" s="12" t="s">
        <v>4643</v>
      </c>
      <c r="H375" s="74"/>
      <c r="I375" s="147" t="str">
        <f>HYPERLINK("[#]Datatypes!B446:L446","DepthExpositionCode")</f>
        <v>DepthExpositionCode</v>
      </c>
      <c r="J375" s="80"/>
      <c r="K375" s="77"/>
      <c r="L375" s="77"/>
      <c r="M375" s="71" t="str">
        <f>HYPERLINK("[#]DatatypeListedValues!A2397:H2397","&lt;values&gt;")</f>
        <v>&lt;values&gt;</v>
      </c>
      <c r="N375" s="12" t="b">
        <v>1</v>
      </c>
      <c r="O375" s="25">
        <v>100863</v>
      </c>
      <c r="P375" s="304" t="str">
        <f>CONCATENATE([1]Cover!$D$6,"fdd/view?i=",O375)</f>
        <v>https://www.dgiwg.org/FAD/fdd/view?i=100863</v>
      </c>
      <c r="Q375" s="8" t="s">
        <v>6499</v>
      </c>
      <c r="R375" s="38" t="s">
        <v>151</v>
      </c>
    </row>
    <row r="376" spans="1:18" ht="38.25">
      <c r="A376" s="302" t="str">
        <f t="shared" si="6"/>
        <v>depthRange</v>
      </c>
      <c r="B376" s="6" t="s">
        <v>6505</v>
      </c>
      <c r="C376" s="17" t="s">
        <v>6506</v>
      </c>
      <c r="D376" s="10" t="s">
        <v>6507</v>
      </c>
      <c r="E376" s="10" t="s">
        <v>6508</v>
      </c>
      <c r="F376" s="55"/>
      <c r="G376" s="12" t="s">
        <v>4643</v>
      </c>
      <c r="H376" s="74"/>
      <c r="I376" s="147" t="str">
        <f>HYPERLINK("[#]Datatypes!B1099:L1099","RealInterval")</f>
        <v>RealInterval</v>
      </c>
      <c r="J376" s="76" t="str">
        <f>HYPERLINK("[#]PhysicalQuantities!A20:N20","Length")</f>
        <v>Length</v>
      </c>
      <c r="K376" s="75" t="str">
        <f>HYPERLINK("[#]UnitsOfMeasure!D80:G80","Metre")</f>
        <v>Metre</v>
      </c>
      <c r="L376" s="77"/>
      <c r="M376" s="78"/>
      <c r="N376" s="74"/>
      <c r="O376" s="25">
        <v>109949</v>
      </c>
      <c r="P376" s="304" t="str">
        <f>CONCATENATE([1]Cover!$D$6,"fdd/view?i=",O376)</f>
        <v>https://www.dgiwg.org/FAD/fdd/view?i=109949</v>
      </c>
      <c r="Q376" s="8" t="s">
        <v>6504</v>
      </c>
      <c r="R376" s="38" t="s">
        <v>151</v>
      </c>
    </row>
    <row r="377" spans="1:18">
      <c r="A377" s="302" t="str">
        <f t="shared" si="6"/>
        <v>depthRecorderName</v>
      </c>
      <c r="B377" s="6" t="s">
        <v>6510</v>
      </c>
      <c r="C377" s="17" t="s">
        <v>6511</v>
      </c>
      <c r="D377" s="10" t="s">
        <v>6512</v>
      </c>
      <c r="E377" s="55"/>
      <c r="F377" s="55"/>
      <c r="G377" s="12" t="s">
        <v>4643</v>
      </c>
      <c r="H377" s="74"/>
      <c r="I377" s="147" t="str">
        <f>HYPERLINK("[#]Datatypes!B1414:L1414","TextLex80")</f>
        <v>TextLex80</v>
      </c>
      <c r="J377" s="80"/>
      <c r="K377" s="77"/>
      <c r="L377" s="77"/>
      <c r="M377" s="78"/>
      <c r="N377" s="74"/>
      <c r="O377" s="25">
        <v>100839</v>
      </c>
      <c r="P377" s="304" t="str">
        <f>CONCATENATE([1]Cover!$D$6,"fdd/view?i=",O377)</f>
        <v>https://www.dgiwg.org/FAD/fdd/view?i=100839</v>
      </c>
      <c r="Q377" s="8" t="s">
        <v>6509</v>
      </c>
      <c r="R377" s="38" t="s">
        <v>151</v>
      </c>
    </row>
    <row r="378" spans="1:18" ht="38.25">
      <c r="A378" s="302" t="str">
        <f t="shared" si="6"/>
        <v>derivedAerodromeLocIdent</v>
      </c>
      <c r="B378" s="6" t="s">
        <v>6515</v>
      </c>
      <c r="C378" s="17" t="s">
        <v>6516</v>
      </c>
      <c r="D378" s="10" t="s">
        <v>6517</v>
      </c>
      <c r="E378" s="55"/>
      <c r="F378" s="55"/>
      <c r="G378" s="12" t="s">
        <v>4643</v>
      </c>
      <c r="H378" s="74"/>
      <c r="I378" s="147" t="str">
        <f>HYPERLINK("[#]Datatypes!B448:L448","DerivedAerodromeLocIdentStrucText")</f>
        <v>DerivedAerodromeLocIdentStrucText</v>
      </c>
      <c r="J378" s="80"/>
      <c r="K378" s="77"/>
      <c r="L378" s="77"/>
      <c r="M378" s="78"/>
      <c r="N378" s="74"/>
      <c r="O378" s="25">
        <v>117493</v>
      </c>
      <c r="P378" s="304" t="str">
        <f>CONCATENATE([1]Cover!$D$6,"fdd/view?i=",O378)</f>
        <v>https://www.dgiwg.org/FAD/fdd/view?i=117493</v>
      </c>
      <c r="Q378" s="8" t="s">
        <v>6514</v>
      </c>
      <c r="R378" s="38" t="s">
        <v>151</v>
      </c>
    </row>
    <row r="379" spans="1:18" ht="25.5">
      <c r="A379" s="302" t="str">
        <f t="shared" si="6"/>
        <v>descOfAidsToNavigation</v>
      </c>
      <c r="B379" s="6" t="s">
        <v>6520</v>
      </c>
      <c r="C379" s="17" t="s">
        <v>6521</v>
      </c>
      <c r="D379" s="10" t="s">
        <v>6522</v>
      </c>
      <c r="E379" s="10" t="s">
        <v>6523</v>
      </c>
      <c r="F379" s="55"/>
      <c r="G379" s="12" t="s">
        <v>4643</v>
      </c>
      <c r="H379" s="74"/>
      <c r="I379" s="147" t="str">
        <f>HYPERLINK("[#]Datatypes!B1416:L1416","TextLexUnconstrained")</f>
        <v>TextLexUnconstrained</v>
      </c>
      <c r="J379" s="80"/>
      <c r="K379" s="77"/>
      <c r="L379" s="77"/>
      <c r="M379" s="78"/>
      <c r="N379" s="74"/>
      <c r="O379" s="25">
        <v>100802</v>
      </c>
      <c r="P379" s="304" t="str">
        <f>CONCATENATE([1]Cover!$D$6,"fdd/view?i=",O379)</f>
        <v>https://www.dgiwg.org/FAD/fdd/view?i=100802</v>
      </c>
      <c r="Q379" s="8" t="s">
        <v>6519</v>
      </c>
      <c r="R379" s="38" t="s">
        <v>151</v>
      </c>
    </row>
    <row r="380" spans="1:18" ht="25.5">
      <c r="A380" s="302" t="str">
        <f t="shared" si="6"/>
        <v>descOfReferencePoint</v>
      </c>
      <c r="B380" s="6" t="s">
        <v>6525</v>
      </c>
      <c r="C380" s="17" t="s">
        <v>6526</v>
      </c>
      <c r="D380" s="10" t="s">
        <v>6527</v>
      </c>
      <c r="E380" s="55"/>
      <c r="F380" s="55"/>
      <c r="G380" s="12" t="s">
        <v>4643</v>
      </c>
      <c r="H380" s="74"/>
      <c r="I380" s="147" t="str">
        <f>HYPERLINK("[#]Datatypes!B1416:L1416","TextLexUnconstrained")</f>
        <v>TextLexUnconstrained</v>
      </c>
      <c r="J380" s="80"/>
      <c r="K380" s="77"/>
      <c r="L380" s="77"/>
      <c r="M380" s="78"/>
      <c r="N380" s="74"/>
      <c r="O380" s="25">
        <v>100840</v>
      </c>
      <c r="P380" s="304" t="str">
        <f>CONCATENATE([1]Cover!$D$6,"fdd/view?i=",O380)</f>
        <v>https://www.dgiwg.org/FAD/fdd/view?i=100840</v>
      </c>
      <c r="Q380" s="8" t="s">
        <v>6524</v>
      </c>
      <c r="R380" s="38" t="s">
        <v>151</v>
      </c>
    </row>
    <row r="381" spans="1:18" ht="25.5">
      <c r="A381" s="302" t="str">
        <f t="shared" si="6"/>
        <v>designatedPointIdent</v>
      </c>
      <c r="B381" s="6" t="s">
        <v>6529</v>
      </c>
      <c r="C381" s="17" t="s">
        <v>6530</v>
      </c>
      <c r="D381" s="10" t="s">
        <v>6531</v>
      </c>
      <c r="E381" s="55"/>
      <c r="F381" s="55"/>
      <c r="G381" s="12" t="s">
        <v>4643</v>
      </c>
      <c r="H381" s="74"/>
      <c r="I381" s="147" t="str">
        <f>HYPERLINK("[#]Datatypes!B450:L450","DesignatedPointIdentStrucText")</f>
        <v>DesignatedPointIdentStrucText</v>
      </c>
      <c r="J381" s="80"/>
      <c r="K381" s="77"/>
      <c r="L381" s="77"/>
      <c r="M381" s="78"/>
      <c r="N381" s="74"/>
      <c r="O381" s="25">
        <v>117557</v>
      </c>
      <c r="P381" s="304" t="str">
        <f>CONCATENATE([1]Cover!$D$6,"fdd/view?i=",O381)</f>
        <v>https://www.dgiwg.org/FAD/fdd/view?i=117557</v>
      </c>
      <c r="Q381" s="8" t="s">
        <v>6528</v>
      </c>
      <c r="R381" s="38" t="s">
        <v>151</v>
      </c>
    </row>
    <row r="382" spans="1:18" ht="38.25">
      <c r="A382" s="302" t="str">
        <f t="shared" si="6"/>
        <v>designatedPointType</v>
      </c>
      <c r="B382" s="6" t="s">
        <v>6534</v>
      </c>
      <c r="C382" s="17" t="s">
        <v>6535</v>
      </c>
      <c r="D382" s="10" t="s">
        <v>6536</v>
      </c>
      <c r="E382" s="55"/>
      <c r="F382" s="55"/>
      <c r="G382" s="12" t="s">
        <v>4643</v>
      </c>
      <c r="H382" s="74"/>
      <c r="I382" s="147" t="str">
        <f>HYPERLINK("[#]Datatypes!B452:L452","DesignatedPointTypeCode")</f>
        <v>DesignatedPointTypeCode</v>
      </c>
      <c r="J382" s="80"/>
      <c r="K382" s="77"/>
      <c r="L382" s="77"/>
      <c r="M382" s="71" t="str">
        <f>HYPERLINK("[#]DatatypeListedValues!A2400:H2400","&lt;values&gt;")</f>
        <v>&lt;values&gt;</v>
      </c>
      <c r="N382" s="82" t="b">
        <v>0</v>
      </c>
      <c r="O382" s="25">
        <v>117558</v>
      </c>
      <c r="P382" s="304" t="str">
        <f>CONCATENATE([1]Cover!$D$6,"fdd/view?i=",O382)</f>
        <v>https://www.dgiwg.org/FAD/fdd/view?i=117558</v>
      </c>
      <c r="Q382" s="8" t="s">
        <v>6533</v>
      </c>
      <c r="R382" s="38" t="s">
        <v>151</v>
      </c>
    </row>
    <row r="383" spans="1:18" ht="76.5">
      <c r="A383" s="302" t="str">
        <f t="shared" si="6"/>
        <v>designator</v>
      </c>
      <c r="B383" s="6" t="s">
        <v>6539</v>
      </c>
      <c r="C383" s="17" t="s">
        <v>6540</v>
      </c>
      <c r="D383" s="10" t="s">
        <v>6541</v>
      </c>
      <c r="E383" s="10" t="s">
        <v>6542</v>
      </c>
      <c r="F383" s="55"/>
      <c r="G383" s="12" t="s">
        <v>4643</v>
      </c>
      <c r="H383" s="74"/>
      <c r="I383" s="147" t="str">
        <f>HYPERLINK("[#]Datatypes!B1396:L1396","Text")</f>
        <v>Text</v>
      </c>
      <c r="J383" s="80"/>
      <c r="K383" s="77"/>
      <c r="L383" s="77"/>
      <c r="M383" s="78"/>
      <c r="N383" s="74"/>
      <c r="O383" s="25">
        <v>119184</v>
      </c>
      <c r="P383" s="304" t="str">
        <f>CONCATENATE([1]Cover!$D$6,"fdd/view?i=",O383)</f>
        <v>https://www.dgiwg.org/FAD/fdd/view?i=119184</v>
      </c>
      <c r="Q383" s="8" t="s">
        <v>6538</v>
      </c>
      <c r="R383" s="38" t="s">
        <v>151</v>
      </c>
    </row>
    <row r="384" spans="1:18" ht="140.25">
      <c r="A384" s="302" t="str">
        <f t="shared" si="6"/>
        <v>diamFunctionClass</v>
      </c>
      <c r="B384" s="6" t="s">
        <v>6545</v>
      </c>
      <c r="C384" s="17" t="s">
        <v>6546</v>
      </c>
      <c r="D384" s="10" t="s">
        <v>6547</v>
      </c>
      <c r="E384" s="10" t="s">
        <v>6548</v>
      </c>
      <c r="F384" s="55"/>
      <c r="G384" s="12" t="s">
        <v>4643</v>
      </c>
      <c r="H384" s="74"/>
      <c r="I384" s="147" t="str">
        <f>HYPERLINK("[#]Datatypes!B454:L454","DiamFunctionClassStrucText")</f>
        <v>DiamFunctionClassStrucText</v>
      </c>
      <c r="J384" s="80"/>
      <c r="K384" s="77"/>
      <c r="L384" s="77"/>
      <c r="M384" s="78"/>
      <c r="N384" s="74"/>
      <c r="O384" s="25">
        <v>200217</v>
      </c>
      <c r="P384" s="304" t="str">
        <f>CONCATENATE([1]Cover!$D$6,"fdd/view?i=",O384)</f>
        <v>https://www.dgiwg.org/FAD/fdd/view?i=200217</v>
      </c>
      <c r="Q384" s="8" t="s">
        <v>6544</v>
      </c>
      <c r="R384" s="38" t="s">
        <v>1295</v>
      </c>
    </row>
    <row r="385" spans="1:18" ht="25.5">
      <c r="A385" s="302" t="str">
        <f t="shared" si="6"/>
        <v>diameter</v>
      </c>
      <c r="B385" s="6" t="s">
        <v>6551</v>
      </c>
      <c r="C385" s="17" t="s">
        <v>6552</v>
      </c>
      <c r="D385" s="10" t="s">
        <v>6553</v>
      </c>
      <c r="E385" s="55"/>
      <c r="F385" s="55"/>
      <c r="G385" s="12" t="s">
        <v>4643</v>
      </c>
      <c r="H385" s="74"/>
      <c r="I385" s="147" t="str">
        <f>HYPERLINK("[#]Datatypes!B1099:L1099","RealInterval")</f>
        <v>RealInterval</v>
      </c>
      <c r="J385" s="76" t="str">
        <f>HYPERLINK("[#]PhysicalQuantities!A20:N20","Length")</f>
        <v>Length</v>
      </c>
      <c r="K385" s="75" t="str">
        <f>HYPERLINK("[#]UnitsOfMeasure!D80:G80","Metre")</f>
        <v>Metre</v>
      </c>
      <c r="L385" s="77"/>
      <c r="M385" s="78"/>
      <c r="N385" s="74"/>
      <c r="O385" s="25">
        <v>118137</v>
      </c>
      <c r="P385" s="304" t="str">
        <f>CONCATENATE([1]Cover!$D$6,"fdd/view?i=",O385)</f>
        <v>https://www.dgiwg.org/FAD/fdd/view?i=118137</v>
      </c>
      <c r="Q385" s="8" t="s">
        <v>6550</v>
      </c>
      <c r="R385" s="38" t="s">
        <v>151</v>
      </c>
    </row>
    <row r="386" spans="1:18" ht="25.5">
      <c r="A386" s="302" t="str">
        <f t="shared" si="6"/>
        <v>directionBasis</v>
      </c>
      <c r="B386" s="6" t="s">
        <v>6555</v>
      </c>
      <c r="C386" s="17" t="s">
        <v>6556</v>
      </c>
      <c r="D386" s="10" t="s">
        <v>6557</v>
      </c>
      <c r="E386" s="10" t="s">
        <v>6558</v>
      </c>
      <c r="F386" s="55"/>
      <c r="G386" s="12" t="s">
        <v>4643</v>
      </c>
      <c r="H386" s="74"/>
      <c r="I386" s="147" t="str">
        <f>HYPERLINK("[#]Datatypes!B456:L456","DirectionBasisCode")</f>
        <v>DirectionBasisCode</v>
      </c>
      <c r="J386" s="80"/>
      <c r="K386" s="77"/>
      <c r="L386" s="77"/>
      <c r="M386" s="71" t="str">
        <f>HYPERLINK("[#]DatatypeListedValues!A2403:H2403","&lt;values&gt;")</f>
        <v>&lt;values&gt;</v>
      </c>
      <c r="N386" s="82" t="b">
        <v>0</v>
      </c>
      <c r="O386" s="25">
        <v>207147</v>
      </c>
      <c r="P386" s="304" t="str">
        <f>CONCATENATE([1]Cover!$D$6,"fdd/view?i=",O386)</f>
        <v>https://www.dgiwg.org/FAD/fdd/view?i=207147</v>
      </c>
      <c r="Q386" s="8" t="s">
        <v>6554</v>
      </c>
      <c r="R386" s="38" t="s">
        <v>1295</v>
      </c>
    </row>
    <row r="387" spans="1:18">
      <c r="A387" s="302" t="str">
        <f t="shared" si="6"/>
        <v>directionOfFlow</v>
      </c>
      <c r="B387" s="6" t="s">
        <v>6561</v>
      </c>
      <c r="C387" s="17" t="s">
        <v>6562</v>
      </c>
      <c r="D387" s="10" t="s">
        <v>6563</v>
      </c>
      <c r="E387" s="55"/>
      <c r="F387" s="55"/>
      <c r="G387" s="12" t="s">
        <v>4643</v>
      </c>
      <c r="H387" s="74"/>
      <c r="I387" s="147" t="str">
        <f>HYPERLINK("[#]Datatypes!B1115:L1115","RealNonNegInterval360")</f>
        <v>RealNonNegInterval360</v>
      </c>
      <c r="J387" s="76" t="str">
        <f>HYPERLINK("[#]PhysicalQuantities!A34:N34","Plane Angle")</f>
        <v>Plane Angle</v>
      </c>
      <c r="K387" s="75" t="str">
        <f>HYPERLINK("[#]UnitsOfMeasure!D159:G159","Arc Degree")</f>
        <v>Arc Degree</v>
      </c>
      <c r="L387" s="77"/>
      <c r="M387" s="78"/>
      <c r="N387" s="74"/>
      <c r="O387" s="25">
        <v>110697</v>
      </c>
      <c r="P387" s="304" t="str">
        <f>CONCATENATE([1]Cover!$D$6,"fdd/view?i=",O387)</f>
        <v>https://www.dgiwg.org/FAD/fdd/view?i=110697</v>
      </c>
      <c r="Q387" s="8" t="s">
        <v>6560</v>
      </c>
      <c r="R387" s="38" t="s">
        <v>151</v>
      </c>
    </row>
    <row r="388" spans="1:18">
      <c r="A388" s="302" t="str">
        <f t="shared" ref="A388:A451" si="7">HYPERLINK(P388,B388)</f>
        <v>directionOfTraffic1</v>
      </c>
      <c r="B388" s="6" t="s">
        <v>6566</v>
      </c>
      <c r="C388" s="17" t="s">
        <v>6567</v>
      </c>
      <c r="D388" s="10" t="s">
        <v>6568</v>
      </c>
      <c r="E388" s="55"/>
      <c r="F388" s="55"/>
      <c r="G388" s="12" t="s">
        <v>4643</v>
      </c>
      <c r="H388" s="74"/>
      <c r="I388" s="147" t="str">
        <f>HYPERLINK("[#]Datatypes!B724:L724","Integer0to359")</f>
        <v>Integer0to359</v>
      </c>
      <c r="J388" s="76" t="str">
        <f>HYPERLINK("[#]PhysicalQuantities!A34:N34","Plane Angle")</f>
        <v>Plane Angle</v>
      </c>
      <c r="K388" s="75" t="str">
        <f>HYPERLINK("[#]UnitsOfMeasure!D159:G159","Arc Degree")</f>
        <v>Arc Degree</v>
      </c>
      <c r="L388" s="77"/>
      <c r="M388" s="78"/>
      <c r="N388" s="74"/>
      <c r="O388" s="25">
        <v>100808</v>
      </c>
      <c r="P388" s="304" t="str">
        <f>CONCATENATE([1]Cover!$D$6,"fdd/view?i=",O388)</f>
        <v>https://www.dgiwg.org/FAD/fdd/view?i=100808</v>
      </c>
      <c r="Q388" s="8" t="s">
        <v>6565</v>
      </c>
      <c r="R388" s="38" t="s">
        <v>151</v>
      </c>
    </row>
    <row r="389" spans="1:18">
      <c r="A389" s="302" t="str">
        <f t="shared" si="7"/>
        <v>directionOfTraffic2</v>
      </c>
      <c r="B389" s="6" t="s">
        <v>6571</v>
      </c>
      <c r="C389" s="17" t="s">
        <v>6572</v>
      </c>
      <c r="D389" s="10" t="s">
        <v>6573</v>
      </c>
      <c r="E389" s="55"/>
      <c r="F389" s="55"/>
      <c r="G389" s="12" t="s">
        <v>4643</v>
      </c>
      <c r="H389" s="74"/>
      <c r="I389" s="147" t="str">
        <f>HYPERLINK("[#]Datatypes!B724:L724","Integer0to359")</f>
        <v>Integer0to359</v>
      </c>
      <c r="J389" s="76" t="str">
        <f>HYPERLINK("[#]PhysicalQuantities!A34:N34","Plane Angle")</f>
        <v>Plane Angle</v>
      </c>
      <c r="K389" s="75" t="str">
        <f>HYPERLINK("[#]UnitsOfMeasure!D159:G159","Arc Degree")</f>
        <v>Arc Degree</v>
      </c>
      <c r="L389" s="77"/>
      <c r="M389" s="78"/>
      <c r="N389" s="74"/>
      <c r="O389" s="25">
        <v>100809</v>
      </c>
      <c r="P389" s="304" t="str">
        <f>CONCATENATE([1]Cover!$D$6,"fdd/view?i=",O389)</f>
        <v>https://www.dgiwg.org/FAD/fdd/view?i=100809</v>
      </c>
      <c r="Q389" s="8" t="s">
        <v>6570</v>
      </c>
      <c r="R389" s="38" t="s">
        <v>151</v>
      </c>
    </row>
    <row r="390" spans="1:18">
      <c r="A390" s="302" t="str">
        <f t="shared" si="7"/>
        <v>directionOfTraffic3</v>
      </c>
      <c r="B390" s="6" t="s">
        <v>6575</v>
      </c>
      <c r="C390" s="17" t="s">
        <v>6576</v>
      </c>
      <c r="D390" s="10" t="s">
        <v>6577</v>
      </c>
      <c r="E390" s="55"/>
      <c r="F390" s="55"/>
      <c r="G390" s="12" t="s">
        <v>4643</v>
      </c>
      <c r="H390" s="74"/>
      <c r="I390" s="147" t="str">
        <f>HYPERLINK("[#]Datatypes!B724:L724","Integer0to359")</f>
        <v>Integer0to359</v>
      </c>
      <c r="J390" s="76" t="str">
        <f>HYPERLINK("[#]PhysicalQuantities!A34:N34","Plane Angle")</f>
        <v>Plane Angle</v>
      </c>
      <c r="K390" s="75" t="str">
        <f>HYPERLINK("[#]UnitsOfMeasure!D159:G159","Arc Degree")</f>
        <v>Arc Degree</v>
      </c>
      <c r="L390" s="77"/>
      <c r="M390" s="78"/>
      <c r="N390" s="74"/>
      <c r="O390" s="25">
        <v>100810</v>
      </c>
      <c r="P390" s="304" t="str">
        <f>CONCATENATE([1]Cover!$D$6,"fdd/view?i=",O390)</f>
        <v>https://www.dgiwg.org/FAD/fdd/view?i=100810</v>
      </c>
      <c r="Q390" s="8" t="s">
        <v>6574</v>
      </c>
      <c r="R390" s="38" t="s">
        <v>151</v>
      </c>
    </row>
    <row r="391" spans="1:18">
      <c r="A391" s="302" t="str">
        <f t="shared" si="7"/>
        <v>directionOfTraffic4</v>
      </c>
      <c r="B391" s="6" t="s">
        <v>6579</v>
      </c>
      <c r="C391" s="17" t="s">
        <v>6580</v>
      </c>
      <c r="D391" s="10" t="s">
        <v>6581</v>
      </c>
      <c r="E391" s="55"/>
      <c r="F391" s="55"/>
      <c r="G391" s="12" t="s">
        <v>4643</v>
      </c>
      <c r="H391" s="74"/>
      <c r="I391" s="147" t="str">
        <f>HYPERLINK("[#]Datatypes!B724:L724","Integer0to359")</f>
        <v>Integer0to359</v>
      </c>
      <c r="J391" s="76" t="str">
        <f>HYPERLINK("[#]PhysicalQuantities!A34:N34","Plane Angle")</f>
        <v>Plane Angle</v>
      </c>
      <c r="K391" s="75" t="str">
        <f>HYPERLINK("[#]UnitsOfMeasure!D159:G159","Arc Degree")</f>
        <v>Arc Degree</v>
      </c>
      <c r="L391" s="77"/>
      <c r="M391" s="78"/>
      <c r="N391" s="74"/>
      <c r="O391" s="25">
        <v>100811</v>
      </c>
      <c r="P391" s="304" t="str">
        <f>CONCATENATE([1]Cover!$D$6,"fdd/view?i=",O391)</f>
        <v>https://www.dgiwg.org/FAD/fdd/view?i=100811</v>
      </c>
      <c r="Q391" s="8" t="s">
        <v>6578</v>
      </c>
      <c r="R391" s="38" t="s">
        <v>151</v>
      </c>
    </row>
    <row r="392" spans="1:18" ht="25.5">
      <c r="A392" s="302" t="str">
        <f t="shared" si="7"/>
        <v>directivity</v>
      </c>
      <c r="B392" s="6" t="s">
        <v>6583</v>
      </c>
      <c r="C392" s="17" t="s">
        <v>6584</v>
      </c>
      <c r="D392" s="10" t="s">
        <v>6585</v>
      </c>
      <c r="E392" s="55"/>
      <c r="F392" s="55"/>
      <c r="G392" s="12" t="s">
        <v>4643</v>
      </c>
      <c r="H392" s="74"/>
      <c r="I392" s="147" t="str">
        <f>HYPERLINK("[#]Datatypes!B458:L458","DirectivityCode")</f>
        <v>DirectivityCode</v>
      </c>
      <c r="J392" s="80"/>
      <c r="K392" s="77"/>
      <c r="L392" s="77"/>
      <c r="M392" s="71" t="str">
        <f>HYPERLINK("[#]DatatypeListedValues!A2409:H2409","&lt;values&gt;")</f>
        <v>&lt;values&gt;</v>
      </c>
      <c r="N392" s="12" t="b">
        <v>1</v>
      </c>
      <c r="O392" s="25">
        <v>100816</v>
      </c>
      <c r="P392" s="304" t="str">
        <f>CONCATENATE([1]Cover!$D$6,"fdd/view?i=",O392)</f>
        <v>https://www.dgiwg.org/FAD/fdd/view?i=100816</v>
      </c>
      <c r="Q392" s="8" t="s">
        <v>6582</v>
      </c>
      <c r="R392" s="38" t="s">
        <v>151</v>
      </c>
    </row>
    <row r="393" spans="1:18" ht="25.5">
      <c r="A393" s="302" t="str">
        <f t="shared" si="7"/>
        <v>displacedThresholdLength</v>
      </c>
      <c r="B393" s="6" t="s">
        <v>6588</v>
      </c>
      <c r="C393" s="17" t="s">
        <v>6589</v>
      </c>
      <c r="D393" s="10" t="s">
        <v>6590</v>
      </c>
      <c r="E393" s="55"/>
      <c r="F393" s="55"/>
      <c r="G393" s="12" t="s">
        <v>4643</v>
      </c>
      <c r="H393" s="74"/>
      <c r="I393" s="147" t="str">
        <f>HYPERLINK("[#]Datatypes!B1097:L1097","Real")</f>
        <v>Real</v>
      </c>
      <c r="J393" s="76" t="str">
        <f>HYPERLINK("[#]PhysicalQuantities!A20:N20","Length")</f>
        <v>Length</v>
      </c>
      <c r="K393" s="75" t="str">
        <f>HYPERLINK("[#]UnitsOfMeasure!D80:G80","Metre")</f>
        <v>Metre</v>
      </c>
      <c r="L393" s="77"/>
      <c r="M393" s="78"/>
      <c r="N393" s="74"/>
      <c r="O393" s="25">
        <v>117562</v>
      </c>
      <c r="P393" s="304" t="str">
        <f>CONCATENATE([1]Cover!$D$6,"fdd/view?i=",O393)</f>
        <v>https://www.dgiwg.org/FAD/fdd/view?i=117562</v>
      </c>
      <c r="Q393" s="8" t="s">
        <v>6587</v>
      </c>
      <c r="R393" s="38" t="s">
        <v>151</v>
      </c>
    </row>
    <row r="394" spans="1:18" ht="25.5">
      <c r="A394" s="302" t="str">
        <f t="shared" si="7"/>
        <v>displaySignType</v>
      </c>
      <c r="B394" s="6" t="s">
        <v>6592</v>
      </c>
      <c r="C394" s="17" t="s">
        <v>6593</v>
      </c>
      <c r="D394" s="10" t="s">
        <v>6594</v>
      </c>
      <c r="E394" s="55"/>
      <c r="F394" s="55"/>
      <c r="G394" s="12" t="s">
        <v>4643</v>
      </c>
      <c r="H394" s="74"/>
      <c r="I394" s="147" t="str">
        <f>HYPERLINK("[#]Datatypes!B460:L460","DisplaySignTypeCode")</f>
        <v>DisplaySignTypeCode</v>
      </c>
      <c r="J394" s="80"/>
      <c r="K394" s="77"/>
      <c r="L394" s="77"/>
      <c r="M394" s="71" t="str">
        <f>HYPERLINK("[#]DatatypeListedValues!A2414:H2414","&lt;values&gt;")</f>
        <v>&lt;values&gt;</v>
      </c>
      <c r="N394" s="82" t="b">
        <v>0</v>
      </c>
      <c r="O394" s="25">
        <v>204139</v>
      </c>
      <c r="P394" s="304" t="str">
        <f>CONCATENATE([1]Cover!$D$6,"fdd/view?i=",O394)</f>
        <v>https://www.dgiwg.org/FAD/fdd/view?i=204139</v>
      </c>
      <c r="Q394" s="8" t="s">
        <v>6591</v>
      </c>
      <c r="R394" s="38" t="s">
        <v>1295</v>
      </c>
    </row>
    <row r="395" spans="1:18" ht="38.25">
      <c r="A395" s="302" t="str">
        <f t="shared" si="7"/>
        <v>dissectedTerrain</v>
      </c>
      <c r="B395" s="6" t="s">
        <v>6597</v>
      </c>
      <c r="C395" s="17" t="s">
        <v>6598</v>
      </c>
      <c r="D395" s="10" t="s">
        <v>6599</v>
      </c>
      <c r="E395" s="10" t="s">
        <v>6600</v>
      </c>
      <c r="F395" s="55"/>
      <c r="G395" s="12" t="s">
        <v>4643</v>
      </c>
      <c r="H395" s="74"/>
      <c r="I395" s="147" t="str">
        <f>HYPERLINK("[#]Datatypes!B230:L230","Boolean")</f>
        <v>Boolean</v>
      </c>
      <c r="J395" s="80"/>
      <c r="K395" s="77"/>
      <c r="L395" s="77"/>
      <c r="M395" s="78"/>
      <c r="N395" s="74"/>
      <c r="O395" s="25">
        <v>109947</v>
      </c>
      <c r="P395" s="304" t="str">
        <f>CONCATENATE([1]Cover!$D$6,"fdd/view?i=",O395)</f>
        <v>https://www.dgiwg.org/FAD/fdd/view?i=109947</v>
      </c>
      <c r="Q395" s="8" t="s">
        <v>6596</v>
      </c>
      <c r="R395" s="38" t="s">
        <v>151</v>
      </c>
    </row>
    <row r="396" spans="1:18" ht="25.5">
      <c r="A396" s="302" t="str">
        <f t="shared" si="7"/>
        <v>dmeAntennaElevation</v>
      </c>
      <c r="B396" s="6" t="s">
        <v>6602</v>
      </c>
      <c r="C396" s="17" t="s">
        <v>6603</v>
      </c>
      <c r="D396" s="10" t="s">
        <v>6604</v>
      </c>
      <c r="E396" s="55"/>
      <c r="F396" s="55"/>
      <c r="G396" s="12" t="s">
        <v>4643</v>
      </c>
      <c r="H396" s="74"/>
      <c r="I396" s="147" t="str">
        <f>HYPERLINK("[#]Datatypes!B1097:L1097","Real")</f>
        <v>Real</v>
      </c>
      <c r="J396" s="76" t="str">
        <f>HYPERLINK("[#]PhysicalQuantities!A20:N20","Length")</f>
        <v>Length</v>
      </c>
      <c r="K396" s="75" t="str">
        <f>HYPERLINK("[#]UnitsOfMeasure!D80:G80","Metre")</f>
        <v>Metre</v>
      </c>
      <c r="L396" s="77"/>
      <c r="M396" s="78"/>
      <c r="N396" s="74"/>
      <c r="O396" s="25">
        <v>117548</v>
      </c>
      <c r="P396" s="304" t="str">
        <f>CONCATENATE([1]Cover!$D$6,"fdd/view?i=",O396)</f>
        <v>https://www.dgiwg.org/FAD/fdd/view?i=117548</v>
      </c>
      <c r="Q396" s="8" t="s">
        <v>6601</v>
      </c>
      <c r="R396" s="38" t="s">
        <v>151</v>
      </c>
    </row>
    <row r="397" spans="1:18" ht="38.25">
      <c r="A397" s="302" t="str">
        <f t="shared" si="7"/>
        <v>dmeChannel</v>
      </c>
      <c r="B397" s="6" t="s">
        <v>6606</v>
      </c>
      <c r="C397" s="17" t="s">
        <v>6607</v>
      </c>
      <c r="D397" s="10" t="s">
        <v>6608</v>
      </c>
      <c r="E397" s="10" t="s">
        <v>6609</v>
      </c>
      <c r="F397" s="55"/>
      <c r="G397" s="12" t="s">
        <v>4643</v>
      </c>
      <c r="H397" s="74"/>
      <c r="I397" s="147" t="str">
        <f>HYPERLINK("[#]Datatypes!B462:L462","DmeChannelCode")</f>
        <v>DmeChannelCode</v>
      </c>
      <c r="J397" s="80"/>
      <c r="K397" s="77"/>
      <c r="L397" s="77"/>
      <c r="M397" s="71" t="str">
        <f>HYPERLINK("[#]DatatypeListedValues!A2416:H2416","&lt;values&gt;")</f>
        <v>&lt;values&gt;</v>
      </c>
      <c r="N397" s="12" t="b">
        <v>1</v>
      </c>
      <c r="O397" s="25">
        <v>117561</v>
      </c>
      <c r="P397" s="304" t="str">
        <f>CONCATENATE([1]Cover!$D$6,"fdd/view?i=",O397)</f>
        <v>https://www.dgiwg.org/FAD/fdd/view?i=117561</v>
      </c>
      <c r="Q397" s="8" t="s">
        <v>6605</v>
      </c>
      <c r="R397" s="38" t="s">
        <v>151</v>
      </c>
    </row>
    <row r="398" spans="1:18" ht="25.5">
      <c r="A398" s="302" t="str">
        <f t="shared" si="7"/>
        <v>dmeDisplacement</v>
      </c>
      <c r="B398" s="6" t="s">
        <v>6612</v>
      </c>
      <c r="C398" s="17" t="s">
        <v>6613</v>
      </c>
      <c r="D398" s="10" t="s">
        <v>6614</v>
      </c>
      <c r="E398" s="55"/>
      <c r="F398" s="55"/>
      <c r="G398" s="12" t="s">
        <v>4643</v>
      </c>
      <c r="H398" s="74"/>
      <c r="I398" s="147" t="str">
        <f>HYPERLINK("[#]Datatypes!B1097:L1097","Real")</f>
        <v>Real</v>
      </c>
      <c r="J398" s="76" t="str">
        <f>HYPERLINK("[#]PhysicalQuantities!A20:N20","Length")</f>
        <v>Length</v>
      </c>
      <c r="K398" s="75" t="str">
        <f>HYPERLINK("[#]UnitsOfMeasure!D80:G80","Metre")</f>
        <v>Metre</v>
      </c>
      <c r="L398" s="77"/>
      <c r="M398" s="78"/>
      <c r="N398" s="74"/>
      <c r="O398" s="25">
        <v>117555</v>
      </c>
      <c r="P398" s="304" t="str">
        <f>CONCATENATE([1]Cover!$D$6,"fdd/view?i=",O398)</f>
        <v>https://www.dgiwg.org/FAD/fdd/view?i=117555</v>
      </c>
      <c r="Q398" s="8" t="s">
        <v>6611</v>
      </c>
      <c r="R398" s="38" t="s">
        <v>151</v>
      </c>
    </row>
    <row r="399" spans="1:18" ht="38.25">
      <c r="A399" s="302" t="str">
        <f t="shared" si="7"/>
        <v>dmeType</v>
      </c>
      <c r="B399" s="6" t="s">
        <v>6616</v>
      </c>
      <c r="C399" s="17" t="s">
        <v>6617</v>
      </c>
      <c r="D399" s="10" t="s">
        <v>6618</v>
      </c>
      <c r="E399" s="10" t="s">
        <v>6619</v>
      </c>
      <c r="F399" s="55"/>
      <c r="G399" s="12" t="s">
        <v>4643</v>
      </c>
      <c r="H399" s="74"/>
      <c r="I399" s="147" t="str">
        <f>HYPERLINK("[#]Datatypes!B464:L464","DmeTypeCode")</f>
        <v>DmeTypeCode</v>
      </c>
      <c r="J399" s="80"/>
      <c r="K399" s="77"/>
      <c r="L399" s="77"/>
      <c r="M399" s="71" t="str">
        <f>HYPERLINK("[#]DatatypeListedValues!A2768:H2768","&lt;values&gt;")</f>
        <v>&lt;values&gt;</v>
      </c>
      <c r="N399" s="82" t="b">
        <v>0</v>
      </c>
      <c r="O399" s="25">
        <v>117556</v>
      </c>
      <c r="P399" s="304" t="str">
        <f>CONCATENATE([1]Cover!$D$6,"fdd/view?i=",O399)</f>
        <v>https://www.dgiwg.org/FAD/fdd/view?i=117556</v>
      </c>
      <c r="Q399" s="8" t="s">
        <v>6615</v>
      </c>
      <c r="R399" s="38" t="s">
        <v>151</v>
      </c>
    </row>
    <row r="400" spans="1:18">
      <c r="A400" s="302" t="str">
        <f t="shared" si="7"/>
        <v>ditchFunction</v>
      </c>
      <c r="B400" s="6" t="s">
        <v>6622</v>
      </c>
      <c r="C400" s="17" t="s">
        <v>6623</v>
      </c>
      <c r="D400" s="10" t="s">
        <v>6624</v>
      </c>
      <c r="E400" s="55"/>
      <c r="F400" s="55"/>
      <c r="G400" s="12" t="s">
        <v>4643</v>
      </c>
      <c r="H400" s="74"/>
      <c r="I400" s="147" t="str">
        <f>HYPERLINK("[#]Datatypes!B466:L466","DitchFunctionCode")</f>
        <v>DitchFunctionCode</v>
      </c>
      <c r="J400" s="80"/>
      <c r="K400" s="77"/>
      <c r="L400" s="77"/>
      <c r="M400" s="71" t="str">
        <f>HYPERLINK("[#]DatatypeListedValues!A2771:H2771","&lt;values&gt;")</f>
        <v>&lt;values&gt;</v>
      </c>
      <c r="N400" s="82" t="b">
        <v>0</v>
      </c>
      <c r="O400" s="25">
        <v>111520</v>
      </c>
      <c r="P400" s="304" t="str">
        <f>CONCATENATE([1]Cover!$D$6,"fdd/view?i=",O400)</f>
        <v>https://www.dgiwg.org/FAD/fdd/view?i=111520</v>
      </c>
      <c r="Q400" s="8" t="s">
        <v>6621</v>
      </c>
      <c r="R400" s="38" t="s">
        <v>151</v>
      </c>
    </row>
    <row r="401" spans="1:18" ht="76.5">
      <c r="A401" s="302" t="str">
        <f t="shared" si="7"/>
        <v>divided</v>
      </c>
      <c r="B401" s="6" t="s">
        <v>6627</v>
      </c>
      <c r="C401" s="17" t="s">
        <v>6628</v>
      </c>
      <c r="D401" s="10" t="s">
        <v>6629</v>
      </c>
      <c r="E401" s="10" t="s">
        <v>6630</v>
      </c>
      <c r="F401" s="55"/>
      <c r="G401" s="12" t="s">
        <v>4643</v>
      </c>
      <c r="H401" s="74"/>
      <c r="I401" s="147" t="str">
        <f>HYPERLINK("[#]Datatypes!B230:L230","Boolean")</f>
        <v>Boolean</v>
      </c>
      <c r="J401" s="80"/>
      <c r="K401" s="77"/>
      <c r="L401" s="77"/>
      <c r="M401" s="78"/>
      <c r="N401" s="74"/>
      <c r="O401" s="25">
        <v>101284</v>
      </c>
      <c r="P401" s="304" t="str">
        <f>CONCATENATE([1]Cover!$D$6,"fdd/view?i=",O401)</f>
        <v>https://www.dgiwg.org/FAD/fdd/view?i=101284</v>
      </c>
      <c r="Q401" s="8" t="s">
        <v>6626</v>
      </c>
      <c r="R401" s="38" t="s">
        <v>151</v>
      </c>
    </row>
    <row r="402" spans="1:18" ht="25.5">
      <c r="A402" s="302" t="str">
        <f t="shared" si="7"/>
        <v>dockType</v>
      </c>
      <c r="B402" s="6" t="s">
        <v>6632</v>
      </c>
      <c r="C402" s="17" t="s">
        <v>6633</v>
      </c>
      <c r="D402" s="10" t="s">
        <v>6634</v>
      </c>
      <c r="E402" s="55"/>
      <c r="F402" s="55"/>
      <c r="G402" s="12" t="s">
        <v>4643</v>
      </c>
      <c r="H402" s="74"/>
      <c r="I402" s="147" t="str">
        <f>HYPERLINK("[#]Datatypes!B468:L468","DockTypeCode")</f>
        <v>DockTypeCode</v>
      </c>
      <c r="J402" s="80"/>
      <c r="K402" s="77"/>
      <c r="L402" s="77"/>
      <c r="M402" s="71" t="str">
        <f>HYPERLINK("[#]DatatypeListedValues!A2774:H2774","&lt;values&gt;")</f>
        <v>&lt;values&gt;</v>
      </c>
      <c r="N402" s="82" t="b">
        <v>0</v>
      </c>
      <c r="O402" s="25">
        <v>110907</v>
      </c>
      <c r="P402" s="304" t="str">
        <f>CONCATENATE([1]Cover!$D$6,"fdd/view?i=",O402)</f>
        <v>https://www.dgiwg.org/FAD/fdd/view?i=110907</v>
      </c>
      <c r="Q402" s="8" t="s">
        <v>6631</v>
      </c>
      <c r="R402" s="38" t="s">
        <v>151</v>
      </c>
    </row>
    <row r="403" spans="1:18">
      <c r="A403" s="302" t="str">
        <f t="shared" si="7"/>
        <v>doorStructure</v>
      </c>
      <c r="B403" s="6" t="s">
        <v>6637</v>
      </c>
      <c r="C403" s="17" t="s">
        <v>6638</v>
      </c>
      <c r="D403" s="10" t="s">
        <v>6639</v>
      </c>
      <c r="E403" s="55"/>
      <c r="F403" s="55"/>
      <c r="G403" s="12" t="s">
        <v>4643</v>
      </c>
      <c r="H403" s="74"/>
      <c r="I403" s="147" t="str">
        <f>HYPERLINK("[#]Datatypes!B470:L470","DoorStructureCode")</f>
        <v>DoorStructureCode</v>
      </c>
      <c r="J403" s="80"/>
      <c r="K403" s="77"/>
      <c r="L403" s="77"/>
      <c r="M403" s="71" t="str">
        <f>HYPERLINK("[#]DatatypeListedValues!A2776:H2776","&lt;values&gt;")</f>
        <v>&lt;values&gt;</v>
      </c>
      <c r="N403" s="82" t="b">
        <v>0</v>
      </c>
      <c r="O403" s="25">
        <v>119647</v>
      </c>
      <c r="P403" s="304" t="str">
        <f>CONCATENATE([1]Cover!$D$6,"fdd/view?i=",O403)</f>
        <v>https://www.dgiwg.org/FAD/fdd/view?i=119647</v>
      </c>
      <c r="Q403" s="8" t="s">
        <v>6636</v>
      </c>
      <c r="R403" s="38" t="s">
        <v>151</v>
      </c>
    </row>
    <row r="404" spans="1:18" ht="51">
      <c r="A404" s="302" t="str">
        <f t="shared" si="7"/>
        <v>doorThickness</v>
      </c>
      <c r="B404" s="6" t="s">
        <v>6642</v>
      </c>
      <c r="C404" s="17" t="s">
        <v>6643</v>
      </c>
      <c r="D404" s="10" t="s">
        <v>6644</v>
      </c>
      <c r="E404" s="10" t="s">
        <v>6645</v>
      </c>
      <c r="F404" s="55"/>
      <c r="G404" s="12" t="s">
        <v>4643</v>
      </c>
      <c r="H404" s="74"/>
      <c r="I404" s="147" t="str">
        <f>HYPERLINK("[#]Datatypes!B1097:L1097","Real")</f>
        <v>Real</v>
      </c>
      <c r="J404" s="76" t="str">
        <f>HYPERLINK("[#]PhysicalQuantities!A20:N20","Length")</f>
        <v>Length</v>
      </c>
      <c r="K404" s="75" t="str">
        <f>HYPERLINK("[#]UnitsOfMeasure!D80:G80","Metre")</f>
        <v>Metre</v>
      </c>
      <c r="L404" s="77"/>
      <c r="M404" s="78"/>
      <c r="N404" s="74"/>
      <c r="O404" s="25">
        <v>119618</v>
      </c>
      <c r="P404" s="304" t="str">
        <f>CONCATENATE([1]Cover!$D$6,"fdd/view?i=",O404)</f>
        <v>https://www.dgiwg.org/FAD/fdd/view?i=119618</v>
      </c>
      <c r="Q404" s="8" t="s">
        <v>6641</v>
      </c>
      <c r="R404" s="38" t="s">
        <v>151</v>
      </c>
    </row>
    <row r="405" spans="1:18" ht="38.25">
      <c r="A405" s="302" t="str">
        <f t="shared" si="7"/>
        <v>draftDimension</v>
      </c>
      <c r="B405" s="6" t="s">
        <v>6647</v>
      </c>
      <c r="C405" s="17" t="s">
        <v>6648</v>
      </c>
      <c r="D405" s="10" t="s">
        <v>6649</v>
      </c>
      <c r="E405" s="10" t="s">
        <v>6650</v>
      </c>
      <c r="F405" s="55"/>
      <c r="G405" s="12" t="s">
        <v>4643</v>
      </c>
      <c r="H405" s="74"/>
      <c r="I405" s="147" t="str">
        <f>HYPERLINK("[#]Datatypes!B1097:L1097","Real")</f>
        <v>Real</v>
      </c>
      <c r="J405" s="76" t="str">
        <f>HYPERLINK("[#]PhysicalQuantities!A20:N20","Length")</f>
        <v>Length</v>
      </c>
      <c r="K405" s="75" t="str">
        <f>HYPERLINK("[#]UnitsOfMeasure!D80:G80","Metre")</f>
        <v>Metre</v>
      </c>
      <c r="L405" s="77"/>
      <c r="M405" s="78"/>
      <c r="N405" s="74"/>
      <c r="O405" s="25">
        <v>110884</v>
      </c>
      <c r="P405" s="304" t="str">
        <f>CONCATENATE([1]Cover!$D$6,"fdd/view?i=",O405)</f>
        <v>https://www.dgiwg.org/FAD/fdd/view?i=110884</v>
      </c>
      <c r="Q405" s="8" t="s">
        <v>6646</v>
      </c>
      <c r="R405" s="38" t="s">
        <v>151</v>
      </c>
    </row>
    <row r="406" spans="1:18" ht="25.5">
      <c r="A406" s="302" t="str">
        <f t="shared" si="7"/>
        <v>dredged</v>
      </c>
      <c r="B406" s="6" t="s">
        <v>6652</v>
      </c>
      <c r="C406" s="17" t="s">
        <v>6653</v>
      </c>
      <c r="D406" s="10" t="s">
        <v>6654</v>
      </c>
      <c r="E406" s="55"/>
      <c r="F406" s="55"/>
      <c r="G406" s="12" t="s">
        <v>4643</v>
      </c>
      <c r="H406" s="74"/>
      <c r="I406" s="147" t="str">
        <f>HYPERLINK("[#]Datatypes!B230:L230","Boolean")</f>
        <v>Boolean</v>
      </c>
      <c r="J406" s="80"/>
      <c r="K406" s="77"/>
      <c r="L406" s="77"/>
      <c r="M406" s="78"/>
      <c r="N406" s="74"/>
      <c r="O406" s="25">
        <v>110765</v>
      </c>
      <c r="P406" s="304" t="str">
        <f>CONCATENATE([1]Cover!$D$6,"fdd/view?i=",O406)</f>
        <v>https://www.dgiwg.org/FAD/fdd/view?i=110765</v>
      </c>
      <c r="Q406" s="8" t="s">
        <v>6651</v>
      </c>
      <c r="R406" s="38" t="s">
        <v>151</v>
      </c>
    </row>
    <row r="407" spans="1:18">
      <c r="A407" s="302" t="str">
        <f t="shared" si="7"/>
        <v>dumpingGroundType</v>
      </c>
      <c r="B407" s="6" t="s">
        <v>6656</v>
      </c>
      <c r="C407" s="17" t="s">
        <v>6657</v>
      </c>
      <c r="D407" s="10" t="s">
        <v>6658</v>
      </c>
      <c r="E407" s="55"/>
      <c r="F407" s="55"/>
      <c r="G407" s="12" t="s">
        <v>4643</v>
      </c>
      <c r="H407" s="12" t="s">
        <v>4700</v>
      </c>
      <c r="I407" s="147" t="str">
        <f>HYPERLINK("[#]Datatypes!B472:L472","DumpingGroundTypeCode")</f>
        <v>DumpingGroundTypeCode</v>
      </c>
      <c r="J407" s="80"/>
      <c r="K407" s="77"/>
      <c r="L407" s="77"/>
      <c r="M407" s="71" t="str">
        <f>HYPERLINK("[#]DatatypeListedValues!A2780:H2780","&lt;values&gt;")</f>
        <v>&lt;values&gt;</v>
      </c>
      <c r="N407" s="82" t="b">
        <v>0</v>
      </c>
      <c r="O407" s="25">
        <v>111111</v>
      </c>
      <c r="P407" s="304" t="str">
        <f>CONCATENATE([1]Cover!$D$6,"fdd/view?i=",O407)</f>
        <v>https://www.dgiwg.org/FAD/fdd/view?i=111111</v>
      </c>
      <c r="Q407" s="8" t="s">
        <v>6655</v>
      </c>
      <c r="R407" s="38" t="s">
        <v>151</v>
      </c>
    </row>
    <row r="408" spans="1:18" ht="51">
      <c r="A408" s="302" t="str">
        <f t="shared" si="7"/>
        <v>duplicateProcedureIdent</v>
      </c>
      <c r="B408" s="6" t="s">
        <v>6661</v>
      </c>
      <c r="C408" s="17" t="s">
        <v>6662</v>
      </c>
      <c r="D408" s="10" t="s">
        <v>6663</v>
      </c>
      <c r="E408" s="10" t="s">
        <v>6664</v>
      </c>
      <c r="F408" s="10" t="s">
        <v>6665</v>
      </c>
      <c r="G408" s="12" t="s">
        <v>4643</v>
      </c>
      <c r="H408" s="74"/>
      <c r="I408" s="147" t="str">
        <f>HYPERLINK("[#]Datatypes!B474:L474","DuplicateProcedureIdentStrucText")</f>
        <v>DuplicateProcedureIdentStrucText</v>
      </c>
      <c r="J408" s="80"/>
      <c r="K408" s="77"/>
      <c r="L408" s="77"/>
      <c r="M408" s="78"/>
      <c r="N408" s="74"/>
      <c r="O408" s="25">
        <v>117563</v>
      </c>
      <c r="P408" s="304" t="str">
        <f>CONCATENATE([1]Cover!$D$6,"fdd/view?i=",O408)</f>
        <v>https://www.dgiwg.org/FAD/fdd/view?i=117563</v>
      </c>
      <c r="Q408" s="8" t="s">
        <v>6660</v>
      </c>
      <c r="R408" s="38" t="s">
        <v>151</v>
      </c>
    </row>
    <row r="409" spans="1:18" ht="38.25">
      <c r="A409" s="302" t="str">
        <f t="shared" si="7"/>
        <v>dynamicMagVariation</v>
      </c>
      <c r="B409" s="6" t="s">
        <v>6668</v>
      </c>
      <c r="C409" s="17" t="s">
        <v>6669</v>
      </c>
      <c r="D409" s="10" t="s">
        <v>6670</v>
      </c>
      <c r="E409" s="10" t="s">
        <v>6671</v>
      </c>
      <c r="F409" s="55"/>
      <c r="G409" s="12" t="s">
        <v>4643</v>
      </c>
      <c r="H409" s="74"/>
      <c r="I409" s="147" t="str">
        <f>HYPERLINK("[#]Datatypes!B1132:L1132","Realm180to180")</f>
        <v>Realm180to180</v>
      </c>
      <c r="J409" s="76" t="str">
        <f>HYPERLINK("[#]PhysicalQuantities!A34:N34","Plane Angle")</f>
        <v>Plane Angle</v>
      </c>
      <c r="K409" s="75" t="str">
        <f>HYPERLINK("[#]UnitsOfMeasure!D159:G159","Arc Degree")</f>
        <v>Arc Degree</v>
      </c>
      <c r="L409" s="77"/>
      <c r="M409" s="78"/>
      <c r="N409" s="74"/>
      <c r="O409" s="25">
        <v>119590</v>
      </c>
      <c r="P409" s="304" t="str">
        <f>CONCATENATE([1]Cover!$D$6,"fdd/view?i=",O409)</f>
        <v>https://www.dgiwg.org/FAD/fdd/view?i=119590</v>
      </c>
      <c r="Q409" s="8" t="s">
        <v>6667</v>
      </c>
      <c r="R409" s="38" t="s">
        <v>151</v>
      </c>
    </row>
    <row r="410" spans="1:18" ht="38.25">
      <c r="A410" s="302" t="str">
        <f t="shared" si="7"/>
        <v>dynamicMagVariationDateTime</v>
      </c>
      <c r="B410" s="6" t="s">
        <v>6674</v>
      </c>
      <c r="C410" s="17" t="s">
        <v>6675</v>
      </c>
      <c r="D410" s="10" t="s">
        <v>6676</v>
      </c>
      <c r="E410" s="10" t="s">
        <v>6206</v>
      </c>
      <c r="F410" s="55"/>
      <c r="G410" s="12" t="s">
        <v>4643</v>
      </c>
      <c r="H410" s="74"/>
      <c r="I410" s="147" t="str">
        <f>HYPERLINK("[#]Datatypes!B476:L476","DynamicMagVariationDateTimeStrucText")</f>
        <v>DynamicMagVariationDateTimeStrucText</v>
      </c>
      <c r="J410" s="80"/>
      <c r="K410" s="77"/>
      <c r="L410" s="77"/>
      <c r="M410" s="78"/>
      <c r="N410" s="74"/>
      <c r="O410" s="25">
        <v>119589</v>
      </c>
      <c r="P410" s="304" t="str">
        <f>CONCATENATE([1]Cover!$D$6,"fdd/view?i=",O410)</f>
        <v>https://www.dgiwg.org/FAD/fdd/view?i=119589</v>
      </c>
      <c r="Q410" s="8" t="s">
        <v>6673</v>
      </c>
      <c r="R410" s="38" t="s">
        <v>151</v>
      </c>
    </row>
    <row r="411" spans="1:18">
      <c r="A411" s="302" t="str">
        <f t="shared" si="7"/>
        <v>earthquakeFeltArea</v>
      </c>
      <c r="B411" s="6" t="s">
        <v>6679</v>
      </c>
      <c r="C411" s="17" t="s">
        <v>6680</v>
      </c>
      <c r="D411" s="10" t="s">
        <v>6681</v>
      </c>
      <c r="E411" s="55"/>
      <c r="F411" s="55"/>
      <c r="G411" s="12" t="s">
        <v>4643</v>
      </c>
      <c r="H411" s="74"/>
      <c r="I411" s="147" t="str">
        <f>HYPERLINK("[#]Datatypes!B1097:L1097","Real")</f>
        <v>Real</v>
      </c>
      <c r="J411" s="76" t="str">
        <f>HYPERLINK("[#]PhysicalQuantities!A4:N4","Area")</f>
        <v>Area</v>
      </c>
      <c r="K411" s="75" t="str">
        <f>HYPERLINK("[#]UnitsOfMeasure!D8:G8","Square Kilometre")</f>
        <v>Square Kilometre</v>
      </c>
      <c r="L411" s="77"/>
      <c r="M411" s="78"/>
      <c r="N411" s="74"/>
      <c r="O411" s="25">
        <v>118573</v>
      </c>
      <c r="P411" s="304" t="str">
        <f>CONCATENATE([1]Cover!$D$6,"fdd/view?i=",O411)</f>
        <v>https://www.dgiwg.org/FAD/fdd/view?i=118573</v>
      </c>
      <c r="Q411" s="8" t="s">
        <v>6678</v>
      </c>
      <c r="R411" s="38" t="s">
        <v>151</v>
      </c>
    </row>
    <row r="412" spans="1:18" ht="102">
      <c r="A412" s="302" t="str">
        <f t="shared" si="7"/>
        <v>earthquakeMagnitude</v>
      </c>
      <c r="B412" s="6" t="s">
        <v>6683</v>
      </c>
      <c r="C412" s="17" t="s">
        <v>6684</v>
      </c>
      <c r="D412" s="10" t="s">
        <v>6685</v>
      </c>
      <c r="E412" s="10" t="s">
        <v>6686</v>
      </c>
      <c r="F412" s="55"/>
      <c r="G412" s="12" t="s">
        <v>4643</v>
      </c>
      <c r="H412" s="74"/>
      <c r="I412" s="147" t="str">
        <f>HYPERLINK("[#]Datatypes!B1097:L1097","Real")</f>
        <v>Real</v>
      </c>
      <c r="J412" s="76" t="str">
        <f>HYPERLINK("[#]PhysicalQuantities!A39:N39","Pure Number")</f>
        <v>Pure Number</v>
      </c>
      <c r="K412" s="75" t="str">
        <f>HYPERLINK("[#]UnitsOfMeasure!D213:G213","Unitless")</f>
        <v>Unitless</v>
      </c>
      <c r="L412" s="77"/>
      <c r="M412" s="78"/>
      <c r="N412" s="74"/>
      <c r="O412" s="25">
        <v>118576</v>
      </c>
      <c r="P412" s="304" t="str">
        <f>CONCATENATE([1]Cover!$D$6,"fdd/view?i=",O412)</f>
        <v>https://www.dgiwg.org/FAD/fdd/view?i=118576</v>
      </c>
      <c r="Q412" s="8" t="s">
        <v>6682</v>
      </c>
      <c r="R412" s="38" t="s">
        <v>151</v>
      </c>
    </row>
    <row r="413" spans="1:18" ht="25.5">
      <c r="A413" s="302" t="str">
        <f t="shared" si="7"/>
        <v>earthquakeMagSource</v>
      </c>
      <c r="B413" s="6" t="s">
        <v>6688</v>
      </c>
      <c r="C413" s="17" t="s">
        <v>6689</v>
      </c>
      <c r="D413" s="10" t="s">
        <v>6690</v>
      </c>
      <c r="E413" s="55"/>
      <c r="F413" s="55"/>
      <c r="G413" s="12" t="s">
        <v>4643</v>
      </c>
      <c r="H413" s="74"/>
      <c r="I413" s="147" t="str">
        <f>HYPERLINK("[#]Datatypes!B478:L478","EarthquakeMagSourceCode")</f>
        <v>EarthquakeMagSourceCode</v>
      </c>
      <c r="J413" s="80"/>
      <c r="K413" s="77"/>
      <c r="L413" s="77"/>
      <c r="M413" s="71" t="str">
        <f>HYPERLINK("[#]DatatypeListedValues!A2786:H2786","&lt;values&gt;")</f>
        <v>&lt;values&gt;</v>
      </c>
      <c r="N413" s="82" t="b">
        <v>0</v>
      </c>
      <c r="O413" s="25">
        <v>204356</v>
      </c>
      <c r="P413" s="304" t="str">
        <f>CONCATENATE([1]Cover!$D$6,"fdd/view?i=",O413)</f>
        <v>https://www.dgiwg.org/FAD/fdd/view?i=204356</v>
      </c>
      <c r="Q413" s="8" t="s">
        <v>6687</v>
      </c>
      <c r="R413" s="38" t="s">
        <v>1295</v>
      </c>
    </row>
    <row r="414" spans="1:18" ht="25.5">
      <c r="A414" s="302" t="str">
        <f t="shared" si="7"/>
        <v>earthquakeMagType</v>
      </c>
      <c r="B414" s="6" t="s">
        <v>6693</v>
      </c>
      <c r="C414" s="17" t="s">
        <v>6694</v>
      </c>
      <c r="D414" s="10" t="s">
        <v>6695</v>
      </c>
      <c r="E414" s="55"/>
      <c r="F414" s="55"/>
      <c r="G414" s="12" t="s">
        <v>4643</v>
      </c>
      <c r="H414" s="74"/>
      <c r="I414" s="147" t="str">
        <f>HYPERLINK("[#]Datatypes!B480:L480","EarthquakeMagTypeCode")</f>
        <v>EarthquakeMagTypeCode</v>
      </c>
      <c r="J414" s="80"/>
      <c r="K414" s="77"/>
      <c r="L414" s="77"/>
      <c r="M414" s="71" t="str">
        <f>HYPERLINK("[#]DatatypeListedValues!A2918:H2918","&lt;values&gt;")</f>
        <v>&lt;values&gt;</v>
      </c>
      <c r="N414" s="82" t="b">
        <v>0</v>
      </c>
      <c r="O414" s="25">
        <v>118606</v>
      </c>
      <c r="P414" s="304" t="str">
        <f>CONCATENATE([1]Cover!$D$6,"fdd/view?i=",O414)</f>
        <v>https://www.dgiwg.org/FAD/fdd/view?i=118606</v>
      </c>
      <c r="Q414" s="8" t="s">
        <v>6692</v>
      </c>
      <c r="R414" s="38" t="s">
        <v>151</v>
      </c>
    </row>
    <row r="415" spans="1:18">
      <c r="A415" s="302" t="str">
        <f t="shared" si="7"/>
        <v>eastBoundLongitude</v>
      </c>
      <c r="B415" s="6" t="s">
        <v>6698</v>
      </c>
      <c r="C415" s="17" t="s">
        <v>6699</v>
      </c>
      <c r="D415" s="10" t="s">
        <v>6700</v>
      </c>
      <c r="E415" s="55"/>
      <c r="F415" s="55"/>
      <c r="G415" s="12" t="s">
        <v>4643</v>
      </c>
      <c r="H415" s="74"/>
      <c r="I415" s="147" t="str">
        <f>HYPERLINK("[#]Datatypes!B1097:L1097","Real")</f>
        <v>Real</v>
      </c>
      <c r="J415" s="76" t="str">
        <f>HYPERLINK("[#]PhysicalQuantities!A34:N34","Plane Angle")</f>
        <v>Plane Angle</v>
      </c>
      <c r="K415" s="75" t="str">
        <f>HYPERLINK("[#]UnitsOfMeasure!D159:G159","Arc Degree")</f>
        <v>Arc Degree</v>
      </c>
      <c r="L415" s="77"/>
      <c r="M415" s="78"/>
      <c r="N415" s="74"/>
      <c r="O415" s="25">
        <v>207197</v>
      </c>
      <c r="P415" s="304" t="str">
        <f>CONCATENATE([1]Cover!$D$6,"fdd/view?i=",O415)</f>
        <v>https://www.dgiwg.org/FAD/fdd/view?i=207197</v>
      </c>
      <c r="Q415" s="8" t="s">
        <v>6697</v>
      </c>
      <c r="R415" s="38" t="s">
        <v>1295</v>
      </c>
    </row>
    <row r="416" spans="1:18" ht="25.5">
      <c r="A416" s="302" t="str">
        <f t="shared" si="7"/>
        <v>economicReserveBasis</v>
      </c>
      <c r="B416" s="6" t="s">
        <v>6702</v>
      </c>
      <c r="C416" s="17" t="s">
        <v>6703</v>
      </c>
      <c r="D416" s="10" t="s">
        <v>6704</v>
      </c>
      <c r="E416" s="10" t="s">
        <v>6705</v>
      </c>
      <c r="F416" s="55"/>
      <c r="G416" s="12" t="s">
        <v>4643</v>
      </c>
      <c r="H416" s="74"/>
      <c r="I416" s="147" t="str">
        <f>HYPERLINK("[#]Datatypes!B482:L482","EconomicReserveBasisCode")</f>
        <v>EconomicReserveBasisCode</v>
      </c>
      <c r="J416" s="80"/>
      <c r="K416" s="77"/>
      <c r="L416" s="77"/>
      <c r="M416" s="71" t="str">
        <f>HYPERLINK("[#]DatatypeListedValues!A2926:H2926","&lt;values&gt;")</f>
        <v>&lt;values&gt;</v>
      </c>
      <c r="N416" s="82" t="b">
        <v>0</v>
      </c>
      <c r="O416" s="25">
        <v>111536</v>
      </c>
      <c r="P416" s="304" t="str">
        <f>CONCATENATE([1]Cover!$D$6,"fdd/view?i=",O416)</f>
        <v>https://www.dgiwg.org/FAD/fdd/view?i=111536</v>
      </c>
      <c r="Q416" s="8" t="s">
        <v>6701</v>
      </c>
      <c r="R416" s="38" t="s">
        <v>151</v>
      </c>
    </row>
    <row r="417" spans="1:18" ht="38.25">
      <c r="A417" s="302" t="str">
        <f t="shared" si="7"/>
        <v>elecPowerManageRegionType</v>
      </c>
      <c r="B417" s="6" t="s">
        <v>6708</v>
      </c>
      <c r="C417" s="17" t="s">
        <v>6709</v>
      </c>
      <c r="D417" s="10" t="s">
        <v>6710</v>
      </c>
      <c r="E417" s="55"/>
      <c r="F417" s="55"/>
      <c r="G417" s="12" t="s">
        <v>4643</v>
      </c>
      <c r="H417" s="74"/>
      <c r="I417" s="147" t="str">
        <f>HYPERLINK("[#]Datatypes!B484:L484","ElecPowerManageRegionTypeCode")</f>
        <v>ElecPowerManageRegionTypeCode</v>
      </c>
      <c r="J417" s="80"/>
      <c r="K417" s="77"/>
      <c r="L417" s="77"/>
      <c r="M417" s="71" t="str">
        <f>HYPERLINK("[#]DatatypeListedValues!A2929:H2929","&lt;values&gt;")</f>
        <v>&lt;values&gt;</v>
      </c>
      <c r="N417" s="82" t="b">
        <v>0</v>
      </c>
      <c r="O417" s="25">
        <v>204358</v>
      </c>
      <c r="P417" s="304" t="str">
        <f>CONCATENATE([1]Cover!$D$6,"fdd/view?i=",O417)</f>
        <v>https://www.dgiwg.org/FAD/fdd/view?i=204358</v>
      </c>
      <c r="Q417" s="8" t="s">
        <v>6707</v>
      </c>
      <c r="R417" s="38" t="s">
        <v>1295</v>
      </c>
    </row>
    <row r="418" spans="1:18" ht="25.5">
      <c r="A418" s="302" t="str">
        <f t="shared" si="7"/>
        <v>electricPowerGenerateCap</v>
      </c>
      <c r="B418" s="6" t="s">
        <v>6713</v>
      </c>
      <c r="C418" s="17" t="s">
        <v>6714</v>
      </c>
      <c r="D418" s="10" t="s">
        <v>6715</v>
      </c>
      <c r="E418" s="55"/>
      <c r="F418" s="55"/>
      <c r="G418" s="12" t="s">
        <v>4643</v>
      </c>
      <c r="H418" s="74"/>
      <c r="I418" s="147" t="str">
        <f>HYPERLINK("[#]Datatypes!B1097:L1097","Real")</f>
        <v>Real</v>
      </c>
      <c r="J418" s="76" t="str">
        <f>HYPERLINK("[#]PhysicalQuantities!A35:N35","Power")</f>
        <v>Power</v>
      </c>
      <c r="K418" s="75" t="str">
        <f>HYPERLINK("[#]UnitsOfMeasure!D180:G180","Megawatt")</f>
        <v>Megawatt</v>
      </c>
      <c r="L418" s="77"/>
      <c r="M418" s="78"/>
      <c r="N418" s="74"/>
      <c r="O418" s="25">
        <v>110699</v>
      </c>
      <c r="P418" s="304" t="str">
        <f>CONCATENATE([1]Cover!$D$6,"fdd/view?i=",O418)</f>
        <v>https://www.dgiwg.org/FAD/fdd/view?i=110699</v>
      </c>
      <c r="Q418" s="8" t="s">
        <v>6712</v>
      </c>
      <c r="R418" s="38" t="s">
        <v>151</v>
      </c>
    </row>
    <row r="419" spans="1:18" ht="25.5">
      <c r="A419" s="302" t="str">
        <f t="shared" si="7"/>
        <v>elevationMsl</v>
      </c>
      <c r="B419" s="6" t="s">
        <v>6717</v>
      </c>
      <c r="C419" s="17" t="s">
        <v>6718</v>
      </c>
      <c r="D419" s="10" t="s">
        <v>6719</v>
      </c>
      <c r="E419" s="55"/>
      <c r="F419" s="55"/>
      <c r="G419" s="12" t="s">
        <v>4643</v>
      </c>
      <c r="H419" s="74"/>
      <c r="I419" s="147" t="str">
        <f>HYPERLINK("[#]Datatypes!B1097:L1097","Real")</f>
        <v>Real</v>
      </c>
      <c r="J419" s="76" t="str">
        <f>HYPERLINK("[#]PhysicalQuantities!A20:N20","Length")</f>
        <v>Length</v>
      </c>
      <c r="K419" s="75" t="str">
        <f>HYPERLINK("[#]UnitsOfMeasure!D80:G80","Metre")</f>
        <v>Metre</v>
      </c>
      <c r="L419" s="77"/>
      <c r="M419" s="78"/>
      <c r="N419" s="74"/>
      <c r="O419" s="25">
        <v>117642</v>
      </c>
      <c r="P419" s="304" t="str">
        <f>CONCATENATE([1]Cover!$D$6,"fdd/view?i=",O419)</f>
        <v>https://www.dgiwg.org/FAD/fdd/view?i=117642</v>
      </c>
      <c r="Q419" s="8" t="s">
        <v>6716</v>
      </c>
      <c r="R419" s="38" t="s">
        <v>151</v>
      </c>
    </row>
    <row r="420" spans="1:18" ht="25.5">
      <c r="A420" s="302" t="str">
        <f t="shared" si="7"/>
        <v>elevationAboveWaterFloor</v>
      </c>
      <c r="B420" s="6" t="s">
        <v>6721</v>
      </c>
      <c r="C420" s="17" t="s">
        <v>6722</v>
      </c>
      <c r="D420" s="10" t="s">
        <v>6723</v>
      </c>
      <c r="E420" s="55"/>
      <c r="F420" s="55"/>
      <c r="G420" s="12" t="s">
        <v>4643</v>
      </c>
      <c r="H420" s="74"/>
      <c r="I420" s="147" t="str">
        <f>HYPERLINK("[#]Datatypes!B1099:L1099","RealInterval")</f>
        <v>RealInterval</v>
      </c>
      <c r="J420" s="76" t="str">
        <f>HYPERLINK("[#]PhysicalQuantities!A20:N20","Length")</f>
        <v>Length</v>
      </c>
      <c r="K420" s="75" t="str">
        <f>HYPERLINK("[#]UnitsOfMeasure!D80:G80","Metre")</f>
        <v>Metre</v>
      </c>
      <c r="L420" s="77"/>
      <c r="M420" s="78"/>
      <c r="N420" s="74"/>
      <c r="O420" s="25">
        <v>100959</v>
      </c>
      <c r="P420" s="304" t="str">
        <f>CONCATENATE([1]Cover!$D$6,"fdd/view?i=",O420)</f>
        <v>https://www.dgiwg.org/FAD/fdd/view?i=100959</v>
      </c>
      <c r="Q420" s="8" t="s">
        <v>6720</v>
      </c>
      <c r="R420" s="38" t="s">
        <v>151</v>
      </c>
    </row>
    <row r="421" spans="1:18" ht="25.5">
      <c r="A421" s="302" t="str">
        <f t="shared" si="7"/>
        <v>elevationAccuracyCategory</v>
      </c>
      <c r="B421" s="6" t="s">
        <v>6725</v>
      </c>
      <c r="C421" s="17" t="s">
        <v>6726</v>
      </c>
      <c r="D421" s="10" t="s">
        <v>6727</v>
      </c>
      <c r="E421" s="55"/>
      <c r="F421" s="55"/>
      <c r="G421" s="12" t="s">
        <v>4643</v>
      </c>
      <c r="H421" s="74"/>
      <c r="I421" s="147" t="str">
        <f>HYPERLINK("[#]Datatypes!B486:L486","ElevationAccuracyCategoryCode")</f>
        <v>ElevationAccuracyCategoryCode</v>
      </c>
      <c r="J421" s="80"/>
      <c r="K421" s="77"/>
      <c r="L421" s="77"/>
      <c r="M421" s="71" t="str">
        <f>HYPERLINK("[#]DatatypeListedValues!A2934:H2934","&lt;values&gt;")</f>
        <v>&lt;values&gt;</v>
      </c>
      <c r="N421" s="12" t="b">
        <v>1</v>
      </c>
      <c r="O421" s="25">
        <v>100858</v>
      </c>
      <c r="P421" s="304" t="str">
        <f>CONCATENATE([1]Cover!$D$6,"fdd/view?i=",O421)</f>
        <v>https://www.dgiwg.org/FAD/fdd/view?i=100858</v>
      </c>
      <c r="Q421" s="8" t="s">
        <v>6724</v>
      </c>
      <c r="R421" s="38" t="s">
        <v>151</v>
      </c>
    </row>
    <row r="422" spans="1:18">
      <c r="A422" s="302" t="str">
        <f t="shared" si="7"/>
        <v>elevationSurfaceCategory</v>
      </c>
      <c r="B422" s="6" t="s">
        <v>6730</v>
      </c>
      <c r="C422" s="17" t="s">
        <v>6731</v>
      </c>
      <c r="D422" s="10" t="s">
        <v>6732</v>
      </c>
      <c r="E422" s="55"/>
      <c r="F422" s="55"/>
      <c r="G422" s="12" t="s">
        <v>4643</v>
      </c>
      <c r="H422" s="74"/>
      <c r="I422" s="147" t="str">
        <f>HYPERLINK("[#]Datatypes!B495:L495","ElevationSurfaceCategoryCode")</f>
        <v>ElevationSurfaceCategoryCode</v>
      </c>
      <c r="J422" s="80"/>
      <c r="K422" s="77"/>
      <c r="L422" s="77"/>
      <c r="M422" s="71" t="str">
        <f>HYPERLINK("[#]DatatypeListedValues!A2936:H2936","&lt;values&gt;")</f>
        <v>&lt;values&gt;</v>
      </c>
      <c r="N422" s="12" t="b">
        <v>1</v>
      </c>
      <c r="O422" s="25">
        <v>111539</v>
      </c>
      <c r="P422" s="304" t="str">
        <f>CONCATENATE([1]Cover!$D$6,"fdd/view?i=",O422)</f>
        <v>https://www.dgiwg.org/FAD/fdd/view?i=111539</v>
      </c>
      <c r="Q422" s="8" t="s">
        <v>6729</v>
      </c>
      <c r="R422" s="38" t="s">
        <v>151</v>
      </c>
    </row>
    <row r="423" spans="1:18" ht="63.75">
      <c r="A423" s="302" t="str">
        <f t="shared" si="7"/>
        <v>elevationVertAccuracy90</v>
      </c>
      <c r="B423" s="6" t="s">
        <v>6735</v>
      </c>
      <c r="C423" s="17" t="s">
        <v>6736</v>
      </c>
      <c r="D423" s="10" t="s">
        <v>6737</v>
      </c>
      <c r="E423" s="10" t="s">
        <v>6738</v>
      </c>
      <c r="F423" s="55"/>
      <c r="G423" s="12" t="s">
        <v>4643</v>
      </c>
      <c r="H423" s="74"/>
      <c r="I423" s="147" t="str">
        <f>HYPERLINK("[#]Datatypes!B1097:L1097","Real")</f>
        <v>Real</v>
      </c>
      <c r="J423" s="76" t="str">
        <f>HYPERLINK("[#]PhysicalQuantities!A20:N20","Length")</f>
        <v>Length</v>
      </c>
      <c r="K423" s="75" t="str">
        <f>HYPERLINK("[#]UnitsOfMeasure!D80:G80","Metre")</f>
        <v>Metre</v>
      </c>
      <c r="L423" s="77"/>
      <c r="M423" s="78"/>
      <c r="N423" s="74"/>
      <c r="O423" s="25">
        <v>118141</v>
      </c>
      <c r="P423" s="304" t="str">
        <f>CONCATENATE([1]Cover!$D$6,"fdd/view?i=",O423)</f>
        <v>https://www.dgiwg.org/FAD/fdd/view?i=118141</v>
      </c>
      <c r="Q423" s="8" t="s">
        <v>6734</v>
      </c>
      <c r="R423" s="38" t="s">
        <v>151</v>
      </c>
    </row>
    <row r="424" spans="1:18" ht="25.5">
      <c r="A424" s="302" t="str">
        <f t="shared" si="7"/>
        <v>ellipsoidHeight</v>
      </c>
      <c r="B424" s="6" t="s">
        <v>6740</v>
      </c>
      <c r="C424" s="17" t="s">
        <v>6741</v>
      </c>
      <c r="D424" s="10" t="s">
        <v>6742</v>
      </c>
      <c r="E424" s="55"/>
      <c r="F424" s="10" t="s">
        <v>6743</v>
      </c>
      <c r="G424" s="12" t="s">
        <v>4643</v>
      </c>
      <c r="H424" s="74"/>
      <c r="I424" s="147" t="str">
        <f>HYPERLINK("[#]Datatypes!B1097:L1097","Real")</f>
        <v>Real</v>
      </c>
      <c r="J424" s="76" t="str">
        <f>HYPERLINK("[#]PhysicalQuantities!A20:N20","Length")</f>
        <v>Length</v>
      </c>
      <c r="K424" s="75" t="str">
        <f>HYPERLINK("[#]UnitsOfMeasure!D80:G80","Metre")</f>
        <v>Metre</v>
      </c>
      <c r="L424" s="77"/>
      <c r="M424" s="78"/>
      <c r="N424" s="74"/>
      <c r="O424" s="25">
        <v>117747</v>
      </c>
      <c r="P424" s="304" t="str">
        <f>CONCATENATE([1]Cover!$D$6,"fdd/view?i=",O424)</f>
        <v>https://www.dgiwg.org/FAD/fdd/view?i=117747</v>
      </c>
      <c r="Q424" s="8" t="s">
        <v>6739</v>
      </c>
      <c r="R424" s="38" t="s">
        <v>151</v>
      </c>
    </row>
    <row r="425" spans="1:18" ht="25.5">
      <c r="A425" s="302" t="str">
        <f t="shared" si="7"/>
        <v>embankmentType</v>
      </c>
      <c r="B425" s="6" t="s">
        <v>6745</v>
      </c>
      <c r="C425" s="17" t="s">
        <v>6746</v>
      </c>
      <c r="D425" s="10" t="s">
        <v>6747</v>
      </c>
      <c r="E425" s="55"/>
      <c r="F425" s="55"/>
      <c r="G425" s="12" t="s">
        <v>4643</v>
      </c>
      <c r="H425" s="74"/>
      <c r="I425" s="147" t="str">
        <f>HYPERLINK("[#]Datatypes!B502:L502","EmbankmentTypeCode")</f>
        <v>EmbankmentTypeCode</v>
      </c>
      <c r="J425" s="80"/>
      <c r="K425" s="77"/>
      <c r="L425" s="77"/>
      <c r="M425" s="71" t="str">
        <f>HYPERLINK("[#]DatatypeListedValues!A2941:H2941","&lt;values&gt;")</f>
        <v>&lt;values&gt;</v>
      </c>
      <c r="N425" s="82" t="b">
        <v>0</v>
      </c>
      <c r="O425" s="25">
        <v>100892</v>
      </c>
      <c r="P425" s="304" t="str">
        <f>CONCATENATE([1]Cover!$D$6,"fdd/view?i=",O425)</f>
        <v>https://www.dgiwg.org/FAD/fdd/view?i=100892</v>
      </c>
      <c r="Q425" s="8" t="s">
        <v>6744</v>
      </c>
      <c r="R425" s="38" t="s">
        <v>151</v>
      </c>
    </row>
    <row r="426" spans="1:18" ht="25.5">
      <c r="A426" s="302" t="str">
        <f t="shared" si="7"/>
        <v>emergencyPlanningZoneType</v>
      </c>
      <c r="B426" s="6" t="s">
        <v>6750</v>
      </c>
      <c r="C426" s="17" t="s">
        <v>6751</v>
      </c>
      <c r="D426" s="10" t="s">
        <v>6752</v>
      </c>
      <c r="E426" s="55"/>
      <c r="F426" s="55"/>
      <c r="G426" s="12" t="s">
        <v>4643</v>
      </c>
      <c r="H426" s="74"/>
      <c r="I426" s="147" t="str">
        <f>HYPERLINK("[#]Datatypes!B504:L504","EmergencyPlanningZoneTypeCode")</f>
        <v>EmergencyPlanningZoneTypeCode</v>
      </c>
      <c r="J426" s="80"/>
      <c r="K426" s="77"/>
      <c r="L426" s="77"/>
      <c r="M426" s="71" t="str">
        <f>HYPERLINK("[#]DatatypeListedValues!A2946:H2946","&lt;values&gt;")</f>
        <v>&lt;values&gt;</v>
      </c>
      <c r="N426" s="82" t="b">
        <v>0</v>
      </c>
      <c r="O426" s="25">
        <v>204359</v>
      </c>
      <c r="P426" s="304" t="str">
        <f>CONCATENATE([1]Cover!$D$6,"fdd/view?i=",O426)</f>
        <v>https://www.dgiwg.org/FAD/fdd/view?i=204359</v>
      </c>
      <c r="Q426" s="8" t="s">
        <v>6749</v>
      </c>
      <c r="R426" s="38" t="s">
        <v>1295</v>
      </c>
    </row>
    <row r="427" spans="1:18" ht="38.25">
      <c r="A427" s="302" t="str">
        <f t="shared" si="7"/>
        <v>emergRespServResponseTime</v>
      </c>
      <c r="B427" s="6" t="s">
        <v>6755</v>
      </c>
      <c r="C427" s="17" t="s">
        <v>6756</v>
      </c>
      <c r="D427" s="10" t="s">
        <v>6757</v>
      </c>
      <c r="E427" s="10" t="s">
        <v>2208</v>
      </c>
      <c r="F427" s="55"/>
      <c r="G427" s="12" t="s">
        <v>4643</v>
      </c>
      <c r="H427" s="74"/>
      <c r="I427" s="147" t="str">
        <f>HYPERLINK("[#]Datatypes!B958:L958","RealNonNegative")</f>
        <v>RealNonNegative</v>
      </c>
      <c r="J427" s="76" t="str">
        <f>HYPERLINK("[#]PhysicalQuantities!A51:N51","Time")</f>
        <v>Time</v>
      </c>
      <c r="K427" s="75" t="str">
        <f>HYPERLINK("[#]UnitsOfMeasure!D269:G269","Minute")</f>
        <v>Minute</v>
      </c>
      <c r="L427" s="77"/>
      <c r="M427" s="78"/>
      <c r="N427" s="74"/>
      <c r="O427" s="25">
        <v>119595</v>
      </c>
      <c r="P427" s="304" t="str">
        <f>CONCATENATE([1]Cover!$D$6,"fdd/view?i=",O427)</f>
        <v>https://www.dgiwg.org/FAD/fdd/view?i=119595</v>
      </c>
      <c r="Q427" s="8" t="s">
        <v>6754</v>
      </c>
      <c r="R427" s="38" t="s">
        <v>151</v>
      </c>
    </row>
    <row r="428" spans="1:18" ht="25.5">
      <c r="A428" s="302" t="str">
        <f t="shared" si="7"/>
        <v>emergResponseVehicleType</v>
      </c>
      <c r="B428" s="6" t="s">
        <v>6759</v>
      </c>
      <c r="C428" s="17" t="s">
        <v>6760</v>
      </c>
      <c r="D428" s="10" t="s">
        <v>6761</v>
      </c>
      <c r="E428" s="10" t="s">
        <v>6762</v>
      </c>
      <c r="F428" s="55"/>
      <c r="G428" s="12" t="s">
        <v>4643</v>
      </c>
      <c r="H428" s="74"/>
      <c r="I428" s="147" t="str">
        <f>HYPERLINK("[#]Datatypes!B506:L506","EmergResponseVehicleTypeCode")</f>
        <v>EmergResponseVehicleTypeCode</v>
      </c>
      <c r="J428" s="80"/>
      <c r="K428" s="77"/>
      <c r="L428" s="77"/>
      <c r="M428" s="71" t="str">
        <f>HYPERLINK("[#]DatatypeListedValues!A2948:H2948","&lt;values&gt;")</f>
        <v>&lt;values&gt;</v>
      </c>
      <c r="N428" s="82" t="b">
        <v>0</v>
      </c>
      <c r="O428" s="25">
        <v>207695</v>
      </c>
      <c r="P428" s="304" t="str">
        <f>CONCATENATE([1]Cover!$D$6,"fdd/view?i=",O428)</f>
        <v>https://www.dgiwg.org/FAD/fdd/view?i=207695</v>
      </c>
      <c r="Q428" s="8" t="s">
        <v>6758</v>
      </c>
      <c r="R428" s="38" t="s">
        <v>1295</v>
      </c>
    </row>
    <row r="429" spans="1:18" ht="51">
      <c r="A429" s="302" t="str">
        <f t="shared" si="7"/>
        <v>emergencySafeAltitude</v>
      </c>
      <c r="B429" s="6" t="s">
        <v>6765</v>
      </c>
      <c r="C429" s="17" t="s">
        <v>6766</v>
      </c>
      <c r="D429" s="10" t="s">
        <v>6767</v>
      </c>
      <c r="E429" s="55"/>
      <c r="F429" s="55"/>
      <c r="G429" s="12" t="s">
        <v>4643</v>
      </c>
      <c r="H429" s="74"/>
      <c r="I429" s="147" t="str">
        <f>HYPERLINK("[#]Datatypes!B1097:L1097","Real")</f>
        <v>Real</v>
      </c>
      <c r="J429" s="76" t="str">
        <f>HYPERLINK("[#]PhysicalQuantities!A20:N20","Length")</f>
        <v>Length</v>
      </c>
      <c r="K429" s="75" t="str">
        <f>HYPERLINK("[#]UnitsOfMeasure!D80:G80","Metre")</f>
        <v>Metre</v>
      </c>
      <c r="L429" s="77"/>
      <c r="M429" s="78"/>
      <c r="N429" s="74"/>
      <c r="O429" s="25">
        <v>117565</v>
      </c>
      <c r="P429" s="304" t="str">
        <f>CONCATENATE([1]Cover!$D$6,"fdd/view?i=",O429)</f>
        <v>https://www.dgiwg.org/FAD/fdd/view?i=117565</v>
      </c>
      <c r="Q429" s="8" t="s">
        <v>6764</v>
      </c>
      <c r="R429" s="38" t="s">
        <v>151</v>
      </c>
    </row>
    <row r="430" spans="1:18" ht="25.5">
      <c r="A430" s="302" t="str">
        <f t="shared" si="7"/>
        <v>engineTestCellType</v>
      </c>
      <c r="B430" s="6" t="s">
        <v>6769</v>
      </c>
      <c r="C430" s="17" t="s">
        <v>6770</v>
      </c>
      <c r="D430" s="10" t="s">
        <v>6771</v>
      </c>
      <c r="E430" s="55"/>
      <c r="F430" s="55"/>
      <c r="G430" s="12" t="s">
        <v>4643</v>
      </c>
      <c r="H430" s="74"/>
      <c r="I430" s="147" t="str">
        <f>HYPERLINK("[#]Datatypes!B508:L508","EngineTestCellTypeCode")</f>
        <v>EngineTestCellTypeCode</v>
      </c>
      <c r="J430" s="80"/>
      <c r="K430" s="77"/>
      <c r="L430" s="77"/>
      <c r="M430" s="71" t="str">
        <f>HYPERLINK("[#]DatatypeListedValues!A2957:H2957","&lt;values&gt;")</f>
        <v>&lt;values&gt;</v>
      </c>
      <c r="N430" s="82" t="b">
        <v>0</v>
      </c>
      <c r="O430" s="25">
        <v>117820</v>
      </c>
      <c r="P430" s="304" t="str">
        <f>CONCATENATE([1]Cover!$D$6,"fdd/view?i=",O430)</f>
        <v>https://www.dgiwg.org/FAD/fdd/view?i=117820</v>
      </c>
      <c r="Q430" s="8" t="s">
        <v>6768</v>
      </c>
      <c r="R430" s="38" t="s">
        <v>151</v>
      </c>
    </row>
    <row r="431" spans="1:18" ht="25.5">
      <c r="A431" s="302" t="str">
        <f t="shared" si="7"/>
        <v>engineeredEarthworkType</v>
      </c>
      <c r="B431" s="6" t="s">
        <v>6774</v>
      </c>
      <c r="C431" s="17" t="s">
        <v>6775</v>
      </c>
      <c r="D431" s="10" t="s">
        <v>6776</v>
      </c>
      <c r="E431" s="55"/>
      <c r="F431" s="55"/>
      <c r="G431" s="12" t="s">
        <v>4643</v>
      </c>
      <c r="H431" s="74"/>
      <c r="I431" s="147" t="str">
        <f>HYPERLINK("[#]Datatypes!B510:L510","EngineeredEarthworkTypeCode")</f>
        <v>EngineeredEarthworkTypeCode</v>
      </c>
      <c r="J431" s="80"/>
      <c r="K431" s="77"/>
      <c r="L431" s="77"/>
      <c r="M431" s="71" t="str">
        <f>HYPERLINK("[#]DatatypeListedValues!A2961:H2961","&lt;values&gt;")</f>
        <v>&lt;values&gt;</v>
      </c>
      <c r="N431" s="82" t="b">
        <v>0</v>
      </c>
      <c r="O431" s="25">
        <v>118015</v>
      </c>
      <c r="P431" s="304" t="str">
        <f>CONCATENATE([1]Cover!$D$6,"fdd/view?i=",O431)</f>
        <v>https://www.dgiwg.org/FAD/fdd/view?i=118015</v>
      </c>
      <c r="Q431" s="8" t="s">
        <v>6773</v>
      </c>
      <c r="R431" s="38" t="s">
        <v>151</v>
      </c>
    </row>
    <row r="432" spans="1:18" ht="76.5">
      <c r="A432" s="302" t="str">
        <f t="shared" si="7"/>
        <v>enhFujitaTornadoScale</v>
      </c>
      <c r="B432" s="6" t="s">
        <v>6779</v>
      </c>
      <c r="C432" s="17" t="s">
        <v>6780</v>
      </c>
      <c r="D432" s="10" t="s">
        <v>6781</v>
      </c>
      <c r="E432" s="10" t="s">
        <v>6782</v>
      </c>
      <c r="F432" s="55"/>
      <c r="G432" s="12" t="s">
        <v>4643</v>
      </c>
      <c r="H432" s="74"/>
      <c r="I432" s="147" t="str">
        <f>HYPERLINK("[#]Datatypes!B512:L512","EnhFujitaTornadoScaleCode")</f>
        <v>EnhFujitaTornadoScaleCode</v>
      </c>
      <c r="J432" s="80"/>
      <c r="K432" s="77"/>
      <c r="L432" s="77"/>
      <c r="M432" s="71" t="str">
        <f>HYPERLINK("[#]DatatypeListedValues!A2966:H2966","&lt;values&gt;")</f>
        <v>&lt;values&gt;</v>
      </c>
      <c r="N432" s="82" t="b">
        <v>0</v>
      </c>
      <c r="O432" s="25">
        <v>119056</v>
      </c>
      <c r="P432" s="304" t="str">
        <f>CONCATENATE([1]Cover!$D$6,"fdd/view?i=",O432)</f>
        <v>https://www.dgiwg.org/FAD/fdd/view?i=119056</v>
      </c>
      <c r="Q432" s="8" t="s">
        <v>6778</v>
      </c>
      <c r="R432" s="38" t="s">
        <v>151</v>
      </c>
    </row>
    <row r="433" spans="1:18" ht="38.25">
      <c r="A433" s="302" t="str">
        <f t="shared" si="7"/>
        <v>entityIdentifierType</v>
      </c>
      <c r="B433" s="6" t="s">
        <v>6785</v>
      </c>
      <c r="C433" s="17" t="s">
        <v>6786</v>
      </c>
      <c r="D433" s="10" t="s">
        <v>6787</v>
      </c>
      <c r="E433" s="10" t="s">
        <v>6788</v>
      </c>
      <c r="F433" s="55"/>
      <c r="G433" s="12" t="s">
        <v>4643</v>
      </c>
      <c r="H433" s="74"/>
      <c r="I433" s="147" t="str">
        <f>HYPERLINK("[#]Datatypes!B514:L514","EntityIdentifierTypeCode")</f>
        <v>EntityIdentifierTypeCode</v>
      </c>
      <c r="J433" s="80"/>
      <c r="K433" s="77"/>
      <c r="L433" s="77"/>
      <c r="M433" s="71" t="str">
        <f>HYPERLINK("[#]DatatypeListedValues!A2972:H2972","&lt;values&gt;")</f>
        <v>&lt;values&gt;</v>
      </c>
      <c r="N433" s="82" t="b">
        <v>0</v>
      </c>
      <c r="O433" s="25">
        <v>114217</v>
      </c>
      <c r="P433" s="304" t="str">
        <f>CONCATENATE([1]Cover!$D$6,"fdd/view?i=",O433)</f>
        <v>https://www.dgiwg.org/FAD/fdd/view?i=114217</v>
      </c>
      <c r="Q433" s="8" t="s">
        <v>6784</v>
      </c>
      <c r="R433" s="38" t="s">
        <v>151</v>
      </c>
    </row>
    <row r="434" spans="1:18" ht="25.5">
      <c r="A434" s="302" t="str">
        <f t="shared" si="7"/>
        <v>entranceExitClosureMethod</v>
      </c>
      <c r="B434" s="6" t="s">
        <v>6791</v>
      </c>
      <c r="C434" s="17" t="s">
        <v>6792</v>
      </c>
      <c r="D434" s="10" t="s">
        <v>6793</v>
      </c>
      <c r="E434" s="55"/>
      <c r="F434" s="55"/>
      <c r="G434" s="12" t="s">
        <v>4643</v>
      </c>
      <c r="H434" s="74"/>
      <c r="I434" s="147" t="str">
        <f>HYPERLINK("[#]Datatypes!B516:L516","EntranceExitClosureMethodCode")</f>
        <v>EntranceExitClosureMethodCode</v>
      </c>
      <c r="J434" s="80"/>
      <c r="K434" s="77"/>
      <c r="L434" s="77"/>
      <c r="M434" s="71" t="str">
        <f>HYPERLINK("[#]DatatypeListedValues!A2976:H2976","&lt;values&gt;")</f>
        <v>&lt;values&gt;</v>
      </c>
      <c r="N434" s="82" t="b">
        <v>0</v>
      </c>
      <c r="O434" s="25">
        <v>119645</v>
      </c>
      <c r="P434" s="304" t="str">
        <f>CONCATENATE([1]Cover!$D$6,"fdd/view?i=",O434)</f>
        <v>https://www.dgiwg.org/FAD/fdd/view?i=119645</v>
      </c>
      <c r="Q434" s="8" t="s">
        <v>6790</v>
      </c>
      <c r="R434" s="38" t="s">
        <v>151</v>
      </c>
    </row>
    <row r="435" spans="1:18" ht="25.5">
      <c r="A435" s="302" t="str">
        <f t="shared" si="7"/>
        <v>entranceExitShielded</v>
      </c>
      <c r="B435" s="6" t="s">
        <v>6796</v>
      </c>
      <c r="C435" s="17" t="s">
        <v>6797</v>
      </c>
      <c r="D435" s="10" t="s">
        <v>6798</v>
      </c>
      <c r="E435" s="10" t="s">
        <v>6799</v>
      </c>
      <c r="F435" s="55"/>
      <c r="G435" s="12" t="s">
        <v>4643</v>
      </c>
      <c r="H435" s="74"/>
      <c r="I435" s="147" t="str">
        <f>HYPERLINK("[#]Datatypes!B230:L230","Boolean")</f>
        <v>Boolean</v>
      </c>
      <c r="J435" s="80"/>
      <c r="K435" s="77"/>
      <c r="L435" s="77"/>
      <c r="M435" s="78"/>
      <c r="N435" s="74"/>
      <c r="O435" s="25">
        <v>119581</v>
      </c>
      <c r="P435" s="304" t="str">
        <f>CONCATENATE([1]Cover!$D$6,"fdd/view?i=",O435)</f>
        <v>https://www.dgiwg.org/FAD/fdd/view?i=119581</v>
      </c>
      <c r="Q435" s="8" t="s">
        <v>6795</v>
      </c>
      <c r="R435" s="38" t="s">
        <v>151</v>
      </c>
    </row>
    <row r="436" spans="1:18" ht="25.5">
      <c r="A436" s="302" t="str">
        <f t="shared" si="7"/>
        <v>entranceExitType</v>
      </c>
      <c r="B436" s="6" t="s">
        <v>6801</v>
      </c>
      <c r="C436" s="17" t="s">
        <v>6802</v>
      </c>
      <c r="D436" s="10" t="s">
        <v>6803</v>
      </c>
      <c r="E436" s="55"/>
      <c r="F436" s="55"/>
      <c r="G436" s="12" t="s">
        <v>4643</v>
      </c>
      <c r="H436" s="74"/>
      <c r="I436" s="147" t="str">
        <f>HYPERLINK("[#]Datatypes!B518:L518","EntranceExitTypeCode")</f>
        <v>EntranceExitTypeCode</v>
      </c>
      <c r="J436" s="80"/>
      <c r="K436" s="77"/>
      <c r="L436" s="77"/>
      <c r="M436" s="71" t="str">
        <f>HYPERLINK("[#]DatatypeListedValues!A2980:H2980","&lt;values&gt;")</f>
        <v>&lt;values&gt;</v>
      </c>
      <c r="N436" s="82" t="b">
        <v>0</v>
      </c>
      <c r="O436" s="25">
        <v>111311</v>
      </c>
      <c r="P436" s="304" t="str">
        <f>CONCATENATE([1]Cover!$D$6,"fdd/view?i=",O436)</f>
        <v>https://www.dgiwg.org/FAD/fdd/view?i=111311</v>
      </c>
      <c r="Q436" s="8" t="s">
        <v>6800</v>
      </c>
      <c r="R436" s="38" t="s">
        <v>151</v>
      </c>
    </row>
    <row r="437" spans="1:18" ht="38.25">
      <c r="A437" s="302" t="str">
        <f t="shared" si="7"/>
        <v>equivalentScale</v>
      </c>
      <c r="B437" s="6" t="s">
        <v>6806</v>
      </c>
      <c r="C437" s="17" t="s">
        <v>6807</v>
      </c>
      <c r="D437" s="10" t="s">
        <v>6808</v>
      </c>
      <c r="E437" s="55"/>
      <c r="F437" s="55"/>
      <c r="G437" s="12" t="s">
        <v>4643</v>
      </c>
      <c r="H437" s="74"/>
      <c r="I437" s="147" t="str">
        <f>HYPERLINK("[#]Datatypes!B710:L710","Integer")</f>
        <v>Integer</v>
      </c>
      <c r="J437" s="76" t="str">
        <f>HYPERLINK("[#]PhysicalQuantities!A39:N39","Pure Number")</f>
        <v>Pure Number</v>
      </c>
      <c r="K437" s="75" t="str">
        <f>HYPERLINK("[#]UnitsOfMeasure!D213:G213","Unitless")</f>
        <v>Unitless</v>
      </c>
      <c r="L437" s="77"/>
      <c r="M437" s="78"/>
      <c r="N437" s="74"/>
      <c r="O437" s="25">
        <v>118140</v>
      </c>
      <c r="P437" s="304" t="str">
        <f>CONCATENATE([1]Cover!$D$6,"fdd/view?i=",O437)</f>
        <v>https://www.dgiwg.org/FAD/fdd/view?i=118140</v>
      </c>
      <c r="Q437" s="8" t="s">
        <v>6805</v>
      </c>
      <c r="R437" s="38" t="s">
        <v>151</v>
      </c>
    </row>
    <row r="438" spans="1:18" ht="25.5">
      <c r="A438" s="302" t="str">
        <f t="shared" si="7"/>
        <v>equivalentScaleCategory</v>
      </c>
      <c r="B438" s="6" t="s">
        <v>6810</v>
      </c>
      <c r="C438" s="17" t="s">
        <v>6811</v>
      </c>
      <c r="D438" s="10" t="s">
        <v>6812</v>
      </c>
      <c r="E438" s="55"/>
      <c r="F438" s="55"/>
      <c r="G438" s="12" t="s">
        <v>4643</v>
      </c>
      <c r="H438" s="74"/>
      <c r="I438" s="147" t="str">
        <f>HYPERLINK("[#]Datatypes!B520:L520","EquivalentScaleCatCodeList")</f>
        <v>EquivalentScaleCatCodeList</v>
      </c>
      <c r="J438" s="80"/>
      <c r="K438" s="77"/>
      <c r="L438" s="77"/>
      <c r="M438" s="78"/>
      <c r="N438" s="74"/>
      <c r="O438" s="25">
        <v>118166</v>
      </c>
      <c r="P438" s="304" t="str">
        <f>CONCATENATE([1]Cover!$D$6,"fdd/view?i=",O438)</f>
        <v>https://www.dgiwg.org/FAD/fdd/view?i=118166</v>
      </c>
      <c r="Q438" s="8" t="s">
        <v>6809</v>
      </c>
      <c r="R438" s="38" t="s">
        <v>151</v>
      </c>
    </row>
    <row r="439" spans="1:18" ht="38.25">
      <c r="A439" s="302" t="str">
        <f t="shared" si="7"/>
        <v>equivalentSingleWheelLoad</v>
      </c>
      <c r="B439" s="6" t="s">
        <v>6815</v>
      </c>
      <c r="C439" s="17" t="s">
        <v>6816</v>
      </c>
      <c r="D439" s="10" t="s">
        <v>6817</v>
      </c>
      <c r="E439" s="55"/>
      <c r="F439" s="10" t="s">
        <v>6818</v>
      </c>
      <c r="G439" s="12" t="s">
        <v>4643</v>
      </c>
      <c r="H439" s="74"/>
      <c r="I439" s="147" t="str">
        <f>HYPERLINK("[#]Datatypes!B1097:L1097","Real")</f>
        <v>Real</v>
      </c>
      <c r="J439" s="76" t="str">
        <f>HYPERLINK("[#]PhysicalQuantities!A28:N28","Mass")</f>
        <v>Mass</v>
      </c>
      <c r="K439" s="75" t="str">
        <f>HYPERLINK("[#]UnitsOfMeasure!D136:G136","Kilopound")</f>
        <v>Kilopound</v>
      </c>
      <c r="L439" s="77"/>
      <c r="M439" s="78"/>
      <c r="N439" s="74"/>
      <c r="O439" s="25">
        <v>117566</v>
      </c>
      <c r="P439" s="304" t="str">
        <f>CONCATENATE([1]Cover!$D$6,"fdd/view?i=",O439)</f>
        <v>https://www.dgiwg.org/FAD/fdd/view?i=117566</v>
      </c>
      <c r="Q439" s="8" t="s">
        <v>6814</v>
      </c>
      <c r="R439" s="38" t="s">
        <v>151</v>
      </c>
    </row>
    <row r="440" spans="1:18" ht="51">
      <c r="A440" s="302" t="str">
        <f t="shared" si="7"/>
        <v>evacuationRouteUse</v>
      </c>
      <c r="B440" s="6" t="s">
        <v>6820</v>
      </c>
      <c r="C440" s="17" t="s">
        <v>6821</v>
      </c>
      <c r="D440" s="10" t="s">
        <v>6822</v>
      </c>
      <c r="E440" s="10" t="s">
        <v>6823</v>
      </c>
      <c r="F440" s="55"/>
      <c r="G440" s="12" t="s">
        <v>4643</v>
      </c>
      <c r="H440" s="12" t="s">
        <v>4700</v>
      </c>
      <c r="I440" s="147" t="str">
        <f>HYPERLINK("[#]Datatypes!B524:L524","EvacuationRouteUseCode")</f>
        <v>EvacuationRouteUseCode</v>
      </c>
      <c r="J440" s="80"/>
      <c r="K440" s="77"/>
      <c r="L440" s="77"/>
      <c r="M440" s="71" t="str">
        <f>HYPERLINK("[#]DatatypeListedValues!A2982:H2982","&lt;values&gt;")</f>
        <v>&lt;values&gt;</v>
      </c>
      <c r="N440" s="82" t="b">
        <v>0</v>
      </c>
      <c r="O440" s="25">
        <v>119142</v>
      </c>
      <c r="P440" s="304" t="str">
        <f>CONCATENATE([1]Cover!$D$6,"fdd/view?i=",O440)</f>
        <v>https://www.dgiwg.org/FAD/fdd/view?i=119142</v>
      </c>
      <c r="Q440" s="8" t="s">
        <v>6819</v>
      </c>
      <c r="R440" s="38" t="s">
        <v>151</v>
      </c>
    </row>
    <row r="441" spans="1:18" ht="38.25">
      <c r="A441" s="302" t="str">
        <f t="shared" si="7"/>
        <v>eventDateTime</v>
      </c>
      <c r="B441" s="6" t="s">
        <v>6826</v>
      </c>
      <c r="C441" s="17" t="s">
        <v>6827</v>
      </c>
      <c r="D441" s="10" t="s">
        <v>6828</v>
      </c>
      <c r="E441" s="10" t="s">
        <v>6829</v>
      </c>
      <c r="F441" s="55"/>
      <c r="G441" s="12" t="s">
        <v>4643</v>
      </c>
      <c r="H441" s="74"/>
      <c r="I441" s="147" t="str">
        <f>HYPERLINK("[#]Datatypes!B526:L526","EventDateTimeStrucText")</f>
        <v>EventDateTimeStrucText</v>
      </c>
      <c r="J441" s="80"/>
      <c r="K441" s="77"/>
      <c r="L441" s="77"/>
      <c r="M441" s="78"/>
      <c r="N441" s="74"/>
      <c r="O441" s="25">
        <v>100734</v>
      </c>
      <c r="P441" s="304" t="str">
        <f>CONCATENATE([1]Cover!$D$6,"fdd/view?i=",O441)</f>
        <v>https://www.dgiwg.org/FAD/fdd/view?i=100734</v>
      </c>
      <c r="Q441" s="8" t="s">
        <v>6825</v>
      </c>
      <c r="R441" s="38" t="s">
        <v>151</v>
      </c>
    </row>
    <row r="442" spans="1:18">
      <c r="A442" s="302" t="str">
        <f t="shared" si="7"/>
        <v>eventLocalTime</v>
      </c>
      <c r="B442" s="6" t="s">
        <v>6832</v>
      </c>
      <c r="C442" s="17" t="s">
        <v>6833</v>
      </c>
      <c r="D442" s="10" t="s">
        <v>6834</v>
      </c>
      <c r="E442" s="55"/>
      <c r="F442" s="55"/>
      <c r="G442" s="12" t="s">
        <v>4643</v>
      </c>
      <c r="H442" s="74"/>
      <c r="I442" s="147" t="str">
        <f>HYPERLINK("[#]Datatypes!B528:L528","EventLocalTimeStrucText")</f>
        <v>EventLocalTimeStrucText</v>
      </c>
      <c r="J442" s="80"/>
      <c r="K442" s="77"/>
      <c r="L442" s="77"/>
      <c r="M442" s="78"/>
      <c r="N442" s="74"/>
      <c r="O442" s="25">
        <v>111504</v>
      </c>
      <c r="P442" s="304" t="str">
        <f>CONCATENATE([1]Cover!$D$6,"fdd/view?i=",O442)</f>
        <v>https://www.dgiwg.org/FAD/fdd/view?i=111504</v>
      </c>
      <c r="Q442" s="8" t="s">
        <v>6831</v>
      </c>
      <c r="R442" s="38" t="s">
        <v>151</v>
      </c>
    </row>
    <row r="443" spans="1:18" ht="25.5">
      <c r="A443" s="302" t="str">
        <f t="shared" si="7"/>
        <v>exactPosition</v>
      </c>
      <c r="B443" s="6" t="s">
        <v>6837</v>
      </c>
      <c r="C443" s="17" t="s">
        <v>6838</v>
      </c>
      <c r="D443" s="10" t="s">
        <v>6839</v>
      </c>
      <c r="E443" s="55"/>
      <c r="F443" s="55"/>
      <c r="G443" s="12" t="s">
        <v>4643</v>
      </c>
      <c r="H443" s="74"/>
      <c r="I443" s="147" t="str">
        <f>HYPERLINK("[#]Datatypes!B230:L230","Boolean")</f>
        <v>Boolean</v>
      </c>
      <c r="J443" s="80"/>
      <c r="K443" s="77"/>
      <c r="L443" s="77"/>
      <c r="M443" s="78"/>
      <c r="N443" s="74"/>
      <c r="O443" s="25">
        <v>100866</v>
      </c>
      <c r="P443" s="304" t="str">
        <f>CONCATENATE([1]Cover!$D$6,"fdd/view?i=",O443)</f>
        <v>https://www.dgiwg.org/FAD/fdd/view?i=100866</v>
      </c>
      <c r="Q443" s="8" t="s">
        <v>6836</v>
      </c>
      <c r="R443" s="38" t="s">
        <v>151</v>
      </c>
    </row>
    <row r="444" spans="1:18" ht="25.5">
      <c r="A444" s="302" t="str">
        <f t="shared" si="7"/>
        <v>existenceCertaintyCat</v>
      </c>
      <c r="B444" s="6" t="s">
        <v>6841</v>
      </c>
      <c r="C444" s="17" t="s">
        <v>6842</v>
      </c>
      <c r="D444" s="10" t="s">
        <v>6843</v>
      </c>
      <c r="E444" s="55"/>
      <c r="F444" s="55"/>
      <c r="G444" s="12" t="s">
        <v>4643</v>
      </c>
      <c r="H444" s="74"/>
      <c r="I444" s="147" t="str">
        <f>HYPERLINK("[#]Datatypes!B530:L530","ExistenceCertaintyCatCode")</f>
        <v>ExistenceCertaintyCatCode</v>
      </c>
      <c r="J444" s="80"/>
      <c r="K444" s="77"/>
      <c r="L444" s="77"/>
      <c r="M444" s="71" t="str">
        <f>HYPERLINK("[#]DatatypeListedValues!A2987:H2987","&lt;values&gt;")</f>
        <v>&lt;values&gt;</v>
      </c>
      <c r="N444" s="12" t="b">
        <v>1</v>
      </c>
      <c r="O444" s="25">
        <v>100753</v>
      </c>
      <c r="P444" s="304" t="str">
        <f>CONCATENATE([1]Cover!$D$6,"fdd/view?i=",O444)</f>
        <v>https://www.dgiwg.org/FAD/fdd/view?i=100753</v>
      </c>
      <c r="Q444" s="8" t="s">
        <v>6840</v>
      </c>
      <c r="R444" s="38" t="s">
        <v>151</v>
      </c>
    </row>
    <row r="445" spans="1:18">
      <c r="A445" s="302" t="str">
        <f t="shared" si="7"/>
        <v>description</v>
      </c>
      <c r="B445" s="6" t="s">
        <v>6846</v>
      </c>
      <c r="C445" s="17" t="s">
        <v>6847</v>
      </c>
      <c r="D445" s="10" t="s">
        <v>6848</v>
      </c>
      <c r="E445" s="55"/>
      <c r="F445" s="55"/>
      <c r="G445" s="12" t="s">
        <v>4643</v>
      </c>
      <c r="H445" s="74"/>
      <c r="I445" s="147" t="str">
        <f>HYPERLINK("[#]Datatypes!B1416:L1416","TextLexUnconstrained")</f>
        <v>TextLexUnconstrained</v>
      </c>
      <c r="J445" s="80"/>
      <c r="K445" s="77"/>
      <c r="L445" s="77"/>
      <c r="M445" s="78"/>
      <c r="N445" s="74"/>
      <c r="O445" s="25">
        <v>207279</v>
      </c>
      <c r="P445" s="304" t="str">
        <f>CONCATENATE([1]Cover!$D$6,"fdd/view?i=",O445)</f>
        <v>https://www.dgiwg.org/FAD/fdd/view?i=207279</v>
      </c>
      <c r="Q445" s="8" t="s">
        <v>6845</v>
      </c>
      <c r="R445" s="38" t="s">
        <v>1295</v>
      </c>
    </row>
    <row r="446" spans="1:18" ht="38.25">
      <c r="A446" s="302" t="str">
        <f t="shared" si="7"/>
        <v>extentTypeCode</v>
      </c>
      <c r="B446" s="6" t="s">
        <v>6850</v>
      </c>
      <c r="C446" s="17" t="s">
        <v>6851</v>
      </c>
      <c r="D446" s="10" t="s">
        <v>6852</v>
      </c>
      <c r="E446" s="55"/>
      <c r="F446" s="55"/>
      <c r="G446" s="12" t="s">
        <v>4643</v>
      </c>
      <c r="H446" s="74"/>
      <c r="I446" s="147" t="str">
        <f>HYPERLINK("[#]Datatypes!B230:L230","Boolean")</f>
        <v>Boolean</v>
      </c>
      <c r="J446" s="80"/>
      <c r="K446" s="77"/>
      <c r="L446" s="77"/>
      <c r="M446" s="78"/>
      <c r="N446" s="74"/>
      <c r="O446" s="25">
        <v>207265</v>
      </c>
      <c r="P446" s="304" t="str">
        <f>CONCATENATE([1]Cover!$D$6,"fdd/view?i=",O446)</f>
        <v>https://www.dgiwg.org/FAD/fdd/view?i=207265</v>
      </c>
      <c r="Q446" s="8" t="s">
        <v>6849</v>
      </c>
      <c r="R446" s="38" t="s">
        <v>1295</v>
      </c>
    </row>
    <row r="447" spans="1:18">
      <c r="A447" s="302" t="str">
        <f t="shared" si="7"/>
        <v>extractionMineType</v>
      </c>
      <c r="B447" s="6" t="s">
        <v>6854</v>
      </c>
      <c r="C447" s="17" t="s">
        <v>6855</v>
      </c>
      <c r="D447" s="10" t="s">
        <v>6856</v>
      </c>
      <c r="E447" s="55"/>
      <c r="F447" s="55"/>
      <c r="G447" s="12" t="s">
        <v>4643</v>
      </c>
      <c r="H447" s="74"/>
      <c r="I447" s="147" t="str">
        <f>HYPERLINK("[#]Datatypes!B532:L532","ExtractionMineTypeCode")</f>
        <v>ExtractionMineTypeCode</v>
      </c>
      <c r="J447" s="80"/>
      <c r="K447" s="77"/>
      <c r="L447" s="77"/>
      <c r="M447" s="71" t="str">
        <f>HYPERLINK("[#]DatatypeListedValues!A2990:H2990","&lt;values&gt;")</f>
        <v>&lt;values&gt;</v>
      </c>
      <c r="N447" s="82" t="b">
        <v>0</v>
      </c>
      <c r="O447" s="25">
        <v>118923</v>
      </c>
      <c r="P447" s="304" t="str">
        <f>CONCATENATE([1]Cover!$D$6,"fdd/view?i=",O447)</f>
        <v>https://www.dgiwg.org/FAD/fdd/view?i=118923</v>
      </c>
      <c r="Q447" s="8" t="s">
        <v>6853</v>
      </c>
      <c r="R447" s="38" t="s">
        <v>151</v>
      </c>
    </row>
    <row r="448" spans="1:18" ht="25.5">
      <c r="A448" s="302" t="str">
        <f t="shared" si="7"/>
        <v>extractionSpec</v>
      </c>
      <c r="B448" s="6" t="s">
        <v>6859</v>
      </c>
      <c r="C448" s="17" t="s">
        <v>6860</v>
      </c>
      <c r="D448" s="10" t="s">
        <v>6861</v>
      </c>
      <c r="E448" s="55"/>
      <c r="F448" s="55"/>
      <c r="G448" s="12" t="s">
        <v>4643</v>
      </c>
      <c r="H448" s="74"/>
      <c r="I448" s="147" t="str">
        <f>HYPERLINK("[#]Datatypes!B534:L534","ExtractionSpecCodeList")</f>
        <v>ExtractionSpecCodeList</v>
      </c>
      <c r="J448" s="80"/>
      <c r="K448" s="77"/>
      <c r="L448" s="77"/>
      <c r="M448" s="78"/>
      <c r="N448" s="74"/>
      <c r="O448" s="25">
        <v>114218</v>
      </c>
      <c r="P448" s="304" t="str">
        <f>CONCATENATE([1]Cover!$D$6,"fdd/view?i=",O448)</f>
        <v>https://www.dgiwg.org/FAD/fdd/view?i=114218</v>
      </c>
      <c r="Q448" s="8" t="s">
        <v>6858</v>
      </c>
      <c r="R448" s="38" t="s">
        <v>151</v>
      </c>
    </row>
    <row r="449" spans="1:18" ht="25.5">
      <c r="A449" s="302" t="str">
        <f t="shared" si="7"/>
        <v>extractionSpecVersion</v>
      </c>
      <c r="B449" s="6" t="s">
        <v>6864</v>
      </c>
      <c r="C449" s="17" t="s">
        <v>6865</v>
      </c>
      <c r="D449" s="10" t="s">
        <v>6866</v>
      </c>
      <c r="E449" s="55"/>
      <c r="F449" s="55"/>
      <c r="G449" s="12" t="s">
        <v>4643</v>
      </c>
      <c r="H449" s="74"/>
      <c r="I449" s="147" t="str">
        <f>HYPERLINK("[#]Datatypes!B1408:L1408","TextLex24")</f>
        <v>TextLex24</v>
      </c>
      <c r="J449" s="80"/>
      <c r="K449" s="77"/>
      <c r="L449" s="77"/>
      <c r="M449" s="78"/>
      <c r="N449" s="74"/>
      <c r="O449" s="25">
        <v>117779</v>
      </c>
      <c r="P449" s="304" t="str">
        <f>CONCATENATE([1]Cover!$D$6,"fdd/view?i=",O449)</f>
        <v>https://www.dgiwg.org/FAD/fdd/view?i=117779</v>
      </c>
      <c r="Q449" s="8" t="s">
        <v>6863</v>
      </c>
      <c r="R449" s="38" t="s">
        <v>151</v>
      </c>
    </row>
    <row r="450" spans="1:18" ht="25.5">
      <c r="A450" s="302" t="str">
        <f t="shared" si="7"/>
        <v>faaIdentifier</v>
      </c>
      <c r="B450" s="6" t="s">
        <v>6869</v>
      </c>
      <c r="C450" s="17" t="s">
        <v>6870</v>
      </c>
      <c r="D450" s="10" t="s">
        <v>6871</v>
      </c>
      <c r="E450" s="55"/>
      <c r="F450" s="55"/>
      <c r="G450" s="12" t="s">
        <v>4643</v>
      </c>
      <c r="H450" s="74"/>
      <c r="I450" s="147" t="str">
        <f>HYPERLINK("[#]Datatypes!B1434:L1434","TextNonLex4")</f>
        <v>TextNonLex4</v>
      </c>
      <c r="J450" s="80"/>
      <c r="K450" s="77"/>
      <c r="L450" s="77"/>
      <c r="M450" s="78"/>
      <c r="N450" s="74"/>
      <c r="O450" s="25">
        <v>200344</v>
      </c>
      <c r="P450" s="304" t="str">
        <f>CONCATENATE([1]Cover!$D$6,"fdd/view?i=",O450)</f>
        <v>https://www.dgiwg.org/FAD/fdd/view?i=200344</v>
      </c>
      <c r="Q450" s="8" t="s">
        <v>6868</v>
      </c>
      <c r="R450" s="38" t="s">
        <v>1295</v>
      </c>
    </row>
    <row r="451" spans="1:18" ht="25.5">
      <c r="A451" s="302" t="str">
        <f t="shared" si="7"/>
        <v>fabricationFacilityType</v>
      </c>
      <c r="B451" s="6" t="s">
        <v>6874</v>
      </c>
      <c r="C451" s="17" t="s">
        <v>6875</v>
      </c>
      <c r="D451" s="10" t="s">
        <v>6876</v>
      </c>
      <c r="E451" s="55"/>
      <c r="F451" s="55"/>
      <c r="G451" s="12" t="s">
        <v>4643</v>
      </c>
      <c r="H451" s="74"/>
      <c r="I451" s="147" t="str">
        <f>HYPERLINK("[#]Datatypes!B536:L536","FabricationFacilityTypeCode")</f>
        <v>FabricationFacilityTypeCode</v>
      </c>
      <c r="J451" s="80"/>
      <c r="K451" s="77"/>
      <c r="L451" s="77"/>
      <c r="M451" s="71" t="str">
        <f>HYPERLINK("[#]DatatypeListedValues!A3001:H3001","&lt;values&gt;")</f>
        <v>&lt;values&gt;</v>
      </c>
      <c r="N451" s="12" t="b">
        <v>1</v>
      </c>
      <c r="O451" s="25">
        <v>100902</v>
      </c>
      <c r="P451" s="304" t="str">
        <f>CONCATENATE([1]Cover!$D$6,"fdd/view?i=",O451)</f>
        <v>https://www.dgiwg.org/FAD/fdd/view?i=100902</v>
      </c>
      <c r="Q451" s="8" t="s">
        <v>6873</v>
      </c>
      <c r="R451" s="38" t="s">
        <v>151</v>
      </c>
    </row>
    <row r="452" spans="1:18" ht="25.5">
      <c r="A452" s="302" t="str">
        <f t="shared" ref="A452:A515" si="8">HYPERLINK(P452,B452)</f>
        <v>facilityOperationalStatus</v>
      </c>
      <c r="B452" s="6" t="s">
        <v>6879</v>
      </c>
      <c r="C452" s="17" t="s">
        <v>6880</v>
      </c>
      <c r="D452" s="10" t="s">
        <v>6881</v>
      </c>
      <c r="E452" s="10" t="s">
        <v>6882</v>
      </c>
      <c r="F452" s="55"/>
      <c r="G452" s="12" t="s">
        <v>4643</v>
      </c>
      <c r="H452" s="74"/>
      <c r="I452" s="147" t="str">
        <f>HYPERLINK("[#]Datatypes!B538:L538","FacilityOperationalStatusCode")</f>
        <v>FacilityOperationalStatusCode</v>
      </c>
      <c r="J452" s="80"/>
      <c r="K452" s="77"/>
      <c r="L452" s="77"/>
      <c r="M452" s="71" t="str">
        <f>HYPERLINK("[#]DatatypeListedValues!A3003:H3003","&lt;values&gt;")</f>
        <v>&lt;values&gt;</v>
      </c>
      <c r="N452" s="12" t="b">
        <v>1</v>
      </c>
      <c r="O452" s="25">
        <v>100757</v>
      </c>
      <c r="P452" s="304" t="str">
        <f>CONCATENATE([1]Cover!$D$6,"fdd/view?i=",O452)</f>
        <v>https://www.dgiwg.org/FAD/fdd/view?i=100757</v>
      </c>
      <c r="Q452" s="8" t="s">
        <v>6878</v>
      </c>
      <c r="R452" s="38" t="s">
        <v>151</v>
      </c>
    </row>
    <row r="453" spans="1:18" ht="76.5">
      <c r="A453" s="302" t="str">
        <f t="shared" si="8"/>
        <v>facilityType</v>
      </c>
      <c r="B453" s="6" t="s">
        <v>6885</v>
      </c>
      <c r="C453" s="17" t="s">
        <v>6886</v>
      </c>
      <c r="D453" s="10" t="s">
        <v>6887</v>
      </c>
      <c r="E453" s="55"/>
      <c r="F453" s="55"/>
      <c r="G453" s="12" t="s">
        <v>4643</v>
      </c>
      <c r="H453" s="74"/>
      <c r="I453" s="147" t="str">
        <f>HYPERLINK("[#]Datatypes!B540:L540","FacilityTypeCode")</f>
        <v>FacilityTypeCode</v>
      </c>
      <c r="J453" s="80"/>
      <c r="K453" s="77"/>
      <c r="L453" s="77"/>
      <c r="M453" s="71" t="str">
        <f>HYPERLINK("[#]DatatypeListedValues!A3012:H3012","&lt;values&gt;")</f>
        <v>&lt;values&gt;</v>
      </c>
      <c r="N453" s="82" t="b">
        <v>0</v>
      </c>
      <c r="O453" s="25">
        <v>204136</v>
      </c>
      <c r="P453" s="304" t="str">
        <f>CONCATENATE([1]Cover!$D$6,"fdd/view?i=",O453)</f>
        <v>https://www.dgiwg.org/FAD/fdd/view?i=204136</v>
      </c>
      <c r="Q453" s="8" t="s">
        <v>6884</v>
      </c>
      <c r="R453" s="38" t="s">
        <v>1295</v>
      </c>
    </row>
    <row r="454" spans="1:18">
      <c r="A454" s="302" t="str">
        <f t="shared" si="8"/>
        <v>farmingMethod</v>
      </c>
      <c r="B454" s="6" t="s">
        <v>6890</v>
      </c>
      <c r="C454" s="17" t="s">
        <v>6891</v>
      </c>
      <c r="D454" s="10" t="s">
        <v>6892</v>
      </c>
      <c r="E454" s="55"/>
      <c r="F454" s="55"/>
      <c r="G454" s="12" t="s">
        <v>4643</v>
      </c>
      <c r="H454" s="12" t="s">
        <v>4700</v>
      </c>
      <c r="I454" s="147" t="str">
        <f>HYPERLINK("[#]Datatypes!B542:L542","FarmingMethodCode")</f>
        <v>FarmingMethodCode</v>
      </c>
      <c r="J454" s="80"/>
      <c r="K454" s="77"/>
      <c r="L454" s="77"/>
      <c r="M454" s="71" t="str">
        <f>HYPERLINK("[#]DatatypeListedValues!A3054:H3054","&lt;values&gt;")</f>
        <v>&lt;values&gt;</v>
      </c>
      <c r="N454" s="82" t="b">
        <v>0</v>
      </c>
      <c r="O454" s="25">
        <v>100896</v>
      </c>
      <c r="P454" s="304" t="str">
        <f>CONCATENATE([1]Cover!$D$6,"fdd/view?i=",O454)</f>
        <v>https://www.dgiwg.org/FAD/fdd/view?i=100896</v>
      </c>
      <c r="Q454" s="8" t="s">
        <v>6889</v>
      </c>
      <c r="R454" s="38" t="s">
        <v>151</v>
      </c>
    </row>
    <row r="455" spans="1:18">
      <c r="A455" s="302" t="str">
        <f t="shared" si="8"/>
        <v>farmingPattern</v>
      </c>
      <c r="B455" s="6" t="s">
        <v>6895</v>
      </c>
      <c r="C455" s="17" t="s">
        <v>6896</v>
      </c>
      <c r="D455" s="10" t="s">
        <v>6897</v>
      </c>
      <c r="E455" s="55"/>
      <c r="F455" s="55"/>
      <c r="G455" s="12" t="s">
        <v>4643</v>
      </c>
      <c r="H455" s="12" t="s">
        <v>4700</v>
      </c>
      <c r="I455" s="147" t="str">
        <f>HYPERLINK("[#]Datatypes!B544:L544","FarmingPatternCode")</f>
        <v>FarmingPatternCode</v>
      </c>
      <c r="J455" s="80"/>
      <c r="K455" s="77"/>
      <c r="L455" s="77"/>
      <c r="M455" s="71" t="str">
        <f>HYPERLINK("[#]DatatypeListedValues!A3059:H3059","&lt;values&gt;")</f>
        <v>&lt;values&gt;</v>
      </c>
      <c r="N455" s="82" t="b">
        <v>0</v>
      </c>
      <c r="O455" s="25">
        <v>100888</v>
      </c>
      <c r="P455" s="304" t="str">
        <f>CONCATENATE([1]Cover!$D$6,"fdd/view?i=",O455)</f>
        <v>https://www.dgiwg.org/FAD/fdd/view?i=100888</v>
      </c>
      <c r="Q455" s="8" t="s">
        <v>6894</v>
      </c>
      <c r="R455" s="38" t="s">
        <v>151</v>
      </c>
    </row>
    <row r="456" spans="1:18" ht="76.5">
      <c r="A456" s="302" t="str">
        <f t="shared" si="8"/>
        <v>fdicInsured</v>
      </c>
      <c r="B456" s="6" t="s">
        <v>6900</v>
      </c>
      <c r="C456" s="17" t="s">
        <v>6901</v>
      </c>
      <c r="D456" s="10" t="s">
        <v>6902</v>
      </c>
      <c r="E456" s="10" t="s">
        <v>6903</v>
      </c>
      <c r="F456" s="55"/>
      <c r="G456" s="12" t="s">
        <v>4643</v>
      </c>
      <c r="H456" s="74"/>
      <c r="I456" s="147" t="str">
        <f>HYPERLINK("[#]Datatypes!B230:L230","Boolean")</f>
        <v>Boolean</v>
      </c>
      <c r="J456" s="80"/>
      <c r="K456" s="77"/>
      <c r="L456" s="77"/>
      <c r="M456" s="78"/>
      <c r="N456" s="74"/>
      <c r="O456" s="25">
        <v>204340</v>
      </c>
      <c r="P456" s="304" t="str">
        <f>CONCATENATE([1]Cover!$D$6,"fdd/view?i=",O456)</f>
        <v>https://www.dgiwg.org/FAD/fdd/view?i=204340</v>
      </c>
      <c r="Q456" s="8" t="s">
        <v>6899</v>
      </c>
      <c r="R456" s="38" t="s">
        <v>1295</v>
      </c>
    </row>
    <row r="457" spans="1:18">
      <c r="A457" s="302" t="str">
        <f t="shared" si="8"/>
        <v>featureConfiguration</v>
      </c>
      <c r="B457" s="6" t="s">
        <v>6905</v>
      </c>
      <c r="C457" s="17" t="s">
        <v>6906</v>
      </c>
      <c r="D457" s="10" t="s">
        <v>6907</v>
      </c>
      <c r="E457" s="55"/>
      <c r="F457" s="55"/>
      <c r="G457" s="12" t="s">
        <v>4643</v>
      </c>
      <c r="H457" s="74"/>
      <c r="I457" s="147" t="str">
        <f>HYPERLINK("[#]Datatypes!B546:L546","FeatureConfigurationCode")</f>
        <v>FeatureConfigurationCode</v>
      </c>
      <c r="J457" s="80"/>
      <c r="K457" s="77"/>
      <c r="L457" s="77"/>
      <c r="M457" s="71" t="str">
        <f>HYPERLINK("[#]DatatypeListedValues!A3067:H3067","&lt;values&gt;")</f>
        <v>&lt;values&gt;</v>
      </c>
      <c r="N457" s="12" t="b">
        <v>1</v>
      </c>
      <c r="O457" s="25">
        <v>100878</v>
      </c>
      <c r="P457" s="304" t="str">
        <f>CONCATENATE([1]Cover!$D$6,"fdd/view?i=",O457)</f>
        <v>https://www.dgiwg.org/FAD/fdd/view?i=100878</v>
      </c>
      <c r="Q457" s="8" t="s">
        <v>6904</v>
      </c>
      <c r="R457" s="38" t="s">
        <v>151</v>
      </c>
    </row>
    <row r="458" spans="1:18" ht="38.25">
      <c r="A458" s="302" t="str">
        <f t="shared" si="8"/>
        <v>featureCount</v>
      </c>
      <c r="B458" s="6" t="s">
        <v>6910</v>
      </c>
      <c r="C458" s="17" t="s">
        <v>6911</v>
      </c>
      <c r="D458" s="10" t="s">
        <v>6912</v>
      </c>
      <c r="E458" s="10" t="s">
        <v>6913</v>
      </c>
      <c r="F458" s="55"/>
      <c r="G458" s="12" t="s">
        <v>4643</v>
      </c>
      <c r="H458" s="74"/>
      <c r="I458" s="147" t="str">
        <f>HYPERLINK("[#]Datatypes!B366:L366","Count")</f>
        <v>Count</v>
      </c>
      <c r="J458" s="80"/>
      <c r="K458" s="77"/>
      <c r="L458" s="77"/>
      <c r="M458" s="78"/>
      <c r="N458" s="74"/>
      <c r="O458" s="25">
        <v>100822</v>
      </c>
      <c r="P458" s="304" t="str">
        <f>CONCATENATE([1]Cover!$D$6,"fdd/view?i=",O458)</f>
        <v>https://www.dgiwg.org/FAD/fdd/view?i=100822</v>
      </c>
      <c r="Q458" s="8" t="s">
        <v>6909</v>
      </c>
      <c r="R458" s="38" t="s">
        <v>151</v>
      </c>
    </row>
    <row r="459" spans="1:18" ht="25.5">
      <c r="A459" s="302" t="str">
        <f t="shared" si="8"/>
        <v>featureElementOrientation</v>
      </c>
      <c r="B459" s="6" t="s">
        <v>6915</v>
      </c>
      <c r="C459" s="17" t="s">
        <v>6916</v>
      </c>
      <c r="D459" s="10" t="s">
        <v>6917</v>
      </c>
      <c r="E459" s="55"/>
      <c r="F459" s="55"/>
      <c r="G459" s="12" t="s">
        <v>4643</v>
      </c>
      <c r="H459" s="74"/>
      <c r="I459" s="147" t="str">
        <f>HYPERLINK("[#]Datatypes!B1115:L1115","RealNonNegInterval360")</f>
        <v>RealNonNegInterval360</v>
      </c>
      <c r="J459" s="76" t="str">
        <f>HYPERLINK("[#]PhysicalQuantities!A34:N34","Plane Angle")</f>
        <v>Plane Angle</v>
      </c>
      <c r="K459" s="75" t="str">
        <f>HYPERLINK("[#]UnitsOfMeasure!D159:G159","Arc Degree")</f>
        <v>Arc Degree</v>
      </c>
      <c r="L459" s="77"/>
      <c r="M459" s="78"/>
      <c r="N459" s="74"/>
      <c r="O459" s="25">
        <v>110703</v>
      </c>
      <c r="P459" s="304" t="str">
        <f>CONCATENATE([1]Cover!$D$6,"fdd/view?i=",O459)</f>
        <v>https://www.dgiwg.org/FAD/fdd/view?i=110703</v>
      </c>
      <c r="Q459" s="8" t="s">
        <v>6914</v>
      </c>
      <c r="R459" s="38" t="s">
        <v>151</v>
      </c>
    </row>
    <row r="460" spans="1:18" ht="25.5">
      <c r="A460" s="302" t="str">
        <f t="shared" si="8"/>
        <v>featureExtractImageIdent</v>
      </c>
      <c r="B460" s="6" t="s">
        <v>6919</v>
      </c>
      <c r="C460" s="17" t="s">
        <v>6920</v>
      </c>
      <c r="D460" s="10" t="s">
        <v>6921</v>
      </c>
      <c r="E460" s="55"/>
      <c r="F460" s="55"/>
      <c r="G460" s="12" t="s">
        <v>4643</v>
      </c>
      <c r="H460" s="74"/>
      <c r="I460" s="147" t="str">
        <f>HYPERLINK("[#]Datatypes!B1436:L1436","TextNonLex50")</f>
        <v>TextNonLex50</v>
      </c>
      <c r="J460" s="80"/>
      <c r="K460" s="77"/>
      <c r="L460" s="77"/>
      <c r="M460" s="78"/>
      <c r="N460" s="74"/>
      <c r="O460" s="25">
        <v>206199</v>
      </c>
      <c r="P460" s="304" t="str">
        <f>CONCATENATE([1]Cover!$D$6,"fdd/view?i=",O460)</f>
        <v>https://www.dgiwg.org/FAD/fdd/view?i=206199</v>
      </c>
      <c r="Q460" s="8" t="s">
        <v>6918</v>
      </c>
      <c r="R460" s="38" t="s">
        <v>1295</v>
      </c>
    </row>
    <row r="461" spans="1:18" ht="38.25">
      <c r="A461" s="302" t="str">
        <f t="shared" si="8"/>
        <v>featureExtractProcessType</v>
      </c>
      <c r="B461" s="6" t="s">
        <v>6924</v>
      </c>
      <c r="C461" s="17" t="s">
        <v>6925</v>
      </c>
      <c r="D461" s="10" t="s">
        <v>6926</v>
      </c>
      <c r="E461" s="10" t="s">
        <v>6927</v>
      </c>
      <c r="F461" s="55"/>
      <c r="G461" s="12" t="s">
        <v>4643</v>
      </c>
      <c r="H461" s="74"/>
      <c r="I461" s="147" t="str">
        <f>HYPERLINK("[#]Datatypes!B548:L548","FeatureExtractProcessTypeCode")</f>
        <v>FeatureExtractProcessTypeCode</v>
      </c>
      <c r="J461" s="80"/>
      <c r="K461" s="77"/>
      <c r="L461" s="77"/>
      <c r="M461" s="71" t="str">
        <f>HYPERLINK("[#]DatatypeListedValues!A3070:H3070","&lt;values&gt;")</f>
        <v>&lt;values&gt;</v>
      </c>
      <c r="N461" s="82" t="b">
        <v>0</v>
      </c>
      <c r="O461" s="25">
        <v>206232</v>
      </c>
      <c r="P461" s="304" t="str">
        <f>CONCATENATE([1]Cover!$D$6,"fdd/view?i=",O461)</f>
        <v>https://www.dgiwg.org/FAD/fdd/view?i=206232</v>
      </c>
      <c r="Q461" s="8" t="s">
        <v>6923</v>
      </c>
      <c r="R461" s="38" t="s">
        <v>1295</v>
      </c>
    </row>
    <row r="462" spans="1:18">
      <c r="A462" s="302" t="str">
        <f t="shared" si="8"/>
        <v>featureFunction</v>
      </c>
      <c r="B462" s="6" t="s">
        <v>6930</v>
      </c>
      <c r="C462" s="17" t="s">
        <v>6931</v>
      </c>
      <c r="D462" s="10" t="s">
        <v>6932</v>
      </c>
      <c r="E462" s="55"/>
      <c r="F462" s="55"/>
      <c r="G462" s="12" t="s">
        <v>4643</v>
      </c>
      <c r="H462" s="12" t="s">
        <v>4700</v>
      </c>
      <c r="I462" s="147" t="str">
        <f>HYPERLINK("[#]Datatypes!B550:L550","FeatureFunctionCode")</f>
        <v>FeatureFunctionCode</v>
      </c>
      <c r="J462" s="80"/>
      <c r="K462" s="77"/>
      <c r="L462" s="77"/>
      <c r="M462" s="71" t="str">
        <f>HYPERLINK("[#]DatatypeListedValues!A3075:H3075","&lt;values&gt;")</f>
        <v>&lt;values&gt;</v>
      </c>
      <c r="N462" s="82" t="b">
        <v>0</v>
      </c>
      <c r="O462" s="25">
        <v>111550</v>
      </c>
      <c r="P462" s="304" t="str">
        <f>CONCATENATE([1]Cover!$D$6,"fdd/view?i=",O462)</f>
        <v>https://www.dgiwg.org/FAD/fdd/view?i=111550</v>
      </c>
      <c r="Q462" s="8" t="s">
        <v>6929</v>
      </c>
      <c r="R462" s="38" t="s">
        <v>151</v>
      </c>
    </row>
    <row r="463" spans="1:18" ht="63.75">
      <c r="A463" s="302" t="str">
        <f t="shared" si="8"/>
        <v>featureLength</v>
      </c>
      <c r="B463" s="6" t="s">
        <v>6935</v>
      </c>
      <c r="C463" s="17" t="s">
        <v>6936</v>
      </c>
      <c r="D463" s="10" t="s">
        <v>6937</v>
      </c>
      <c r="E463" s="10" t="s">
        <v>6938</v>
      </c>
      <c r="F463" s="55"/>
      <c r="G463" s="12" t="s">
        <v>4643</v>
      </c>
      <c r="H463" s="74"/>
      <c r="I463" s="147" t="str">
        <f>HYPERLINK("[#]Datatypes!B1097:L1097","Real")</f>
        <v>Real</v>
      </c>
      <c r="J463" s="76" t="str">
        <f>HYPERLINK("[#]PhysicalQuantities!A20:N20","Length")</f>
        <v>Length</v>
      </c>
      <c r="K463" s="75" t="str">
        <f>HYPERLINK("[#]UnitsOfMeasure!D80:G80","Metre")</f>
        <v>Metre</v>
      </c>
      <c r="L463" s="77"/>
      <c r="M463" s="78"/>
      <c r="N463" s="74"/>
      <c r="O463" s="25">
        <v>119582</v>
      </c>
      <c r="P463" s="304" t="str">
        <f>CONCATENATE([1]Cover!$D$6,"fdd/view?i=",O463)</f>
        <v>https://www.dgiwg.org/FAD/fdd/view?i=119582</v>
      </c>
      <c r="Q463" s="8" t="s">
        <v>6934</v>
      </c>
      <c r="R463" s="38" t="s">
        <v>151</v>
      </c>
    </row>
    <row r="464" spans="1:18">
      <c r="A464" s="302" t="str">
        <f t="shared" si="8"/>
        <v>fenceFunction</v>
      </c>
      <c r="B464" s="6" t="s">
        <v>6940</v>
      </c>
      <c r="C464" s="17" t="s">
        <v>6941</v>
      </c>
      <c r="D464" s="10" t="s">
        <v>6942</v>
      </c>
      <c r="E464" s="55"/>
      <c r="F464" s="55"/>
      <c r="G464" s="12" t="s">
        <v>4643</v>
      </c>
      <c r="H464" s="74"/>
      <c r="I464" s="147" t="str">
        <f>HYPERLINK("[#]Datatypes!B552:L552","FenceFunctionCode")</f>
        <v>FenceFunctionCode</v>
      </c>
      <c r="J464" s="80"/>
      <c r="K464" s="77"/>
      <c r="L464" s="77"/>
      <c r="M464" s="71" t="str">
        <f>HYPERLINK("[#]DatatypeListedValues!A3407:H3407","&lt;values&gt;")</f>
        <v>&lt;values&gt;</v>
      </c>
      <c r="N464" s="82" t="b">
        <v>0</v>
      </c>
      <c r="O464" s="25">
        <v>118624</v>
      </c>
      <c r="P464" s="304" t="str">
        <f>CONCATENATE([1]Cover!$D$6,"fdd/view?i=",O464)</f>
        <v>https://www.dgiwg.org/FAD/fdd/view?i=118624</v>
      </c>
      <c r="Q464" s="8" t="s">
        <v>6939</v>
      </c>
      <c r="R464" s="38" t="s">
        <v>151</v>
      </c>
    </row>
    <row r="465" spans="1:18" ht="25.5">
      <c r="A465" s="302" t="str">
        <f t="shared" si="8"/>
        <v>fenceType</v>
      </c>
      <c r="B465" s="6" t="s">
        <v>6945</v>
      </c>
      <c r="C465" s="17" t="s">
        <v>6946</v>
      </c>
      <c r="D465" s="10" t="s">
        <v>6947</v>
      </c>
      <c r="E465" s="55"/>
      <c r="F465" s="55"/>
      <c r="G465" s="12" t="s">
        <v>4643</v>
      </c>
      <c r="H465" s="74"/>
      <c r="I465" s="147" t="str">
        <f>HYPERLINK("[#]Datatypes!B554:L554","FenceTypeCode")</f>
        <v>FenceTypeCode</v>
      </c>
      <c r="J465" s="80"/>
      <c r="K465" s="77"/>
      <c r="L465" s="77"/>
      <c r="M465" s="71" t="str">
        <f>HYPERLINK("[#]DatatypeListedValues!A3412:H3412","&lt;values&gt;")</f>
        <v>&lt;values&gt;</v>
      </c>
      <c r="N465" s="82" t="b">
        <v>0</v>
      </c>
      <c r="O465" s="25">
        <v>100901</v>
      </c>
      <c r="P465" s="304" t="str">
        <f>CONCATENATE([1]Cover!$D$6,"fdd/view?i=",O465)</f>
        <v>https://www.dgiwg.org/FAD/fdd/view?i=100901</v>
      </c>
      <c r="Q465" s="8" t="s">
        <v>6944</v>
      </c>
      <c r="R465" s="38" t="s">
        <v>151</v>
      </c>
    </row>
    <row r="466" spans="1:18" ht="25.5">
      <c r="A466" s="302" t="str">
        <f t="shared" si="8"/>
        <v>fenced</v>
      </c>
      <c r="B466" s="6" t="s">
        <v>6950</v>
      </c>
      <c r="C466" s="17" t="s">
        <v>6951</v>
      </c>
      <c r="D466" s="10" t="s">
        <v>6952</v>
      </c>
      <c r="E466" s="10" t="s">
        <v>6953</v>
      </c>
      <c r="F466" s="55"/>
      <c r="G466" s="12" t="s">
        <v>4643</v>
      </c>
      <c r="H466" s="74"/>
      <c r="I466" s="147" t="str">
        <f>HYPERLINK("[#]Datatypes!B230:L230","Boolean")</f>
        <v>Boolean</v>
      </c>
      <c r="J466" s="80"/>
      <c r="K466" s="77"/>
      <c r="L466" s="77"/>
      <c r="M466" s="78"/>
      <c r="N466" s="74"/>
      <c r="O466" s="25">
        <v>114219</v>
      </c>
      <c r="P466" s="304" t="str">
        <f>CONCATENATE([1]Cover!$D$6,"fdd/view?i=",O466)</f>
        <v>https://www.dgiwg.org/FAD/fdd/view?i=114219</v>
      </c>
      <c r="Q466" s="8" t="s">
        <v>6949</v>
      </c>
      <c r="R466" s="38" t="s">
        <v>151</v>
      </c>
    </row>
    <row r="467" spans="1:18" ht="38.25">
      <c r="A467" s="302" t="str">
        <f t="shared" si="8"/>
        <v>fenderPresent</v>
      </c>
      <c r="B467" s="6" t="s">
        <v>6955</v>
      </c>
      <c r="C467" s="17" t="s">
        <v>6956</v>
      </c>
      <c r="D467" s="10" t="s">
        <v>6957</v>
      </c>
      <c r="E467" s="55"/>
      <c r="F467" s="55"/>
      <c r="G467" s="12" t="s">
        <v>4643</v>
      </c>
      <c r="H467" s="74"/>
      <c r="I467" s="147" t="str">
        <f>HYPERLINK("[#]Datatypes!B230:L230","Boolean")</f>
        <v>Boolean</v>
      </c>
      <c r="J467" s="80"/>
      <c r="K467" s="77"/>
      <c r="L467" s="77"/>
      <c r="M467" s="78"/>
      <c r="N467" s="74"/>
      <c r="O467" s="25">
        <v>119728</v>
      </c>
      <c r="P467" s="304" t="str">
        <f>CONCATENATE([1]Cover!$D$6,"fdd/view?i=",O467)</f>
        <v>https://www.dgiwg.org/FAD/fdd/view?i=119728</v>
      </c>
      <c r="Q467" s="8" t="s">
        <v>6954</v>
      </c>
      <c r="R467" s="38" t="s">
        <v>1295</v>
      </c>
    </row>
    <row r="468" spans="1:18" ht="25.5">
      <c r="A468" s="302" t="str">
        <f t="shared" si="8"/>
        <v>ferryCrossingDistance</v>
      </c>
      <c r="B468" s="6" t="s">
        <v>6959</v>
      </c>
      <c r="C468" s="17" t="s">
        <v>6960</v>
      </c>
      <c r="D468" s="10" t="s">
        <v>6961</v>
      </c>
      <c r="E468" s="55"/>
      <c r="F468" s="55"/>
      <c r="G468" s="12" t="s">
        <v>4643</v>
      </c>
      <c r="H468" s="74"/>
      <c r="I468" s="147" t="str">
        <f>HYPERLINK("[#]Datatypes!B1099:L1099","RealInterval")</f>
        <v>RealInterval</v>
      </c>
      <c r="J468" s="76" t="str">
        <f>HYPERLINK("[#]PhysicalQuantities!A20:N20","Length")</f>
        <v>Length</v>
      </c>
      <c r="K468" s="75" t="str">
        <f>HYPERLINK("[#]UnitsOfMeasure!D80:G80","Metre")</f>
        <v>Metre</v>
      </c>
      <c r="L468" s="77"/>
      <c r="M468" s="78"/>
      <c r="N468" s="74"/>
      <c r="O468" s="25">
        <v>110701</v>
      </c>
      <c r="P468" s="304" t="str">
        <f>CONCATENATE([1]Cover!$D$6,"fdd/view?i=",O468)</f>
        <v>https://www.dgiwg.org/FAD/fdd/view?i=110701</v>
      </c>
      <c r="Q468" s="8" t="s">
        <v>6958</v>
      </c>
      <c r="R468" s="38" t="s">
        <v>151</v>
      </c>
    </row>
    <row r="469" spans="1:18">
      <c r="A469" s="302" t="str">
        <f t="shared" si="8"/>
        <v>ferryCrossingType</v>
      </c>
      <c r="B469" s="6" t="s">
        <v>6963</v>
      </c>
      <c r="C469" s="17" t="s">
        <v>6964</v>
      </c>
      <c r="D469" s="10" t="s">
        <v>6965</v>
      </c>
      <c r="E469" s="55"/>
      <c r="F469" s="55"/>
      <c r="G469" s="12" t="s">
        <v>4643</v>
      </c>
      <c r="H469" s="74"/>
      <c r="I469" s="147" t="str">
        <f>HYPERLINK("[#]Datatypes!B556:L556","FerryCrossingTypeCode")</f>
        <v>FerryCrossingTypeCode</v>
      </c>
      <c r="J469" s="80"/>
      <c r="K469" s="77"/>
      <c r="L469" s="77"/>
      <c r="M469" s="71" t="str">
        <f>HYPERLINK("[#]DatatypeListedValues!A3419:H3419","&lt;values&gt;")</f>
        <v>&lt;values&gt;</v>
      </c>
      <c r="N469" s="82" t="b">
        <v>0</v>
      </c>
      <c r="O469" s="25">
        <v>100885</v>
      </c>
      <c r="P469" s="304" t="str">
        <f>CONCATENATE([1]Cover!$D$6,"fdd/view?i=",O469)</f>
        <v>https://www.dgiwg.org/FAD/fdd/view?i=100885</v>
      </c>
      <c r="Q469" s="8" t="s">
        <v>6962</v>
      </c>
      <c r="R469" s="38" t="s">
        <v>151</v>
      </c>
    </row>
    <row r="470" spans="1:18" ht="38.25">
      <c r="A470" s="302" t="str">
        <f t="shared" si="8"/>
        <v>fileDecompressionTechnique</v>
      </c>
      <c r="B470" s="6" t="s">
        <v>6968</v>
      </c>
      <c r="C470" s="17" t="s">
        <v>6969</v>
      </c>
      <c r="D470" s="10" t="s">
        <v>6970</v>
      </c>
      <c r="E470" s="55"/>
      <c r="F470" s="55"/>
      <c r="G470" s="12" t="s">
        <v>4643</v>
      </c>
      <c r="H470" s="74"/>
      <c r="I470" s="147" t="str">
        <f>HYPERLINK("[#]Datatypes!B1416:L1416","TextLexUnconstrained")</f>
        <v>TextLexUnconstrained</v>
      </c>
      <c r="J470" s="80"/>
      <c r="K470" s="77"/>
      <c r="L470" s="77"/>
      <c r="M470" s="78"/>
      <c r="N470" s="74"/>
      <c r="O470" s="25">
        <v>207260</v>
      </c>
      <c r="P470" s="304" t="str">
        <f>CONCATENATE([1]Cover!$D$6,"fdd/view?i=",O470)</f>
        <v>https://www.dgiwg.org/FAD/fdd/view?i=207260</v>
      </c>
      <c r="Q470" s="8" t="s">
        <v>6967</v>
      </c>
      <c r="R470" s="38" t="s">
        <v>1295</v>
      </c>
    </row>
    <row r="471" spans="1:18" ht="25.5">
      <c r="A471" s="302" t="str">
        <f t="shared" si="8"/>
        <v>finalApproachAlignment</v>
      </c>
      <c r="B471" s="6" t="s">
        <v>6972</v>
      </c>
      <c r="C471" s="17" t="s">
        <v>6973</v>
      </c>
      <c r="D471" s="10" t="s">
        <v>6974</v>
      </c>
      <c r="E471" s="55"/>
      <c r="F471" s="55"/>
      <c r="G471" s="12" t="s">
        <v>4643</v>
      </c>
      <c r="H471" s="74"/>
      <c r="I471" s="147" t="str">
        <f>HYPERLINK("[#]Datatypes!B558:L558","FinalApproachAlignmentCode")</f>
        <v>FinalApproachAlignmentCode</v>
      </c>
      <c r="J471" s="80"/>
      <c r="K471" s="77"/>
      <c r="L471" s="77"/>
      <c r="M471" s="71" t="str">
        <f>HYPERLINK("[#]DatatypeListedValues!A3422:H3422","&lt;values&gt;")</f>
        <v>&lt;values&gt;</v>
      </c>
      <c r="N471" s="82" t="b">
        <v>0</v>
      </c>
      <c r="O471" s="25">
        <v>117567</v>
      </c>
      <c r="P471" s="304" t="str">
        <f>CONCATENATE([1]Cover!$D$6,"fdd/view?i=",O471)</f>
        <v>https://www.dgiwg.org/FAD/fdd/view?i=117567</v>
      </c>
      <c r="Q471" s="8" t="s">
        <v>6971</v>
      </c>
      <c r="R471" s="38" t="s">
        <v>151</v>
      </c>
    </row>
    <row r="472" spans="1:18" ht="51">
      <c r="A472" s="302" t="str">
        <f t="shared" si="8"/>
        <v>finalApproachCourseFix</v>
      </c>
      <c r="B472" s="6" t="s">
        <v>6977</v>
      </c>
      <c r="C472" s="17" t="s">
        <v>6978</v>
      </c>
      <c r="D472" s="10" t="s">
        <v>6979</v>
      </c>
      <c r="E472" s="10" t="s">
        <v>6980</v>
      </c>
      <c r="F472" s="55"/>
      <c r="G472" s="12" t="s">
        <v>4643</v>
      </c>
      <c r="H472" s="74"/>
      <c r="I472" s="147" t="str">
        <f>HYPERLINK("[#]Datatypes!B230:L230","Boolean")</f>
        <v>Boolean</v>
      </c>
      <c r="J472" s="80"/>
      <c r="K472" s="77"/>
      <c r="L472" s="77"/>
      <c r="M472" s="78"/>
      <c r="N472" s="74"/>
      <c r="O472" s="25">
        <v>119603</v>
      </c>
      <c r="P472" s="304" t="str">
        <f>CONCATENATE([1]Cover!$D$6,"fdd/view?i=",O472)</f>
        <v>https://www.dgiwg.org/FAD/fdd/view?i=119603</v>
      </c>
      <c r="Q472" s="8" t="s">
        <v>6976</v>
      </c>
      <c r="R472" s="38" t="s">
        <v>151</v>
      </c>
    </row>
    <row r="473" spans="1:18" ht="51">
      <c r="A473" s="302" t="str">
        <f t="shared" si="8"/>
        <v>finalApproachDescentAngle</v>
      </c>
      <c r="B473" s="6" t="s">
        <v>6982</v>
      </c>
      <c r="C473" s="17" t="s">
        <v>6983</v>
      </c>
      <c r="D473" s="10" t="s">
        <v>6984</v>
      </c>
      <c r="E473" s="55"/>
      <c r="F473" s="10" t="s">
        <v>6985</v>
      </c>
      <c r="G473" s="12" t="s">
        <v>4643</v>
      </c>
      <c r="H473" s="74"/>
      <c r="I473" s="147" t="str">
        <f>HYPERLINK("[#]Datatypes!B1097:L1097","Real")</f>
        <v>Real</v>
      </c>
      <c r="J473" s="76" t="str">
        <f>HYPERLINK("[#]PhysicalQuantities!A34:N34","Plane Angle")</f>
        <v>Plane Angle</v>
      </c>
      <c r="K473" s="75" t="str">
        <f>HYPERLINK("[#]UnitsOfMeasure!D159:G159","Arc Degree")</f>
        <v>Arc Degree</v>
      </c>
      <c r="L473" s="77"/>
      <c r="M473" s="78"/>
      <c r="N473" s="74"/>
      <c r="O473" s="25">
        <v>117568</v>
      </c>
      <c r="P473" s="304" t="str">
        <f>CONCATENATE([1]Cover!$D$6,"fdd/view?i=",O473)</f>
        <v>https://www.dgiwg.org/FAD/fdd/view?i=117568</v>
      </c>
      <c r="Q473" s="8" t="s">
        <v>6981</v>
      </c>
      <c r="R473" s="38" t="s">
        <v>151</v>
      </c>
    </row>
    <row r="474" spans="1:18" ht="25.5">
      <c r="A474" s="302" t="str">
        <f t="shared" si="8"/>
        <v>finalApproachGuideSystem</v>
      </c>
      <c r="B474" s="6" t="s">
        <v>6987</v>
      </c>
      <c r="C474" s="17" t="s">
        <v>6988</v>
      </c>
      <c r="D474" s="10" t="s">
        <v>6989</v>
      </c>
      <c r="E474" s="55"/>
      <c r="F474" s="55"/>
      <c r="G474" s="12" t="s">
        <v>4643</v>
      </c>
      <c r="H474" s="74"/>
      <c r="I474" s="147" t="str">
        <f>HYPERLINK("[#]Datatypes!B560:L560","finalApproachGuideSystemCode")</f>
        <v>finalApproachGuideSystemCode</v>
      </c>
      <c r="J474" s="80"/>
      <c r="K474" s="77"/>
      <c r="L474" s="77"/>
      <c r="M474" s="71" t="str">
        <f>HYPERLINK("[#]DatatypeListedValues!A3425:H3425","&lt;values&gt;")</f>
        <v>&lt;values&gt;</v>
      </c>
      <c r="N474" s="82" t="b">
        <v>0</v>
      </c>
      <c r="O474" s="25">
        <v>207082</v>
      </c>
      <c r="P474" s="304" t="str">
        <f>CONCATENATE([1]Cover!$D$6,"fdd/view?i=",O474)</f>
        <v>https://www.dgiwg.org/FAD/fdd/view?i=207082</v>
      </c>
      <c r="Q474" s="8" t="s">
        <v>6986</v>
      </c>
      <c r="R474" s="38" t="s">
        <v>1295</v>
      </c>
    </row>
    <row r="475" spans="1:18" ht="38.25">
      <c r="A475" s="302" t="str">
        <f t="shared" si="8"/>
        <v>fips104CountryCode</v>
      </c>
      <c r="B475" s="6" t="s">
        <v>6992</v>
      </c>
      <c r="C475" s="17" t="s">
        <v>6993</v>
      </c>
      <c r="D475" s="10" t="s">
        <v>6994</v>
      </c>
      <c r="E475" s="10" t="s">
        <v>6995</v>
      </c>
      <c r="F475" s="55"/>
      <c r="G475" s="12" t="s">
        <v>4643</v>
      </c>
      <c r="H475" s="74"/>
      <c r="I475" s="147" t="str">
        <f>HYPERLINK("[#]Datatypes!B562:L562","Fips104CountryCodeList")</f>
        <v>Fips104CountryCodeList</v>
      </c>
      <c r="J475" s="80"/>
      <c r="K475" s="77"/>
      <c r="L475" s="77"/>
      <c r="M475" s="78"/>
      <c r="N475" s="74"/>
      <c r="O475" s="25">
        <v>111553</v>
      </c>
      <c r="P475" s="304" t="str">
        <f>CONCATENATE([1]Cover!$D$6,"fdd/view?i=",O475)</f>
        <v>https://www.dgiwg.org/FAD/fdd/view?i=111553</v>
      </c>
      <c r="Q475" s="8" t="s">
        <v>6991</v>
      </c>
      <c r="R475" s="38" t="s">
        <v>151</v>
      </c>
    </row>
    <row r="476" spans="1:18" ht="25.5">
      <c r="A476" s="302" t="str">
        <f t="shared" si="8"/>
        <v>fips104CountryName</v>
      </c>
      <c r="B476" s="6" t="s">
        <v>6998</v>
      </c>
      <c r="C476" s="17" t="s">
        <v>6999</v>
      </c>
      <c r="D476" s="10" t="s">
        <v>7000</v>
      </c>
      <c r="E476" s="10" t="s">
        <v>7001</v>
      </c>
      <c r="F476" s="55"/>
      <c r="G476" s="12" t="s">
        <v>4643</v>
      </c>
      <c r="H476" s="74"/>
      <c r="I476" s="147" t="str">
        <f>HYPERLINK("[#]Datatypes!B1436:L1436","TextNonLex50")</f>
        <v>TextNonLex50</v>
      </c>
      <c r="J476" s="80"/>
      <c r="K476" s="77"/>
      <c r="L476" s="77"/>
      <c r="M476" s="78"/>
      <c r="N476" s="74"/>
      <c r="O476" s="25">
        <v>111554</v>
      </c>
      <c r="P476" s="304" t="str">
        <f>CONCATENATE([1]Cover!$D$6,"fdd/view?i=",O476)</f>
        <v>https://www.dgiwg.org/FAD/fdd/view?i=111554</v>
      </c>
      <c r="Q476" s="8" t="s">
        <v>6997</v>
      </c>
      <c r="R476" s="38" t="s">
        <v>151</v>
      </c>
    </row>
    <row r="477" spans="1:18" ht="63.75">
      <c r="A477" s="302" t="str">
        <f t="shared" si="8"/>
        <v>fips104PrinAdminDivCode</v>
      </c>
      <c r="B477" s="6" t="s">
        <v>7003</v>
      </c>
      <c r="C477" s="17" t="s">
        <v>7004</v>
      </c>
      <c r="D477" s="10" t="s">
        <v>7005</v>
      </c>
      <c r="E477" s="10" t="s">
        <v>7006</v>
      </c>
      <c r="F477" s="55"/>
      <c r="G477" s="12" t="s">
        <v>4643</v>
      </c>
      <c r="H477" s="74"/>
      <c r="I477" s="147" t="str">
        <f>HYPERLINK("[#]Datatypes!B566:L566","Fips104PrinAdminDivExtCodeList")</f>
        <v>Fips104PrinAdminDivExtCodeList</v>
      </c>
      <c r="J477" s="80"/>
      <c r="K477" s="77"/>
      <c r="L477" s="77"/>
      <c r="M477" s="78"/>
      <c r="N477" s="74"/>
      <c r="O477" s="25">
        <v>111557</v>
      </c>
      <c r="P477" s="304" t="str">
        <f>CONCATENATE([1]Cover!$D$6,"fdd/view?i=",O477)</f>
        <v>https://www.dgiwg.org/FAD/fdd/view?i=111557</v>
      </c>
      <c r="Q477" s="8" t="s">
        <v>7002</v>
      </c>
      <c r="R477" s="38" t="s">
        <v>151</v>
      </c>
    </row>
    <row r="478" spans="1:18" ht="51">
      <c r="A478" s="302" t="str">
        <f t="shared" si="8"/>
        <v>fips104PrinAdminDivExtCd</v>
      </c>
      <c r="B478" s="6" t="s">
        <v>7009</v>
      </c>
      <c r="C478" s="17" t="s">
        <v>7010</v>
      </c>
      <c r="D478" s="10" t="s">
        <v>7011</v>
      </c>
      <c r="E478" s="10" t="s">
        <v>7012</v>
      </c>
      <c r="F478" s="55"/>
      <c r="G478" s="12" t="s">
        <v>4643</v>
      </c>
      <c r="H478" s="74"/>
      <c r="I478" s="147" t="str">
        <f>HYPERLINK("[#]Datatypes!B564:L564","Fips104PrinAdminDivCodeList")</f>
        <v>Fips104PrinAdminDivCodeList</v>
      </c>
      <c r="J478" s="80"/>
      <c r="K478" s="77"/>
      <c r="L478" s="77"/>
      <c r="M478" s="78"/>
      <c r="N478" s="74"/>
      <c r="O478" s="25">
        <v>111555</v>
      </c>
      <c r="P478" s="304" t="str">
        <f>CONCATENATE([1]Cover!$D$6,"fdd/view?i=",O478)</f>
        <v>https://www.dgiwg.org/FAD/fdd/view?i=111555</v>
      </c>
      <c r="Q478" s="8" t="s">
        <v>7008</v>
      </c>
      <c r="R478" s="38" t="s">
        <v>151</v>
      </c>
    </row>
    <row r="479" spans="1:18" ht="38.25">
      <c r="A479" s="302" t="str">
        <f t="shared" si="8"/>
        <v>fips104PrinAdminDivName</v>
      </c>
      <c r="B479" s="6" t="s">
        <v>7015</v>
      </c>
      <c r="C479" s="17" t="s">
        <v>7016</v>
      </c>
      <c r="D479" s="10" t="s">
        <v>7017</v>
      </c>
      <c r="E479" s="10" t="s">
        <v>7018</v>
      </c>
      <c r="F479" s="55"/>
      <c r="G479" s="12" t="s">
        <v>4643</v>
      </c>
      <c r="H479" s="74"/>
      <c r="I479" s="147" t="str">
        <f>HYPERLINK("[#]Datatypes!B1438:L1438","TextNonLex60")</f>
        <v>TextNonLex60</v>
      </c>
      <c r="J479" s="80"/>
      <c r="K479" s="77"/>
      <c r="L479" s="77"/>
      <c r="M479" s="78"/>
      <c r="N479" s="74"/>
      <c r="O479" s="25">
        <v>111556</v>
      </c>
      <c r="P479" s="304" t="str">
        <f>CONCATENATE([1]Cover!$D$6,"fdd/view?i=",O479)</f>
        <v>https://www.dgiwg.org/FAD/fdd/view?i=111556</v>
      </c>
      <c r="Q479" s="8" t="s">
        <v>7014</v>
      </c>
      <c r="R479" s="38" t="s">
        <v>151</v>
      </c>
    </row>
    <row r="480" spans="1:18" ht="25.5">
      <c r="A480" s="302" t="str">
        <f t="shared" si="8"/>
        <v>fireExtinguishStockLevel</v>
      </c>
      <c r="B480" s="6" t="s">
        <v>7021</v>
      </c>
      <c r="C480" s="17" t="s">
        <v>7022</v>
      </c>
      <c r="D480" s="10" t="s">
        <v>7023</v>
      </c>
      <c r="E480" s="55"/>
      <c r="F480" s="55"/>
      <c r="G480" s="12" t="s">
        <v>4643</v>
      </c>
      <c r="H480" s="74"/>
      <c r="I480" s="147" t="str">
        <f>HYPERLINK("[#]Datatypes!B1416:L1416","TextLexUnconstrained")</f>
        <v>TextLexUnconstrained</v>
      </c>
      <c r="J480" s="80"/>
      <c r="K480" s="77"/>
      <c r="L480" s="77"/>
      <c r="M480" s="78"/>
      <c r="N480" s="74"/>
      <c r="O480" s="25">
        <v>207671</v>
      </c>
      <c r="P480" s="304" t="str">
        <f>CONCATENATE([1]Cover!$D$6,"fdd/view?i=",O480)</f>
        <v>https://www.dgiwg.org/FAD/fdd/view?i=207671</v>
      </c>
      <c r="Q480" s="8" t="s">
        <v>7020</v>
      </c>
      <c r="R480" s="38" t="s">
        <v>1295</v>
      </c>
    </row>
    <row r="481" spans="1:18" ht="38.25">
      <c r="A481" s="302" t="str">
        <f t="shared" si="8"/>
        <v>fireExtinguishAgentType</v>
      </c>
      <c r="B481" s="6" t="s">
        <v>7025</v>
      </c>
      <c r="C481" s="17" t="s">
        <v>7026</v>
      </c>
      <c r="D481" s="10" t="s">
        <v>7027</v>
      </c>
      <c r="E481" s="10" t="s">
        <v>7028</v>
      </c>
      <c r="F481" s="55"/>
      <c r="G481" s="12" t="s">
        <v>4643</v>
      </c>
      <c r="H481" s="74"/>
      <c r="I481" s="147" t="str">
        <f>HYPERLINK("[#]Datatypes!B568:L568","FireExtinguishAgentTypeCode")</f>
        <v>FireExtinguishAgentTypeCode</v>
      </c>
      <c r="J481" s="80"/>
      <c r="K481" s="77"/>
      <c r="L481" s="77"/>
      <c r="M481" s="71" t="str">
        <f>HYPERLINK("[#]DatatypeListedValues!A3464:H3464","&lt;values&gt;")</f>
        <v>&lt;values&gt;</v>
      </c>
      <c r="N481" s="82" t="b">
        <v>0</v>
      </c>
      <c r="O481" s="25">
        <v>207697</v>
      </c>
      <c r="P481" s="304" t="str">
        <f>CONCATENATE([1]Cover!$D$6,"fdd/view?i=",O481)</f>
        <v>https://www.dgiwg.org/FAD/fdd/view?i=207697</v>
      </c>
      <c r="Q481" s="8" t="s">
        <v>7024</v>
      </c>
      <c r="R481" s="38" t="s">
        <v>1295</v>
      </c>
    </row>
    <row r="482" spans="1:18" ht="25.5">
      <c r="A482" s="302" t="str">
        <f t="shared" si="8"/>
        <v>firstDetectionDateTime</v>
      </c>
      <c r="B482" s="6" t="s">
        <v>7031</v>
      </c>
      <c r="C482" s="17" t="s">
        <v>7032</v>
      </c>
      <c r="D482" s="10" t="s">
        <v>7033</v>
      </c>
      <c r="E482" s="55"/>
      <c r="F482" s="55"/>
      <c r="G482" s="12" t="s">
        <v>4643</v>
      </c>
      <c r="H482" s="74"/>
      <c r="I482" s="147" t="str">
        <f>HYPERLINK("[#]Datatypes!B570:L570","FirstDetectionDateTimeStrucText")</f>
        <v>FirstDetectionDateTimeStrucText</v>
      </c>
      <c r="J482" s="80"/>
      <c r="K482" s="77"/>
      <c r="L482" s="77"/>
      <c r="M482" s="78"/>
      <c r="N482" s="74"/>
      <c r="O482" s="25">
        <v>117782</v>
      </c>
      <c r="P482" s="304" t="str">
        <f>CONCATENATE([1]Cover!$D$6,"fdd/view?i=",O482)</f>
        <v>https://www.dgiwg.org/FAD/fdd/view?i=117782</v>
      </c>
      <c r="Q482" s="8" t="s">
        <v>7030</v>
      </c>
      <c r="R482" s="38" t="s">
        <v>151</v>
      </c>
    </row>
    <row r="483" spans="1:18">
      <c r="A483" s="302" t="str">
        <f t="shared" si="8"/>
        <v>fishingActivityLevel</v>
      </c>
      <c r="B483" s="6" t="s">
        <v>7036</v>
      </c>
      <c r="C483" s="17" t="s">
        <v>7037</v>
      </c>
      <c r="D483" s="10" t="s">
        <v>7038</v>
      </c>
      <c r="E483" s="55"/>
      <c r="F483" s="55"/>
      <c r="G483" s="12" t="s">
        <v>4643</v>
      </c>
      <c r="H483" s="74"/>
      <c r="I483" s="147" t="str">
        <f>HYPERLINK("[#]Datatypes!B572:L572","FishingActivityLevelCode")</f>
        <v>FishingActivityLevelCode</v>
      </c>
      <c r="J483" s="80"/>
      <c r="K483" s="77"/>
      <c r="L483" s="77"/>
      <c r="M483" s="71" t="str">
        <f>HYPERLINK("[#]DatatypeListedValues!A3486:H3486","&lt;values&gt;")</f>
        <v>&lt;values&gt;</v>
      </c>
      <c r="N483" s="12" t="b">
        <v>1</v>
      </c>
      <c r="O483" s="25">
        <v>206229</v>
      </c>
      <c r="P483" s="304" t="str">
        <f>CONCATENATE([1]Cover!$D$6,"fdd/view?i=",O483)</f>
        <v>https://www.dgiwg.org/FAD/fdd/view?i=206229</v>
      </c>
      <c r="Q483" s="8" t="s">
        <v>7035</v>
      </c>
      <c r="R483" s="38" t="s">
        <v>1295</v>
      </c>
    </row>
    <row r="484" spans="1:18" ht="25.5">
      <c r="A484" s="302" t="str">
        <f t="shared" si="8"/>
        <v>fishingGearType</v>
      </c>
      <c r="B484" s="6" t="s">
        <v>7041</v>
      </c>
      <c r="C484" s="17" t="s">
        <v>7042</v>
      </c>
      <c r="D484" s="10" t="s">
        <v>7043</v>
      </c>
      <c r="E484" s="55"/>
      <c r="F484" s="55"/>
      <c r="G484" s="12" t="s">
        <v>4643</v>
      </c>
      <c r="H484" s="12" t="s">
        <v>4700</v>
      </c>
      <c r="I484" s="147" t="str">
        <f>HYPERLINK("[#]Datatypes!B574:L574","FishingGearTypeCode")</f>
        <v>FishingGearTypeCode</v>
      </c>
      <c r="J484" s="80"/>
      <c r="K484" s="77"/>
      <c r="L484" s="77"/>
      <c r="M484" s="71" t="str">
        <f>HYPERLINK("[#]DatatypeListedValues!A3489:H3489","&lt;values&gt;")</f>
        <v>&lt;values&gt;</v>
      </c>
      <c r="N484" s="82" t="b">
        <v>0</v>
      </c>
      <c r="O484" s="25">
        <v>206237</v>
      </c>
      <c r="P484" s="304" t="str">
        <f>CONCATENATE([1]Cover!$D$6,"fdd/view?i=",O484)</f>
        <v>https://www.dgiwg.org/FAD/fdd/view?i=206237</v>
      </c>
      <c r="Q484" s="8" t="s">
        <v>7040</v>
      </c>
      <c r="R484" s="38" t="s">
        <v>1295</v>
      </c>
    </row>
    <row r="485" spans="1:18" ht="25.5">
      <c r="A485" s="302" t="str">
        <f t="shared" si="8"/>
        <v>fpapOffsetLength</v>
      </c>
      <c r="B485" s="6" t="s">
        <v>7046</v>
      </c>
      <c r="C485" s="17" t="s">
        <v>7047</v>
      </c>
      <c r="D485" s="10" t="s">
        <v>7048</v>
      </c>
      <c r="E485" s="55"/>
      <c r="F485" s="55"/>
      <c r="G485" s="12" t="s">
        <v>4643</v>
      </c>
      <c r="H485" s="74"/>
      <c r="I485" s="147" t="str">
        <f>HYPERLINK("[#]Datatypes!B958:L958","RealNonNegative")</f>
        <v>RealNonNegative</v>
      </c>
      <c r="J485" s="76" t="str">
        <f>HYPERLINK("[#]PhysicalQuantities!A20:N20","Length")</f>
        <v>Length</v>
      </c>
      <c r="K485" s="75" t="str">
        <f>HYPERLINK("[#]UnitsOfMeasure!D80:G80","Metre")</f>
        <v>Metre</v>
      </c>
      <c r="L485" s="77"/>
      <c r="M485" s="78"/>
      <c r="N485" s="74"/>
      <c r="O485" s="25">
        <v>119604</v>
      </c>
      <c r="P485" s="304" t="str">
        <f>CONCATENATE([1]Cover!$D$6,"fdd/view?i=",O485)</f>
        <v>https://www.dgiwg.org/FAD/fdd/view?i=119604</v>
      </c>
      <c r="Q485" s="8" t="s">
        <v>7045</v>
      </c>
      <c r="R485" s="38" t="s">
        <v>151</v>
      </c>
    </row>
    <row r="486" spans="1:18" ht="25.5">
      <c r="A486" s="302" t="str">
        <f t="shared" si="8"/>
        <v>procedureTurnNotAuthorised</v>
      </c>
      <c r="B486" s="6" t="s">
        <v>7050</v>
      </c>
      <c r="C486" s="17" t="s">
        <v>7051</v>
      </c>
      <c r="D486" s="10" t="s">
        <v>7052</v>
      </c>
      <c r="E486" s="55"/>
      <c r="F486" s="55"/>
      <c r="G486" s="12" t="s">
        <v>4643</v>
      </c>
      <c r="H486" s="74"/>
      <c r="I486" s="147" t="str">
        <f>HYPERLINK("[#]Datatypes!B230:L230","Boolean")</f>
        <v>Boolean</v>
      </c>
      <c r="J486" s="80"/>
      <c r="K486" s="77"/>
      <c r="L486" s="77"/>
      <c r="M486" s="78"/>
      <c r="N486" s="74"/>
      <c r="O486" s="25">
        <v>119607</v>
      </c>
      <c r="P486" s="304" t="str">
        <f>CONCATENATE([1]Cover!$D$6,"fdd/view?i=",O486)</f>
        <v>https://www.dgiwg.org/FAD/fdd/view?i=119607</v>
      </c>
      <c r="Q486" s="8" t="s">
        <v>7049</v>
      </c>
      <c r="R486" s="38" t="s">
        <v>151</v>
      </c>
    </row>
    <row r="487" spans="1:18" ht="25.5">
      <c r="A487" s="302" t="str">
        <f t="shared" si="8"/>
        <v>flightRuleType</v>
      </c>
      <c r="B487" s="6" t="s">
        <v>7054</v>
      </c>
      <c r="C487" s="17" t="s">
        <v>7055</v>
      </c>
      <c r="D487" s="10" t="s">
        <v>7056</v>
      </c>
      <c r="E487" s="10" t="s">
        <v>7057</v>
      </c>
      <c r="F487" s="55"/>
      <c r="G487" s="12" t="s">
        <v>4643</v>
      </c>
      <c r="H487" s="74"/>
      <c r="I487" s="147" t="str">
        <f>HYPERLINK("[#]Datatypes!B576:L576","FlightRuleTypeCode")</f>
        <v>FlightRuleTypeCode</v>
      </c>
      <c r="J487" s="80"/>
      <c r="K487" s="77"/>
      <c r="L487" s="77"/>
      <c r="M487" s="71" t="str">
        <f>HYPERLINK("[#]DatatypeListedValues!A3526:H3526","&lt;values&gt;")</f>
        <v>&lt;values&gt;</v>
      </c>
      <c r="N487" s="82" t="b">
        <v>0</v>
      </c>
      <c r="O487" s="25">
        <v>117483</v>
      </c>
      <c r="P487" s="304" t="str">
        <f>CONCATENATE([1]Cover!$D$6,"fdd/view?i=",O487)</f>
        <v>https://www.dgiwg.org/FAD/fdd/view?i=117483</v>
      </c>
      <c r="Q487" s="8" t="s">
        <v>7053</v>
      </c>
      <c r="R487" s="38" t="s">
        <v>151</v>
      </c>
    </row>
    <row r="488" spans="1:18" ht="25.5">
      <c r="A488" s="302" t="str">
        <f t="shared" si="8"/>
        <v>flightStripCapable</v>
      </c>
      <c r="B488" s="6" t="s">
        <v>7060</v>
      </c>
      <c r="C488" s="17" t="s">
        <v>7061</v>
      </c>
      <c r="D488" s="10" t="s">
        <v>7062</v>
      </c>
      <c r="E488" s="10" t="s">
        <v>7063</v>
      </c>
      <c r="F488" s="55"/>
      <c r="G488" s="12" t="s">
        <v>4643</v>
      </c>
      <c r="H488" s="74"/>
      <c r="I488" s="147" t="str">
        <f>HYPERLINK("[#]Datatypes!B230:L230","Boolean")</f>
        <v>Boolean</v>
      </c>
      <c r="J488" s="80"/>
      <c r="K488" s="77"/>
      <c r="L488" s="77"/>
      <c r="M488" s="78"/>
      <c r="N488" s="74"/>
      <c r="O488" s="25">
        <v>103060</v>
      </c>
      <c r="P488" s="304" t="str">
        <f>CONCATENATE([1]Cover!$D$6,"fdd/view?i=",O488)</f>
        <v>https://www.dgiwg.org/FAD/fdd/view?i=103060</v>
      </c>
      <c r="Q488" s="8" t="s">
        <v>7059</v>
      </c>
      <c r="R488" s="38" t="s">
        <v>151</v>
      </c>
    </row>
    <row r="489" spans="1:18">
      <c r="A489" s="302" t="str">
        <f t="shared" si="8"/>
        <v>floating</v>
      </c>
      <c r="B489" s="6" t="s">
        <v>7065</v>
      </c>
      <c r="C489" s="17" t="s">
        <v>7066</v>
      </c>
      <c r="D489" s="10" t="s">
        <v>7067</v>
      </c>
      <c r="E489" s="55"/>
      <c r="F489" s="55"/>
      <c r="G489" s="12" t="s">
        <v>4643</v>
      </c>
      <c r="H489" s="74"/>
      <c r="I489" s="147" t="str">
        <f>HYPERLINK("[#]Datatypes!B230:L230","Boolean")</f>
        <v>Boolean</v>
      </c>
      <c r="J489" s="80"/>
      <c r="K489" s="77"/>
      <c r="L489" s="77"/>
      <c r="M489" s="78"/>
      <c r="N489" s="74"/>
      <c r="O489" s="25">
        <v>110761</v>
      </c>
      <c r="P489" s="304" t="str">
        <f>CONCATENATE([1]Cover!$D$6,"fdd/view?i=",O489)</f>
        <v>https://www.dgiwg.org/FAD/fdd/view?i=110761</v>
      </c>
      <c r="Q489" s="8" t="s">
        <v>7064</v>
      </c>
      <c r="R489" s="38" t="s">
        <v>151</v>
      </c>
    </row>
    <row r="490" spans="1:18">
      <c r="A490" s="302" t="str">
        <f t="shared" si="8"/>
        <v>floatingBarrierType</v>
      </c>
      <c r="B490" s="6" t="s">
        <v>7069</v>
      </c>
      <c r="C490" s="17" t="s">
        <v>7070</v>
      </c>
      <c r="D490" s="10" t="s">
        <v>7071</v>
      </c>
      <c r="E490" s="55"/>
      <c r="F490" s="55"/>
      <c r="G490" s="12" t="s">
        <v>4643</v>
      </c>
      <c r="H490" s="74"/>
      <c r="I490" s="147" t="str">
        <f>HYPERLINK("[#]Datatypes!B578:L578","FloatingBarrierTypeCode")</f>
        <v>FloatingBarrierTypeCode</v>
      </c>
      <c r="J490" s="80"/>
      <c r="K490" s="77"/>
      <c r="L490" s="77"/>
      <c r="M490" s="71" t="str">
        <f>HYPERLINK("[#]DatatypeListedValues!A3529:H3529","&lt;values&gt;")</f>
        <v>&lt;values&gt;</v>
      </c>
      <c r="N490" s="82" t="b">
        <v>0</v>
      </c>
      <c r="O490" s="25">
        <v>117780</v>
      </c>
      <c r="P490" s="304" t="str">
        <f>CONCATENATE([1]Cover!$D$6,"fdd/view?i=",O490)</f>
        <v>https://www.dgiwg.org/FAD/fdd/view?i=117780</v>
      </c>
      <c r="Q490" s="8" t="s">
        <v>7068</v>
      </c>
      <c r="R490" s="38" t="s">
        <v>151</v>
      </c>
    </row>
    <row r="491" spans="1:18" ht="25.5">
      <c r="A491" s="302" t="str">
        <f t="shared" si="8"/>
        <v>floodControlStructureType</v>
      </c>
      <c r="B491" s="6" t="s">
        <v>7074</v>
      </c>
      <c r="C491" s="17" t="s">
        <v>7075</v>
      </c>
      <c r="D491" s="10" t="s">
        <v>7076</v>
      </c>
      <c r="E491" s="55"/>
      <c r="F491" s="55"/>
      <c r="G491" s="12" t="s">
        <v>4643</v>
      </c>
      <c r="H491" s="74"/>
      <c r="I491" s="147" t="str">
        <f>HYPERLINK("[#]Datatypes!B580:L580","FloodControlStrucTypeCode")</f>
        <v>FloodControlStrucTypeCode</v>
      </c>
      <c r="J491" s="80"/>
      <c r="K491" s="77"/>
      <c r="L491" s="77"/>
      <c r="M491" s="71" t="str">
        <f>HYPERLINK("[#]DatatypeListedValues!A3533:H3533","&lt;values&gt;")</f>
        <v>&lt;values&gt;</v>
      </c>
      <c r="N491" s="82" t="b">
        <v>0</v>
      </c>
      <c r="O491" s="25">
        <v>117781</v>
      </c>
      <c r="P491" s="304" t="str">
        <f>CONCATENATE([1]Cover!$D$6,"fdd/view?i=",O491)</f>
        <v>https://www.dgiwg.org/FAD/fdd/view?i=117781</v>
      </c>
      <c r="Q491" s="8" t="s">
        <v>7073</v>
      </c>
      <c r="R491" s="38" t="s">
        <v>151</v>
      </c>
    </row>
    <row r="492" spans="1:18">
      <c r="A492" s="302" t="str">
        <f t="shared" si="8"/>
        <v>floodlit</v>
      </c>
      <c r="B492" s="6" t="s">
        <v>7079</v>
      </c>
      <c r="C492" s="17" t="s">
        <v>7080</v>
      </c>
      <c r="D492" s="10" t="s">
        <v>7081</v>
      </c>
      <c r="E492" s="55"/>
      <c r="F492" s="55"/>
      <c r="G492" s="12" t="s">
        <v>4643</v>
      </c>
      <c r="H492" s="74"/>
      <c r="I492" s="147" t="str">
        <f>HYPERLINK("[#]Datatypes!B230:L230","Boolean")</f>
        <v>Boolean</v>
      </c>
      <c r="J492" s="80"/>
      <c r="K492" s="77"/>
      <c r="L492" s="77"/>
      <c r="M492" s="78"/>
      <c r="N492" s="74"/>
      <c r="O492" s="25">
        <v>110704</v>
      </c>
      <c r="P492" s="304" t="str">
        <f>CONCATENATE([1]Cover!$D$6,"fdd/view?i=",O492)</f>
        <v>https://www.dgiwg.org/FAD/fdd/view?i=110704</v>
      </c>
      <c r="Q492" s="8" t="s">
        <v>7078</v>
      </c>
      <c r="R492" s="38" t="s">
        <v>151</v>
      </c>
    </row>
    <row r="493" spans="1:18">
      <c r="A493" s="302" t="str">
        <f t="shared" si="8"/>
        <v>floorCount</v>
      </c>
      <c r="B493" s="6" t="s">
        <v>7083</v>
      </c>
      <c r="C493" s="17" t="s">
        <v>7084</v>
      </c>
      <c r="D493" s="10" t="s">
        <v>7085</v>
      </c>
      <c r="E493" s="55"/>
      <c r="F493" s="55"/>
      <c r="G493" s="12" t="s">
        <v>4643</v>
      </c>
      <c r="H493" s="74"/>
      <c r="I493" s="147" t="str">
        <f>HYPERLINK("[#]Datatypes!B366:L366","Count")</f>
        <v>Count</v>
      </c>
      <c r="J493" s="80"/>
      <c r="K493" s="77"/>
      <c r="L493" s="77"/>
      <c r="M493" s="78"/>
      <c r="N493" s="74"/>
      <c r="O493" s="25">
        <v>100668</v>
      </c>
      <c r="P493" s="304" t="str">
        <f>CONCATENATE([1]Cover!$D$6,"fdd/view?i=",O493)</f>
        <v>https://www.dgiwg.org/FAD/fdd/view?i=100668</v>
      </c>
      <c r="Q493" s="8" t="s">
        <v>7082</v>
      </c>
      <c r="R493" s="38" t="s">
        <v>151</v>
      </c>
    </row>
    <row r="494" spans="1:18">
      <c r="A494" s="302" t="str">
        <f t="shared" si="8"/>
        <v>fogDetectorLightPresent</v>
      </c>
      <c r="B494" s="6" t="s">
        <v>7087</v>
      </c>
      <c r="C494" s="17" t="s">
        <v>7088</v>
      </c>
      <c r="D494" s="10" t="s">
        <v>7089</v>
      </c>
      <c r="E494" s="55"/>
      <c r="F494" s="55"/>
      <c r="G494" s="12" t="s">
        <v>4643</v>
      </c>
      <c r="H494" s="74"/>
      <c r="I494" s="147" t="str">
        <f>HYPERLINK("[#]Datatypes!B230:L230","Boolean")</f>
        <v>Boolean</v>
      </c>
      <c r="J494" s="80"/>
      <c r="K494" s="77"/>
      <c r="L494" s="77"/>
      <c r="M494" s="78"/>
      <c r="N494" s="74"/>
      <c r="O494" s="25">
        <v>100881</v>
      </c>
      <c r="P494" s="304" t="str">
        <f>CONCATENATE([1]Cover!$D$6,"fdd/view?i=",O494)</f>
        <v>https://www.dgiwg.org/FAD/fdd/view?i=100881</v>
      </c>
      <c r="Q494" s="8" t="s">
        <v>7086</v>
      </c>
      <c r="R494" s="38" t="s">
        <v>151</v>
      </c>
    </row>
    <row r="495" spans="1:18" ht="25.5">
      <c r="A495" s="302" t="str">
        <f t="shared" si="8"/>
        <v>fogSignalType</v>
      </c>
      <c r="B495" s="6" t="s">
        <v>7091</v>
      </c>
      <c r="C495" s="17" t="s">
        <v>7092</v>
      </c>
      <c r="D495" s="10" t="s">
        <v>7093</v>
      </c>
      <c r="E495" s="55"/>
      <c r="F495" s="55"/>
      <c r="G495" s="12" t="s">
        <v>4643</v>
      </c>
      <c r="H495" s="74"/>
      <c r="I495" s="147" t="str">
        <f>HYPERLINK("[#]Datatypes!B582:L582","FogSignalTypeCode")</f>
        <v>FogSignalTypeCode</v>
      </c>
      <c r="J495" s="80"/>
      <c r="K495" s="77"/>
      <c r="L495" s="77"/>
      <c r="M495" s="71" t="str">
        <f>HYPERLINK("[#]DatatypeListedValues!A3538:H3538","&lt;values&gt;")</f>
        <v>&lt;values&gt;</v>
      </c>
      <c r="N495" s="82" t="b">
        <v>0</v>
      </c>
      <c r="O495" s="25">
        <v>101333</v>
      </c>
      <c r="P495" s="304" t="str">
        <f>CONCATENATE([1]Cover!$D$6,"fdd/view?i=",O495)</f>
        <v>https://www.dgiwg.org/FAD/fdd/view?i=101333</v>
      </c>
      <c r="Q495" s="8" t="s">
        <v>7090</v>
      </c>
      <c r="R495" s="38" t="s">
        <v>151</v>
      </c>
    </row>
    <row r="496" spans="1:18">
      <c r="A496" s="302" t="str">
        <f t="shared" si="8"/>
        <v>foliageType</v>
      </c>
      <c r="B496" s="6" t="s">
        <v>7096</v>
      </c>
      <c r="C496" s="17" t="s">
        <v>7097</v>
      </c>
      <c r="D496" s="10" t="s">
        <v>7098</v>
      </c>
      <c r="E496" s="55"/>
      <c r="F496" s="55"/>
      <c r="G496" s="12" t="s">
        <v>4643</v>
      </c>
      <c r="H496" s="74"/>
      <c r="I496" s="147" t="str">
        <f>HYPERLINK("[#]Datatypes!B584:L584","FoliageTypeCode")</f>
        <v>FoliageTypeCode</v>
      </c>
      <c r="J496" s="80"/>
      <c r="K496" s="77"/>
      <c r="L496" s="77"/>
      <c r="M496" s="71" t="str">
        <f>HYPERLINK("[#]DatatypeListedValues!A3551:H3551","&lt;values&gt;")</f>
        <v>&lt;values&gt;</v>
      </c>
      <c r="N496" s="82" t="b">
        <v>0</v>
      </c>
      <c r="O496" s="25">
        <v>101379</v>
      </c>
      <c r="P496" s="304" t="str">
        <f>CONCATENATE([1]Cover!$D$6,"fdd/view?i=",O496)</f>
        <v>https://www.dgiwg.org/FAD/fdd/view?i=101379</v>
      </c>
      <c r="Q496" s="8" t="s">
        <v>7095</v>
      </c>
      <c r="R496" s="38" t="s">
        <v>151</v>
      </c>
    </row>
    <row r="497" spans="1:18" ht="25.5">
      <c r="A497" s="302" t="str">
        <f t="shared" si="8"/>
        <v>fortifiedBuildingType</v>
      </c>
      <c r="B497" s="6" t="s">
        <v>7101</v>
      </c>
      <c r="C497" s="17" t="s">
        <v>7102</v>
      </c>
      <c r="D497" s="10" t="s">
        <v>7103</v>
      </c>
      <c r="E497" s="55"/>
      <c r="F497" s="55"/>
      <c r="G497" s="12" t="s">
        <v>4643</v>
      </c>
      <c r="H497" s="74"/>
      <c r="I497" s="147" t="str">
        <f>HYPERLINK("[#]Datatypes!B586:L586","FortifiedBuildingTypeCode")</f>
        <v>FortifiedBuildingTypeCode</v>
      </c>
      <c r="J497" s="80"/>
      <c r="K497" s="77"/>
      <c r="L497" s="77"/>
      <c r="M497" s="71" t="str">
        <f>HYPERLINK("[#]DatatypeListedValues!A3554:H3554","&lt;values&gt;")</f>
        <v>&lt;values&gt;</v>
      </c>
      <c r="N497" s="82" t="b">
        <v>0</v>
      </c>
      <c r="O497" s="25">
        <v>118919</v>
      </c>
      <c r="P497" s="304" t="str">
        <f>CONCATENATE([1]Cover!$D$6,"fdd/view?i=",O497)</f>
        <v>https://www.dgiwg.org/FAD/fdd/view?i=118919</v>
      </c>
      <c r="Q497" s="8" t="s">
        <v>7100</v>
      </c>
      <c r="R497" s="38" t="s">
        <v>151</v>
      </c>
    </row>
    <row r="498" spans="1:18">
      <c r="A498" s="302" t="str">
        <f t="shared" si="8"/>
        <v>denominator</v>
      </c>
      <c r="B498" s="6" t="s">
        <v>7106</v>
      </c>
      <c r="C498" s="17" t="s">
        <v>7107</v>
      </c>
      <c r="D498" s="10" t="s">
        <v>7108</v>
      </c>
      <c r="E498" s="55"/>
      <c r="F498" s="55"/>
      <c r="G498" s="12" t="s">
        <v>4643</v>
      </c>
      <c r="H498" s="74"/>
      <c r="I498" s="147" t="str">
        <f>HYPERLINK("[#]Datatypes!B956:L956","IntegerNonNegative")</f>
        <v>IntegerNonNegative</v>
      </c>
      <c r="J498" s="76" t="str">
        <f>HYPERLINK("[#]PhysicalQuantities!A39:N39","Pure Number")</f>
        <v>Pure Number</v>
      </c>
      <c r="K498" s="75" t="str">
        <f>HYPERLINK("[#]UnitsOfMeasure!D213:G213","Unitless")</f>
        <v>Unitless</v>
      </c>
      <c r="L498" s="77"/>
      <c r="M498" s="78"/>
      <c r="N498" s="74"/>
      <c r="O498" s="25">
        <v>207280</v>
      </c>
      <c r="P498" s="304" t="str">
        <f>CONCATENATE([1]Cover!$D$6,"fdd/view?i=",O498)</f>
        <v>https://www.dgiwg.org/FAD/fdd/view?i=207280</v>
      </c>
      <c r="Q498" s="8" t="s">
        <v>7105</v>
      </c>
      <c r="R498" s="38" t="s">
        <v>1295</v>
      </c>
    </row>
    <row r="499" spans="1:18">
      <c r="A499" s="302" t="str">
        <f t="shared" si="8"/>
        <v>frequencyClassification</v>
      </c>
      <c r="B499" s="6" t="s">
        <v>7111</v>
      </c>
      <c r="C499" s="17" t="s">
        <v>7112</v>
      </c>
      <c r="D499" s="10" t="s">
        <v>7113</v>
      </c>
      <c r="E499" s="55"/>
      <c r="F499" s="55"/>
      <c r="G499" s="12" t="s">
        <v>4643</v>
      </c>
      <c r="H499" s="74"/>
      <c r="I499" s="147" t="str">
        <f>HYPERLINK("[#]Datatypes!B588:L588","FrequencyClassificationCode")</f>
        <v>FrequencyClassificationCode</v>
      </c>
      <c r="J499" s="80"/>
      <c r="K499" s="77"/>
      <c r="L499" s="77"/>
      <c r="M499" s="71" t="str">
        <f>HYPERLINK("[#]DatatypeListedValues!A3560:H3560","&lt;values&gt;")</f>
        <v>&lt;values&gt;</v>
      </c>
      <c r="N499" s="82" t="b">
        <v>0</v>
      </c>
      <c r="O499" s="25">
        <v>206982</v>
      </c>
      <c r="P499" s="304" t="str">
        <f>CONCATENATE([1]Cover!$D$6,"fdd/view?i=",O499)</f>
        <v>https://www.dgiwg.org/FAD/fdd/view?i=206982</v>
      </c>
      <c r="Q499" s="8" t="s">
        <v>7110</v>
      </c>
      <c r="R499" s="38" t="s">
        <v>1295</v>
      </c>
    </row>
    <row r="500" spans="1:18" ht="25.5">
      <c r="A500" s="302" t="str">
        <f t="shared" si="8"/>
        <v>frequencyProtectAltitude</v>
      </c>
      <c r="B500" s="6" t="s">
        <v>7116</v>
      </c>
      <c r="C500" s="17" t="s">
        <v>7117</v>
      </c>
      <c r="D500" s="10" t="s">
        <v>7118</v>
      </c>
      <c r="E500" s="55"/>
      <c r="F500" s="55"/>
      <c r="G500" s="12" t="s">
        <v>4643</v>
      </c>
      <c r="H500" s="74"/>
      <c r="I500" s="147" t="str">
        <f>HYPERLINK("[#]Datatypes!B1097:L1097","Real")</f>
        <v>Real</v>
      </c>
      <c r="J500" s="76" t="str">
        <f>HYPERLINK("[#]PhysicalQuantities!A20:N20","Length")</f>
        <v>Length</v>
      </c>
      <c r="K500" s="75" t="str">
        <f>HYPERLINK("[#]UnitsOfMeasure!D103:G103","Foot")</f>
        <v>Foot</v>
      </c>
      <c r="L500" s="75" t="str">
        <f>HYPERLINK("[#]UnitsOfMeasure!D154:G154","Flight Level")</f>
        <v>Flight Level</v>
      </c>
      <c r="M500" s="78"/>
      <c r="N500" s="74"/>
      <c r="O500" s="25">
        <v>119185</v>
      </c>
      <c r="P500" s="304" t="str">
        <f>CONCATENATE([1]Cover!$D$6,"fdd/view?i=",O500)</f>
        <v>https://www.dgiwg.org/FAD/fdd/view?i=119185</v>
      </c>
      <c r="Q500" s="8" t="s">
        <v>7115</v>
      </c>
      <c r="R500" s="38" t="s">
        <v>151</v>
      </c>
    </row>
    <row r="501" spans="1:18" ht="25.5">
      <c r="A501" s="302" t="str">
        <f t="shared" si="8"/>
        <v>frequencyProtectDistance</v>
      </c>
      <c r="B501" s="6" t="s">
        <v>7120</v>
      </c>
      <c r="C501" s="17" t="s">
        <v>7121</v>
      </c>
      <c r="D501" s="10" t="s">
        <v>7122</v>
      </c>
      <c r="E501" s="55"/>
      <c r="F501" s="55"/>
      <c r="G501" s="12" t="s">
        <v>4643</v>
      </c>
      <c r="H501" s="74"/>
      <c r="I501" s="147" t="str">
        <f>HYPERLINK("[#]Datatypes!B1097:L1097","Real")</f>
        <v>Real</v>
      </c>
      <c r="J501" s="76" t="str">
        <f>HYPERLINK("[#]PhysicalQuantities!A20:N20","Length")</f>
        <v>Length</v>
      </c>
      <c r="K501" s="75" t="str">
        <f>HYPERLINK("[#]UnitsOfMeasure!D94:G94","Nautical Mile")</f>
        <v>Nautical Mile</v>
      </c>
      <c r="L501" s="77"/>
      <c r="M501" s="78"/>
      <c r="N501" s="74"/>
      <c r="O501" s="25">
        <v>119186</v>
      </c>
      <c r="P501" s="304" t="str">
        <f>CONCATENATE([1]Cover!$D$6,"fdd/view?i=",O501)</f>
        <v>https://www.dgiwg.org/FAD/fdd/view?i=119186</v>
      </c>
      <c r="Q501" s="8" t="s">
        <v>7119</v>
      </c>
      <c r="R501" s="38" t="s">
        <v>151</v>
      </c>
    </row>
    <row r="502" spans="1:18" ht="25.5">
      <c r="A502" s="302" t="str">
        <f t="shared" si="8"/>
        <v>frozenCoverType</v>
      </c>
      <c r="B502" s="6" t="s">
        <v>7124</v>
      </c>
      <c r="C502" s="17" t="s">
        <v>7125</v>
      </c>
      <c r="D502" s="10" t="s">
        <v>7126</v>
      </c>
      <c r="E502" s="55"/>
      <c r="F502" s="55"/>
      <c r="G502" s="12" t="s">
        <v>4643</v>
      </c>
      <c r="H502" s="74"/>
      <c r="I502" s="147" t="str">
        <f>HYPERLINK("[#]Datatypes!B590:L590","FrozenCoverTypeCode")</f>
        <v>FrozenCoverTypeCode</v>
      </c>
      <c r="J502" s="80"/>
      <c r="K502" s="77"/>
      <c r="L502" s="77"/>
      <c r="M502" s="71" t="str">
        <f>HYPERLINK("[#]DatatypeListedValues!A3570:H3570","&lt;values&gt;")</f>
        <v>&lt;values&gt;</v>
      </c>
      <c r="N502" s="12" t="b">
        <v>1</v>
      </c>
      <c r="O502" s="25">
        <v>101300</v>
      </c>
      <c r="P502" s="304" t="str">
        <f>CONCATENATE([1]Cover!$D$6,"fdd/view?i=",O502)</f>
        <v>https://www.dgiwg.org/FAD/fdd/view?i=101300</v>
      </c>
      <c r="Q502" s="8" t="s">
        <v>7123</v>
      </c>
      <c r="R502" s="38" t="s">
        <v>151</v>
      </c>
    </row>
    <row r="503" spans="1:18">
      <c r="A503" s="302" t="str">
        <f t="shared" si="8"/>
        <v>fuelStorageMethod</v>
      </c>
      <c r="B503" s="6" t="s">
        <v>7129</v>
      </c>
      <c r="C503" s="17" t="s">
        <v>7130</v>
      </c>
      <c r="D503" s="10" t="s">
        <v>7131</v>
      </c>
      <c r="E503" s="55"/>
      <c r="F503" s="55"/>
      <c r="G503" s="12" t="s">
        <v>4643</v>
      </c>
      <c r="H503" s="12" t="s">
        <v>4700</v>
      </c>
      <c r="I503" s="147" t="str">
        <f>HYPERLINK("[#]Datatypes!B592:L592","FuelStorageMethodCode")</f>
        <v>FuelStorageMethodCode</v>
      </c>
      <c r="J503" s="80"/>
      <c r="K503" s="77"/>
      <c r="L503" s="77"/>
      <c r="M503" s="71" t="str">
        <f>HYPERLINK("[#]DatatypeListedValues!A3572:H3572","&lt;values&gt;")</f>
        <v>&lt;values&gt;</v>
      </c>
      <c r="N503" s="82" t="b">
        <v>0</v>
      </c>
      <c r="O503" s="25">
        <v>100648</v>
      </c>
      <c r="P503" s="304" t="str">
        <f>CONCATENATE([1]Cover!$D$6,"fdd/view?i=",O503)</f>
        <v>https://www.dgiwg.org/FAD/fdd/view?i=100648</v>
      </c>
      <c r="Q503" s="8" t="s">
        <v>7128</v>
      </c>
      <c r="R503" s="38" t="s">
        <v>151</v>
      </c>
    </row>
    <row r="504" spans="1:18" ht="38.25">
      <c r="A504" s="302" t="str">
        <f t="shared" si="8"/>
        <v>fujitaTornadoScale</v>
      </c>
      <c r="B504" s="6" t="s">
        <v>7134</v>
      </c>
      <c r="C504" s="17" t="s">
        <v>7135</v>
      </c>
      <c r="D504" s="10" t="s">
        <v>7136</v>
      </c>
      <c r="E504" s="10" t="s">
        <v>7137</v>
      </c>
      <c r="F504" s="55"/>
      <c r="G504" s="12" t="s">
        <v>4643</v>
      </c>
      <c r="H504" s="74"/>
      <c r="I504" s="147" t="str">
        <f>HYPERLINK("[#]Datatypes!B594:L594","FujitaTornadoScaleCode")</f>
        <v>FujitaTornadoScaleCode</v>
      </c>
      <c r="J504" s="80"/>
      <c r="K504" s="77"/>
      <c r="L504" s="77"/>
      <c r="M504" s="71" t="str">
        <f>HYPERLINK("[#]DatatypeListedValues!A3582:H3582","&lt;values&gt;")</f>
        <v>&lt;values&gt;</v>
      </c>
      <c r="N504" s="82" t="b">
        <v>0</v>
      </c>
      <c r="O504" s="25">
        <v>119081</v>
      </c>
      <c r="P504" s="304" t="str">
        <f>CONCATENATE([1]Cover!$D$6,"fdd/view?i=",O504)</f>
        <v>https://www.dgiwg.org/FAD/fdd/view?i=119081</v>
      </c>
      <c r="Q504" s="8" t="s">
        <v>7133</v>
      </c>
      <c r="R504" s="38" t="s">
        <v>151</v>
      </c>
    </row>
    <row r="505" spans="1:18" ht="38.25">
      <c r="A505" s="302" t="str">
        <f t="shared" si="8"/>
        <v>fullName</v>
      </c>
      <c r="B505" s="6" t="s">
        <v>7140</v>
      </c>
      <c r="C505" s="17" t="s">
        <v>7141</v>
      </c>
      <c r="D505" s="10" t="s">
        <v>7142</v>
      </c>
      <c r="E505" s="10" t="s">
        <v>7143</v>
      </c>
      <c r="F505" s="55"/>
      <c r="G505" s="12" t="s">
        <v>4643</v>
      </c>
      <c r="H505" s="74"/>
      <c r="I505" s="147" t="str">
        <f>HYPERLINK("[#]Datatypes!B1406:L1406","TextLex200")</f>
        <v>TextLex200</v>
      </c>
      <c r="J505" s="80"/>
      <c r="K505" s="77"/>
      <c r="L505" s="77"/>
      <c r="M505" s="78"/>
      <c r="N505" s="74"/>
      <c r="O505" s="25">
        <v>111561</v>
      </c>
      <c r="P505" s="304" t="str">
        <f>CONCATENATE([1]Cover!$D$6,"fdd/view?i=",O505)</f>
        <v>https://www.dgiwg.org/FAD/fdd/view?i=111561</v>
      </c>
      <c r="Q505" s="8" t="s">
        <v>7139</v>
      </c>
      <c r="R505" s="38" t="s">
        <v>151</v>
      </c>
    </row>
    <row r="506" spans="1:18" ht="89.25">
      <c r="A506" s="302" t="str">
        <f t="shared" si="8"/>
        <v>fullNameOrdered</v>
      </c>
      <c r="B506" s="6" t="s">
        <v>7145</v>
      </c>
      <c r="C506" s="17" t="s">
        <v>7146</v>
      </c>
      <c r="D506" s="10" t="s">
        <v>7147</v>
      </c>
      <c r="E506" s="10" t="s">
        <v>7148</v>
      </c>
      <c r="F506" s="55"/>
      <c r="G506" s="12" t="s">
        <v>4643</v>
      </c>
      <c r="H506" s="74"/>
      <c r="I506" s="147" t="str">
        <f>HYPERLINK("[#]Datatypes!B1406:L1406","TextLex200")</f>
        <v>TextLex200</v>
      </c>
      <c r="J506" s="80"/>
      <c r="K506" s="77"/>
      <c r="L506" s="77"/>
      <c r="M506" s="78"/>
      <c r="N506" s="74"/>
      <c r="O506" s="25">
        <v>111559</v>
      </c>
      <c r="P506" s="304" t="str">
        <f>CONCATENATE([1]Cover!$D$6,"fdd/view?i=",O506)</f>
        <v>https://www.dgiwg.org/FAD/fdd/view?i=111559</v>
      </c>
      <c r="Q506" s="8" t="s">
        <v>7144</v>
      </c>
      <c r="R506" s="38" t="s">
        <v>151</v>
      </c>
    </row>
    <row r="507" spans="1:18" ht="89.25">
      <c r="A507" s="302" t="str">
        <f t="shared" si="8"/>
        <v>fullNameOrderNoDiacritics</v>
      </c>
      <c r="B507" s="6" t="s">
        <v>7150</v>
      </c>
      <c r="C507" s="17" t="s">
        <v>7151</v>
      </c>
      <c r="D507" s="10" t="s">
        <v>7152</v>
      </c>
      <c r="E507" s="10" t="s">
        <v>7148</v>
      </c>
      <c r="F507" s="55"/>
      <c r="G507" s="12" t="s">
        <v>4643</v>
      </c>
      <c r="H507" s="74"/>
      <c r="I507" s="147" t="str">
        <f>HYPERLINK("[#]Datatypes!B1426:L1426","TextNonLex200")</f>
        <v>TextNonLex200</v>
      </c>
      <c r="J507" s="80"/>
      <c r="K507" s="77"/>
      <c r="L507" s="77"/>
      <c r="M507" s="78"/>
      <c r="N507" s="74"/>
      <c r="O507" s="25">
        <v>111560</v>
      </c>
      <c r="P507" s="304" t="str">
        <f>CONCATENATE([1]Cover!$D$6,"fdd/view?i=",O507)</f>
        <v>https://www.dgiwg.org/FAD/fdd/view?i=111560</v>
      </c>
      <c r="Q507" s="8" t="s">
        <v>7149</v>
      </c>
      <c r="R507" s="38" t="s">
        <v>151</v>
      </c>
    </row>
    <row r="508" spans="1:18" ht="51">
      <c r="A508" s="302" t="str">
        <f t="shared" si="8"/>
        <v>fullNameNoDiacritics</v>
      </c>
      <c r="B508" s="6" t="s">
        <v>7155</v>
      </c>
      <c r="C508" s="17" t="s">
        <v>7156</v>
      </c>
      <c r="D508" s="10" t="s">
        <v>7157</v>
      </c>
      <c r="E508" s="10" t="s">
        <v>7143</v>
      </c>
      <c r="F508" s="55"/>
      <c r="G508" s="12" t="s">
        <v>4643</v>
      </c>
      <c r="H508" s="74"/>
      <c r="I508" s="147" t="str">
        <f>HYPERLINK("[#]Datatypes!B1426:L1426","TextNonLex200")</f>
        <v>TextNonLex200</v>
      </c>
      <c r="J508" s="80"/>
      <c r="K508" s="77"/>
      <c r="L508" s="77"/>
      <c r="M508" s="78"/>
      <c r="N508" s="74"/>
      <c r="O508" s="25">
        <v>111558</v>
      </c>
      <c r="P508" s="304" t="str">
        <f>CONCATENATE([1]Cover!$D$6,"fdd/view?i=",O508)</f>
        <v>https://www.dgiwg.org/FAD/fdd/view?i=111558</v>
      </c>
      <c r="Q508" s="8" t="s">
        <v>7154</v>
      </c>
      <c r="R508" s="38" t="s">
        <v>151</v>
      </c>
    </row>
    <row r="509" spans="1:18">
      <c r="A509" s="302" t="str">
        <f t="shared" si="8"/>
        <v>gateUse</v>
      </c>
      <c r="B509" s="6" t="s">
        <v>7159</v>
      </c>
      <c r="C509" s="17" t="s">
        <v>7160</v>
      </c>
      <c r="D509" s="10" t="s">
        <v>7161</v>
      </c>
      <c r="E509" s="55"/>
      <c r="F509" s="55"/>
      <c r="G509" s="12" t="s">
        <v>4643</v>
      </c>
      <c r="H509" s="74"/>
      <c r="I509" s="147" t="str">
        <f>HYPERLINK("[#]Datatypes!B596:L596","GateUseCode")</f>
        <v>GateUseCode</v>
      </c>
      <c r="J509" s="80"/>
      <c r="K509" s="77"/>
      <c r="L509" s="77"/>
      <c r="M509" s="71" t="str">
        <f>HYPERLINK("[#]DatatypeListedValues!A3588:H3588","&lt;values&gt;")</f>
        <v>&lt;values&gt;</v>
      </c>
      <c r="N509" s="82" t="b">
        <v>0</v>
      </c>
      <c r="O509" s="25">
        <v>100921</v>
      </c>
      <c r="P509" s="304" t="str">
        <f>CONCATENATE([1]Cover!$D$6,"fdd/view?i=",O509)</f>
        <v>https://www.dgiwg.org/FAD/fdd/view?i=100921</v>
      </c>
      <c r="Q509" s="8" t="s">
        <v>7158</v>
      </c>
      <c r="R509" s="38" t="s">
        <v>151</v>
      </c>
    </row>
    <row r="510" spans="1:18" ht="38.25">
      <c r="A510" s="302" t="str">
        <f t="shared" si="8"/>
        <v>gazetteerUse</v>
      </c>
      <c r="B510" s="6" t="s">
        <v>7164</v>
      </c>
      <c r="C510" s="17" t="s">
        <v>7165</v>
      </c>
      <c r="D510" s="10" t="s">
        <v>7166</v>
      </c>
      <c r="E510" s="10" t="s">
        <v>7167</v>
      </c>
      <c r="F510" s="55"/>
      <c r="G510" s="12" t="s">
        <v>4643</v>
      </c>
      <c r="H510" s="74"/>
      <c r="I510" s="147" t="str">
        <f>HYPERLINK("[#]Datatypes!B230:L230","Boolean")</f>
        <v>Boolean</v>
      </c>
      <c r="J510" s="80"/>
      <c r="K510" s="77"/>
      <c r="L510" s="77"/>
      <c r="M510" s="78"/>
      <c r="N510" s="74"/>
      <c r="O510" s="25">
        <v>111570</v>
      </c>
      <c r="P510" s="304" t="str">
        <f>CONCATENATE([1]Cover!$D$6,"fdd/view?i=",O510)</f>
        <v>https://www.dgiwg.org/FAD/fdd/view?i=111570</v>
      </c>
      <c r="Q510" s="8" t="s">
        <v>7163</v>
      </c>
      <c r="R510" s="38" t="s">
        <v>151</v>
      </c>
    </row>
    <row r="511" spans="1:18" ht="38.25">
      <c r="A511" s="302" t="str">
        <f t="shared" si="8"/>
        <v>genericEntityIdentifier</v>
      </c>
      <c r="B511" s="6" t="s">
        <v>7169</v>
      </c>
      <c r="C511" s="17" t="s">
        <v>7170</v>
      </c>
      <c r="D511" s="10" t="s">
        <v>7171</v>
      </c>
      <c r="E511" s="10" t="s">
        <v>7172</v>
      </c>
      <c r="F511" s="55"/>
      <c r="G511" s="12" t="s">
        <v>4643</v>
      </c>
      <c r="H511" s="74"/>
      <c r="I511" s="147" t="str">
        <f>HYPERLINK("[#]Datatypes!B1396:L1396","Text")</f>
        <v>Text</v>
      </c>
      <c r="J511" s="80"/>
      <c r="K511" s="77"/>
      <c r="L511" s="77"/>
      <c r="M511" s="78"/>
      <c r="N511" s="74"/>
      <c r="O511" s="25">
        <v>114222</v>
      </c>
      <c r="P511" s="304" t="str">
        <f>CONCATENATE([1]Cover!$D$6,"fdd/view?i=",O511)</f>
        <v>https://www.dgiwg.org/FAD/fdd/view?i=114222</v>
      </c>
      <c r="Q511" s="8" t="s">
        <v>7168</v>
      </c>
      <c r="R511" s="38" t="s">
        <v>151</v>
      </c>
    </row>
    <row r="512" spans="1:18" ht="25.5">
      <c r="A512" s="302" t="str">
        <f t="shared" si="8"/>
        <v>genericName</v>
      </c>
      <c r="B512" s="6" t="s">
        <v>7174</v>
      </c>
      <c r="C512" s="17" t="s">
        <v>7175</v>
      </c>
      <c r="D512" s="10" t="s">
        <v>7176</v>
      </c>
      <c r="E512" s="10" t="s">
        <v>7177</v>
      </c>
      <c r="F512" s="55"/>
      <c r="G512" s="12" t="s">
        <v>4643</v>
      </c>
      <c r="H512" s="74"/>
      <c r="I512" s="147" t="str">
        <f>HYPERLINK("[#]Datatypes!B1402:L1402","TextLex128")</f>
        <v>TextLex128</v>
      </c>
      <c r="J512" s="80"/>
      <c r="K512" s="77"/>
      <c r="L512" s="77"/>
      <c r="M512" s="78"/>
      <c r="N512" s="74"/>
      <c r="O512" s="25">
        <v>111577</v>
      </c>
      <c r="P512" s="304" t="str">
        <f>CONCATENATE([1]Cover!$D$6,"fdd/view?i=",O512)</f>
        <v>https://www.dgiwg.org/FAD/fdd/view?i=111577</v>
      </c>
      <c r="Q512" s="8" t="s">
        <v>7173</v>
      </c>
      <c r="R512" s="38" t="s">
        <v>151</v>
      </c>
    </row>
    <row r="513" spans="1:18" ht="51">
      <c r="A513" s="302" t="str">
        <f t="shared" si="8"/>
        <v>genericNameNoDiacritics</v>
      </c>
      <c r="B513" s="6" t="s">
        <v>7180</v>
      </c>
      <c r="C513" s="17" t="s">
        <v>7181</v>
      </c>
      <c r="D513" s="10" t="s">
        <v>7182</v>
      </c>
      <c r="E513" s="10" t="s">
        <v>7177</v>
      </c>
      <c r="F513" s="55"/>
      <c r="G513" s="12" t="s">
        <v>4643</v>
      </c>
      <c r="H513" s="74"/>
      <c r="I513" s="147" t="str">
        <f>HYPERLINK("[#]Datatypes!B1420:L1420","TextNonLex128")</f>
        <v>TextNonLex128</v>
      </c>
      <c r="J513" s="80"/>
      <c r="K513" s="77"/>
      <c r="L513" s="77"/>
      <c r="M513" s="78"/>
      <c r="N513" s="74"/>
      <c r="O513" s="25">
        <v>111576</v>
      </c>
      <c r="P513" s="304" t="str">
        <f>CONCATENATE([1]Cover!$D$6,"fdd/view?i=",O513)</f>
        <v>https://www.dgiwg.org/FAD/fdd/view?i=111576</v>
      </c>
      <c r="Q513" s="8" t="s">
        <v>7179</v>
      </c>
      <c r="R513" s="38" t="s">
        <v>151</v>
      </c>
    </row>
    <row r="514" spans="1:18" ht="25.5">
      <c r="A514" s="302" t="str">
        <f t="shared" si="8"/>
        <v>geodesicDistanceRho</v>
      </c>
      <c r="B514" s="6" t="s">
        <v>7185</v>
      </c>
      <c r="C514" s="17" t="s">
        <v>7186</v>
      </c>
      <c r="D514" s="10" t="s">
        <v>7187</v>
      </c>
      <c r="E514" s="10" t="s">
        <v>7188</v>
      </c>
      <c r="F514" s="10" t="s">
        <v>7189</v>
      </c>
      <c r="G514" s="12" t="s">
        <v>4643</v>
      </c>
      <c r="H514" s="74"/>
      <c r="I514" s="147" t="str">
        <f>HYPERLINK("[#]Datatypes!B1097:L1097","Real")</f>
        <v>Real</v>
      </c>
      <c r="J514" s="76" t="str">
        <f>HYPERLINK("[#]PhysicalQuantities!A20:N20","Length")</f>
        <v>Length</v>
      </c>
      <c r="K514" s="75" t="str">
        <f>HYPERLINK("[#]UnitsOfMeasure!D94:G94","Nautical Mile")</f>
        <v>Nautical Mile</v>
      </c>
      <c r="L514" s="77"/>
      <c r="M514" s="78"/>
      <c r="N514" s="74"/>
      <c r="O514" s="25">
        <v>117683</v>
      </c>
      <c r="P514" s="304" t="str">
        <f>CONCATENATE([1]Cover!$D$6,"fdd/view?i=",O514)</f>
        <v>https://www.dgiwg.org/FAD/fdd/view?i=117683</v>
      </c>
      <c r="Q514" s="8" t="s">
        <v>7184</v>
      </c>
      <c r="R514" s="38" t="s">
        <v>151</v>
      </c>
    </row>
    <row r="515" spans="1:18" ht="38.25">
      <c r="A515" s="302" t="str">
        <f t="shared" si="8"/>
        <v>geodesicGeometry</v>
      </c>
      <c r="B515" s="6" t="s">
        <v>7191</v>
      </c>
      <c r="C515" s="17" t="s">
        <v>7192</v>
      </c>
      <c r="D515" s="10" t="s">
        <v>7193</v>
      </c>
      <c r="E515" s="10" t="s">
        <v>5428</v>
      </c>
      <c r="F515" s="55"/>
      <c r="G515" s="12" t="s">
        <v>4643</v>
      </c>
      <c r="H515" s="74"/>
      <c r="I515" s="147" t="str">
        <f>HYPERLINK("[#]Datatypes!B600:L600","GmGeodesic")</f>
        <v>GmGeodesic</v>
      </c>
      <c r="J515" s="80"/>
      <c r="K515" s="77"/>
      <c r="L515" s="77"/>
      <c r="M515" s="78"/>
      <c r="N515" s="74"/>
      <c r="O515" s="25">
        <v>200633</v>
      </c>
      <c r="P515" s="304" t="str">
        <f>CONCATENATE([1]Cover!$D$6,"fdd/view?i=",O515)</f>
        <v>https://www.dgiwg.org/FAD/fdd/view?i=200633</v>
      </c>
      <c r="Q515" s="8" t="s">
        <v>7190</v>
      </c>
      <c r="R515" s="38" t="s">
        <v>1295</v>
      </c>
    </row>
    <row r="516" spans="1:18" ht="25.5">
      <c r="A516" s="302" t="str">
        <f t="shared" ref="A516:A579" si="9">HYPERLINK(P516,B516)</f>
        <v>geodesicStringGeometry</v>
      </c>
      <c r="B516" s="6" t="s">
        <v>7196</v>
      </c>
      <c r="C516" s="17" t="s">
        <v>7197</v>
      </c>
      <c r="D516" s="10" t="s">
        <v>7198</v>
      </c>
      <c r="E516" s="55"/>
      <c r="F516" s="55"/>
      <c r="G516" s="12" t="s">
        <v>4643</v>
      </c>
      <c r="H516" s="74"/>
      <c r="I516" s="147" t="str">
        <f>HYPERLINK("[#]Datatypes!B602:L602","GmGeodesicString")</f>
        <v>GmGeodesicString</v>
      </c>
      <c r="J516" s="80"/>
      <c r="K516" s="77"/>
      <c r="L516" s="77"/>
      <c r="M516" s="78"/>
      <c r="N516" s="74"/>
      <c r="O516" s="25">
        <v>200634</v>
      </c>
      <c r="P516" s="304" t="str">
        <f>CONCATENATE([1]Cover!$D$6,"fdd/view?i=",O516)</f>
        <v>https://www.dgiwg.org/FAD/fdd/view?i=200634</v>
      </c>
      <c r="Q516" s="8" t="s">
        <v>7195</v>
      </c>
      <c r="R516" s="38" t="s">
        <v>1295</v>
      </c>
    </row>
    <row r="517" spans="1:18" ht="38.25">
      <c r="A517" s="302" t="str">
        <f t="shared" si="9"/>
        <v>geodeticDatum</v>
      </c>
      <c r="B517" s="6" t="s">
        <v>7202</v>
      </c>
      <c r="C517" s="17" t="s">
        <v>7203</v>
      </c>
      <c r="D517" s="10" t="s">
        <v>7204</v>
      </c>
      <c r="E517" s="10" t="s">
        <v>7205</v>
      </c>
      <c r="F517" s="55"/>
      <c r="G517" s="12" t="s">
        <v>4643</v>
      </c>
      <c r="H517" s="74"/>
      <c r="I517" s="147" t="str">
        <f>HYPERLINK("[#]Datatypes!B606:L606","GeodeticDatumCodeList")</f>
        <v>GeodeticDatumCodeList</v>
      </c>
      <c r="J517" s="80"/>
      <c r="K517" s="77"/>
      <c r="L517" s="77"/>
      <c r="M517" s="78"/>
      <c r="N517" s="74"/>
      <c r="O517" s="25">
        <v>100967</v>
      </c>
      <c r="P517" s="304" t="str">
        <f>CONCATENATE([1]Cover!$D$6,"fdd/view?i=",O517)</f>
        <v>https://www.dgiwg.org/FAD/fdd/view?i=100967</v>
      </c>
      <c r="Q517" s="8" t="s">
        <v>7200</v>
      </c>
      <c r="R517" s="38" t="s">
        <v>151</v>
      </c>
    </row>
    <row r="518" spans="1:18">
      <c r="A518" s="302" t="str">
        <f t="shared" si="9"/>
        <v>geographicIdentifier</v>
      </c>
      <c r="B518" s="6" t="s">
        <v>7208</v>
      </c>
      <c r="C518" s="17" t="s">
        <v>7209</v>
      </c>
      <c r="D518" s="10" t="s">
        <v>7210</v>
      </c>
      <c r="E518" s="55"/>
      <c r="F518" s="55"/>
      <c r="G518" s="12" t="s">
        <v>4643</v>
      </c>
      <c r="H518" s="74"/>
      <c r="I518" s="147" t="str">
        <f>HYPERLINK("[#]Datatypes!B688:L688","IdentifierStrucText")</f>
        <v>IdentifierStrucText</v>
      </c>
      <c r="J518" s="80"/>
      <c r="K518" s="77"/>
      <c r="L518" s="77"/>
      <c r="M518" s="78"/>
      <c r="N518" s="74"/>
      <c r="O518" s="25">
        <v>207201</v>
      </c>
      <c r="P518" s="304" t="str">
        <f>CONCATENATE([1]Cover!$D$6,"fdd/view?i=",O518)</f>
        <v>https://www.dgiwg.org/FAD/fdd/view?i=207201</v>
      </c>
      <c r="Q518" s="8" t="s">
        <v>7207</v>
      </c>
      <c r="R518" s="38" t="s">
        <v>1295</v>
      </c>
    </row>
    <row r="519" spans="1:18" ht="25.5">
      <c r="A519" s="302" t="str">
        <f t="shared" si="9"/>
        <v>geoNameCharacterSet</v>
      </c>
      <c r="B519" s="6" t="s">
        <v>7212</v>
      </c>
      <c r="C519" s="17" t="s">
        <v>7213</v>
      </c>
      <c r="D519" s="10" t="s">
        <v>7214</v>
      </c>
      <c r="E519" s="10" t="s">
        <v>7215</v>
      </c>
      <c r="F519" s="55"/>
      <c r="G519" s="12" t="s">
        <v>4643</v>
      </c>
      <c r="H519" s="74"/>
      <c r="I519" s="147" t="str">
        <f>HYPERLINK("[#]Datatypes!B618:L618","GeonameCharacterSetCode")</f>
        <v>GeonameCharacterSetCode</v>
      </c>
      <c r="J519" s="80"/>
      <c r="K519" s="77"/>
      <c r="L519" s="77"/>
      <c r="M519" s="71" t="str">
        <f>HYPERLINK("[#]DatatypeListedValues!A3612:H3612","&lt;values&gt;")</f>
        <v>&lt;values&gt;</v>
      </c>
      <c r="N519" s="12" t="b">
        <v>1</v>
      </c>
      <c r="O519" s="25">
        <v>200585</v>
      </c>
      <c r="P519" s="304" t="str">
        <f>CONCATENATE([1]Cover!$D$6,"fdd/view?i=",O519)</f>
        <v>https://www.dgiwg.org/FAD/fdd/view?i=200585</v>
      </c>
      <c r="Q519" s="8" t="s">
        <v>7211</v>
      </c>
      <c r="R519" s="38" t="s">
        <v>1295</v>
      </c>
    </row>
    <row r="520" spans="1:18" ht="38.25">
      <c r="A520" s="302" t="str">
        <f t="shared" si="9"/>
        <v>geoNameClass</v>
      </c>
      <c r="B520" s="6" t="s">
        <v>7218</v>
      </c>
      <c r="C520" s="17" t="s">
        <v>7219</v>
      </c>
      <c r="D520" s="10" t="s">
        <v>7220</v>
      </c>
      <c r="E520" s="10" t="s">
        <v>7221</v>
      </c>
      <c r="F520" s="55"/>
      <c r="G520" s="12" t="s">
        <v>4643</v>
      </c>
      <c r="H520" s="74"/>
      <c r="I520" s="147" t="str">
        <f>HYPERLINK("[#]Datatypes!B608:L608","GeoNameClassStrucText")</f>
        <v>GeoNameClassStrucText</v>
      </c>
      <c r="J520" s="80"/>
      <c r="K520" s="77"/>
      <c r="L520" s="77"/>
      <c r="M520" s="78"/>
      <c r="N520" s="74"/>
      <c r="O520" s="25">
        <v>111296</v>
      </c>
      <c r="P520" s="304" t="str">
        <f>CONCATENATE([1]Cover!$D$6,"fdd/view?i=",O520)</f>
        <v>https://www.dgiwg.org/FAD/fdd/view?i=111296</v>
      </c>
      <c r="Q520" s="8" t="s">
        <v>7217</v>
      </c>
      <c r="R520" s="38" t="s">
        <v>151</v>
      </c>
    </row>
    <row r="521" spans="1:18" ht="38.25">
      <c r="A521" s="302" t="str">
        <f t="shared" si="9"/>
        <v>geoNameDesignation</v>
      </c>
      <c r="B521" s="6" t="s">
        <v>7224</v>
      </c>
      <c r="C521" s="17" t="s">
        <v>7225</v>
      </c>
      <c r="D521" s="10" t="s">
        <v>7226</v>
      </c>
      <c r="E521" s="10" t="s">
        <v>7227</v>
      </c>
      <c r="F521" s="55"/>
      <c r="G521" s="12" t="s">
        <v>4643</v>
      </c>
      <c r="H521" s="74"/>
      <c r="I521" s="147" t="str">
        <f>HYPERLINK("[#]Datatypes!B610:L610","GeoNameDesignationStrucText")</f>
        <v>GeoNameDesignationStrucText</v>
      </c>
      <c r="J521" s="80"/>
      <c r="K521" s="77"/>
      <c r="L521" s="77"/>
      <c r="M521" s="78"/>
      <c r="N521" s="74"/>
      <c r="O521" s="25">
        <v>111295</v>
      </c>
      <c r="P521" s="304" t="str">
        <f>CONCATENATE([1]Cover!$D$6,"fdd/view?i=",O521)</f>
        <v>https://www.dgiwg.org/FAD/fdd/view?i=111295</v>
      </c>
      <c r="Q521" s="8" t="s">
        <v>7223</v>
      </c>
      <c r="R521" s="38" t="s">
        <v>151</v>
      </c>
    </row>
    <row r="522" spans="1:18" ht="25.5">
      <c r="A522" s="302" t="str">
        <f t="shared" si="9"/>
        <v>geographicNameType</v>
      </c>
      <c r="B522" s="6" t="s">
        <v>7230</v>
      </c>
      <c r="C522" s="17" t="s">
        <v>7231</v>
      </c>
      <c r="D522" s="10" t="s">
        <v>7232</v>
      </c>
      <c r="E522" s="55"/>
      <c r="F522" s="55"/>
      <c r="G522" s="12" t="s">
        <v>4643</v>
      </c>
      <c r="H522" s="74"/>
      <c r="I522" s="147" t="str">
        <f>HYPERLINK("[#]Datatypes!B612:L612","GeographicNameTypeCode")</f>
        <v>GeographicNameTypeCode</v>
      </c>
      <c r="J522" s="80"/>
      <c r="K522" s="77"/>
      <c r="L522" s="77"/>
      <c r="M522" s="71" t="str">
        <f>HYPERLINK("[#]DatatypeListedValues!A3592:H3592","&lt;values&gt;")</f>
        <v>&lt;values&gt;</v>
      </c>
      <c r="N522" s="82" t="b">
        <v>0</v>
      </c>
      <c r="O522" s="25">
        <v>111579</v>
      </c>
      <c r="P522" s="304" t="str">
        <f>CONCATENATE([1]Cover!$D$6,"fdd/view?i=",O522)</f>
        <v>https://www.dgiwg.org/FAD/fdd/view?i=111579</v>
      </c>
      <c r="Q522" s="8" t="s">
        <v>7229</v>
      </c>
      <c r="R522" s="38" t="s">
        <v>151</v>
      </c>
    </row>
    <row r="523" spans="1:18" ht="38.25">
      <c r="A523" s="302" t="str">
        <f t="shared" si="9"/>
        <v>geolocationCode</v>
      </c>
      <c r="B523" s="6" t="s">
        <v>7235</v>
      </c>
      <c r="C523" s="17" t="s">
        <v>7236</v>
      </c>
      <c r="D523" s="10" t="s">
        <v>7237</v>
      </c>
      <c r="E523" s="10" t="s">
        <v>7238</v>
      </c>
      <c r="F523" s="55"/>
      <c r="G523" s="12" t="s">
        <v>4643</v>
      </c>
      <c r="H523" s="74"/>
      <c r="I523" s="147" t="str">
        <f>HYPERLINK("[#]Datatypes!B614:L614","GeolocationCodeStrucText")</f>
        <v>GeolocationCodeStrucText</v>
      </c>
      <c r="J523" s="80"/>
      <c r="K523" s="77"/>
      <c r="L523" s="77"/>
      <c r="M523" s="78"/>
      <c r="N523" s="74"/>
      <c r="O523" s="25">
        <v>207133</v>
      </c>
      <c r="P523" s="304" t="str">
        <f>CONCATENATE([1]Cover!$D$6,"fdd/view?i=",O523)</f>
        <v>https://www.dgiwg.org/FAD/fdd/view?i=207133</v>
      </c>
      <c r="Q523" s="8" t="s">
        <v>7234</v>
      </c>
      <c r="R523" s="38" t="s">
        <v>1295</v>
      </c>
    </row>
    <row r="524" spans="1:18">
      <c r="A524" s="302" t="str">
        <f t="shared" si="9"/>
        <v>geoFaultTraceVisible</v>
      </c>
      <c r="B524" s="6" t="s">
        <v>7241</v>
      </c>
      <c r="C524" s="17" t="s">
        <v>7242</v>
      </c>
      <c r="D524" s="10" t="s">
        <v>7243</v>
      </c>
      <c r="E524" s="55"/>
      <c r="F524" s="55"/>
      <c r="G524" s="12" t="s">
        <v>4643</v>
      </c>
      <c r="H524" s="74"/>
      <c r="I524" s="147" t="str">
        <f>HYPERLINK("[#]Datatypes!B230:L230","Boolean")</f>
        <v>Boolean</v>
      </c>
      <c r="J524" s="80"/>
      <c r="K524" s="77"/>
      <c r="L524" s="77"/>
      <c r="M524" s="78"/>
      <c r="N524" s="74"/>
      <c r="O524" s="25">
        <v>118571</v>
      </c>
      <c r="P524" s="304" t="str">
        <f>CONCATENATE([1]Cover!$D$6,"fdd/view?i=",O524)</f>
        <v>https://www.dgiwg.org/FAD/fdd/view?i=118571</v>
      </c>
      <c r="Q524" s="8" t="s">
        <v>7240</v>
      </c>
      <c r="R524" s="38" t="s">
        <v>151</v>
      </c>
    </row>
    <row r="525" spans="1:18" ht="25.5">
      <c r="A525" s="302" t="str">
        <f t="shared" si="9"/>
        <v>geomorphicDepth</v>
      </c>
      <c r="B525" s="6" t="s">
        <v>7245</v>
      </c>
      <c r="C525" s="17" t="s">
        <v>7246</v>
      </c>
      <c r="D525" s="10" t="s">
        <v>7247</v>
      </c>
      <c r="E525" s="10" t="s">
        <v>7248</v>
      </c>
      <c r="F525" s="55"/>
      <c r="G525" s="12" t="s">
        <v>4643</v>
      </c>
      <c r="H525" s="74"/>
      <c r="I525" s="147" t="str">
        <f>HYPERLINK("[#]Datatypes!B1099:L1099","RealInterval")</f>
        <v>RealInterval</v>
      </c>
      <c r="J525" s="76" t="str">
        <f>HYPERLINK("[#]PhysicalQuantities!A20:N20","Length")</f>
        <v>Length</v>
      </c>
      <c r="K525" s="75" t="str">
        <f>HYPERLINK("[#]UnitsOfMeasure!D80:G80","Metre")</f>
        <v>Metre</v>
      </c>
      <c r="L525" s="77"/>
      <c r="M525" s="78"/>
      <c r="N525" s="74"/>
      <c r="O525" s="25">
        <v>100917</v>
      </c>
      <c r="P525" s="304" t="str">
        <f>CONCATENATE([1]Cover!$D$6,"fdd/view?i=",O525)</f>
        <v>https://www.dgiwg.org/FAD/fdd/view?i=100917</v>
      </c>
      <c r="Q525" s="8" t="s">
        <v>7244</v>
      </c>
      <c r="R525" s="38" t="s">
        <v>151</v>
      </c>
    </row>
    <row r="526" spans="1:18" ht="25.5">
      <c r="A526" s="302" t="str">
        <f t="shared" si="9"/>
        <v>geomorphicHeight</v>
      </c>
      <c r="B526" s="6" t="s">
        <v>7250</v>
      </c>
      <c r="C526" s="17" t="s">
        <v>7251</v>
      </c>
      <c r="D526" s="10" t="s">
        <v>7252</v>
      </c>
      <c r="E526" s="55"/>
      <c r="F526" s="55"/>
      <c r="G526" s="12" t="s">
        <v>4643</v>
      </c>
      <c r="H526" s="74"/>
      <c r="I526" s="147" t="str">
        <f>HYPERLINK("[#]Datatypes!B1099:L1099","RealInterval")</f>
        <v>RealInterval</v>
      </c>
      <c r="J526" s="76" t="str">
        <f>HYPERLINK("[#]PhysicalQuantities!A20:N20","Length")</f>
        <v>Length</v>
      </c>
      <c r="K526" s="75" t="str">
        <f>HYPERLINK("[#]UnitsOfMeasure!D80:G80","Metre")</f>
        <v>Metre</v>
      </c>
      <c r="L526" s="77"/>
      <c r="M526" s="78"/>
      <c r="N526" s="74"/>
      <c r="O526" s="25">
        <v>100910</v>
      </c>
      <c r="P526" s="304" t="str">
        <f>CONCATENATE([1]Cover!$D$6,"fdd/view?i=",O526)</f>
        <v>https://www.dgiwg.org/FAD/fdd/view?i=100910</v>
      </c>
      <c r="Q526" s="8" t="s">
        <v>7249</v>
      </c>
      <c r="R526" s="38" t="s">
        <v>151</v>
      </c>
    </row>
    <row r="527" spans="1:18" ht="25.5">
      <c r="A527" s="302" t="str">
        <f t="shared" si="9"/>
        <v>geomorphicType</v>
      </c>
      <c r="B527" s="6" t="s">
        <v>7254</v>
      </c>
      <c r="C527" s="17" t="s">
        <v>7255</v>
      </c>
      <c r="D527" s="10" t="s">
        <v>7256</v>
      </c>
      <c r="E527" s="55"/>
      <c r="F527" s="55"/>
      <c r="G527" s="12" t="s">
        <v>4643</v>
      </c>
      <c r="H527" s="74"/>
      <c r="I527" s="147" t="str">
        <f>HYPERLINK("[#]Datatypes!B616:L616","GeomorphicTypeCode")</f>
        <v>GeomorphicTypeCode</v>
      </c>
      <c r="J527" s="80"/>
      <c r="K527" s="77"/>
      <c r="L527" s="77"/>
      <c r="M527" s="71" t="str">
        <f>HYPERLINK("[#]DatatypeListedValues!A3602:H3602","&lt;values&gt;")</f>
        <v>&lt;values&gt;</v>
      </c>
      <c r="N527" s="82" t="b">
        <v>0</v>
      </c>
      <c r="O527" s="25">
        <v>118920</v>
      </c>
      <c r="P527" s="304" t="str">
        <f>CONCATENATE([1]Cover!$D$6,"fdd/view?i=",O527)</f>
        <v>https://www.dgiwg.org/FAD/fdd/view?i=118920</v>
      </c>
      <c r="Q527" s="8" t="s">
        <v>7253</v>
      </c>
      <c r="R527" s="38" t="s">
        <v>151</v>
      </c>
    </row>
    <row r="528" spans="1:18" ht="25.5">
      <c r="A528" s="302" t="str">
        <f t="shared" si="9"/>
        <v>geopoliticalEntityBasis</v>
      </c>
      <c r="B528" s="6" t="s">
        <v>7259</v>
      </c>
      <c r="C528" s="17" t="s">
        <v>7260</v>
      </c>
      <c r="D528" s="10" t="s">
        <v>7261</v>
      </c>
      <c r="E528" s="10" t="s">
        <v>7262</v>
      </c>
      <c r="F528" s="55"/>
      <c r="G528" s="12" t="s">
        <v>4643</v>
      </c>
      <c r="H528" s="74"/>
      <c r="I528" s="147" t="str">
        <f>HYPERLINK("[#]Datatypes!B1412:L1412","TextLex4095")</f>
        <v>TextLex4095</v>
      </c>
      <c r="J528" s="80"/>
      <c r="K528" s="77"/>
      <c r="L528" s="77"/>
      <c r="M528" s="78"/>
      <c r="N528" s="74"/>
      <c r="O528" s="25">
        <v>114221</v>
      </c>
      <c r="P528" s="304" t="str">
        <f>CONCATENATE([1]Cover!$D$6,"fdd/view?i=",O528)</f>
        <v>https://www.dgiwg.org/FAD/fdd/view?i=114221</v>
      </c>
      <c r="Q528" s="8" t="s">
        <v>7258</v>
      </c>
      <c r="R528" s="38" t="s">
        <v>151</v>
      </c>
    </row>
    <row r="529" spans="1:18" ht="25.5">
      <c r="A529" s="302" t="str">
        <f t="shared" si="9"/>
        <v>geopoliticalEntityType</v>
      </c>
      <c r="B529" s="6" t="s">
        <v>7265</v>
      </c>
      <c r="C529" s="17" t="s">
        <v>7266</v>
      </c>
      <c r="D529" s="10" t="s">
        <v>7267</v>
      </c>
      <c r="E529" s="55"/>
      <c r="F529" s="55"/>
      <c r="G529" s="12" t="s">
        <v>4643</v>
      </c>
      <c r="H529" s="74"/>
      <c r="I529" s="147" t="str">
        <f>HYPERLINK("[#]Datatypes!B620:L620","GeopoliticalEntityTypeCode")</f>
        <v>GeopoliticalEntityTypeCode</v>
      </c>
      <c r="J529" s="80"/>
      <c r="K529" s="77"/>
      <c r="L529" s="77"/>
      <c r="M529" s="71" t="str">
        <f>HYPERLINK("[#]DatatypeListedValues!A3618:H3618","&lt;values&gt;")</f>
        <v>&lt;values&gt;</v>
      </c>
      <c r="N529" s="82" t="b">
        <v>0</v>
      </c>
      <c r="O529" s="25">
        <v>100909</v>
      </c>
      <c r="P529" s="304" t="str">
        <f>CONCATENATE([1]Cover!$D$6,"fdd/view?i=",O529)</f>
        <v>https://www.dgiwg.org/FAD/fdd/view?i=100909</v>
      </c>
      <c r="Q529" s="8" t="s">
        <v>7264</v>
      </c>
      <c r="R529" s="38" t="s">
        <v>151</v>
      </c>
    </row>
    <row r="530" spans="1:18" ht="38.25">
      <c r="A530" s="302" t="str">
        <f t="shared" si="9"/>
        <v>geopoliticalLineType</v>
      </c>
      <c r="B530" s="6" t="s">
        <v>7270</v>
      </c>
      <c r="C530" s="17" t="s">
        <v>7271</v>
      </c>
      <c r="D530" s="10" t="s">
        <v>7272</v>
      </c>
      <c r="E530" s="55"/>
      <c r="F530" s="55"/>
      <c r="G530" s="12" t="s">
        <v>4643</v>
      </c>
      <c r="H530" s="74"/>
      <c r="I530" s="147" t="str">
        <f>HYPERLINK("[#]Datatypes!B622:L622","GeopoliticalLineTypeCode")</f>
        <v>GeopoliticalLineTypeCode</v>
      </c>
      <c r="J530" s="80"/>
      <c r="K530" s="77"/>
      <c r="L530" s="77"/>
      <c r="M530" s="71" t="str">
        <f>HYPERLINK("[#]DatatypeListedValues!A3630:H3630","&lt;values&gt;")</f>
        <v>&lt;values&gt;</v>
      </c>
      <c r="N530" s="82" t="b">
        <v>0</v>
      </c>
      <c r="O530" s="25">
        <v>101013</v>
      </c>
      <c r="P530" s="304" t="str">
        <f>CONCATENATE([1]Cover!$D$6,"fdd/view?i=",O530)</f>
        <v>https://www.dgiwg.org/FAD/fdd/view?i=101013</v>
      </c>
      <c r="Q530" s="8" t="s">
        <v>7269</v>
      </c>
      <c r="R530" s="38" t="s">
        <v>151</v>
      </c>
    </row>
    <row r="531" spans="1:18">
      <c r="A531" s="302" t="str">
        <f t="shared" si="9"/>
        <v>geothermalOutletType</v>
      </c>
      <c r="B531" s="6" t="s">
        <v>7275</v>
      </c>
      <c r="C531" s="17" t="s">
        <v>7276</v>
      </c>
      <c r="D531" s="10" t="s">
        <v>7277</v>
      </c>
      <c r="E531" s="55"/>
      <c r="F531" s="55"/>
      <c r="G531" s="12" t="s">
        <v>4643</v>
      </c>
      <c r="H531" s="74"/>
      <c r="I531" s="147" t="str">
        <f>HYPERLINK("[#]Datatypes!B626:L626","GeothermalOutletTypeCode")</f>
        <v>GeothermalOutletTypeCode</v>
      </c>
      <c r="J531" s="80"/>
      <c r="K531" s="77"/>
      <c r="L531" s="77"/>
      <c r="M531" s="71" t="str">
        <f>HYPERLINK("[#]DatatypeListedValues!A3647:H3647","&lt;values&gt;")</f>
        <v>&lt;values&gt;</v>
      </c>
      <c r="N531" s="82" t="b">
        <v>0</v>
      </c>
      <c r="O531" s="25">
        <v>109951</v>
      </c>
      <c r="P531" s="304" t="str">
        <f>CONCATENATE([1]Cover!$D$6,"fdd/view?i=",O531)</f>
        <v>https://www.dgiwg.org/FAD/fdd/view?i=109951</v>
      </c>
      <c r="Q531" s="8" t="s">
        <v>7274</v>
      </c>
      <c r="R531" s="38" t="s">
        <v>151</v>
      </c>
    </row>
    <row r="532" spans="1:18" ht="25.5">
      <c r="A532" s="302" t="str">
        <f t="shared" si="9"/>
        <v>ghostFrequency</v>
      </c>
      <c r="B532" s="6" t="s">
        <v>7280</v>
      </c>
      <c r="C532" s="17" t="s">
        <v>7281</v>
      </c>
      <c r="D532" s="10" t="s">
        <v>7282</v>
      </c>
      <c r="E532" s="10" t="s">
        <v>7283</v>
      </c>
      <c r="F532" s="10" t="s">
        <v>7284</v>
      </c>
      <c r="G532" s="12" t="s">
        <v>4643</v>
      </c>
      <c r="H532" s="74"/>
      <c r="I532" s="147" t="str">
        <f>HYPERLINK("[#]Datatypes!B1097:L1097","Real")</f>
        <v>Real</v>
      </c>
      <c r="J532" s="76" t="str">
        <f>HYPERLINK("[#]PhysicalQuantities!A15:N15","Frequency")</f>
        <v>Frequency</v>
      </c>
      <c r="K532" s="75" t="str">
        <f>HYPERLINK("[#]UnitsOfMeasure!D71:G71","Hertz")</f>
        <v>Hertz</v>
      </c>
      <c r="L532" s="77"/>
      <c r="M532" s="78"/>
      <c r="N532" s="74"/>
      <c r="O532" s="25">
        <v>117550</v>
      </c>
      <c r="P532" s="304" t="str">
        <f>CONCATENATE([1]Cover!$D$6,"fdd/view?i=",O532)</f>
        <v>https://www.dgiwg.org/FAD/fdd/view?i=117550</v>
      </c>
      <c r="Q532" s="8" t="s">
        <v>7279</v>
      </c>
      <c r="R532" s="38" t="s">
        <v>151</v>
      </c>
    </row>
    <row r="533" spans="1:18" ht="25.5">
      <c r="A533" s="302" t="str">
        <f t="shared" si="9"/>
        <v>gidiFeatureIdentifier</v>
      </c>
      <c r="B533" s="6" t="s">
        <v>7286</v>
      </c>
      <c r="C533" s="17" t="s">
        <v>7287</v>
      </c>
      <c r="D533" s="10" t="s">
        <v>7288</v>
      </c>
      <c r="E533" s="55"/>
      <c r="F533" s="55"/>
      <c r="G533" s="12" t="s">
        <v>4643</v>
      </c>
      <c r="H533" s="74"/>
      <c r="I533" s="147" t="str">
        <f>HYPERLINK("[#]Datatypes!B628:L628","GidiFeatureIdentifierStrucText")</f>
        <v>GidiFeatureIdentifierStrucText</v>
      </c>
      <c r="J533" s="80"/>
      <c r="K533" s="77"/>
      <c r="L533" s="77"/>
      <c r="M533" s="78"/>
      <c r="N533" s="74"/>
      <c r="O533" s="25">
        <v>200484</v>
      </c>
      <c r="P533" s="304" t="str">
        <f>CONCATENATE([1]Cover!$D$6,"fdd/view?i=",O533)</f>
        <v>https://www.dgiwg.org/FAD/fdd/view?i=200484</v>
      </c>
      <c r="Q533" s="8" t="s">
        <v>7285</v>
      </c>
      <c r="R533" s="38" t="s">
        <v>1295</v>
      </c>
    </row>
    <row r="534" spans="1:18">
      <c r="A534" s="302" t="str">
        <f t="shared" si="9"/>
        <v>glideSlopeAngle</v>
      </c>
      <c r="B534" s="6" t="s">
        <v>7291</v>
      </c>
      <c r="C534" s="17" t="s">
        <v>7292</v>
      </c>
      <c r="D534" s="10" t="s">
        <v>7293</v>
      </c>
      <c r="E534" s="55"/>
      <c r="F534" s="55"/>
      <c r="G534" s="12" t="s">
        <v>4643</v>
      </c>
      <c r="H534" s="74"/>
      <c r="I534" s="147" t="str">
        <f>HYPERLINK("[#]Datatypes!B1130:L1130","RealNonNeg0r00to4r99")</f>
        <v>RealNonNeg0r00to4r99</v>
      </c>
      <c r="J534" s="76" t="str">
        <f>HYPERLINK("[#]PhysicalQuantities!A34:N34","Plane Angle")</f>
        <v>Plane Angle</v>
      </c>
      <c r="K534" s="75" t="str">
        <f>HYPERLINK("[#]UnitsOfMeasure!D159:G159","Arc Degree")</f>
        <v>Arc Degree</v>
      </c>
      <c r="L534" s="77"/>
      <c r="M534" s="78"/>
      <c r="N534" s="74"/>
      <c r="O534" s="25">
        <v>100919</v>
      </c>
      <c r="P534" s="304" t="str">
        <f>CONCATENATE([1]Cover!$D$6,"fdd/view?i=",O534)</f>
        <v>https://www.dgiwg.org/FAD/fdd/view?i=100919</v>
      </c>
      <c r="Q534" s="8" t="s">
        <v>7290</v>
      </c>
      <c r="R534" s="38" t="s">
        <v>151</v>
      </c>
    </row>
    <row r="535" spans="1:18" ht="25.5">
      <c r="A535" s="302" t="str">
        <f t="shared" si="9"/>
        <v>gnssChannel</v>
      </c>
      <c r="B535" s="6" t="s">
        <v>7296</v>
      </c>
      <c r="C535" s="17" t="s">
        <v>7297</v>
      </c>
      <c r="D535" s="10" t="s">
        <v>7298</v>
      </c>
      <c r="E535" s="55"/>
      <c r="F535" s="55"/>
      <c r="G535" s="12" t="s">
        <v>4643</v>
      </c>
      <c r="H535" s="74"/>
      <c r="I535" s="147" t="str">
        <f>HYPERLINK("[#]Datatypes!B710:L710","Integer")</f>
        <v>Integer</v>
      </c>
      <c r="J535" s="76" t="str">
        <f>HYPERLINK("[#]PhysicalQuantities!A39:N39","Pure Number")</f>
        <v>Pure Number</v>
      </c>
      <c r="K535" s="75" t="str">
        <f>HYPERLINK("[#]UnitsOfMeasure!D213:G213","Unitless")</f>
        <v>Unitless</v>
      </c>
      <c r="L535" s="77"/>
      <c r="M535" s="78"/>
      <c r="N535" s="74"/>
      <c r="O535" s="25">
        <v>117535</v>
      </c>
      <c r="P535" s="304" t="str">
        <f>CONCATENATE([1]Cover!$D$6,"fdd/view?i=",O535)</f>
        <v>https://www.dgiwg.org/FAD/fdd/view?i=117535</v>
      </c>
      <c r="Q535" s="8" t="s">
        <v>7295</v>
      </c>
      <c r="R535" s="38" t="s">
        <v>151</v>
      </c>
    </row>
    <row r="536" spans="1:18" ht="38.25">
      <c r="A536" s="302" t="str">
        <f t="shared" si="9"/>
        <v>gnssConstellation</v>
      </c>
      <c r="B536" s="6" t="s">
        <v>7300</v>
      </c>
      <c r="C536" s="17" t="s">
        <v>7301</v>
      </c>
      <c r="D536" s="10" t="s">
        <v>7302</v>
      </c>
      <c r="E536" s="55"/>
      <c r="F536" s="55"/>
      <c r="G536" s="12" t="s">
        <v>4643</v>
      </c>
      <c r="H536" s="74"/>
      <c r="I536" s="147" t="str">
        <f>HYPERLINK("[#]Datatypes!B630:L630","GnssConstellationCode")</f>
        <v>GnssConstellationCode</v>
      </c>
      <c r="J536" s="80"/>
      <c r="K536" s="77"/>
      <c r="L536" s="77"/>
      <c r="M536" s="71" t="str">
        <f>HYPERLINK("[#]DatatypeListedValues!A3652:H3652","&lt;values&gt;")</f>
        <v>&lt;values&gt;</v>
      </c>
      <c r="N536" s="82" t="b">
        <v>0</v>
      </c>
      <c r="O536" s="25">
        <v>117540</v>
      </c>
      <c r="P536" s="304" t="str">
        <f>CONCATENATE([1]Cover!$D$6,"fdd/view?i=",O536)</f>
        <v>https://www.dgiwg.org/FAD/fdd/view?i=117540</v>
      </c>
      <c r="Q536" s="8" t="s">
        <v>7299</v>
      </c>
      <c r="R536" s="38" t="s">
        <v>151</v>
      </c>
    </row>
    <row r="537" spans="1:18" ht="38.25">
      <c r="A537" s="302" t="str">
        <f t="shared" si="9"/>
        <v>gradientLength</v>
      </c>
      <c r="B537" s="6" t="s">
        <v>7305</v>
      </c>
      <c r="C537" s="17" t="s">
        <v>7306</v>
      </c>
      <c r="D537" s="10" t="s">
        <v>7307</v>
      </c>
      <c r="E537" s="55"/>
      <c r="F537" s="55"/>
      <c r="G537" s="12" t="s">
        <v>4643</v>
      </c>
      <c r="H537" s="74"/>
      <c r="I537" s="147" t="str">
        <f>HYPERLINK("[#]Datatypes!B1097:L1097","Real")</f>
        <v>Real</v>
      </c>
      <c r="J537" s="76" t="str">
        <f>HYPERLINK("[#]PhysicalQuantities!A20:N20","Length")</f>
        <v>Length</v>
      </c>
      <c r="K537" s="75" t="str">
        <f>HYPERLINK("[#]UnitsOfMeasure!D80:G80","Metre")</f>
        <v>Metre</v>
      </c>
      <c r="L537" s="77"/>
      <c r="M537" s="78"/>
      <c r="N537" s="74"/>
      <c r="O537" s="25">
        <v>110712</v>
      </c>
      <c r="P537" s="304" t="str">
        <f>CONCATENATE([1]Cover!$D$6,"fdd/view?i=",O537)</f>
        <v>https://www.dgiwg.org/FAD/fdd/view?i=110712</v>
      </c>
      <c r="Q537" s="8" t="s">
        <v>7304</v>
      </c>
      <c r="R537" s="38" t="s">
        <v>151</v>
      </c>
    </row>
    <row r="538" spans="1:18" ht="25.5">
      <c r="A538" s="302" t="str">
        <f t="shared" si="9"/>
        <v>gradingType</v>
      </c>
      <c r="B538" s="6" t="s">
        <v>7309</v>
      </c>
      <c r="C538" s="17" t="s">
        <v>7310</v>
      </c>
      <c r="D538" s="10" t="s">
        <v>7311</v>
      </c>
      <c r="E538" s="10" t="s">
        <v>7312</v>
      </c>
      <c r="F538" s="55"/>
      <c r="G538" s="12" t="s">
        <v>4643</v>
      </c>
      <c r="H538" s="74"/>
      <c r="I538" s="147" t="str">
        <f>HYPERLINK("[#]Datatypes!B632:L632","GradingTypeCode")</f>
        <v>GradingTypeCode</v>
      </c>
      <c r="J538" s="80"/>
      <c r="K538" s="77"/>
      <c r="L538" s="77"/>
      <c r="M538" s="71" t="str">
        <f>HYPERLINK("[#]DatatypeListedValues!A3654:H3654","&lt;values&gt;")</f>
        <v>&lt;values&gt;</v>
      </c>
      <c r="N538" s="82" t="b">
        <v>0</v>
      </c>
      <c r="O538" s="25">
        <v>100736</v>
      </c>
      <c r="P538" s="304" t="str">
        <f>CONCATENATE([1]Cover!$D$6,"fdd/view?i=",O538)</f>
        <v>https://www.dgiwg.org/FAD/fdd/view?i=100736</v>
      </c>
      <c r="Q538" s="8" t="s">
        <v>7308</v>
      </c>
      <c r="R538" s="38" t="s">
        <v>151</v>
      </c>
    </row>
    <row r="539" spans="1:18" ht="38.25">
      <c r="A539" s="302" t="str">
        <f t="shared" si="9"/>
        <v>gravityStrengthDifference</v>
      </c>
      <c r="B539" s="6" t="s">
        <v>7315</v>
      </c>
      <c r="C539" s="17" t="s">
        <v>7316</v>
      </c>
      <c r="D539" s="10" t="s">
        <v>7317</v>
      </c>
      <c r="E539" s="10" t="s">
        <v>7318</v>
      </c>
      <c r="F539" s="55"/>
      <c r="G539" s="12" t="s">
        <v>4643</v>
      </c>
      <c r="H539" s="74"/>
      <c r="I539" s="147" t="str">
        <f>HYPERLINK("[#]Datatypes!B1097:L1097","Real")</f>
        <v>Real</v>
      </c>
      <c r="J539" s="76" t="str">
        <f>HYPERLINK("[#]PhysicalQuantities!A2:N2","Acceleration")</f>
        <v>Acceleration</v>
      </c>
      <c r="K539" s="75" t="str">
        <f>HYPERLINK("[#]UnitsOfMeasure!D3:G3","Gal")</f>
        <v>Gal</v>
      </c>
      <c r="L539" s="77"/>
      <c r="M539" s="78"/>
      <c r="N539" s="74"/>
      <c r="O539" s="25">
        <v>207826</v>
      </c>
      <c r="P539" s="304" t="str">
        <f>CONCATENATE([1]Cover!$D$6,"fdd/view?i=",O539)</f>
        <v>https://www.dgiwg.org/FAD/fdd/view?i=207826</v>
      </c>
      <c r="Q539" s="8" t="s">
        <v>7314</v>
      </c>
      <c r="R539" s="38" t="s">
        <v>1295</v>
      </c>
    </row>
    <row r="540" spans="1:18" ht="25.5">
      <c r="A540" s="302" t="str">
        <f t="shared" si="9"/>
        <v>gridVariation</v>
      </c>
      <c r="B540" s="6" t="s">
        <v>7320</v>
      </c>
      <c r="C540" s="17" t="s">
        <v>7321</v>
      </c>
      <c r="D540" s="10" t="s">
        <v>7322</v>
      </c>
      <c r="E540" s="10" t="s">
        <v>7323</v>
      </c>
      <c r="F540" s="10" t="s">
        <v>7324</v>
      </c>
      <c r="G540" s="12" t="s">
        <v>4643</v>
      </c>
      <c r="H540" s="74"/>
      <c r="I540" s="147" t="str">
        <f>HYPERLINK("[#]Datatypes!B1132:L1132","Realm180to180")</f>
        <v>Realm180to180</v>
      </c>
      <c r="J540" s="76" t="str">
        <f>HYPERLINK("[#]PhysicalQuantities!A34:N34","Plane Angle")</f>
        <v>Plane Angle</v>
      </c>
      <c r="K540" s="75" t="str">
        <f>HYPERLINK("[#]UnitsOfMeasure!D159:G159","Arc Degree")</f>
        <v>Arc Degree</v>
      </c>
      <c r="L540" s="77"/>
      <c r="M540" s="78"/>
      <c r="N540" s="74"/>
      <c r="O540" s="25">
        <v>119583</v>
      </c>
      <c r="P540" s="304" t="str">
        <f>CONCATENATE([1]Cover!$D$6,"fdd/view?i=",O540)</f>
        <v>https://www.dgiwg.org/FAD/fdd/view?i=119583</v>
      </c>
      <c r="Q540" s="8" t="s">
        <v>7319</v>
      </c>
      <c r="R540" s="38" t="s">
        <v>151</v>
      </c>
    </row>
    <row r="541" spans="1:18" ht="38.25">
      <c r="A541" s="302" t="str">
        <f t="shared" si="9"/>
        <v>gridVariationDateTime</v>
      </c>
      <c r="B541" s="6" t="s">
        <v>7326</v>
      </c>
      <c r="C541" s="17" t="s">
        <v>7327</v>
      </c>
      <c r="D541" s="10" t="s">
        <v>7328</v>
      </c>
      <c r="E541" s="10" t="s">
        <v>6206</v>
      </c>
      <c r="F541" s="55"/>
      <c r="G541" s="12" t="s">
        <v>4643</v>
      </c>
      <c r="H541" s="74"/>
      <c r="I541" s="147" t="str">
        <f>HYPERLINK("[#]Datatypes!B634:L634","GridVariationDateTimeStrucText")</f>
        <v>GridVariationDateTimeStrucText</v>
      </c>
      <c r="J541" s="80"/>
      <c r="K541" s="77"/>
      <c r="L541" s="77"/>
      <c r="M541" s="78"/>
      <c r="N541" s="74"/>
      <c r="O541" s="25">
        <v>119584</v>
      </c>
      <c r="P541" s="304" t="str">
        <f>CONCATENATE([1]Cover!$D$6,"fdd/view?i=",O541)</f>
        <v>https://www.dgiwg.org/FAD/fdd/view?i=119584</v>
      </c>
      <c r="Q541" s="8" t="s">
        <v>7325</v>
      </c>
      <c r="R541" s="38" t="s">
        <v>151</v>
      </c>
    </row>
    <row r="542" spans="1:18" ht="38.25">
      <c r="A542" s="302" t="str">
        <f t="shared" si="9"/>
        <v>guarded</v>
      </c>
      <c r="B542" s="6" t="s">
        <v>7331</v>
      </c>
      <c r="C542" s="17" t="s">
        <v>7332</v>
      </c>
      <c r="D542" s="10" t="s">
        <v>7333</v>
      </c>
      <c r="E542" s="10" t="s">
        <v>7334</v>
      </c>
      <c r="F542" s="55"/>
      <c r="G542" s="12" t="s">
        <v>4643</v>
      </c>
      <c r="H542" s="74"/>
      <c r="I542" s="147" t="str">
        <f>HYPERLINK("[#]Datatypes!B230:L230","Boolean")</f>
        <v>Boolean</v>
      </c>
      <c r="J542" s="80"/>
      <c r="K542" s="77"/>
      <c r="L542" s="77"/>
      <c r="M542" s="78"/>
      <c r="N542" s="74"/>
      <c r="O542" s="25">
        <v>114224</v>
      </c>
      <c r="P542" s="304" t="str">
        <f>CONCATENATE([1]Cover!$D$6,"fdd/view?i=",O542)</f>
        <v>https://www.dgiwg.org/FAD/fdd/view?i=114224</v>
      </c>
      <c r="Q542" s="8" t="s">
        <v>7330</v>
      </c>
      <c r="R542" s="38" t="s">
        <v>151</v>
      </c>
    </row>
    <row r="543" spans="1:18" ht="25.5">
      <c r="A543" s="302" t="str">
        <f t="shared" si="9"/>
        <v>guyed</v>
      </c>
      <c r="B543" s="6" t="s">
        <v>7336</v>
      </c>
      <c r="C543" s="17" t="s">
        <v>7337</v>
      </c>
      <c r="D543" s="10" t="s">
        <v>7338</v>
      </c>
      <c r="E543" s="55"/>
      <c r="F543" s="55"/>
      <c r="G543" s="12" t="s">
        <v>4643</v>
      </c>
      <c r="H543" s="74"/>
      <c r="I543" s="147" t="str">
        <f>HYPERLINK("[#]Datatypes!B230:L230","Boolean")</f>
        <v>Boolean</v>
      </c>
      <c r="J543" s="80"/>
      <c r="K543" s="77"/>
      <c r="L543" s="77"/>
      <c r="M543" s="78"/>
      <c r="N543" s="74"/>
      <c r="O543" s="25">
        <v>100923</v>
      </c>
      <c r="P543" s="304" t="str">
        <f>CONCATENATE([1]Cover!$D$6,"fdd/view?i=",O543)</f>
        <v>https://www.dgiwg.org/FAD/fdd/view?i=100923</v>
      </c>
      <c r="Q543" s="8" t="s">
        <v>7335</v>
      </c>
      <c r="R543" s="38" t="s">
        <v>151</v>
      </c>
    </row>
    <row r="544" spans="1:18">
      <c r="A544" s="302" t="str">
        <f t="shared" si="9"/>
        <v>hangarDoorHeight</v>
      </c>
      <c r="B544" s="6" t="s">
        <v>7340</v>
      </c>
      <c r="C544" s="17" t="s">
        <v>7341</v>
      </c>
      <c r="D544" s="10" t="s">
        <v>7342</v>
      </c>
      <c r="E544" s="55"/>
      <c r="F544" s="55"/>
      <c r="G544" s="12" t="s">
        <v>4643</v>
      </c>
      <c r="H544" s="74"/>
      <c r="I544" s="147" t="str">
        <f>HYPERLINK("[#]Datatypes!B1097:L1097","Real")</f>
        <v>Real</v>
      </c>
      <c r="J544" s="76" t="str">
        <f>HYPERLINK("[#]PhysicalQuantities!A20:N20","Length")</f>
        <v>Length</v>
      </c>
      <c r="K544" s="75" t="str">
        <f>HYPERLINK("[#]UnitsOfMeasure!D80:G80","Metre")</f>
        <v>Metre</v>
      </c>
      <c r="L544" s="77"/>
      <c r="M544" s="78"/>
      <c r="N544" s="74"/>
      <c r="O544" s="25">
        <v>100950</v>
      </c>
      <c r="P544" s="304" t="str">
        <f>CONCATENATE([1]Cover!$D$6,"fdd/view?i=",O544)</f>
        <v>https://www.dgiwg.org/FAD/fdd/view?i=100950</v>
      </c>
      <c r="Q544" s="8" t="s">
        <v>7339</v>
      </c>
      <c r="R544" s="38" t="s">
        <v>151</v>
      </c>
    </row>
    <row r="545" spans="1:18">
      <c r="A545" s="302" t="str">
        <f t="shared" si="9"/>
        <v>hangarDoorWidth</v>
      </c>
      <c r="B545" s="6" t="s">
        <v>7344</v>
      </c>
      <c r="C545" s="17" t="s">
        <v>7345</v>
      </c>
      <c r="D545" s="10" t="s">
        <v>7346</v>
      </c>
      <c r="E545" s="55"/>
      <c r="F545" s="55"/>
      <c r="G545" s="12" t="s">
        <v>4643</v>
      </c>
      <c r="H545" s="74"/>
      <c r="I545" s="147" t="str">
        <f>HYPERLINK("[#]Datatypes!B1097:L1097","Real")</f>
        <v>Real</v>
      </c>
      <c r="J545" s="76" t="str">
        <f>HYPERLINK("[#]PhysicalQuantities!A20:N20","Length")</f>
        <v>Length</v>
      </c>
      <c r="K545" s="75" t="str">
        <f>HYPERLINK("[#]UnitsOfMeasure!D80:G80","Metre")</f>
        <v>Metre</v>
      </c>
      <c r="L545" s="77"/>
      <c r="M545" s="78"/>
      <c r="N545" s="74"/>
      <c r="O545" s="25">
        <v>100936</v>
      </c>
      <c r="P545" s="304" t="str">
        <f>CONCATENATE([1]Cover!$D$6,"fdd/view?i=",O545)</f>
        <v>https://www.dgiwg.org/FAD/fdd/view?i=100936</v>
      </c>
      <c r="Q545" s="8" t="s">
        <v>7343</v>
      </c>
      <c r="R545" s="38" t="s">
        <v>151</v>
      </c>
    </row>
    <row r="546" spans="1:18">
      <c r="A546" s="302" t="str">
        <f t="shared" si="9"/>
        <v>hangarTypeCategory</v>
      </c>
      <c r="B546" s="6" t="s">
        <v>7348</v>
      </c>
      <c r="C546" s="17" t="s">
        <v>7349</v>
      </c>
      <c r="D546" s="10" t="s">
        <v>7350</v>
      </c>
      <c r="E546" s="55"/>
      <c r="F546" s="55"/>
      <c r="G546" s="12" t="s">
        <v>4643</v>
      </c>
      <c r="H546" s="74"/>
      <c r="I546" s="147" t="str">
        <f>HYPERLINK("[#]Datatypes!B636:L636","HangarTypeCategoryCode")</f>
        <v>HangarTypeCategoryCode</v>
      </c>
      <c r="J546" s="80"/>
      <c r="K546" s="77"/>
      <c r="L546" s="77"/>
      <c r="M546" s="71" t="str">
        <f>HYPERLINK("[#]DatatypeListedValues!A3658:H3658","&lt;values&gt;")</f>
        <v>&lt;values&gt;</v>
      </c>
      <c r="N546" s="12" t="b">
        <v>1</v>
      </c>
      <c r="O546" s="25">
        <v>100962</v>
      </c>
      <c r="P546" s="304" t="str">
        <f>CONCATENATE([1]Cover!$D$6,"fdd/view?i=",O546)</f>
        <v>https://www.dgiwg.org/FAD/fdd/view?i=100962</v>
      </c>
      <c r="Q546" s="8" t="s">
        <v>7347</v>
      </c>
      <c r="R546" s="38" t="s">
        <v>151</v>
      </c>
    </row>
    <row r="547" spans="1:18" ht="25.5">
      <c r="A547" s="302" t="str">
        <f t="shared" si="9"/>
        <v>harbourFacilityFunction</v>
      </c>
      <c r="B547" s="6" t="s">
        <v>7353</v>
      </c>
      <c r="C547" s="17" t="s">
        <v>7354</v>
      </c>
      <c r="D547" s="10" t="s">
        <v>7355</v>
      </c>
      <c r="E547" s="55"/>
      <c r="F547" s="55"/>
      <c r="G547" s="12" t="s">
        <v>4643</v>
      </c>
      <c r="H547" s="12" t="s">
        <v>4700</v>
      </c>
      <c r="I547" s="147" t="str">
        <f>HYPERLINK("[#]Datatypes!B638:L638","HarbourFacilityFunctionCode")</f>
        <v>HarbourFacilityFunctionCode</v>
      </c>
      <c r="J547" s="80"/>
      <c r="K547" s="77"/>
      <c r="L547" s="77"/>
      <c r="M547" s="71" t="str">
        <f>HYPERLINK("[#]DatatypeListedValues!A3665:H3665","&lt;values&gt;")</f>
        <v>&lt;values&gt;</v>
      </c>
      <c r="N547" s="82" t="b">
        <v>0</v>
      </c>
      <c r="O547" s="25">
        <v>100889</v>
      </c>
      <c r="P547" s="304" t="str">
        <f>CONCATENATE([1]Cover!$D$6,"fdd/view?i=",O547)</f>
        <v>https://www.dgiwg.org/FAD/fdd/view?i=100889</v>
      </c>
      <c r="Q547" s="8" t="s">
        <v>7352</v>
      </c>
      <c r="R547" s="38" t="s">
        <v>151</v>
      </c>
    </row>
    <row r="548" spans="1:18" ht="25.5">
      <c r="A548" s="302" t="str">
        <f t="shared" si="9"/>
        <v>hazardBufferRadius</v>
      </c>
      <c r="B548" s="6" t="s">
        <v>7358</v>
      </c>
      <c r="C548" s="17" t="s">
        <v>7359</v>
      </c>
      <c r="D548" s="10" t="s">
        <v>7360</v>
      </c>
      <c r="E548" s="55"/>
      <c r="F548" s="55"/>
      <c r="G548" s="12" t="s">
        <v>4643</v>
      </c>
      <c r="H548" s="74"/>
      <c r="I548" s="147" t="str">
        <f>HYPERLINK("[#]Datatypes!B1097:L1097","Real")</f>
        <v>Real</v>
      </c>
      <c r="J548" s="76" t="str">
        <f>HYPERLINK("[#]PhysicalQuantities!A20:N20","Length")</f>
        <v>Length</v>
      </c>
      <c r="K548" s="75" t="str">
        <f>HYPERLINK("[#]UnitsOfMeasure!D83:G83","Kilometre")</f>
        <v>Kilometre</v>
      </c>
      <c r="L548" s="77"/>
      <c r="M548" s="78"/>
      <c r="N548" s="74"/>
      <c r="O548" s="25">
        <v>204351</v>
      </c>
      <c r="P548" s="304" t="str">
        <f>CONCATENATE([1]Cover!$D$6,"fdd/view?i=",O548)</f>
        <v>https://www.dgiwg.org/FAD/fdd/view?i=204351</v>
      </c>
      <c r="Q548" s="8" t="s">
        <v>7357</v>
      </c>
      <c r="R548" s="38" t="s">
        <v>1295</v>
      </c>
    </row>
    <row r="549" spans="1:18" ht="38.25">
      <c r="A549" s="302" t="str">
        <f t="shared" si="9"/>
        <v>hazardShelterIntendedUse</v>
      </c>
      <c r="B549" s="6" t="s">
        <v>7362</v>
      </c>
      <c r="C549" s="17" t="s">
        <v>7363</v>
      </c>
      <c r="D549" s="10" t="s">
        <v>7364</v>
      </c>
      <c r="E549" s="10" t="s">
        <v>7365</v>
      </c>
      <c r="F549" s="55"/>
      <c r="G549" s="12" t="s">
        <v>4643</v>
      </c>
      <c r="H549" s="12" t="s">
        <v>4700</v>
      </c>
      <c r="I549" s="147" t="str">
        <f>HYPERLINK("[#]Datatypes!B640:L640","HazardShelterIntendedUseCode")</f>
        <v>HazardShelterIntendedUseCode</v>
      </c>
      <c r="J549" s="80"/>
      <c r="K549" s="77"/>
      <c r="L549" s="77"/>
      <c r="M549" s="71" t="str">
        <f>HYPERLINK("[#]DatatypeListedValues!A3676:H3676","&lt;values&gt;")</f>
        <v>&lt;values&gt;</v>
      </c>
      <c r="N549" s="82" t="b">
        <v>0</v>
      </c>
      <c r="O549" s="25">
        <v>119646</v>
      </c>
      <c r="P549" s="304" t="str">
        <f>CONCATENATE([1]Cover!$D$6,"fdd/view?i=",O549)</f>
        <v>https://www.dgiwg.org/FAD/fdd/view?i=119646</v>
      </c>
      <c r="Q549" s="8" t="s">
        <v>7361</v>
      </c>
      <c r="R549" s="38" t="s">
        <v>151</v>
      </c>
    </row>
    <row r="550" spans="1:18" ht="25.5">
      <c r="A550" s="302" t="str">
        <f t="shared" si="9"/>
        <v>healthCareCapability</v>
      </c>
      <c r="B550" s="6" t="s">
        <v>7368</v>
      </c>
      <c r="C550" s="17" t="s">
        <v>7369</v>
      </c>
      <c r="D550" s="10" t="s">
        <v>7370</v>
      </c>
      <c r="E550" s="55"/>
      <c r="F550" s="55"/>
      <c r="G550" s="12" t="s">
        <v>4643</v>
      </c>
      <c r="H550" s="12" t="s">
        <v>4700</v>
      </c>
      <c r="I550" s="147" t="str">
        <f>HYPERLINK("[#]Datatypes!B642:L642","HealthCareCapabilityCode")</f>
        <v>HealthCareCapabilityCode</v>
      </c>
      <c r="J550" s="80"/>
      <c r="K550" s="77"/>
      <c r="L550" s="77"/>
      <c r="M550" s="71" t="str">
        <f>HYPERLINK("[#]DatatypeListedValues!A3679:H3679","&lt;values&gt;")</f>
        <v>&lt;values&gt;</v>
      </c>
      <c r="N550" s="82" t="b">
        <v>0</v>
      </c>
      <c r="O550" s="25">
        <v>204364</v>
      </c>
      <c r="P550" s="304" t="str">
        <f>CONCATENATE([1]Cover!$D$6,"fdd/view?i=",O550)</f>
        <v>https://www.dgiwg.org/FAD/fdd/view?i=204364</v>
      </c>
      <c r="Q550" s="8" t="s">
        <v>7367</v>
      </c>
      <c r="R550" s="38" t="s">
        <v>1295</v>
      </c>
    </row>
    <row r="551" spans="1:18" ht="25.5">
      <c r="A551" s="302" t="str">
        <f t="shared" si="9"/>
        <v>heightAboveAerodrome</v>
      </c>
      <c r="B551" s="6" t="s">
        <v>7373</v>
      </c>
      <c r="C551" s="17" t="s">
        <v>7374</v>
      </c>
      <c r="D551" s="10" t="s">
        <v>7375</v>
      </c>
      <c r="E551" s="10" t="s">
        <v>7376</v>
      </c>
      <c r="F551" s="10" t="s">
        <v>7372</v>
      </c>
      <c r="G551" s="12" t="s">
        <v>4643</v>
      </c>
      <c r="H551" s="74"/>
      <c r="I551" s="147" t="str">
        <f>HYPERLINK("[#]Datatypes!B1097:L1097","Real")</f>
        <v>Real</v>
      </c>
      <c r="J551" s="76" t="str">
        <f t="shared" ref="J551:J559" si="10">HYPERLINK("[#]PhysicalQuantities!A20:N20","Length")</f>
        <v>Length</v>
      </c>
      <c r="K551" s="75" t="str">
        <f t="shared" ref="K551:K559" si="11">HYPERLINK("[#]UnitsOfMeasure!D80:G80","Metre")</f>
        <v>Metre</v>
      </c>
      <c r="L551" s="77"/>
      <c r="M551" s="78"/>
      <c r="N551" s="74"/>
      <c r="O551" s="25">
        <v>117575</v>
      </c>
      <c r="P551" s="304" t="str">
        <f>CONCATENATE([1]Cover!$D$6,"fdd/view?i=",O551)</f>
        <v>https://www.dgiwg.org/FAD/fdd/view?i=117575</v>
      </c>
      <c r="Q551" s="8" t="s">
        <v>7372</v>
      </c>
      <c r="R551" s="38" t="s">
        <v>151</v>
      </c>
    </row>
    <row r="552" spans="1:18" ht="38.25">
      <c r="A552" s="302" t="str">
        <f t="shared" si="9"/>
        <v>heightAboveLanding</v>
      </c>
      <c r="B552" s="6" t="s">
        <v>7378</v>
      </c>
      <c r="C552" s="17" t="s">
        <v>7379</v>
      </c>
      <c r="D552" s="10" t="s">
        <v>7380</v>
      </c>
      <c r="E552" s="55"/>
      <c r="F552" s="10" t="s">
        <v>7377</v>
      </c>
      <c r="G552" s="12" t="s">
        <v>4643</v>
      </c>
      <c r="H552" s="74"/>
      <c r="I552" s="147" t="str">
        <f>HYPERLINK("[#]Datatypes!B1097:L1097","Real")</f>
        <v>Real</v>
      </c>
      <c r="J552" s="76" t="str">
        <f t="shared" si="10"/>
        <v>Length</v>
      </c>
      <c r="K552" s="75" t="str">
        <f t="shared" si="11"/>
        <v>Metre</v>
      </c>
      <c r="L552" s="77"/>
      <c r="M552" s="78"/>
      <c r="N552" s="74"/>
      <c r="O552" s="25">
        <v>117577</v>
      </c>
      <c r="P552" s="304" t="str">
        <f>CONCATENATE([1]Cover!$D$6,"fdd/view?i=",O552)</f>
        <v>https://www.dgiwg.org/FAD/fdd/view?i=117577</v>
      </c>
      <c r="Q552" s="8" t="s">
        <v>7377</v>
      </c>
      <c r="R552" s="38" t="s">
        <v>151</v>
      </c>
    </row>
    <row r="553" spans="1:18" ht="38.25">
      <c r="A553" s="302" t="str">
        <f t="shared" si="9"/>
        <v>heightAboveSurface</v>
      </c>
      <c r="B553" s="6" t="s">
        <v>7382</v>
      </c>
      <c r="C553" s="17" t="s">
        <v>7383</v>
      </c>
      <c r="D553" s="10" t="s">
        <v>7384</v>
      </c>
      <c r="E553" s="10" t="s">
        <v>7385</v>
      </c>
      <c r="F553" s="10" t="s">
        <v>7386</v>
      </c>
      <c r="G553" s="12" t="s">
        <v>4643</v>
      </c>
      <c r="H553" s="74"/>
      <c r="I553" s="147" t="str">
        <f>HYPERLINK("[#]Datatypes!B1097:L1097","Real")</f>
        <v>Real</v>
      </c>
      <c r="J553" s="76" t="str">
        <f t="shared" si="10"/>
        <v>Length</v>
      </c>
      <c r="K553" s="75" t="str">
        <f t="shared" si="11"/>
        <v>Metre</v>
      </c>
      <c r="L553" s="77"/>
      <c r="M553" s="78"/>
      <c r="N553" s="74"/>
      <c r="O553" s="25">
        <v>117578</v>
      </c>
      <c r="P553" s="304" t="str">
        <f>CONCATENATE([1]Cover!$D$6,"fdd/view?i=",O553)</f>
        <v>https://www.dgiwg.org/FAD/fdd/view?i=117578</v>
      </c>
      <c r="Q553" s="8" t="s">
        <v>7381</v>
      </c>
      <c r="R553" s="38" t="s">
        <v>151</v>
      </c>
    </row>
    <row r="554" spans="1:18" ht="76.5">
      <c r="A554" s="302" t="str">
        <f t="shared" si="9"/>
        <v>heightAboveSurfaceLevel</v>
      </c>
      <c r="B554" s="6" t="s">
        <v>7388</v>
      </c>
      <c r="C554" s="17" t="s">
        <v>7389</v>
      </c>
      <c r="D554" s="10" t="s">
        <v>7390</v>
      </c>
      <c r="E554" s="10" t="s">
        <v>7391</v>
      </c>
      <c r="F554" s="55"/>
      <c r="G554" s="12" t="s">
        <v>4643</v>
      </c>
      <c r="H554" s="74"/>
      <c r="I554" s="147" t="str">
        <f>HYPERLINK("[#]Datatypes!B1099:L1099","RealInterval")</f>
        <v>RealInterval</v>
      </c>
      <c r="J554" s="76" t="str">
        <f t="shared" si="10"/>
        <v>Length</v>
      </c>
      <c r="K554" s="75" t="str">
        <f t="shared" si="11"/>
        <v>Metre</v>
      </c>
      <c r="L554" s="77"/>
      <c r="M554" s="78"/>
      <c r="N554" s="74"/>
      <c r="O554" s="25">
        <v>100942</v>
      </c>
      <c r="P554" s="304" t="str">
        <f>CONCATENATE([1]Cover!$D$6,"fdd/view?i=",O554)</f>
        <v>https://www.dgiwg.org/FAD/fdd/view?i=100942</v>
      </c>
      <c r="Q554" s="8" t="s">
        <v>7387</v>
      </c>
      <c r="R554" s="38" t="s">
        <v>151</v>
      </c>
    </row>
    <row r="555" spans="1:18" ht="38.25">
      <c r="A555" s="302" t="str">
        <f t="shared" si="9"/>
        <v>heightAboveTouchdown</v>
      </c>
      <c r="B555" s="6" t="s">
        <v>7393</v>
      </c>
      <c r="C555" s="17" t="s">
        <v>7394</v>
      </c>
      <c r="D555" s="10" t="s">
        <v>7395</v>
      </c>
      <c r="E555" s="10" t="s">
        <v>7396</v>
      </c>
      <c r="F555" s="10" t="s">
        <v>7392</v>
      </c>
      <c r="G555" s="12" t="s">
        <v>4643</v>
      </c>
      <c r="H555" s="74"/>
      <c r="I555" s="147" t="str">
        <f>HYPERLINK("[#]Datatypes!B1097:L1097","Real")</f>
        <v>Real</v>
      </c>
      <c r="J555" s="76" t="str">
        <f t="shared" si="10"/>
        <v>Length</v>
      </c>
      <c r="K555" s="75" t="str">
        <f t="shared" si="11"/>
        <v>Metre</v>
      </c>
      <c r="L555" s="77"/>
      <c r="M555" s="78"/>
      <c r="N555" s="74"/>
      <c r="O555" s="25">
        <v>117579</v>
      </c>
      <c r="P555" s="304" t="str">
        <f>CONCATENATE([1]Cover!$D$6,"fdd/view?i=",O555)</f>
        <v>https://www.dgiwg.org/FAD/fdd/view?i=117579</v>
      </c>
      <c r="Q555" s="8" t="s">
        <v>7392</v>
      </c>
      <c r="R555" s="38" t="s">
        <v>151</v>
      </c>
    </row>
    <row r="556" spans="1:18" ht="25.5">
      <c r="A556" s="302" t="str">
        <f t="shared" si="9"/>
        <v>heightAboveWaterbodyFloor</v>
      </c>
      <c r="B556" s="6" t="s">
        <v>7398</v>
      </c>
      <c r="C556" s="17" t="s">
        <v>7399</v>
      </c>
      <c r="D556" s="10" t="s">
        <v>7400</v>
      </c>
      <c r="E556" s="55"/>
      <c r="F556" s="55"/>
      <c r="G556" s="12" t="s">
        <v>4643</v>
      </c>
      <c r="H556" s="74"/>
      <c r="I556" s="147" t="str">
        <f>HYPERLINK("[#]Datatypes!B1099:L1099","RealInterval")</f>
        <v>RealInterval</v>
      </c>
      <c r="J556" s="76" t="str">
        <f t="shared" si="10"/>
        <v>Length</v>
      </c>
      <c r="K556" s="75" t="str">
        <f t="shared" si="11"/>
        <v>Metre</v>
      </c>
      <c r="L556" s="77"/>
      <c r="M556" s="78"/>
      <c r="N556" s="74"/>
      <c r="O556" s="25">
        <v>111583</v>
      </c>
      <c r="P556" s="304" t="str">
        <f>CONCATENATE([1]Cover!$D$6,"fdd/view?i=",O556)</f>
        <v>https://www.dgiwg.org/FAD/fdd/view?i=111583</v>
      </c>
      <c r="Q556" s="8" t="s">
        <v>7397</v>
      </c>
      <c r="R556" s="38" t="s">
        <v>151</v>
      </c>
    </row>
    <row r="557" spans="1:18" ht="38.25">
      <c r="A557" s="302" t="str">
        <f t="shared" si="9"/>
        <v>heightAccuracy</v>
      </c>
      <c r="B557" s="6" t="s">
        <v>7402</v>
      </c>
      <c r="C557" s="17" t="s">
        <v>7403</v>
      </c>
      <c r="D557" s="10" t="s">
        <v>7404</v>
      </c>
      <c r="E557" s="55"/>
      <c r="F557" s="55"/>
      <c r="G557" s="12" t="s">
        <v>4643</v>
      </c>
      <c r="H557" s="74"/>
      <c r="I557" s="147" t="str">
        <f>HYPERLINK("[#]Datatypes!B1097:L1097","Real")</f>
        <v>Real</v>
      </c>
      <c r="J557" s="76" t="str">
        <f t="shared" si="10"/>
        <v>Length</v>
      </c>
      <c r="K557" s="75" t="str">
        <f t="shared" si="11"/>
        <v>Metre</v>
      </c>
      <c r="L557" s="77"/>
      <c r="M557" s="78"/>
      <c r="N557" s="74"/>
      <c r="O557" s="25">
        <v>100602</v>
      </c>
      <c r="P557" s="304" t="str">
        <f>CONCATENATE([1]Cover!$D$6,"fdd/view?i=",O557)</f>
        <v>https://www.dgiwg.org/FAD/fdd/view?i=100602</v>
      </c>
      <c r="Q557" s="8" t="s">
        <v>7401</v>
      </c>
      <c r="R557" s="38" t="s">
        <v>151</v>
      </c>
    </row>
    <row r="558" spans="1:18" ht="63.75">
      <c r="A558" s="302" t="str">
        <f t="shared" si="9"/>
        <v>heightOfObject</v>
      </c>
      <c r="B558" s="6" t="s">
        <v>7406</v>
      </c>
      <c r="C558" s="17" t="s">
        <v>7407</v>
      </c>
      <c r="D558" s="10" t="s">
        <v>7408</v>
      </c>
      <c r="E558" s="10" t="s">
        <v>7409</v>
      </c>
      <c r="F558" s="55"/>
      <c r="G558" s="12" t="s">
        <v>4643</v>
      </c>
      <c r="H558" s="74"/>
      <c r="I558" s="147" t="str">
        <f>HYPERLINK("[#]Datatypes!B1099:L1099","RealInterval")</f>
        <v>RealInterval</v>
      </c>
      <c r="J558" s="76" t="str">
        <f t="shared" si="10"/>
        <v>Length</v>
      </c>
      <c r="K558" s="75" t="str">
        <f t="shared" si="11"/>
        <v>Metre</v>
      </c>
      <c r="L558" s="77"/>
      <c r="M558" s="78"/>
      <c r="N558" s="74"/>
      <c r="O558" s="25">
        <v>111584</v>
      </c>
      <c r="P558" s="304" t="str">
        <f>CONCATENATE([1]Cover!$D$6,"fdd/view?i=",O558)</f>
        <v>https://www.dgiwg.org/FAD/fdd/view?i=111584</v>
      </c>
      <c r="Q558" s="8" t="s">
        <v>7405</v>
      </c>
      <c r="R558" s="38" t="s">
        <v>151</v>
      </c>
    </row>
    <row r="559" spans="1:18" ht="51">
      <c r="A559" s="302" t="str">
        <f t="shared" si="9"/>
        <v>heightVertAccuracy90</v>
      </c>
      <c r="B559" s="6" t="s">
        <v>7411</v>
      </c>
      <c r="C559" s="17" t="s">
        <v>7412</v>
      </c>
      <c r="D559" s="10" t="s">
        <v>7413</v>
      </c>
      <c r="E559" s="10" t="s">
        <v>7414</v>
      </c>
      <c r="F559" s="55"/>
      <c r="G559" s="12" t="s">
        <v>4643</v>
      </c>
      <c r="H559" s="74"/>
      <c r="I559" s="147" t="str">
        <f>HYPERLINK("[#]Datatypes!B1097:L1097","Real")</f>
        <v>Real</v>
      </c>
      <c r="J559" s="76" t="str">
        <f t="shared" si="10"/>
        <v>Length</v>
      </c>
      <c r="K559" s="75" t="str">
        <f t="shared" si="11"/>
        <v>Metre</v>
      </c>
      <c r="L559" s="77"/>
      <c r="M559" s="78"/>
      <c r="N559" s="74"/>
      <c r="O559" s="25">
        <v>118143</v>
      </c>
      <c r="P559" s="304" t="str">
        <f>CONCATENATE([1]Cover!$D$6,"fdd/view?i=",O559)</f>
        <v>https://www.dgiwg.org/FAD/fdd/view?i=118143</v>
      </c>
      <c r="Q559" s="8" t="s">
        <v>7410</v>
      </c>
      <c r="R559" s="38" t="s">
        <v>151</v>
      </c>
    </row>
    <row r="560" spans="1:18" ht="25.5">
      <c r="A560" s="302" t="str">
        <f t="shared" si="9"/>
        <v>copterPerformanceClass</v>
      </c>
      <c r="B560" s="6" t="s">
        <v>7416</v>
      </c>
      <c r="C560" s="17" t="s">
        <v>7417</v>
      </c>
      <c r="D560" s="10" t="s">
        <v>7418</v>
      </c>
      <c r="E560" s="55"/>
      <c r="F560" s="55"/>
      <c r="G560" s="12" t="s">
        <v>4643</v>
      </c>
      <c r="H560" s="74"/>
      <c r="I560" s="147" t="str">
        <f>HYPERLINK("[#]Datatypes!B644:L644","CopterPerformanceClassCode")</f>
        <v>CopterPerformanceClassCode</v>
      </c>
      <c r="J560" s="80"/>
      <c r="K560" s="77"/>
      <c r="L560" s="77"/>
      <c r="M560" s="71" t="str">
        <f>HYPERLINK("[#]DatatypeListedValues!A3775:H3775","&lt;values&gt;")</f>
        <v>&lt;values&gt;</v>
      </c>
      <c r="N560" s="82" t="b">
        <v>0</v>
      </c>
      <c r="O560" s="25">
        <v>117583</v>
      </c>
      <c r="P560" s="304" t="str">
        <f>CONCATENATE([1]Cover!$D$6,"fdd/view?i=",O560)</f>
        <v>https://www.dgiwg.org/FAD/fdd/view?i=117583</v>
      </c>
      <c r="Q560" s="8" t="s">
        <v>7415</v>
      </c>
      <c r="R560" s="38" t="s">
        <v>151</v>
      </c>
    </row>
    <row r="561" spans="1:18" ht="25.5">
      <c r="A561" s="302" t="str">
        <f t="shared" si="9"/>
        <v>helipadAssociatedFacility</v>
      </c>
      <c r="B561" s="6" t="s">
        <v>7421</v>
      </c>
      <c r="C561" s="17" t="s">
        <v>7422</v>
      </c>
      <c r="D561" s="10" t="s">
        <v>7423</v>
      </c>
      <c r="E561" s="55"/>
      <c r="F561" s="55"/>
      <c r="G561" s="12" t="s">
        <v>4643</v>
      </c>
      <c r="H561" s="74"/>
      <c r="I561" s="147" t="str">
        <f>HYPERLINK("[#]Datatypes!B646:L646","HelipadAssociatedFacilityCode")</f>
        <v>HelipadAssociatedFacilityCode</v>
      </c>
      <c r="J561" s="80"/>
      <c r="K561" s="77"/>
      <c r="L561" s="77"/>
      <c r="M561" s="71" t="str">
        <f>HYPERLINK("[#]DatatypeListedValues!A3778:H3778","&lt;values&gt;")</f>
        <v>&lt;values&gt;</v>
      </c>
      <c r="N561" s="82" t="b">
        <v>0</v>
      </c>
      <c r="O561" s="25">
        <v>100928</v>
      </c>
      <c r="P561" s="304" t="str">
        <f>CONCATENATE([1]Cover!$D$6,"fdd/view?i=",O561)</f>
        <v>https://www.dgiwg.org/FAD/fdd/view?i=100928</v>
      </c>
      <c r="Q561" s="8" t="s">
        <v>7420</v>
      </c>
      <c r="R561" s="38" t="s">
        <v>151</v>
      </c>
    </row>
    <row r="562" spans="1:18">
      <c r="A562" s="302" t="str">
        <f t="shared" si="9"/>
        <v>helipadPresent</v>
      </c>
      <c r="B562" s="6" t="s">
        <v>7426</v>
      </c>
      <c r="C562" s="17" t="s">
        <v>7427</v>
      </c>
      <c r="D562" s="10" t="s">
        <v>7428</v>
      </c>
      <c r="E562" s="55"/>
      <c r="F562" s="55"/>
      <c r="G562" s="12" t="s">
        <v>4643</v>
      </c>
      <c r="H562" s="74"/>
      <c r="I562" s="147" t="str">
        <f>HYPERLINK("[#]Datatypes!B230:L230","Boolean")</f>
        <v>Boolean</v>
      </c>
      <c r="J562" s="80"/>
      <c r="K562" s="77"/>
      <c r="L562" s="77"/>
      <c r="M562" s="78"/>
      <c r="N562" s="74"/>
      <c r="O562" s="25">
        <v>117581</v>
      </c>
      <c r="P562" s="304" t="str">
        <f>CONCATENATE([1]Cover!$D$6,"fdd/view?i=",O562)</f>
        <v>https://www.dgiwg.org/FAD/fdd/view?i=117581</v>
      </c>
      <c r="Q562" s="8" t="s">
        <v>7425</v>
      </c>
      <c r="R562" s="38" t="s">
        <v>151</v>
      </c>
    </row>
    <row r="563" spans="1:18">
      <c r="A563" s="302" t="str">
        <f t="shared" si="9"/>
        <v>highWaterMonthInterval</v>
      </c>
      <c r="B563" s="6" t="s">
        <v>7430</v>
      </c>
      <c r="C563" s="17" t="s">
        <v>7431</v>
      </c>
      <c r="D563" s="10" t="s">
        <v>7432</v>
      </c>
      <c r="E563" s="55"/>
      <c r="F563" s="55"/>
      <c r="G563" s="12" t="s">
        <v>4643</v>
      </c>
      <c r="H563" s="74"/>
      <c r="I563" s="147" t="str">
        <f>HYPERLINK("[#]Datatypes!B648:L648","HighWaterMonthIntStrucText")</f>
        <v>HighWaterMonthIntStrucText</v>
      </c>
      <c r="J563" s="80"/>
      <c r="K563" s="77"/>
      <c r="L563" s="77"/>
      <c r="M563" s="78"/>
      <c r="N563" s="74"/>
      <c r="O563" s="25">
        <v>117787</v>
      </c>
      <c r="P563" s="304" t="str">
        <f>CONCATENATE([1]Cover!$D$6,"fdd/view?i=",O563)</f>
        <v>https://www.dgiwg.org/FAD/fdd/view?i=117787</v>
      </c>
      <c r="Q563" s="8" t="s">
        <v>7429</v>
      </c>
      <c r="R563" s="38" t="s">
        <v>151</v>
      </c>
    </row>
    <row r="564" spans="1:18" ht="89.25">
      <c r="A564" s="302" t="str">
        <f t="shared" si="9"/>
        <v>highestElevation</v>
      </c>
      <c r="B564" s="6" t="s">
        <v>7435</v>
      </c>
      <c r="C564" s="17" t="s">
        <v>7436</v>
      </c>
      <c r="D564" s="10" t="s">
        <v>7437</v>
      </c>
      <c r="E564" s="10" t="s">
        <v>7438</v>
      </c>
      <c r="F564" s="55"/>
      <c r="G564" s="12" t="s">
        <v>4643</v>
      </c>
      <c r="H564" s="74"/>
      <c r="I564" s="147" t="str">
        <f>HYPERLINK("[#]Datatypes!B1097:L1097","Real")</f>
        <v>Real</v>
      </c>
      <c r="J564" s="76" t="str">
        <f>HYPERLINK("[#]PhysicalQuantities!A20:N20","Length")</f>
        <v>Length</v>
      </c>
      <c r="K564" s="75" t="str">
        <f>HYPERLINK("[#]UnitsOfMeasure!D80:G80","Metre")</f>
        <v>Metre</v>
      </c>
      <c r="L564" s="77"/>
      <c r="M564" s="78"/>
      <c r="N564" s="74"/>
      <c r="O564" s="25">
        <v>117749</v>
      </c>
      <c r="P564" s="304" t="str">
        <f>CONCATENATE([1]Cover!$D$6,"fdd/view?i=",O564)</f>
        <v>https://www.dgiwg.org/FAD/fdd/view?i=117749</v>
      </c>
      <c r="Q564" s="8" t="s">
        <v>7434</v>
      </c>
      <c r="R564" s="38" t="s">
        <v>151</v>
      </c>
    </row>
    <row r="565" spans="1:18" ht="25.5">
      <c r="A565" s="302" t="str">
        <f t="shared" si="9"/>
        <v>historicGeoEntity</v>
      </c>
      <c r="B565" s="6" t="s">
        <v>7440</v>
      </c>
      <c r="C565" s="17" t="s">
        <v>7441</v>
      </c>
      <c r="D565" s="10" t="s">
        <v>7442</v>
      </c>
      <c r="E565" s="55"/>
      <c r="F565" s="55"/>
      <c r="G565" s="12" t="s">
        <v>4643</v>
      </c>
      <c r="H565" s="74"/>
      <c r="I565" s="147" t="str">
        <f>HYPERLINK("[#]Datatypes!B230:L230","Boolean")</f>
        <v>Boolean</v>
      </c>
      <c r="J565" s="80"/>
      <c r="K565" s="77"/>
      <c r="L565" s="77"/>
      <c r="M565" s="78"/>
      <c r="N565" s="74"/>
      <c r="O565" s="25">
        <v>200462</v>
      </c>
      <c r="P565" s="304" t="str">
        <f>CONCATENATE([1]Cover!$D$6,"fdd/view?i=",O565)</f>
        <v>https://www.dgiwg.org/FAD/fdd/view?i=200462</v>
      </c>
      <c r="Q565" s="8" t="s">
        <v>7439</v>
      </c>
      <c r="R565" s="38" t="s">
        <v>1295</v>
      </c>
    </row>
    <row r="566" spans="1:18">
      <c r="A566" s="302" t="str">
        <f t="shared" si="9"/>
        <v>historicSignificance</v>
      </c>
      <c r="B566" s="6" t="s">
        <v>7444</v>
      </c>
      <c r="C566" s="17" t="s">
        <v>7445</v>
      </c>
      <c r="D566" s="10" t="s">
        <v>7446</v>
      </c>
      <c r="E566" s="55"/>
      <c r="F566" s="55"/>
      <c r="G566" s="12" t="s">
        <v>4643</v>
      </c>
      <c r="H566" s="74"/>
      <c r="I566" s="147" t="str">
        <f>HYPERLINK("[#]Datatypes!B650:L650","HistoricSignificanceCode")</f>
        <v>HistoricSignificanceCode</v>
      </c>
      <c r="J566" s="80"/>
      <c r="K566" s="77"/>
      <c r="L566" s="77"/>
      <c r="M566" s="71" t="str">
        <f>HYPERLINK("[#]DatatypeListedValues!A3786:H3786","&lt;values&gt;")</f>
        <v>&lt;values&gt;</v>
      </c>
      <c r="N566" s="82" t="b">
        <v>0</v>
      </c>
      <c r="O566" s="25">
        <v>100961</v>
      </c>
      <c r="P566" s="304" t="str">
        <f>CONCATENATE([1]Cover!$D$6,"fdd/view?i=",O566)</f>
        <v>https://www.dgiwg.org/FAD/fdd/view?i=100961</v>
      </c>
      <c r="Q566" s="8" t="s">
        <v>7443</v>
      </c>
      <c r="R566" s="38" t="s">
        <v>151</v>
      </c>
    </row>
    <row r="567" spans="1:18" ht="25.5">
      <c r="A567" s="302" t="str">
        <f t="shared" si="9"/>
        <v>historicalMonument</v>
      </c>
      <c r="B567" s="6" t="s">
        <v>7449</v>
      </c>
      <c r="C567" s="17" t="s">
        <v>7450</v>
      </c>
      <c r="D567" s="10" t="s">
        <v>7451</v>
      </c>
      <c r="E567" s="10" t="s">
        <v>7452</v>
      </c>
      <c r="F567" s="55"/>
      <c r="G567" s="12" t="s">
        <v>4643</v>
      </c>
      <c r="H567" s="74"/>
      <c r="I567" s="147" t="str">
        <f>HYPERLINK("[#]Datatypes!B230:L230","Boolean")</f>
        <v>Boolean</v>
      </c>
      <c r="J567" s="80"/>
      <c r="K567" s="77"/>
      <c r="L567" s="77"/>
      <c r="M567" s="78"/>
      <c r="N567" s="74"/>
      <c r="O567" s="25">
        <v>118590</v>
      </c>
      <c r="P567" s="304" t="str">
        <f>CONCATENATE([1]Cover!$D$6,"fdd/view?i=",O567)</f>
        <v>https://www.dgiwg.org/FAD/fdd/view?i=118590</v>
      </c>
      <c r="Q567" s="8" t="s">
        <v>7448</v>
      </c>
      <c r="R567" s="38" t="s">
        <v>151</v>
      </c>
    </row>
    <row r="568" spans="1:18" ht="25.5">
      <c r="A568" s="302" t="str">
        <f t="shared" si="9"/>
        <v>hitsSpecialCharacter</v>
      </c>
      <c r="B568" s="6" t="s">
        <v>7454</v>
      </c>
      <c r="C568" s="17" t="s">
        <v>7455</v>
      </c>
      <c r="D568" s="10" t="s">
        <v>7456</v>
      </c>
      <c r="E568" s="10" t="s">
        <v>7457</v>
      </c>
      <c r="F568" s="55"/>
      <c r="G568" s="12" t="s">
        <v>4643</v>
      </c>
      <c r="H568" s="74"/>
      <c r="I568" s="147" t="str">
        <f>HYPERLINK("[#]Datatypes!B1430:L1430","TextNonLex255")</f>
        <v>TextNonLex255</v>
      </c>
      <c r="J568" s="80"/>
      <c r="K568" s="77"/>
      <c r="L568" s="77"/>
      <c r="M568" s="78"/>
      <c r="N568" s="74"/>
      <c r="O568" s="25">
        <v>200235</v>
      </c>
      <c r="P568" s="304" t="str">
        <f>CONCATENATE([1]Cover!$D$6,"fdd/view?i=",O568)</f>
        <v>https://www.dgiwg.org/FAD/fdd/view?i=200235</v>
      </c>
      <c r="Q568" s="8" t="s">
        <v>7453</v>
      </c>
      <c r="R568" s="38" t="s">
        <v>1295</v>
      </c>
    </row>
    <row r="569" spans="1:18">
      <c r="A569" s="302" t="str">
        <f t="shared" si="9"/>
        <v>hitsTestZone</v>
      </c>
      <c r="B569" s="6" t="s">
        <v>7460</v>
      </c>
      <c r="C569" s="17" t="s">
        <v>7461</v>
      </c>
      <c r="D569" s="10" t="s">
        <v>7462</v>
      </c>
      <c r="E569" s="55"/>
      <c r="F569" s="55"/>
      <c r="G569" s="12" t="s">
        <v>4643</v>
      </c>
      <c r="H569" s="74"/>
      <c r="I569" s="147" t="str">
        <f>HYPERLINK("[#]Datatypes!B652:L652","HitsTestZoneCode")</f>
        <v>HitsTestZoneCode</v>
      </c>
      <c r="J569" s="80"/>
      <c r="K569" s="77"/>
      <c r="L569" s="77"/>
      <c r="M569" s="71" t="str">
        <f>HYPERLINK("[#]DatatypeListedValues!A3794:H3794","&lt;values&gt;")</f>
        <v>&lt;values&gt;</v>
      </c>
      <c r="N569" s="12" t="b">
        <v>1</v>
      </c>
      <c r="O569" s="25">
        <v>200236</v>
      </c>
      <c r="P569" s="304" t="str">
        <f>CONCATENATE([1]Cover!$D$6,"fdd/view?i=",O569)</f>
        <v>https://www.dgiwg.org/FAD/fdd/view?i=200236</v>
      </c>
      <c r="Q569" s="8" t="s">
        <v>7459</v>
      </c>
      <c r="R569" s="38" t="s">
        <v>1295</v>
      </c>
    </row>
    <row r="570" spans="1:18">
      <c r="A570" s="302" t="str">
        <f t="shared" si="9"/>
        <v>holdingProcDescription</v>
      </c>
      <c r="B570" s="6" t="s">
        <v>7465</v>
      </c>
      <c r="C570" s="17" t="s">
        <v>7466</v>
      </c>
      <c r="D570" s="10" t="s">
        <v>7467</v>
      </c>
      <c r="E570" s="55"/>
      <c r="F570" s="55"/>
      <c r="G570" s="12" t="s">
        <v>4643</v>
      </c>
      <c r="H570" s="74"/>
      <c r="I570" s="147" t="str">
        <f>HYPERLINK("[#]Datatypes!B1442:L1442","TextNonLexUnconstrained")</f>
        <v>TextNonLexUnconstrained</v>
      </c>
      <c r="J570" s="80"/>
      <c r="K570" s="77"/>
      <c r="L570" s="77"/>
      <c r="M570" s="78"/>
      <c r="N570" s="74"/>
      <c r="O570" s="25">
        <v>117584</v>
      </c>
      <c r="P570" s="304" t="str">
        <f>CONCATENATE([1]Cover!$D$6,"fdd/view?i=",O570)</f>
        <v>https://www.dgiwg.org/FAD/fdd/view?i=117584</v>
      </c>
      <c r="Q570" s="8" t="s">
        <v>7464</v>
      </c>
      <c r="R570" s="38" t="s">
        <v>151</v>
      </c>
    </row>
    <row r="571" spans="1:18" ht="25.5">
      <c r="A571" s="302" t="str">
        <f t="shared" si="9"/>
        <v>holdingProcInboundCourse</v>
      </c>
      <c r="B571" s="6" t="s">
        <v>7469</v>
      </c>
      <c r="C571" s="17" t="s">
        <v>7470</v>
      </c>
      <c r="D571" s="10" t="s">
        <v>7471</v>
      </c>
      <c r="E571" s="10" t="s">
        <v>7472</v>
      </c>
      <c r="F571" s="55"/>
      <c r="G571" s="12" t="s">
        <v>4643</v>
      </c>
      <c r="H571" s="74"/>
      <c r="I571" s="147" t="str">
        <f>HYPERLINK("[#]Datatypes!B1097:L1097","Real")</f>
        <v>Real</v>
      </c>
      <c r="J571" s="76" t="str">
        <f>HYPERLINK("[#]PhysicalQuantities!A34:N34","Plane Angle")</f>
        <v>Plane Angle</v>
      </c>
      <c r="K571" s="75" t="str">
        <f>HYPERLINK("[#]UnitsOfMeasure!D159:G159","Arc Degree")</f>
        <v>Arc Degree</v>
      </c>
      <c r="L571" s="77"/>
      <c r="M571" s="78"/>
      <c r="N571" s="74"/>
      <c r="O571" s="25">
        <v>117585</v>
      </c>
      <c r="P571" s="304" t="str">
        <f>CONCATENATE([1]Cover!$D$6,"fdd/view?i=",O571)</f>
        <v>https://www.dgiwg.org/FAD/fdd/view?i=117585</v>
      </c>
      <c r="Q571" s="8" t="s">
        <v>7468</v>
      </c>
      <c r="R571" s="38" t="s">
        <v>151</v>
      </c>
    </row>
    <row r="572" spans="1:18">
      <c r="A572" s="302" t="str">
        <f t="shared" si="9"/>
        <v>holdingProcLength</v>
      </c>
      <c r="B572" s="6" t="s">
        <v>7474</v>
      </c>
      <c r="C572" s="17" t="s">
        <v>7475</v>
      </c>
      <c r="D572" s="10" t="s">
        <v>7476</v>
      </c>
      <c r="E572" s="55"/>
      <c r="F572" s="55"/>
      <c r="G572" s="12" t="s">
        <v>4643</v>
      </c>
      <c r="H572" s="74"/>
      <c r="I572" s="147" t="str">
        <f>HYPERLINK("[#]Datatypes!B1097:L1097","Real")</f>
        <v>Real</v>
      </c>
      <c r="J572" s="76" t="str">
        <f>HYPERLINK("[#]PhysicalQuantities!A20:N20","Length")</f>
        <v>Length</v>
      </c>
      <c r="K572" s="75" t="str">
        <f>HYPERLINK("[#]UnitsOfMeasure!D94:G94","Nautical Mile")</f>
        <v>Nautical Mile</v>
      </c>
      <c r="L572" s="77"/>
      <c r="M572" s="78"/>
      <c r="N572" s="74"/>
      <c r="O572" s="25">
        <v>117586</v>
      </c>
      <c r="P572" s="304" t="str">
        <f>CONCATENATE([1]Cover!$D$6,"fdd/view?i=",O572)</f>
        <v>https://www.dgiwg.org/FAD/fdd/view?i=117586</v>
      </c>
      <c r="Q572" s="8" t="s">
        <v>7473</v>
      </c>
      <c r="R572" s="38" t="s">
        <v>151</v>
      </c>
    </row>
    <row r="573" spans="1:18" ht="25.5">
      <c r="A573" s="302" t="str">
        <f t="shared" si="9"/>
        <v>holdingProcLowerLimit</v>
      </c>
      <c r="B573" s="6" t="s">
        <v>7478</v>
      </c>
      <c r="C573" s="17" t="s">
        <v>7479</v>
      </c>
      <c r="D573" s="10" t="s">
        <v>7480</v>
      </c>
      <c r="E573" s="55"/>
      <c r="F573" s="55"/>
      <c r="G573" s="12" t="s">
        <v>4643</v>
      </c>
      <c r="H573" s="74"/>
      <c r="I573" s="147" t="str">
        <f>HYPERLINK("[#]Datatypes!B1097:L1097","Real")</f>
        <v>Real</v>
      </c>
      <c r="J573" s="76" t="str">
        <f>HYPERLINK("[#]PhysicalQuantities!A20:N20","Length")</f>
        <v>Length</v>
      </c>
      <c r="K573" s="75" t="str">
        <f>HYPERLINK("[#]UnitsOfMeasure!D80:G80","Metre")</f>
        <v>Metre</v>
      </c>
      <c r="L573" s="77"/>
      <c r="M573" s="78"/>
      <c r="N573" s="74"/>
      <c r="O573" s="25">
        <v>117582</v>
      </c>
      <c r="P573" s="304" t="str">
        <f>CONCATENATE([1]Cover!$D$6,"fdd/view?i=",O573)</f>
        <v>https://www.dgiwg.org/FAD/fdd/view?i=117582</v>
      </c>
      <c r="Q573" s="8" t="s">
        <v>7477</v>
      </c>
      <c r="R573" s="38" t="s">
        <v>151</v>
      </c>
    </row>
    <row r="574" spans="1:18" ht="25.5">
      <c r="A574" s="302" t="str">
        <f t="shared" si="9"/>
        <v>holdingProcTime</v>
      </c>
      <c r="B574" s="6" t="s">
        <v>7482</v>
      </c>
      <c r="C574" s="17" t="s">
        <v>7483</v>
      </c>
      <c r="D574" s="10" t="s">
        <v>7484</v>
      </c>
      <c r="E574" s="10" t="s">
        <v>7485</v>
      </c>
      <c r="F574" s="55"/>
      <c r="G574" s="12" t="s">
        <v>4643</v>
      </c>
      <c r="H574" s="74"/>
      <c r="I574" s="147" t="str">
        <f>HYPERLINK("[#]Datatypes!B1097:L1097","Real")</f>
        <v>Real</v>
      </c>
      <c r="J574" s="76" t="str">
        <f>HYPERLINK("[#]PhysicalQuantities!A51:N51","Time")</f>
        <v>Time</v>
      </c>
      <c r="K574" s="75" t="str">
        <f>HYPERLINK("[#]UnitsOfMeasure!D269:G269","Minute")</f>
        <v>Minute</v>
      </c>
      <c r="L574" s="77"/>
      <c r="M574" s="78"/>
      <c r="N574" s="74"/>
      <c r="O574" s="25">
        <v>117587</v>
      </c>
      <c r="P574" s="304" t="str">
        <f>CONCATENATE([1]Cover!$D$6,"fdd/view?i=",O574)</f>
        <v>https://www.dgiwg.org/FAD/fdd/view?i=117587</v>
      </c>
      <c r="Q574" s="8" t="s">
        <v>7481</v>
      </c>
      <c r="R574" s="38" t="s">
        <v>151</v>
      </c>
    </row>
    <row r="575" spans="1:18">
      <c r="A575" s="302" t="str">
        <f t="shared" si="9"/>
        <v>holdingProcType</v>
      </c>
      <c r="B575" s="6" t="s">
        <v>7487</v>
      </c>
      <c r="C575" s="17" t="s">
        <v>7488</v>
      </c>
      <c r="D575" s="10" t="s">
        <v>7489</v>
      </c>
      <c r="E575" s="10" t="s">
        <v>7490</v>
      </c>
      <c r="F575" s="55"/>
      <c r="G575" s="12" t="s">
        <v>4643</v>
      </c>
      <c r="H575" s="12" t="s">
        <v>4837</v>
      </c>
      <c r="I575" s="147" t="str">
        <f>HYPERLINK("[#]Datatypes!B654:L654","HoldingProcTypeCode")</f>
        <v>HoldingProcTypeCode</v>
      </c>
      <c r="J575" s="80"/>
      <c r="K575" s="77"/>
      <c r="L575" s="77"/>
      <c r="M575" s="71" t="str">
        <f>HYPERLINK("[#]DatatypeListedValues!A3799:H3799","&lt;values&gt;")</f>
        <v>&lt;values&gt;</v>
      </c>
      <c r="N575" s="82" t="b">
        <v>0</v>
      </c>
      <c r="O575" s="25">
        <v>117588</v>
      </c>
      <c r="P575" s="304" t="str">
        <f>CONCATENATE([1]Cover!$D$6,"fdd/view?i=",O575)</f>
        <v>https://www.dgiwg.org/FAD/fdd/view?i=117588</v>
      </c>
      <c r="Q575" s="8" t="s">
        <v>7486</v>
      </c>
      <c r="R575" s="38" t="s">
        <v>151</v>
      </c>
    </row>
    <row r="576" spans="1:18" ht="25.5">
      <c r="A576" s="302" t="str">
        <f t="shared" si="9"/>
        <v>holdingProcUpperLimit</v>
      </c>
      <c r="B576" s="6" t="s">
        <v>7493</v>
      </c>
      <c r="C576" s="17" t="s">
        <v>7494</v>
      </c>
      <c r="D576" s="10" t="s">
        <v>7495</v>
      </c>
      <c r="E576" s="55"/>
      <c r="F576" s="55"/>
      <c r="G576" s="12" t="s">
        <v>4643</v>
      </c>
      <c r="H576" s="74"/>
      <c r="I576" s="147" t="str">
        <f>HYPERLINK("[#]Datatypes!B1097:L1097","Real")</f>
        <v>Real</v>
      </c>
      <c r="J576" s="76" t="str">
        <f>HYPERLINK("[#]PhysicalQuantities!A20:N20","Length")</f>
        <v>Length</v>
      </c>
      <c r="K576" s="75" t="str">
        <f>HYPERLINK("[#]UnitsOfMeasure!D80:G80","Metre")</f>
        <v>Metre</v>
      </c>
      <c r="L576" s="77"/>
      <c r="M576" s="78"/>
      <c r="N576" s="74"/>
      <c r="O576" s="25">
        <v>117589</v>
      </c>
      <c r="P576" s="304" t="str">
        <f>CONCATENATE([1]Cover!$D$6,"fdd/view?i=",O576)</f>
        <v>https://www.dgiwg.org/FAD/fdd/view?i=117589</v>
      </c>
      <c r="Q576" s="8" t="s">
        <v>7492</v>
      </c>
      <c r="R576" s="38" t="s">
        <v>151</v>
      </c>
    </row>
    <row r="577" spans="1:18" ht="25.5">
      <c r="A577" s="302" t="str">
        <f t="shared" si="9"/>
        <v>homogenHabitDistrib</v>
      </c>
      <c r="B577" s="6" t="s">
        <v>7497</v>
      </c>
      <c r="C577" s="17" t="s">
        <v>7498</v>
      </c>
      <c r="D577" s="10" t="s">
        <v>7499</v>
      </c>
      <c r="E577" s="10" t="s">
        <v>7500</v>
      </c>
      <c r="F577" s="55"/>
      <c r="G577" s="12" t="s">
        <v>4643</v>
      </c>
      <c r="H577" s="74"/>
      <c r="I577" s="147" t="str">
        <f>HYPERLINK("[#]Datatypes!B230:L230","Boolean")</f>
        <v>Boolean</v>
      </c>
      <c r="J577" s="80"/>
      <c r="K577" s="77"/>
      <c r="L577" s="77"/>
      <c r="M577" s="78"/>
      <c r="N577" s="74"/>
      <c r="O577" s="25">
        <v>117786</v>
      </c>
      <c r="P577" s="304" t="str">
        <f>CONCATENATE([1]Cover!$D$6,"fdd/view?i=",O577)</f>
        <v>https://www.dgiwg.org/FAD/fdd/view?i=117786</v>
      </c>
      <c r="Q577" s="8" t="s">
        <v>7496</v>
      </c>
      <c r="R577" s="38" t="s">
        <v>151</v>
      </c>
    </row>
    <row r="578" spans="1:18" ht="25.5">
      <c r="A578" s="302" t="str">
        <f t="shared" si="9"/>
        <v>horizAccuracyCategory</v>
      </c>
      <c r="B578" s="6" t="s">
        <v>7502</v>
      </c>
      <c r="C578" s="17" t="s">
        <v>7503</v>
      </c>
      <c r="D578" s="10" t="s">
        <v>7504</v>
      </c>
      <c r="E578" s="55"/>
      <c r="F578" s="55"/>
      <c r="G578" s="12" t="s">
        <v>4643</v>
      </c>
      <c r="H578" s="74"/>
      <c r="I578" s="147" t="str">
        <f>HYPERLINK("[#]Datatypes!B656:L656","HorizAccuracyCategoryCode")</f>
        <v>HorizAccuracyCategoryCode</v>
      </c>
      <c r="J578" s="80"/>
      <c r="K578" s="77"/>
      <c r="L578" s="77"/>
      <c r="M578" s="71" t="str">
        <f>HYPERLINK("[#]DatatypeListedValues!A3801:H3801","&lt;values&gt;")</f>
        <v>&lt;values&gt;</v>
      </c>
      <c r="N578" s="12" t="b">
        <v>1</v>
      </c>
      <c r="O578" s="25">
        <v>100588</v>
      </c>
      <c r="P578" s="304" t="str">
        <f>CONCATENATE([1]Cover!$D$6,"fdd/view?i=",O578)</f>
        <v>https://www.dgiwg.org/FAD/fdd/view?i=100588</v>
      </c>
      <c r="Q578" s="8" t="s">
        <v>7501</v>
      </c>
      <c r="R578" s="38" t="s">
        <v>151</v>
      </c>
    </row>
    <row r="579" spans="1:18" ht="51">
      <c r="A579" s="302" t="str">
        <f t="shared" si="9"/>
        <v>horizontalAlarmLimit</v>
      </c>
      <c r="B579" s="6" t="s">
        <v>7507</v>
      </c>
      <c r="C579" s="17" t="s">
        <v>7508</v>
      </c>
      <c r="D579" s="10" t="s">
        <v>7509</v>
      </c>
      <c r="E579" s="10" t="s">
        <v>7510</v>
      </c>
      <c r="F579" s="55"/>
      <c r="G579" s="12" t="s">
        <v>4643</v>
      </c>
      <c r="H579" s="74"/>
      <c r="I579" s="147" t="str">
        <f>HYPERLINK("[#]Datatypes!B958:L958","RealNonNegative")</f>
        <v>RealNonNegative</v>
      </c>
      <c r="J579" s="76" t="str">
        <f>HYPERLINK("[#]PhysicalQuantities!A20:N20","Length")</f>
        <v>Length</v>
      </c>
      <c r="K579" s="75" t="str">
        <f>HYPERLINK("[#]UnitsOfMeasure!D80:G80","Metre")</f>
        <v>Metre</v>
      </c>
      <c r="L579" s="77"/>
      <c r="M579" s="78"/>
      <c r="N579" s="74"/>
      <c r="O579" s="25">
        <v>119605</v>
      </c>
      <c r="P579" s="304" t="str">
        <f>CONCATENATE([1]Cover!$D$6,"fdd/view?i=",O579)</f>
        <v>https://www.dgiwg.org/FAD/fdd/view?i=119605</v>
      </c>
      <c r="Q579" s="8" t="s">
        <v>7506</v>
      </c>
      <c r="R579" s="38" t="s">
        <v>151</v>
      </c>
    </row>
    <row r="580" spans="1:18" ht="25.5">
      <c r="A580" s="302" t="str">
        <f t="shared" ref="A580:A643" si="12">HYPERLINK(P580,B580)</f>
        <v>horizontalClearance</v>
      </c>
      <c r="B580" s="6" t="s">
        <v>7512</v>
      </c>
      <c r="C580" s="17" t="s">
        <v>7513</v>
      </c>
      <c r="D580" s="10" t="s">
        <v>7514</v>
      </c>
      <c r="E580" s="55"/>
      <c r="F580" s="55"/>
      <c r="G580" s="12" t="s">
        <v>4643</v>
      </c>
      <c r="H580" s="74"/>
      <c r="I580" s="147" t="str">
        <f>HYPERLINK("[#]Datatypes!B1099:L1099","RealInterval")</f>
        <v>RealInterval</v>
      </c>
      <c r="J580" s="76" t="str">
        <f>HYPERLINK("[#]PhysicalQuantities!A20:N20","Length")</f>
        <v>Length</v>
      </c>
      <c r="K580" s="75" t="str">
        <f>HYPERLINK("[#]UnitsOfMeasure!D80:G80","Metre")</f>
        <v>Metre</v>
      </c>
      <c r="L580" s="77"/>
      <c r="M580" s="78"/>
      <c r="N580" s="74"/>
      <c r="O580" s="25">
        <v>110708</v>
      </c>
      <c r="P580" s="304" t="str">
        <f>CONCATENATE([1]Cover!$D$6,"fdd/view?i=",O580)</f>
        <v>https://www.dgiwg.org/FAD/fdd/view?i=110708</v>
      </c>
      <c r="Q580" s="8" t="s">
        <v>7511</v>
      </c>
      <c r="R580" s="38" t="s">
        <v>151</v>
      </c>
    </row>
    <row r="581" spans="1:18" ht="127.5">
      <c r="A581" s="302" t="str">
        <f t="shared" si="12"/>
        <v>hsipUrbanAreaIntRank</v>
      </c>
      <c r="B581" s="6" t="s">
        <v>7516</v>
      </c>
      <c r="C581" s="17" t="s">
        <v>7517</v>
      </c>
      <c r="D581" s="10" t="s">
        <v>7518</v>
      </c>
      <c r="E581" s="10" t="s">
        <v>7519</v>
      </c>
      <c r="F581" s="55"/>
      <c r="G581" s="12" t="s">
        <v>4643</v>
      </c>
      <c r="H581" s="74"/>
      <c r="I581" s="147" t="str">
        <f>HYPERLINK("[#]Datatypes!B1043:L1043","IntegerPositive")</f>
        <v>IntegerPositive</v>
      </c>
      <c r="J581" s="76" t="str">
        <f>HYPERLINK("[#]PhysicalQuantities!A39:N39","Pure Number")</f>
        <v>Pure Number</v>
      </c>
      <c r="K581" s="75" t="str">
        <f>HYPERLINK("[#]UnitsOfMeasure!D213:G213","Unitless")</f>
        <v>Unitless</v>
      </c>
      <c r="L581" s="77"/>
      <c r="M581" s="78"/>
      <c r="N581" s="74"/>
      <c r="O581" s="25">
        <v>204346</v>
      </c>
      <c r="P581" s="304" t="str">
        <f>CONCATENATE([1]Cover!$D$6,"fdd/view?i=",O581)</f>
        <v>https://www.dgiwg.org/FAD/fdd/view?i=204346</v>
      </c>
      <c r="Q581" s="8" t="s">
        <v>7515</v>
      </c>
      <c r="R581" s="38" t="s">
        <v>1295</v>
      </c>
    </row>
    <row r="582" spans="1:18" ht="51">
      <c r="A582" s="302" t="str">
        <f t="shared" si="12"/>
        <v>hulkType</v>
      </c>
      <c r="B582" s="6" t="s">
        <v>7522</v>
      </c>
      <c r="C582" s="17" t="s">
        <v>7523</v>
      </c>
      <c r="D582" s="10" t="s">
        <v>7524</v>
      </c>
      <c r="E582" s="10" t="s">
        <v>7525</v>
      </c>
      <c r="F582" s="55"/>
      <c r="G582" s="12" t="s">
        <v>4643</v>
      </c>
      <c r="H582" s="12" t="s">
        <v>4700</v>
      </c>
      <c r="I582" s="147" t="str">
        <f>HYPERLINK("[#]Datatypes!B664:L664","HulkTypeCode")</f>
        <v>HulkTypeCode</v>
      </c>
      <c r="J582" s="80"/>
      <c r="K582" s="77"/>
      <c r="L582" s="77"/>
      <c r="M582" s="71" t="str">
        <f>HYPERLINK("[#]DatatypeListedValues!A3805:H3805","&lt;values&gt;")</f>
        <v>&lt;values&gt;</v>
      </c>
      <c r="N582" s="82" t="b">
        <v>0</v>
      </c>
      <c r="O582" s="25">
        <v>100948</v>
      </c>
      <c r="P582" s="304" t="str">
        <f>CONCATENATE([1]Cover!$D$6,"fdd/view?i=",O582)</f>
        <v>https://www.dgiwg.org/FAD/fdd/view?i=100948</v>
      </c>
      <c r="Q582" s="8" t="s">
        <v>7521</v>
      </c>
      <c r="R582" s="38" t="s">
        <v>151</v>
      </c>
    </row>
    <row r="583" spans="1:18" ht="38.25">
      <c r="A583" s="302" t="str">
        <f t="shared" si="12"/>
        <v>humanHazard</v>
      </c>
      <c r="B583" s="6" t="s">
        <v>7528</v>
      </c>
      <c r="C583" s="17" t="s">
        <v>7529</v>
      </c>
      <c r="D583" s="10" t="s">
        <v>7530</v>
      </c>
      <c r="E583" s="55"/>
      <c r="F583" s="55"/>
      <c r="G583" s="12" t="s">
        <v>4643</v>
      </c>
      <c r="H583" s="12" t="s">
        <v>4700</v>
      </c>
      <c r="I583" s="147" t="str">
        <f>HYPERLINK("[#]Datatypes!B666:L666","HumanHazardCode")</f>
        <v>HumanHazardCode</v>
      </c>
      <c r="J583" s="80"/>
      <c r="K583" s="77"/>
      <c r="L583" s="77"/>
      <c r="M583" s="71" t="str">
        <f>HYPERLINK("[#]DatatypeListedValues!A3816:H3816","&lt;values&gt;")</f>
        <v>&lt;values&gt;</v>
      </c>
      <c r="N583" s="82" t="b">
        <v>0</v>
      </c>
      <c r="O583" s="25">
        <v>117785</v>
      </c>
      <c r="P583" s="304" t="str">
        <f>CONCATENATE([1]Cover!$D$6,"fdd/view?i=",O583)</f>
        <v>https://www.dgiwg.org/FAD/fdd/view?i=117785</v>
      </c>
      <c r="Q583" s="8" t="s">
        <v>7527</v>
      </c>
      <c r="R583" s="38" t="s">
        <v>151</v>
      </c>
    </row>
    <row r="584" spans="1:18" ht="38.25">
      <c r="A584" s="302" t="str">
        <f t="shared" si="12"/>
        <v>humReliefAdminRegionType</v>
      </c>
      <c r="B584" s="6" t="s">
        <v>7533</v>
      </c>
      <c r="C584" s="17" t="s">
        <v>7534</v>
      </c>
      <c r="D584" s="10" t="s">
        <v>7535</v>
      </c>
      <c r="E584" s="55"/>
      <c r="F584" s="55"/>
      <c r="G584" s="12" t="s">
        <v>4643</v>
      </c>
      <c r="H584" s="74"/>
      <c r="I584" s="147" t="str">
        <f>HYPERLINK("[#]Datatypes!B668:L668","HumReliefAdminRegionTypeCode")</f>
        <v>HumReliefAdminRegionTypeCode</v>
      </c>
      <c r="J584" s="80"/>
      <c r="K584" s="77"/>
      <c r="L584" s="77"/>
      <c r="M584" s="71" t="str">
        <f>HYPERLINK("[#]DatatypeListedValues!A3822:H3822","&lt;values&gt;")</f>
        <v>&lt;values&gt;</v>
      </c>
      <c r="N584" s="82" t="b">
        <v>0</v>
      </c>
      <c r="O584" s="25">
        <v>119144</v>
      </c>
      <c r="P584" s="304" t="str">
        <f>CONCATENATE([1]Cover!$D$6,"fdd/view?i=",O584)</f>
        <v>https://www.dgiwg.org/FAD/fdd/view?i=119144</v>
      </c>
      <c r="Q584" s="8" t="s">
        <v>7532</v>
      </c>
      <c r="R584" s="38" t="s">
        <v>151</v>
      </c>
    </row>
    <row r="585" spans="1:18" ht="25.5">
      <c r="A585" s="302" t="str">
        <f t="shared" si="12"/>
        <v>hydrographicBaseHeight</v>
      </c>
      <c r="B585" s="6" t="s">
        <v>7538</v>
      </c>
      <c r="C585" s="17" t="s">
        <v>7539</v>
      </c>
      <c r="D585" s="10" t="s">
        <v>7540</v>
      </c>
      <c r="E585" s="55"/>
      <c r="F585" s="55"/>
      <c r="G585" s="12" t="s">
        <v>4643</v>
      </c>
      <c r="H585" s="74"/>
      <c r="I585" s="147" t="str">
        <f>HYPERLINK("[#]Datatypes!B1099:L1099","RealInterval")</f>
        <v>RealInterval</v>
      </c>
      <c r="J585" s="76" t="str">
        <f>HYPERLINK("[#]PhysicalQuantities!A20:N20","Length")</f>
        <v>Length</v>
      </c>
      <c r="K585" s="75" t="str">
        <f>HYPERLINK("[#]UnitsOfMeasure!D80:G80","Metre")</f>
        <v>Metre</v>
      </c>
      <c r="L585" s="77"/>
      <c r="M585" s="78"/>
      <c r="N585" s="74"/>
      <c r="O585" s="25">
        <v>114225</v>
      </c>
      <c r="P585" s="304" t="str">
        <f>CONCATENATE([1]Cover!$D$6,"fdd/view?i=",O585)</f>
        <v>https://www.dgiwg.org/FAD/fdd/view?i=114225</v>
      </c>
      <c r="Q585" s="8" t="s">
        <v>7537</v>
      </c>
      <c r="R585" s="38" t="s">
        <v>151</v>
      </c>
    </row>
    <row r="586" spans="1:18" ht="25.5">
      <c r="A586" s="302" t="str">
        <f t="shared" si="12"/>
        <v>hydroBaseRef</v>
      </c>
      <c r="B586" s="6" t="s">
        <v>7542</v>
      </c>
      <c r="C586" s="17" t="s">
        <v>7543</v>
      </c>
      <c r="D586" s="10" t="s">
        <v>7544</v>
      </c>
      <c r="E586" s="10" t="s">
        <v>7545</v>
      </c>
      <c r="F586" s="55"/>
      <c r="G586" s="12" t="s">
        <v>4643</v>
      </c>
      <c r="H586" s="74"/>
      <c r="I586" s="147" t="str">
        <f>HYPERLINK("[#]Datatypes!B670:L670","HydroBaseSoundingDatumCode")</f>
        <v>HydroBaseSoundingDatumCode</v>
      </c>
      <c r="J586" s="80"/>
      <c r="K586" s="77"/>
      <c r="L586" s="77"/>
      <c r="M586" s="71" t="str">
        <f>HYPERLINK("[#]DatatypeListedValues!A3823:H3823","&lt;values&gt;")</f>
        <v>&lt;values&gt;</v>
      </c>
      <c r="N586" s="82" t="b">
        <v>0</v>
      </c>
      <c r="O586" s="25">
        <v>117784</v>
      </c>
      <c r="P586" s="304" t="str">
        <f>CONCATENATE([1]Cover!$D$6,"fdd/view?i=",O586)</f>
        <v>https://www.dgiwg.org/FAD/fdd/view?i=117784</v>
      </c>
      <c r="Q586" s="8" t="s">
        <v>7541</v>
      </c>
      <c r="R586" s="38" t="s">
        <v>151</v>
      </c>
    </row>
    <row r="587" spans="1:18" ht="25.5">
      <c r="A587" s="302" t="str">
        <f t="shared" si="12"/>
        <v>hydroBaseRefName</v>
      </c>
      <c r="B587" s="6" t="s">
        <v>7548</v>
      </c>
      <c r="C587" s="17" t="s">
        <v>7549</v>
      </c>
      <c r="D587" s="10" t="s">
        <v>7550</v>
      </c>
      <c r="E587" s="10" t="s">
        <v>7551</v>
      </c>
      <c r="F587" s="55"/>
      <c r="G587" s="12" t="s">
        <v>4643</v>
      </c>
      <c r="H587" s="74"/>
      <c r="I587" s="147" t="str">
        <f>HYPERLINK("[#]Datatypes!B1414:L1414","TextLex80")</f>
        <v>TextLex80</v>
      </c>
      <c r="J587" s="80"/>
      <c r="K587" s="77"/>
      <c r="L587" s="77"/>
      <c r="M587" s="78"/>
      <c r="N587" s="74"/>
      <c r="O587" s="25">
        <v>117783</v>
      </c>
      <c r="P587" s="304" t="str">
        <f>CONCATENATE([1]Cover!$D$6,"fdd/view?i=",O587)</f>
        <v>https://www.dgiwg.org/FAD/fdd/view?i=117783</v>
      </c>
      <c r="Q587" s="8" t="s">
        <v>7547</v>
      </c>
      <c r="R587" s="38" t="s">
        <v>151</v>
      </c>
    </row>
    <row r="588" spans="1:18" ht="25.5">
      <c r="A588" s="302" t="str">
        <f t="shared" si="12"/>
        <v>hydrographicDepth</v>
      </c>
      <c r="B588" s="6" t="s">
        <v>7553</v>
      </c>
      <c r="C588" s="17" t="s">
        <v>7554</v>
      </c>
      <c r="D588" s="10" t="s">
        <v>7555</v>
      </c>
      <c r="E588" s="10" t="s">
        <v>7556</v>
      </c>
      <c r="F588" s="55"/>
      <c r="G588" s="12" t="s">
        <v>4643</v>
      </c>
      <c r="H588" s="74"/>
      <c r="I588" s="147" t="str">
        <f>HYPERLINK("[#]Datatypes!B1097:L1097","Real")</f>
        <v>Real</v>
      </c>
      <c r="J588" s="76" t="str">
        <f>HYPERLINK("[#]PhysicalQuantities!A20:N20","Length")</f>
        <v>Length</v>
      </c>
      <c r="K588" s="75" t="str">
        <f>HYPERLINK("[#]UnitsOfMeasure!D80:G80","Metre")</f>
        <v>Metre</v>
      </c>
      <c r="L588" s="77"/>
      <c r="M588" s="78"/>
      <c r="N588" s="74"/>
      <c r="O588" s="25">
        <v>100935</v>
      </c>
      <c r="P588" s="304" t="str">
        <f>CONCATENATE([1]Cover!$D$6,"fdd/view?i=",O588)</f>
        <v>https://www.dgiwg.org/FAD/fdd/view?i=100935</v>
      </c>
      <c r="Q588" s="8" t="s">
        <v>7552</v>
      </c>
      <c r="R588" s="38" t="s">
        <v>151</v>
      </c>
    </row>
    <row r="589" spans="1:18" ht="25.5">
      <c r="A589" s="302" t="str">
        <f t="shared" si="12"/>
        <v>hydrographicDryingHeight</v>
      </c>
      <c r="B589" s="6" t="s">
        <v>7558</v>
      </c>
      <c r="C589" s="17" t="s">
        <v>7559</v>
      </c>
      <c r="D589" s="10" t="s">
        <v>7560</v>
      </c>
      <c r="E589" s="55"/>
      <c r="F589" s="55"/>
      <c r="G589" s="12" t="s">
        <v>4643</v>
      </c>
      <c r="H589" s="74"/>
      <c r="I589" s="147" t="str">
        <f>HYPERLINK("[#]Datatypes!B1097:L1097","Real")</f>
        <v>Real</v>
      </c>
      <c r="J589" s="76" t="str">
        <f>HYPERLINK("[#]PhysicalQuantities!A20:N20","Length")</f>
        <v>Length</v>
      </c>
      <c r="K589" s="75" t="str">
        <f>HYPERLINK("[#]UnitsOfMeasure!D80:G80","Metre")</f>
        <v>Metre</v>
      </c>
      <c r="L589" s="77"/>
      <c r="M589" s="78"/>
      <c r="N589" s="74"/>
      <c r="O589" s="25">
        <v>100933</v>
      </c>
      <c r="P589" s="304" t="str">
        <f>CONCATENATE([1]Cover!$D$6,"fdd/view?i=",O589)</f>
        <v>https://www.dgiwg.org/FAD/fdd/view?i=100933</v>
      </c>
      <c r="Q589" s="8" t="s">
        <v>7557</v>
      </c>
      <c r="R589" s="38" t="s">
        <v>151</v>
      </c>
    </row>
    <row r="590" spans="1:18" ht="25.5">
      <c r="A590" s="302" t="str">
        <f t="shared" si="12"/>
        <v>hydrographicNavaidSystem</v>
      </c>
      <c r="B590" s="6" t="s">
        <v>7562</v>
      </c>
      <c r="C590" s="17" t="s">
        <v>7563</v>
      </c>
      <c r="D590" s="10" t="s">
        <v>7564</v>
      </c>
      <c r="E590" s="55"/>
      <c r="F590" s="55"/>
      <c r="G590" s="12" t="s">
        <v>4643</v>
      </c>
      <c r="H590" s="74"/>
      <c r="I590" s="147" t="str">
        <f>HYPERLINK("[#]Datatypes!B672:L672","HydrographicNavaidSystemCode")</f>
        <v>HydrographicNavaidSystemCode</v>
      </c>
      <c r="J590" s="80"/>
      <c r="K590" s="77"/>
      <c r="L590" s="77"/>
      <c r="M590" s="71" t="str">
        <f>HYPERLINK("[#]DatatypeListedValues!A3830:H3830","&lt;values&gt;")</f>
        <v>&lt;values&gt;</v>
      </c>
      <c r="N590" s="82" t="b">
        <v>0</v>
      </c>
      <c r="O590" s="25">
        <v>101108</v>
      </c>
      <c r="P590" s="304" t="str">
        <f>CONCATENATE([1]Cover!$D$6,"fdd/view?i=",O590)</f>
        <v>https://www.dgiwg.org/FAD/fdd/view?i=101108</v>
      </c>
      <c r="Q590" s="8" t="s">
        <v>7561</v>
      </c>
      <c r="R590" s="38" t="s">
        <v>151</v>
      </c>
    </row>
    <row r="591" spans="1:18" ht="38.25">
      <c r="A591" s="302" t="str">
        <f t="shared" si="12"/>
        <v>hydrologicOceanFront</v>
      </c>
      <c r="B591" s="6" t="s">
        <v>7567</v>
      </c>
      <c r="C591" s="17" t="s">
        <v>7568</v>
      </c>
      <c r="D591" s="10" t="s">
        <v>7569</v>
      </c>
      <c r="E591" s="10" t="s">
        <v>7570</v>
      </c>
      <c r="F591" s="55"/>
      <c r="G591" s="12" t="s">
        <v>4643</v>
      </c>
      <c r="H591" s="74"/>
      <c r="I591" s="147" t="str">
        <f>HYPERLINK("[#]Datatypes!B230:L230","Boolean")</f>
        <v>Boolean</v>
      </c>
      <c r="J591" s="80"/>
      <c r="K591" s="77"/>
      <c r="L591" s="77"/>
      <c r="M591" s="78"/>
      <c r="N591" s="74"/>
      <c r="O591" s="25">
        <v>119187</v>
      </c>
      <c r="P591" s="304" t="str">
        <f>CONCATENATE([1]Cover!$D$6,"fdd/view?i=",O591)</f>
        <v>https://www.dgiwg.org/FAD/fdd/view?i=119187</v>
      </c>
      <c r="Q591" s="8" t="s">
        <v>7566</v>
      </c>
      <c r="R591" s="38" t="s">
        <v>151</v>
      </c>
    </row>
    <row r="592" spans="1:18" ht="25.5">
      <c r="A592" s="302" t="str">
        <f t="shared" si="12"/>
        <v>hydrologicPersistence</v>
      </c>
      <c r="B592" s="6" t="s">
        <v>7572</v>
      </c>
      <c r="C592" s="17" t="s">
        <v>7573</v>
      </c>
      <c r="D592" s="10" t="s">
        <v>7574</v>
      </c>
      <c r="E592" s="10" t="s">
        <v>7575</v>
      </c>
      <c r="F592" s="55"/>
      <c r="G592" s="12" t="s">
        <v>4643</v>
      </c>
      <c r="H592" s="74"/>
      <c r="I592" s="147" t="str">
        <f>HYPERLINK("[#]Datatypes!B674:L674","HydrologicPersistenceCode")</f>
        <v>HydrologicPersistenceCode</v>
      </c>
      <c r="J592" s="80"/>
      <c r="K592" s="77"/>
      <c r="L592" s="77"/>
      <c r="M592" s="71" t="str">
        <f>HYPERLINK("[#]DatatypeListedValues!A3837:H3837","&lt;values&gt;")</f>
        <v>&lt;values&gt;</v>
      </c>
      <c r="N592" s="12" t="b">
        <v>1</v>
      </c>
      <c r="O592" s="25">
        <v>100966</v>
      </c>
      <c r="P592" s="304" t="str">
        <f>CONCATENATE([1]Cover!$D$6,"fdd/view?i=",O592)</f>
        <v>https://www.dgiwg.org/FAD/fdd/view?i=100966</v>
      </c>
      <c r="Q592" s="8" t="s">
        <v>7571</v>
      </c>
      <c r="R592" s="38" t="s">
        <v>151</v>
      </c>
    </row>
    <row r="593" spans="1:18" ht="51">
      <c r="A593" s="302" t="str">
        <f t="shared" si="12"/>
        <v>hypsographyPortrayalType</v>
      </c>
      <c r="B593" s="6" t="s">
        <v>7578</v>
      </c>
      <c r="C593" s="17" t="s">
        <v>7579</v>
      </c>
      <c r="D593" s="10" t="s">
        <v>7580</v>
      </c>
      <c r="E593" s="10" t="s">
        <v>7581</v>
      </c>
      <c r="F593" s="55"/>
      <c r="G593" s="12" t="s">
        <v>4643</v>
      </c>
      <c r="H593" s="74"/>
      <c r="I593" s="147" t="str">
        <f>HYPERLINK("[#]Datatypes!B676:L676","HypsographyPortrayalTypeCode")</f>
        <v>HypsographyPortrayalTypeCode</v>
      </c>
      <c r="J593" s="80"/>
      <c r="K593" s="77"/>
      <c r="L593" s="77"/>
      <c r="M593" s="71" t="str">
        <f>HYPERLINK("[#]DatatypeListedValues!A3840:H3840","&lt;values&gt;")</f>
        <v>&lt;values&gt;</v>
      </c>
      <c r="N593" s="82" t="b">
        <v>0</v>
      </c>
      <c r="O593" s="25">
        <v>100953</v>
      </c>
      <c r="P593" s="304" t="str">
        <f>CONCATENATE([1]Cover!$D$6,"fdd/view?i=",O593)</f>
        <v>https://www.dgiwg.org/FAD/fdd/view?i=100953</v>
      </c>
      <c r="Q593" s="8" t="s">
        <v>7577</v>
      </c>
      <c r="R593" s="38" t="s">
        <v>151</v>
      </c>
    </row>
    <row r="594" spans="1:18" ht="38.25">
      <c r="A594" s="302" t="str">
        <f t="shared" si="12"/>
        <v>ialaAOrBAdopted</v>
      </c>
      <c r="B594" s="6" t="s">
        <v>7584</v>
      </c>
      <c r="C594" s="17" t="s">
        <v>7585</v>
      </c>
      <c r="D594" s="10" t="s">
        <v>7586</v>
      </c>
      <c r="E594" s="55"/>
      <c r="F594" s="55"/>
      <c r="G594" s="12" t="s">
        <v>4643</v>
      </c>
      <c r="H594" s="74"/>
      <c r="I594" s="147" t="str">
        <f>HYPERLINK("[#]Datatypes!B230:L230","Boolean")</f>
        <v>Boolean</v>
      </c>
      <c r="J594" s="80"/>
      <c r="K594" s="77"/>
      <c r="L594" s="77"/>
      <c r="M594" s="78"/>
      <c r="N594" s="74"/>
      <c r="O594" s="25">
        <v>110759</v>
      </c>
      <c r="P594" s="304" t="str">
        <f>CONCATENATE([1]Cover!$D$6,"fdd/view?i=",O594)</f>
        <v>https://www.dgiwg.org/FAD/fdd/view?i=110759</v>
      </c>
      <c r="Q594" s="8" t="s">
        <v>7583</v>
      </c>
      <c r="R594" s="38" t="s">
        <v>151</v>
      </c>
    </row>
    <row r="595" spans="1:18" ht="38.25">
      <c r="A595" s="302" t="str">
        <f t="shared" si="12"/>
        <v>iataLocationIdentifier</v>
      </c>
      <c r="B595" s="6" t="s">
        <v>7588</v>
      </c>
      <c r="C595" s="17" t="s">
        <v>7589</v>
      </c>
      <c r="D595" s="10" t="s">
        <v>7590</v>
      </c>
      <c r="E595" s="10" t="s">
        <v>7591</v>
      </c>
      <c r="F595" s="55"/>
      <c r="G595" s="12" t="s">
        <v>4643</v>
      </c>
      <c r="H595" s="74"/>
      <c r="I595" s="147" t="str">
        <f>HYPERLINK("[#]Datatypes!B678:L678","IataLocationIdentifierStrucText")</f>
        <v>IataLocationIdentifierStrucText</v>
      </c>
      <c r="J595" s="80"/>
      <c r="K595" s="77"/>
      <c r="L595" s="77"/>
      <c r="M595" s="78"/>
      <c r="N595" s="74"/>
      <c r="O595" s="25">
        <v>117599</v>
      </c>
      <c r="P595" s="304" t="str">
        <f>CONCATENATE([1]Cover!$D$6,"fdd/view?i=",O595)</f>
        <v>https://www.dgiwg.org/FAD/fdd/view?i=117599</v>
      </c>
      <c r="Q595" s="8" t="s">
        <v>7587</v>
      </c>
      <c r="R595" s="38" t="s">
        <v>151</v>
      </c>
    </row>
    <row r="596" spans="1:18" ht="38.25">
      <c r="A596" s="302" t="str">
        <f t="shared" si="12"/>
        <v>icaoCompliant</v>
      </c>
      <c r="B596" s="6" t="s">
        <v>7594</v>
      </c>
      <c r="C596" s="17" t="s">
        <v>7595</v>
      </c>
      <c r="D596" s="10" t="s">
        <v>7596</v>
      </c>
      <c r="E596" s="55"/>
      <c r="F596" s="55"/>
      <c r="G596" s="12" t="s">
        <v>4643</v>
      </c>
      <c r="H596" s="74"/>
      <c r="I596" s="147" t="str">
        <f>HYPERLINK("[#]Datatypes!B230:L230","Boolean")</f>
        <v>Boolean</v>
      </c>
      <c r="J596" s="80"/>
      <c r="K596" s="77"/>
      <c r="L596" s="77"/>
      <c r="M596" s="78"/>
      <c r="N596" s="74"/>
      <c r="O596" s="25">
        <v>117594</v>
      </c>
      <c r="P596" s="304" t="str">
        <f>CONCATENATE([1]Cover!$D$6,"fdd/view?i=",O596)</f>
        <v>https://www.dgiwg.org/FAD/fdd/view?i=117594</v>
      </c>
      <c r="Q596" s="8" t="s">
        <v>7593</v>
      </c>
      <c r="R596" s="38" t="s">
        <v>151</v>
      </c>
    </row>
    <row r="597" spans="1:18" ht="38.25">
      <c r="A597" s="302" t="str">
        <f t="shared" si="12"/>
        <v>icaoLocationIndicator</v>
      </c>
      <c r="B597" s="6" t="s">
        <v>7598</v>
      </c>
      <c r="C597" s="17" t="s">
        <v>7599</v>
      </c>
      <c r="D597" s="10" t="s">
        <v>7600</v>
      </c>
      <c r="E597" s="10" t="s">
        <v>7601</v>
      </c>
      <c r="F597" s="10" t="s">
        <v>7602</v>
      </c>
      <c r="G597" s="12" t="s">
        <v>4643</v>
      </c>
      <c r="H597" s="74"/>
      <c r="I597" s="147" t="str">
        <f>HYPERLINK("[#]Datatypes!B680:L680","IcaoLocationIndicatorStrucText")</f>
        <v>IcaoLocationIndicatorStrucText</v>
      </c>
      <c r="J597" s="80"/>
      <c r="K597" s="77"/>
      <c r="L597" s="77"/>
      <c r="M597" s="78"/>
      <c r="N597" s="74"/>
      <c r="O597" s="25">
        <v>117595</v>
      </c>
      <c r="P597" s="304" t="str">
        <f>CONCATENATE([1]Cover!$D$6,"fdd/view?i=",O597)</f>
        <v>https://www.dgiwg.org/FAD/fdd/view?i=117595</v>
      </c>
      <c r="Q597" s="8" t="s">
        <v>7597</v>
      </c>
      <c r="R597" s="38" t="s">
        <v>151</v>
      </c>
    </row>
    <row r="598" spans="1:18" ht="102">
      <c r="A598" s="302" t="str">
        <f t="shared" si="12"/>
        <v>icaoPathTerminatorType</v>
      </c>
      <c r="B598" s="6" t="s">
        <v>7605</v>
      </c>
      <c r="C598" s="17" t="s">
        <v>7606</v>
      </c>
      <c r="D598" s="10" t="s">
        <v>7607</v>
      </c>
      <c r="E598" s="10" t="s">
        <v>7608</v>
      </c>
      <c r="F598" s="55"/>
      <c r="G598" s="12" t="s">
        <v>4643</v>
      </c>
      <c r="H598" s="12" t="s">
        <v>4700</v>
      </c>
      <c r="I598" s="147" t="str">
        <f>HYPERLINK("[#]Datatypes!B682:L682","IcaoPathTerminatorTypeCode")</f>
        <v>IcaoPathTerminatorTypeCode</v>
      </c>
      <c r="J598" s="80"/>
      <c r="K598" s="77"/>
      <c r="L598" s="77"/>
      <c r="M598" s="71" t="str">
        <f>HYPERLINK("[#]DatatypeListedValues!A3862:H3862","&lt;values&gt;")</f>
        <v>&lt;values&gt;</v>
      </c>
      <c r="N598" s="82" t="b">
        <v>0</v>
      </c>
      <c r="O598" s="25">
        <v>117596</v>
      </c>
      <c r="P598" s="304" t="str">
        <f>CONCATENATE([1]Cover!$D$6,"fdd/view?i=",O598)</f>
        <v>https://www.dgiwg.org/FAD/fdd/view?i=117596</v>
      </c>
      <c r="Q598" s="8" t="s">
        <v>7604</v>
      </c>
      <c r="R598" s="38" t="s">
        <v>151</v>
      </c>
    </row>
    <row r="599" spans="1:18" ht="25.5">
      <c r="A599" s="302" t="str">
        <f t="shared" si="12"/>
        <v>ilsBearingCourse</v>
      </c>
      <c r="B599" s="6" t="s">
        <v>7611</v>
      </c>
      <c r="C599" s="17" t="s">
        <v>7612</v>
      </c>
      <c r="D599" s="10" t="s">
        <v>7613</v>
      </c>
      <c r="E599" s="10" t="s">
        <v>7614</v>
      </c>
      <c r="F599" s="55"/>
      <c r="G599" s="12" t="s">
        <v>4643</v>
      </c>
      <c r="H599" s="74"/>
      <c r="I599" s="147" t="str">
        <f>HYPERLINK("[#]Datatypes!B1128:L1128","RealNonNeg360")</f>
        <v>RealNonNeg360</v>
      </c>
      <c r="J599" s="76" t="str">
        <f>HYPERLINK("[#]PhysicalQuantities!A34:N34","Plane Angle")</f>
        <v>Plane Angle</v>
      </c>
      <c r="K599" s="75" t="str">
        <f>HYPERLINK("[#]UnitsOfMeasure!D159:G159","Arc Degree")</f>
        <v>Arc Degree</v>
      </c>
      <c r="L599" s="77"/>
      <c r="M599" s="78"/>
      <c r="N599" s="74"/>
      <c r="O599" s="25">
        <v>119003</v>
      </c>
      <c r="P599" s="304" t="str">
        <f>CONCATENATE([1]Cover!$D$6,"fdd/view?i=",O599)</f>
        <v>https://www.dgiwg.org/FAD/fdd/view?i=119003</v>
      </c>
      <c r="Q599" s="8" t="s">
        <v>7610</v>
      </c>
      <c r="R599" s="38" t="s">
        <v>151</v>
      </c>
    </row>
    <row r="600" spans="1:18" ht="38.25">
      <c r="A600" s="302" t="str">
        <f t="shared" si="12"/>
        <v>imageRectificationMethod</v>
      </c>
      <c r="B600" s="6" t="s">
        <v>7616</v>
      </c>
      <c r="C600" s="17" t="s">
        <v>7617</v>
      </c>
      <c r="D600" s="10" t="s">
        <v>7618</v>
      </c>
      <c r="E600" s="55"/>
      <c r="F600" s="55"/>
      <c r="G600" s="12" t="s">
        <v>4643</v>
      </c>
      <c r="H600" s="74"/>
      <c r="I600" s="147" t="str">
        <f>HYPERLINK("[#]Datatypes!B690:L690","ImageRectificationMethodCode")</f>
        <v>ImageRectificationMethodCode</v>
      </c>
      <c r="J600" s="80"/>
      <c r="K600" s="77"/>
      <c r="L600" s="77"/>
      <c r="M600" s="71" t="str">
        <f>HYPERLINK("[#]DatatypeListedValues!A3887:H3887","&lt;values&gt;")</f>
        <v>&lt;values&gt;</v>
      </c>
      <c r="N600" s="82" t="b">
        <v>0</v>
      </c>
      <c r="O600" s="25">
        <v>206233</v>
      </c>
      <c r="P600" s="304" t="str">
        <f>CONCATENATE([1]Cover!$D$6,"fdd/view?i=",O600)</f>
        <v>https://www.dgiwg.org/FAD/fdd/view?i=206233</v>
      </c>
      <c r="Q600" s="8" t="s">
        <v>7615</v>
      </c>
      <c r="R600" s="38" t="s">
        <v>1295</v>
      </c>
    </row>
    <row r="601" spans="1:18" ht="25.5">
      <c r="A601" s="302" t="str">
        <f t="shared" si="12"/>
        <v>imageRmsError</v>
      </c>
      <c r="B601" s="6" t="s">
        <v>7621</v>
      </c>
      <c r="C601" s="17" t="s">
        <v>7622</v>
      </c>
      <c r="D601" s="10" t="s">
        <v>7623</v>
      </c>
      <c r="E601" s="10" t="s">
        <v>7624</v>
      </c>
      <c r="F601" s="55"/>
      <c r="G601" s="12" t="s">
        <v>4643</v>
      </c>
      <c r="H601" s="74"/>
      <c r="I601" s="147" t="str">
        <f>HYPERLINK("[#]Datatypes!B1097:L1097","Real")</f>
        <v>Real</v>
      </c>
      <c r="J601" s="76" t="str">
        <f>HYPERLINK("[#]PhysicalQuantities!A20:N20","Length")</f>
        <v>Length</v>
      </c>
      <c r="K601" s="75" t="str">
        <f>HYPERLINK("[#]UnitsOfMeasure!D80:G80","Metre")</f>
        <v>Metre</v>
      </c>
      <c r="L601" s="77"/>
      <c r="M601" s="78"/>
      <c r="N601" s="74"/>
      <c r="O601" s="25">
        <v>206193</v>
      </c>
      <c r="P601" s="304" t="str">
        <f>CONCATENATE([1]Cover!$D$6,"fdd/view?i=",O601)</f>
        <v>https://www.dgiwg.org/FAD/fdd/view?i=206193</v>
      </c>
      <c r="Q601" s="8" t="s">
        <v>7620</v>
      </c>
      <c r="R601" s="38" t="s">
        <v>1295</v>
      </c>
    </row>
    <row r="602" spans="1:18" ht="25.5">
      <c r="A602" s="302" t="str">
        <f t="shared" si="12"/>
        <v>imoAdopted</v>
      </c>
      <c r="B602" s="6" t="s">
        <v>7626</v>
      </c>
      <c r="C602" s="17" t="s">
        <v>7627</v>
      </c>
      <c r="D602" s="10" t="s">
        <v>7628</v>
      </c>
      <c r="E602" s="55"/>
      <c r="F602" s="55"/>
      <c r="G602" s="12" t="s">
        <v>4643</v>
      </c>
      <c r="H602" s="74"/>
      <c r="I602" s="147" t="str">
        <f>HYPERLINK("[#]Datatypes!B230:L230","Boolean")</f>
        <v>Boolean</v>
      </c>
      <c r="J602" s="80"/>
      <c r="K602" s="77"/>
      <c r="L602" s="77"/>
      <c r="M602" s="78"/>
      <c r="N602" s="74"/>
      <c r="O602" s="25">
        <v>100969</v>
      </c>
      <c r="P602" s="304" t="str">
        <f>CONCATENATE([1]Cover!$D$6,"fdd/view?i=",O602)</f>
        <v>https://www.dgiwg.org/FAD/fdd/view?i=100969</v>
      </c>
      <c r="Q602" s="8" t="s">
        <v>7625</v>
      </c>
      <c r="R602" s="38" t="s">
        <v>151</v>
      </c>
    </row>
    <row r="603" spans="1:18" ht="38.25">
      <c r="A603" s="302" t="str">
        <f t="shared" si="12"/>
        <v>inboundCourse</v>
      </c>
      <c r="B603" s="6" t="s">
        <v>7630</v>
      </c>
      <c r="C603" s="17" t="s">
        <v>7631</v>
      </c>
      <c r="D603" s="10" t="s">
        <v>7632</v>
      </c>
      <c r="E603" s="55"/>
      <c r="F603" s="55"/>
      <c r="G603" s="12" t="s">
        <v>4643</v>
      </c>
      <c r="H603" s="74"/>
      <c r="I603" s="147" t="str">
        <f>HYPERLINK("[#]Datatypes!B1126:L1126","RealNonNeg359r9")</f>
        <v>RealNonNeg359r9</v>
      </c>
      <c r="J603" s="76" t="str">
        <f>HYPERLINK("[#]PhysicalQuantities!A34:N34","Plane Angle")</f>
        <v>Plane Angle</v>
      </c>
      <c r="K603" s="75" t="str">
        <f>HYPERLINK("[#]UnitsOfMeasure!D159:G159","Arc Degree")</f>
        <v>Arc Degree</v>
      </c>
      <c r="L603" s="77"/>
      <c r="M603" s="78"/>
      <c r="N603" s="74"/>
      <c r="O603" s="25">
        <v>206986</v>
      </c>
      <c r="P603" s="304" t="str">
        <f>CONCATENATE([1]Cover!$D$6,"fdd/view?i=",O603)</f>
        <v>https://www.dgiwg.org/FAD/fdd/view?i=206986</v>
      </c>
      <c r="Q603" s="8" t="s">
        <v>7629</v>
      </c>
      <c r="R603" s="38" t="s">
        <v>1295</v>
      </c>
    </row>
    <row r="604" spans="1:18" ht="25.5">
      <c r="A604" s="302" t="str">
        <f t="shared" si="12"/>
        <v>influenceMineActuation</v>
      </c>
      <c r="B604" s="6" t="s">
        <v>7634</v>
      </c>
      <c r="C604" s="17" t="s">
        <v>7635</v>
      </c>
      <c r="D604" s="10" t="s">
        <v>7636</v>
      </c>
      <c r="E604" s="55"/>
      <c r="F604" s="55"/>
      <c r="G604" s="12" t="s">
        <v>4643</v>
      </c>
      <c r="H604" s="74"/>
      <c r="I604" s="147" t="str">
        <f>HYPERLINK("[#]Datatypes!B698:L698","InfluenceMineActuationCode")</f>
        <v>InfluenceMineActuationCode</v>
      </c>
      <c r="J604" s="80"/>
      <c r="K604" s="77"/>
      <c r="L604" s="77"/>
      <c r="M604" s="71" t="str">
        <f>HYPERLINK("[#]DatatypeListedValues!A3891:H3891","&lt;values&gt;")</f>
        <v>&lt;values&gt;</v>
      </c>
      <c r="N604" s="82" t="b">
        <v>0</v>
      </c>
      <c r="O604" s="25">
        <v>101048</v>
      </c>
      <c r="P604" s="304" t="str">
        <f>CONCATENATE([1]Cover!$D$6,"fdd/view?i=",O604)</f>
        <v>https://www.dgiwg.org/FAD/fdd/view?i=101048</v>
      </c>
      <c r="Q604" s="8" t="s">
        <v>7633</v>
      </c>
      <c r="R604" s="38" t="s">
        <v>151</v>
      </c>
    </row>
    <row r="605" spans="1:18" ht="25.5">
      <c r="A605" s="302" t="str">
        <f t="shared" si="12"/>
        <v>infoServiceVoiceAvailable</v>
      </c>
      <c r="B605" s="6" t="s">
        <v>7639</v>
      </c>
      <c r="C605" s="17" t="s">
        <v>7640</v>
      </c>
      <c r="D605" s="10" t="s">
        <v>7641</v>
      </c>
      <c r="E605" s="55"/>
      <c r="F605" s="55"/>
      <c r="G605" s="12" t="s">
        <v>4643</v>
      </c>
      <c r="H605" s="74"/>
      <c r="I605" s="147" t="str">
        <f>HYPERLINK("[#]Datatypes!B230:L230","Boolean")</f>
        <v>Boolean</v>
      </c>
      <c r="J605" s="80"/>
      <c r="K605" s="77"/>
      <c r="L605" s="77"/>
      <c r="M605" s="78"/>
      <c r="N605" s="74"/>
      <c r="O605" s="25">
        <v>117600</v>
      </c>
      <c r="P605" s="304" t="str">
        <f>CONCATENATE([1]Cover!$D$6,"fdd/view?i=",O605)</f>
        <v>https://www.dgiwg.org/FAD/fdd/view?i=117600</v>
      </c>
      <c r="Q605" s="8" t="s">
        <v>7638</v>
      </c>
      <c r="R605" s="38" t="s">
        <v>151</v>
      </c>
    </row>
    <row r="606" spans="1:18" ht="25.5">
      <c r="A606" s="302" t="str">
        <f t="shared" si="12"/>
        <v>inlandWaterObstruction</v>
      </c>
      <c r="B606" s="6" t="s">
        <v>7643</v>
      </c>
      <c r="C606" s="17" t="s">
        <v>7644</v>
      </c>
      <c r="D606" s="10" t="s">
        <v>7645</v>
      </c>
      <c r="E606" s="55"/>
      <c r="F606" s="55"/>
      <c r="G606" s="12" t="s">
        <v>4643</v>
      </c>
      <c r="H606" s="74"/>
      <c r="I606" s="147" t="str">
        <f>HYPERLINK("[#]Datatypes!B230:L230","Boolean")</f>
        <v>Boolean</v>
      </c>
      <c r="J606" s="80"/>
      <c r="K606" s="77"/>
      <c r="L606" s="77"/>
      <c r="M606" s="78"/>
      <c r="N606" s="74"/>
      <c r="O606" s="25">
        <v>100981</v>
      </c>
      <c r="P606" s="304" t="str">
        <f>CONCATENATE([1]Cover!$D$6,"fdd/view?i=",O606)</f>
        <v>https://www.dgiwg.org/FAD/fdd/view?i=100981</v>
      </c>
      <c r="Q606" s="8" t="s">
        <v>7642</v>
      </c>
      <c r="R606" s="38" t="s">
        <v>151</v>
      </c>
    </row>
    <row r="607" spans="1:18">
      <c r="A607" s="302" t="str">
        <f t="shared" si="12"/>
        <v>inlandWaterType</v>
      </c>
      <c r="B607" s="6" t="s">
        <v>7647</v>
      </c>
      <c r="C607" s="17" t="s">
        <v>7648</v>
      </c>
      <c r="D607" s="10" t="s">
        <v>7649</v>
      </c>
      <c r="E607" s="55"/>
      <c r="F607" s="55"/>
      <c r="G607" s="12" t="s">
        <v>4643</v>
      </c>
      <c r="H607" s="74"/>
      <c r="I607" s="147" t="str">
        <f>HYPERLINK("[#]Datatypes!B700:L700","InlandWaterTypeCode")</f>
        <v>InlandWaterTypeCode</v>
      </c>
      <c r="J607" s="80"/>
      <c r="K607" s="77"/>
      <c r="L607" s="77"/>
      <c r="M607" s="71" t="str">
        <f>HYPERLINK("[#]DatatypeListedValues!A3895:H3895","&lt;values&gt;")</f>
        <v>&lt;values&gt;</v>
      </c>
      <c r="N607" s="82" t="b">
        <v>0</v>
      </c>
      <c r="O607" s="25">
        <v>117789</v>
      </c>
      <c r="P607" s="304" t="str">
        <f>CONCATENATE([1]Cover!$D$6,"fdd/view?i=",O607)</f>
        <v>https://www.dgiwg.org/FAD/fdd/view?i=117789</v>
      </c>
      <c r="Q607" s="8" t="s">
        <v>7646</v>
      </c>
      <c r="R607" s="38" t="s">
        <v>151</v>
      </c>
    </row>
    <row r="608" spans="1:18">
      <c r="A608" s="302" t="str">
        <f t="shared" si="12"/>
        <v>installationOperator</v>
      </c>
      <c r="B608" s="6" t="s">
        <v>7652</v>
      </c>
      <c r="C608" s="17" t="s">
        <v>7653</v>
      </c>
      <c r="D608" s="10" t="s">
        <v>7654</v>
      </c>
      <c r="E608" s="55"/>
      <c r="F608" s="55"/>
      <c r="G608" s="12" t="s">
        <v>4643</v>
      </c>
      <c r="H608" s="74"/>
      <c r="I608" s="147" t="str">
        <f>HYPERLINK("[#]Datatypes!B1416:L1416","TextLexUnconstrained")</f>
        <v>TextLexUnconstrained</v>
      </c>
      <c r="J608" s="80"/>
      <c r="K608" s="77"/>
      <c r="L608" s="77"/>
      <c r="M608" s="78"/>
      <c r="N608" s="74"/>
      <c r="O608" s="25">
        <v>110820</v>
      </c>
      <c r="P608" s="304" t="str">
        <f>CONCATENATE([1]Cover!$D$6,"fdd/view?i=",O608)</f>
        <v>https://www.dgiwg.org/FAD/fdd/view?i=110820</v>
      </c>
      <c r="Q608" s="8" t="s">
        <v>7651</v>
      </c>
      <c r="R608" s="38" t="s">
        <v>151</v>
      </c>
    </row>
    <row r="609" spans="1:18" ht="25.5">
      <c r="A609" s="302" t="str">
        <f t="shared" si="12"/>
        <v>installationType</v>
      </c>
      <c r="B609" s="6" t="s">
        <v>7656</v>
      </c>
      <c r="C609" s="17" t="s">
        <v>7657</v>
      </c>
      <c r="D609" s="10" t="s">
        <v>7658</v>
      </c>
      <c r="E609" s="55"/>
      <c r="F609" s="55"/>
      <c r="G609" s="12" t="s">
        <v>4643</v>
      </c>
      <c r="H609" s="74"/>
      <c r="I609" s="147" t="str">
        <f>HYPERLINK("[#]Datatypes!B702:L702","InstallationTypeCode")</f>
        <v>InstallationTypeCode</v>
      </c>
      <c r="J609" s="80"/>
      <c r="K609" s="77"/>
      <c r="L609" s="77"/>
      <c r="M609" s="71" t="str">
        <f>HYPERLINK("[#]DatatypeListedValues!A3902:H3902","&lt;values&gt;")</f>
        <v>&lt;values&gt;</v>
      </c>
      <c r="N609" s="82" t="b">
        <v>0</v>
      </c>
      <c r="O609" s="25">
        <v>204137</v>
      </c>
      <c r="P609" s="304" t="str">
        <f>CONCATENATE([1]Cover!$D$6,"fdd/view?i=",O609)</f>
        <v>https://www.dgiwg.org/FAD/fdd/view?i=204137</v>
      </c>
      <c r="Q609" s="8" t="s">
        <v>7655</v>
      </c>
      <c r="R609" s="38" t="s">
        <v>1295</v>
      </c>
    </row>
    <row r="610" spans="1:18" ht="25.5">
      <c r="A610" s="302" t="str">
        <f t="shared" si="12"/>
        <v>instApproachProcFixRole</v>
      </c>
      <c r="B610" s="6" t="s">
        <v>7661</v>
      </c>
      <c r="C610" s="17" t="s">
        <v>7662</v>
      </c>
      <c r="D610" s="10" t="s">
        <v>7663</v>
      </c>
      <c r="E610" s="10" t="s">
        <v>7664</v>
      </c>
      <c r="F610" s="55"/>
      <c r="G610" s="12" t="s">
        <v>4643</v>
      </c>
      <c r="H610" s="74"/>
      <c r="I610" s="147" t="str">
        <f>HYPERLINK("[#]Datatypes!B704:L704","InstApproachProcFixRoleCode")</f>
        <v>InstApproachProcFixRoleCode</v>
      </c>
      <c r="J610" s="80"/>
      <c r="K610" s="77"/>
      <c r="L610" s="77"/>
      <c r="M610" s="71" t="str">
        <f>HYPERLINK("[#]DatatypeListedValues!A3903:H3903","&lt;values&gt;")</f>
        <v>&lt;values&gt;</v>
      </c>
      <c r="N610" s="82" t="b">
        <v>0</v>
      </c>
      <c r="O610" s="25">
        <v>117593</v>
      </c>
      <c r="P610" s="304" t="str">
        <f>CONCATENATE([1]Cover!$D$6,"fdd/view?i=",O610)</f>
        <v>https://www.dgiwg.org/FAD/fdd/view?i=117593</v>
      </c>
      <c r="Q610" s="8" t="s">
        <v>7660</v>
      </c>
      <c r="R610" s="38" t="s">
        <v>151</v>
      </c>
    </row>
    <row r="611" spans="1:18" ht="38.25">
      <c r="A611" s="302" t="str">
        <f t="shared" si="12"/>
        <v>ilsFacilityPerformanceCat</v>
      </c>
      <c r="B611" s="6" t="s">
        <v>7667</v>
      </c>
      <c r="C611" s="17" t="s">
        <v>7668</v>
      </c>
      <c r="D611" s="10" t="s">
        <v>7669</v>
      </c>
      <c r="E611" s="10" t="s">
        <v>7670</v>
      </c>
      <c r="F611" s="55"/>
      <c r="G611" s="12" t="s">
        <v>4643</v>
      </c>
      <c r="H611" s="74"/>
      <c r="I611" s="147" t="str">
        <f>HYPERLINK("[#]Datatypes!B706:L706","IlsFacilityPerfCategoryCode")</f>
        <v>IlsFacilityPerfCategoryCode</v>
      </c>
      <c r="J611" s="80"/>
      <c r="K611" s="77"/>
      <c r="L611" s="77"/>
      <c r="M611" s="71" t="str">
        <f>HYPERLINK("[#]DatatypeListedValues!A3907:H3907","&lt;values&gt;")</f>
        <v>&lt;values&gt;</v>
      </c>
      <c r="N611" s="12" t="b">
        <v>1</v>
      </c>
      <c r="O611" s="25">
        <v>117597</v>
      </c>
      <c r="P611" s="304" t="str">
        <f>CONCATENATE([1]Cover!$D$6,"fdd/view?i=",O611)</f>
        <v>https://www.dgiwg.org/FAD/fdd/view?i=117597</v>
      </c>
      <c r="Q611" s="8" t="s">
        <v>7666</v>
      </c>
      <c r="R611" s="38" t="s">
        <v>151</v>
      </c>
    </row>
    <row r="612" spans="1:18" ht="38.25">
      <c r="A612" s="302" t="str">
        <f t="shared" si="12"/>
        <v>ilsGlidePathAngle</v>
      </c>
      <c r="B612" s="6" t="s">
        <v>7673</v>
      </c>
      <c r="C612" s="17" t="s">
        <v>7674</v>
      </c>
      <c r="D612" s="10" t="s">
        <v>7675</v>
      </c>
      <c r="E612" s="55"/>
      <c r="F612" s="10" t="s">
        <v>7676</v>
      </c>
      <c r="G612" s="12" t="s">
        <v>4643</v>
      </c>
      <c r="H612" s="74"/>
      <c r="I612" s="147" t="str">
        <f>HYPERLINK("[#]Datatypes!B1097:L1097","Real")</f>
        <v>Real</v>
      </c>
      <c r="J612" s="76" t="str">
        <f>HYPERLINK("[#]PhysicalQuantities!A34:N34","Plane Angle")</f>
        <v>Plane Angle</v>
      </c>
      <c r="K612" s="75" t="str">
        <f>HYPERLINK("[#]UnitsOfMeasure!D159:G159","Arc Degree")</f>
        <v>Arc Degree</v>
      </c>
      <c r="L612" s="77"/>
      <c r="M612" s="78"/>
      <c r="N612" s="74"/>
      <c r="O612" s="25">
        <v>117573</v>
      </c>
      <c r="P612" s="304" t="str">
        <f>CONCATENATE([1]Cover!$D$6,"fdd/view?i=",O612)</f>
        <v>https://www.dgiwg.org/FAD/fdd/view?i=117573</v>
      </c>
      <c r="Q612" s="8" t="s">
        <v>7672</v>
      </c>
      <c r="R612" s="38" t="s">
        <v>151</v>
      </c>
    </row>
    <row r="613" spans="1:18" ht="38.25">
      <c r="A613" s="302" t="str">
        <f t="shared" si="12"/>
        <v>ilsGlidePathAngleAcc</v>
      </c>
      <c r="B613" s="6" t="s">
        <v>7678</v>
      </c>
      <c r="C613" s="17" t="s">
        <v>7679</v>
      </c>
      <c r="D613" s="10" t="s">
        <v>7680</v>
      </c>
      <c r="E613" s="55"/>
      <c r="F613" s="55"/>
      <c r="G613" s="12" t="s">
        <v>4643</v>
      </c>
      <c r="H613" s="74"/>
      <c r="I613" s="147" t="str">
        <f>HYPERLINK("[#]Datatypes!B958:L958","RealNonNegative")</f>
        <v>RealNonNegative</v>
      </c>
      <c r="J613" s="76" t="str">
        <f>HYPERLINK("[#]PhysicalQuantities!A34:N34","Plane Angle")</f>
        <v>Plane Angle</v>
      </c>
      <c r="K613" s="75" t="str">
        <f>HYPERLINK("[#]UnitsOfMeasure!D159:G159","Arc Degree")</f>
        <v>Arc Degree</v>
      </c>
      <c r="L613" s="77"/>
      <c r="M613" s="78"/>
      <c r="N613" s="74"/>
      <c r="O613" s="25">
        <v>206987</v>
      </c>
      <c r="P613" s="304" t="str">
        <f>CONCATENATE([1]Cover!$D$6,"fdd/view?i=",O613)</f>
        <v>https://www.dgiwg.org/FAD/fdd/view?i=206987</v>
      </c>
      <c r="Q613" s="8" t="s">
        <v>7677</v>
      </c>
      <c r="R613" s="38" t="s">
        <v>1295</v>
      </c>
    </row>
    <row r="614" spans="1:18" ht="38.25">
      <c r="A614" s="302" t="str">
        <f t="shared" si="12"/>
        <v>ilsReferenceDatumHeight</v>
      </c>
      <c r="B614" s="6" t="s">
        <v>7682</v>
      </c>
      <c r="C614" s="17" t="s">
        <v>7683</v>
      </c>
      <c r="D614" s="10" t="s">
        <v>7684</v>
      </c>
      <c r="E614" s="55"/>
      <c r="F614" s="55"/>
      <c r="G614" s="12" t="s">
        <v>4643</v>
      </c>
      <c r="H614" s="74"/>
      <c r="I614" s="147" t="str">
        <f>HYPERLINK("[#]Datatypes!B1097:L1097","Real")</f>
        <v>Real</v>
      </c>
      <c r="J614" s="76" t="str">
        <f>HYPERLINK("[#]PhysicalQuantities!A20:N20","Length")</f>
        <v>Length</v>
      </c>
      <c r="K614" s="75" t="str">
        <f>HYPERLINK("[#]UnitsOfMeasure!D80:G80","Metre")</f>
        <v>Metre</v>
      </c>
      <c r="L614" s="77"/>
      <c r="M614" s="78"/>
      <c r="N614" s="74"/>
      <c r="O614" s="25">
        <v>117598</v>
      </c>
      <c r="P614" s="304" t="str">
        <f>CONCATENATE([1]Cover!$D$6,"fdd/view?i=",O614)</f>
        <v>https://www.dgiwg.org/FAD/fdd/view?i=117598</v>
      </c>
      <c r="Q614" s="8" t="s">
        <v>7681</v>
      </c>
      <c r="R614" s="38" t="s">
        <v>151</v>
      </c>
    </row>
    <row r="615" spans="1:18" ht="38.25">
      <c r="A615" s="302" t="str">
        <f t="shared" si="12"/>
        <v>ilsReferenceDatumHeightAcc</v>
      </c>
      <c r="B615" s="6" t="s">
        <v>7686</v>
      </c>
      <c r="C615" s="17" t="s">
        <v>7687</v>
      </c>
      <c r="D615" s="10" t="s">
        <v>7688</v>
      </c>
      <c r="E615" s="55"/>
      <c r="F615" s="55"/>
      <c r="G615" s="12" t="s">
        <v>4643</v>
      </c>
      <c r="H615" s="74"/>
      <c r="I615" s="147" t="str">
        <f>HYPERLINK("[#]Datatypes!B958:L958","RealNonNegative")</f>
        <v>RealNonNegative</v>
      </c>
      <c r="J615" s="76" t="str">
        <f>HYPERLINK("[#]PhysicalQuantities!A20:N20","Length")</f>
        <v>Length</v>
      </c>
      <c r="K615" s="75" t="str">
        <f>HYPERLINK("[#]UnitsOfMeasure!D80:G80","Metre")</f>
        <v>Metre</v>
      </c>
      <c r="L615" s="77"/>
      <c r="M615" s="78"/>
      <c r="N615" s="74"/>
      <c r="O615" s="25">
        <v>206988</v>
      </c>
      <c r="P615" s="304" t="str">
        <f>CONCATENATE([1]Cover!$D$6,"fdd/view?i=",O615)</f>
        <v>https://www.dgiwg.org/FAD/fdd/view?i=206988</v>
      </c>
      <c r="Q615" s="8" t="s">
        <v>7685</v>
      </c>
      <c r="R615" s="38" t="s">
        <v>1295</v>
      </c>
    </row>
    <row r="616" spans="1:18" ht="25.5">
      <c r="A616" s="302" t="str">
        <f t="shared" si="12"/>
        <v>instProcAddEquipment</v>
      </c>
      <c r="B616" s="6" t="s">
        <v>7690</v>
      </c>
      <c r="C616" s="17" t="s">
        <v>7691</v>
      </c>
      <c r="D616" s="10" t="s">
        <v>7692</v>
      </c>
      <c r="E616" s="55"/>
      <c r="F616" s="55"/>
      <c r="G616" s="12" t="s">
        <v>4643</v>
      </c>
      <c r="H616" s="12" t="s">
        <v>4700</v>
      </c>
      <c r="I616" s="147" t="str">
        <f>HYPERLINK("[#]Datatypes!B708:L708","InstProcAddEquipmentCode")</f>
        <v>InstProcAddEquipmentCode</v>
      </c>
      <c r="J616" s="80"/>
      <c r="K616" s="77"/>
      <c r="L616" s="77"/>
      <c r="M616" s="71" t="str">
        <f>HYPERLINK("[#]DatatypeListedValues!A3914:H3914","&lt;values&gt;")</f>
        <v>&lt;values&gt;</v>
      </c>
      <c r="N616" s="82" t="b">
        <v>0</v>
      </c>
      <c r="O616" s="25">
        <v>117590</v>
      </c>
      <c r="P616" s="304" t="str">
        <f>CONCATENATE([1]Cover!$D$6,"fdd/view?i=",O616)</f>
        <v>https://www.dgiwg.org/FAD/fdd/view?i=117590</v>
      </c>
      <c r="Q616" s="8" t="s">
        <v>7689</v>
      </c>
      <c r="R616" s="38" t="s">
        <v>151</v>
      </c>
    </row>
    <row r="617" spans="1:18" ht="38.25">
      <c r="A617" s="302" t="str">
        <f t="shared" si="12"/>
        <v>internationalAtsRoute</v>
      </c>
      <c r="B617" s="6" t="s">
        <v>7695</v>
      </c>
      <c r="C617" s="17" t="s">
        <v>7696</v>
      </c>
      <c r="D617" s="10" t="s">
        <v>7697</v>
      </c>
      <c r="E617" s="55"/>
      <c r="F617" s="55"/>
      <c r="G617" s="12" t="s">
        <v>4643</v>
      </c>
      <c r="H617" s="74"/>
      <c r="I617" s="147" t="str">
        <f>HYPERLINK("[#]Datatypes!B230:L230","Boolean")</f>
        <v>Boolean</v>
      </c>
      <c r="J617" s="80"/>
      <c r="K617" s="77"/>
      <c r="L617" s="77"/>
      <c r="M617" s="78"/>
      <c r="N617" s="74"/>
      <c r="O617" s="25">
        <v>117591</v>
      </c>
      <c r="P617" s="304" t="str">
        <f>CONCATENATE([1]Cover!$D$6,"fdd/view?i=",O617)</f>
        <v>https://www.dgiwg.org/FAD/fdd/view?i=117591</v>
      </c>
      <c r="Q617" s="8" t="s">
        <v>7694</v>
      </c>
      <c r="R617" s="38" t="s">
        <v>151</v>
      </c>
    </row>
    <row r="618" spans="1:18" ht="38.25">
      <c r="A618" s="302" t="str">
        <f t="shared" si="12"/>
        <v>igbUniqueStationCode</v>
      </c>
      <c r="B618" s="6" t="s">
        <v>7699</v>
      </c>
      <c r="C618" s="17" t="s">
        <v>7700</v>
      </c>
      <c r="D618" s="10" t="s">
        <v>7701</v>
      </c>
      <c r="E618" s="55"/>
      <c r="F618" s="55"/>
      <c r="G618" s="12" t="s">
        <v>4643</v>
      </c>
      <c r="H618" s="74"/>
      <c r="I618" s="147" t="str">
        <f>HYPERLINK("[#]Datatypes!B726:L726","IgbUniqueStationCodeStrucText")</f>
        <v>IgbUniqueStationCodeStrucText</v>
      </c>
      <c r="J618" s="80"/>
      <c r="K618" s="77"/>
      <c r="L618" s="77"/>
      <c r="M618" s="78"/>
      <c r="N618" s="74"/>
      <c r="O618" s="25">
        <v>119729</v>
      </c>
      <c r="P618" s="304" t="str">
        <f>CONCATENATE([1]Cover!$D$6,"fdd/view?i=",O618)</f>
        <v>https://www.dgiwg.org/FAD/fdd/view?i=119729</v>
      </c>
      <c r="Q618" s="8" t="s">
        <v>7698</v>
      </c>
      <c r="R618" s="38" t="s">
        <v>1295</v>
      </c>
    </row>
    <row r="619" spans="1:18" ht="25.5">
      <c r="A619" s="302" t="str">
        <f t="shared" si="12"/>
        <v>intersectionControlType</v>
      </c>
      <c r="B619" s="6" t="s">
        <v>7704</v>
      </c>
      <c r="C619" s="17" t="s">
        <v>7705</v>
      </c>
      <c r="D619" s="10" t="s">
        <v>7706</v>
      </c>
      <c r="E619" s="55"/>
      <c r="F619" s="55"/>
      <c r="G619" s="12" t="s">
        <v>4643</v>
      </c>
      <c r="H619" s="12" t="s">
        <v>4700</v>
      </c>
      <c r="I619" s="147" t="str">
        <f>HYPERLINK("[#]Datatypes!B728:L728","IntersectionControlTypeCode")</f>
        <v>IntersectionControlTypeCode</v>
      </c>
      <c r="J619" s="80"/>
      <c r="K619" s="77"/>
      <c r="L619" s="77"/>
      <c r="M619" s="71" t="str">
        <f>HYPERLINK("[#]DatatypeListedValues!A3928:H3928","&lt;values&gt;")</f>
        <v>&lt;values&gt;</v>
      </c>
      <c r="N619" s="82" t="b">
        <v>0</v>
      </c>
      <c r="O619" s="25">
        <v>100770</v>
      </c>
      <c r="P619" s="304" t="str">
        <f>CONCATENATE([1]Cover!$D$6,"fdd/view?i=",O619)</f>
        <v>https://www.dgiwg.org/FAD/fdd/view?i=100770</v>
      </c>
      <c r="Q619" s="8" t="s">
        <v>7703</v>
      </c>
      <c r="R619" s="38" t="s">
        <v>151</v>
      </c>
    </row>
    <row r="620" spans="1:18">
      <c r="A620" s="302" t="str">
        <f t="shared" si="12"/>
        <v>inundationDateTime</v>
      </c>
      <c r="B620" s="6" t="s">
        <v>7709</v>
      </c>
      <c r="C620" s="17" t="s">
        <v>7710</v>
      </c>
      <c r="D620" s="10" t="s">
        <v>7711</v>
      </c>
      <c r="E620" s="55"/>
      <c r="F620" s="55"/>
      <c r="G620" s="12" t="s">
        <v>4643</v>
      </c>
      <c r="H620" s="74"/>
      <c r="I620" s="147" t="str">
        <f>HYPERLINK("[#]Datatypes!B732:L732","InundationDateTimeStrucText")</f>
        <v>InundationDateTimeStrucText</v>
      </c>
      <c r="J620" s="80"/>
      <c r="K620" s="77"/>
      <c r="L620" s="77"/>
      <c r="M620" s="78"/>
      <c r="N620" s="74"/>
      <c r="O620" s="25">
        <v>118145</v>
      </c>
      <c r="P620" s="304" t="str">
        <f>CONCATENATE([1]Cover!$D$6,"fdd/view?i=",O620)</f>
        <v>https://www.dgiwg.org/FAD/fdd/view?i=118145</v>
      </c>
      <c r="Q620" s="8" t="s">
        <v>7708</v>
      </c>
      <c r="R620" s="38" t="s">
        <v>1295</v>
      </c>
    </row>
    <row r="621" spans="1:18">
      <c r="A621" s="302" t="str">
        <f t="shared" si="12"/>
        <v>inundationType</v>
      </c>
      <c r="B621" s="6" t="s">
        <v>7714</v>
      </c>
      <c r="C621" s="17" t="s">
        <v>7715</v>
      </c>
      <c r="D621" s="10" t="s">
        <v>7716</v>
      </c>
      <c r="E621" s="55"/>
      <c r="F621" s="55"/>
      <c r="G621" s="12" t="s">
        <v>4643</v>
      </c>
      <c r="H621" s="74"/>
      <c r="I621" s="147" t="str">
        <f>HYPERLINK("[#]Datatypes!B734:L734","InundationTypeCode")</f>
        <v>InundationTypeCode</v>
      </c>
      <c r="J621" s="80"/>
      <c r="K621" s="77"/>
      <c r="L621" s="77"/>
      <c r="M621" s="71" t="str">
        <f>HYPERLINK("[#]DatatypeListedValues!A3943:H3943","&lt;values&gt;")</f>
        <v>&lt;values&gt;</v>
      </c>
      <c r="N621" s="82" t="b">
        <v>0</v>
      </c>
      <c r="O621" s="25">
        <v>114347</v>
      </c>
      <c r="P621" s="304" t="str">
        <f>CONCATENATE([1]Cover!$D$6,"fdd/view?i=",O621)</f>
        <v>https://www.dgiwg.org/FAD/fdd/view?i=114347</v>
      </c>
      <c r="Q621" s="8" t="s">
        <v>7713</v>
      </c>
      <c r="R621" s="38" t="s">
        <v>151</v>
      </c>
    </row>
    <row r="622" spans="1:18">
      <c r="A622" s="302" t="str">
        <f t="shared" si="12"/>
        <v>irrigationMethod</v>
      </c>
      <c r="B622" s="6" t="s">
        <v>7719</v>
      </c>
      <c r="C622" s="17" t="s">
        <v>7720</v>
      </c>
      <c r="D622" s="10" t="s">
        <v>7721</v>
      </c>
      <c r="E622" s="55"/>
      <c r="F622" s="55"/>
      <c r="G622" s="12" t="s">
        <v>4643</v>
      </c>
      <c r="H622" s="74"/>
      <c r="I622" s="147" t="str">
        <f>HYPERLINK("[#]Datatypes!B736:L736","IrrigationMethodCode")</f>
        <v>IrrigationMethodCode</v>
      </c>
      <c r="J622" s="80"/>
      <c r="K622" s="77"/>
      <c r="L622" s="77"/>
      <c r="M622" s="71" t="str">
        <f>HYPERLINK("[#]DatatypeListedValues!A3945:H3945","&lt;values&gt;")</f>
        <v>&lt;values&gt;</v>
      </c>
      <c r="N622" s="82" t="b">
        <v>0</v>
      </c>
      <c r="O622" s="25">
        <v>100978</v>
      </c>
      <c r="P622" s="304" t="str">
        <f>CONCATENATE([1]Cover!$D$6,"fdd/view?i=",O622)</f>
        <v>https://www.dgiwg.org/FAD/fdd/view?i=100978</v>
      </c>
      <c r="Q622" s="8" t="s">
        <v>7718</v>
      </c>
      <c r="R622" s="38" t="s">
        <v>151</v>
      </c>
    </row>
    <row r="623" spans="1:18">
      <c r="A623" s="302" t="str">
        <f t="shared" si="12"/>
        <v>islandGroupName</v>
      </c>
      <c r="B623" s="6" t="s">
        <v>7724</v>
      </c>
      <c r="C623" s="17" t="s">
        <v>7725</v>
      </c>
      <c r="D623" s="10" t="s">
        <v>7726</v>
      </c>
      <c r="E623" s="55"/>
      <c r="F623" s="55"/>
      <c r="G623" s="12" t="s">
        <v>4643</v>
      </c>
      <c r="H623" s="74"/>
      <c r="I623" s="147" t="str">
        <f>HYPERLINK("[#]Datatypes!B1416:L1416","TextLexUnconstrained")</f>
        <v>TextLexUnconstrained</v>
      </c>
      <c r="J623" s="80"/>
      <c r="K623" s="77"/>
      <c r="L623" s="77"/>
      <c r="M623" s="78"/>
      <c r="N623" s="74"/>
      <c r="O623" s="25">
        <v>119188</v>
      </c>
      <c r="P623" s="304" t="str">
        <f>CONCATENATE([1]Cover!$D$6,"fdd/view?i=",O623)</f>
        <v>https://www.dgiwg.org/FAD/fdd/view?i=119188</v>
      </c>
      <c r="Q623" s="8" t="s">
        <v>7723</v>
      </c>
      <c r="R623" s="38" t="s">
        <v>151</v>
      </c>
    </row>
    <row r="624" spans="1:18" ht="25.5">
      <c r="A624" s="302" t="str">
        <f t="shared" si="12"/>
        <v>iso15924ScriptCode</v>
      </c>
      <c r="B624" s="6" t="s">
        <v>7728</v>
      </c>
      <c r="C624" s="17" t="s">
        <v>7729</v>
      </c>
      <c r="D624" s="10" t="s">
        <v>7730</v>
      </c>
      <c r="E624" s="10" t="s">
        <v>7731</v>
      </c>
      <c r="F624" s="55"/>
      <c r="G624" s="12" t="s">
        <v>4643</v>
      </c>
      <c r="H624" s="74"/>
      <c r="I624" s="147" t="str">
        <f>HYPERLINK("[#]Datatypes!B738:L738","Iso15924ScriptCodeStrucText")</f>
        <v>Iso15924ScriptCodeStrucText</v>
      </c>
      <c r="J624" s="80"/>
      <c r="K624" s="77"/>
      <c r="L624" s="77"/>
      <c r="M624" s="78"/>
      <c r="N624" s="74"/>
      <c r="O624" s="25">
        <v>111603</v>
      </c>
      <c r="P624" s="304" t="str">
        <f>CONCATENATE([1]Cover!$D$6,"fdd/view?i=",O624)</f>
        <v>https://www.dgiwg.org/FAD/fdd/view?i=111603</v>
      </c>
      <c r="Q624" s="8" t="s">
        <v>7727</v>
      </c>
      <c r="R624" s="38" t="s">
        <v>151</v>
      </c>
    </row>
    <row r="625" spans="1:18" ht="51">
      <c r="A625" s="302" t="str">
        <f t="shared" si="12"/>
        <v>iso31661CountryCdAlpha2</v>
      </c>
      <c r="B625" s="6" t="s">
        <v>7734</v>
      </c>
      <c r="C625" s="17" t="s">
        <v>7735</v>
      </c>
      <c r="D625" s="10" t="s">
        <v>7736</v>
      </c>
      <c r="E625" s="10" t="s">
        <v>7737</v>
      </c>
      <c r="F625" s="55"/>
      <c r="G625" s="12" t="s">
        <v>4643</v>
      </c>
      <c r="H625" s="74"/>
      <c r="I625" s="147" t="str">
        <f>HYPERLINK("[#]Datatypes!B740:L740","Iso31661CountryCodeListAlpha2")</f>
        <v>Iso31661CountryCodeListAlpha2</v>
      </c>
      <c r="J625" s="80"/>
      <c r="K625" s="77"/>
      <c r="L625" s="77"/>
      <c r="M625" s="78"/>
      <c r="N625" s="74"/>
      <c r="O625" s="25">
        <v>111587</v>
      </c>
      <c r="P625" s="304" t="str">
        <f>CONCATENATE([1]Cover!$D$6,"fdd/view?i=",O625)</f>
        <v>https://www.dgiwg.org/FAD/fdd/view?i=111587</v>
      </c>
      <c r="Q625" s="8" t="s">
        <v>7733</v>
      </c>
      <c r="R625" s="38" t="s">
        <v>151</v>
      </c>
    </row>
    <row r="626" spans="1:18" ht="38.25">
      <c r="A626" s="302" t="str">
        <f t="shared" si="12"/>
        <v>iso31661CountryCdAlpha3</v>
      </c>
      <c r="B626" s="6" t="s">
        <v>7740</v>
      </c>
      <c r="C626" s="17" t="s">
        <v>7741</v>
      </c>
      <c r="D626" s="10" t="s">
        <v>7742</v>
      </c>
      <c r="E626" s="10" t="s">
        <v>7743</v>
      </c>
      <c r="F626" s="55"/>
      <c r="G626" s="12" t="s">
        <v>4643</v>
      </c>
      <c r="H626" s="74"/>
      <c r="I626" s="147" t="str">
        <f>HYPERLINK("[#]Datatypes!B742:L742","Iso31661CountryCodeListAlpha3")</f>
        <v>Iso31661CountryCodeListAlpha3</v>
      </c>
      <c r="J626" s="80"/>
      <c r="K626" s="77"/>
      <c r="L626" s="77"/>
      <c r="M626" s="78"/>
      <c r="N626" s="74"/>
      <c r="O626" s="25">
        <v>111588</v>
      </c>
      <c r="P626" s="304" t="str">
        <f>CONCATENATE([1]Cover!$D$6,"fdd/view?i=",O626)</f>
        <v>https://www.dgiwg.org/FAD/fdd/view?i=111588</v>
      </c>
      <c r="Q626" s="8" t="s">
        <v>7739</v>
      </c>
      <c r="R626" s="38" t="s">
        <v>151</v>
      </c>
    </row>
    <row r="627" spans="1:18" ht="38.25">
      <c r="A627" s="302" t="str">
        <f t="shared" si="12"/>
        <v>iso31661CountryCdNumeric</v>
      </c>
      <c r="B627" s="6" t="s">
        <v>7746</v>
      </c>
      <c r="C627" s="17" t="s">
        <v>7747</v>
      </c>
      <c r="D627" s="10" t="s">
        <v>7748</v>
      </c>
      <c r="E627" s="10" t="s">
        <v>7749</v>
      </c>
      <c r="F627" s="55"/>
      <c r="G627" s="12" t="s">
        <v>4643</v>
      </c>
      <c r="H627" s="74"/>
      <c r="I627" s="147" t="str">
        <f>HYPERLINK("[#]Datatypes!B744:L744","Iso31661CountryCodeListNumeric")</f>
        <v>Iso31661CountryCodeListNumeric</v>
      </c>
      <c r="J627" s="80"/>
      <c r="K627" s="77"/>
      <c r="L627" s="77"/>
      <c r="M627" s="78"/>
      <c r="N627" s="74"/>
      <c r="O627" s="25">
        <v>111589</v>
      </c>
      <c r="P627" s="304" t="str">
        <f>CONCATENATE([1]Cover!$D$6,"fdd/view?i=",O627)</f>
        <v>https://www.dgiwg.org/FAD/fdd/view?i=111589</v>
      </c>
      <c r="Q627" s="8" t="s">
        <v>7745</v>
      </c>
      <c r="R627" s="38" t="s">
        <v>151</v>
      </c>
    </row>
    <row r="628" spans="1:18" ht="25.5">
      <c r="A628" s="302" t="str">
        <f t="shared" si="12"/>
        <v>iso31661EngCountryName</v>
      </c>
      <c r="B628" s="6" t="s">
        <v>7752</v>
      </c>
      <c r="C628" s="17" t="s">
        <v>7753</v>
      </c>
      <c r="D628" s="10" t="s">
        <v>7754</v>
      </c>
      <c r="E628" s="55"/>
      <c r="F628" s="55"/>
      <c r="G628" s="12" t="s">
        <v>4643</v>
      </c>
      <c r="H628" s="74"/>
      <c r="I628" s="147" t="str">
        <f>HYPERLINK("[#]Datatypes!B1406:L1406","TextLex200")</f>
        <v>TextLex200</v>
      </c>
      <c r="J628" s="80"/>
      <c r="K628" s="77"/>
      <c r="L628" s="77"/>
      <c r="M628" s="78"/>
      <c r="N628" s="74"/>
      <c r="O628" s="25">
        <v>111590</v>
      </c>
      <c r="P628" s="304" t="str">
        <f>CONCATENATE([1]Cover!$D$6,"fdd/view?i=",O628)</f>
        <v>https://www.dgiwg.org/FAD/fdd/view?i=111590</v>
      </c>
      <c r="Q628" s="8" t="s">
        <v>7751</v>
      </c>
      <c r="R628" s="38" t="s">
        <v>151</v>
      </c>
    </row>
    <row r="629" spans="1:18" ht="51">
      <c r="A629" s="302" t="str">
        <f t="shared" si="12"/>
        <v>iso31662SubdivisionCode</v>
      </c>
      <c r="B629" s="6" t="s">
        <v>7756</v>
      </c>
      <c r="C629" s="17" t="s">
        <v>7757</v>
      </c>
      <c r="D629" s="10" t="s">
        <v>7758</v>
      </c>
      <c r="E629" s="10" t="s">
        <v>7759</v>
      </c>
      <c r="F629" s="55"/>
      <c r="G629" s="12" t="s">
        <v>4643</v>
      </c>
      <c r="H629" s="74"/>
      <c r="I629" s="147" t="str">
        <f>HYPERLINK("[#]Datatypes!B746:L746","Iso31662SubdivisionCodeListAlpha5")</f>
        <v>Iso31662SubdivisionCodeListAlpha5</v>
      </c>
      <c r="J629" s="80"/>
      <c r="K629" s="77"/>
      <c r="L629" s="77"/>
      <c r="M629" s="78"/>
      <c r="N629" s="74"/>
      <c r="O629" s="25">
        <v>206601</v>
      </c>
      <c r="P629" s="304" t="str">
        <f>CONCATENATE([1]Cover!$D$6,"fdd/view?i=",O629)</f>
        <v>https://www.dgiwg.org/FAD/fdd/view?i=206601</v>
      </c>
      <c r="Q629" s="8" t="s">
        <v>7755</v>
      </c>
      <c r="R629" s="38" t="s">
        <v>1295</v>
      </c>
    </row>
    <row r="630" spans="1:18" ht="51">
      <c r="A630" s="302" t="str">
        <f t="shared" si="12"/>
        <v>iso31662SubdivisionExtCd</v>
      </c>
      <c r="B630" s="6" t="s">
        <v>7762</v>
      </c>
      <c r="C630" s="17" t="s">
        <v>7763</v>
      </c>
      <c r="D630" s="10" t="s">
        <v>7764</v>
      </c>
      <c r="E630" s="10" t="s">
        <v>7765</v>
      </c>
      <c r="F630" s="55"/>
      <c r="G630" s="12" t="s">
        <v>4643</v>
      </c>
      <c r="H630" s="74"/>
      <c r="I630" s="147" t="str">
        <f>HYPERLINK("[#]Datatypes!B748:L748","Iso31662SubdivisionExtCodeListAlpha3")</f>
        <v>Iso31662SubdivisionExtCodeListAlpha3</v>
      </c>
      <c r="J630" s="80"/>
      <c r="K630" s="77"/>
      <c r="L630" s="77"/>
      <c r="M630" s="78"/>
      <c r="N630" s="74"/>
      <c r="O630" s="25">
        <v>111591</v>
      </c>
      <c r="P630" s="304" t="str">
        <f>CONCATENATE([1]Cover!$D$6,"fdd/view?i=",O630)</f>
        <v>https://www.dgiwg.org/FAD/fdd/view?i=111591</v>
      </c>
      <c r="Q630" s="8" t="s">
        <v>7761</v>
      </c>
      <c r="R630" s="38" t="s">
        <v>151</v>
      </c>
    </row>
    <row r="631" spans="1:18" ht="38.25">
      <c r="A631" s="302" t="str">
        <f t="shared" si="12"/>
        <v>iso31662EngSubdivisionName</v>
      </c>
      <c r="B631" s="6" t="s">
        <v>7768</v>
      </c>
      <c r="C631" s="17" t="s">
        <v>7769</v>
      </c>
      <c r="D631" s="10" t="s">
        <v>7770</v>
      </c>
      <c r="E631" s="55"/>
      <c r="F631" s="55"/>
      <c r="G631" s="12" t="s">
        <v>4643</v>
      </c>
      <c r="H631" s="74"/>
      <c r="I631" s="147" t="str">
        <f>HYPERLINK("[#]Datatypes!B1406:L1406","TextLex200")</f>
        <v>TextLex200</v>
      </c>
      <c r="J631" s="80"/>
      <c r="K631" s="77"/>
      <c r="L631" s="77"/>
      <c r="M631" s="78"/>
      <c r="N631" s="74"/>
      <c r="O631" s="25">
        <v>111592</v>
      </c>
      <c r="P631" s="304" t="str">
        <f>CONCATENATE([1]Cover!$D$6,"fdd/view?i=",O631)</f>
        <v>https://www.dgiwg.org/FAD/fdd/view?i=111592</v>
      </c>
      <c r="Q631" s="8" t="s">
        <v>7767</v>
      </c>
      <c r="R631" s="38" t="s">
        <v>151</v>
      </c>
    </row>
    <row r="632" spans="1:18" ht="38.25">
      <c r="A632" s="302" t="str">
        <f t="shared" si="12"/>
        <v>iso31663FormerCountryCd</v>
      </c>
      <c r="B632" s="6" t="s">
        <v>7772</v>
      </c>
      <c r="C632" s="17" t="s">
        <v>7773</v>
      </c>
      <c r="D632" s="10" t="s">
        <v>7774</v>
      </c>
      <c r="E632" s="10" t="s">
        <v>7775</v>
      </c>
      <c r="F632" s="55"/>
      <c r="G632" s="12" t="s">
        <v>4643</v>
      </c>
      <c r="H632" s="74"/>
      <c r="I632" s="147" t="str">
        <f>HYPERLINK("[#]Datatypes!B750:L750","Iso31663FormerCountryCodeList")</f>
        <v>Iso31663FormerCountryCodeList</v>
      </c>
      <c r="J632" s="80"/>
      <c r="K632" s="77"/>
      <c r="L632" s="77"/>
      <c r="M632" s="78"/>
      <c r="N632" s="74"/>
      <c r="O632" s="25">
        <v>111593</v>
      </c>
      <c r="P632" s="304" t="str">
        <f>CONCATENATE([1]Cover!$D$6,"fdd/view?i=",O632)</f>
        <v>https://www.dgiwg.org/FAD/fdd/view?i=111593</v>
      </c>
      <c r="Q632" s="8" t="s">
        <v>7771</v>
      </c>
      <c r="R632" s="38" t="s">
        <v>151</v>
      </c>
    </row>
    <row r="633" spans="1:18" ht="38.25">
      <c r="A633" s="302" t="str">
        <f t="shared" si="12"/>
        <v>isolated</v>
      </c>
      <c r="B633" s="6" t="s">
        <v>7778</v>
      </c>
      <c r="C633" s="17" t="s">
        <v>7779</v>
      </c>
      <c r="D633" s="10" t="s">
        <v>7780</v>
      </c>
      <c r="E633" s="55"/>
      <c r="F633" s="55"/>
      <c r="G633" s="12" t="s">
        <v>4643</v>
      </c>
      <c r="H633" s="74"/>
      <c r="I633" s="147" t="str">
        <f>HYPERLINK("[#]Datatypes!B230:L230","Boolean")</f>
        <v>Boolean</v>
      </c>
      <c r="J633" s="80"/>
      <c r="K633" s="77"/>
      <c r="L633" s="77"/>
      <c r="M633" s="78"/>
      <c r="N633" s="74"/>
      <c r="O633" s="25">
        <v>100980</v>
      </c>
      <c r="P633" s="304" t="str">
        <f>CONCATENATE([1]Cover!$D$6,"fdd/view?i=",O633)</f>
        <v>https://www.dgiwg.org/FAD/fdd/view?i=100980</v>
      </c>
      <c r="Q633" s="8" t="s">
        <v>7777</v>
      </c>
      <c r="R633" s="38" t="s">
        <v>151</v>
      </c>
    </row>
    <row r="634" spans="1:18" ht="25.5">
      <c r="A634" s="302" t="str">
        <f t="shared" si="12"/>
        <v>jetAircraftStartUnitType</v>
      </c>
      <c r="B634" s="6" t="s">
        <v>7782</v>
      </c>
      <c r="C634" s="17" t="s">
        <v>7783</v>
      </c>
      <c r="D634" s="10" t="s">
        <v>7784</v>
      </c>
      <c r="E634" s="10" t="s">
        <v>7785</v>
      </c>
      <c r="F634" s="55"/>
      <c r="G634" s="12" t="s">
        <v>4643</v>
      </c>
      <c r="H634" s="12" t="s">
        <v>4700</v>
      </c>
      <c r="I634" s="147" t="str">
        <f>HYPERLINK("[#]Datatypes!B752:L752","JetAircraftStartUnitTypeCode")</f>
        <v>JetAircraftStartUnitTypeCode</v>
      </c>
      <c r="J634" s="80"/>
      <c r="K634" s="77"/>
      <c r="L634" s="77"/>
      <c r="M634" s="71" t="str">
        <f>HYPERLINK("[#]DatatypeListedValues!A3953:H3953","&lt;values&gt;")</f>
        <v>&lt;values&gt;</v>
      </c>
      <c r="N634" s="82" t="b">
        <v>0</v>
      </c>
      <c r="O634" s="25">
        <v>117601</v>
      </c>
      <c r="P634" s="304" t="str">
        <f>CONCATENATE([1]Cover!$D$6,"fdd/view?i=",O634)</f>
        <v>https://www.dgiwg.org/FAD/fdd/view?i=117601</v>
      </c>
      <c r="Q634" s="8" t="s">
        <v>7781</v>
      </c>
      <c r="R634" s="38" t="s">
        <v>151</v>
      </c>
    </row>
    <row r="635" spans="1:18" ht="25.5">
      <c r="A635" s="302" t="str">
        <f t="shared" si="12"/>
        <v>jetAircraftStartUnitCount</v>
      </c>
      <c r="B635" s="6" t="s">
        <v>7788</v>
      </c>
      <c r="C635" s="17" t="s">
        <v>7789</v>
      </c>
      <c r="D635" s="10" t="s">
        <v>7790</v>
      </c>
      <c r="E635" s="55"/>
      <c r="F635" s="55"/>
      <c r="G635" s="12" t="s">
        <v>4643</v>
      </c>
      <c r="H635" s="74"/>
      <c r="I635" s="147" t="str">
        <f>HYPERLINK("[#]Datatypes!B366:L366","Count")</f>
        <v>Count</v>
      </c>
      <c r="J635" s="80"/>
      <c r="K635" s="77"/>
      <c r="L635" s="77"/>
      <c r="M635" s="78"/>
      <c r="N635" s="74"/>
      <c r="O635" s="25">
        <v>119597</v>
      </c>
      <c r="P635" s="304" t="str">
        <f>CONCATENATE([1]Cover!$D$6,"fdd/view?i=",O635)</f>
        <v>https://www.dgiwg.org/FAD/fdd/view?i=119597</v>
      </c>
      <c r="Q635" s="8" t="s">
        <v>7787</v>
      </c>
      <c r="R635" s="38" t="s">
        <v>151</v>
      </c>
    </row>
    <row r="636" spans="1:18" ht="76.5">
      <c r="A636" s="302" t="str">
        <f t="shared" si="12"/>
        <v>jogSheetNumber</v>
      </c>
      <c r="B636" s="6" t="s">
        <v>7792</v>
      </c>
      <c r="C636" s="17" t="s">
        <v>7793</v>
      </c>
      <c r="D636" s="10" t="s">
        <v>7794</v>
      </c>
      <c r="E636" s="10" t="s">
        <v>7795</v>
      </c>
      <c r="F636" s="55"/>
      <c r="G636" s="12" t="s">
        <v>4643</v>
      </c>
      <c r="H636" s="74"/>
      <c r="I636" s="147" t="str">
        <f>HYPERLINK("[#]Datatypes!B754:L754","JogSheetNumberStrucText")</f>
        <v>JogSheetNumberStrucText</v>
      </c>
      <c r="J636" s="80"/>
      <c r="K636" s="77"/>
      <c r="L636" s="77"/>
      <c r="M636" s="78"/>
      <c r="N636" s="74"/>
      <c r="O636" s="25">
        <v>200533</v>
      </c>
      <c r="P636" s="304" t="str">
        <f>CONCATENATE([1]Cover!$D$6,"fdd/view?i=",O636)</f>
        <v>https://www.dgiwg.org/FAD/fdd/view?i=200533</v>
      </c>
      <c r="Q636" s="8" t="s">
        <v>7791</v>
      </c>
      <c r="R636" s="38" t="s">
        <v>1295</v>
      </c>
    </row>
    <row r="637" spans="1:18" ht="140.25">
      <c r="A637" s="302" t="str">
        <f t="shared" si="12"/>
        <v>jointOilAnalysisProgCert</v>
      </c>
      <c r="B637" s="6" t="s">
        <v>7798</v>
      </c>
      <c r="C637" s="17" t="s">
        <v>7799</v>
      </c>
      <c r="D637" s="10" t="s">
        <v>7800</v>
      </c>
      <c r="E637" s="10" t="s">
        <v>7801</v>
      </c>
      <c r="F637" s="55"/>
      <c r="G637" s="12" t="s">
        <v>4643</v>
      </c>
      <c r="H637" s="74"/>
      <c r="I637" s="147" t="str">
        <f>HYPERLINK("[#]Datatypes!B230:L230","Boolean")</f>
        <v>Boolean</v>
      </c>
      <c r="J637" s="80"/>
      <c r="K637" s="77"/>
      <c r="L637" s="77"/>
      <c r="M637" s="78"/>
      <c r="N637" s="74"/>
      <c r="O637" s="25">
        <v>116269</v>
      </c>
      <c r="P637" s="304" t="str">
        <f>CONCATENATE([1]Cover!$D$6,"fdd/view?i=",O637)</f>
        <v>https://www.dgiwg.org/FAD/fdd/view?i=116269</v>
      </c>
      <c r="Q637" s="8" t="s">
        <v>7797</v>
      </c>
      <c r="R637" s="38" t="s">
        <v>151</v>
      </c>
    </row>
    <row r="638" spans="1:18">
      <c r="A638" s="302" t="str">
        <f t="shared" si="12"/>
        <v>keyword</v>
      </c>
      <c r="B638" s="6" t="s">
        <v>7803</v>
      </c>
      <c r="C638" s="17" t="s">
        <v>7804</v>
      </c>
      <c r="D638" s="10" t="s">
        <v>7805</v>
      </c>
      <c r="E638" s="55"/>
      <c r="F638" s="55"/>
      <c r="G638" s="12" t="s">
        <v>4643</v>
      </c>
      <c r="H638" s="74"/>
      <c r="I638" s="147" t="str">
        <f>HYPERLINK("[#]Datatypes!B1416:L1416","TextLexUnconstrained")</f>
        <v>TextLexUnconstrained</v>
      </c>
      <c r="J638" s="80"/>
      <c r="K638" s="77"/>
      <c r="L638" s="77"/>
      <c r="M638" s="78"/>
      <c r="N638" s="74"/>
      <c r="O638" s="25">
        <v>207176</v>
      </c>
      <c r="P638" s="304" t="str">
        <f>CONCATENATE([1]Cover!$D$6,"fdd/view?i=",O638)</f>
        <v>https://www.dgiwg.org/FAD/fdd/view?i=207176</v>
      </c>
      <c r="Q638" s="8" t="s">
        <v>7802</v>
      </c>
      <c r="R638" s="38" t="s">
        <v>1295</v>
      </c>
    </row>
    <row r="639" spans="1:18">
      <c r="A639" s="302" t="str">
        <f t="shared" si="12"/>
        <v>type</v>
      </c>
      <c r="B639" s="6" t="s">
        <v>7807</v>
      </c>
      <c r="C639" s="17" t="s">
        <v>7808</v>
      </c>
      <c r="D639" s="10" t="s">
        <v>7809</v>
      </c>
      <c r="E639" s="55"/>
      <c r="F639" s="55"/>
      <c r="G639" s="12" t="s">
        <v>4643</v>
      </c>
      <c r="H639" s="74"/>
      <c r="I639" s="147" t="str">
        <f>HYPERLINK("[#]Datatypes!B774:L774","MD_KeywordTypeCode")</f>
        <v>MD_KeywordTypeCode</v>
      </c>
      <c r="J639" s="80"/>
      <c r="K639" s="77"/>
      <c r="L639" s="77"/>
      <c r="M639" s="78"/>
      <c r="N639" s="74"/>
      <c r="O639" s="25">
        <v>207177</v>
      </c>
      <c r="P639" s="304" t="str">
        <f>CONCATENATE([1]Cover!$D$6,"fdd/view?i=",O639)</f>
        <v>https://www.dgiwg.org/FAD/fdd/view?i=207177</v>
      </c>
      <c r="Q639" s="8" t="s">
        <v>7806</v>
      </c>
      <c r="R639" s="38" t="s">
        <v>1295</v>
      </c>
    </row>
    <row r="640" spans="1:18" ht="25.5">
      <c r="A640" s="302" t="str">
        <f t="shared" si="12"/>
        <v>landMorphology</v>
      </c>
      <c r="B640" s="6" t="s">
        <v>7812</v>
      </c>
      <c r="C640" s="17" t="s">
        <v>7813</v>
      </c>
      <c r="D640" s="10" t="s">
        <v>7814</v>
      </c>
      <c r="E640" s="55"/>
      <c r="F640" s="55"/>
      <c r="G640" s="12" t="s">
        <v>4643</v>
      </c>
      <c r="H640" s="74"/>
      <c r="I640" s="147" t="str">
        <f>HYPERLINK("[#]Datatypes!B776:L776","LandMorphologyCode")</f>
        <v>LandMorphologyCode</v>
      </c>
      <c r="J640" s="80"/>
      <c r="K640" s="77"/>
      <c r="L640" s="77"/>
      <c r="M640" s="71" t="str">
        <f>HYPERLINK("[#]DatatypeListedValues!A4125:H4125","&lt;values&gt;")</f>
        <v>&lt;values&gt;</v>
      </c>
      <c r="N640" s="82" t="b">
        <v>0</v>
      </c>
      <c r="O640" s="25">
        <v>200472</v>
      </c>
      <c r="P640" s="304" t="str">
        <f>CONCATENATE([1]Cover!$D$6,"fdd/view?i=",O640)</f>
        <v>https://www.dgiwg.org/FAD/fdd/view?i=200472</v>
      </c>
      <c r="Q640" s="8" t="s">
        <v>7811</v>
      </c>
      <c r="R640" s="38" t="s">
        <v>1295</v>
      </c>
    </row>
    <row r="641" spans="1:18" ht="25.5">
      <c r="A641" s="302" t="str">
        <f t="shared" si="12"/>
        <v>landingDistanceAvailable</v>
      </c>
      <c r="B641" s="6" t="s">
        <v>7816</v>
      </c>
      <c r="C641" s="17" t="s">
        <v>7817</v>
      </c>
      <c r="D641" s="10" t="s">
        <v>7818</v>
      </c>
      <c r="E641" s="55"/>
      <c r="F641" s="10" t="s">
        <v>7819</v>
      </c>
      <c r="G641" s="12" t="s">
        <v>4643</v>
      </c>
      <c r="H641" s="74"/>
      <c r="I641" s="147" t="str">
        <f>HYPERLINK("[#]Datatypes!B1097:L1097","Real")</f>
        <v>Real</v>
      </c>
      <c r="J641" s="76" t="str">
        <f>HYPERLINK("[#]PhysicalQuantities!A20:N20","Length")</f>
        <v>Length</v>
      </c>
      <c r="K641" s="75" t="str">
        <f>HYPERLINK("[#]UnitsOfMeasure!D80:G80","Metre")</f>
        <v>Metre</v>
      </c>
      <c r="L641" s="77"/>
      <c r="M641" s="78"/>
      <c r="N641" s="74"/>
      <c r="O641" s="25">
        <v>117606</v>
      </c>
      <c r="P641" s="304" t="str">
        <f>CONCATENATE([1]Cover!$D$6,"fdd/view?i=",O641)</f>
        <v>https://www.dgiwg.org/FAD/fdd/view?i=117606</v>
      </c>
      <c r="Q641" s="8" t="s">
        <v>3036</v>
      </c>
      <c r="R641" s="38" t="s">
        <v>151</v>
      </c>
    </row>
    <row r="642" spans="1:18" ht="38.25">
      <c r="A642" s="302" t="str">
        <f t="shared" si="12"/>
        <v>landingDistanceAvailCopter</v>
      </c>
      <c r="B642" s="6" t="s">
        <v>7821</v>
      </c>
      <c r="C642" s="17" t="s">
        <v>7822</v>
      </c>
      <c r="D642" s="10" t="s">
        <v>7823</v>
      </c>
      <c r="E642" s="55"/>
      <c r="F642" s="10" t="s">
        <v>7824</v>
      </c>
      <c r="G642" s="12" t="s">
        <v>4643</v>
      </c>
      <c r="H642" s="74"/>
      <c r="I642" s="147" t="str">
        <f>HYPERLINK("[#]Datatypes!B1097:L1097","Real")</f>
        <v>Real</v>
      </c>
      <c r="J642" s="76" t="str">
        <f>HYPERLINK("[#]PhysicalQuantities!A20:N20","Length")</f>
        <v>Length</v>
      </c>
      <c r="K642" s="75" t="str">
        <f>HYPERLINK("[#]UnitsOfMeasure!D80:G80","Metre")</f>
        <v>Metre</v>
      </c>
      <c r="L642" s="77"/>
      <c r="M642" s="78"/>
      <c r="N642" s="74"/>
      <c r="O642" s="25">
        <v>117605</v>
      </c>
      <c r="P642" s="304" t="str">
        <f>CONCATENATE([1]Cover!$D$6,"fdd/view?i=",O642)</f>
        <v>https://www.dgiwg.org/FAD/fdd/view?i=117605</v>
      </c>
      <c r="Q642" s="8" t="s">
        <v>7820</v>
      </c>
      <c r="R642" s="38" t="s">
        <v>151</v>
      </c>
    </row>
    <row r="643" spans="1:18" ht="25.5">
      <c r="A643" s="302" t="str">
        <f t="shared" si="12"/>
        <v>landslideHazardCategory</v>
      </c>
      <c r="B643" s="6" t="s">
        <v>7826</v>
      </c>
      <c r="C643" s="17" t="s">
        <v>7827</v>
      </c>
      <c r="D643" s="10" t="s">
        <v>7828</v>
      </c>
      <c r="E643" s="55"/>
      <c r="F643" s="55"/>
      <c r="G643" s="12" t="s">
        <v>4643</v>
      </c>
      <c r="H643" s="74"/>
      <c r="I643" s="147" t="str">
        <f>HYPERLINK("[#]Datatypes!B778:L778","LandslideHazardCategoryCode")</f>
        <v>LandslideHazardCategoryCode</v>
      </c>
      <c r="J643" s="80"/>
      <c r="K643" s="77"/>
      <c r="L643" s="77"/>
      <c r="M643" s="71" t="str">
        <f>HYPERLINK("[#]DatatypeListedValues!A4188:H4188","&lt;values&gt;")</f>
        <v>&lt;values&gt;</v>
      </c>
      <c r="N643" s="82" t="b">
        <v>0</v>
      </c>
      <c r="O643" s="25">
        <v>118608</v>
      </c>
      <c r="P643" s="304" t="str">
        <f>CONCATENATE([1]Cover!$D$6,"fdd/view?i=",O643)</f>
        <v>https://www.dgiwg.org/FAD/fdd/view?i=118608</v>
      </c>
      <c r="Q643" s="8" t="s">
        <v>7825</v>
      </c>
      <c r="R643" s="38" t="s">
        <v>151</v>
      </c>
    </row>
    <row r="644" spans="1:18" ht="25.5">
      <c r="A644" s="302" t="str">
        <f t="shared" ref="A644:A707" si="13">HYPERLINK(P644,B644)</f>
        <v>landTied</v>
      </c>
      <c r="B644" s="6" t="s">
        <v>7831</v>
      </c>
      <c r="C644" s="17" t="s">
        <v>7832</v>
      </c>
      <c r="D644" s="10" t="s">
        <v>7833</v>
      </c>
      <c r="E644" s="10" t="s">
        <v>7834</v>
      </c>
      <c r="F644" s="55"/>
      <c r="G644" s="12" t="s">
        <v>4643</v>
      </c>
      <c r="H644" s="74"/>
      <c r="I644" s="147" t="str">
        <f>HYPERLINK("[#]Datatypes!B230:L230","Boolean")</f>
        <v>Boolean</v>
      </c>
      <c r="J644" s="80"/>
      <c r="K644" s="77"/>
      <c r="L644" s="77"/>
      <c r="M644" s="78"/>
      <c r="N644" s="74"/>
      <c r="O644" s="25">
        <v>111623</v>
      </c>
      <c r="P644" s="304" t="str">
        <f>CONCATENATE([1]Cover!$D$6,"fdd/view?i=",O644)</f>
        <v>https://www.dgiwg.org/FAD/fdd/view?i=111623</v>
      </c>
      <c r="Q644" s="8" t="s">
        <v>7830</v>
      </c>
      <c r="R644" s="38" t="s">
        <v>151</v>
      </c>
    </row>
    <row r="645" spans="1:18">
      <c r="A645" s="302" t="str">
        <f t="shared" si="13"/>
        <v>language</v>
      </c>
      <c r="B645" s="6" t="s">
        <v>7836</v>
      </c>
      <c r="C645" s="17" t="s">
        <v>7837</v>
      </c>
      <c r="D645" s="10" t="s">
        <v>7838</v>
      </c>
      <c r="E645" s="55"/>
      <c r="F645" s="55"/>
      <c r="G645" s="12" t="s">
        <v>4643</v>
      </c>
      <c r="H645" s="74"/>
      <c r="I645" s="147" t="str">
        <f>HYPERLINK("[#]Datatypes!B1416:L1416","TextLexUnconstrained")</f>
        <v>TextLexUnconstrained</v>
      </c>
      <c r="J645" s="80"/>
      <c r="K645" s="77"/>
      <c r="L645" s="77"/>
      <c r="M645" s="78"/>
      <c r="N645" s="74"/>
      <c r="O645" s="25">
        <v>207172</v>
      </c>
      <c r="P645" s="304" t="str">
        <f>CONCATENATE([1]Cover!$D$6,"fdd/view?i=",O645)</f>
        <v>https://www.dgiwg.org/FAD/fdd/view?i=207172</v>
      </c>
      <c r="Q645" s="8" t="s">
        <v>7835</v>
      </c>
      <c r="R645" s="38" t="s">
        <v>151</v>
      </c>
    </row>
    <row r="646" spans="1:18" ht="140.25">
      <c r="A646" s="302" t="str">
        <f t="shared" si="13"/>
        <v>languageCode</v>
      </c>
      <c r="B646" s="6" t="s">
        <v>7840</v>
      </c>
      <c r="C646" s="17" t="s">
        <v>7841</v>
      </c>
      <c r="D646" s="10" t="s">
        <v>7842</v>
      </c>
      <c r="E646" s="10" t="s">
        <v>7843</v>
      </c>
      <c r="F646" s="55"/>
      <c r="G646" s="12" t="s">
        <v>4643</v>
      </c>
      <c r="H646" s="74"/>
      <c r="I646" s="147" t="str">
        <f>HYPERLINK("[#]Datatypes!B784:L784","LanguageStrucText")</f>
        <v>LanguageStrucText</v>
      </c>
      <c r="J646" s="80"/>
      <c r="K646" s="77"/>
      <c r="L646" s="77"/>
      <c r="M646" s="78"/>
      <c r="N646" s="74"/>
      <c r="O646" s="25">
        <v>111610</v>
      </c>
      <c r="P646" s="304" t="str">
        <f>CONCATENATE([1]Cover!$D$6,"fdd/view?i=",O646)</f>
        <v>https://www.dgiwg.org/FAD/fdd/view?i=111610</v>
      </c>
      <c r="Q646" s="8" t="s">
        <v>7839</v>
      </c>
      <c r="R646" s="38" t="s">
        <v>151</v>
      </c>
    </row>
    <row r="647" spans="1:18" ht="38.25">
      <c r="A647" s="302" t="str">
        <f t="shared" si="13"/>
        <v>languageDialectCode</v>
      </c>
      <c r="B647" s="6" t="s">
        <v>7846</v>
      </c>
      <c r="C647" s="17" t="s">
        <v>7847</v>
      </c>
      <c r="D647" s="10" t="s">
        <v>7848</v>
      </c>
      <c r="E647" s="10" t="s">
        <v>7849</v>
      </c>
      <c r="F647" s="55"/>
      <c r="G647" s="12" t="s">
        <v>4643</v>
      </c>
      <c r="H647" s="74"/>
      <c r="I647" s="147" t="str">
        <f>HYPERLINK("[#]Datatypes!B782:L782","LanguageDialectStrucText")</f>
        <v>LanguageDialectStrucText</v>
      </c>
      <c r="J647" s="80"/>
      <c r="K647" s="77"/>
      <c r="L647" s="77"/>
      <c r="M647" s="78"/>
      <c r="N647" s="74"/>
      <c r="O647" s="25">
        <v>111609</v>
      </c>
      <c r="P647" s="304" t="str">
        <f>CONCATENATE([1]Cover!$D$6,"fdd/view?i=",O647)</f>
        <v>https://www.dgiwg.org/FAD/fdd/view?i=111609</v>
      </c>
      <c r="Q647" s="8" t="s">
        <v>7845</v>
      </c>
      <c r="R647" s="38" t="s">
        <v>151</v>
      </c>
    </row>
    <row r="648" spans="1:18" ht="25.5">
      <c r="A648" s="302" t="str">
        <f t="shared" si="13"/>
        <v>lastDetectionDateTime</v>
      </c>
      <c r="B648" s="6" t="s">
        <v>7852</v>
      </c>
      <c r="C648" s="17" t="s">
        <v>7853</v>
      </c>
      <c r="D648" s="10" t="s">
        <v>7854</v>
      </c>
      <c r="E648" s="55"/>
      <c r="F648" s="55"/>
      <c r="G648" s="12" t="s">
        <v>4643</v>
      </c>
      <c r="H648" s="74"/>
      <c r="I648" s="147" t="str">
        <f>HYPERLINK("[#]Datatypes!B786:L786","LastDetectionDateTimeStrucText")</f>
        <v>LastDetectionDateTimeStrucText</v>
      </c>
      <c r="J648" s="80"/>
      <c r="K648" s="77"/>
      <c r="L648" s="77"/>
      <c r="M648" s="78"/>
      <c r="N648" s="74"/>
      <c r="O648" s="25">
        <v>117791</v>
      </c>
      <c r="P648" s="304" t="str">
        <f>CONCATENATE([1]Cover!$D$6,"fdd/view?i=",O648)</f>
        <v>https://www.dgiwg.org/FAD/fdd/view?i=117791</v>
      </c>
      <c r="Q648" s="8" t="s">
        <v>7851</v>
      </c>
      <c r="R648" s="38" t="s">
        <v>151</v>
      </c>
    </row>
    <row r="649" spans="1:18" ht="38.25">
      <c r="A649" s="302" t="str">
        <f t="shared" si="13"/>
        <v>lastRecordedEruptDateTime</v>
      </c>
      <c r="B649" s="6" t="s">
        <v>7857</v>
      </c>
      <c r="C649" s="17" t="s">
        <v>7858</v>
      </c>
      <c r="D649" s="10" t="s">
        <v>7859</v>
      </c>
      <c r="E649" s="55"/>
      <c r="F649" s="55"/>
      <c r="G649" s="12" t="s">
        <v>4643</v>
      </c>
      <c r="H649" s="74"/>
      <c r="I649" s="147" t="str">
        <f>HYPERLINK("[#]Datatypes!B788:L788","LastRecordedEruptDateTimeStrucText")</f>
        <v>LastRecordedEruptDateTimeStrucText</v>
      </c>
      <c r="J649" s="80"/>
      <c r="K649" s="77"/>
      <c r="L649" s="77"/>
      <c r="M649" s="78"/>
      <c r="N649" s="74"/>
      <c r="O649" s="25">
        <v>114226</v>
      </c>
      <c r="P649" s="304" t="str">
        <f>CONCATENATE([1]Cover!$D$6,"fdd/view?i=",O649)</f>
        <v>https://www.dgiwg.org/FAD/fdd/view?i=114226</v>
      </c>
      <c r="Q649" s="8" t="s">
        <v>7856</v>
      </c>
      <c r="R649" s="38" t="s">
        <v>1295</v>
      </c>
    </row>
    <row r="650" spans="1:18" ht="38.25">
      <c r="A650" s="302" t="str">
        <f t="shared" si="13"/>
        <v>leadRadial</v>
      </c>
      <c r="B650" s="6" t="s">
        <v>7862</v>
      </c>
      <c r="C650" s="17" t="s">
        <v>7863</v>
      </c>
      <c r="D650" s="10" t="s">
        <v>7864</v>
      </c>
      <c r="E650" s="55"/>
      <c r="F650" s="55"/>
      <c r="G650" s="12" t="s">
        <v>4643</v>
      </c>
      <c r="H650" s="74"/>
      <c r="I650" s="147" t="str">
        <f>HYPERLINK("[#]Datatypes!B1097:L1097","Real")</f>
        <v>Real</v>
      </c>
      <c r="J650" s="76" t="str">
        <f>HYPERLINK("[#]PhysicalQuantities!A34:N34","Plane Angle")</f>
        <v>Plane Angle</v>
      </c>
      <c r="K650" s="75" t="str">
        <f>HYPERLINK("[#]UnitsOfMeasure!D159:G159","Arc Degree")</f>
        <v>Arc Degree</v>
      </c>
      <c r="L650" s="77"/>
      <c r="M650" s="78"/>
      <c r="N650" s="74"/>
      <c r="O650" s="25">
        <v>117609</v>
      </c>
      <c r="P650" s="304" t="str">
        <f>CONCATENATE([1]Cover!$D$6,"fdd/view?i=",O650)</f>
        <v>https://www.dgiwg.org/FAD/fdd/view?i=117609</v>
      </c>
      <c r="Q650" s="8" t="s">
        <v>7861</v>
      </c>
      <c r="R650" s="38" t="s">
        <v>151</v>
      </c>
    </row>
    <row r="651" spans="1:18" ht="89.25">
      <c r="A651" s="302" t="str">
        <f t="shared" si="13"/>
        <v>leastDepthBelowSurfLevel</v>
      </c>
      <c r="B651" s="6" t="s">
        <v>7866</v>
      </c>
      <c r="C651" s="17" t="s">
        <v>7867</v>
      </c>
      <c r="D651" s="10" t="s">
        <v>7868</v>
      </c>
      <c r="E651" s="10" t="s">
        <v>7869</v>
      </c>
      <c r="F651" s="55"/>
      <c r="G651" s="12" t="s">
        <v>4643</v>
      </c>
      <c r="H651" s="74"/>
      <c r="I651" s="147" t="str">
        <f>HYPERLINK("[#]Datatypes!B1097:L1097","Real")</f>
        <v>Real</v>
      </c>
      <c r="J651" s="76" t="str">
        <f>HYPERLINK("[#]PhysicalQuantities!A20:N20","Length")</f>
        <v>Length</v>
      </c>
      <c r="K651" s="75" t="str">
        <f>HYPERLINK("[#]UnitsOfMeasure!D80:G80","Metre")</f>
        <v>Metre</v>
      </c>
      <c r="L651" s="77"/>
      <c r="M651" s="78"/>
      <c r="N651" s="74"/>
      <c r="O651" s="25">
        <v>119161</v>
      </c>
      <c r="P651" s="304" t="str">
        <f>CONCATENATE([1]Cover!$D$6,"fdd/view?i=",O651)</f>
        <v>https://www.dgiwg.org/FAD/fdd/view?i=119161</v>
      </c>
      <c r="Q651" s="8" t="s">
        <v>7865</v>
      </c>
      <c r="R651" s="38" t="s">
        <v>151</v>
      </c>
    </row>
    <row r="652" spans="1:18" ht="51">
      <c r="A652" s="302" t="str">
        <f t="shared" si="13"/>
        <v>leftBelowWaterBankSlope</v>
      </c>
      <c r="B652" s="6" t="s">
        <v>7871</v>
      </c>
      <c r="C652" s="17" t="s">
        <v>7872</v>
      </c>
      <c r="D652" s="10" t="s">
        <v>7873</v>
      </c>
      <c r="E652" s="10" t="s">
        <v>7874</v>
      </c>
      <c r="F652" s="55"/>
      <c r="G652" s="12" t="s">
        <v>4643</v>
      </c>
      <c r="H652" s="74"/>
      <c r="I652" s="147" t="str">
        <f>HYPERLINK("[#]Datatypes!B1099:L1099","RealInterval")</f>
        <v>RealInterval</v>
      </c>
      <c r="J652" s="76" t="str">
        <f>HYPERLINK("[#]PhysicalQuantities!A39:N39","Pure Number")</f>
        <v>Pure Number</v>
      </c>
      <c r="K652" s="75" t="str">
        <f>HYPERLINK("[#]UnitsOfMeasure!D215:G215","Percent")</f>
        <v>Percent</v>
      </c>
      <c r="L652" s="77"/>
      <c r="M652" s="78"/>
      <c r="N652" s="74"/>
      <c r="O652" s="25">
        <v>110685</v>
      </c>
      <c r="P652" s="304" t="str">
        <f>CONCATENATE([1]Cover!$D$6,"fdd/view?i=",O652)</f>
        <v>https://www.dgiwg.org/FAD/fdd/view?i=110685</v>
      </c>
      <c r="Q652" s="8" t="s">
        <v>7870</v>
      </c>
      <c r="R652" s="38" t="s">
        <v>151</v>
      </c>
    </row>
    <row r="653" spans="1:18" ht="25.5">
      <c r="A653" s="302" t="str">
        <f t="shared" si="13"/>
        <v>legSeparation</v>
      </c>
      <c r="B653" s="6" t="s">
        <v>7876</v>
      </c>
      <c r="C653" s="17" t="s">
        <v>7877</v>
      </c>
      <c r="D653" s="10" t="s">
        <v>7878</v>
      </c>
      <c r="E653" s="55"/>
      <c r="F653" s="55"/>
      <c r="G653" s="12" t="s">
        <v>4643</v>
      </c>
      <c r="H653" s="74"/>
      <c r="I653" s="147" t="str">
        <f>HYPERLINK("[#]Datatypes!B1097:L1097","Real")</f>
        <v>Real</v>
      </c>
      <c r="J653" s="76" t="str">
        <f>HYPERLINK("[#]PhysicalQuantities!A20:N20","Length")</f>
        <v>Length</v>
      </c>
      <c r="K653" s="75" t="str">
        <f>HYPERLINK("[#]UnitsOfMeasure!D94:G94","Nautical Mile")</f>
        <v>Nautical Mile</v>
      </c>
      <c r="L653" s="77"/>
      <c r="M653" s="78"/>
      <c r="N653" s="74"/>
      <c r="O653" s="25">
        <v>117610</v>
      </c>
      <c r="P653" s="304" t="str">
        <f>CONCATENATE([1]Cover!$D$6,"fdd/view?i=",O653)</f>
        <v>https://www.dgiwg.org/FAD/fdd/view?i=117610</v>
      </c>
      <c r="Q653" s="8" t="s">
        <v>7875</v>
      </c>
      <c r="R653" s="38" t="s">
        <v>151</v>
      </c>
    </row>
    <row r="654" spans="1:18" ht="127.5">
      <c r="A654" s="302" t="str">
        <f t="shared" si="13"/>
        <v>length</v>
      </c>
      <c r="B654" s="6" t="s">
        <v>206</v>
      </c>
      <c r="C654" s="17" t="s">
        <v>40</v>
      </c>
      <c r="D654" s="10" t="s">
        <v>7880</v>
      </c>
      <c r="E654" s="10" t="s">
        <v>7881</v>
      </c>
      <c r="F654" s="55"/>
      <c r="G654" s="12" t="s">
        <v>4643</v>
      </c>
      <c r="H654" s="74"/>
      <c r="I654" s="147" t="str">
        <f>HYPERLINK("[#]Datatypes!B1099:L1099","RealInterval")</f>
        <v>RealInterval</v>
      </c>
      <c r="J654" s="76" t="str">
        <f>HYPERLINK("[#]PhysicalQuantities!A20:N20","Length")</f>
        <v>Length</v>
      </c>
      <c r="K654" s="75" t="str">
        <f>HYPERLINK("[#]UnitsOfMeasure!D80:G80","Metre")</f>
        <v>Metre</v>
      </c>
      <c r="L654" s="77"/>
      <c r="M654" s="78"/>
      <c r="N654" s="74"/>
      <c r="O654" s="25">
        <v>119156</v>
      </c>
      <c r="P654" s="304" t="str">
        <f>CONCATENATE([1]Cover!$D$6,"fdd/view?i=",O654)</f>
        <v>https://www.dgiwg.org/FAD/fdd/view?i=119156</v>
      </c>
      <c r="Q654" s="8" t="s">
        <v>7879</v>
      </c>
      <c r="R654" s="38" t="s">
        <v>151</v>
      </c>
    </row>
    <row r="655" spans="1:18">
      <c r="A655" s="302" t="str">
        <f t="shared" si="13"/>
        <v>lengthOfRange</v>
      </c>
      <c r="B655" s="6" t="s">
        <v>7883</v>
      </c>
      <c r="C655" s="17" t="s">
        <v>7884</v>
      </c>
      <c r="D655" s="10" t="s">
        <v>7885</v>
      </c>
      <c r="E655" s="55"/>
      <c r="F655" s="55"/>
      <c r="G655" s="12" t="s">
        <v>4643</v>
      </c>
      <c r="H655" s="74"/>
      <c r="I655" s="147" t="str">
        <f>HYPERLINK("[#]Datatypes!B1097:L1097","Real")</f>
        <v>Real</v>
      </c>
      <c r="J655" s="76" t="str">
        <f>HYPERLINK("[#]PhysicalQuantities!A20:N20","Length")</f>
        <v>Length</v>
      </c>
      <c r="K655" s="75" t="str">
        <f>HYPERLINK("[#]UnitsOfMeasure!D94:G94","Nautical Mile")</f>
        <v>Nautical Mile</v>
      </c>
      <c r="L655" s="77"/>
      <c r="M655" s="78"/>
      <c r="N655" s="74"/>
      <c r="O655" s="25">
        <v>203179</v>
      </c>
      <c r="P655" s="304" t="str">
        <f>CONCATENATE([1]Cover!$D$6,"fdd/view?i=",O655)</f>
        <v>https://www.dgiwg.org/FAD/fdd/view?i=203179</v>
      </c>
      <c r="Q655" s="8" t="s">
        <v>7882</v>
      </c>
      <c r="R655" s="38" t="s">
        <v>1295</v>
      </c>
    </row>
    <row r="656" spans="1:18" ht="25.5">
      <c r="A656" s="302" t="str">
        <f t="shared" si="13"/>
        <v>liftingCapacity</v>
      </c>
      <c r="B656" s="6" t="s">
        <v>7887</v>
      </c>
      <c r="C656" s="17" t="s">
        <v>7888</v>
      </c>
      <c r="D656" s="10" t="s">
        <v>7889</v>
      </c>
      <c r="E656" s="55"/>
      <c r="F656" s="55"/>
      <c r="G656" s="12" t="s">
        <v>4643</v>
      </c>
      <c r="H656" s="74"/>
      <c r="I656" s="147" t="str">
        <f>HYPERLINK("[#]Datatypes!B958:L958","RealNonNegative")</f>
        <v>RealNonNegative</v>
      </c>
      <c r="J656" s="76" t="str">
        <f>HYPERLINK("[#]PhysicalQuantities!A28:N28","Mass")</f>
        <v>Mass</v>
      </c>
      <c r="K656" s="75" t="str">
        <f>HYPERLINK("[#]UnitsOfMeasure!D126:G126","Tonne")</f>
        <v>Tonne</v>
      </c>
      <c r="L656" s="77"/>
      <c r="M656" s="78"/>
      <c r="N656" s="74"/>
      <c r="O656" s="25">
        <v>117790</v>
      </c>
      <c r="P656" s="304" t="str">
        <f>CONCATENATE([1]Cover!$D$6,"fdd/view?i=",O656)</f>
        <v>https://www.dgiwg.org/FAD/fdd/view?i=117790</v>
      </c>
      <c r="Q656" s="8" t="s">
        <v>7886</v>
      </c>
      <c r="R656" s="38" t="s">
        <v>151</v>
      </c>
    </row>
    <row r="657" spans="1:18" ht="25.5">
      <c r="A657" s="302" t="str">
        <f t="shared" si="13"/>
        <v>lightCharacteristicNumber</v>
      </c>
      <c r="B657" s="6" t="s">
        <v>7891</v>
      </c>
      <c r="C657" s="17" t="s">
        <v>7892</v>
      </c>
      <c r="D657" s="10" t="s">
        <v>7893</v>
      </c>
      <c r="E657" s="55"/>
      <c r="F657" s="55"/>
      <c r="G657" s="12" t="s">
        <v>4643</v>
      </c>
      <c r="H657" s="74"/>
      <c r="I657" s="147" t="str">
        <f>HYPERLINK("[#]Datatypes!B366:L366","Count")</f>
        <v>Count</v>
      </c>
      <c r="J657" s="80"/>
      <c r="K657" s="77"/>
      <c r="L657" s="77"/>
      <c r="M657" s="78"/>
      <c r="N657" s="74"/>
      <c r="O657" s="25">
        <v>119190</v>
      </c>
      <c r="P657" s="304" t="str">
        <f>CONCATENATE([1]Cover!$D$6,"fdd/view?i=",O657)</f>
        <v>https://www.dgiwg.org/FAD/fdd/view?i=119190</v>
      </c>
      <c r="Q657" s="8" t="s">
        <v>7890</v>
      </c>
      <c r="R657" s="38" t="s">
        <v>151</v>
      </c>
    </row>
    <row r="658" spans="1:18" ht="38.25">
      <c r="A658" s="302" t="str">
        <f t="shared" si="13"/>
        <v>lightElevation</v>
      </c>
      <c r="B658" s="6" t="s">
        <v>7895</v>
      </c>
      <c r="C658" s="17" t="s">
        <v>7896</v>
      </c>
      <c r="D658" s="10" t="s">
        <v>7897</v>
      </c>
      <c r="E658" s="10" t="s">
        <v>7898</v>
      </c>
      <c r="F658" s="55"/>
      <c r="G658" s="12" t="s">
        <v>4643</v>
      </c>
      <c r="H658" s="74"/>
      <c r="I658" s="147" t="str">
        <f>HYPERLINK("[#]Datatypes!B958:L958","RealNonNegative")</f>
        <v>RealNonNegative</v>
      </c>
      <c r="J658" s="76" t="str">
        <f>HYPERLINK("[#]PhysicalQuantities!A20:N20","Length")</f>
        <v>Length</v>
      </c>
      <c r="K658" s="75" t="str">
        <f>HYPERLINK("[#]UnitsOfMeasure!D80:G80","Metre")</f>
        <v>Metre</v>
      </c>
      <c r="L658" s="77"/>
      <c r="M658" s="78"/>
      <c r="N658" s="74"/>
      <c r="O658" s="25">
        <v>110821</v>
      </c>
      <c r="P658" s="304" t="str">
        <f>CONCATENATE([1]Cover!$D$6,"fdd/view?i=",O658)</f>
        <v>https://www.dgiwg.org/FAD/fdd/view?i=110821</v>
      </c>
      <c r="Q658" s="8" t="s">
        <v>7894</v>
      </c>
      <c r="R658" s="38" t="s">
        <v>151</v>
      </c>
    </row>
    <row r="659" spans="1:18" ht="25.5">
      <c r="A659" s="302" t="str">
        <f t="shared" si="13"/>
        <v>lightSectorAngle</v>
      </c>
      <c r="B659" s="6" t="s">
        <v>7900</v>
      </c>
      <c r="C659" s="17" t="s">
        <v>7901</v>
      </c>
      <c r="D659" s="10" t="s">
        <v>7902</v>
      </c>
      <c r="E659" s="10" t="s">
        <v>7903</v>
      </c>
      <c r="F659" s="55"/>
      <c r="G659" s="12" t="s">
        <v>4643</v>
      </c>
      <c r="H659" s="74"/>
      <c r="I659" s="147" t="str">
        <f>HYPERLINK("[#]Datatypes!B724:L724","Integer0to359")</f>
        <v>Integer0to359</v>
      </c>
      <c r="J659" s="76" t="str">
        <f>HYPERLINK("[#]PhysicalQuantities!A34:N34","Plane Angle")</f>
        <v>Plane Angle</v>
      </c>
      <c r="K659" s="75" t="str">
        <f>HYPERLINK("[#]UnitsOfMeasure!D159:G159","Arc Degree")</f>
        <v>Arc Degree</v>
      </c>
      <c r="L659" s="77"/>
      <c r="M659" s="78"/>
      <c r="N659" s="74"/>
      <c r="O659" s="25">
        <v>101011</v>
      </c>
      <c r="P659" s="304" t="str">
        <f>CONCATENATE([1]Cover!$D$6,"fdd/view?i=",O659)</f>
        <v>https://www.dgiwg.org/FAD/fdd/view?i=101011</v>
      </c>
      <c r="Q659" s="8" t="s">
        <v>7899</v>
      </c>
      <c r="R659" s="38" t="s">
        <v>151</v>
      </c>
    </row>
    <row r="660" spans="1:18" ht="38.25">
      <c r="A660" s="302" t="str">
        <f t="shared" si="13"/>
        <v>lightSectorInitialLimit</v>
      </c>
      <c r="B660" s="6" t="s">
        <v>7905</v>
      </c>
      <c r="C660" s="17" t="s">
        <v>7906</v>
      </c>
      <c r="D660" s="10" t="s">
        <v>7907</v>
      </c>
      <c r="E660" s="10" t="s">
        <v>7908</v>
      </c>
      <c r="F660" s="55"/>
      <c r="G660" s="12" t="s">
        <v>4643</v>
      </c>
      <c r="H660" s="74"/>
      <c r="I660" s="147" t="str">
        <f>HYPERLINK("[#]Datatypes!B724:L724","Integer0to359")</f>
        <v>Integer0to359</v>
      </c>
      <c r="J660" s="76" t="str">
        <f>HYPERLINK("[#]PhysicalQuantities!A34:N34","Plane Angle")</f>
        <v>Plane Angle</v>
      </c>
      <c r="K660" s="75" t="str">
        <f>HYPERLINK("[#]UnitsOfMeasure!D159:G159","Arc Degree")</f>
        <v>Arc Degree</v>
      </c>
      <c r="L660" s="77"/>
      <c r="M660" s="78"/>
      <c r="N660" s="74"/>
      <c r="O660" s="25">
        <v>101012</v>
      </c>
      <c r="P660" s="304" t="str">
        <f>CONCATENATE([1]Cover!$D$6,"fdd/view?i=",O660)</f>
        <v>https://www.dgiwg.org/FAD/fdd/view?i=101012</v>
      </c>
      <c r="Q660" s="8" t="s">
        <v>7904</v>
      </c>
      <c r="R660" s="38" t="s">
        <v>151</v>
      </c>
    </row>
    <row r="661" spans="1:18" ht="38.25">
      <c r="A661" s="302" t="str">
        <f t="shared" si="13"/>
        <v>lightSectorTerminalLimit</v>
      </c>
      <c r="B661" s="6" t="s">
        <v>7910</v>
      </c>
      <c r="C661" s="17" t="s">
        <v>7911</v>
      </c>
      <c r="D661" s="10" t="s">
        <v>7912</v>
      </c>
      <c r="E661" s="10" t="s">
        <v>7908</v>
      </c>
      <c r="F661" s="55"/>
      <c r="G661" s="12" t="s">
        <v>4643</v>
      </c>
      <c r="H661" s="74"/>
      <c r="I661" s="147" t="str">
        <f>HYPERLINK("[#]Datatypes!B724:L724","Integer0to359")</f>
        <v>Integer0to359</v>
      </c>
      <c r="J661" s="76" t="str">
        <f>HYPERLINK("[#]PhysicalQuantities!A34:N34","Plane Angle")</f>
        <v>Plane Angle</v>
      </c>
      <c r="K661" s="75" t="str">
        <f>HYPERLINK("[#]UnitsOfMeasure!D159:G159","Arc Degree")</f>
        <v>Arc Degree</v>
      </c>
      <c r="L661" s="77"/>
      <c r="M661" s="78"/>
      <c r="N661" s="74"/>
      <c r="O661" s="25">
        <v>101014</v>
      </c>
      <c r="P661" s="304" t="str">
        <f>CONCATENATE([1]Cover!$D$6,"fdd/view?i=",O661)</f>
        <v>https://www.dgiwg.org/FAD/fdd/view?i=101014</v>
      </c>
      <c r="Q661" s="8" t="s">
        <v>7909</v>
      </c>
      <c r="R661" s="38" t="s">
        <v>151</v>
      </c>
    </row>
    <row r="662" spans="1:18">
      <c r="A662" s="302" t="str">
        <f t="shared" si="13"/>
        <v>lightSystemIntensity</v>
      </c>
      <c r="B662" s="6" t="s">
        <v>7914</v>
      </c>
      <c r="C662" s="17" t="s">
        <v>7915</v>
      </c>
      <c r="D662" s="10" t="s">
        <v>7916</v>
      </c>
      <c r="E662" s="10" t="s">
        <v>7917</v>
      </c>
      <c r="F662" s="55"/>
      <c r="G662" s="12" t="s">
        <v>4643</v>
      </c>
      <c r="H662" s="74"/>
      <c r="I662" s="147" t="str">
        <f>HYPERLINK("[#]Datatypes!B790:L790","LightSystemIntensityCode")</f>
        <v>LightSystemIntensityCode</v>
      </c>
      <c r="J662" s="80"/>
      <c r="K662" s="77"/>
      <c r="L662" s="77"/>
      <c r="M662" s="71" t="str">
        <f>HYPERLINK("[#]DatatypeListedValues!A4194:H4194","&lt;values&gt;")</f>
        <v>&lt;values&gt;</v>
      </c>
      <c r="N662" s="82" t="b">
        <v>0</v>
      </c>
      <c r="O662" s="25">
        <v>117607</v>
      </c>
      <c r="P662" s="304" t="str">
        <f>CONCATENATE([1]Cover!$D$6,"fdd/view?i=",O662)</f>
        <v>https://www.dgiwg.org/FAD/fdd/view?i=117607</v>
      </c>
      <c r="Q662" s="8" t="s">
        <v>7913</v>
      </c>
      <c r="R662" s="38" t="s">
        <v>151</v>
      </c>
    </row>
    <row r="663" spans="1:18" ht="25.5">
      <c r="A663" s="302" t="str">
        <f t="shared" si="13"/>
        <v>lightSystemIntVariable</v>
      </c>
      <c r="B663" s="6" t="s">
        <v>7920</v>
      </c>
      <c r="C663" s="17" t="s">
        <v>7921</v>
      </c>
      <c r="D663" s="10" t="s">
        <v>7922</v>
      </c>
      <c r="E663" s="10" t="s">
        <v>7923</v>
      </c>
      <c r="F663" s="55"/>
      <c r="G663" s="12" t="s">
        <v>4643</v>
      </c>
      <c r="H663" s="74"/>
      <c r="I663" s="147" t="str">
        <f>HYPERLINK("[#]Datatypes!B792:L792","LightSystemIntVariableCode")</f>
        <v>LightSystemIntVariableCode</v>
      </c>
      <c r="J663" s="80"/>
      <c r="K663" s="77"/>
      <c r="L663" s="77"/>
      <c r="M663" s="71" t="str">
        <f>HYPERLINK("[#]DatatypeListedValues!A4197:H4197","&lt;values&gt;")</f>
        <v>&lt;values&gt;</v>
      </c>
      <c r="N663" s="82" t="b">
        <v>0</v>
      </c>
      <c r="O663" s="25">
        <v>117608</v>
      </c>
      <c r="P663" s="304" t="str">
        <f>CONCATENATE([1]Cover!$D$6,"fdd/view?i=",O663)</f>
        <v>https://www.dgiwg.org/FAD/fdd/view?i=117608</v>
      </c>
      <c r="Q663" s="8" t="s">
        <v>7919</v>
      </c>
      <c r="R663" s="38" t="s">
        <v>151</v>
      </c>
    </row>
    <row r="664" spans="1:18" ht="25.5">
      <c r="A664" s="302" t="str">
        <f t="shared" si="13"/>
        <v>lightVisibility</v>
      </c>
      <c r="B664" s="6" t="s">
        <v>7926</v>
      </c>
      <c r="C664" s="17" t="s">
        <v>7927</v>
      </c>
      <c r="D664" s="10" t="s">
        <v>7928</v>
      </c>
      <c r="E664" s="55"/>
      <c r="F664" s="55"/>
      <c r="G664" s="12" t="s">
        <v>4643</v>
      </c>
      <c r="H664" s="12" t="s">
        <v>4700</v>
      </c>
      <c r="I664" s="147" t="str">
        <f>HYPERLINK("[#]Datatypes!B794:L794","LightVisibilityCode")</f>
        <v>LightVisibilityCode</v>
      </c>
      <c r="J664" s="80"/>
      <c r="K664" s="77"/>
      <c r="L664" s="77"/>
      <c r="M664" s="71" t="str">
        <f>HYPERLINK("[#]DatatypeListedValues!A4199:H4199","&lt;values&gt;")</f>
        <v>&lt;values&gt;</v>
      </c>
      <c r="N664" s="82" t="b">
        <v>0</v>
      </c>
      <c r="O664" s="25">
        <v>101454</v>
      </c>
      <c r="P664" s="304" t="str">
        <f>CONCATENATE([1]Cover!$D$6,"fdd/view?i=",O664)</f>
        <v>https://www.dgiwg.org/FAD/fdd/view?i=101454</v>
      </c>
      <c r="Q664" s="8" t="s">
        <v>7925</v>
      </c>
      <c r="R664" s="38" t="s">
        <v>151</v>
      </c>
    </row>
    <row r="665" spans="1:18" ht="25.5">
      <c r="A665" s="302" t="str">
        <f t="shared" si="13"/>
        <v>lightedWindIndicPresent</v>
      </c>
      <c r="B665" s="6" t="s">
        <v>7931</v>
      </c>
      <c r="C665" s="17" t="s">
        <v>7932</v>
      </c>
      <c r="D665" s="10" t="s">
        <v>7933</v>
      </c>
      <c r="E665" s="55"/>
      <c r="F665" s="55"/>
      <c r="G665" s="12" t="s">
        <v>4643</v>
      </c>
      <c r="H665" s="74"/>
      <c r="I665" s="147" t="str">
        <f>HYPERLINK("[#]Datatypes!B230:L230","Boolean")</f>
        <v>Boolean</v>
      </c>
      <c r="J665" s="80"/>
      <c r="K665" s="77"/>
      <c r="L665" s="77"/>
      <c r="M665" s="78"/>
      <c r="N665" s="74"/>
      <c r="O665" s="25">
        <v>101020</v>
      </c>
      <c r="P665" s="304" t="str">
        <f>CONCATENATE([1]Cover!$D$6,"fdd/view?i=",O665)</f>
        <v>https://www.dgiwg.org/FAD/fdd/view?i=101020</v>
      </c>
      <c r="Q665" s="8" t="s">
        <v>7930</v>
      </c>
      <c r="R665" s="38" t="s">
        <v>151</v>
      </c>
    </row>
    <row r="666" spans="1:18" ht="38.25">
      <c r="A666" s="302" t="str">
        <f t="shared" si="13"/>
        <v>limitOfAnchorsChains</v>
      </c>
      <c r="B666" s="6" t="s">
        <v>7935</v>
      </c>
      <c r="C666" s="17" t="s">
        <v>7936</v>
      </c>
      <c r="D666" s="10" t="s">
        <v>7937</v>
      </c>
      <c r="E666" s="55"/>
      <c r="F666" s="55"/>
      <c r="G666" s="12" t="s">
        <v>4643</v>
      </c>
      <c r="H666" s="74"/>
      <c r="I666" s="147" t="str">
        <f>HYPERLINK("[#]Datatypes!B1097:L1097","Real")</f>
        <v>Real</v>
      </c>
      <c r="J666" s="76" t="str">
        <f>HYPERLINK("[#]PhysicalQuantities!A20:N20","Length")</f>
        <v>Length</v>
      </c>
      <c r="K666" s="75" t="str">
        <f>HYPERLINK("[#]UnitsOfMeasure!D80:G80","Metre")</f>
        <v>Metre</v>
      </c>
      <c r="L666" s="77"/>
      <c r="M666" s="78"/>
      <c r="N666" s="74"/>
      <c r="O666" s="25">
        <v>206695</v>
      </c>
      <c r="P666" s="304" t="str">
        <f>CONCATENATE([1]Cover!$D$6,"fdd/view?i=",O666)</f>
        <v>https://www.dgiwg.org/FAD/fdd/view?i=206695</v>
      </c>
      <c r="Q666" s="8" t="s">
        <v>7934</v>
      </c>
      <c r="R666" s="38" t="s">
        <v>33678</v>
      </c>
    </row>
    <row r="667" spans="1:18" ht="25.5">
      <c r="A667" s="302" t="str">
        <f t="shared" si="13"/>
        <v>limitsPhysicallyBased</v>
      </c>
      <c r="B667" s="6" t="s">
        <v>7939</v>
      </c>
      <c r="C667" s="17" t="s">
        <v>7940</v>
      </c>
      <c r="D667" s="10" t="s">
        <v>7941</v>
      </c>
      <c r="E667" s="55"/>
      <c r="F667" s="55"/>
      <c r="G667" s="12" t="s">
        <v>4643</v>
      </c>
      <c r="H667" s="74"/>
      <c r="I667" s="147" t="str">
        <f>HYPERLINK("[#]Datatypes!B230:L230","Boolean")</f>
        <v>Boolean</v>
      </c>
      <c r="J667" s="80"/>
      <c r="K667" s="77"/>
      <c r="L667" s="77"/>
      <c r="M667" s="78"/>
      <c r="N667" s="74"/>
      <c r="O667" s="25">
        <v>114232</v>
      </c>
      <c r="P667" s="304" t="str">
        <f>CONCATENATE([1]Cover!$D$6,"fdd/view?i=",O667)</f>
        <v>https://www.dgiwg.org/FAD/fdd/view?i=114232</v>
      </c>
      <c r="Q667" s="8" t="s">
        <v>7938</v>
      </c>
      <c r="R667" s="38" t="s">
        <v>151</v>
      </c>
    </row>
    <row r="668" spans="1:18" ht="25.5">
      <c r="A668" s="302" t="str">
        <f t="shared" si="13"/>
        <v>lineSegmentGeometry</v>
      </c>
      <c r="B668" s="6" t="s">
        <v>7943</v>
      </c>
      <c r="C668" s="17" t="s">
        <v>7944</v>
      </c>
      <c r="D668" s="10" t="s">
        <v>7945</v>
      </c>
      <c r="E668" s="10" t="s">
        <v>5428</v>
      </c>
      <c r="F668" s="55"/>
      <c r="G668" s="12" t="s">
        <v>4643</v>
      </c>
      <c r="H668" s="74"/>
      <c r="I668" s="147" t="str">
        <f>HYPERLINK("[#]Datatypes!B796:L796","GmLineSegment")</f>
        <v>GmLineSegment</v>
      </c>
      <c r="J668" s="80"/>
      <c r="K668" s="77"/>
      <c r="L668" s="77"/>
      <c r="M668" s="78"/>
      <c r="N668" s="74"/>
      <c r="O668" s="25">
        <v>200631</v>
      </c>
      <c r="P668" s="304" t="str">
        <f>CONCATENATE([1]Cover!$D$6,"fdd/view?i=",O668)</f>
        <v>https://www.dgiwg.org/FAD/fdd/view?i=200631</v>
      </c>
      <c r="Q668" s="8" t="s">
        <v>7942</v>
      </c>
      <c r="R668" s="38" t="s">
        <v>1295</v>
      </c>
    </row>
    <row r="669" spans="1:18" ht="25.5">
      <c r="A669" s="302" t="str">
        <f t="shared" si="13"/>
        <v>lineStringGeometry</v>
      </c>
      <c r="B669" s="6" t="s">
        <v>7948</v>
      </c>
      <c r="C669" s="17" t="s">
        <v>7949</v>
      </c>
      <c r="D669" s="10" t="s">
        <v>7950</v>
      </c>
      <c r="E669" s="10" t="s">
        <v>5428</v>
      </c>
      <c r="F669" s="55"/>
      <c r="G669" s="12" t="s">
        <v>4643</v>
      </c>
      <c r="H669" s="74"/>
      <c r="I669" s="147" t="str">
        <f>HYPERLINK("[#]Datatypes!B798:L798","GmLineString")</f>
        <v>GmLineString</v>
      </c>
      <c r="J669" s="80"/>
      <c r="K669" s="77"/>
      <c r="L669" s="77"/>
      <c r="M669" s="78"/>
      <c r="N669" s="74"/>
      <c r="O669" s="25">
        <v>200632</v>
      </c>
      <c r="P669" s="304" t="str">
        <f>CONCATENATE([1]Cover!$D$6,"fdd/view?i=",O669)</f>
        <v>https://www.dgiwg.org/FAD/fdd/view?i=200632</v>
      </c>
      <c r="Q669" s="8" t="s">
        <v>7947</v>
      </c>
      <c r="R669" s="38" t="s">
        <v>1295</v>
      </c>
    </row>
    <row r="670" spans="1:18" ht="25.5">
      <c r="A670" s="302" t="str">
        <f t="shared" si="13"/>
        <v>statement</v>
      </c>
      <c r="B670" s="6" t="s">
        <v>7953</v>
      </c>
      <c r="C670" s="17" t="s">
        <v>7954</v>
      </c>
      <c r="D670" s="10" t="s">
        <v>7955</v>
      </c>
      <c r="E670" s="55"/>
      <c r="F670" s="55"/>
      <c r="G670" s="12" t="s">
        <v>4643</v>
      </c>
      <c r="H670" s="74"/>
      <c r="I670" s="147" t="str">
        <f>HYPERLINK("[#]Datatypes!B1416:L1416","TextLexUnconstrained")</f>
        <v>TextLexUnconstrained</v>
      </c>
      <c r="J670" s="80"/>
      <c r="K670" s="77"/>
      <c r="L670" s="77"/>
      <c r="M670" s="78"/>
      <c r="N670" s="74"/>
      <c r="O670" s="25">
        <v>207187</v>
      </c>
      <c r="P670" s="304" t="str">
        <f>CONCATENATE([1]Cover!$D$6,"fdd/view?i=",O670)</f>
        <v>https://www.dgiwg.org/FAD/fdd/view?i=207187</v>
      </c>
      <c r="Q670" s="8" t="s">
        <v>7952</v>
      </c>
      <c r="R670" s="38" t="s">
        <v>1295</v>
      </c>
    </row>
    <row r="671" spans="1:18" ht="25.5">
      <c r="A671" s="302" t="str">
        <f t="shared" si="13"/>
        <v>linearFeatureArrangement</v>
      </c>
      <c r="B671" s="6" t="s">
        <v>7957</v>
      </c>
      <c r="C671" s="17" t="s">
        <v>7958</v>
      </c>
      <c r="D671" s="10" t="s">
        <v>7959</v>
      </c>
      <c r="E671" s="10" t="s">
        <v>7960</v>
      </c>
      <c r="F671" s="55"/>
      <c r="G671" s="12" t="s">
        <v>4643</v>
      </c>
      <c r="H671" s="74"/>
      <c r="I671" s="147" t="str">
        <f>HYPERLINK("[#]Datatypes!B800:L800","LinearFeatureArrangementCode")</f>
        <v>LinearFeatureArrangementCode</v>
      </c>
      <c r="J671" s="80"/>
      <c r="K671" s="77"/>
      <c r="L671" s="77"/>
      <c r="M671" s="71" t="str">
        <f>HYPERLINK("[#]DatatypeListedValues!A4207:H4207","&lt;values&gt;")</f>
        <v>&lt;values&gt;</v>
      </c>
      <c r="N671" s="82" t="b">
        <v>0</v>
      </c>
      <c r="O671" s="25">
        <v>103233</v>
      </c>
      <c r="P671" s="304" t="str">
        <f>CONCATENATE([1]Cover!$D$6,"fdd/view?i=",O671)</f>
        <v>https://www.dgiwg.org/FAD/fdd/view?i=103233</v>
      </c>
      <c r="Q671" s="8" t="s">
        <v>7956</v>
      </c>
      <c r="R671" s="38" t="s">
        <v>151</v>
      </c>
    </row>
    <row r="672" spans="1:18" ht="51">
      <c r="A672" s="302" t="str">
        <f t="shared" si="13"/>
        <v>loadClassType1</v>
      </c>
      <c r="B672" s="6" t="s">
        <v>7963</v>
      </c>
      <c r="C672" s="17" t="s">
        <v>7964</v>
      </c>
      <c r="D672" s="10" t="s">
        <v>7965</v>
      </c>
      <c r="E672" s="10" t="s">
        <v>7966</v>
      </c>
      <c r="F672" s="55"/>
      <c r="G672" s="12" t="s">
        <v>4643</v>
      </c>
      <c r="H672" s="74"/>
      <c r="I672" s="147" t="str">
        <f>HYPERLINK("[#]Datatypes!B710:L710","Integer")</f>
        <v>Integer</v>
      </c>
      <c r="J672" s="76" t="str">
        <f>HYPERLINK("[#]PhysicalQuantities!A33:N33","Noncomparable")</f>
        <v>Noncomparable</v>
      </c>
      <c r="K672" s="75" t="str">
        <f>HYPERLINK("[#]UnitsOfMeasure!D155:G155","Military Load Class")</f>
        <v>Military Load Class</v>
      </c>
      <c r="L672" s="77"/>
      <c r="M672" s="78"/>
      <c r="N672" s="74"/>
      <c r="O672" s="25">
        <v>100987</v>
      </c>
      <c r="P672" s="304" t="str">
        <f>CONCATENATE([1]Cover!$D$6,"fdd/view?i=",O672)</f>
        <v>https://www.dgiwg.org/FAD/fdd/view?i=100987</v>
      </c>
      <c r="Q672" s="8" t="s">
        <v>7962</v>
      </c>
      <c r="R672" s="38" t="s">
        <v>151</v>
      </c>
    </row>
    <row r="673" spans="1:18" ht="51">
      <c r="A673" s="302" t="str">
        <f t="shared" si="13"/>
        <v>loadClassType2</v>
      </c>
      <c r="B673" s="6" t="s">
        <v>7968</v>
      </c>
      <c r="C673" s="17" t="s">
        <v>7969</v>
      </c>
      <c r="D673" s="10" t="s">
        <v>7970</v>
      </c>
      <c r="E673" s="10" t="s">
        <v>7966</v>
      </c>
      <c r="F673" s="55"/>
      <c r="G673" s="12" t="s">
        <v>4643</v>
      </c>
      <c r="H673" s="74"/>
      <c r="I673" s="147" t="str">
        <f>HYPERLINK("[#]Datatypes!B710:L710","Integer")</f>
        <v>Integer</v>
      </c>
      <c r="J673" s="76" t="str">
        <f>HYPERLINK("[#]PhysicalQuantities!A33:N33","Noncomparable")</f>
        <v>Noncomparable</v>
      </c>
      <c r="K673" s="75" t="str">
        <f>HYPERLINK("[#]UnitsOfMeasure!D155:G155","Military Load Class")</f>
        <v>Military Load Class</v>
      </c>
      <c r="L673" s="77"/>
      <c r="M673" s="78"/>
      <c r="N673" s="74"/>
      <c r="O673" s="25">
        <v>100988</v>
      </c>
      <c r="P673" s="304" t="str">
        <f>CONCATENATE([1]Cover!$D$6,"fdd/view?i=",O673)</f>
        <v>https://www.dgiwg.org/FAD/fdd/view?i=100988</v>
      </c>
      <c r="Q673" s="8" t="s">
        <v>7967</v>
      </c>
      <c r="R673" s="38" t="s">
        <v>151</v>
      </c>
    </row>
    <row r="674" spans="1:18" ht="51">
      <c r="A674" s="302" t="str">
        <f t="shared" si="13"/>
        <v>loadClassType3</v>
      </c>
      <c r="B674" s="6" t="s">
        <v>7972</v>
      </c>
      <c r="C674" s="17" t="s">
        <v>7973</v>
      </c>
      <c r="D674" s="10" t="s">
        <v>7974</v>
      </c>
      <c r="E674" s="10" t="s">
        <v>7966</v>
      </c>
      <c r="F674" s="55"/>
      <c r="G674" s="12" t="s">
        <v>4643</v>
      </c>
      <c r="H674" s="74"/>
      <c r="I674" s="147" t="str">
        <f>HYPERLINK("[#]Datatypes!B710:L710","Integer")</f>
        <v>Integer</v>
      </c>
      <c r="J674" s="76" t="str">
        <f>HYPERLINK("[#]PhysicalQuantities!A33:N33","Noncomparable")</f>
        <v>Noncomparable</v>
      </c>
      <c r="K674" s="75" t="str">
        <f>HYPERLINK("[#]UnitsOfMeasure!D155:G155","Military Load Class")</f>
        <v>Military Load Class</v>
      </c>
      <c r="L674" s="77"/>
      <c r="M674" s="78"/>
      <c r="N674" s="74"/>
      <c r="O674" s="25">
        <v>100989</v>
      </c>
      <c r="P674" s="304" t="str">
        <f>CONCATENATE([1]Cover!$D$6,"fdd/view?i=",O674)</f>
        <v>https://www.dgiwg.org/FAD/fdd/view?i=100989</v>
      </c>
      <c r="Q674" s="8" t="s">
        <v>7971</v>
      </c>
      <c r="R674" s="38" t="s">
        <v>151</v>
      </c>
    </row>
    <row r="675" spans="1:18" ht="51">
      <c r="A675" s="302" t="str">
        <f t="shared" si="13"/>
        <v>loadClassType4</v>
      </c>
      <c r="B675" s="6" t="s">
        <v>7976</v>
      </c>
      <c r="C675" s="17" t="s">
        <v>7977</v>
      </c>
      <c r="D675" s="10" t="s">
        <v>7978</v>
      </c>
      <c r="E675" s="10" t="s">
        <v>7966</v>
      </c>
      <c r="F675" s="55"/>
      <c r="G675" s="12" t="s">
        <v>4643</v>
      </c>
      <c r="H675" s="74"/>
      <c r="I675" s="147" t="str">
        <f>HYPERLINK("[#]Datatypes!B710:L710","Integer")</f>
        <v>Integer</v>
      </c>
      <c r="J675" s="76" t="str">
        <f>HYPERLINK("[#]PhysicalQuantities!A33:N33","Noncomparable")</f>
        <v>Noncomparable</v>
      </c>
      <c r="K675" s="75" t="str">
        <f>HYPERLINK("[#]UnitsOfMeasure!D155:G155","Military Load Class")</f>
        <v>Military Load Class</v>
      </c>
      <c r="L675" s="77"/>
      <c r="M675" s="78"/>
      <c r="N675" s="74"/>
      <c r="O675" s="25">
        <v>100990</v>
      </c>
      <c r="P675" s="304" t="str">
        <f>CONCATENATE([1]Cover!$D$6,"fdd/view?i=",O675)</f>
        <v>https://www.dgiwg.org/FAD/fdd/view?i=100990</v>
      </c>
      <c r="Q675" s="8" t="s">
        <v>7975</v>
      </c>
      <c r="R675" s="38" t="s">
        <v>151</v>
      </c>
    </row>
    <row r="676" spans="1:18" ht="25.5">
      <c r="A676" s="302" t="str">
        <f t="shared" si="13"/>
        <v>loadClassificationNumber</v>
      </c>
      <c r="B676" s="6" t="s">
        <v>7980</v>
      </c>
      <c r="C676" s="17" t="s">
        <v>7981</v>
      </c>
      <c r="D676" s="10" t="s">
        <v>7982</v>
      </c>
      <c r="E676" s="10" t="s">
        <v>7983</v>
      </c>
      <c r="F676" s="10" t="s">
        <v>7890</v>
      </c>
      <c r="G676" s="12" t="s">
        <v>4643</v>
      </c>
      <c r="H676" s="74"/>
      <c r="I676" s="147" t="str">
        <f>HYPERLINK("[#]Datatypes!B722:L722","IntegerNonNeg0to120")</f>
        <v>IntegerNonNeg0to120</v>
      </c>
      <c r="J676" s="76" t="str">
        <f>HYPERLINK("[#]PhysicalQuantities!A39:N39","Pure Number")</f>
        <v>Pure Number</v>
      </c>
      <c r="K676" s="75" t="str">
        <f>HYPERLINK("[#]UnitsOfMeasure!D213:G213","Unitless")</f>
        <v>Unitless</v>
      </c>
      <c r="L676" s="77"/>
      <c r="M676" s="78"/>
      <c r="N676" s="74"/>
      <c r="O676" s="25">
        <v>117604</v>
      </c>
      <c r="P676" s="304" t="str">
        <f>CONCATENATE([1]Cover!$D$6,"fdd/view?i=",O676)</f>
        <v>https://www.dgiwg.org/FAD/fdd/view?i=117604</v>
      </c>
      <c r="Q676" s="8" t="s">
        <v>7979</v>
      </c>
      <c r="R676" s="38" t="s">
        <v>151</v>
      </c>
    </row>
    <row r="677" spans="1:18" ht="38.25">
      <c r="A677" s="302" t="str">
        <f t="shared" si="13"/>
        <v>loadClassNumberValidity</v>
      </c>
      <c r="B677" s="6" t="s">
        <v>7986</v>
      </c>
      <c r="C677" s="17" t="s">
        <v>7987</v>
      </c>
      <c r="D677" s="10" t="s">
        <v>7988</v>
      </c>
      <c r="E677" s="10" t="s">
        <v>7989</v>
      </c>
      <c r="F677" s="10" t="s">
        <v>7990</v>
      </c>
      <c r="G677" s="12" t="s">
        <v>4643</v>
      </c>
      <c r="H677" s="74"/>
      <c r="I677" s="147" t="str">
        <f>HYPERLINK("[#]Datatypes!B802:L802","LoadClassNumberValidityCode")</f>
        <v>LoadClassNumberValidityCode</v>
      </c>
      <c r="J677" s="80"/>
      <c r="K677" s="77"/>
      <c r="L677" s="77"/>
      <c r="M677" s="71" t="str">
        <f>HYPERLINK("[#]DatatypeListedValues!A4211:H4211","&lt;values&gt;")</f>
        <v>&lt;values&gt;</v>
      </c>
      <c r="N677" s="82" t="b">
        <v>0</v>
      </c>
      <c r="O677" s="25">
        <v>119192</v>
      </c>
      <c r="P677" s="304" t="str">
        <f>CONCATENATE([1]Cover!$D$6,"fdd/view?i=",O677)</f>
        <v>https://www.dgiwg.org/FAD/fdd/view?i=119192</v>
      </c>
      <c r="Q677" s="8" t="s">
        <v>7985</v>
      </c>
      <c r="R677" s="38" t="s">
        <v>151</v>
      </c>
    </row>
    <row r="678" spans="1:18" ht="38.25">
      <c r="A678" s="302" t="str">
        <f t="shared" si="13"/>
        <v>loadClassNumberValidityRem</v>
      </c>
      <c r="B678" s="6" t="s">
        <v>7993</v>
      </c>
      <c r="C678" s="17" t="s">
        <v>7994</v>
      </c>
      <c r="D678" s="10" t="s">
        <v>7995</v>
      </c>
      <c r="E678" s="10" t="s">
        <v>7989</v>
      </c>
      <c r="F678" s="10" t="s">
        <v>7996</v>
      </c>
      <c r="G678" s="12" t="s">
        <v>4643</v>
      </c>
      <c r="H678" s="74"/>
      <c r="I678" s="147" t="str">
        <f>HYPERLINK("[#]Datatypes!B1416:L1416","TextLexUnconstrained")</f>
        <v>TextLexUnconstrained</v>
      </c>
      <c r="J678" s="80"/>
      <c r="K678" s="77"/>
      <c r="L678" s="77"/>
      <c r="M678" s="78"/>
      <c r="N678" s="74"/>
      <c r="O678" s="25">
        <v>119191</v>
      </c>
      <c r="P678" s="304" t="str">
        <f>CONCATENATE([1]Cover!$D$6,"fdd/view?i=",O678)</f>
        <v>https://www.dgiwg.org/FAD/fdd/view?i=119191</v>
      </c>
      <c r="Q678" s="8" t="s">
        <v>7992</v>
      </c>
      <c r="R678" s="38" t="s">
        <v>151</v>
      </c>
    </row>
    <row r="679" spans="1:18" ht="25.5">
      <c r="A679" s="302" t="str">
        <f t="shared" si="13"/>
        <v>localAirspaceType</v>
      </c>
      <c r="B679" s="6" t="s">
        <v>7998</v>
      </c>
      <c r="C679" s="17" t="s">
        <v>7999</v>
      </c>
      <c r="D679" s="10" t="s">
        <v>8000</v>
      </c>
      <c r="E679" s="55"/>
      <c r="F679" s="55"/>
      <c r="G679" s="12" t="s">
        <v>4643</v>
      </c>
      <c r="H679" s="74"/>
      <c r="I679" s="147" t="str">
        <f>HYPERLINK("[#]Datatypes!B1416:L1416","TextLexUnconstrained")</f>
        <v>TextLexUnconstrained</v>
      </c>
      <c r="J679" s="80"/>
      <c r="K679" s="77"/>
      <c r="L679" s="77"/>
      <c r="M679" s="78"/>
      <c r="N679" s="74"/>
      <c r="O679" s="25">
        <v>117602</v>
      </c>
      <c r="P679" s="304" t="str">
        <f>CONCATENATE([1]Cover!$D$6,"fdd/view?i=",O679)</f>
        <v>https://www.dgiwg.org/FAD/fdd/view?i=117602</v>
      </c>
      <c r="Q679" s="8" t="s">
        <v>7997</v>
      </c>
      <c r="R679" s="38" t="s">
        <v>151</v>
      </c>
    </row>
    <row r="680" spans="1:18" ht="25.5">
      <c r="A680" s="302" t="str">
        <f t="shared" si="13"/>
        <v>characterEncoding</v>
      </c>
      <c r="B680" s="6" t="s">
        <v>8002</v>
      </c>
      <c r="C680" s="17" t="s">
        <v>8003</v>
      </c>
      <c r="D680" s="10" t="s">
        <v>8004</v>
      </c>
      <c r="E680" s="55"/>
      <c r="F680" s="55"/>
      <c r="G680" s="12" t="s">
        <v>4643</v>
      </c>
      <c r="H680" s="74"/>
      <c r="I680" s="147" t="str">
        <f>HYPERLINK("[#]Datatypes!B296:L296","MD_CharacterSetCode")</f>
        <v>MD_CharacterSetCode</v>
      </c>
      <c r="J680" s="80"/>
      <c r="K680" s="77"/>
      <c r="L680" s="77"/>
      <c r="M680" s="78"/>
      <c r="N680" s="74"/>
      <c r="O680" s="25">
        <v>207287</v>
      </c>
      <c r="P680" s="304" t="str">
        <f>CONCATENATE([1]Cover!$D$6,"fdd/view?i=",O680)</f>
        <v>https://www.dgiwg.org/FAD/fdd/view?i=207287</v>
      </c>
      <c r="Q680" s="8" t="s">
        <v>8001</v>
      </c>
      <c r="R680" s="38" t="s">
        <v>1295</v>
      </c>
    </row>
    <row r="681" spans="1:18">
      <c r="A681" s="302" t="str">
        <f t="shared" si="13"/>
        <v>country</v>
      </c>
      <c r="B681" s="6" t="s">
        <v>8006</v>
      </c>
      <c r="C681" s="17" t="s">
        <v>8007</v>
      </c>
      <c r="D681" s="10" t="s">
        <v>8008</v>
      </c>
      <c r="E681" s="55"/>
      <c r="F681" s="55"/>
      <c r="G681" s="12" t="s">
        <v>4643</v>
      </c>
      <c r="H681" s="74"/>
      <c r="I681" s="147" t="str">
        <f>HYPERLINK("[#]Datatypes!B378:L378","CountryCode")</f>
        <v>CountryCode</v>
      </c>
      <c r="J681" s="80"/>
      <c r="K681" s="77"/>
      <c r="L681" s="77"/>
      <c r="M681" s="78"/>
      <c r="N681" s="74"/>
      <c r="O681" s="25">
        <v>207286</v>
      </c>
      <c r="P681" s="304" t="str">
        <f>CONCATENATE([1]Cover!$D$6,"fdd/view?i=",O681)</f>
        <v>https://www.dgiwg.org/FAD/fdd/view?i=207286</v>
      </c>
      <c r="Q681" s="8" t="s">
        <v>8005</v>
      </c>
      <c r="R681" s="38" t="s">
        <v>1295</v>
      </c>
    </row>
    <row r="682" spans="1:18">
      <c r="A682" s="302" t="str">
        <f t="shared" si="13"/>
        <v>language</v>
      </c>
      <c r="B682" s="6" t="s">
        <v>7836</v>
      </c>
      <c r="C682" s="17" t="s">
        <v>8011</v>
      </c>
      <c r="D682" s="10" t="s">
        <v>8012</v>
      </c>
      <c r="E682" s="55"/>
      <c r="F682" s="55"/>
      <c r="G682" s="12" t="s">
        <v>4643</v>
      </c>
      <c r="H682" s="74"/>
      <c r="I682" s="147" t="str">
        <f>HYPERLINK("[#]Datatypes!B780:L780","LanguageCode")</f>
        <v>LanguageCode</v>
      </c>
      <c r="J682" s="80"/>
      <c r="K682" s="77"/>
      <c r="L682" s="77"/>
      <c r="M682" s="78"/>
      <c r="N682" s="74"/>
      <c r="O682" s="25">
        <v>207285</v>
      </c>
      <c r="P682" s="304" t="str">
        <f>CONCATENATE([1]Cover!$D$6,"fdd/view?i=",O682)</f>
        <v>https://www.dgiwg.org/FAD/fdd/view?i=207285</v>
      </c>
      <c r="Q682" s="8" t="s">
        <v>8010</v>
      </c>
      <c r="R682" s="38" t="s">
        <v>151</v>
      </c>
    </row>
    <row r="683" spans="1:18" ht="25.5">
      <c r="A683" s="302" t="str">
        <f t="shared" si="13"/>
        <v>localizerCourseWidth</v>
      </c>
      <c r="B683" s="6" t="s">
        <v>8015</v>
      </c>
      <c r="C683" s="17" t="s">
        <v>8016</v>
      </c>
      <c r="D683" s="10" t="s">
        <v>8017</v>
      </c>
      <c r="E683" s="55"/>
      <c r="F683" s="55"/>
      <c r="G683" s="12" t="s">
        <v>4643</v>
      </c>
      <c r="H683" s="74"/>
      <c r="I683" s="147" t="str">
        <f>HYPERLINK("[#]Datatypes!B1097:L1097","Real")</f>
        <v>Real</v>
      </c>
      <c r="J683" s="76" t="str">
        <f>HYPERLINK("[#]PhysicalQuantities!A34:N34","Plane Angle")</f>
        <v>Plane Angle</v>
      </c>
      <c r="K683" s="75" t="str">
        <f>HYPERLINK("[#]UnitsOfMeasure!D159:G159","Arc Degree")</f>
        <v>Arc Degree</v>
      </c>
      <c r="L683" s="77"/>
      <c r="M683" s="78"/>
      <c r="N683" s="74"/>
      <c r="O683" s="25">
        <v>117538</v>
      </c>
      <c r="P683" s="304" t="str">
        <f>CONCATENATE([1]Cover!$D$6,"fdd/view?i=",O683)</f>
        <v>https://www.dgiwg.org/FAD/fdd/view?i=117538</v>
      </c>
      <c r="Q683" s="8" t="s">
        <v>8014</v>
      </c>
      <c r="R683" s="38" t="s">
        <v>151</v>
      </c>
    </row>
    <row r="684" spans="1:18" ht="25.5">
      <c r="A684" s="302" t="str">
        <f t="shared" si="13"/>
        <v>localizerCourseWidthAcc</v>
      </c>
      <c r="B684" s="6" t="s">
        <v>8019</v>
      </c>
      <c r="C684" s="17" t="s">
        <v>8020</v>
      </c>
      <c r="D684" s="10" t="s">
        <v>8021</v>
      </c>
      <c r="E684" s="55"/>
      <c r="F684" s="55"/>
      <c r="G684" s="12" t="s">
        <v>4643</v>
      </c>
      <c r="H684" s="74"/>
      <c r="I684" s="147" t="str">
        <f>HYPERLINK("[#]Datatypes!B958:L958","RealNonNegative")</f>
        <v>RealNonNegative</v>
      </c>
      <c r="J684" s="76" t="str">
        <f>HYPERLINK("[#]PhysicalQuantities!A34:N34","Plane Angle")</f>
        <v>Plane Angle</v>
      </c>
      <c r="K684" s="75" t="str">
        <f>HYPERLINK("[#]UnitsOfMeasure!D159:G159","Arc Degree")</f>
        <v>Arc Degree</v>
      </c>
      <c r="L684" s="77"/>
      <c r="M684" s="78"/>
      <c r="N684" s="74"/>
      <c r="O684" s="25">
        <v>206989</v>
      </c>
      <c r="P684" s="304" t="str">
        <f>CONCATENATE([1]Cover!$D$6,"fdd/view?i=",O684)</f>
        <v>https://www.dgiwg.org/FAD/fdd/view?i=206989</v>
      </c>
      <c r="Q684" s="8" t="s">
        <v>8018</v>
      </c>
      <c r="R684" s="38" t="s">
        <v>1295</v>
      </c>
    </row>
    <row r="685" spans="1:18" ht="25.5">
      <c r="A685" s="302" t="str">
        <f t="shared" si="13"/>
        <v>locatedUnderground</v>
      </c>
      <c r="B685" s="6" t="s">
        <v>8023</v>
      </c>
      <c r="C685" s="17" t="s">
        <v>8024</v>
      </c>
      <c r="D685" s="10" t="s">
        <v>8025</v>
      </c>
      <c r="E685" s="55"/>
      <c r="F685" s="55"/>
      <c r="G685" s="12" t="s">
        <v>4643</v>
      </c>
      <c r="H685" s="74"/>
      <c r="I685" s="147" t="str">
        <f>HYPERLINK("[#]Datatypes!B230:L230","Boolean")</f>
        <v>Boolean</v>
      </c>
      <c r="J685" s="80"/>
      <c r="K685" s="77"/>
      <c r="L685" s="77"/>
      <c r="M685" s="78"/>
      <c r="N685" s="74"/>
      <c r="O685" s="25">
        <v>118028</v>
      </c>
      <c r="P685" s="304" t="str">
        <f>CONCATENATE([1]Cover!$D$6,"fdd/view?i=",O685)</f>
        <v>https://www.dgiwg.org/FAD/fdd/view?i=118028</v>
      </c>
      <c r="Q685" s="8" t="s">
        <v>8022</v>
      </c>
      <c r="R685" s="38" t="s">
        <v>151</v>
      </c>
    </row>
    <row r="686" spans="1:18" ht="25.5">
      <c r="A686" s="302" t="str">
        <f t="shared" si="13"/>
        <v>locationRefToShoreline</v>
      </c>
      <c r="B686" s="6" t="s">
        <v>8027</v>
      </c>
      <c r="C686" s="17" t="s">
        <v>8028</v>
      </c>
      <c r="D686" s="10" t="s">
        <v>8029</v>
      </c>
      <c r="E686" s="55"/>
      <c r="F686" s="55"/>
      <c r="G686" s="12" t="s">
        <v>4643</v>
      </c>
      <c r="H686" s="74"/>
      <c r="I686" s="147" t="str">
        <f>HYPERLINK("[#]Datatypes!B804:L804","LocationRefToShorelineCode")</f>
        <v>LocationRefToShorelineCode</v>
      </c>
      <c r="J686" s="80"/>
      <c r="K686" s="77"/>
      <c r="L686" s="77"/>
      <c r="M686" s="71" t="str">
        <f>HYPERLINK("[#]DatatypeListedValues!A4216:H4216","&lt;values&gt;")</f>
        <v>&lt;values&gt;</v>
      </c>
      <c r="N686" s="12" t="b">
        <v>1</v>
      </c>
      <c r="O686" s="25">
        <v>101325</v>
      </c>
      <c r="P686" s="304" t="str">
        <f>CONCATENATE([1]Cover!$D$6,"fdd/view?i=",O686)</f>
        <v>https://www.dgiwg.org/FAD/fdd/view?i=101325</v>
      </c>
      <c r="Q686" s="8" t="s">
        <v>8026</v>
      </c>
      <c r="R686" s="38" t="s">
        <v>151</v>
      </c>
    </row>
    <row r="687" spans="1:18" ht="25.5">
      <c r="A687" s="302" t="str">
        <f t="shared" si="13"/>
        <v>lockDrop</v>
      </c>
      <c r="B687" s="6" t="s">
        <v>8032</v>
      </c>
      <c r="C687" s="17" t="s">
        <v>8033</v>
      </c>
      <c r="D687" s="10" t="s">
        <v>8034</v>
      </c>
      <c r="E687" s="55"/>
      <c r="F687" s="55"/>
      <c r="G687" s="12" t="s">
        <v>4643</v>
      </c>
      <c r="H687" s="74"/>
      <c r="I687" s="147" t="str">
        <f>HYPERLINK("[#]Datatypes!B1097:L1097","Real")</f>
        <v>Real</v>
      </c>
      <c r="J687" s="76" t="str">
        <f>HYPERLINK("[#]PhysicalQuantities!A20:N20","Length")</f>
        <v>Length</v>
      </c>
      <c r="K687" s="75" t="str">
        <f>HYPERLINK("[#]UnitsOfMeasure!D80:G80","Metre")</f>
        <v>Metre</v>
      </c>
      <c r="L687" s="77"/>
      <c r="M687" s="78"/>
      <c r="N687" s="74"/>
      <c r="O687" s="25">
        <v>114348</v>
      </c>
      <c r="P687" s="304" t="str">
        <f>CONCATENATE([1]Cover!$D$6,"fdd/view?i=",O687)</f>
        <v>https://www.dgiwg.org/FAD/fdd/view?i=114348</v>
      </c>
      <c r="Q687" s="8" t="s">
        <v>8031</v>
      </c>
      <c r="R687" s="38" t="s">
        <v>151</v>
      </c>
    </row>
    <row r="688" spans="1:18">
      <c r="A688" s="302" t="str">
        <f t="shared" si="13"/>
        <v>lockPresent</v>
      </c>
      <c r="B688" s="6" t="s">
        <v>8036</v>
      </c>
      <c r="C688" s="17" t="s">
        <v>8037</v>
      </c>
      <c r="D688" s="10" t="s">
        <v>8038</v>
      </c>
      <c r="E688" s="55"/>
      <c r="F688" s="55"/>
      <c r="G688" s="12" t="s">
        <v>4643</v>
      </c>
      <c r="H688" s="74"/>
      <c r="I688" s="147" t="str">
        <f>HYPERLINK("[#]Datatypes!B230:L230","Boolean")</f>
        <v>Boolean</v>
      </c>
      <c r="J688" s="80"/>
      <c r="K688" s="77"/>
      <c r="L688" s="77"/>
      <c r="M688" s="78"/>
      <c r="N688" s="74"/>
      <c r="O688" s="25">
        <v>117792</v>
      </c>
      <c r="P688" s="304" t="str">
        <f>CONCATENATE([1]Cover!$D$6,"fdd/view?i=",O688)</f>
        <v>https://www.dgiwg.org/FAD/fdd/view?i=117792</v>
      </c>
      <c r="Q688" s="8" t="s">
        <v>8035</v>
      </c>
      <c r="R688" s="38" t="s">
        <v>151</v>
      </c>
    </row>
    <row r="689" spans="1:18" ht="25.5">
      <c r="A689" s="302" t="str">
        <f t="shared" si="13"/>
        <v>lowVisHoldingPositionCat</v>
      </c>
      <c r="B689" s="6" t="s">
        <v>8040</v>
      </c>
      <c r="C689" s="17" t="s">
        <v>8041</v>
      </c>
      <c r="D689" s="10" t="s">
        <v>8042</v>
      </c>
      <c r="E689" s="55"/>
      <c r="F689" s="55"/>
      <c r="G689" s="12" t="s">
        <v>4643</v>
      </c>
      <c r="H689" s="74"/>
      <c r="I689" s="147" t="str">
        <f>HYPERLINK("[#]Datatypes!B806:L806","LowVisHoldingPositionCatCode")</f>
        <v>LowVisHoldingPositionCatCode</v>
      </c>
      <c r="J689" s="80"/>
      <c r="K689" s="77"/>
      <c r="L689" s="77"/>
      <c r="M689" s="71" t="str">
        <f>HYPERLINK("[#]DatatypeListedValues!A4219:H4219","&lt;values&gt;")</f>
        <v>&lt;values&gt;</v>
      </c>
      <c r="N689" s="82" t="b">
        <v>0</v>
      </c>
      <c r="O689" s="25">
        <v>119143</v>
      </c>
      <c r="P689" s="304" t="str">
        <f>CONCATENATE([1]Cover!$D$6,"fdd/view?i=",O689)</f>
        <v>https://www.dgiwg.org/FAD/fdd/view?i=119143</v>
      </c>
      <c r="Q689" s="8" t="s">
        <v>8039</v>
      </c>
      <c r="R689" s="38" t="s">
        <v>151</v>
      </c>
    </row>
    <row r="690" spans="1:18">
      <c r="A690" s="302" t="str">
        <f t="shared" si="13"/>
        <v>lowWaterMonthInterval</v>
      </c>
      <c r="B690" s="6" t="s">
        <v>8045</v>
      </c>
      <c r="C690" s="17" t="s">
        <v>8046</v>
      </c>
      <c r="D690" s="10" t="s">
        <v>8047</v>
      </c>
      <c r="E690" s="55"/>
      <c r="F690" s="55"/>
      <c r="G690" s="12" t="s">
        <v>4643</v>
      </c>
      <c r="H690" s="74"/>
      <c r="I690" s="147" t="str">
        <f>HYPERLINK("[#]Datatypes!B808:L808","LowWaterMonthIntStrucText")</f>
        <v>LowWaterMonthIntStrucText</v>
      </c>
      <c r="J690" s="80"/>
      <c r="K690" s="77"/>
      <c r="L690" s="77"/>
      <c r="M690" s="78"/>
      <c r="N690" s="74"/>
      <c r="O690" s="25">
        <v>117793</v>
      </c>
      <c r="P690" s="304" t="str">
        <f>CONCATENATE([1]Cover!$D$6,"fdd/view?i=",O690)</f>
        <v>https://www.dgiwg.org/FAD/fdd/view?i=117793</v>
      </c>
      <c r="Q690" s="8" t="s">
        <v>8044</v>
      </c>
      <c r="R690" s="38" t="s">
        <v>151</v>
      </c>
    </row>
    <row r="691" spans="1:18" ht="25.5">
      <c r="A691" s="302" t="str">
        <f t="shared" si="13"/>
        <v>lowestElevation</v>
      </c>
      <c r="B691" s="6" t="s">
        <v>8050</v>
      </c>
      <c r="C691" s="17" t="s">
        <v>8051</v>
      </c>
      <c r="D691" s="10" t="s">
        <v>8052</v>
      </c>
      <c r="E691" s="55"/>
      <c r="F691" s="55"/>
      <c r="G691" s="12" t="s">
        <v>4643</v>
      </c>
      <c r="H691" s="74"/>
      <c r="I691" s="147" t="str">
        <f>HYPERLINK("[#]Datatypes!B1097:L1097","Real")</f>
        <v>Real</v>
      </c>
      <c r="J691" s="76" t="str">
        <f>HYPERLINK("[#]PhysicalQuantities!A20:N20","Length")</f>
        <v>Length</v>
      </c>
      <c r="K691" s="75" t="str">
        <f>HYPERLINK("[#]UnitsOfMeasure!D80:G80","Metre")</f>
        <v>Metre</v>
      </c>
      <c r="L691" s="77"/>
      <c r="M691" s="78"/>
      <c r="N691" s="74"/>
      <c r="O691" s="25">
        <v>117750</v>
      </c>
      <c r="P691" s="304" t="str">
        <f>CONCATENATE([1]Cover!$D$6,"fdd/view?i=",O691)</f>
        <v>https://www.dgiwg.org/FAD/fdd/view?i=117750</v>
      </c>
      <c r="Q691" s="8" t="s">
        <v>8049</v>
      </c>
      <c r="R691" s="38" t="s">
        <v>151</v>
      </c>
    </row>
    <row r="692" spans="1:18" ht="25.5">
      <c r="A692" s="302" t="str">
        <f t="shared" si="13"/>
        <v>magnesiumConcentration</v>
      </c>
      <c r="B692" s="6" t="s">
        <v>8054</v>
      </c>
      <c r="C692" s="17" t="s">
        <v>8055</v>
      </c>
      <c r="D692" s="10" t="s">
        <v>8056</v>
      </c>
      <c r="E692" s="10" t="s">
        <v>8057</v>
      </c>
      <c r="F692" s="55"/>
      <c r="G692" s="12" t="s">
        <v>4643</v>
      </c>
      <c r="H692" s="74"/>
      <c r="I692" s="147" t="str">
        <f>HYPERLINK("[#]Datatypes!B1097:L1097","Real")</f>
        <v>Real</v>
      </c>
      <c r="J692" s="76" t="str">
        <f>HYPERLINK("[#]PhysicalQuantities!A29:N29","Mass Density")</f>
        <v>Mass Density</v>
      </c>
      <c r="K692" s="75" t="str">
        <f>HYPERLINK("[#]UnitsOfMeasure!D140:G140","Gram per cubic Metre")</f>
        <v>Gram per cubic Metre</v>
      </c>
      <c r="L692" s="77"/>
      <c r="M692" s="78"/>
      <c r="N692" s="74"/>
      <c r="O692" s="25">
        <v>119403</v>
      </c>
      <c r="P692" s="304" t="str">
        <f>CONCATENATE([1]Cover!$D$6,"fdd/view?i=",O692)</f>
        <v>https://www.dgiwg.org/FAD/fdd/view?i=119403</v>
      </c>
      <c r="Q692" s="8" t="s">
        <v>8053</v>
      </c>
      <c r="R692" s="38" t="s">
        <v>151</v>
      </c>
    </row>
    <row r="693" spans="1:18" ht="38.25">
      <c r="A693" s="302" t="str">
        <f t="shared" si="13"/>
        <v>magneticBearing</v>
      </c>
      <c r="B693" s="6" t="s">
        <v>8059</v>
      </c>
      <c r="C693" s="17" t="s">
        <v>8060</v>
      </c>
      <c r="D693" s="10" t="s">
        <v>8061</v>
      </c>
      <c r="E693" s="55"/>
      <c r="F693" s="55"/>
      <c r="G693" s="12" t="s">
        <v>4643</v>
      </c>
      <c r="H693" s="74"/>
      <c r="I693" s="147" t="str">
        <f>HYPERLINK("[#]Datatypes!B1097:L1097","Real")</f>
        <v>Real</v>
      </c>
      <c r="J693" s="76" t="str">
        <f t="shared" ref="J693:J698" si="14">HYPERLINK("[#]PhysicalQuantities!A34:N34","Plane Angle")</f>
        <v>Plane Angle</v>
      </c>
      <c r="K693" s="75" t="str">
        <f t="shared" ref="K693:K698" si="15">HYPERLINK("[#]UnitsOfMeasure!D159:G159","Arc Degree")</f>
        <v>Arc Degree</v>
      </c>
      <c r="L693" s="77"/>
      <c r="M693" s="78"/>
      <c r="N693" s="74"/>
      <c r="O693" s="25">
        <v>117533</v>
      </c>
      <c r="P693" s="304" t="str">
        <f>CONCATENATE([1]Cover!$D$6,"fdd/view?i=",O693)</f>
        <v>https://www.dgiwg.org/FAD/fdd/view?i=117533</v>
      </c>
      <c r="Q693" s="8" t="s">
        <v>8058</v>
      </c>
      <c r="R693" s="38" t="s">
        <v>151</v>
      </c>
    </row>
    <row r="694" spans="1:18">
      <c r="A694" s="302" t="str">
        <f t="shared" si="13"/>
        <v>magneticBearingTheta</v>
      </c>
      <c r="B694" s="6" t="s">
        <v>8063</v>
      </c>
      <c r="C694" s="17" t="s">
        <v>8064</v>
      </c>
      <c r="D694" s="10" t="s">
        <v>8065</v>
      </c>
      <c r="E694" s="55"/>
      <c r="F694" s="55"/>
      <c r="G694" s="12" t="s">
        <v>4643</v>
      </c>
      <c r="H694" s="74"/>
      <c r="I694" s="147" t="str">
        <f>HYPERLINK("[#]Datatypes!B1097:L1097","Real")</f>
        <v>Real</v>
      </c>
      <c r="J694" s="76" t="str">
        <f t="shared" si="14"/>
        <v>Plane Angle</v>
      </c>
      <c r="K694" s="75" t="str">
        <f t="shared" si="15"/>
        <v>Arc Degree</v>
      </c>
      <c r="L694" s="77"/>
      <c r="M694" s="78"/>
      <c r="N694" s="74"/>
      <c r="O694" s="25">
        <v>117724</v>
      </c>
      <c r="P694" s="304" t="str">
        <f>CONCATENATE([1]Cover!$D$6,"fdd/view?i=",O694)</f>
        <v>https://www.dgiwg.org/FAD/fdd/view?i=117724</v>
      </c>
      <c r="Q694" s="8" t="s">
        <v>8062</v>
      </c>
      <c r="R694" s="38" t="s">
        <v>151</v>
      </c>
    </row>
    <row r="695" spans="1:18" ht="51">
      <c r="A695" s="302" t="str">
        <f t="shared" si="13"/>
        <v>magneticBearingAcc</v>
      </c>
      <c r="B695" s="6" t="s">
        <v>8067</v>
      </c>
      <c r="C695" s="17" t="s">
        <v>8068</v>
      </c>
      <c r="D695" s="10" t="s">
        <v>8069</v>
      </c>
      <c r="E695" s="55"/>
      <c r="F695" s="55"/>
      <c r="G695" s="12" t="s">
        <v>4643</v>
      </c>
      <c r="H695" s="74"/>
      <c r="I695" s="147" t="str">
        <f>HYPERLINK("[#]Datatypes!B958:L958","RealNonNegative")</f>
        <v>RealNonNegative</v>
      </c>
      <c r="J695" s="76" t="str">
        <f t="shared" si="14"/>
        <v>Plane Angle</v>
      </c>
      <c r="K695" s="75" t="str">
        <f t="shared" si="15"/>
        <v>Arc Degree</v>
      </c>
      <c r="L695" s="77"/>
      <c r="M695" s="78"/>
      <c r="N695" s="74"/>
      <c r="O695" s="25">
        <v>119585</v>
      </c>
      <c r="P695" s="304" t="str">
        <f>CONCATENATE([1]Cover!$D$6,"fdd/view?i=",O695)</f>
        <v>https://www.dgiwg.org/FAD/fdd/view?i=119585</v>
      </c>
      <c r="Q695" s="8" t="s">
        <v>8066</v>
      </c>
      <c r="R695" s="38" t="s">
        <v>151</v>
      </c>
    </row>
    <row r="696" spans="1:18" ht="38.25">
      <c r="A696" s="302" t="str">
        <f t="shared" si="13"/>
        <v>magneticTrack</v>
      </c>
      <c r="B696" s="6" t="s">
        <v>8071</v>
      </c>
      <c r="C696" s="17" t="s">
        <v>8072</v>
      </c>
      <c r="D696" s="10" t="s">
        <v>8073</v>
      </c>
      <c r="E696" s="55"/>
      <c r="F696" s="55"/>
      <c r="G696" s="12" t="s">
        <v>4643</v>
      </c>
      <c r="H696" s="74"/>
      <c r="I696" s="147" t="str">
        <f>HYPERLINK("[#]Datatypes!B1097:L1097","Real")</f>
        <v>Real</v>
      </c>
      <c r="J696" s="76" t="str">
        <f t="shared" si="14"/>
        <v>Plane Angle</v>
      </c>
      <c r="K696" s="75" t="str">
        <f t="shared" si="15"/>
        <v>Arc Degree</v>
      </c>
      <c r="L696" s="77"/>
      <c r="M696" s="78"/>
      <c r="N696" s="74"/>
      <c r="O696" s="25">
        <v>117615</v>
      </c>
      <c r="P696" s="304" t="str">
        <f>CONCATENATE([1]Cover!$D$6,"fdd/view?i=",O696)</f>
        <v>https://www.dgiwg.org/FAD/fdd/view?i=117615</v>
      </c>
      <c r="Q696" s="8" t="s">
        <v>8070</v>
      </c>
      <c r="R696" s="38" t="s">
        <v>151</v>
      </c>
    </row>
    <row r="697" spans="1:18" ht="38.25">
      <c r="A697" s="302" t="str">
        <f t="shared" si="13"/>
        <v>magneticVariation</v>
      </c>
      <c r="B697" s="6" t="s">
        <v>8075</v>
      </c>
      <c r="C697" s="17" t="s">
        <v>8076</v>
      </c>
      <c r="D697" s="10" t="s">
        <v>8077</v>
      </c>
      <c r="E697" s="10" t="s">
        <v>6671</v>
      </c>
      <c r="F697" s="10" t="s">
        <v>8078</v>
      </c>
      <c r="G697" s="12" t="s">
        <v>4643</v>
      </c>
      <c r="H697" s="74"/>
      <c r="I697" s="147" t="str">
        <f>HYPERLINK("[#]Datatypes!B1132:L1132","Realm180to180")</f>
        <v>Realm180to180</v>
      </c>
      <c r="J697" s="76" t="str">
        <f t="shared" si="14"/>
        <v>Plane Angle</v>
      </c>
      <c r="K697" s="75" t="str">
        <f t="shared" si="15"/>
        <v>Arc Degree</v>
      </c>
      <c r="L697" s="77"/>
      <c r="M697" s="78"/>
      <c r="N697" s="74"/>
      <c r="O697" s="25">
        <v>117618</v>
      </c>
      <c r="P697" s="304" t="str">
        <f>CONCATENATE([1]Cover!$D$6,"fdd/view?i=",O697)</f>
        <v>https://www.dgiwg.org/FAD/fdd/view?i=117618</v>
      </c>
      <c r="Q697" s="8" t="s">
        <v>8074</v>
      </c>
      <c r="R697" s="38" t="s">
        <v>151</v>
      </c>
    </row>
    <row r="698" spans="1:18" ht="38.25">
      <c r="A698" s="302" t="str">
        <f t="shared" si="13"/>
        <v>magneticVarAnomaly</v>
      </c>
      <c r="B698" s="6" t="s">
        <v>8080</v>
      </c>
      <c r="C698" s="17" t="s">
        <v>8081</v>
      </c>
      <c r="D698" s="10" t="s">
        <v>8082</v>
      </c>
      <c r="E698" s="10" t="s">
        <v>8083</v>
      </c>
      <c r="F698" s="10" t="s">
        <v>8084</v>
      </c>
      <c r="G698" s="12" t="s">
        <v>4643</v>
      </c>
      <c r="H698" s="74"/>
      <c r="I698" s="147" t="str">
        <f>HYPERLINK("[#]Datatypes!B1099:L1099","RealInterval")</f>
        <v>RealInterval</v>
      </c>
      <c r="J698" s="76" t="str">
        <f t="shared" si="14"/>
        <v>Plane Angle</v>
      </c>
      <c r="K698" s="75" t="str">
        <f t="shared" si="15"/>
        <v>Arc Degree</v>
      </c>
      <c r="L698" s="77"/>
      <c r="M698" s="78"/>
      <c r="N698" s="74"/>
      <c r="O698" s="25">
        <v>101430</v>
      </c>
      <c r="P698" s="304" t="str">
        <f>CONCATENATE([1]Cover!$D$6,"fdd/view?i=",O698)</f>
        <v>https://www.dgiwg.org/FAD/fdd/view?i=101430</v>
      </c>
      <c r="Q698" s="8" t="s">
        <v>8079</v>
      </c>
      <c r="R698" s="38" t="s">
        <v>151</v>
      </c>
    </row>
    <row r="699" spans="1:18" ht="51">
      <c r="A699" s="302" t="str">
        <f t="shared" si="13"/>
        <v>magneticVarAnomalyDes</v>
      </c>
      <c r="B699" s="6" t="s">
        <v>8086</v>
      </c>
      <c r="C699" s="17" t="s">
        <v>8087</v>
      </c>
      <c r="D699" s="10" t="s">
        <v>8088</v>
      </c>
      <c r="E699" s="10" t="s">
        <v>8089</v>
      </c>
      <c r="F699" s="10" t="s">
        <v>8090</v>
      </c>
      <c r="G699" s="12" t="s">
        <v>4643</v>
      </c>
      <c r="H699" s="74"/>
      <c r="I699" s="147" t="str">
        <f>HYPERLINK("[#]Datatypes!B1414:L1414","TextLex80")</f>
        <v>TextLex80</v>
      </c>
      <c r="J699" s="80"/>
      <c r="K699" s="77"/>
      <c r="L699" s="77"/>
      <c r="M699" s="78"/>
      <c r="N699" s="74"/>
      <c r="O699" s="25">
        <v>101427</v>
      </c>
      <c r="P699" s="304" t="str">
        <f>CONCATENATE([1]Cover!$D$6,"fdd/view?i=",O699)</f>
        <v>https://www.dgiwg.org/FAD/fdd/view?i=101427</v>
      </c>
      <c r="Q699" s="8" t="s">
        <v>8085</v>
      </c>
      <c r="R699" s="38" t="s">
        <v>151</v>
      </c>
    </row>
    <row r="700" spans="1:18">
      <c r="A700" s="302" t="str">
        <f t="shared" si="13"/>
        <v>magneticVariationDate</v>
      </c>
      <c r="B700" s="6" t="s">
        <v>8092</v>
      </c>
      <c r="C700" s="17" t="s">
        <v>8093</v>
      </c>
      <c r="D700" s="10" t="s">
        <v>8094</v>
      </c>
      <c r="E700" s="55"/>
      <c r="F700" s="55"/>
      <c r="G700" s="12" t="s">
        <v>4643</v>
      </c>
      <c r="H700" s="74"/>
      <c r="I700" s="147" t="str">
        <f>HYPERLINK("[#]Datatypes!B810:L810","MagneticVariationDateStrucText")</f>
        <v>MagneticVariationDateStrucText</v>
      </c>
      <c r="J700" s="80"/>
      <c r="K700" s="77"/>
      <c r="L700" s="77"/>
      <c r="M700" s="78"/>
      <c r="N700" s="74"/>
      <c r="O700" s="25">
        <v>117612</v>
      </c>
      <c r="P700" s="304" t="str">
        <f>CONCATENATE([1]Cover!$D$6,"fdd/view?i=",O700)</f>
        <v>https://www.dgiwg.org/FAD/fdd/view?i=117612</v>
      </c>
      <c r="Q700" s="8" t="s">
        <v>8091</v>
      </c>
      <c r="R700" s="38" t="s">
        <v>151</v>
      </c>
    </row>
    <row r="701" spans="1:18">
      <c r="A701" s="302" t="str">
        <f t="shared" si="13"/>
        <v>maintained</v>
      </c>
      <c r="B701" s="6" t="s">
        <v>8097</v>
      </c>
      <c r="C701" s="17" t="s">
        <v>8098</v>
      </c>
      <c r="D701" s="10" t="s">
        <v>8099</v>
      </c>
      <c r="E701" s="55"/>
      <c r="F701" s="55"/>
      <c r="G701" s="12" t="s">
        <v>4643</v>
      </c>
      <c r="H701" s="74"/>
      <c r="I701" s="147" t="str">
        <f>HYPERLINK("[#]Datatypes!B230:L230","Boolean")</f>
        <v>Boolean</v>
      </c>
      <c r="J701" s="80"/>
      <c r="K701" s="77"/>
      <c r="L701" s="77"/>
      <c r="M701" s="78"/>
      <c r="N701" s="74"/>
      <c r="O701" s="25">
        <v>101026</v>
      </c>
      <c r="P701" s="304" t="str">
        <f>CONCATENATE([1]Cover!$D$6,"fdd/view?i=",O701)</f>
        <v>https://www.dgiwg.org/FAD/fdd/view?i=101026</v>
      </c>
      <c r="Q701" s="8" t="s">
        <v>8096</v>
      </c>
      <c r="R701" s="38" t="s">
        <v>151</v>
      </c>
    </row>
    <row r="702" spans="1:18" ht="38.25">
      <c r="A702" s="302" t="str">
        <f t="shared" si="13"/>
        <v>maintenanceDateTime</v>
      </c>
      <c r="B702" s="6" t="s">
        <v>8101</v>
      </c>
      <c r="C702" s="17" t="s">
        <v>8102</v>
      </c>
      <c r="D702" s="10" t="s">
        <v>8103</v>
      </c>
      <c r="E702" s="10" t="s">
        <v>6206</v>
      </c>
      <c r="F702" s="55"/>
      <c r="G702" s="12" t="s">
        <v>4643</v>
      </c>
      <c r="H702" s="74"/>
      <c r="I702" s="147" t="str">
        <f>HYPERLINK("[#]Datatypes!B812:L812","MaintenanceDateTimeStrucText")</f>
        <v>MaintenanceDateTimeStrucText</v>
      </c>
      <c r="J702" s="80"/>
      <c r="K702" s="77"/>
      <c r="L702" s="77"/>
      <c r="M702" s="78"/>
      <c r="N702" s="74"/>
      <c r="O702" s="25">
        <v>203712</v>
      </c>
      <c r="P702" s="304" t="str">
        <f>CONCATENATE([1]Cover!$D$6,"fdd/view?i=",O702)</f>
        <v>https://www.dgiwg.org/FAD/fdd/view?i=203712</v>
      </c>
      <c r="Q702" s="8" t="s">
        <v>8100</v>
      </c>
      <c r="R702" s="38" t="s">
        <v>1295</v>
      </c>
    </row>
    <row r="703" spans="1:18">
      <c r="A703" s="302" t="str">
        <f t="shared" si="13"/>
        <v>manMade</v>
      </c>
      <c r="B703" s="6" t="s">
        <v>8106</v>
      </c>
      <c r="C703" s="17" t="s">
        <v>8107</v>
      </c>
      <c r="D703" s="10" t="s">
        <v>8108</v>
      </c>
      <c r="E703" s="55"/>
      <c r="F703" s="55"/>
      <c r="G703" s="12" t="s">
        <v>4643</v>
      </c>
      <c r="H703" s="74"/>
      <c r="I703" s="147" t="str">
        <f>HYPERLINK("[#]Datatypes!B230:L230","Boolean")</f>
        <v>Boolean</v>
      </c>
      <c r="J703" s="80"/>
      <c r="K703" s="77"/>
      <c r="L703" s="77"/>
      <c r="M703" s="78"/>
      <c r="N703" s="74"/>
      <c r="O703" s="25">
        <v>118917</v>
      </c>
      <c r="P703" s="304" t="str">
        <f>CONCATENATE([1]Cover!$D$6,"fdd/view?i=",O703)</f>
        <v>https://www.dgiwg.org/FAD/fdd/view?i=118917</v>
      </c>
      <c r="Q703" s="8" t="s">
        <v>8105</v>
      </c>
      <c r="R703" s="38" t="s">
        <v>151</v>
      </c>
    </row>
    <row r="704" spans="1:18" ht="25.5">
      <c r="A704" s="302" t="str">
        <f t="shared" si="13"/>
        <v>manMadeShoreline</v>
      </c>
      <c r="B704" s="6" t="s">
        <v>8110</v>
      </c>
      <c r="C704" s="17" t="s">
        <v>8111</v>
      </c>
      <c r="D704" s="10" t="s">
        <v>8112</v>
      </c>
      <c r="E704" s="55"/>
      <c r="F704" s="55"/>
      <c r="G704" s="12" t="s">
        <v>4643</v>
      </c>
      <c r="H704" s="74"/>
      <c r="I704" s="147" t="str">
        <f>HYPERLINK("[#]Datatypes!B230:L230","Boolean")</f>
        <v>Boolean</v>
      </c>
      <c r="J704" s="80"/>
      <c r="K704" s="77"/>
      <c r="L704" s="77"/>
      <c r="M704" s="78"/>
      <c r="N704" s="74"/>
      <c r="O704" s="25">
        <v>117795</v>
      </c>
      <c r="P704" s="304" t="str">
        <f>CONCATENATE([1]Cover!$D$6,"fdd/view?i=",O704)</f>
        <v>https://www.dgiwg.org/FAD/fdd/view?i=117795</v>
      </c>
      <c r="Q704" s="8" t="s">
        <v>8109</v>
      </c>
      <c r="R704" s="38" t="s">
        <v>151</v>
      </c>
    </row>
    <row r="705" spans="1:18" ht="76.5">
      <c r="A705" s="302" t="str">
        <f t="shared" si="13"/>
        <v>manufacturedBuilding</v>
      </c>
      <c r="B705" s="6" t="s">
        <v>8114</v>
      </c>
      <c r="C705" s="17" t="s">
        <v>8115</v>
      </c>
      <c r="D705" s="10" t="s">
        <v>8116</v>
      </c>
      <c r="E705" s="10" t="s">
        <v>8117</v>
      </c>
      <c r="F705" s="55"/>
      <c r="G705" s="12" t="s">
        <v>4643</v>
      </c>
      <c r="H705" s="74"/>
      <c r="I705" s="147" t="str">
        <f>HYPERLINK("[#]Datatypes!B230:L230","Boolean")</f>
        <v>Boolean</v>
      </c>
      <c r="J705" s="80"/>
      <c r="K705" s="77"/>
      <c r="L705" s="77"/>
      <c r="M705" s="78"/>
      <c r="N705" s="74"/>
      <c r="O705" s="25">
        <v>119159</v>
      </c>
      <c r="P705" s="304" t="str">
        <f>CONCATENATE([1]Cover!$D$6,"fdd/view?i=",O705)</f>
        <v>https://www.dgiwg.org/FAD/fdd/view?i=119159</v>
      </c>
      <c r="Q705" s="8" t="s">
        <v>8113</v>
      </c>
      <c r="R705" s="38" t="s">
        <v>151</v>
      </c>
    </row>
    <row r="706" spans="1:18" ht="51">
      <c r="A706" s="302" t="str">
        <f t="shared" si="13"/>
        <v>marginNumber</v>
      </c>
      <c r="B706" s="6" t="s">
        <v>8119</v>
      </c>
      <c r="C706" s="17" t="s">
        <v>8120</v>
      </c>
      <c r="D706" s="10" t="s">
        <v>8121</v>
      </c>
      <c r="E706" s="10" t="s">
        <v>8122</v>
      </c>
      <c r="F706" s="55"/>
      <c r="G706" s="12" t="s">
        <v>4643</v>
      </c>
      <c r="H706" s="74"/>
      <c r="I706" s="147" t="str">
        <f>HYPERLINK("[#]Datatypes!B692:L692","Index")</f>
        <v>Index</v>
      </c>
      <c r="J706" s="80"/>
      <c r="K706" s="77"/>
      <c r="L706" s="77"/>
      <c r="M706" s="78"/>
      <c r="N706" s="74"/>
      <c r="O706" s="25">
        <v>200486</v>
      </c>
      <c r="P706" s="304" t="str">
        <f>CONCATENATE([1]Cover!$D$6,"fdd/view?i=",O706)</f>
        <v>https://www.dgiwg.org/FAD/fdd/view?i=200486</v>
      </c>
      <c r="Q706" s="8" t="s">
        <v>8118</v>
      </c>
      <c r="R706" s="38" t="s">
        <v>1295</v>
      </c>
    </row>
    <row r="707" spans="1:18" ht="76.5">
      <c r="A707" s="302" t="str">
        <f t="shared" si="13"/>
        <v>marineBiogeography</v>
      </c>
      <c r="B707" s="6" t="s">
        <v>8124</v>
      </c>
      <c r="C707" s="17" t="s">
        <v>8125</v>
      </c>
      <c r="D707" s="10" t="s">
        <v>8126</v>
      </c>
      <c r="E707" s="10" t="s">
        <v>8127</v>
      </c>
      <c r="F707" s="55"/>
      <c r="G707" s="12" t="s">
        <v>4643</v>
      </c>
      <c r="H707" s="74"/>
      <c r="I707" s="147" t="str">
        <f>HYPERLINK("[#]Datatypes!B814:L814","MarineBiogeographyCode")</f>
        <v>MarineBiogeographyCode</v>
      </c>
      <c r="J707" s="80"/>
      <c r="K707" s="77"/>
      <c r="L707" s="77"/>
      <c r="M707" s="71" t="str">
        <f>HYPERLINK("[#]DatatypeListedValues!A4222:H4222","&lt;values&gt;")</f>
        <v>&lt;values&gt;</v>
      </c>
      <c r="N707" s="82" t="b">
        <v>0</v>
      </c>
      <c r="O707" s="25">
        <v>119193</v>
      </c>
      <c r="P707" s="304" t="str">
        <f>CONCATENATE([1]Cover!$D$6,"fdd/view?i=",O707)</f>
        <v>https://www.dgiwg.org/FAD/fdd/view?i=119193</v>
      </c>
      <c r="Q707" s="8" t="s">
        <v>8123</v>
      </c>
      <c r="R707" s="38" t="s">
        <v>151</v>
      </c>
    </row>
    <row r="708" spans="1:18" ht="25.5">
      <c r="A708" s="302" t="str">
        <f t="shared" ref="A708:A771" si="16">HYPERLINK(P708,B708)</f>
        <v>marineFarmEncloseMethod</v>
      </c>
      <c r="B708" s="6" t="s">
        <v>8130</v>
      </c>
      <c r="C708" s="17" t="s">
        <v>8131</v>
      </c>
      <c r="D708" s="10" t="s">
        <v>8132</v>
      </c>
      <c r="E708" s="55"/>
      <c r="F708" s="55"/>
      <c r="G708" s="12" t="s">
        <v>4643</v>
      </c>
      <c r="H708" s="74"/>
      <c r="I708" s="147" t="str">
        <f>HYPERLINK("[#]Datatypes!B816:L816","MarineFarmEncloseMethodCode")</f>
        <v>MarineFarmEncloseMethodCode</v>
      </c>
      <c r="J708" s="80"/>
      <c r="K708" s="77"/>
      <c r="L708" s="77"/>
      <c r="M708" s="71" t="str">
        <f>HYPERLINK("[#]DatatypeListedValues!A4226:H4226","&lt;values&gt;")</f>
        <v>&lt;values&gt;</v>
      </c>
      <c r="N708" s="82" t="b">
        <v>0</v>
      </c>
      <c r="O708" s="25">
        <v>117794</v>
      </c>
      <c r="P708" s="304" t="str">
        <f>CONCATENATE([1]Cover!$D$6,"fdd/view?i=",O708)</f>
        <v>https://www.dgiwg.org/FAD/fdd/view?i=117794</v>
      </c>
      <c r="Q708" s="8" t="s">
        <v>8129</v>
      </c>
      <c r="R708" s="38" t="s">
        <v>151</v>
      </c>
    </row>
    <row r="709" spans="1:18" ht="25.5">
      <c r="A709" s="302" t="str">
        <f t="shared" si="16"/>
        <v>marineHabitatDepth</v>
      </c>
      <c r="B709" s="6" t="s">
        <v>8135</v>
      </c>
      <c r="C709" s="17" t="s">
        <v>8136</v>
      </c>
      <c r="D709" s="10" t="s">
        <v>8137</v>
      </c>
      <c r="E709" s="55"/>
      <c r="F709" s="55"/>
      <c r="G709" s="12" t="s">
        <v>4643</v>
      </c>
      <c r="H709" s="74"/>
      <c r="I709" s="147" t="str">
        <f>HYPERLINK("[#]Datatypes!B1099:L1099","RealInterval")</f>
        <v>RealInterval</v>
      </c>
      <c r="J709" s="76" t="str">
        <f>HYPERLINK("[#]PhysicalQuantities!A20:N20","Length")</f>
        <v>Length</v>
      </c>
      <c r="K709" s="75" t="str">
        <f>HYPERLINK("[#]UnitsOfMeasure!D80:G80","Metre")</f>
        <v>Metre</v>
      </c>
      <c r="L709" s="77"/>
      <c r="M709" s="78"/>
      <c r="N709" s="74"/>
      <c r="O709" s="25">
        <v>119198</v>
      </c>
      <c r="P709" s="304" t="str">
        <f>CONCATENATE([1]Cover!$D$6,"fdd/view?i=",O709)</f>
        <v>https://www.dgiwg.org/FAD/fdd/view?i=119198</v>
      </c>
      <c r="Q709" s="8" t="s">
        <v>8134</v>
      </c>
      <c r="R709" s="38" t="s">
        <v>151</v>
      </c>
    </row>
    <row r="710" spans="1:18" ht="76.5">
      <c r="A710" s="302" t="str">
        <f t="shared" si="16"/>
        <v>marineSpecies</v>
      </c>
      <c r="B710" s="6" t="s">
        <v>8139</v>
      </c>
      <c r="C710" s="17" t="s">
        <v>8140</v>
      </c>
      <c r="D710" s="10" t="s">
        <v>8141</v>
      </c>
      <c r="E710" s="10" t="s">
        <v>8142</v>
      </c>
      <c r="F710" s="55"/>
      <c r="G710" s="12" t="s">
        <v>4643</v>
      </c>
      <c r="H710" s="74"/>
      <c r="I710" s="147" t="str">
        <f>HYPERLINK("[#]Datatypes!B818:L818","MarineSpeciesCode")</f>
        <v>MarineSpeciesCode</v>
      </c>
      <c r="J710" s="80"/>
      <c r="K710" s="77"/>
      <c r="L710" s="77"/>
      <c r="M710" s="71" t="str">
        <f>HYPERLINK("[#]DatatypeListedValues!A4229:H4229","&lt;values&gt;")</f>
        <v>&lt;values&gt;</v>
      </c>
      <c r="N710" s="82" t="b">
        <v>0</v>
      </c>
      <c r="O710" s="25">
        <v>206234</v>
      </c>
      <c r="P710" s="304" t="str">
        <f>CONCATENATE([1]Cover!$D$6,"fdd/view?i=",O710)</f>
        <v>https://www.dgiwg.org/FAD/fdd/view?i=206234</v>
      </c>
      <c r="Q710" s="8" t="s">
        <v>8138</v>
      </c>
      <c r="R710" s="38" t="s">
        <v>1295</v>
      </c>
    </row>
    <row r="711" spans="1:18" ht="38.25">
      <c r="A711" s="302" t="str">
        <f t="shared" si="16"/>
        <v>marineSpeciesHabitat</v>
      </c>
      <c r="B711" s="6" t="s">
        <v>8145</v>
      </c>
      <c r="C711" s="17" t="s">
        <v>8146</v>
      </c>
      <c r="D711" s="10" t="s">
        <v>8147</v>
      </c>
      <c r="E711" s="10" t="s">
        <v>8148</v>
      </c>
      <c r="F711" s="55"/>
      <c r="G711" s="12" t="s">
        <v>4643</v>
      </c>
      <c r="H711" s="74"/>
      <c r="I711" s="147" t="str">
        <f>HYPERLINK("[#]Datatypes!B820:L820","MarineSpeciesHabitatCode")</f>
        <v>MarineSpeciesHabitatCode</v>
      </c>
      <c r="J711" s="80"/>
      <c r="K711" s="77"/>
      <c r="L711" s="77"/>
      <c r="M711" s="71" t="str">
        <f>HYPERLINK("[#]DatatypeListedValues!A4372:H4372","&lt;values&gt;")</f>
        <v>&lt;values&gt;</v>
      </c>
      <c r="N711" s="82" t="b">
        <v>0</v>
      </c>
      <c r="O711" s="25">
        <v>119197</v>
      </c>
      <c r="P711" s="304" t="str">
        <f>CONCATENATE([1]Cover!$D$6,"fdd/view?i=",O711)</f>
        <v>https://www.dgiwg.org/FAD/fdd/view?i=119197</v>
      </c>
      <c r="Q711" s="8" t="s">
        <v>8144</v>
      </c>
      <c r="R711" s="38" t="s">
        <v>151</v>
      </c>
    </row>
    <row r="712" spans="1:18" ht="25.5">
      <c r="A712" s="302" t="str">
        <f t="shared" si="16"/>
        <v>maritimeAggressiveAction</v>
      </c>
      <c r="B712" s="6" t="s">
        <v>8151</v>
      </c>
      <c r="C712" s="17" t="s">
        <v>8152</v>
      </c>
      <c r="D712" s="10" t="s">
        <v>8153</v>
      </c>
      <c r="E712" s="55"/>
      <c r="F712" s="55"/>
      <c r="G712" s="12" t="s">
        <v>4643</v>
      </c>
      <c r="H712" s="74"/>
      <c r="I712" s="147" t="str">
        <f>HYPERLINK("[#]Datatypes!B822:L822","MaritimeAggressiveActionCode")</f>
        <v>MaritimeAggressiveActionCode</v>
      </c>
      <c r="J712" s="80"/>
      <c r="K712" s="77"/>
      <c r="L712" s="77"/>
      <c r="M712" s="71" t="str">
        <f>HYPERLINK("[#]DatatypeListedValues!A4374:H4374","&lt;values&gt;")</f>
        <v>&lt;values&gt;</v>
      </c>
      <c r="N712" s="82" t="b">
        <v>0</v>
      </c>
      <c r="O712" s="25">
        <v>111470</v>
      </c>
      <c r="P712" s="304" t="str">
        <f>CONCATENATE([1]Cover!$D$6,"fdd/view?i=",O712)</f>
        <v>https://www.dgiwg.org/FAD/fdd/view?i=111470</v>
      </c>
      <c r="Q712" s="8" t="s">
        <v>8150</v>
      </c>
      <c r="R712" s="38" t="s">
        <v>151</v>
      </c>
    </row>
    <row r="713" spans="1:18" ht="25.5">
      <c r="A713" s="302" t="str">
        <f t="shared" si="16"/>
        <v>maritimeAggressorTransport</v>
      </c>
      <c r="B713" s="6" t="s">
        <v>8156</v>
      </c>
      <c r="C713" s="17" t="s">
        <v>8157</v>
      </c>
      <c r="D713" s="10" t="s">
        <v>8158</v>
      </c>
      <c r="E713" s="55"/>
      <c r="F713" s="55"/>
      <c r="G713" s="12" t="s">
        <v>4643</v>
      </c>
      <c r="H713" s="74"/>
      <c r="I713" s="147" t="str">
        <f>HYPERLINK("[#]Datatypes!B824:L824","MaritimeAggressorTransportCode")</f>
        <v>MaritimeAggressorTransportCode</v>
      </c>
      <c r="J713" s="80"/>
      <c r="K713" s="77"/>
      <c r="L713" s="77"/>
      <c r="M713" s="71" t="str">
        <f>HYPERLINK("[#]DatatypeListedValues!A4377:H4377","&lt;values&gt;")</f>
        <v>&lt;values&gt;</v>
      </c>
      <c r="N713" s="82" t="b">
        <v>0</v>
      </c>
      <c r="O713" s="25">
        <v>111471</v>
      </c>
      <c r="P713" s="304" t="str">
        <f>CONCATENATE([1]Cover!$D$6,"fdd/view?i=",O713)</f>
        <v>https://www.dgiwg.org/FAD/fdd/view?i=111471</v>
      </c>
      <c r="Q713" s="8" t="s">
        <v>8155</v>
      </c>
      <c r="R713" s="38" t="s">
        <v>151</v>
      </c>
    </row>
    <row r="714" spans="1:18" ht="38.25">
      <c r="A714" s="302" t="str">
        <f t="shared" si="16"/>
        <v>maritimeAreaRestriction</v>
      </c>
      <c r="B714" s="6" t="s">
        <v>8161</v>
      </c>
      <c r="C714" s="17" t="s">
        <v>8162</v>
      </c>
      <c r="D714" s="10" t="s">
        <v>8163</v>
      </c>
      <c r="E714" s="10" t="s">
        <v>8164</v>
      </c>
      <c r="F714" s="55"/>
      <c r="G714" s="12" t="s">
        <v>4643</v>
      </c>
      <c r="H714" s="12" t="s">
        <v>4700</v>
      </c>
      <c r="I714" s="147" t="str">
        <f>HYPERLINK("[#]Datatypes!B826:L826","MaritimeAreaRestrictionCode")</f>
        <v>MaritimeAreaRestrictionCode</v>
      </c>
      <c r="J714" s="80"/>
      <c r="K714" s="77"/>
      <c r="L714" s="77"/>
      <c r="M714" s="71" t="str">
        <f>HYPERLINK("[#]DatatypeListedValues!A4385:H4385","&lt;values&gt;")</f>
        <v>&lt;values&gt;</v>
      </c>
      <c r="N714" s="82" t="b">
        <v>0</v>
      </c>
      <c r="O714" s="25">
        <v>111116</v>
      </c>
      <c r="P714" s="304" t="str">
        <f>CONCATENATE([1]Cover!$D$6,"fdd/view?i=",O714)</f>
        <v>https://www.dgiwg.org/FAD/fdd/view?i=111116</v>
      </c>
      <c r="Q714" s="8" t="s">
        <v>8160</v>
      </c>
      <c r="R714" s="38" t="s">
        <v>151</v>
      </c>
    </row>
    <row r="715" spans="1:18" ht="51">
      <c r="A715" s="302" t="str">
        <f t="shared" si="16"/>
        <v>maritimeBottomCharacter</v>
      </c>
      <c r="B715" s="6" t="s">
        <v>8167</v>
      </c>
      <c r="C715" s="17" t="s">
        <v>8168</v>
      </c>
      <c r="D715" s="10" t="s">
        <v>8169</v>
      </c>
      <c r="E715" s="55"/>
      <c r="F715" s="55"/>
      <c r="G715" s="12" t="s">
        <v>4643</v>
      </c>
      <c r="H715" s="74"/>
      <c r="I715" s="147" t="str">
        <f>HYPERLINK("[#]Datatypes!B828:L828","MaritimeBottomCharacterStrucText")</f>
        <v>MaritimeBottomCharacterStrucText</v>
      </c>
      <c r="J715" s="80"/>
      <c r="K715" s="77"/>
      <c r="L715" s="77"/>
      <c r="M715" s="78"/>
      <c r="N715" s="74"/>
      <c r="O715" s="25">
        <v>202740</v>
      </c>
      <c r="P715" s="304" t="str">
        <f>CONCATENATE([1]Cover!$D$6,"fdd/view?i=",O715)</f>
        <v>https://www.dgiwg.org/FAD/fdd/view?i=202740</v>
      </c>
      <c r="Q715" s="8" t="s">
        <v>8166</v>
      </c>
      <c r="R715" s="38" t="s">
        <v>1295</v>
      </c>
    </row>
    <row r="716" spans="1:18">
      <c r="A716" s="302" t="str">
        <f t="shared" si="16"/>
        <v>maritimeCasualtyCount</v>
      </c>
      <c r="B716" s="6" t="s">
        <v>8172</v>
      </c>
      <c r="C716" s="17" t="s">
        <v>8173</v>
      </c>
      <c r="D716" s="10" t="s">
        <v>8174</v>
      </c>
      <c r="E716" s="55"/>
      <c r="F716" s="55"/>
      <c r="G716" s="12" t="s">
        <v>4643</v>
      </c>
      <c r="H716" s="74"/>
      <c r="I716" s="147" t="str">
        <f>HYPERLINK("[#]Datatypes!B366:L366","Count")</f>
        <v>Count</v>
      </c>
      <c r="J716" s="76" t="str">
        <f>HYPERLINK("[#]PhysicalQuantities!A39:N39","Pure Number")</f>
        <v>Pure Number</v>
      </c>
      <c r="K716" s="75" t="str">
        <f>HYPERLINK("[#]UnitsOfMeasure!D213:G213","Unitless")</f>
        <v>Unitless</v>
      </c>
      <c r="L716" s="77"/>
      <c r="M716" s="78"/>
      <c r="N716" s="74"/>
      <c r="O716" s="25">
        <v>206185</v>
      </c>
      <c r="P716" s="304" t="str">
        <f>CONCATENATE([1]Cover!$D$6,"fdd/view?i=",O716)</f>
        <v>https://www.dgiwg.org/FAD/fdd/view?i=206185</v>
      </c>
      <c r="Q716" s="8" t="s">
        <v>8171</v>
      </c>
      <c r="R716" s="38" t="s">
        <v>1295</v>
      </c>
    </row>
    <row r="717" spans="1:18" ht="25.5">
      <c r="A717" s="302" t="str">
        <f t="shared" si="16"/>
        <v>maritimeCautionType</v>
      </c>
      <c r="B717" s="6" t="s">
        <v>8176</v>
      </c>
      <c r="C717" s="17" t="s">
        <v>8177</v>
      </c>
      <c r="D717" s="10" t="s">
        <v>8178</v>
      </c>
      <c r="E717" s="55"/>
      <c r="F717" s="55"/>
      <c r="G717" s="12" t="s">
        <v>4643</v>
      </c>
      <c r="H717" s="12" t="s">
        <v>4700</v>
      </c>
      <c r="I717" s="147" t="str">
        <f>HYPERLINK("[#]Datatypes!B830:L830","MaritimeCautionTypeCode")</f>
        <v>MaritimeCautionTypeCode</v>
      </c>
      <c r="J717" s="80"/>
      <c r="K717" s="77"/>
      <c r="L717" s="77"/>
      <c r="M717" s="71" t="str">
        <f>HYPERLINK("[#]DatatypeListedValues!A4427:H4427","&lt;values&gt;")</f>
        <v>&lt;values&gt;</v>
      </c>
      <c r="N717" s="82" t="b">
        <v>0</v>
      </c>
      <c r="O717" s="25">
        <v>111112</v>
      </c>
      <c r="P717" s="304" t="str">
        <f>CONCATENATE([1]Cover!$D$6,"fdd/view?i=",O717)</f>
        <v>https://www.dgiwg.org/FAD/fdd/view?i=111112</v>
      </c>
      <c r="Q717" s="8" t="s">
        <v>8175</v>
      </c>
      <c r="R717" s="38" t="s">
        <v>151</v>
      </c>
    </row>
    <row r="718" spans="1:18" ht="25.5">
      <c r="A718" s="302" t="str">
        <f t="shared" si="16"/>
        <v>maritimeEvasiveActionTaken</v>
      </c>
      <c r="B718" s="6" t="s">
        <v>8181</v>
      </c>
      <c r="C718" s="17" t="s">
        <v>8182</v>
      </c>
      <c r="D718" s="10" t="s">
        <v>8183</v>
      </c>
      <c r="E718" s="55"/>
      <c r="F718" s="55"/>
      <c r="G718" s="12" t="s">
        <v>4643</v>
      </c>
      <c r="H718" s="74"/>
      <c r="I718" s="147" t="str">
        <f>HYPERLINK("[#]Datatypes!B230:L230","Boolean")</f>
        <v>Boolean</v>
      </c>
      <c r="J718" s="80"/>
      <c r="K718" s="77"/>
      <c r="L718" s="77"/>
      <c r="M718" s="78"/>
      <c r="N718" s="74"/>
      <c r="O718" s="25">
        <v>206188</v>
      </c>
      <c r="P718" s="304" t="str">
        <f>CONCATENATE([1]Cover!$D$6,"fdd/view?i=",O718)</f>
        <v>https://www.dgiwg.org/FAD/fdd/view?i=206188</v>
      </c>
      <c r="Q718" s="8" t="s">
        <v>8180</v>
      </c>
      <c r="R718" s="38" t="s">
        <v>1295</v>
      </c>
    </row>
    <row r="719" spans="1:18">
      <c r="A719" s="302" t="str">
        <f t="shared" si="16"/>
        <v>maritimeFatalityCount</v>
      </c>
      <c r="B719" s="6" t="s">
        <v>8185</v>
      </c>
      <c r="C719" s="17" t="s">
        <v>8186</v>
      </c>
      <c r="D719" s="10" t="s">
        <v>8187</v>
      </c>
      <c r="E719" s="55"/>
      <c r="F719" s="55"/>
      <c r="G719" s="12" t="s">
        <v>4643</v>
      </c>
      <c r="H719" s="74"/>
      <c r="I719" s="147" t="str">
        <f>HYPERLINK("[#]Datatypes!B366:L366","Count")</f>
        <v>Count</v>
      </c>
      <c r="J719" s="76" t="str">
        <f>HYPERLINK("[#]PhysicalQuantities!A39:N39","Pure Number")</f>
        <v>Pure Number</v>
      </c>
      <c r="K719" s="75" t="str">
        <f>HYPERLINK("[#]UnitsOfMeasure!D213:G213","Unitless")</f>
        <v>Unitless</v>
      </c>
      <c r="L719" s="77"/>
      <c r="M719" s="78"/>
      <c r="N719" s="74"/>
      <c r="O719" s="25">
        <v>206186</v>
      </c>
      <c r="P719" s="304" t="str">
        <f>CONCATENATE([1]Cover!$D$6,"fdd/view?i=",O719)</f>
        <v>https://www.dgiwg.org/FAD/fdd/view?i=206186</v>
      </c>
      <c r="Q719" s="8" t="s">
        <v>8184</v>
      </c>
      <c r="R719" s="38" t="s">
        <v>1295</v>
      </c>
    </row>
    <row r="720" spans="1:18" ht="38.25">
      <c r="A720" s="302" t="str">
        <f t="shared" si="16"/>
        <v>maritimeGeoLimitType</v>
      </c>
      <c r="B720" s="6" t="s">
        <v>8189</v>
      </c>
      <c r="C720" s="17" t="s">
        <v>8190</v>
      </c>
      <c r="D720" s="10" t="s">
        <v>8191</v>
      </c>
      <c r="E720" s="10" t="s">
        <v>8192</v>
      </c>
      <c r="F720" s="55"/>
      <c r="G720" s="12" t="s">
        <v>4643</v>
      </c>
      <c r="H720" s="74"/>
      <c r="I720" s="147" t="str">
        <f>HYPERLINK("[#]Datatypes!B832:L832","MaritimeGeoLimitTypeCode")</f>
        <v>MaritimeGeoLimitTypeCode</v>
      </c>
      <c r="J720" s="80"/>
      <c r="K720" s="77"/>
      <c r="L720" s="77"/>
      <c r="M720" s="71" t="str">
        <f>HYPERLINK("[#]DatatypeListedValues!A4442:H4442","&lt;values&gt;")</f>
        <v>&lt;values&gt;</v>
      </c>
      <c r="N720" s="82" t="b">
        <v>0</v>
      </c>
      <c r="O720" s="25">
        <v>111109</v>
      </c>
      <c r="P720" s="304" t="str">
        <f>CONCATENATE([1]Cover!$D$6,"fdd/view?i=",O720)</f>
        <v>https://www.dgiwg.org/FAD/fdd/view?i=111109</v>
      </c>
      <c r="Q720" s="8" t="s">
        <v>8188</v>
      </c>
      <c r="R720" s="38" t="s">
        <v>151</v>
      </c>
    </row>
    <row r="721" spans="1:18" ht="25.5">
      <c r="A721" s="302" t="str">
        <f t="shared" si="16"/>
        <v>maritimeLightType</v>
      </c>
      <c r="B721" s="6" t="s">
        <v>8195</v>
      </c>
      <c r="C721" s="17" t="s">
        <v>8196</v>
      </c>
      <c r="D721" s="10" t="s">
        <v>8197</v>
      </c>
      <c r="E721" s="55"/>
      <c r="F721" s="55"/>
      <c r="G721" s="12" t="s">
        <v>4643</v>
      </c>
      <c r="H721" s="12" t="s">
        <v>4700</v>
      </c>
      <c r="I721" s="147" t="str">
        <f>HYPERLINK("[#]Datatypes!B834:L834","MaritimeLightTypeCode")</f>
        <v>MaritimeLightTypeCode</v>
      </c>
      <c r="J721" s="80"/>
      <c r="K721" s="77"/>
      <c r="L721" s="77"/>
      <c r="M721" s="71" t="str">
        <f>HYPERLINK("[#]DatatypeListedValues!A4451:H4451","&lt;values&gt;")</f>
        <v>&lt;values&gt;</v>
      </c>
      <c r="N721" s="82" t="b">
        <v>0</v>
      </c>
      <c r="O721" s="25">
        <v>100998</v>
      </c>
      <c r="P721" s="304" t="str">
        <f>CONCATENATE([1]Cover!$D$6,"fdd/view?i=",O721)</f>
        <v>https://www.dgiwg.org/FAD/fdd/view?i=100998</v>
      </c>
      <c r="Q721" s="8" t="s">
        <v>8194</v>
      </c>
      <c r="R721" s="38" t="s">
        <v>151</v>
      </c>
    </row>
    <row r="722" spans="1:18" ht="25.5">
      <c r="A722" s="302" t="str">
        <f t="shared" si="16"/>
        <v>mariNavBeaconStructType</v>
      </c>
      <c r="B722" s="6" t="s">
        <v>8200</v>
      </c>
      <c r="C722" s="17" t="s">
        <v>8201</v>
      </c>
      <c r="D722" s="10" t="s">
        <v>8202</v>
      </c>
      <c r="E722" s="55"/>
      <c r="F722" s="55"/>
      <c r="G722" s="12" t="s">
        <v>4643</v>
      </c>
      <c r="H722" s="74"/>
      <c r="I722" s="147" t="str">
        <f>HYPERLINK("[#]Datatypes!B836:L836","MariNavBeaconStructTypeCode")</f>
        <v>MariNavBeaconStructTypeCode</v>
      </c>
      <c r="J722" s="80"/>
      <c r="K722" s="77"/>
      <c r="L722" s="77"/>
      <c r="M722" s="71" t="str">
        <f>HYPERLINK("[#]DatatypeListedValues!A4470:H4470","&lt;values&gt;")</f>
        <v>&lt;values&gt;</v>
      </c>
      <c r="N722" s="82" t="b">
        <v>0</v>
      </c>
      <c r="O722" s="25">
        <v>119802</v>
      </c>
      <c r="P722" s="304" t="str">
        <f>CONCATENATE([1]Cover!$D$6,"fdd/view?i=",O722)</f>
        <v>https://www.dgiwg.org/FAD/fdd/view?i=119802</v>
      </c>
      <c r="Q722" s="8" t="s">
        <v>8199</v>
      </c>
      <c r="R722" s="38" t="s">
        <v>1295</v>
      </c>
    </row>
    <row r="723" spans="1:18" ht="25.5">
      <c r="A723" s="302" t="str">
        <f t="shared" si="16"/>
        <v>maritimeNavBeaconType</v>
      </c>
      <c r="B723" s="6" t="s">
        <v>8205</v>
      </c>
      <c r="C723" s="17" t="s">
        <v>8206</v>
      </c>
      <c r="D723" s="10" t="s">
        <v>8207</v>
      </c>
      <c r="E723" s="55"/>
      <c r="F723" s="55"/>
      <c r="G723" s="12" t="s">
        <v>4643</v>
      </c>
      <c r="H723" s="74"/>
      <c r="I723" s="147" t="str">
        <f>HYPERLINK("[#]Datatypes!B838:L838","MaritimeNavBeaconTypeCode")</f>
        <v>MaritimeNavBeaconTypeCode</v>
      </c>
      <c r="J723" s="80"/>
      <c r="K723" s="77"/>
      <c r="L723" s="77"/>
      <c r="M723" s="71" t="str">
        <f>HYPERLINK("[#]DatatypeListedValues!A4476:H4476","&lt;values&gt;")</f>
        <v>&lt;values&gt;</v>
      </c>
      <c r="N723" s="82" t="b">
        <v>0</v>
      </c>
      <c r="O723" s="25">
        <v>100659</v>
      </c>
      <c r="P723" s="304" t="str">
        <f>CONCATENATE([1]Cover!$D$6,"fdd/view?i=",O723)</f>
        <v>https://www.dgiwg.org/FAD/fdd/view?i=100659</v>
      </c>
      <c r="Q723" s="8" t="s">
        <v>8204</v>
      </c>
      <c r="R723" s="38" t="s">
        <v>1295</v>
      </c>
    </row>
    <row r="724" spans="1:18" ht="38.25">
      <c r="A724" s="302" t="str">
        <f t="shared" si="16"/>
        <v>maritimeNavLineFeatures</v>
      </c>
      <c r="B724" s="6" t="s">
        <v>8210</v>
      </c>
      <c r="C724" s="17" t="s">
        <v>8211</v>
      </c>
      <c r="D724" s="10" t="s">
        <v>8212</v>
      </c>
      <c r="E724" s="55"/>
      <c r="F724" s="55"/>
      <c r="G724" s="12" t="s">
        <v>4643</v>
      </c>
      <c r="H724" s="74"/>
      <c r="I724" s="147" t="str">
        <f>HYPERLINK("[#]Datatypes!B840:L840","MaritimeNavLineFeaturesCode")</f>
        <v>MaritimeNavLineFeaturesCode</v>
      </c>
      <c r="J724" s="80"/>
      <c r="K724" s="77"/>
      <c r="L724" s="77"/>
      <c r="M724" s="71" t="str">
        <f>HYPERLINK("[#]DatatypeListedValues!A4555:H4555","&lt;values&gt;")</f>
        <v>&lt;values&gt;</v>
      </c>
      <c r="N724" s="82" t="b">
        <v>0</v>
      </c>
      <c r="O724" s="25">
        <v>100986</v>
      </c>
      <c r="P724" s="304" t="str">
        <f>CONCATENATE([1]Cover!$D$6,"fdd/view?i=",O724)</f>
        <v>https://www.dgiwg.org/FAD/fdd/view?i=100986</v>
      </c>
      <c r="Q724" s="8" t="s">
        <v>8209</v>
      </c>
      <c r="R724" s="38" t="s">
        <v>151</v>
      </c>
    </row>
    <row r="725" spans="1:18" ht="38.25">
      <c r="A725" s="302" t="str">
        <f t="shared" si="16"/>
        <v>maritimeNavigationMarked</v>
      </c>
      <c r="B725" s="6" t="s">
        <v>8215</v>
      </c>
      <c r="C725" s="17" t="s">
        <v>8216</v>
      </c>
      <c r="D725" s="10" t="s">
        <v>8217</v>
      </c>
      <c r="E725" s="10" t="s">
        <v>8218</v>
      </c>
      <c r="F725" s="55"/>
      <c r="G725" s="12" t="s">
        <v>4643</v>
      </c>
      <c r="H725" s="74"/>
      <c r="I725" s="147" t="str">
        <f>HYPERLINK("[#]Datatypes!B230:L230","Boolean")</f>
        <v>Boolean</v>
      </c>
      <c r="J725" s="80"/>
      <c r="K725" s="77"/>
      <c r="L725" s="77"/>
      <c r="M725" s="78"/>
      <c r="N725" s="74"/>
      <c r="O725" s="25">
        <v>111091</v>
      </c>
      <c r="P725" s="304" t="str">
        <f>CONCATENATE([1]Cover!$D$6,"fdd/view?i=",O725)</f>
        <v>https://www.dgiwg.org/FAD/fdd/view?i=111091</v>
      </c>
      <c r="Q725" s="8" t="s">
        <v>8214</v>
      </c>
      <c r="R725" s="38" t="s">
        <v>151</v>
      </c>
    </row>
    <row r="726" spans="1:18" ht="38.25">
      <c r="A726" s="302" t="str">
        <f t="shared" si="16"/>
        <v>maritimeNavRestriction</v>
      </c>
      <c r="B726" s="6" t="s">
        <v>8220</v>
      </c>
      <c r="C726" s="17" t="s">
        <v>8221</v>
      </c>
      <c r="D726" s="10" t="s">
        <v>8222</v>
      </c>
      <c r="E726" s="10" t="s">
        <v>8164</v>
      </c>
      <c r="F726" s="55"/>
      <c r="G726" s="12" t="s">
        <v>4643</v>
      </c>
      <c r="H726" s="12" t="s">
        <v>4700</v>
      </c>
      <c r="I726" s="147" t="str">
        <f>HYPERLINK("[#]Datatypes!B842:L842","MaritimeNavRestrictionCode")</f>
        <v>MaritimeNavRestrictionCode</v>
      </c>
      <c r="J726" s="80"/>
      <c r="K726" s="77"/>
      <c r="L726" s="77"/>
      <c r="M726" s="71" t="str">
        <f>HYPERLINK("[#]DatatypeListedValues!A4564:H4564","&lt;values&gt;")</f>
        <v>&lt;values&gt;</v>
      </c>
      <c r="N726" s="82" t="b">
        <v>0</v>
      </c>
      <c r="O726" s="25">
        <v>111115</v>
      </c>
      <c r="P726" s="304" t="str">
        <f>CONCATENATE([1]Cover!$D$6,"fdd/view?i=",O726)</f>
        <v>https://www.dgiwg.org/FAD/fdd/view?i=111115</v>
      </c>
      <c r="Q726" s="8" t="s">
        <v>8219</v>
      </c>
      <c r="R726" s="38" t="s">
        <v>151</v>
      </c>
    </row>
    <row r="727" spans="1:18" ht="38.25">
      <c r="A727" s="302" t="str">
        <f t="shared" si="16"/>
        <v>maritimeRadiobeaconPresent</v>
      </c>
      <c r="B727" s="6" t="s">
        <v>8225</v>
      </c>
      <c r="C727" s="17" t="s">
        <v>8226</v>
      </c>
      <c r="D727" s="10" t="s">
        <v>8227</v>
      </c>
      <c r="E727" s="10" t="s">
        <v>8228</v>
      </c>
      <c r="F727" s="55"/>
      <c r="G727" s="12" t="s">
        <v>4643</v>
      </c>
      <c r="H727" s="74"/>
      <c r="I727" s="147" t="str">
        <f>HYPERLINK("[#]Datatypes!B230:L230","Boolean")</f>
        <v>Boolean</v>
      </c>
      <c r="J727" s="80"/>
      <c r="K727" s="77"/>
      <c r="L727" s="77"/>
      <c r="M727" s="78"/>
      <c r="N727" s="74"/>
      <c r="O727" s="25">
        <v>114233</v>
      </c>
      <c r="P727" s="304" t="str">
        <f>CONCATENATE([1]Cover!$D$6,"fdd/view?i=",O727)</f>
        <v>https://www.dgiwg.org/FAD/fdd/view?i=114233</v>
      </c>
      <c r="Q727" s="8" t="s">
        <v>8224</v>
      </c>
      <c r="R727" s="38" t="s">
        <v>151</v>
      </c>
    </row>
    <row r="728" spans="1:18" ht="38.25">
      <c r="A728" s="302" t="str">
        <f t="shared" si="16"/>
        <v>maritimeRadiobeaconType</v>
      </c>
      <c r="B728" s="6" t="s">
        <v>8230</v>
      </c>
      <c r="C728" s="17" t="s">
        <v>8231</v>
      </c>
      <c r="D728" s="10" t="s">
        <v>8232</v>
      </c>
      <c r="E728" s="10" t="s">
        <v>8233</v>
      </c>
      <c r="F728" s="55"/>
      <c r="G728" s="12" t="s">
        <v>4643</v>
      </c>
      <c r="H728" s="74"/>
      <c r="I728" s="147" t="str">
        <f>HYPERLINK("[#]Datatypes!B844:L844","MaritimeRadiobeaconTypeCode")</f>
        <v>MaritimeRadiobeaconTypeCode</v>
      </c>
      <c r="J728" s="80"/>
      <c r="K728" s="77"/>
      <c r="L728" s="77"/>
      <c r="M728" s="71" t="str">
        <f>HYPERLINK("[#]DatatypeListedValues!A4594:H4594","&lt;values&gt;")</f>
        <v>&lt;values&gt;</v>
      </c>
      <c r="N728" s="82" t="b">
        <v>0</v>
      </c>
      <c r="O728" s="25">
        <v>114234</v>
      </c>
      <c r="P728" s="304" t="str">
        <f>CONCATENATE([1]Cover!$D$6,"fdd/view?i=",O728)</f>
        <v>https://www.dgiwg.org/FAD/fdd/view?i=114234</v>
      </c>
      <c r="Q728" s="8" t="s">
        <v>8229</v>
      </c>
      <c r="R728" s="38" t="s">
        <v>151</v>
      </c>
    </row>
    <row r="729" spans="1:18" ht="25.5">
      <c r="A729" s="302" t="str">
        <f t="shared" si="16"/>
        <v>maritimeStationName</v>
      </c>
      <c r="B729" s="6" t="s">
        <v>8236</v>
      </c>
      <c r="C729" s="17" t="s">
        <v>8237</v>
      </c>
      <c r="D729" s="10" t="s">
        <v>8238</v>
      </c>
      <c r="E729" s="55"/>
      <c r="F729" s="55"/>
      <c r="G729" s="12" t="s">
        <v>4643</v>
      </c>
      <c r="H729" s="74"/>
      <c r="I729" s="147" t="str">
        <f>HYPERLINK("[#]Datatypes!B1404:L1404","TextLex20")</f>
        <v>TextLex20</v>
      </c>
      <c r="J729" s="80"/>
      <c r="K729" s="77"/>
      <c r="L729" s="77"/>
      <c r="M729" s="78"/>
      <c r="N729" s="74"/>
      <c r="O729" s="25">
        <v>206198</v>
      </c>
      <c r="P729" s="304" t="str">
        <f>CONCATENATE([1]Cover!$D$6,"fdd/view?i=",O729)</f>
        <v>https://www.dgiwg.org/FAD/fdd/view?i=206198</v>
      </c>
      <c r="Q729" s="8" t="s">
        <v>8235</v>
      </c>
      <c r="R729" s="38" t="s">
        <v>1295</v>
      </c>
    </row>
    <row r="730" spans="1:18" ht="25.5">
      <c r="A730" s="302" t="str">
        <f t="shared" si="16"/>
        <v>maritimeStationType</v>
      </c>
      <c r="B730" s="6" t="s">
        <v>8241</v>
      </c>
      <c r="C730" s="17" t="s">
        <v>8242</v>
      </c>
      <c r="D730" s="10" t="s">
        <v>8243</v>
      </c>
      <c r="E730" s="55"/>
      <c r="F730" s="55"/>
      <c r="G730" s="12" t="s">
        <v>4643</v>
      </c>
      <c r="H730" s="12" t="s">
        <v>4700</v>
      </c>
      <c r="I730" s="147" t="str">
        <f>HYPERLINK("[#]Datatypes!B846:L846","MaritimeStationTypeCode")</f>
        <v>MaritimeStationTypeCode</v>
      </c>
      <c r="J730" s="80"/>
      <c r="K730" s="77"/>
      <c r="L730" s="77"/>
      <c r="M730" s="71" t="str">
        <f>HYPERLINK("[#]DatatypeListedValues!A4603:H4603","&lt;values&gt;")</f>
        <v>&lt;values&gt;</v>
      </c>
      <c r="N730" s="82" t="b">
        <v>0</v>
      </c>
      <c r="O730" s="25">
        <v>101334</v>
      </c>
      <c r="P730" s="304" t="str">
        <f>CONCATENATE([1]Cover!$D$6,"fdd/view?i=",O730)</f>
        <v>https://www.dgiwg.org/FAD/fdd/view?i=101334</v>
      </c>
      <c r="Q730" s="8" t="s">
        <v>8240</v>
      </c>
      <c r="R730" s="38" t="s">
        <v>151</v>
      </c>
    </row>
    <row r="731" spans="1:18" ht="25.5">
      <c r="A731" s="302" t="str">
        <f t="shared" si="16"/>
        <v>maritimeStolenItem</v>
      </c>
      <c r="B731" s="6" t="s">
        <v>8246</v>
      </c>
      <c r="C731" s="17" t="s">
        <v>8247</v>
      </c>
      <c r="D731" s="10" t="s">
        <v>8248</v>
      </c>
      <c r="E731" s="55"/>
      <c r="F731" s="55"/>
      <c r="G731" s="12" t="s">
        <v>4643</v>
      </c>
      <c r="H731" s="12" t="s">
        <v>4700</v>
      </c>
      <c r="I731" s="147" t="str">
        <f>HYPERLINK("[#]Datatypes!B1336:L1336","StolenItemCode")</f>
        <v>StolenItemCode</v>
      </c>
      <c r="J731" s="80"/>
      <c r="K731" s="77"/>
      <c r="L731" s="77"/>
      <c r="M731" s="71" t="str">
        <f>HYPERLINK("[#]DatatypeListedValues!A6293:H6293","&lt;values&gt;")</f>
        <v>&lt;values&gt;</v>
      </c>
      <c r="N731" s="82" t="b">
        <v>0</v>
      </c>
      <c r="O731" s="25">
        <v>111729</v>
      </c>
      <c r="P731" s="304" t="str">
        <f>CONCATENATE([1]Cover!$D$6,"fdd/view?i=",O731)</f>
        <v>https://www.dgiwg.org/FAD/fdd/view?i=111729</v>
      </c>
      <c r="Q731" s="8" t="s">
        <v>8245</v>
      </c>
      <c r="R731" s="38" t="s">
        <v>151</v>
      </c>
    </row>
    <row r="732" spans="1:18" ht="38.25">
      <c r="A732" s="302" t="str">
        <f t="shared" si="16"/>
        <v>trafficSchemePart</v>
      </c>
      <c r="B732" s="6" t="s">
        <v>8251</v>
      </c>
      <c r="C732" s="17" t="s">
        <v>8252</v>
      </c>
      <c r="D732" s="10" t="s">
        <v>8253</v>
      </c>
      <c r="E732" s="10" t="s">
        <v>8254</v>
      </c>
      <c r="F732" s="55"/>
      <c r="G732" s="12" t="s">
        <v>4643</v>
      </c>
      <c r="H732" s="74"/>
      <c r="I732" s="147" t="str">
        <f>HYPERLINK("[#]Datatypes!B848:L848","TrafficSchemePartCode")</f>
        <v>TrafficSchemePartCode</v>
      </c>
      <c r="J732" s="80"/>
      <c r="K732" s="77"/>
      <c r="L732" s="77"/>
      <c r="M732" s="71" t="str">
        <f>HYPERLINK("[#]DatatypeListedValues!A4641:H4641","&lt;values&gt;")</f>
        <v>&lt;values&gt;</v>
      </c>
      <c r="N732" s="82" t="b">
        <v>0</v>
      </c>
      <c r="O732" s="25">
        <v>101393</v>
      </c>
      <c r="P732" s="304" t="str">
        <f>CONCATENATE([1]Cover!$D$6,"fdd/view?i=",O732)</f>
        <v>https://www.dgiwg.org/FAD/fdd/view?i=101393</v>
      </c>
      <c r="Q732" s="8" t="s">
        <v>8250</v>
      </c>
      <c r="R732" s="38" t="s">
        <v>151</v>
      </c>
    </row>
    <row r="733" spans="1:18" ht="25.5">
      <c r="A733" s="302" t="str">
        <f t="shared" si="16"/>
        <v>markerRadioBeaconClass</v>
      </c>
      <c r="B733" s="6" t="s">
        <v>8257</v>
      </c>
      <c r="C733" s="17" t="s">
        <v>8258</v>
      </c>
      <c r="D733" s="10" t="s">
        <v>8259</v>
      </c>
      <c r="E733" s="10" t="s">
        <v>8260</v>
      </c>
      <c r="F733" s="55"/>
      <c r="G733" s="12" t="s">
        <v>4643</v>
      </c>
      <c r="H733" s="74"/>
      <c r="I733" s="147" t="str">
        <f>HYPERLINK("[#]Datatypes!B850:L850","MarkerRadioBeaconClassCode")</f>
        <v>MarkerRadioBeaconClassCode</v>
      </c>
      <c r="J733" s="80"/>
      <c r="K733" s="77"/>
      <c r="L733" s="77"/>
      <c r="M733" s="71" t="str">
        <f>HYPERLINK("[#]DatatypeListedValues!A4652:H4652","&lt;values&gt;")</f>
        <v>&lt;values&gt;</v>
      </c>
      <c r="N733" s="82" t="b">
        <v>0</v>
      </c>
      <c r="O733" s="25">
        <v>117624</v>
      </c>
      <c r="P733" s="304" t="str">
        <f>CONCATENATE([1]Cover!$D$6,"fdd/view?i=",O733)</f>
        <v>https://www.dgiwg.org/FAD/fdd/view?i=117624</v>
      </c>
      <c r="Q733" s="8" t="s">
        <v>8256</v>
      </c>
      <c r="R733" s="38" t="s">
        <v>151</v>
      </c>
    </row>
    <row r="734" spans="1:18" ht="38.25">
      <c r="A734" s="302" t="str">
        <f t="shared" si="16"/>
        <v>markerRadioBeaconType</v>
      </c>
      <c r="B734" s="6" t="s">
        <v>8263</v>
      </c>
      <c r="C734" s="17" t="s">
        <v>8264</v>
      </c>
      <c r="D734" s="10" t="s">
        <v>8265</v>
      </c>
      <c r="E734" s="10" t="s">
        <v>8266</v>
      </c>
      <c r="F734" s="55"/>
      <c r="G734" s="12" t="s">
        <v>4643</v>
      </c>
      <c r="H734" s="74"/>
      <c r="I734" s="147" t="str">
        <f>HYPERLINK("[#]Datatypes!B852:L852","MarkerRadioBeaconTypeCode")</f>
        <v>MarkerRadioBeaconTypeCode</v>
      </c>
      <c r="J734" s="80"/>
      <c r="K734" s="77"/>
      <c r="L734" s="77"/>
      <c r="M734" s="71" t="str">
        <f>HYPERLINK("[#]DatatypeListedValues!A4656:H4656","&lt;values&gt;")</f>
        <v>&lt;values&gt;</v>
      </c>
      <c r="N734" s="82" t="b">
        <v>0</v>
      </c>
      <c r="O734" s="25">
        <v>117622</v>
      </c>
      <c r="P734" s="304" t="str">
        <f>CONCATENATE([1]Cover!$D$6,"fdd/view?i=",O734)</f>
        <v>https://www.dgiwg.org/FAD/fdd/view?i=117622</v>
      </c>
      <c r="Q734" s="8" t="s">
        <v>8262</v>
      </c>
      <c r="R734" s="38" t="s">
        <v>151</v>
      </c>
    </row>
    <row r="735" spans="1:18" ht="38.25">
      <c r="A735" s="302" t="str">
        <f t="shared" si="16"/>
        <v>maximumAltitude</v>
      </c>
      <c r="B735" s="6" t="s">
        <v>8269</v>
      </c>
      <c r="C735" s="17" t="s">
        <v>8270</v>
      </c>
      <c r="D735" s="10" t="s">
        <v>8271</v>
      </c>
      <c r="E735" s="10" t="s">
        <v>8272</v>
      </c>
      <c r="F735" s="55"/>
      <c r="G735" s="12" t="s">
        <v>4643</v>
      </c>
      <c r="H735" s="74"/>
      <c r="I735" s="147" t="str">
        <f>HYPERLINK("[#]Datatypes!B1097:L1097","Real")</f>
        <v>Real</v>
      </c>
      <c r="J735" s="76" t="str">
        <f>HYPERLINK("[#]PhysicalQuantities!A20:N20","Length")</f>
        <v>Length</v>
      </c>
      <c r="K735" s="75" t="str">
        <f>HYPERLINK("[#]UnitsOfMeasure!D80:G80","Metre")</f>
        <v>Metre</v>
      </c>
      <c r="L735" s="77"/>
      <c r="M735" s="78"/>
      <c r="N735" s="74"/>
      <c r="O735" s="25">
        <v>118922</v>
      </c>
      <c r="P735" s="304" t="str">
        <f>CONCATENATE([1]Cover!$D$6,"fdd/view?i=",O735)</f>
        <v>https://www.dgiwg.org/FAD/fdd/view?i=118922</v>
      </c>
      <c r="Q735" s="8" t="s">
        <v>8268</v>
      </c>
      <c r="R735" s="38" t="s">
        <v>151</v>
      </c>
    </row>
    <row r="736" spans="1:18" ht="25.5">
      <c r="A736" s="302" t="str">
        <f t="shared" si="16"/>
        <v>maximumDesignWaterDepth</v>
      </c>
      <c r="B736" s="6" t="s">
        <v>8274</v>
      </c>
      <c r="C736" s="17" t="s">
        <v>8275</v>
      </c>
      <c r="D736" s="10" t="s">
        <v>8276</v>
      </c>
      <c r="E736" s="55"/>
      <c r="F736" s="55"/>
      <c r="G736" s="12" t="s">
        <v>4643</v>
      </c>
      <c r="H736" s="74"/>
      <c r="I736" s="147" t="str">
        <f>HYPERLINK("[#]Datatypes!B1097:L1097","Real")</f>
        <v>Real</v>
      </c>
      <c r="J736" s="76" t="str">
        <f>HYPERLINK("[#]PhysicalQuantities!A20:N20","Length")</f>
        <v>Length</v>
      </c>
      <c r="K736" s="75" t="str">
        <f>HYPERLINK("[#]UnitsOfMeasure!D80:G80","Metre")</f>
        <v>Metre</v>
      </c>
      <c r="L736" s="77"/>
      <c r="M736" s="78"/>
      <c r="N736" s="74"/>
      <c r="O736" s="25">
        <v>119587</v>
      </c>
      <c r="P736" s="304" t="str">
        <f>CONCATENATE([1]Cover!$D$6,"fdd/view?i=",O736)</f>
        <v>https://www.dgiwg.org/FAD/fdd/view?i=119587</v>
      </c>
      <c r="Q736" s="8" t="s">
        <v>8273</v>
      </c>
      <c r="R736" s="38" t="s">
        <v>151</v>
      </c>
    </row>
    <row r="737" spans="1:18" ht="25.5">
      <c r="A737" s="302" t="str">
        <f t="shared" si="16"/>
        <v>maximumObstacleHeight</v>
      </c>
      <c r="B737" s="6" t="s">
        <v>8278</v>
      </c>
      <c r="C737" s="17" t="s">
        <v>8279</v>
      </c>
      <c r="D737" s="10" t="s">
        <v>8280</v>
      </c>
      <c r="E737" s="10" t="s">
        <v>8281</v>
      </c>
      <c r="F737" s="55"/>
      <c r="G737" s="12" t="s">
        <v>4643</v>
      </c>
      <c r="H737" s="74"/>
      <c r="I737" s="147" t="str">
        <f>HYPERLINK("[#]Datatypes!B1099:L1099","RealInterval")</f>
        <v>RealInterval</v>
      </c>
      <c r="J737" s="76" t="str">
        <f>HYPERLINK("[#]PhysicalQuantities!A20:N20","Length")</f>
        <v>Length</v>
      </c>
      <c r="K737" s="75" t="str">
        <f>HYPERLINK("[#]UnitsOfMeasure!D80:G80","Metre")</f>
        <v>Metre</v>
      </c>
      <c r="L737" s="77"/>
      <c r="M737" s="78"/>
      <c r="N737" s="74"/>
      <c r="O737" s="25">
        <v>109955</v>
      </c>
      <c r="P737" s="304" t="str">
        <f>CONCATENATE([1]Cover!$D$6,"fdd/view?i=",O737)</f>
        <v>https://www.dgiwg.org/FAD/fdd/view?i=109955</v>
      </c>
      <c r="Q737" s="8" t="s">
        <v>8277</v>
      </c>
      <c r="R737" s="38" t="s">
        <v>151</v>
      </c>
    </row>
    <row r="738" spans="1:18">
      <c r="A738" s="302" t="str">
        <f t="shared" si="16"/>
        <v>maximumSurveySpacing</v>
      </c>
      <c r="B738" s="6" t="s">
        <v>8283</v>
      </c>
      <c r="C738" s="17" t="s">
        <v>8284</v>
      </c>
      <c r="D738" s="10" t="s">
        <v>8285</v>
      </c>
      <c r="E738" s="55"/>
      <c r="F738" s="55"/>
      <c r="G738" s="12" t="s">
        <v>4643</v>
      </c>
      <c r="H738" s="74"/>
      <c r="I738" s="147" t="str">
        <f>HYPERLINK("[#]Datatypes!B710:L710","Integer")</f>
        <v>Integer</v>
      </c>
      <c r="J738" s="76" t="str">
        <f>HYPERLINK("[#]PhysicalQuantities!A20:N20","Length")</f>
        <v>Length</v>
      </c>
      <c r="K738" s="75" t="str">
        <f>HYPERLINK("[#]UnitsOfMeasure!D80:G80","Metre")</f>
        <v>Metre</v>
      </c>
      <c r="L738" s="77"/>
      <c r="M738" s="78"/>
      <c r="N738" s="74"/>
      <c r="O738" s="25">
        <v>200251</v>
      </c>
      <c r="P738" s="304" t="str">
        <f>CONCATENATE([1]Cover!$D$6,"fdd/view?i=",O738)</f>
        <v>https://www.dgiwg.org/FAD/fdd/view?i=200251</v>
      </c>
      <c r="Q738" s="8" t="s">
        <v>8282</v>
      </c>
      <c r="R738" s="38" t="s">
        <v>1295</v>
      </c>
    </row>
    <row r="739" spans="1:18" ht="25.5">
      <c r="A739" s="302" t="str">
        <f t="shared" si="16"/>
        <v>maximumVerticalClearance</v>
      </c>
      <c r="B739" s="6" t="s">
        <v>8287</v>
      </c>
      <c r="C739" s="17" t="s">
        <v>8288</v>
      </c>
      <c r="D739" s="10" t="s">
        <v>8289</v>
      </c>
      <c r="E739" s="55"/>
      <c r="F739" s="55"/>
      <c r="G739" s="12" t="s">
        <v>4643</v>
      </c>
      <c r="H739" s="74"/>
      <c r="I739" s="147" t="str">
        <f>HYPERLINK("[#]Datatypes!B1097:L1097","Real")</f>
        <v>Real</v>
      </c>
      <c r="J739" s="76" t="str">
        <f>HYPERLINK("[#]PhysicalQuantities!A20:N20","Length")</f>
        <v>Length</v>
      </c>
      <c r="K739" s="75" t="str">
        <f>HYPERLINK("[#]UnitsOfMeasure!D80:G80","Metre")</f>
        <v>Metre</v>
      </c>
      <c r="L739" s="77"/>
      <c r="M739" s="78"/>
      <c r="N739" s="74"/>
      <c r="O739" s="25">
        <v>101085</v>
      </c>
      <c r="P739" s="304" t="str">
        <f>CONCATENATE([1]Cover!$D$6,"fdd/view?i=",O739)</f>
        <v>https://www.dgiwg.org/FAD/fdd/view?i=101085</v>
      </c>
      <c r="Q739" s="8" t="s">
        <v>8286</v>
      </c>
      <c r="R739" s="38" t="s">
        <v>151</v>
      </c>
    </row>
    <row r="740" spans="1:18" ht="38.25">
      <c r="A740" s="302" t="str">
        <f t="shared" si="16"/>
        <v>medianPresent</v>
      </c>
      <c r="B740" s="6" t="s">
        <v>8291</v>
      </c>
      <c r="C740" s="17" t="s">
        <v>8292</v>
      </c>
      <c r="D740" s="10" t="s">
        <v>8293</v>
      </c>
      <c r="E740" s="10" t="s">
        <v>8294</v>
      </c>
      <c r="F740" s="55"/>
      <c r="G740" s="12" t="s">
        <v>4643</v>
      </c>
      <c r="H740" s="74"/>
      <c r="I740" s="147" t="str">
        <f>HYPERLINK("[#]Datatypes!B230:L230","Boolean")</f>
        <v>Boolean</v>
      </c>
      <c r="J740" s="80"/>
      <c r="K740" s="77"/>
      <c r="L740" s="77"/>
      <c r="M740" s="78"/>
      <c r="N740" s="74"/>
      <c r="O740" s="25">
        <v>101041</v>
      </c>
      <c r="P740" s="304" t="str">
        <f>CONCATENATE([1]Cover!$D$6,"fdd/view?i=",O740)</f>
        <v>https://www.dgiwg.org/FAD/fdd/view?i=101041</v>
      </c>
      <c r="Q740" s="8" t="s">
        <v>8290</v>
      </c>
      <c r="R740" s="38" t="s">
        <v>151</v>
      </c>
    </row>
    <row r="741" spans="1:18">
      <c r="A741" s="302" t="str">
        <f t="shared" si="16"/>
        <v>mediaReported</v>
      </c>
      <c r="B741" s="6" t="s">
        <v>8296</v>
      </c>
      <c r="C741" s="17" t="s">
        <v>8297</v>
      </c>
      <c r="D741" s="10" t="s">
        <v>8298</v>
      </c>
      <c r="E741" s="55"/>
      <c r="F741" s="55"/>
      <c r="G741" s="12" t="s">
        <v>4643</v>
      </c>
      <c r="H741" s="74"/>
      <c r="I741" s="147" t="str">
        <f>HYPERLINK("[#]Datatypes!B230:L230","Boolean")</f>
        <v>Boolean</v>
      </c>
      <c r="J741" s="80"/>
      <c r="K741" s="77"/>
      <c r="L741" s="77"/>
      <c r="M741" s="78"/>
      <c r="N741" s="74"/>
      <c r="O741" s="25">
        <v>206187</v>
      </c>
      <c r="P741" s="304" t="str">
        <f>CONCATENATE([1]Cover!$D$6,"fdd/view?i=",O741)</f>
        <v>https://www.dgiwg.org/FAD/fdd/view?i=206187</v>
      </c>
      <c r="Q741" s="8" t="s">
        <v>8295</v>
      </c>
      <c r="R741" s="38" t="s">
        <v>1295</v>
      </c>
    </row>
    <row r="742" spans="1:18" ht="51">
      <c r="A742" s="302" t="str">
        <f t="shared" si="16"/>
        <v>medicalFacilityType</v>
      </c>
      <c r="B742" s="6" t="s">
        <v>8300</v>
      </c>
      <c r="C742" s="17" t="s">
        <v>8301</v>
      </c>
      <c r="D742" s="10" t="s">
        <v>8302</v>
      </c>
      <c r="E742" s="10" t="s">
        <v>8303</v>
      </c>
      <c r="F742" s="55"/>
      <c r="G742" s="12" t="s">
        <v>4643</v>
      </c>
      <c r="H742" s="12" t="s">
        <v>4700</v>
      </c>
      <c r="I742" s="147" t="str">
        <f>HYPERLINK("[#]Datatypes!B854:L854","MedicalFacilityTypeCode")</f>
        <v>MedicalFacilityTypeCode</v>
      </c>
      <c r="J742" s="80"/>
      <c r="K742" s="77"/>
      <c r="L742" s="77"/>
      <c r="M742" s="71" t="str">
        <f>HYPERLINK("[#]DatatypeListedValues!A4660:H4660","&lt;values&gt;")</f>
        <v>&lt;values&gt;</v>
      </c>
      <c r="N742" s="82" t="b">
        <v>0</v>
      </c>
      <c r="O742" s="25">
        <v>204366</v>
      </c>
      <c r="P742" s="304" t="str">
        <f>CONCATENATE([1]Cover!$D$6,"fdd/view?i=",O742)</f>
        <v>https://www.dgiwg.org/FAD/fdd/view?i=204366</v>
      </c>
      <c r="Q742" s="8" t="s">
        <v>8299</v>
      </c>
      <c r="R742" s="38" t="s">
        <v>1295</v>
      </c>
    </row>
    <row r="743" spans="1:18" ht="38.25">
      <c r="A743" s="302" t="str">
        <f t="shared" si="16"/>
        <v>memorandum</v>
      </c>
      <c r="B743" s="6" t="s">
        <v>8306</v>
      </c>
      <c r="C743" s="17" t="s">
        <v>8307</v>
      </c>
      <c r="D743" s="10" t="s">
        <v>8308</v>
      </c>
      <c r="E743" s="10" t="s">
        <v>8309</v>
      </c>
      <c r="F743" s="55"/>
      <c r="G743" s="12" t="s">
        <v>4643</v>
      </c>
      <c r="H743" s="74"/>
      <c r="I743" s="147" t="str">
        <f>HYPERLINK("[#]Datatypes!B1416:L1416","TextLexUnconstrained")</f>
        <v>TextLexUnconstrained</v>
      </c>
      <c r="J743" s="80"/>
      <c r="K743" s="77"/>
      <c r="L743" s="77"/>
      <c r="M743" s="78"/>
      <c r="N743" s="74"/>
      <c r="O743" s="25">
        <v>111625</v>
      </c>
      <c r="P743" s="304" t="str">
        <f>CONCATENATE([1]Cover!$D$6,"fdd/view?i=",O743)</f>
        <v>https://www.dgiwg.org/FAD/fdd/view?i=111625</v>
      </c>
      <c r="Q743" s="8" t="s">
        <v>8305</v>
      </c>
      <c r="R743" s="38" t="s">
        <v>151</v>
      </c>
    </row>
    <row r="744" spans="1:18" ht="25.5">
      <c r="A744" s="302" t="str">
        <f t="shared" si="16"/>
        <v>memorandumType</v>
      </c>
      <c r="B744" s="6" t="s">
        <v>8311</v>
      </c>
      <c r="C744" s="17" t="s">
        <v>8312</v>
      </c>
      <c r="D744" s="10" t="s">
        <v>8313</v>
      </c>
      <c r="E744" s="55"/>
      <c r="F744" s="55"/>
      <c r="G744" s="12" t="s">
        <v>4643</v>
      </c>
      <c r="H744" s="74"/>
      <c r="I744" s="147" t="str">
        <f>HYPERLINK("[#]Datatypes!B856:L856","MemorandumTypeCode")</f>
        <v>MemorandumTypeCode</v>
      </c>
      <c r="J744" s="80"/>
      <c r="K744" s="77"/>
      <c r="L744" s="77"/>
      <c r="M744" s="71" t="str">
        <f>HYPERLINK("[#]DatatypeListedValues!A4683:H4683","&lt;values&gt;")</f>
        <v>&lt;values&gt;</v>
      </c>
      <c r="N744" s="82" t="b">
        <v>0</v>
      </c>
      <c r="O744" s="25">
        <v>111627</v>
      </c>
      <c r="P744" s="304" t="str">
        <f>CONCATENATE([1]Cover!$D$6,"fdd/view?i=",O744)</f>
        <v>https://www.dgiwg.org/FAD/fdd/view?i=111627</v>
      </c>
      <c r="Q744" s="8" t="s">
        <v>8310</v>
      </c>
      <c r="R744" s="38" t="s">
        <v>151</v>
      </c>
    </row>
    <row r="745" spans="1:18" ht="25.5">
      <c r="A745" s="302" t="str">
        <f t="shared" si="16"/>
        <v>messageBody</v>
      </c>
      <c r="B745" s="6" t="s">
        <v>8316</v>
      </c>
      <c r="C745" s="17" t="s">
        <v>8317</v>
      </c>
      <c r="D745" s="10" t="s">
        <v>8318</v>
      </c>
      <c r="E745" s="10" t="s">
        <v>8309</v>
      </c>
      <c r="F745" s="55"/>
      <c r="G745" s="12" t="s">
        <v>4643</v>
      </c>
      <c r="H745" s="74"/>
      <c r="I745" s="147" t="str">
        <f>HYPERLINK("[#]Datatypes!B1416:L1416","TextLexUnconstrained")</f>
        <v>TextLexUnconstrained</v>
      </c>
      <c r="J745" s="80"/>
      <c r="K745" s="77"/>
      <c r="L745" s="77"/>
      <c r="M745" s="78"/>
      <c r="N745" s="74"/>
      <c r="O745" s="25">
        <v>114229</v>
      </c>
      <c r="P745" s="304" t="str">
        <f>CONCATENATE([1]Cover!$D$6,"fdd/view?i=",O745)</f>
        <v>https://www.dgiwg.org/FAD/fdd/view?i=114229</v>
      </c>
      <c r="Q745" s="8" t="s">
        <v>8315</v>
      </c>
      <c r="R745" s="38" t="s">
        <v>151</v>
      </c>
    </row>
    <row r="746" spans="1:18" ht="38.25">
      <c r="A746" s="302" t="str">
        <f t="shared" si="16"/>
        <v>messageCancellingAuthority</v>
      </c>
      <c r="B746" s="6" t="s">
        <v>8320</v>
      </c>
      <c r="C746" s="17" t="s">
        <v>8321</v>
      </c>
      <c r="D746" s="10" t="s">
        <v>8322</v>
      </c>
      <c r="E746" s="55"/>
      <c r="F746" s="55"/>
      <c r="G746" s="12" t="s">
        <v>4643</v>
      </c>
      <c r="H746" s="74"/>
      <c r="I746" s="147" t="str">
        <f>HYPERLINK("[#]Datatypes!B1442:L1442","TextNonLexUnconstrained")</f>
        <v>TextNonLexUnconstrained</v>
      </c>
      <c r="J746" s="80"/>
      <c r="K746" s="77"/>
      <c r="L746" s="77"/>
      <c r="M746" s="78"/>
      <c r="N746" s="74"/>
      <c r="O746" s="25">
        <v>114230</v>
      </c>
      <c r="P746" s="304" t="str">
        <f>CONCATENATE([1]Cover!$D$6,"fdd/view?i=",O746)</f>
        <v>https://www.dgiwg.org/FAD/fdd/view?i=114230</v>
      </c>
      <c r="Q746" s="8" t="s">
        <v>8319</v>
      </c>
      <c r="R746" s="38" t="s">
        <v>151</v>
      </c>
    </row>
    <row r="747" spans="1:18" ht="25.5">
      <c r="A747" s="302" t="str">
        <f t="shared" si="16"/>
        <v>messageDateTimeActive</v>
      </c>
      <c r="B747" s="6" t="s">
        <v>8324</v>
      </c>
      <c r="C747" s="17" t="s">
        <v>8325</v>
      </c>
      <c r="D747" s="10" t="s">
        <v>8326</v>
      </c>
      <c r="E747" s="55"/>
      <c r="F747" s="55"/>
      <c r="G747" s="12" t="s">
        <v>4643</v>
      </c>
      <c r="H747" s="74"/>
      <c r="I747" s="147" t="str">
        <f>HYPERLINK("[#]Datatypes!B858:L858","MessageDateTimeActiveStrucText")</f>
        <v>MessageDateTimeActiveStrucText</v>
      </c>
      <c r="J747" s="80"/>
      <c r="K747" s="77"/>
      <c r="L747" s="77"/>
      <c r="M747" s="78"/>
      <c r="N747" s="74"/>
      <c r="O747" s="25">
        <v>114227</v>
      </c>
      <c r="P747" s="304" t="str">
        <f>CONCATENATE([1]Cover!$D$6,"fdd/view?i=",O747)</f>
        <v>https://www.dgiwg.org/FAD/fdd/view?i=114227</v>
      </c>
      <c r="Q747" s="8" t="s">
        <v>8323</v>
      </c>
      <c r="R747" s="38" t="s">
        <v>1295</v>
      </c>
    </row>
    <row r="748" spans="1:18" ht="25.5">
      <c r="A748" s="302" t="str">
        <f t="shared" si="16"/>
        <v>messageSequenceNumber</v>
      </c>
      <c r="B748" s="6" t="s">
        <v>8329</v>
      </c>
      <c r="C748" s="17" t="s">
        <v>8330</v>
      </c>
      <c r="D748" s="10" t="s">
        <v>8331</v>
      </c>
      <c r="E748" s="55"/>
      <c r="F748" s="55"/>
      <c r="G748" s="12" t="s">
        <v>4643</v>
      </c>
      <c r="H748" s="74"/>
      <c r="I748" s="147" t="str">
        <f>HYPERLINK("[#]Datatypes!B956:L956","IntegerNonNegative")</f>
        <v>IntegerNonNegative</v>
      </c>
      <c r="J748" s="76" t="str">
        <f>HYPERLINK("[#]PhysicalQuantities!A39:N39","Pure Number")</f>
        <v>Pure Number</v>
      </c>
      <c r="K748" s="75" t="str">
        <f>HYPERLINK("[#]UnitsOfMeasure!D213:G213","Unitless")</f>
        <v>Unitless</v>
      </c>
      <c r="L748" s="77"/>
      <c r="M748" s="78"/>
      <c r="N748" s="74"/>
      <c r="O748" s="25">
        <v>111638</v>
      </c>
      <c r="P748" s="304" t="str">
        <f>CONCATENATE([1]Cover!$D$6,"fdd/view?i=",O748)</f>
        <v>https://www.dgiwg.org/FAD/fdd/view?i=111638</v>
      </c>
      <c r="Q748" s="8" t="s">
        <v>8328</v>
      </c>
      <c r="R748" s="38" t="s">
        <v>151</v>
      </c>
    </row>
    <row r="749" spans="1:18" ht="25.5">
      <c r="A749" s="302" t="str">
        <f t="shared" si="16"/>
        <v>contact</v>
      </c>
      <c r="B749" s="6" t="s">
        <v>8333</v>
      </c>
      <c r="C749" s="17" t="s">
        <v>8334</v>
      </c>
      <c r="D749" s="10" t="s">
        <v>8335</v>
      </c>
      <c r="E749" s="55"/>
      <c r="F749" s="55"/>
      <c r="G749" s="12" t="s">
        <v>4643</v>
      </c>
      <c r="H749" s="74"/>
      <c r="I749" s="147" t="str">
        <f>HYPERLINK("[#]Datatypes!B1211:L1211","ResPartyStrucText")</f>
        <v>ResPartyStrucText</v>
      </c>
      <c r="J749" s="80"/>
      <c r="K749" s="77"/>
      <c r="L749" s="77"/>
      <c r="M749" s="78"/>
      <c r="N749" s="74"/>
      <c r="O749" s="25">
        <v>207163</v>
      </c>
      <c r="P749" s="304" t="str">
        <f>CONCATENATE([1]Cover!$D$6,"fdd/view?i=",O749)</f>
        <v>https://www.dgiwg.org/FAD/fdd/view?i=207163</v>
      </c>
      <c r="Q749" s="8" t="s">
        <v>8332</v>
      </c>
      <c r="R749" s="38" t="s">
        <v>1295</v>
      </c>
    </row>
    <row r="750" spans="1:18" ht="25.5">
      <c r="A750" s="302" t="str">
        <f t="shared" si="16"/>
        <v>dateStamp</v>
      </c>
      <c r="B750" s="6" t="s">
        <v>8337</v>
      </c>
      <c r="C750" s="17" t="s">
        <v>8338</v>
      </c>
      <c r="D750" s="10" t="s">
        <v>8339</v>
      </c>
      <c r="E750" s="55"/>
      <c r="F750" s="55"/>
      <c r="G750" s="12" t="s">
        <v>4643</v>
      </c>
      <c r="H750" s="74"/>
      <c r="I750" s="147" t="str">
        <f>HYPERLINK("[#]Datatypes!B436:L436","DateStrucText")</f>
        <v>DateStrucText</v>
      </c>
      <c r="J750" s="80"/>
      <c r="K750" s="77"/>
      <c r="L750" s="77"/>
      <c r="M750" s="78"/>
      <c r="N750" s="74"/>
      <c r="O750" s="25">
        <v>207164</v>
      </c>
      <c r="P750" s="304" t="str">
        <f>CONCATENATE([1]Cover!$D$6,"fdd/view?i=",O750)</f>
        <v>https://www.dgiwg.org/FAD/fdd/view?i=207164</v>
      </c>
      <c r="Q750" s="8" t="s">
        <v>8336</v>
      </c>
      <c r="R750" s="38" t="s">
        <v>1295</v>
      </c>
    </row>
    <row r="751" spans="1:18">
      <c r="A751" s="302" t="str">
        <f t="shared" si="16"/>
        <v>fileIdentifier</v>
      </c>
      <c r="B751" s="6" t="s">
        <v>8342</v>
      </c>
      <c r="C751" s="17" t="s">
        <v>8343</v>
      </c>
      <c r="D751" s="10" t="s">
        <v>8344</v>
      </c>
      <c r="E751" s="55"/>
      <c r="F751" s="55"/>
      <c r="G751" s="12" t="s">
        <v>4643</v>
      </c>
      <c r="H751" s="74"/>
      <c r="I751" s="147" t="str">
        <f>HYPERLINK("[#]Datatypes!B1416:L1416","TextLexUnconstrained")</f>
        <v>TextLexUnconstrained</v>
      </c>
      <c r="J751" s="80"/>
      <c r="K751" s="77"/>
      <c r="L751" s="77"/>
      <c r="M751" s="78"/>
      <c r="N751" s="74"/>
      <c r="O751" s="25">
        <v>207160</v>
      </c>
      <c r="P751" s="304" t="str">
        <f>CONCATENATE([1]Cover!$D$6,"fdd/view?i=",O751)</f>
        <v>https://www.dgiwg.org/FAD/fdd/view?i=207160</v>
      </c>
      <c r="Q751" s="8" t="s">
        <v>8341</v>
      </c>
      <c r="R751" s="38" t="s">
        <v>1295</v>
      </c>
    </row>
    <row r="752" spans="1:18" ht="25.5">
      <c r="A752" s="302" t="str">
        <f t="shared" si="16"/>
        <v>hierarchyLevel</v>
      </c>
      <c r="B752" s="6" t="s">
        <v>8346</v>
      </c>
      <c r="C752" s="17" t="s">
        <v>8347</v>
      </c>
      <c r="D752" s="10" t="s">
        <v>8348</v>
      </c>
      <c r="E752" s="55"/>
      <c r="F752" s="55"/>
      <c r="G752" s="12" t="s">
        <v>4643</v>
      </c>
      <c r="H752" s="74"/>
      <c r="I752" s="147" t="str">
        <f>HYPERLINK("[#]Datatypes!B1251:L1251","MD_ScopeCode")</f>
        <v>MD_ScopeCode</v>
      </c>
      <c r="J752" s="80"/>
      <c r="K752" s="77"/>
      <c r="L752" s="77"/>
      <c r="M752" s="78"/>
      <c r="N752" s="74"/>
      <c r="O752" s="25">
        <v>207161</v>
      </c>
      <c r="P752" s="304" t="str">
        <f>CONCATENATE([1]Cover!$D$6,"fdd/view?i=",O752)</f>
        <v>https://www.dgiwg.org/FAD/fdd/view?i=207161</v>
      </c>
      <c r="Q752" s="8" t="s">
        <v>8345</v>
      </c>
      <c r="R752" s="38" t="s">
        <v>1295</v>
      </c>
    </row>
    <row r="753" spans="1:18" ht="25.5">
      <c r="A753" s="302" t="str">
        <f t="shared" si="16"/>
        <v>hierarchyLevelName</v>
      </c>
      <c r="B753" s="6" t="s">
        <v>8351</v>
      </c>
      <c r="C753" s="17" t="s">
        <v>8352</v>
      </c>
      <c r="D753" s="10" t="s">
        <v>8353</v>
      </c>
      <c r="E753" s="55"/>
      <c r="F753" s="55"/>
      <c r="G753" s="12" t="s">
        <v>4643</v>
      </c>
      <c r="H753" s="74"/>
      <c r="I753" s="147" t="str">
        <f>HYPERLINK("[#]Datatypes!B1416:L1416","TextLexUnconstrained")</f>
        <v>TextLexUnconstrained</v>
      </c>
      <c r="J753" s="80"/>
      <c r="K753" s="77"/>
      <c r="L753" s="77"/>
      <c r="M753" s="78"/>
      <c r="N753" s="74"/>
      <c r="O753" s="25">
        <v>207162</v>
      </c>
      <c r="P753" s="304" t="str">
        <f>CONCATENATE([1]Cover!$D$6,"fdd/view?i=",O753)</f>
        <v>https://www.dgiwg.org/FAD/fdd/view?i=207162</v>
      </c>
      <c r="Q753" s="8" t="s">
        <v>8350</v>
      </c>
      <c r="R753" s="38" t="s">
        <v>1295</v>
      </c>
    </row>
    <row r="754" spans="1:18" ht="25.5">
      <c r="A754" s="302" t="str">
        <f t="shared" si="16"/>
        <v>metadataStandardName</v>
      </c>
      <c r="B754" s="6" t="s">
        <v>8355</v>
      </c>
      <c r="C754" s="17" t="s">
        <v>8356</v>
      </c>
      <c r="D754" s="10" t="s">
        <v>8357</v>
      </c>
      <c r="E754" s="55"/>
      <c r="F754" s="55"/>
      <c r="G754" s="12" t="s">
        <v>4643</v>
      </c>
      <c r="H754" s="74"/>
      <c r="I754" s="147" t="str">
        <f>HYPERLINK("[#]Datatypes!B1416:L1416","TextLexUnconstrained")</f>
        <v>TextLexUnconstrained</v>
      </c>
      <c r="J754" s="80"/>
      <c r="K754" s="77"/>
      <c r="L754" s="77"/>
      <c r="M754" s="78"/>
      <c r="N754" s="74"/>
      <c r="O754" s="25">
        <v>207165</v>
      </c>
      <c r="P754" s="304" t="str">
        <f>CONCATENATE([1]Cover!$D$6,"fdd/view?i=",O754)</f>
        <v>https://www.dgiwg.org/FAD/fdd/view?i=207165</v>
      </c>
      <c r="Q754" s="8" t="s">
        <v>8354</v>
      </c>
      <c r="R754" s="38" t="s">
        <v>1295</v>
      </c>
    </row>
    <row r="755" spans="1:18" ht="25.5">
      <c r="A755" s="302" t="str">
        <f t="shared" si="16"/>
        <v>metadataStandardVersion</v>
      </c>
      <c r="B755" s="6" t="s">
        <v>8359</v>
      </c>
      <c r="C755" s="17" t="s">
        <v>8360</v>
      </c>
      <c r="D755" s="10" t="s">
        <v>8361</v>
      </c>
      <c r="E755" s="55"/>
      <c r="F755" s="55"/>
      <c r="G755" s="12" t="s">
        <v>4643</v>
      </c>
      <c r="H755" s="74"/>
      <c r="I755" s="147" t="str">
        <f>HYPERLINK("[#]Datatypes!B1416:L1416","TextLexUnconstrained")</f>
        <v>TextLexUnconstrained</v>
      </c>
      <c r="J755" s="80"/>
      <c r="K755" s="77"/>
      <c r="L755" s="77"/>
      <c r="M755" s="78"/>
      <c r="N755" s="74"/>
      <c r="O755" s="25">
        <v>207166</v>
      </c>
      <c r="P755" s="304" t="str">
        <f>CONCATENATE([1]Cover!$D$6,"fdd/view?i=",O755)</f>
        <v>https://www.dgiwg.org/FAD/fdd/view?i=207166</v>
      </c>
      <c r="Q755" s="8" t="s">
        <v>8358</v>
      </c>
      <c r="R755" s="38" t="s">
        <v>1295</v>
      </c>
    </row>
    <row r="756" spans="1:18" ht="38.25">
      <c r="A756" s="302" t="str">
        <f t="shared" si="16"/>
        <v>mlsChannel</v>
      </c>
      <c r="B756" s="6" t="s">
        <v>8363</v>
      </c>
      <c r="C756" s="17" t="s">
        <v>8364</v>
      </c>
      <c r="D756" s="10" t="s">
        <v>8365</v>
      </c>
      <c r="E756" s="10" t="s">
        <v>8366</v>
      </c>
      <c r="F756" s="55"/>
      <c r="G756" s="12" t="s">
        <v>4643</v>
      </c>
      <c r="H756" s="74"/>
      <c r="I756" s="147" t="str">
        <f>HYPERLINK("[#]Datatypes!B862:L862","MlsChannelCode")</f>
        <v>MlsChannelCode</v>
      </c>
      <c r="J756" s="80"/>
      <c r="K756" s="77"/>
      <c r="L756" s="77"/>
      <c r="M756" s="71" t="str">
        <f>HYPERLINK("[#]DatatypeListedValues!A4688:H4688","&lt;values&gt;")</f>
        <v>&lt;values&gt;</v>
      </c>
      <c r="N756" s="12" t="b">
        <v>1</v>
      </c>
      <c r="O756" s="25">
        <v>117539</v>
      </c>
      <c r="P756" s="304" t="str">
        <f>CONCATENATE([1]Cover!$D$6,"fdd/view?i=",O756)</f>
        <v>https://www.dgiwg.org/FAD/fdd/view?i=117539</v>
      </c>
      <c r="Q756" s="8" t="s">
        <v>8362</v>
      </c>
      <c r="R756" s="38" t="s">
        <v>151</v>
      </c>
    </row>
    <row r="757" spans="1:18" ht="63.75">
      <c r="A757" s="302" t="str">
        <f t="shared" si="16"/>
        <v>mlsElevationAngleAcc</v>
      </c>
      <c r="B757" s="6" t="s">
        <v>8369</v>
      </c>
      <c r="C757" s="17" t="s">
        <v>8370</v>
      </c>
      <c r="D757" s="10" t="s">
        <v>8371</v>
      </c>
      <c r="E757" s="10" t="s">
        <v>8372</v>
      </c>
      <c r="F757" s="55"/>
      <c r="G757" s="12" t="s">
        <v>4643</v>
      </c>
      <c r="H757" s="74"/>
      <c r="I757" s="147" t="str">
        <f>HYPERLINK("[#]Datatypes!B958:L958","RealNonNegative")</f>
        <v>RealNonNegative</v>
      </c>
      <c r="J757" s="76" t="str">
        <f t="shared" ref="J757:J764" si="17">HYPERLINK("[#]PhysicalQuantities!A34:N34","Plane Angle")</f>
        <v>Plane Angle</v>
      </c>
      <c r="K757" s="75" t="str">
        <f t="shared" ref="K757:K764" si="18">HYPERLINK("[#]UnitsOfMeasure!D159:G159","Arc Degree")</f>
        <v>Arc Degree</v>
      </c>
      <c r="L757" s="77"/>
      <c r="M757" s="78"/>
      <c r="N757" s="74"/>
      <c r="O757" s="25">
        <v>119586</v>
      </c>
      <c r="P757" s="304" t="str">
        <f>CONCATENATE([1]Cover!$D$6,"fdd/view?i=",O757)</f>
        <v>https://www.dgiwg.org/FAD/fdd/view?i=119586</v>
      </c>
      <c r="Q757" s="8" t="s">
        <v>8368</v>
      </c>
      <c r="R757" s="38" t="s">
        <v>151</v>
      </c>
    </row>
    <row r="758" spans="1:18" ht="38.25">
      <c r="A758" s="302" t="str">
        <f t="shared" si="16"/>
        <v>mlsLeftAngleCoverage</v>
      </c>
      <c r="B758" s="6" t="s">
        <v>8374</v>
      </c>
      <c r="C758" s="17" t="s">
        <v>8375</v>
      </c>
      <c r="D758" s="10" t="s">
        <v>8376</v>
      </c>
      <c r="E758" s="55"/>
      <c r="F758" s="55"/>
      <c r="G758" s="12" t="s">
        <v>4643</v>
      </c>
      <c r="H758" s="74"/>
      <c r="I758" s="147" t="str">
        <f t="shared" ref="I758:I764" si="19">HYPERLINK("[#]Datatypes!B1097:L1097","Real")</f>
        <v>Real</v>
      </c>
      <c r="J758" s="76" t="str">
        <f t="shared" si="17"/>
        <v>Plane Angle</v>
      </c>
      <c r="K758" s="75" t="str">
        <f t="shared" si="18"/>
        <v>Arc Degree</v>
      </c>
      <c r="L758" s="77"/>
      <c r="M758" s="78"/>
      <c r="N758" s="74"/>
      <c r="O758" s="25">
        <v>117631</v>
      </c>
      <c r="P758" s="304" t="str">
        <f>CONCATENATE([1]Cover!$D$6,"fdd/view?i=",O758)</f>
        <v>https://www.dgiwg.org/FAD/fdd/view?i=117631</v>
      </c>
      <c r="Q758" s="8" t="s">
        <v>8373</v>
      </c>
      <c r="R758" s="38" t="s">
        <v>151</v>
      </c>
    </row>
    <row r="759" spans="1:18" ht="51">
      <c r="A759" s="302" t="str">
        <f t="shared" si="16"/>
        <v>mlsLeftAngleProportion</v>
      </c>
      <c r="B759" s="6" t="s">
        <v>8378</v>
      </c>
      <c r="C759" s="17" t="s">
        <v>8379</v>
      </c>
      <c r="D759" s="10" t="s">
        <v>8380</v>
      </c>
      <c r="E759" s="55"/>
      <c r="F759" s="55"/>
      <c r="G759" s="12" t="s">
        <v>4643</v>
      </c>
      <c r="H759" s="74"/>
      <c r="I759" s="147" t="str">
        <f t="shared" si="19"/>
        <v>Real</v>
      </c>
      <c r="J759" s="76" t="str">
        <f t="shared" si="17"/>
        <v>Plane Angle</v>
      </c>
      <c r="K759" s="75" t="str">
        <f t="shared" si="18"/>
        <v>Arc Degree</v>
      </c>
      <c r="L759" s="77"/>
      <c r="M759" s="78"/>
      <c r="N759" s="74"/>
      <c r="O759" s="25">
        <v>117633</v>
      </c>
      <c r="P759" s="304" t="str">
        <f>CONCATENATE([1]Cover!$D$6,"fdd/view?i=",O759)</f>
        <v>https://www.dgiwg.org/FAD/fdd/view?i=117633</v>
      </c>
      <c r="Q759" s="8" t="s">
        <v>8377</v>
      </c>
      <c r="R759" s="38" t="s">
        <v>151</v>
      </c>
    </row>
    <row r="760" spans="1:18" ht="25.5">
      <c r="A760" s="302" t="str">
        <f t="shared" si="16"/>
        <v>mlsMinimumAngle</v>
      </c>
      <c r="B760" s="6" t="s">
        <v>8382</v>
      </c>
      <c r="C760" s="17" t="s">
        <v>8383</v>
      </c>
      <c r="D760" s="10" t="s">
        <v>8384</v>
      </c>
      <c r="E760" s="55"/>
      <c r="F760" s="55"/>
      <c r="G760" s="12" t="s">
        <v>4643</v>
      </c>
      <c r="H760" s="74"/>
      <c r="I760" s="147" t="str">
        <f t="shared" si="19"/>
        <v>Real</v>
      </c>
      <c r="J760" s="76" t="str">
        <f t="shared" si="17"/>
        <v>Plane Angle</v>
      </c>
      <c r="K760" s="75" t="str">
        <f t="shared" si="18"/>
        <v>Arc Degree</v>
      </c>
      <c r="L760" s="77"/>
      <c r="M760" s="78"/>
      <c r="N760" s="74"/>
      <c r="O760" s="25">
        <v>117611</v>
      </c>
      <c r="P760" s="304" t="str">
        <f>CONCATENATE([1]Cover!$D$6,"fdd/view?i=",O760)</f>
        <v>https://www.dgiwg.org/FAD/fdd/view?i=117611</v>
      </c>
      <c r="Q760" s="8" t="s">
        <v>8381</v>
      </c>
      <c r="R760" s="38" t="s">
        <v>151</v>
      </c>
    </row>
    <row r="761" spans="1:18" ht="38.25">
      <c r="A761" s="302" t="str">
        <f t="shared" si="16"/>
        <v>mlsNominalAngle</v>
      </c>
      <c r="B761" s="6" t="s">
        <v>8386</v>
      </c>
      <c r="C761" s="17" t="s">
        <v>8387</v>
      </c>
      <c r="D761" s="10" t="s">
        <v>8388</v>
      </c>
      <c r="E761" s="55"/>
      <c r="F761" s="55"/>
      <c r="G761" s="12" t="s">
        <v>4643</v>
      </c>
      <c r="H761" s="74"/>
      <c r="I761" s="147" t="str">
        <f t="shared" si="19"/>
        <v>Real</v>
      </c>
      <c r="J761" s="76" t="str">
        <f t="shared" si="17"/>
        <v>Plane Angle</v>
      </c>
      <c r="K761" s="75" t="str">
        <f t="shared" si="18"/>
        <v>Arc Degree</v>
      </c>
      <c r="L761" s="77"/>
      <c r="M761" s="78"/>
      <c r="N761" s="74"/>
      <c r="O761" s="25">
        <v>117613</v>
      </c>
      <c r="P761" s="304" t="str">
        <f>CONCATENATE([1]Cover!$D$6,"fdd/view?i=",O761)</f>
        <v>https://www.dgiwg.org/FAD/fdd/view?i=117613</v>
      </c>
      <c r="Q761" s="8" t="s">
        <v>8385</v>
      </c>
      <c r="R761" s="38" t="s">
        <v>151</v>
      </c>
    </row>
    <row r="762" spans="1:18" ht="38.25">
      <c r="A762" s="302" t="str">
        <f t="shared" si="16"/>
        <v>mlsRightAngleCoverage</v>
      </c>
      <c r="B762" s="6" t="s">
        <v>8390</v>
      </c>
      <c r="C762" s="17" t="s">
        <v>8391</v>
      </c>
      <c r="D762" s="10" t="s">
        <v>8392</v>
      </c>
      <c r="E762" s="55"/>
      <c r="F762" s="55"/>
      <c r="G762" s="12" t="s">
        <v>4643</v>
      </c>
      <c r="H762" s="74"/>
      <c r="I762" s="147" t="str">
        <f t="shared" si="19"/>
        <v>Real</v>
      </c>
      <c r="J762" s="76" t="str">
        <f t="shared" si="17"/>
        <v>Plane Angle</v>
      </c>
      <c r="K762" s="75" t="str">
        <f t="shared" si="18"/>
        <v>Arc Degree</v>
      </c>
      <c r="L762" s="77"/>
      <c r="M762" s="78"/>
      <c r="N762" s="74"/>
      <c r="O762" s="25">
        <v>117630</v>
      </c>
      <c r="P762" s="304" t="str">
        <f>CONCATENATE([1]Cover!$D$6,"fdd/view?i=",O762)</f>
        <v>https://www.dgiwg.org/FAD/fdd/view?i=117630</v>
      </c>
      <c r="Q762" s="8" t="s">
        <v>8389</v>
      </c>
      <c r="R762" s="38" t="s">
        <v>151</v>
      </c>
    </row>
    <row r="763" spans="1:18" ht="51">
      <c r="A763" s="302" t="str">
        <f t="shared" si="16"/>
        <v>mlsRightAngleProportion</v>
      </c>
      <c r="B763" s="6" t="s">
        <v>8394</v>
      </c>
      <c r="C763" s="17" t="s">
        <v>8395</v>
      </c>
      <c r="D763" s="10" t="s">
        <v>8396</v>
      </c>
      <c r="E763" s="55"/>
      <c r="F763" s="55"/>
      <c r="G763" s="12" t="s">
        <v>4643</v>
      </c>
      <c r="H763" s="74"/>
      <c r="I763" s="147" t="str">
        <f t="shared" si="19"/>
        <v>Real</v>
      </c>
      <c r="J763" s="76" t="str">
        <f t="shared" si="17"/>
        <v>Plane Angle</v>
      </c>
      <c r="K763" s="75" t="str">
        <f t="shared" si="18"/>
        <v>Arc Degree</v>
      </c>
      <c r="L763" s="77"/>
      <c r="M763" s="78"/>
      <c r="N763" s="74"/>
      <c r="O763" s="25">
        <v>117632</v>
      </c>
      <c r="P763" s="304" t="str">
        <f>CONCATENATE([1]Cover!$D$6,"fdd/view?i=",O763)</f>
        <v>https://www.dgiwg.org/FAD/fdd/view?i=117632</v>
      </c>
      <c r="Q763" s="8" t="s">
        <v>8393</v>
      </c>
      <c r="R763" s="38" t="s">
        <v>151</v>
      </c>
    </row>
    <row r="764" spans="1:18" ht="38.25">
      <c r="A764" s="302" t="str">
        <f t="shared" si="16"/>
        <v>mlsSpanAngle</v>
      </c>
      <c r="B764" s="6" t="s">
        <v>8398</v>
      </c>
      <c r="C764" s="17" t="s">
        <v>8399</v>
      </c>
      <c r="D764" s="10" t="s">
        <v>8400</v>
      </c>
      <c r="E764" s="55"/>
      <c r="F764" s="55"/>
      <c r="G764" s="12" t="s">
        <v>4643</v>
      </c>
      <c r="H764" s="74"/>
      <c r="I764" s="147" t="str">
        <f t="shared" si="19"/>
        <v>Real</v>
      </c>
      <c r="J764" s="76" t="str">
        <f t="shared" si="17"/>
        <v>Plane Angle</v>
      </c>
      <c r="K764" s="75" t="str">
        <f t="shared" si="18"/>
        <v>Arc Degree</v>
      </c>
      <c r="L764" s="77"/>
      <c r="M764" s="78"/>
      <c r="N764" s="74"/>
      <c r="O764" s="25">
        <v>117614</v>
      </c>
      <c r="P764" s="304" t="str">
        <f>CONCATENATE([1]Cover!$D$6,"fdd/view?i=",O764)</f>
        <v>https://www.dgiwg.org/FAD/fdd/view?i=117614</v>
      </c>
      <c r="Q764" s="8" t="s">
        <v>8397</v>
      </c>
      <c r="R764" s="38" t="s">
        <v>151</v>
      </c>
    </row>
    <row r="765" spans="1:18" ht="25.5">
      <c r="A765" s="302" t="str">
        <f t="shared" si="16"/>
        <v>mlsUnitAssociationType</v>
      </c>
      <c r="B765" s="6" t="s">
        <v>8402</v>
      </c>
      <c r="C765" s="17" t="s">
        <v>8403</v>
      </c>
      <c r="D765" s="10" t="s">
        <v>8404</v>
      </c>
      <c r="E765" s="55"/>
      <c r="F765" s="55"/>
      <c r="G765" s="12" t="s">
        <v>4643</v>
      </c>
      <c r="H765" s="74"/>
      <c r="I765" s="147" t="str">
        <f>HYPERLINK("[#]Datatypes!B864:L864","MlsUnitAssociationTypeCode")</f>
        <v>MlsUnitAssociationTypeCode</v>
      </c>
      <c r="J765" s="80"/>
      <c r="K765" s="77"/>
      <c r="L765" s="77"/>
      <c r="M765" s="71" t="str">
        <f>HYPERLINK("[#]DatatypeListedValues!A4888:H4888","&lt;values&gt;")</f>
        <v>&lt;values&gt;</v>
      </c>
      <c r="N765" s="82" t="b">
        <v>0</v>
      </c>
      <c r="O765" s="25">
        <v>117634</v>
      </c>
      <c r="P765" s="304" t="str">
        <f>CONCATENATE([1]Cover!$D$6,"fdd/view?i=",O765)</f>
        <v>https://www.dgiwg.org/FAD/fdd/view?i=117634</v>
      </c>
      <c r="Q765" s="8" t="s">
        <v>8401</v>
      </c>
      <c r="R765" s="38" t="s">
        <v>151</v>
      </c>
    </row>
    <row r="766" spans="1:18" ht="25.5">
      <c r="A766" s="302" t="str">
        <f t="shared" si="16"/>
        <v>militaryBridgeInformation</v>
      </c>
      <c r="B766" s="6" t="s">
        <v>8407</v>
      </c>
      <c r="C766" s="17" t="s">
        <v>8408</v>
      </c>
      <c r="D766" s="10" t="s">
        <v>8409</v>
      </c>
      <c r="E766" s="55"/>
      <c r="F766" s="55"/>
      <c r="G766" s="12" t="s">
        <v>4643</v>
      </c>
      <c r="H766" s="74"/>
      <c r="I766" s="147" t="str">
        <f>HYPERLINK("[#]Datatypes!B1416:L1416","TextLexUnconstrained")</f>
        <v>TextLexUnconstrained</v>
      </c>
      <c r="J766" s="80"/>
      <c r="K766" s="77"/>
      <c r="L766" s="77"/>
      <c r="M766" s="78"/>
      <c r="N766" s="74"/>
      <c r="O766" s="25">
        <v>101028</v>
      </c>
      <c r="P766" s="304" t="str">
        <f>CONCATENATE([1]Cover!$D$6,"fdd/view?i=",O766)</f>
        <v>https://www.dgiwg.org/FAD/fdd/view?i=101028</v>
      </c>
      <c r="Q766" s="8" t="s">
        <v>8406</v>
      </c>
      <c r="R766" s="38" t="s">
        <v>151</v>
      </c>
    </row>
    <row r="767" spans="1:18" ht="25.5">
      <c r="A767" s="302" t="str">
        <f t="shared" si="16"/>
        <v>militaryEnvironHazardCat</v>
      </c>
      <c r="B767" s="6" t="s">
        <v>8411</v>
      </c>
      <c r="C767" s="17" t="s">
        <v>8412</v>
      </c>
      <c r="D767" s="10" t="s">
        <v>8413</v>
      </c>
      <c r="E767" s="55"/>
      <c r="F767" s="55"/>
      <c r="G767" s="12" t="s">
        <v>4643</v>
      </c>
      <c r="H767" s="12" t="s">
        <v>4700</v>
      </c>
      <c r="I767" s="147" t="str">
        <f>HYPERLINK("[#]Datatypes!B360:L360","ContaminantCategoryCode")</f>
        <v>ContaminantCategoryCode</v>
      </c>
      <c r="J767" s="80"/>
      <c r="K767" s="77"/>
      <c r="L767" s="77"/>
      <c r="M767" s="71" t="str">
        <f>HYPERLINK("[#]DatatypeListedValues!A2244:H2244","&lt;values&gt;")</f>
        <v>&lt;values&gt;</v>
      </c>
      <c r="N767" s="82" t="b">
        <v>0</v>
      </c>
      <c r="O767" s="25">
        <v>118065</v>
      </c>
      <c r="P767" s="304" t="str">
        <f>CONCATENATE([1]Cover!$D$6,"fdd/view?i=",O767)</f>
        <v>https://www.dgiwg.org/FAD/fdd/view?i=118065</v>
      </c>
      <c r="Q767" s="8" t="s">
        <v>8410</v>
      </c>
      <c r="R767" s="38" t="s">
        <v>151</v>
      </c>
    </row>
    <row r="768" spans="1:18" ht="38.25">
      <c r="A768" s="302" t="str">
        <f t="shared" si="16"/>
        <v>mgrsLocation</v>
      </c>
      <c r="B768" s="6" t="s">
        <v>8416</v>
      </c>
      <c r="C768" s="17" t="s">
        <v>8417</v>
      </c>
      <c r="D768" s="10" t="s">
        <v>8418</v>
      </c>
      <c r="E768" s="10" t="s">
        <v>8419</v>
      </c>
      <c r="F768" s="55"/>
      <c r="G768" s="12" t="s">
        <v>4643</v>
      </c>
      <c r="H768" s="74"/>
      <c r="I768" s="147" t="str">
        <f>HYPERLINK("[#]Datatypes!B860:L860","MgrsLocationStrucText")</f>
        <v>MgrsLocationStrucText</v>
      </c>
      <c r="J768" s="80"/>
      <c r="K768" s="77"/>
      <c r="L768" s="77"/>
      <c r="M768" s="78"/>
      <c r="N768" s="74"/>
      <c r="O768" s="25">
        <v>114231</v>
      </c>
      <c r="P768" s="304" t="str">
        <f>CONCATENATE([1]Cover!$D$6,"fdd/view?i=",O768)</f>
        <v>https://www.dgiwg.org/FAD/fdd/view?i=114231</v>
      </c>
      <c r="Q768" s="8" t="s">
        <v>8415</v>
      </c>
      <c r="R768" s="38" t="s">
        <v>151</v>
      </c>
    </row>
    <row r="769" spans="1:18" ht="25.5">
      <c r="A769" s="302" t="str">
        <f t="shared" si="16"/>
        <v>militaryMinProcHeight</v>
      </c>
      <c r="B769" s="6" t="s">
        <v>8422</v>
      </c>
      <c r="C769" s="17" t="s">
        <v>8423</v>
      </c>
      <c r="D769" s="10" t="s">
        <v>8424</v>
      </c>
      <c r="E769" s="55"/>
      <c r="F769" s="55"/>
      <c r="G769" s="12" t="s">
        <v>4643</v>
      </c>
      <c r="H769" s="74"/>
      <c r="I769" s="147" t="str">
        <f>HYPERLINK("[#]Datatypes!B1097:L1097","Real")</f>
        <v>Real</v>
      </c>
      <c r="J769" s="76" t="str">
        <f>HYPERLINK("[#]PhysicalQuantities!A20:N20","Length")</f>
        <v>Length</v>
      </c>
      <c r="K769" s="75" t="str">
        <f>HYPERLINK("[#]UnitsOfMeasure!D80:G80","Metre")</f>
        <v>Metre</v>
      </c>
      <c r="L769" s="77"/>
      <c r="M769" s="78"/>
      <c r="N769" s="74"/>
      <c r="O769" s="25">
        <v>117635</v>
      </c>
      <c r="P769" s="304" t="str">
        <f>CONCATENATE([1]Cover!$D$6,"fdd/view?i=",O769)</f>
        <v>https://www.dgiwg.org/FAD/fdd/view?i=117635</v>
      </c>
      <c r="Q769" s="8" t="s">
        <v>8421</v>
      </c>
      <c r="R769" s="38" t="s">
        <v>151</v>
      </c>
    </row>
    <row r="770" spans="1:18" ht="25.5">
      <c r="A770" s="302" t="str">
        <f t="shared" si="16"/>
        <v>militaryMinProcVisibility</v>
      </c>
      <c r="B770" s="6" t="s">
        <v>8426</v>
      </c>
      <c r="C770" s="17" t="s">
        <v>8427</v>
      </c>
      <c r="D770" s="10" t="s">
        <v>8428</v>
      </c>
      <c r="E770" s="55"/>
      <c r="F770" s="55"/>
      <c r="G770" s="12" t="s">
        <v>4643</v>
      </c>
      <c r="H770" s="74"/>
      <c r="I770" s="147" t="str">
        <f>HYPERLINK("[#]Datatypes!B1097:L1097","Real")</f>
        <v>Real</v>
      </c>
      <c r="J770" s="76" t="str">
        <f>HYPERLINK("[#]PhysicalQuantities!A20:N20","Length")</f>
        <v>Length</v>
      </c>
      <c r="K770" s="75" t="str">
        <f>HYPERLINK("[#]UnitsOfMeasure!D80:G80","Metre")</f>
        <v>Metre</v>
      </c>
      <c r="L770" s="77"/>
      <c r="M770" s="78"/>
      <c r="N770" s="74"/>
      <c r="O770" s="25">
        <v>117636</v>
      </c>
      <c r="P770" s="304" t="str">
        <f>CONCATENATE([1]Cover!$D$6,"fdd/view?i=",O770)</f>
        <v>https://www.dgiwg.org/FAD/fdd/view?i=117636</v>
      </c>
      <c r="Q770" s="8" t="s">
        <v>8425</v>
      </c>
      <c r="R770" s="38" t="s">
        <v>151</v>
      </c>
    </row>
    <row r="771" spans="1:18">
      <c r="A771" s="302" t="str">
        <f t="shared" si="16"/>
        <v>militaryRouteUse</v>
      </c>
      <c r="B771" s="6" t="s">
        <v>8430</v>
      </c>
      <c r="C771" s="17" t="s">
        <v>8431</v>
      </c>
      <c r="D771" s="10" t="s">
        <v>8432</v>
      </c>
      <c r="E771" s="55"/>
      <c r="F771" s="55"/>
      <c r="G771" s="12" t="s">
        <v>4643</v>
      </c>
      <c r="H771" s="12" t="s">
        <v>4837</v>
      </c>
      <c r="I771" s="147" t="str">
        <f>HYPERLINK("[#]Datatypes!B866:L866","MilitaryRouteUseCode")</f>
        <v>MilitaryRouteUseCode</v>
      </c>
      <c r="J771" s="80"/>
      <c r="K771" s="77"/>
      <c r="L771" s="77"/>
      <c r="M771" s="71" t="str">
        <f>HYPERLINK("[#]DatatypeListedValues!A4890:H4890","&lt;values&gt;")</f>
        <v>&lt;values&gt;</v>
      </c>
      <c r="N771" s="82" t="b">
        <v>0</v>
      </c>
      <c r="O771" s="25">
        <v>117640</v>
      </c>
      <c r="P771" s="304" t="str">
        <f>CONCATENATE([1]Cover!$D$6,"fdd/view?i=",O771)</f>
        <v>https://www.dgiwg.org/FAD/fdd/view?i=117640</v>
      </c>
      <c r="Q771" s="8" t="s">
        <v>8429</v>
      </c>
      <c r="R771" s="38" t="s">
        <v>151</v>
      </c>
    </row>
    <row r="772" spans="1:18" ht="25.5">
      <c r="A772" s="302" t="str">
        <f t="shared" ref="A772:A835" si="20">HYPERLINK(P772,B772)</f>
        <v>militaryServiceBranch</v>
      </c>
      <c r="B772" s="6" t="s">
        <v>8435</v>
      </c>
      <c r="C772" s="17" t="s">
        <v>8436</v>
      </c>
      <c r="D772" s="10" t="s">
        <v>8437</v>
      </c>
      <c r="E772" s="10" t="s">
        <v>8438</v>
      </c>
      <c r="F772" s="55"/>
      <c r="G772" s="12" t="s">
        <v>4643</v>
      </c>
      <c r="H772" s="74"/>
      <c r="I772" s="147" t="str">
        <f>HYPERLINK("[#]Datatypes!B868:L868","MilitaryServiceBranchCode")</f>
        <v>MilitaryServiceBranchCode</v>
      </c>
      <c r="J772" s="80"/>
      <c r="K772" s="77"/>
      <c r="L772" s="77"/>
      <c r="M772" s="71" t="str">
        <f>HYPERLINK("[#]DatatypeListedValues!A4893:H4893","&lt;values&gt;")</f>
        <v>&lt;values&gt;</v>
      </c>
      <c r="N772" s="82" t="b">
        <v>0</v>
      </c>
      <c r="O772" s="25">
        <v>101522</v>
      </c>
      <c r="P772" s="304" t="str">
        <f>CONCATENATE([1]Cover!$D$6,"fdd/view?i=",O772)</f>
        <v>https://www.dgiwg.org/FAD/fdd/view?i=101522</v>
      </c>
      <c r="Q772" s="8" t="s">
        <v>8434</v>
      </c>
      <c r="R772" s="38" t="s">
        <v>151</v>
      </c>
    </row>
    <row r="773" spans="1:18">
      <c r="A773" s="302" t="str">
        <f t="shared" si="20"/>
        <v>mineAcousticSensitivity</v>
      </c>
      <c r="B773" s="6" t="s">
        <v>8441</v>
      </c>
      <c r="C773" s="17" t="s">
        <v>8442</v>
      </c>
      <c r="D773" s="10" t="s">
        <v>8443</v>
      </c>
      <c r="E773" s="55"/>
      <c r="F773" s="55"/>
      <c r="G773" s="12" t="s">
        <v>4643</v>
      </c>
      <c r="H773" s="74"/>
      <c r="I773" s="147" t="str">
        <f>HYPERLINK("[#]Datatypes!B870:L870","MineAcousticSensitivityCode")</f>
        <v>MineAcousticSensitivityCode</v>
      </c>
      <c r="J773" s="80"/>
      <c r="K773" s="77"/>
      <c r="L773" s="77"/>
      <c r="M773" s="71" t="str">
        <f>HYPERLINK("[#]DatatypeListedValues!A4901:H4901","&lt;values&gt;")</f>
        <v>&lt;values&gt;</v>
      </c>
      <c r="N773" s="12" t="b">
        <v>1</v>
      </c>
      <c r="O773" s="25">
        <v>101045</v>
      </c>
      <c r="P773" s="304" t="str">
        <f>CONCATENATE([1]Cover!$D$6,"fdd/view?i=",O773)</f>
        <v>https://www.dgiwg.org/FAD/fdd/view?i=101045</v>
      </c>
      <c r="Q773" s="8" t="s">
        <v>8440</v>
      </c>
      <c r="R773" s="38" t="s">
        <v>151</v>
      </c>
    </row>
    <row r="774" spans="1:18" ht="25.5">
      <c r="A774" s="302" t="str">
        <f t="shared" si="20"/>
        <v>mineAllegiance</v>
      </c>
      <c r="B774" s="6" t="s">
        <v>8446</v>
      </c>
      <c r="C774" s="17" t="s">
        <v>8447</v>
      </c>
      <c r="D774" s="10" t="s">
        <v>8448</v>
      </c>
      <c r="E774" s="55"/>
      <c r="F774" s="55"/>
      <c r="G774" s="12" t="s">
        <v>4643</v>
      </c>
      <c r="H774" s="74"/>
      <c r="I774" s="147" t="str">
        <f>HYPERLINK("[#]Datatypes!B872:L872","MineAllegianceCode")</f>
        <v>MineAllegianceCode</v>
      </c>
      <c r="J774" s="80"/>
      <c r="K774" s="77"/>
      <c r="L774" s="77"/>
      <c r="M774" s="71" t="str">
        <f>HYPERLINK("[#]DatatypeListedValues!A4905:H4905","&lt;values&gt;")</f>
        <v>&lt;values&gt;</v>
      </c>
      <c r="N774" s="12" t="b">
        <v>1</v>
      </c>
      <c r="O774" s="25">
        <v>101047</v>
      </c>
      <c r="P774" s="304" t="str">
        <f>CONCATENATE([1]Cover!$D$6,"fdd/view?i=",O774)</f>
        <v>https://www.dgiwg.org/FAD/fdd/view?i=101047</v>
      </c>
      <c r="Q774" s="8" t="s">
        <v>8445</v>
      </c>
      <c r="R774" s="38" t="s">
        <v>151</v>
      </c>
    </row>
    <row r="775" spans="1:18">
      <c r="A775" s="302" t="str">
        <f t="shared" si="20"/>
        <v>mineAntiHuntingCapab</v>
      </c>
      <c r="B775" s="6" t="s">
        <v>8451</v>
      </c>
      <c r="C775" s="17" t="s">
        <v>8452</v>
      </c>
      <c r="D775" s="10" t="s">
        <v>8453</v>
      </c>
      <c r="E775" s="55"/>
      <c r="F775" s="55"/>
      <c r="G775" s="12" t="s">
        <v>4643</v>
      </c>
      <c r="H775" s="12" t="s">
        <v>4700</v>
      </c>
      <c r="I775" s="147" t="str">
        <f>HYPERLINK("[#]Datatypes!B874:L874","MineAntiHuntingCapabCode")</f>
        <v>MineAntiHuntingCapabCode</v>
      </c>
      <c r="J775" s="80"/>
      <c r="K775" s="77"/>
      <c r="L775" s="77"/>
      <c r="M775" s="71" t="str">
        <f>HYPERLINK("[#]DatatypeListedValues!A4908:H4908","&lt;values&gt;")</f>
        <v>&lt;values&gt;</v>
      </c>
      <c r="N775" s="82" t="b">
        <v>0</v>
      </c>
      <c r="O775" s="25">
        <v>101073</v>
      </c>
      <c r="P775" s="304" t="str">
        <f>CONCATENATE([1]Cover!$D$6,"fdd/view?i=",O775)</f>
        <v>https://www.dgiwg.org/FAD/fdd/view?i=101073</v>
      </c>
      <c r="Q775" s="8" t="s">
        <v>8450</v>
      </c>
      <c r="R775" s="38" t="s">
        <v>151</v>
      </c>
    </row>
    <row r="776" spans="1:18" ht="25.5">
      <c r="A776" s="302" t="str">
        <f t="shared" si="20"/>
        <v>mineAntiRecoveryCapab</v>
      </c>
      <c r="B776" s="6" t="s">
        <v>8456</v>
      </c>
      <c r="C776" s="17" t="s">
        <v>8457</v>
      </c>
      <c r="D776" s="10" t="s">
        <v>8458</v>
      </c>
      <c r="E776" s="10" t="s">
        <v>8459</v>
      </c>
      <c r="F776" s="55"/>
      <c r="G776" s="12" t="s">
        <v>4643</v>
      </c>
      <c r="H776" s="12" t="s">
        <v>4700</v>
      </c>
      <c r="I776" s="147" t="str">
        <f>HYPERLINK("[#]Datatypes!B876:L876","MineAntiRecoveryCapabCode")</f>
        <v>MineAntiRecoveryCapabCode</v>
      </c>
      <c r="J776" s="80"/>
      <c r="K776" s="77"/>
      <c r="L776" s="77"/>
      <c r="M776" s="71" t="str">
        <f>HYPERLINK("[#]DatatypeListedValues!A4915:H4915","&lt;values&gt;")</f>
        <v>&lt;values&gt;</v>
      </c>
      <c r="N776" s="82" t="b">
        <v>0</v>
      </c>
      <c r="O776" s="25">
        <v>101075</v>
      </c>
      <c r="P776" s="304" t="str">
        <f>CONCATENATE([1]Cover!$D$6,"fdd/view?i=",O776)</f>
        <v>https://www.dgiwg.org/FAD/fdd/view?i=101075</v>
      </c>
      <c r="Q776" s="8" t="s">
        <v>8455</v>
      </c>
      <c r="R776" s="38" t="s">
        <v>151</v>
      </c>
    </row>
    <row r="777" spans="1:18" ht="63.75">
      <c r="A777" s="302" t="str">
        <f t="shared" si="20"/>
        <v>mineAntiSweepWireCapab</v>
      </c>
      <c r="B777" s="6" t="s">
        <v>8462</v>
      </c>
      <c r="C777" s="17" t="s">
        <v>8463</v>
      </c>
      <c r="D777" s="10" t="s">
        <v>8464</v>
      </c>
      <c r="E777" s="10" t="s">
        <v>8465</v>
      </c>
      <c r="F777" s="55"/>
      <c r="G777" s="12" t="s">
        <v>4643</v>
      </c>
      <c r="H777" s="12" t="s">
        <v>4700</v>
      </c>
      <c r="I777" s="147" t="str">
        <f>HYPERLINK("[#]Datatypes!B878:L878","MineAntiSweepWireCapabCode")</f>
        <v>MineAntiSweepWireCapabCode</v>
      </c>
      <c r="J777" s="80"/>
      <c r="K777" s="77"/>
      <c r="L777" s="77"/>
      <c r="M777" s="71" t="str">
        <f>HYPERLINK("[#]DatatypeListedValues!A4921:H4921","&lt;values&gt;")</f>
        <v>&lt;values&gt;</v>
      </c>
      <c r="N777" s="82" t="b">
        <v>0</v>
      </c>
      <c r="O777" s="25">
        <v>101080</v>
      </c>
      <c r="P777" s="304" t="str">
        <f>CONCATENATE([1]Cover!$D$6,"fdd/view?i=",O777)</f>
        <v>https://www.dgiwg.org/FAD/fdd/view?i=101080</v>
      </c>
      <c r="Q777" s="8" t="s">
        <v>8461</v>
      </c>
      <c r="R777" s="38" t="s">
        <v>151</v>
      </c>
    </row>
    <row r="778" spans="1:18" ht="25.5">
      <c r="A778" s="302" t="str">
        <f t="shared" si="20"/>
        <v>mineAutonomyType</v>
      </c>
      <c r="B778" s="6" t="s">
        <v>8468</v>
      </c>
      <c r="C778" s="17" t="s">
        <v>8469</v>
      </c>
      <c r="D778" s="10" t="s">
        <v>8470</v>
      </c>
      <c r="E778" s="55"/>
      <c r="F778" s="55"/>
      <c r="G778" s="12" t="s">
        <v>4643</v>
      </c>
      <c r="H778" s="74"/>
      <c r="I778" s="147" t="str">
        <f>HYPERLINK("[#]Datatypes!B880:L880","MineAutonomyTypeCode")</f>
        <v>MineAutonomyTypeCode</v>
      </c>
      <c r="J778" s="80"/>
      <c r="K778" s="77"/>
      <c r="L778" s="77"/>
      <c r="M778" s="71" t="str">
        <f>HYPERLINK("[#]DatatypeListedValues!A4926:H4926","&lt;values&gt;")</f>
        <v>&lt;values&gt;</v>
      </c>
      <c r="N778" s="12" t="b">
        <v>1</v>
      </c>
      <c r="O778" s="25">
        <v>101054</v>
      </c>
      <c r="P778" s="304" t="str">
        <f>CONCATENATE([1]Cover!$D$6,"fdd/view?i=",O778)</f>
        <v>https://www.dgiwg.org/FAD/fdd/view?i=101054</v>
      </c>
      <c r="Q778" s="8" t="s">
        <v>8467</v>
      </c>
      <c r="R778" s="38" t="s">
        <v>151</v>
      </c>
    </row>
    <row r="779" spans="1:18">
      <c r="A779" s="302" t="str">
        <f t="shared" si="20"/>
        <v>mineCablelessControl</v>
      </c>
      <c r="B779" s="6" t="s">
        <v>8473</v>
      </c>
      <c r="C779" s="17" t="s">
        <v>8474</v>
      </c>
      <c r="D779" s="10" t="s">
        <v>8475</v>
      </c>
      <c r="E779" s="55"/>
      <c r="F779" s="55"/>
      <c r="G779" s="12" t="s">
        <v>4643</v>
      </c>
      <c r="H779" s="74"/>
      <c r="I779" s="147" t="str">
        <f>HYPERLINK("[#]Datatypes!B882:L882","MineCablelessControlCode")</f>
        <v>MineCablelessControlCode</v>
      </c>
      <c r="J779" s="80"/>
      <c r="K779" s="77"/>
      <c r="L779" s="77"/>
      <c r="M779" s="71" t="str">
        <f>HYPERLINK("[#]DatatypeListedValues!A4928:H4928","&lt;values&gt;")</f>
        <v>&lt;values&gt;</v>
      </c>
      <c r="N779" s="82" t="b">
        <v>0</v>
      </c>
      <c r="O779" s="25">
        <v>101057</v>
      </c>
      <c r="P779" s="304" t="str">
        <f>CONCATENATE([1]Cover!$D$6,"fdd/view?i=",O779)</f>
        <v>https://www.dgiwg.org/FAD/fdd/view?i=101057</v>
      </c>
      <c r="Q779" s="8" t="s">
        <v>8472</v>
      </c>
      <c r="R779" s="38" t="s">
        <v>151</v>
      </c>
    </row>
    <row r="780" spans="1:18">
      <c r="A780" s="302" t="str">
        <f t="shared" si="20"/>
        <v>mineChargeSize</v>
      </c>
      <c r="B780" s="6" t="s">
        <v>8478</v>
      </c>
      <c r="C780" s="17" t="s">
        <v>8479</v>
      </c>
      <c r="D780" s="10" t="s">
        <v>8480</v>
      </c>
      <c r="E780" s="55"/>
      <c r="F780" s="55"/>
      <c r="G780" s="12" t="s">
        <v>4643</v>
      </c>
      <c r="H780" s="74"/>
      <c r="I780" s="147" t="str">
        <f>HYPERLINK("[#]Datatypes!B1099:L1099","RealInterval")</f>
        <v>RealInterval</v>
      </c>
      <c r="J780" s="76" t="str">
        <f>HYPERLINK("[#]PhysicalQuantities!A28:N28","Mass")</f>
        <v>Mass</v>
      </c>
      <c r="K780" s="75" t="str">
        <f>HYPERLINK("[#]UnitsOfMeasure!D127:G127","Kilogram")</f>
        <v>Kilogram</v>
      </c>
      <c r="L780" s="77"/>
      <c r="M780" s="78"/>
      <c r="N780" s="74"/>
      <c r="O780" s="25">
        <v>109954</v>
      </c>
      <c r="P780" s="304" t="str">
        <f>CONCATENATE([1]Cover!$D$6,"fdd/view?i=",O780)</f>
        <v>https://www.dgiwg.org/FAD/fdd/view?i=109954</v>
      </c>
      <c r="Q780" s="8" t="s">
        <v>8477</v>
      </c>
      <c r="R780" s="38" t="s">
        <v>151</v>
      </c>
    </row>
    <row r="781" spans="1:18">
      <c r="A781" s="302" t="str">
        <f t="shared" si="20"/>
        <v>mineControlMethod</v>
      </c>
      <c r="B781" s="6" t="s">
        <v>8482</v>
      </c>
      <c r="C781" s="17" t="s">
        <v>8483</v>
      </c>
      <c r="D781" s="10" t="s">
        <v>8484</v>
      </c>
      <c r="E781" s="55"/>
      <c r="F781" s="55"/>
      <c r="G781" s="12" t="s">
        <v>4643</v>
      </c>
      <c r="H781" s="74"/>
      <c r="I781" s="147" t="str">
        <f>HYPERLINK("[#]Datatypes!B884:L884","MineControlMethodCode")</f>
        <v>MineControlMethodCode</v>
      </c>
      <c r="J781" s="80"/>
      <c r="K781" s="77"/>
      <c r="L781" s="77"/>
      <c r="M781" s="71" t="str">
        <f>HYPERLINK("[#]DatatypeListedValues!A4931:H4931","&lt;values&gt;")</f>
        <v>&lt;values&gt;</v>
      </c>
      <c r="N781" s="12" t="b">
        <v>1</v>
      </c>
      <c r="O781" s="25">
        <v>101055</v>
      </c>
      <c r="P781" s="304" t="str">
        <f>CONCATENATE([1]Cover!$D$6,"fdd/view?i=",O781)</f>
        <v>https://www.dgiwg.org/FAD/fdd/view?i=101055</v>
      </c>
      <c r="Q781" s="8" t="s">
        <v>8481</v>
      </c>
      <c r="R781" s="38" t="s">
        <v>151</v>
      </c>
    </row>
    <row r="782" spans="1:18">
      <c r="A782" s="302" t="str">
        <f t="shared" si="20"/>
        <v>mineMagneticSensitivity</v>
      </c>
      <c r="B782" s="6" t="s">
        <v>8487</v>
      </c>
      <c r="C782" s="17" t="s">
        <v>8488</v>
      </c>
      <c r="D782" s="10" t="s">
        <v>8489</v>
      </c>
      <c r="E782" s="55"/>
      <c r="F782" s="55"/>
      <c r="G782" s="12" t="s">
        <v>4643</v>
      </c>
      <c r="H782" s="74"/>
      <c r="I782" s="147" t="str">
        <f>HYPERLINK("[#]Datatypes!B886:L886","MineMagneticSensitivityCode")</f>
        <v>MineMagneticSensitivityCode</v>
      </c>
      <c r="J782" s="80"/>
      <c r="K782" s="77"/>
      <c r="L782" s="77"/>
      <c r="M782" s="71" t="str">
        <f>HYPERLINK("[#]DatatypeListedValues!A4933:H4933","&lt;values&gt;")</f>
        <v>&lt;values&gt;</v>
      </c>
      <c r="N782" s="82" t="b">
        <v>0</v>
      </c>
      <c r="O782" s="25">
        <v>101049</v>
      </c>
      <c r="P782" s="304" t="str">
        <f>CONCATENATE([1]Cover!$D$6,"fdd/view?i=",O782)</f>
        <v>https://www.dgiwg.org/FAD/fdd/view?i=101049</v>
      </c>
      <c r="Q782" s="8" t="s">
        <v>8486</v>
      </c>
      <c r="R782" s="38" t="s">
        <v>151</v>
      </c>
    </row>
    <row r="783" spans="1:18">
      <c r="A783" s="302" t="str">
        <f t="shared" si="20"/>
        <v>mineSelfActuationMethod</v>
      </c>
      <c r="B783" s="6" t="s">
        <v>8492</v>
      </c>
      <c r="C783" s="17" t="s">
        <v>8493</v>
      </c>
      <c r="D783" s="10" t="s">
        <v>8494</v>
      </c>
      <c r="E783" s="55"/>
      <c r="F783" s="55"/>
      <c r="G783" s="12" t="s">
        <v>4643</v>
      </c>
      <c r="H783" s="74"/>
      <c r="I783" s="147" t="str">
        <f>HYPERLINK("[#]Datatypes!B888:L888","MineSelfActuationMethodCode")</f>
        <v>MineSelfActuationMethodCode</v>
      </c>
      <c r="J783" s="80"/>
      <c r="K783" s="77"/>
      <c r="L783" s="77"/>
      <c r="M783" s="71" t="str">
        <f>HYPERLINK("[#]DatatypeListedValues!A4940:H4940","&lt;values&gt;")</f>
        <v>&lt;values&gt;</v>
      </c>
      <c r="N783" s="82" t="b">
        <v>0</v>
      </c>
      <c r="O783" s="25">
        <v>101056</v>
      </c>
      <c r="P783" s="304" t="str">
        <f>CONCATENATE([1]Cover!$D$6,"fdd/view?i=",O783)</f>
        <v>https://www.dgiwg.org/FAD/fdd/view?i=101056</v>
      </c>
      <c r="Q783" s="8" t="s">
        <v>8491</v>
      </c>
      <c r="R783" s="38" t="s">
        <v>151</v>
      </c>
    </row>
    <row r="784" spans="1:18">
      <c r="A784" s="302" t="str">
        <f t="shared" si="20"/>
        <v>mineSpecialCapability</v>
      </c>
      <c r="B784" s="6" t="s">
        <v>8497</v>
      </c>
      <c r="C784" s="17" t="s">
        <v>8498</v>
      </c>
      <c r="D784" s="10" t="s">
        <v>8499</v>
      </c>
      <c r="E784" s="55"/>
      <c r="F784" s="55"/>
      <c r="G784" s="12" t="s">
        <v>4643</v>
      </c>
      <c r="H784" s="12" t="s">
        <v>4700</v>
      </c>
      <c r="I784" s="147" t="str">
        <f>HYPERLINK("[#]Datatypes!B890:L890","MineSpecialCapabilityCode")</f>
        <v>MineSpecialCapabilityCode</v>
      </c>
      <c r="J784" s="80"/>
      <c r="K784" s="77"/>
      <c r="L784" s="77"/>
      <c r="M784" s="71" t="str">
        <f>HYPERLINK("[#]DatatypeListedValues!A4943:H4943","&lt;values&gt;")</f>
        <v>&lt;values&gt;</v>
      </c>
      <c r="N784" s="82" t="b">
        <v>0</v>
      </c>
      <c r="O784" s="25">
        <v>101071</v>
      </c>
      <c r="P784" s="304" t="str">
        <f>CONCATENATE([1]Cover!$D$6,"fdd/view?i=",O784)</f>
        <v>https://www.dgiwg.org/FAD/fdd/view?i=101071</v>
      </c>
      <c r="Q784" s="8" t="s">
        <v>8496</v>
      </c>
      <c r="R784" s="38" t="s">
        <v>151</v>
      </c>
    </row>
    <row r="785" spans="1:18">
      <c r="A785" s="302" t="str">
        <f t="shared" si="20"/>
        <v>mineSwept</v>
      </c>
      <c r="B785" s="6" t="s">
        <v>8502</v>
      </c>
      <c r="C785" s="17" t="s">
        <v>8503</v>
      </c>
      <c r="D785" s="10" t="s">
        <v>8504</v>
      </c>
      <c r="E785" s="55"/>
      <c r="F785" s="55"/>
      <c r="G785" s="12" t="s">
        <v>4643</v>
      </c>
      <c r="H785" s="74"/>
      <c r="I785" s="147" t="str">
        <f>HYPERLINK("[#]Datatypes!B230:L230","Boolean")</f>
        <v>Boolean</v>
      </c>
      <c r="J785" s="80"/>
      <c r="K785" s="77"/>
      <c r="L785" s="77"/>
      <c r="M785" s="78"/>
      <c r="N785" s="74"/>
      <c r="O785" s="25">
        <v>101076</v>
      </c>
      <c r="P785" s="304" t="str">
        <f>CONCATENATE([1]Cover!$D$6,"fdd/view?i=",O785)</f>
        <v>https://www.dgiwg.org/FAD/fdd/view?i=101076</v>
      </c>
      <c r="Q785" s="8" t="s">
        <v>8501</v>
      </c>
      <c r="R785" s="38" t="s">
        <v>151</v>
      </c>
    </row>
    <row r="786" spans="1:18" ht="25.5">
      <c r="A786" s="302" t="str">
        <f t="shared" si="20"/>
        <v>minehuntingStatus</v>
      </c>
      <c r="B786" s="6" t="s">
        <v>8506</v>
      </c>
      <c r="C786" s="17" t="s">
        <v>8507</v>
      </c>
      <c r="D786" s="10" t="s">
        <v>8508</v>
      </c>
      <c r="E786" s="55"/>
      <c r="F786" s="55"/>
      <c r="G786" s="12" t="s">
        <v>4643</v>
      </c>
      <c r="H786" s="74"/>
      <c r="I786" s="147" t="str">
        <f>HYPERLINK("[#]Datatypes!B892:L892","MinehuntingStatusCode")</f>
        <v>MinehuntingStatusCode</v>
      </c>
      <c r="J786" s="80"/>
      <c r="K786" s="77"/>
      <c r="L786" s="77"/>
      <c r="M786" s="71" t="str">
        <f>HYPERLINK("[#]DatatypeListedValues!A4957:H4957","&lt;values&gt;")</f>
        <v>&lt;values&gt;</v>
      </c>
      <c r="N786" s="12" t="b">
        <v>1</v>
      </c>
      <c r="O786" s="25">
        <v>111108</v>
      </c>
      <c r="P786" s="304" t="str">
        <f>CONCATENATE([1]Cover!$D$6,"fdd/view?i=",O786)</f>
        <v>https://www.dgiwg.org/FAD/fdd/view?i=111108</v>
      </c>
      <c r="Q786" s="8" t="s">
        <v>8505</v>
      </c>
      <c r="R786" s="38" t="s">
        <v>151</v>
      </c>
    </row>
    <row r="787" spans="1:18" ht="38.25">
      <c r="A787" s="302" t="str">
        <f t="shared" si="20"/>
        <v>minimumAltitude</v>
      </c>
      <c r="B787" s="6" t="s">
        <v>8511</v>
      </c>
      <c r="C787" s="17" t="s">
        <v>8512</v>
      </c>
      <c r="D787" s="10" t="s">
        <v>8513</v>
      </c>
      <c r="E787" s="10" t="s">
        <v>8514</v>
      </c>
      <c r="F787" s="55"/>
      <c r="G787" s="12" t="s">
        <v>4643</v>
      </c>
      <c r="H787" s="74"/>
      <c r="I787" s="147" t="str">
        <f>HYPERLINK("[#]Datatypes!B1097:L1097","Real")</f>
        <v>Real</v>
      </c>
      <c r="J787" s="76" t="str">
        <f>HYPERLINK("[#]PhysicalQuantities!A20:N20","Length")</f>
        <v>Length</v>
      </c>
      <c r="K787" s="75" t="str">
        <f>HYPERLINK("[#]UnitsOfMeasure!D80:G80","Metre")</f>
        <v>Metre</v>
      </c>
      <c r="L787" s="77"/>
      <c r="M787" s="78"/>
      <c r="N787" s="74"/>
      <c r="O787" s="25">
        <v>117621</v>
      </c>
      <c r="P787" s="304" t="str">
        <f>CONCATENATE([1]Cover!$D$6,"fdd/view?i=",O787)</f>
        <v>https://www.dgiwg.org/FAD/fdd/view?i=117621</v>
      </c>
      <c r="Q787" s="8" t="s">
        <v>8510</v>
      </c>
      <c r="R787" s="38" t="s">
        <v>151</v>
      </c>
    </row>
    <row r="788" spans="1:18">
      <c r="A788" s="302" t="str">
        <f t="shared" si="20"/>
        <v>minimumAnchoringDepth</v>
      </c>
      <c r="B788" s="6" t="s">
        <v>8516</v>
      </c>
      <c r="C788" s="17" t="s">
        <v>8517</v>
      </c>
      <c r="D788" s="10" t="s">
        <v>8518</v>
      </c>
      <c r="E788" s="55"/>
      <c r="F788" s="55"/>
      <c r="G788" s="12" t="s">
        <v>4643</v>
      </c>
      <c r="H788" s="74"/>
      <c r="I788" s="147" t="str">
        <f>HYPERLINK("[#]Datatypes!B1097:L1097","Real")</f>
        <v>Real</v>
      </c>
      <c r="J788" s="76" t="str">
        <f>HYPERLINK("[#]PhysicalQuantities!A20:N20","Length")</f>
        <v>Length</v>
      </c>
      <c r="K788" s="75" t="str">
        <f>HYPERLINK("[#]UnitsOfMeasure!D80:G80","Metre")</f>
        <v>Metre</v>
      </c>
      <c r="L788" s="77"/>
      <c r="M788" s="78"/>
      <c r="N788" s="74"/>
      <c r="O788" s="25">
        <v>111632</v>
      </c>
      <c r="P788" s="304" t="str">
        <f>CONCATENATE([1]Cover!$D$6,"fdd/view?i=",O788)</f>
        <v>https://www.dgiwg.org/FAD/fdd/view?i=111632</v>
      </c>
      <c r="Q788" s="8" t="s">
        <v>8515</v>
      </c>
      <c r="R788" s="38" t="s">
        <v>151</v>
      </c>
    </row>
    <row r="789" spans="1:18" ht="38.25">
      <c r="A789" s="302" t="str">
        <f t="shared" si="20"/>
        <v>minimumClimbAltitude</v>
      </c>
      <c r="B789" s="6" t="s">
        <v>8520</v>
      </c>
      <c r="C789" s="17" t="s">
        <v>8521</v>
      </c>
      <c r="D789" s="10" t="s">
        <v>8522</v>
      </c>
      <c r="E789" s="10" t="s">
        <v>8523</v>
      </c>
      <c r="F789" s="55"/>
      <c r="G789" s="12" t="s">
        <v>4643</v>
      </c>
      <c r="H789" s="74"/>
      <c r="I789" s="147" t="str">
        <f>HYPERLINK("[#]Datatypes!B1097:L1097","Real")</f>
        <v>Real</v>
      </c>
      <c r="J789" s="76" t="str">
        <f>HYPERLINK("[#]PhysicalQuantities!A20:N20","Length")</f>
        <v>Length</v>
      </c>
      <c r="K789" s="75" t="str">
        <f>HYPERLINK("[#]UnitsOfMeasure!D80:G80","Metre")</f>
        <v>Metre</v>
      </c>
      <c r="L789" s="77"/>
      <c r="M789" s="78"/>
      <c r="N789" s="74"/>
      <c r="O789" s="25">
        <v>119606</v>
      </c>
      <c r="P789" s="304" t="str">
        <f>CONCATENATE([1]Cover!$D$6,"fdd/view?i=",O789)</f>
        <v>https://www.dgiwg.org/FAD/fdd/view?i=119606</v>
      </c>
      <c r="Q789" s="8" t="s">
        <v>8519</v>
      </c>
      <c r="R789" s="38" t="s">
        <v>151</v>
      </c>
    </row>
    <row r="790" spans="1:18">
      <c r="A790" s="302" t="str">
        <f t="shared" si="20"/>
        <v>minimumClimbGradient</v>
      </c>
      <c r="B790" s="6" t="s">
        <v>8525</v>
      </c>
      <c r="C790" s="17" t="s">
        <v>8526</v>
      </c>
      <c r="D790" s="10" t="s">
        <v>8527</v>
      </c>
      <c r="E790" s="55"/>
      <c r="F790" s="55"/>
      <c r="G790" s="12" t="s">
        <v>4643</v>
      </c>
      <c r="H790" s="74"/>
      <c r="I790" s="147" t="str">
        <f>HYPERLINK("[#]Datatypes!B894:L894","MinimumClimbGradientStrucText")</f>
        <v>MinimumClimbGradientStrucText</v>
      </c>
      <c r="J790" s="80"/>
      <c r="K790" s="77"/>
      <c r="L790" s="77"/>
      <c r="M790" s="78"/>
      <c r="N790" s="74"/>
      <c r="O790" s="25">
        <v>117623</v>
      </c>
      <c r="P790" s="304" t="str">
        <f>CONCATENATE([1]Cover!$D$6,"fdd/view?i=",O790)</f>
        <v>https://www.dgiwg.org/FAD/fdd/view?i=117623</v>
      </c>
      <c r="Q790" s="8" t="s">
        <v>8524</v>
      </c>
      <c r="R790" s="38" t="s">
        <v>151</v>
      </c>
    </row>
    <row r="791" spans="1:18" ht="63.75">
      <c r="A791" s="302" t="str">
        <f t="shared" si="20"/>
        <v>minimumCrossingAltitude</v>
      </c>
      <c r="B791" s="6" t="s">
        <v>8530</v>
      </c>
      <c r="C791" s="17" t="s">
        <v>8531</v>
      </c>
      <c r="D791" s="10" t="s">
        <v>8532</v>
      </c>
      <c r="E791" s="55"/>
      <c r="F791" s="55"/>
      <c r="G791" s="12" t="s">
        <v>4643</v>
      </c>
      <c r="H791" s="74"/>
      <c r="I791" s="147" t="str">
        <f t="shared" ref="I791:I800" si="21">HYPERLINK("[#]Datatypes!B1097:L1097","Real")</f>
        <v>Real</v>
      </c>
      <c r="J791" s="76" t="str">
        <f t="shared" ref="J791:J796" si="22">HYPERLINK("[#]PhysicalQuantities!A20:N20","Length")</f>
        <v>Length</v>
      </c>
      <c r="K791" s="75" t="str">
        <f>HYPERLINK("[#]UnitsOfMeasure!D103:G103","Foot")</f>
        <v>Foot</v>
      </c>
      <c r="L791" s="75" t="str">
        <f>HYPERLINK("[#]UnitsOfMeasure!D154:G154","Flight Level")</f>
        <v>Flight Level</v>
      </c>
      <c r="M791" s="78"/>
      <c r="N791" s="74"/>
      <c r="O791" s="25">
        <v>200382</v>
      </c>
      <c r="P791" s="304" t="str">
        <f>CONCATENATE([1]Cover!$D$6,"fdd/view?i=",O791)</f>
        <v>https://www.dgiwg.org/FAD/fdd/view?i=200382</v>
      </c>
      <c r="Q791" s="8" t="s">
        <v>8529</v>
      </c>
      <c r="R791" s="38" t="s">
        <v>1295</v>
      </c>
    </row>
    <row r="792" spans="1:18" ht="38.25">
      <c r="A792" s="302" t="str">
        <f t="shared" si="20"/>
        <v>minimumDescentAltitude</v>
      </c>
      <c r="B792" s="6" t="s">
        <v>8534</v>
      </c>
      <c r="C792" s="17" t="s">
        <v>8535</v>
      </c>
      <c r="D792" s="10" t="s">
        <v>8536</v>
      </c>
      <c r="E792" s="55"/>
      <c r="F792" s="10" t="s">
        <v>8323</v>
      </c>
      <c r="G792" s="12" t="s">
        <v>4643</v>
      </c>
      <c r="H792" s="74"/>
      <c r="I792" s="147" t="str">
        <f t="shared" si="21"/>
        <v>Real</v>
      </c>
      <c r="J792" s="76" t="str">
        <f t="shared" si="22"/>
        <v>Length</v>
      </c>
      <c r="K792" s="75" t="str">
        <f>HYPERLINK("[#]UnitsOfMeasure!D80:G80","Metre")</f>
        <v>Metre</v>
      </c>
      <c r="L792" s="77"/>
      <c r="M792" s="78"/>
      <c r="N792" s="74"/>
      <c r="O792" s="25">
        <v>117626</v>
      </c>
      <c r="P792" s="304" t="str">
        <f>CONCATENATE([1]Cover!$D$6,"fdd/view?i=",O792)</f>
        <v>https://www.dgiwg.org/FAD/fdd/view?i=117626</v>
      </c>
      <c r="Q792" s="8" t="s">
        <v>8533</v>
      </c>
      <c r="R792" s="38" t="s">
        <v>151</v>
      </c>
    </row>
    <row r="793" spans="1:18" ht="51">
      <c r="A793" s="302" t="str">
        <f t="shared" si="20"/>
        <v>minimumDescentHeight</v>
      </c>
      <c r="B793" s="6" t="s">
        <v>8538</v>
      </c>
      <c r="C793" s="17" t="s">
        <v>8539</v>
      </c>
      <c r="D793" s="10" t="s">
        <v>8540</v>
      </c>
      <c r="E793" s="10" t="s">
        <v>8541</v>
      </c>
      <c r="F793" s="10" t="s">
        <v>8537</v>
      </c>
      <c r="G793" s="12" t="s">
        <v>4643</v>
      </c>
      <c r="H793" s="74"/>
      <c r="I793" s="147" t="str">
        <f t="shared" si="21"/>
        <v>Real</v>
      </c>
      <c r="J793" s="76" t="str">
        <f t="shared" si="22"/>
        <v>Length</v>
      </c>
      <c r="K793" s="75" t="str">
        <f>HYPERLINK("[#]UnitsOfMeasure!D80:G80","Metre")</f>
        <v>Metre</v>
      </c>
      <c r="L793" s="77"/>
      <c r="M793" s="78"/>
      <c r="N793" s="74"/>
      <c r="O793" s="25">
        <v>117625</v>
      </c>
      <c r="P793" s="304" t="str">
        <f>CONCATENATE([1]Cover!$D$6,"fdd/view?i=",O793)</f>
        <v>https://www.dgiwg.org/FAD/fdd/view?i=117625</v>
      </c>
      <c r="Q793" s="8" t="s">
        <v>8537</v>
      </c>
      <c r="R793" s="38" t="s">
        <v>151</v>
      </c>
    </row>
    <row r="794" spans="1:18" ht="51">
      <c r="A794" s="302" t="str">
        <f t="shared" si="20"/>
        <v>minimumEnRouteAltitude</v>
      </c>
      <c r="B794" s="6" t="s">
        <v>8543</v>
      </c>
      <c r="C794" s="17" t="s">
        <v>8544</v>
      </c>
      <c r="D794" s="10" t="s">
        <v>8545</v>
      </c>
      <c r="E794" s="55"/>
      <c r="F794" s="10" t="s">
        <v>8542</v>
      </c>
      <c r="G794" s="12" t="s">
        <v>4643</v>
      </c>
      <c r="H794" s="74"/>
      <c r="I794" s="147" t="str">
        <f t="shared" si="21"/>
        <v>Real</v>
      </c>
      <c r="J794" s="76" t="str">
        <f t="shared" si="22"/>
        <v>Length</v>
      </c>
      <c r="K794" s="75" t="str">
        <f>HYPERLINK("[#]UnitsOfMeasure!D80:G80","Metre")</f>
        <v>Metre</v>
      </c>
      <c r="L794" s="77"/>
      <c r="M794" s="78"/>
      <c r="N794" s="74"/>
      <c r="O794" s="25">
        <v>117627</v>
      </c>
      <c r="P794" s="304" t="str">
        <f>CONCATENATE([1]Cover!$D$6,"fdd/view?i=",O794)</f>
        <v>https://www.dgiwg.org/FAD/fdd/view?i=117627</v>
      </c>
      <c r="Q794" s="8" t="s">
        <v>8542</v>
      </c>
      <c r="R794" s="38" t="s">
        <v>151</v>
      </c>
    </row>
    <row r="795" spans="1:18" ht="25.5">
      <c r="A795" s="302" t="str">
        <f t="shared" si="20"/>
        <v>minimumEyeHgtOverThreshold</v>
      </c>
      <c r="B795" s="6" t="s">
        <v>8547</v>
      </c>
      <c r="C795" s="17" t="s">
        <v>8548</v>
      </c>
      <c r="D795" s="10" t="s">
        <v>8549</v>
      </c>
      <c r="E795" s="55"/>
      <c r="F795" s="10" t="s">
        <v>8550</v>
      </c>
      <c r="G795" s="12" t="s">
        <v>4643</v>
      </c>
      <c r="H795" s="74"/>
      <c r="I795" s="147" t="str">
        <f t="shared" si="21"/>
        <v>Real</v>
      </c>
      <c r="J795" s="76" t="str">
        <f t="shared" si="22"/>
        <v>Length</v>
      </c>
      <c r="K795" s="75" t="str">
        <f>HYPERLINK("[#]UnitsOfMeasure!D80:G80","Metre")</f>
        <v>Metre</v>
      </c>
      <c r="L795" s="77"/>
      <c r="M795" s="78"/>
      <c r="N795" s="74"/>
      <c r="O795" s="25">
        <v>117629</v>
      </c>
      <c r="P795" s="304" t="str">
        <f>CONCATENATE([1]Cover!$D$6,"fdd/view?i=",O795)</f>
        <v>https://www.dgiwg.org/FAD/fdd/view?i=117629</v>
      </c>
      <c r="Q795" s="8" t="s">
        <v>8546</v>
      </c>
      <c r="R795" s="38" t="s">
        <v>151</v>
      </c>
    </row>
    <row r="796" spans="1:18" ht="25.5">
      <c r="A796" s="302" t="str">
        <f t="shared" si="20"/>
        <v>minimumObstacleClearAlt</v>
      </c>
      <c r="B796" s="6" t="s">
        <v>8552</v>
      </c>
      <c r="C796" s="17" t="s">
        <v>8553</v>
      </c>
      <c r="D796" s="10" t="s">
        <v>8554</v>
      </c>
      <c r="E796" s="55"/>
      <c r="F796" s="10" t="s">
        <v>8555</v>
      </c>
      <c r="G796" s="12" t="s">
        <v>4643</v>
      </c>
      <c r="H796" s="74"/>
      <c r="I796" s="147" t="str">
        <f t="shared" si="21"/>
        <v>Real</v>
      </c>
      <c r="J796" s="76" t="str">
        <f t="shared" si="22"/>
        <v>Length</v>
      </c>
      <c r="K796" s="75" t="str">
        <f>HYPERLINK("[#]UnitsOfMeasure!D80:G80","Metre")</f>
        <v>Metre</v>
      </c>
      <c r="L796" s="77"/>
      <c r="M796" s="78"/>
      <c r="N796" s="74"/>
      <c r="O796" s="25">
        <v>117637</v>
      </c>
      <c r="P796" s="304" t="str">
        <f>CONCATENATE([1]Cover!$D$6,"fdd/view?i=",O796)</f>
        <v>https://www.dgiwg.org/FAD/fdd/view?i=117637</v>
      </c>
      <c r="Q796" s="8" t="s">
        <v>8551</v>
      </c>
      <c r="R796" s="38" t="s">
        <v>151</v>
      </c>
    </row>
    <row r="797" spans="1:18" ht="38.25">
      <c r="A797" s="302" t="str">
        <f t="shared" si="20"/>
        <v>minPeakHorizGroundAcc</v>
      </c>
      <c r="B797" s="6" t="s">
        <v>8557</v>
      </c>
      <c r="C797" s="17" t="s">
        <v>8558</v>
      </c>
      <c r="D797" s="10" t="s">
        <v>8559</v>
      </c>
      <c r="E797" s="55"/>
      <c r="F797" s="55"/>
      <c r="G797" s="12" t="s">
        <v>4643</v>
      </c>
      <c r="H797" s="74"/>
      <c r="I797" s="147" t="str">
        <f t="shared" si="21"/>
        <v>Real</v>
      </c>
      <c r="J797" s="76" t="str">
        <f>HYPERLINK("[#]PhysicalQuantities!A39:N39","Pure Number")</f>
        <v>Pure Number</v>
      </c>
      <c r="K797" s="75" t="str">
        <f>HYPERLINK("[#]UnitsOfMeasure!D215:G215","Percent")</f>
        <v>Percent</v>
      </c>
      <c r="L797" s="77"/>
      <c r="M797" s="78"/>
      <c r="N797" s="74"/>
      <c r="O797" s="25">
        <v>118572</v>
      </c>
      <c r="P797" s="304" t="str">
        <f>CONCATENATE([1]Cover!$D$6,"fdd/view?i=",O797)</f>
        <v>https://www.dgiwg.org/FAD/fdd/view?i=118572</v>
      </c>
      <c r="Q797" s="8" t="s">
        <v>8556</v>
      </c>
      <c r="R797" s="38" t="s">
        <v>151</v>
      </c>
    </row>
    <row r="798" spans="1:18" ht="51">
      <c r="A798" s="302" t="str">
        <f t="shared" si="20"/>
        <v>minimumRadioAltimeterHgt</v>
      </c>
      <c r="B798" s="6" t="s">
        <v>8561</v>
      </c>
      <c r="C798" s="17" t="s">
        <v>8562</v>
      </c>
      <c r="D798" s="10" t="s">
        <v>8563</v>
      </c>
      <c r="E798" s="10" t="s">
        <v>8564</v>
      </c>
      <c r="F798" s="10" t="s">
        <v>8565</v>
      </c>
      <c r="G798" s="12" t="s">
        <v>4643</v>
      </c>
      <c r="H798" s="74"/>
      <c r="I798" s="147" t="str">
        <f t="shared" si="21"/>
        <v>Real</v>
      </c>
      <c r="J798" s="76" t="str">
        <f>HYPERLINK("[#]PhysicalQuantities!A20:N20","Length")</f>
        <v>Length</v>
      </c>
      <c r="K798" s="75" t="str">
        <f>HYPERLINK("[#]UnitsOfMeasure!D80:G80","Metre")</f>
        <v>Metre</v>
      </c>
      <c r="L798" s="77"/>
      <c r="M798" s="78"/>
      <c r="N798" s="74"/>
      <c r="O798" s="25">
        <v>117639</v>
      </c>
      <c r="P798" s="304" t="str">
        <f>CONCATENATE([1]Cover!$D$6,"fdd/view?i=",O798)</f>
        <v>https://www.dgiwg.org/FAD/fdd/view?i=117639</v>
      </c>
      <c r="Q798" s="8" t="s">
        <v>8560</v>
      </c>
      <c r="R798" s="38" t="s">
        <v>151</v>
      </c>
    </row>
    <row r="799" spans="1:18" ht="38.25">
      <c r="A799" s="302" t="str">
        <f t="shared" si="20"/>
        <v>minimumReceptionAltitude</v>
      </c>
      <c r="B799" s="6" t="s">
        <v>8567</v>
      </c>
      <c r="C799" s="17" t="s">
        <v>8568</v>
      </c>
      <c r="D799" s="10" t="s">
        <v>8569</v>
      </c>
      <c r="E799" s="55"/>
      <c r="F799" s="10" t="s">
        <v>8566</v>
      </c>
      <c r="G799" s="12" t="s">
        <v>4643</v>
      </c>
      <c r="H799" s="74"/>
      <c r="I799" s="147" t="str">
        <f t="shared" si="21"/>
        <v>Real</v>
      </c>
      <c r="J799" s="76" t="str">
        <f>HYPERLINK("[#]PhysicalQuantities!A20:N20","Length")</f>
        <v>Length</v>
      </c>
      <c r="K799" s="75" t="str">
        <f>HYPERLINK("[#]UnitsOfMeasure!D80:G80","Metre")</f>
        <v>Metre</v>
      </c>
      <c r="L799" s="77"/>
      <c r="M799" s="78"/>
      <c r="N799" s="74"/>
      <c r="O799" s="25">
        <v>117638</v>
      </c>
      <c r="P799" s="304" t="str">
        <f>CONCATENATE([1]Cover!$D$6,"fdd/view?i=",O799)</f>
        <v>https://www.dgiwg.org/FAD/fdd/view?i=117638</v>
      </c>
      <c r="Q799" s="8" t="s">
        <v>8566</v>
      </c>
      <c r="R799" s="38" t="s">
        <v>151</v>
      </c>
    </row>
    <row r="800" spans="1:18" ht="51">
      <c r="A800" s="302" t="str">
        <f t="shared" si="20"/>
        <v>minimumSectorAltitude</v>
      </c>
      <c r="B800" s="6" t="s">
        <v>8571</v>
      </c>
      <c r="C800" s="17" t="s">
        <v>8572</v>
      </c>
      <c r="D800" s="10" t="s">
        <v>8573</v>
      </c>
      <c r="E800" s="55"/>
      <c r="F800" s="10" t="s">
        <v>8570</v>
      </c>
      <c r="G800" s="12" t="s">
        <v>4643</v>
      </c>
      <c r="H800" s="74"/>
      <c r="I800" s="147" t="str">
        <f t="shared" si="21"/>
        <v>Real</v>
      </c>
      <c r="J800" s="76" t="str">
        <f>HYPERLINK("[#]PhysicalQuantities!A20:N20","Length")</f>
        <v>Length</v>
      </c>
      <c r="K800" s="75" t="str">
        <f>HYPERLINK("[#]UnitsOfMeasure!D80:G80","Metre")</f>
        <v>Metre</v>
      </c>
      <c r="L800" s="77"/>
      <c r="M800" s="78"/>
      <c r="N800" s="74"/>
      <c r="O800" s="25">
        <v>117641</v>
      </c>
      <c r="P800" s="304" t="str">
        <f>CONCATENATE([1]Cover!$D$6,"fdd/view?i=",O800)</f>
        <v>https://www.dgiwg.org/FAD/fdd/view?i=117641</v>
      </c>
      <c r="Q800" s="8" t="s">
        <v>8570</v>
      </c>
      <c r="R800" s="38" t="s">
        <v>151</v>
      </c>
    </row>
    <row r="801" spans="1:18">
      <c r="A801" s="302" t="str">
        <f t="shared" si="20"/>
        <v>minimumSurveySpacing</v>
      </c>
      <c r="B801" s="6" t="s">
        <v>8575</v>
      </c>
      <c r="C801" s="17" t="s">
        <v>8576</v>
      </c>
      <c r="D801" s="10" t="s">
        <v>8577</v>
      </c>
      <c r="E801" s="55"/>
      <c r="F801" s="55"/>
      <c r="G801" s="12" t="s">
        <v>4643</v>
      </c>
      <c r="H801" s="74"/>
      <c r="I801" s="147" t="str">
        <f>HYPERLINK("[#]Datatypes!B710:L710","Integer")</f>
        <v>Integer</v>
      </c>
      <c r="J801" s="76" t="str">
        <f>HYPERLINK("[#]PhysicalQuantities!A20:N20","Length")</f>
        <v>Length</v>
      </c>
      <c r="K801" s="75" t="str">
        <f>HYPERLINK("[#]UnitsOfMeasure!D80:G80","Metre")</f>
        <v>Metre</v>
      </c>
      <c r="L801" s="77"/>
      <c r="M801" s="78"/>
      <c r="N801" s="74"/>
      <c r="O801" s="25">
        <v>200250</v>
      </c>
      <c r="P801" s="304" t="str">
        <f>CONCATENATE([1]Cover!$D$6,"fdd/view?i=",O801)</f>
        <v>https://www.dgiwg.org/FAD/fdd/view?i=200250</v>
      </c>
      <c r="Q801" s="8" t="s">
        <v>8574</v>
      </c>
      <c r="R801" s="38" t="s">
        <v>1295</v>
      </c>
    </row>
    <row r="802" spans="1:18">
      <c r="A802" s="302" t="str">
        <f t="shared" si="20"/>
        <v>missileSiteType</v>
      </c>
      <c r="B802" s="6" t="s">
        <v>8579</v>
      </c>
      <c r="C802" s="17" t="s">
        <v>8580</v>
      </c>
      <c r="D802" s="10" t="s">
        <v>8581</v>
      </c>
      <c r="E802" s="55"/>
      <c r="F802" s="55"/>
      <c r="G802" s="12" t="s">
        <v>4643</v>
      </c>
      <c r="H802" s="12" t="s">
        <v>4700</v>
      </c>
      <c r="I802" s="147" t="str">
        <f>HYPERLINK("[#]Datatypes!B896:L896","MissileSiteTypeCode")</f>
        <v>MissileSiteTypeCode</v>
      </c>
      <c r="J802" s="80"/>
      <c r="K802" s="77"/>
      <c r="L802" s="77"/>
      <c r="M802" s="71" t="str">
        <f>HYPERLINK("[#]DatatypeListedValues!A4960:H4960","&lt;values&gt;")</f>
        <v>&lt;values&gt;</v>
      </c>
      <c r="N802" s="82" t="b">
        <v>0</v>
      </c>
      <c r="O802" s="25">
        <v>101078</v>
      </c>
      <c r="P802" s="304" t="str">
        <f>CONCATENATE([1]Cover!$D$6,"fdd/view?i=",O802)</f>
        <v>https://www.dgiwg.org/FAD/fdd/view?i=101078</v>
      </c>
      <c r="Q802" s="8" t="s">
        <v>8578</v>
      </c>
      <c r="R802" s="38" t="s">
        <v>151</v>
      </c>
    </row>
    <row r="803" spans="1:18" ht="25.5">
      <c r="A803" s="302" t="str">
        <f t="shared" si="20"/>
        <v>mobileBridgeSpan</v>
      </c>
      <c r="B803" s="6" t="s">
        <v>8584</v>
      </c>
      <c r="C803" s="17" t="s">
        <v>8585</v>
      </c>
      <c r="D803" s="10" t="s">
        <v>8586</v>
      </c>
      <c r="E803" s="55"/>
      <c r="F803" s="55"/>
      <c r="G803" s="12" t="s">
        <v>4643</v>
      </c>
      <c r="H803" s="74"/>
      <c r="I803" s="147" t="str">
        <f>HYPERLINK("[#]Datatypes!B230:L230","Boolean")</f>
        <v>Boolean</v>
      </c>
      <c r="J803" s="80"/>
      <c r="K803" s="77"/>
      <c r="L803" s="77"/>
      <c r="M803" s="78"/>
      <c r="N803" s="74"/>
      <c r="O803" s="25">
        <v>100685</v>
      </c>
      <c r="P803" s="304" t="str">
        <f>CONCATENATE([1]Cover!$D$6,"fdd/view?i=",O803)</f>
        <v>https://www.dgiwg.org/FAD/fdd/view?i=100685</v>
      </c>
      <c r="Q803" s="8" t="s">
        <v>8583</v>
      </c>
      <c r="R803" s="38" t="s">
        <v>151</v>
      </c>
    </row>
    <row r="804" spans="1:18" ht="38.25">
      <c r="A804" s="302" t="str">
        <f t="shared" si="20"/>
        <v>modificationDateTime</v>
      </c>
      <c r="B804" s="6" t="s">
        <v>8588</v>
      </c>
      <c r="C804" s="17" t="s">
        <v>8589</v>
      </c>
      <c r="D804" s="10" t="s">
        <v>8590</v>
      </c>
      <c r="E804" s="10" t="s">
        <v>6206</v>
      </c>
      <c r="F804" s="55"/>
      <c r="G804" s="12" t="s">
        <v>4643</v>
      </c>
      <c r="H804" s="74"/>
      <c r="I804" s="147" t="str">
        <f>HYPERLINK("[#]Datatypes!B898:L898","ModificationDateTimeStrucText")</f>
        <v>ModificationDateTimeStrucText</v>
      </c>
      <c r="J804" s="80"/>
      <c r="K804" s="77"/>
      <c r="L804" s="77"/>
      <c r="M804" s="78"/>
      <c r="N804" s="74"/>
      <c r="O804" s="25">
        <v>114228</v>
      </c>
      <c r="P804" s="304" t="str">
        <f>CONCATENATE([1]Cover!$D$6,"fdd/view?i=",O804)</f>
        <v>https://www.dgiwg.org/FAD/fdd/view?i=114228</v>
      </c>
      <c r="Q804" s="8" t="s">
        <v>8587</v>
      </c>
      <c r="R804" s="38" t="s">
        <v>151</v>
      </c>
    </row>
    <row r="805" spans="1:18" ht="89.25">
      <c r="A805" s="302" t="str">
        <f t="shared" si="20"/>
        <v>modifiedMercalliIntensity</v>
      </c>
      <c r="B805" s="6" t="s">
        <v>8593</v>
      </c>
      <c r="C805" s="17" t="s">
        <v>8594</v>
      </c>
      <c r="D805" s="10" t="s">
        <v>8595</v>
      </c>
      <c r="E805" s="10" t="s">
        <v>8596</v>
      </c>
      <c r="F805" s="55"/>
      <c r="G805" s="12" t="s">
        <v>4643</v>
      </c>
      <c r="H805" s="74"/>
      <c r="I805" s="147" t="str">
        <f>HYPERLINK("[#]Datatypes!B900:L900","ModifiedMercalliIntensityCode")</f>
        <v>ModifiedMercalliIntensityCode</v>
      </c>
      <c r="J805" s="80"/>
      <c r="K805" s="77"/>
      <c r="L805" s="77"/>
      <c r="M805" s="71" t="str">
        <f>HYPERLINK("[#]DatatypeListedValues!A4985:H4985","&lt;values&gt;")</f>
        <v>&lt;values&gt;</v>
      </c>
      <c r="N805" s="82" t="b">
        <v>0</v>
      </c>
      <c r="O805" s="25">
        <v>111594</v>
      </c>
      <c r="P805" s="304" t="str">
        <f>CONCATENATE([1]Cover!$D$6,"fdd/view?i=",O805)</f>
        <v>https://www.dgiwg.org/FAD/fdd/view?i=111594</v>
      </c>
      <c r="Q805" s="8" t="s">
        <v>8592</v>
      </c>
      <c r="R805" s="38" t="s">
        <v>151</v>
      </c>
    </row>
    <row r="806" spans="1:18" ht="25.5">
      <c r="A806" s="302" t="str">
        <f t="shared" si="20"/>
        <v>moduIdentifier</v>
      </c>
      <c r="B806" s="6" t="s">
        <v>8599</v>
      </c>
      <c r="C806" s="17" t="s">
        <v>8600</v>
      </c>
      <c r="D806" s="10" t="s">
        <v>8601</v>
      </c>
      <c r="E806" s="10" t="s">
        <v>8602</v>
      </c>
      <c r="F806" s="55"/>
      <c r="G806" s="12" t="s">
        <v>4643</v>
      </c>
      <c r="H806" s="74"/>
      <c r="I806" s="147" t="str">
        <f>HYPERLINK("[#]Datatypes!B692:L692","Index")</f>
        <v>Index</v>
      </c>
      <c r="J806" s="80"/>
      <c r="K806" s="77"/>
      <c r="L806" s="77"/>
      <c r="M806" s="78"/>
      <c r="N806" s="74"/>
      <c r="O806" s="25">
        <v>111633</v>
      </c>
      <c r="P806" s="304" t="str">
        <f>CONCATENATE([1]Cover!$D$6,"fdd/view?i=",O806)</f>
        <v>https://www.dgiwg.org/FAD/fdd/view?i=111633</v>
      </c>
      <c r="Q806" s="8" t="s">
        <v>8598</v>
      </c>
      <c r="R806" s="38" t="s">
        <v>151</v>
      </c>
    </row>
    <row r="807" spans="1:18">
      <c r="A807" s="302" t="str">
        <f t="shared" si="20"/>
        <v>monitored</v>
      </c>
      <c r="B807" s="6" t="s">
        <v>8604</v>
      </c>
      <c r="C807" s="17" t="s">
        <v>8605</v>
      </c>
      <c r="D807" s="10" t="s">
        <v>8606</v>
      </c>
      <c r="E807" s="10" t="s">
        <v>8607</v>
      </c>
      <c r="F807" s="55"/>
      <c r="G807" s="12" t="s">
        <v>4643</v>
      </c>
      <c r="H807" s="74"/>
      <c r="I807" s="147" t="str">
        <f>HYPERLINK("[#]Datatypes!B230:L230","Boolean")</f>
        <v>Boolean</v>
      </c>
      <c r="J807" s="80"/>
      <c r="K807" s="77"/>
      <c r="L807" s="77"/>
      <c r="M807" s="78"/>
      <c r="N807" s="74"/>
      <c r="O807" s="25">
        <v>101060</v>
      </c>
      <c r="P807" s="304" t="str">
        <f>CONCATENATE([1]Cover!$D$6,"fdd/view?i=",O807)</f>
        <v>https://www.dgiwg.org/FAD/fdd/view?i=101060</v>
      </c>
      <c r="Q807" s="8" t="s">
        <v>8603</v>
      </c>
      <c r="R807" s="38" t="s">
        <v>151</v>
      </c>
    </row>
    <row r="808" spans="1:18">
      <c r="A808" s="302" t="str">
        <f t="shared" si="20"/>
        <v>monitoringMethod</v>
      </c>
      <c r="B808" s="6" t="s">
        <v>8609</v>
      </c>
      <c r="C808" s="17" t="s">
        <v>8610</v>
      </c>
      <c r="D808" s="10" t="s">
        <v>8611</v>
      </c>
      <c r="E808" s="55"/>
      <c r="F808" s="55"/>
      <c r="G808" s="12" t="s">
        <v>4643</v>
      </c>
      <c r="H808" s="74"/>
      <c r="I808" s="147" t="str">
        <f>HYPERLINK("[#]Datatypes!B902:L902","MonitoringMethodCode")</f>
        <v>MonitoringMethodCode</v>
      </c>
      <c r="J808" s="80"/>
      <c r="K808" s="77"/>
      <c r="L808" s="77"/>
      <c r="M808" s="71" t="str">
        <f>HYPERLINK("[#]DatatypeListedValues!A4997:H4997","&lt;values&gt;")</f>
        <v>&lt;values&gt;</v>
      </c>
      <c r="N808" s="82" t="b">
        <v>0</v>
      </c>
      <c r="O808" s="25">
        <v>119801</v>
      </c>
      <c r="P808" s="304" t="str">
        <f>CONCATENATE([1]Cover!$D$6,"fdd/view?i=",O808)</f>
        <v>https://www.dgiwg.org/FAD/fdd/view?i=119801</v>
      </c>
      <c r="Q808" s="8" t="s">
        <v>8608</v>
      </c>
      <c r="R808" s="38" t="s">
        <v>1295</v>
      </c>
    </row>
    <row r="809" spans="1:18" ht="25.5">
      <c r="A809" s="302" t="str">
        <f t="shared" si="20"/>
        <v>mooringWarpingFacType</v>
      </c>
      <c r="B809" s="6" t="s">
        <v>8614</v>
      </c>
      <c r="C809" s="17" t="s">
        <v>8615</v>
      </c>
      <c r="D809" s="10" t="s">
        <v>8616</v>
      </c>
      <c r="E809" s="55"/>
      <c r="F809" s="55"/>
      <c r="G809" s="12" t="s">
        <v>4643</v>
      </c>
      <c r="H809" s="74"/>
      <c r="I809" s="147" t="str">
        <f>HYPERLINK("[#]Datatypes!B904:L904","MooringWarpingFacTypeCode")</f>
        <v>MooringWarpingFacTypeCode</v>
      </c>
      <c r="J809" s="80"/>
      <c r="K809" s="77"/>
      <c r="L809" s="77"/>
      <c r="M809" s="71" t="str">
        <f>HYPERLINK("[#]DatatypeListedValues!A4999:H4999","&lt;values&gt;")</f>
        <v>&lt;values&gt;</v>
      </c>
      <c r="N809" s="82" t="b">
        <v>0</v>
      </c>
      <c r="O809" s="25">
        <v>101086</v>
      </c>
      <c r="P809" s="304" t="str">
        <f>CONCATENATE([1]Cover!$D$6,"fdd/view?i=",O809)</f>
        <v>https://www.dgiwg.org/FAD/fdd/view?i=101086</v>
      </c>
      <c r="Q809" s="8" t="s">
        <v>8613</v>
      </c>
      <c r="R809" s="38" t="s">
        <v>151</v>
      </c>
    </row>
    <row r="810" spans="1:18" ht="25.5">
      <c r="A810" s="302" t="str">
        <f t="shared" si="20"/>
        <v>mooringType</v>
      </c>
      <c r="B810" s="6" t="s">
        <v>8619</v>
      </c>
      <c r="C810" s="17" t="s">
        <v>8620</v>
      </c>
      <c r="D810" s="10" t="s">
        <v>8621</v>
      </c>
      <c r="E810" s="55"/>
      <c r="F810" s="55"/>
      <c r="G810" s="12" t="s">
        <v>4643</v>
      </c>
      <c r="H810" s="74"/>
      <c r="I810" s="147" t="str">
        <f>HYPERLINK("[#]Datatypes!B906:L906","MooringTypeCode")</f>
        <v>MooringTypeCode</v>
      </c>
      <c r="J810" s="80"/>
      <c r="K810" s="77"/>
      <c r="L810" s="77"/>
      <c r="M810" s="71" t="str">
        <f>HYPERLINK("[#]DatatypeListedValues!A5003:H5003","&lt;values&gt;")</f>
        <v>&lt;values&gt;</v>
      </c>
      <c r="N810" s="82" t="b">
        <v>0</v>
      </c>
      <c r="O810" s="25">
        <v>101034</v>
      </c>
      <c r="P810" s="304" t="str">
        <f>CONCATENATE([1]Cover!$D$6,"fdd/view?i=",O810)</f>
        <v>https://www.dgiwg.org/FAD/fdd/view?i=101034</v>
      </c>
      <c r="Q810" s="8" t="s">
        <v>8618</v>
      </c>
      <c r="R810" s="38" t="s">
        <v>151</v>
      </c>
    </row>
    <row r="811" spans="1:18" ht="25.5">
      <c r="A811" s="302" t="str">
        <f t="shared" si="20"/>
        <v>motorizedCrossing</v>
      </c>
      <c r="B811" s="6" t="s">
        <v>8624</v>
      </c>
      <c r="C811" s="17" t="s">
        <v>8625</v>
      </c>
      <c r="D811" s="10" t="s">
        <v>8626</v>
      </c>
      <c r="E811" s="55"/>
      <c r="F811" s="55"/>
      <c r="G811" s="12" t="s">
        <v>4643</v>
      </c>
      <c r="H811" s="74"/>
      <c r="I811" s="147" t="str">
        <f>HYPERLINK("[#]Datatypes!B230:L230","Boolean")</f>
        <v>Boolean</v>
      </c>
      <c r="J811" s="80"/>
      <c r="K811" s="77"/>
      <c r="L811" s="77"/>
      <c r="M811" s="78"/>
      <c r="N811" s="74"/>
      <c r="O811" s="25">
        <v>119194</v>
      </c>
      <c r="P811" s="304" t="str">
        <f>CONCATENATE([1]Cover!$D$6,"fdd/view?i=",O811)</f>
        <v>https://www.dgiwg.org/FAD/fdd/view?i=119194</v>
      </c>
      <c r="Q811" s="8" t="s">
        <v>8623</v>
      </c>
      <c r="R811" s="38" t="s">
        <v>151</v>
      </c>
    </row>
    <row r="812" spans="1:18" ht="38.25">
      <c r="A812" s="302" t="str">
        <f t="shared" si="20"/>
        <v>movementAreaEntryClearance</v>
      </c>
      <c r="B812" s="6" t="s">
        <v>8628</v>
      </c>
      <c r="C812" s="17" t="s">
        <v>8629</v>
      </c>
      <c r="D812" s="10" t="s">
        <v>8630</v>
      </c>
      <c r="E812" s="55"/>
      <c r="F812" s="55"/>
      <c r="G812" s="12" t="s">
        <v>4643</v>
      </c>
      <c r="H812" s="74"/>
      <c r="I812" s="147" t="str">
        <f>HYPERLINK("[#]Datatypes!B1097:L1097","Real")</f>
        <v>Real</v>
      </c>
      <c r="J812" s="76" t="str">
        <f>HYPERLINK("[#]PhysicalQuantities!A20:N20","Length")</f>
        <v>Length</v>
      </c>
      <c r="K812" s="75" t="str">
        <f>HYPERLINK("[#]UnitsOfMeasure!D80:G80","Metre")</f>
        <v>Metre</v>
      </c>
      <c r="L812" s="77"/>
      <c r="M812" s="78"/>
      <c r="N812" s="74"/>
      <c r="O812" s="25">
        <v>117564</v>
      </c>
      <c r="P812" s="304" t="str">
        <f>CONCATENATE([1]Cover!$D$6,"fdd/view?i=",O812)</f>
        <v>https://www.dgiwg.org/FAD/fdd/view?i=117564</v>
      </c>
      <c r="Q812" s="8" t="s">
        <v>8627</v>
      </c>
      <c r="R812" s="38" t="s">
        <v>151</v>
      </c>
    </row>
    <row r="813" spans="1:18">
      <c r="A813" s="302" t="str">
        <f t="shared" si="20"/>
        <v>multiCurveGeometry</v>
      </c>
      <c r="B813" s="6" t="s">
        <v>8632</v>
      </c>
      <c r="C813" s="17" t="s">
        <v>8633</v>
      </c>
      <c r="D813" s="10" t="s">
        <v>8634</v>
      </c>
      <c r="E813" s="55"/>
      <c r="F813" s="55"/>
      <c r="G813" s="12" t="s">
        <v>4643</v>
      </c>
      <c r="H813" s="74"/>
      <c r="I813" s="147" t="str">
        <f>HYPERLINK("[#]Datatypes!B908:L908","GmMultiCurve")</f>
        <v>GmMultiCurve</v>
      </c>
      <c r="J813" s="80"/>
      <c r="K813" s="77"/>
      <c r="L813" s="77"/>
      <c r="M813" s="78"/>
      <c r="N813" s="74"/>
      <c r="O813" s="25">
        <v>200628</v>
      </c>
      <c r="P813" s="304" t="str">
        <f>CONCATENATE([1]Cover!$D$6,"fdd/view?i=",O813)</f>
        <v>https://www.dgiwg.org/FAD/fdd/view?i=200628</v>
      </c>
      <c r="Q813" s="8" t="s">
        <v>8631</v>
      </c>
      <c r="R813" s="38" t="s">
        <v>1295</v>
      </c>
    </row>
    <row r="814" spans="1:18" ht="25.5">
      <c r="A814" s="302" t="str">
        <f t="shared" si="20"/>
        <v>multipleLightRanges</v>
      </c>
      <c r="B814" s="6" t="s">
        <v>8637</v>
      </c>
      <c r="C814" s="17" t="s">
        <v>8638</v>
      </c>
      <c r="D814" s="10" t="s">
        <v>8639</v>
      </c>
      <c r="E814" s="55"/>
      <c r="F814" s="55"/>
      <c r="G814" s="12" t="s">
        <v>4643</v>
      </c>
      <c r="H814" s="74"/>
      <c r="I814" s="147" t="str">
        <f>HYPERLINK("[#]Datatypes!B910:L910","MultipleLightRangesStrucText")</f>
        <v>MultipleLightRangesStrucText</v>
      </c>
      <c r="J814" s="80"/>
      <c r="K814" s="77"/>
      <c r="L814" s="77"/>
      <c r="M814" s="78"/>
      <c r="N814" s="74"/>
      <c r="O814" s="25">
        <v>101052</v>
      </c>
      <c r="P814" s="304" t="str">
        <f>CONCATENATE([1]Cover!$D$6,"fdd/view?i=",O814)</f>
        <v>https://www.dgiwg.org/FAD/fdd/view?i=101052</v>
      </c>
      <c r="Q814" s="8" t="s">
        <v>8636</v>
      </c>
      <c r="R814" s="38" t="s">
        <v>151</v>
      </c>
    </row>
    <row r="815" spans="1:18" ht="63.75">
      <c r="A815" s="302" t="str">
        <f t="shared" si="20"/>
        <v>multipleOfficialNames</v>
      </c>
      <c r="B815" s="6" t="s">
        <v>8642</v>
      </c>
      <c r="C815" s="17" t="s">
        <v>8643</v>
      </c>
      <c r="D815" s="10" t="s">
        <v>8644</v>
      </c>
      <c r="E815" s="10" t="s">
        <v>8645</v>
      </c>
      <c r="F815" s="55"/>
      <c r="G815" s="12" t="s">
        <v>4643</v>
      </c>
      <c r="H815" s="74"/>
      <c r="I815" s="147" t="str">
        <f>HYPERLINK("[#]Datatypes!B230:L230","Boolean")</f>
        <v>Boolean</v>
      </c>
      <c r="J815" s="80"/>
      <c r="K815" s="77"/>
      <c r="L815" s="77"/>
      <c r="M815" s="78"/>
      <c r="N815" s="74"/>
      <c r="O815" s="25">
        <v>111635</v>
      </c>
      <c r="P815" s="304" t="str">
        <f>CONCATENATE([1]Cover!$D$6,"fdd/view?i=",O815)</f>
        <v>https://www.dgiwg.org/FAD/fdd/view?i=111635</v>
      </c>
      <c r="Q815" s="8" t="s">
        <v>8641</v>
      </c>
      <c r="R815" s="38" t="s">
        <v>151</v>
      </c>
    </row>
    <row r="816" spans="1:18">
      <c r="A816" s="302" t="str">
        <f t="shared" si="20"/>
        <v>multiPointGeometry</v>
      </c>
      <c r="B816" s="6" t="s">
        <v>8647</v>
      </c>
      <c r="C816" s="17" t="s">
        <v>8648</v>
      </c>
      <c r="D816" s="10" t="s">
        <v>8649</v>
      </c>
      <c r="E816" s="55"/>
      <c r="F816" s="55"/>
      <c r="G816" s="12" t="s">
        <v>4643</v>
      </c>
      <c r="H816" s="74"/>
      <c r="I816" s="147" t="str">
        <f>HYPERLINK("[#]Datatypes!B912:L912","GmMultiPoint")</f>
        <v>GmMultiPoint</v>
      </c>
      <c r="J816" s="80"/>
      <c r="K816" s="77"/>
      <c r="L816" s="77"/>
      <c r="M816" s="78"/>
      <c r="N816" s="74"/>
      <c r="O816" s="25">
        <v>200627</v>
      </c>
      <c r="P816" s="304" t="str">
        <f>CONCATENATE([1]Cover!$D$6,"fdd/view?i=",O816)</f>
        <v>https://www.dgiwg.org/FAD/fdd/view?i=200627</v>
      </c>
      <c r="Q816" s="8" t="s">
        <v>8646</v>
      </c>
      <c r="R816" s="38" t="s">
        <v>1295</v>
      </c>
    </row>
    <row r="817" spans="1:18">
      <c r="A817" s="302" t="str">
        <f t="shared" si="20"/>
        <v>multiSolidGeometry</v>
      </c>
      <c r="B817" s="6" t="s">
        <v>8652</v>
      </c>
      <c r="C817" s="17" t="s">
        <v>8653</v>
      </c>
      <c r="D817" s="10" t="s">
        <v>8654</v>
      </c>
      <c r="E817" s="55"/>
      <c r="F817" s="55"/>
      <c r="G817" s="12" t="s">
        <v>4643</v>
      </c>
      <c r="H817" s="74"/>
      <c r="I817" s="147" t="str">
        <f>HYPERLINK("[#]Datatypes!B914:L914","GmMultiSolid")</f>
        <v>GmMultiSolid</v>
      </c>
      <c r="J817" s="80"/>
      <c r="K817" s="77"/>
      <c r="L817" s="77"/>
      <c r="M817" s="78"/>
      <c r="N817" s="74"/>
      <c r="O817" s="25">
        <v>200630</v>
      </c>
      <c r="P817" s="304" t="str">
        <f>CONCATENATE([1]Cover!$D$6,"fdd/view?i=",O817)</f>
        <v>https://www.dgiwg.org/FAD/fdd/view?i=200630</v>
      </c>
      <c r="Q817" s="8" t="s">
        <v>8651</v>
      </c>
      <c r="R817" s="38" t="s">
        <v>1295</v>
      </c>
    </row>
    <row r="818" spans="1:18">
      <c r="A818" s="302" t="str">
        <f t="shared" si="20"/>
        <v>multiSurfaceGeometry</v>
      </c>
      <c r="B818" s="6" t="s">
        <v>8657</v>
      </c>
      <c r="C818" s="17" t="s">
        <v>8658</v>
      </c>
      <c r="D818" s="10" t="s">
        <v>8659</v>
      </c>
      <c r="E818" s="55"/>
      <c r="F818" s="55"/>
      <c r="G818" s="12" t="s">
        <v>4643</v>
      </c>
      <c r="H818" s="74"/>
      <c r="I818" s="147" t="str">
        <f>HYPERLINK("[#]Datatypes!B916:L916","GmMultiSurface")</f>
        <v>GmMultiSurface</v>
      </c>
      <c r="J818" s="80"/>
      <c r="K818" s="77"/>
      <c r="L818" s="77"/>
      <c r="M818" s="78"/>
      <c r="N818" s="74"/>
      <c r="O818" s="25">
        <v>200629</v>
      </c>
      <c r="P818" s="304" t="str">
        <f>CONCATENATE([1]Cover!$D$6,"fdd/view?i=",O818)</f>
        <v>https://www.dgiwg.org/FAD/fdd/view?i=200629</v>
      </c>
      <c r="Q818" s="8" t="s">
        <v>8656</v>
      </c>
      <c r="R818" s="38" t="s">
        <v>1295</v>
      </c>
    </row>
    <row r="819" spans="1:18" ht="89.25">
      <c r="A819" s="302" t="str">
        <f t="shared" si="20"/>
        <v>multiUnitBuilding</v>
      </c>
      <c r="B819" s="6" t="s">
        <v>8662</v>
      </c>
      <c r="C819" s="17" t="s">
        <v>8663</v>
      </c>
      <c r="D819" s="10" t="s">
        <v>8664</v>
      </c>
      <c r="E819" s="10" t="s">
        <v>8665</v>
      </c>
      <c r="F819" s="55"/>
      <c r="G819" s="12" t="s">
        <v>4643</v>
      </c>
      <c r="H819" s="74"/>
      <c r="I819" s="147" t="str">
        <f>HYPERLINK("[#]Datatypes!B230:L230","Boolean")</f>
        <v>Boolean</v>
      </c>
      <c r="J819" s="80"/>
      <c r="K819" s="77"/>
      <c r="L819" s="77"/>
      <c r="M819" s="78"/>
      <c r="N819" s="74"/>
      <c r="O819" s="25">
        <v>119157</v>
      </c>
      <c r="P819" s="304" t="str">
        <f>CONCATENATE([1]Cover!$D$6,"fdd/view?i=",O819)</f>
        <v>https://www.dgiwg.org/FAD/fdd/view?i=119157</v>
      </c>
      <c r="Q819" s="8" t="s">
        <v>8661</v>
      </c>
      <c r="R819" s="38" t="s">
        <v>151</v>
      </c>
    </row>
    <row r="820" spans="1:18" ht="25.5">
      <c r="A820" s="302" t="str">
        <f t="shared" si="20"/>
        <v>nameEffectiveDateTime</v>
      </c>
      <c r="B820" s="6" t="s">
        <v>8667</v>
      </c>
      <c r="C820" s="17" t="s">
        <v>8668</v>
      </c>
      <c r="D820" s="10" t="s">
        <v>8669</v>
      </c>
      <c r="E820" s="55"/>
      <c r="F820" s="55"/>
      <c r="G820" s="12" t="s">
        <v>4643</v>
      </c>
      <c r="H820" s="74"/>
      <c r="I820" s="147" t="str">
        <f>HYPERLINK("[#]Datatypes!B918:L918","NameEffectiveDateTimeStrucText")</f>
        <v>NameEffectiveDateTimeStrucText</v>
      </c>
      <c r="J820" s="80"/>
      <c r="K820" s="77"/>
      <c r="L820" s="77"/>
      <c r="M820" s="78"/>
      <c r="N820" s="74"/>
      <c r="O820" s="25">
        <v>111644</v>
      </c>
      <c r="P820" s="304" t="str">
        <f>CONCATENATE([1]Cover!$D$6,"fdd/view?i=",O820)</f>
        <v>https://www.dgiwg.org/FAD/fdd/view?i=111644</v>
      </c>
      <c r="Q820" s="8" t="s">
        <v>8666</v>
      </c>
      <c r="R820" s="38" t="s">
        <v>151</v>
      </c>
    </row>
    <row r="821" spans="1:18" ht="38.25">
      <c r="A821" s="302" t="str">
        <f t="shared" si="20"/>
        <v>nameIdentifier</v>
      </c>
      <c r="B821" s="6" t="s">
        <v>8672</v>
      </c>
      <c r="C821" s="17" t="s">
        <v>8673</v>
      </c>
      <c r="D821" s="10" t="s">
        <v>8674</v>
      </c>
      <c r="E821" s="10" t="s">
        <v>8675</v>
      </c>
      <c r="F821" s="55"/>
      <c r="G821" s="12" t="s">
        <v>4643</v>
      </c>
      <c r="H821" s="74"/>
      <c r="I821" s="147" t="str">
        <f>HYPERLINK("[#]Datatypes!B762:L762","KeyNonLex18")</f>
        <v>KeyNonLex18</v>
      </c>
      <c r="J821" s="80"/>
      <c r="K821" s="77"/>
      <c r="L821" s="77"/>
      <c r="M821" s="78"/>
      <c r="N821" s="74"/>
      <c r="O821" s="25">
        <v>101095</v>
      </c>
      <c r="P821" s="304" t="str">
        <f>CONCATENATE([1]Cover!$D$6,"fdd/view?i=",O821)</f>
        <v>https://www.dgiwg.org/FAD/fdd/view?i=101095</v>
      </c>
      <c r="Q821" s="8" t="s">
        <v>8671</v>
      </c>
      <c r="R821" s="38" t="s">
        <v>151</v>
      </c>
    </row>
    <row r="822" spans="1:18" ht="51">
      <c r="A822" s="302" t="str">
        <f t="shared" si="20"/>
        <v>nameModifier</v>
      </c>
      <c r="B822" s="6" t="s">
        <v>8678</v>
      </c>
      <c r="C822" s="17" t="s">
        <v>8679</v>
      </c>
      <c r="D822" s="10" t="s">
        <v>8680</v>
      </c>
      <c r="E822" s="10" t="s">
        <v>8681</v>
      </c>
      <c r="F822" s="55"/>
      <c r="G822" s="12" t="s">
        <v>4643</v>
      </c>
      <c r="H822" s="74"/>
      <c r="I822" s="147" t="str">
        <f>HYPERLINK("[#]Datatypes!B1426:L1426","TextNonLex200")</f>
        <v>TextNonLex200</v>
      </c>
      <c r="J822" s="80"/>
      <c r="K822" s="77"/>
      <c r="L822" s="77"/>
      <c r="M822" s="78"/>
      <c r="N822" s="74"/>
      <c r="O822" s="25">
        <v>114236</v>
      </c>
      <c r="P822" s="304" t="str">
        <f>CONCATENATE([1]Cover!$D$6,"fdd/view?i=",O822)</f>
        <v>https://www.dgiwg.org/FAD/fdd/view?i=114236</v>
      </c>
      <c r="Q822" s="8" t="s">
        <v>8677</v>
      </c>
      <c r="R822" s="38" t="s">
        <v>151</v>
      </c>
    </row>
    <row r="823" spans="1:18" ht="38.25">
      <c r="A823" s="302" t="str">
        <f t="shared" si="20"/>
        <v>nameSourceCitation</v>
      </c>
      <c r="B823" s="6" t="s">
        <v>8683</v>
      </c>
      <c r="C823" s="17" t="s">
        <v>8684</v>
      </c>
      <c r="D823" s="10" t="s">
        <v>8685</v>
      </c>
      <c r="E823" s="55"/>
      <c r="F823" s="55"/>
      <c r="G823" s="12" t="s">
        <v>4643</v>
      </c>
      <c r="H823" s="74"/>
      <c r="I823" s="147" t="str">
        <f>HYPERLINK("[#]Datatypes!B300:L300","CI_Citation")</f>
        <v>CI_Citation</v>
      </c>
      <c r="J823" s="80"/>
      <c r="K823" s="77"/>
      <c r="L823" s="77"/>
      <c r="M823" s="78"/>
      <c r="N823" s="74"/>
      <c r="O823" s="25">
        <v>111574</v>
      </c>
      <c r="P823" s="304" t="str">
        <f>CONCATENATE([1]Cover!$D$6,"fdd/view?i=",O823)</f>
        <v>https://www.dgiwg.org/FAD/fdd/view?i=111574</v>
      </c>
      <c r="Q823" s="8" t="s">
        <v>8682</v>
      </c>
      <c r="R823" s="38" t="s">
        <v>151</v>
      </c>
    </row>
    <row r="824" spans="1:18" ht="25.5">
      <c r="A824" s="302" t="str">
        <f t="shared" si="20"/>
        <v>nameTerminationDateTime</v>
      </c>
      <c r="B824" s="6" t="s">
        <v>8687</v>
      </c>
      <c r="C824" s="17" t="s">
        <v>8688</v>
      </c>
      <c r="D824" s="10" t="s">
        <v>8689</v>
      </c>
      <c r="E824" s="55"/>
      <c r="F824" s="55"/>
      <c r="G824" s="12" t="s">
        <v>4643</v>
      </c>
      <c r="H824" s="74"/>
      <c r="I824" s="147" t="str">
        <f>HYPERLINK("[#]Datatypes!B920:L920","NameTerminationDateTimeStrucText")</f>
        <v>NameTerminationDateTimeStrucText</v>
      </c>
      <c r="J824" s="80"/>
      <c r="K824" s="77"/>
      <c r="L824" s="77"/>
      <c r="M824" s="78"/>
      <c r="N824" s="74"/>
      <c r="O824" s="25">
        <v>111649</v>
      </c>
      <c r="P824" s="304" t="str">
        <f>CONCATENATE([1]Cover!$D$6,"fdd/view?i=",O824)</f>
        <v>https://www.dgiwg.org/FAD/fdd/view?i=111649</v>
      </c>
      <c r="Q824" s="8" t="s">
        <v>8686</v>
      </c>
      <c r="R824" s="38" t="s">
        <v>151</v>
      </c>
    </row>
    <row r="825" spans="1:18" ht="38.25">
      <c r="A825" s="302" t="str">
        <f t="shared" si="20"/>
        <v>namedFeatureIdentifier</v>
      </c>
      <c r="B825" s="6" t="s">
        <v>8692</v>
      </c>
      <c r="C825" s="17" t="s">
        <v>8693</v>
      </c>
      <c r="D825" s="10" t="s">
        <v>8694</v>
      </c>
      <c r="E825" s="10" t="s">
        <v>8695</v>
      </c>
      <c r="F825" s="55"/>
      <c r="G825" s="12" t="s">
        <v>4643</v>
      </c>
      <c r="H825" s="74"/>
      <c r="I825" s="147" t="str">
        <f>HYPERLINK("[#]Datatypes!B762:L762","KeyNonLex18")</f>
        <v>KeyNonLex18</v>
      </c>
      <c r="J825" s="80"/>
      <c r="K825" s="77"/>
      <c r="L825" s="77"/>
      <c r="M825" s="78"/>
      <c r="N825" s="74"/>
      <c r="O825" s="25">
        <v>101094</v>
      </c>
      <c r="P825" s="304" t="str">
        <f>CONCATENATE([1]Cover!$D$6,"fdd/view?i=",O825)</f>
        <v>https://www.dgiwg.org/FAD/fdd/view?i=101094</v>
      </c>
      <c r="Q825" s="8" t="s">
        <v>8691</v>
      </c>
      <c r="R825" s="38" t="s">
        <v>151</v>
      </c>
    </row>
    <row r="826" spans="1:18" ht="38.25">
      <c r="A826" s="302" t="str">
        <f t="shared" si="20"/>
        <v>namedLocationType</v>
      </c>
      <c r="B826" s="6" t="s">
        <v>8697</v>
      </c>
      <c r="C826" s="17" t="s">
        <v>8698</v>
      </c>
      <c r="D826" s="10" t="s">
        <v>8699</v>
      </c>
      <c r="E826" s="55"/>
      <c r="F826" s="55"/>
      <c r="G826" s="12" t="s">
        <v>4643</v>
      </c>
      <c r="H826" s="74"/>
      <c r="I826" s="147" t="str">
        <f>HYPERLINK("[#]Datatypes!B922:L922","NamedLocationTypeCode")</f>
        <v>NamedLocationTypeCode</v>
      </c>
      <c r="J826" s="80"/>
      <c r="K826" s="77"/>
      <c r="L826" s="77"/>
      <c r="M826" s="71" t="str">
        <f>HYPERLINK("[#]DatatypeListedValues!A5008:H5008","&lt;values&gt;")</f>
        <v>&lt;values&gt;</v>
      </c>
      <c r="N826" s="82" t="b">
        <v>0</v>
      </c>
      <c r="O826" s="25">
        <v>114235</v>
      </c>
      <c r="P826" s="304" t="str">
        <f>CONCATENATE([1]Cover!$D$6,"fdd/view?i=",O826)</f>
        <v>https://www.dgiwg.org/FAD/fdd/view?i=114235</v>
      </c>
      <c r="Q826" s="8" t="s">
        <v>8696</v>
      </c>
      <c r="R826" s="38" t="s">
        <v>151</v>
      </c>
    </row>
    <row r="827" spans="1:18" ht="25.5">
      <c r="A827" s="302" t="str">
        <f t="shared" si="20"/>
        <v>codeSpace</v>
      </c>
      <c r="B827" s="6" t="s">
        <v>8702</v>
      </c>
      <c r="C827" s="17" t="s">
        <v>8703</v>
      </c>
      <c r="D827" s="10" t="s">
        <v>8704</v>
      </c>
      <c r="E827" s="55"/>
      <c r="F827" s="10" t="s">
        <v>8705</v>
      </c>
      <c r="G827" s="12" t="s">
        <v>4643</v>
      </c>
      <c r="H827" s="74"/>
      <c r="I827" s="147" t="str">
        <f>HYPERLINK("[#]Datatypes!B1416:L1416","TextLexUnconstrained")</f>
        <v>TextLexUnconstrained</v>
      </c>
      <c r="J827" s="80"/>
      <c r="K827" s="77"/>
      <c r="L827" s="77"/>
      <c r="M827" s="78"/>
      <c r="N827" s="74"/>
      <c r="O827" s="25">
        <v>207277</v>
      </c>
      <c r="P827" s="304" t="str">
        <f>CONCATENATE([1]Cover!$D$6,"fdd/view?i=",O827)</f>
        <v>https://www.dgiwg.org/FAD/fdd/view?i=207277</v>
      </c>
      <c r="Q827" s="8" t="s">
        <v>8701</v>
      </c>
      <c r="R827" s="38" t="s">
        <v>1295</v>
      </c>
    </row>
    <row r="828" spans="1:18">
      <c r="A828" s="302" t="str">
        <f t="shared" si="20"/>
        <v>authority</v>
      </c>
      <c r="B828" s="6" t="s">
        <v>8707</v>
      </c>
      <c r="C828" s="17" t="s">
        <v>8708</v>
      </c>
      <c r="D828" s="10" t="s">
        <v>8709</v>
      </c>
      <c r="E828" s="55"/>
      <c r="F828" s="55"/>
      <c r="G828" s="12" t="s">
        <v>4643</v>
      </c>
      <c r="H828" s="74"/>
      <c r="I828" s="147" t="str">
        <f>HYPERLINK("[#]Datatypes!B315:L315","CitationStrucText")</f>
        <v>CitationStrucText</v>
      </c>
      <c r="J828" s="80"/>
      <c r="K828" s="77"/>
      <c r="L828" s="77"/>
      <c r="M828" s="78"/>
      <c r="N828" s="74"/>
      <c r="O828" s="25">
        <v>207294</v>
      </c>
      <c r="P828" s="304" t="str">
        <f>CONCATENATE([1]Cover!$D$6,"fdd/view?i=",O828)</f>
        <v>https://www.dgiwg.org/FAD/fdd/view?i=207294</v>
      </c>
      <c r="Q828" s="8" t="s">
        <v>8706</v>
      </c>
      <c r="R828" s="38" t="s">
        <v>1295</v>
      </c>
    </row>
    <row r="829" spans="1:18">
      <c r="A829" s="302" t="str">
        <f t="shared" si="20"/>
        <v>version</v>
      </c>
      <c r="B829" s="6" t="s">
        <v>6357</v>
      </c>
      <c r="C829" s="17" t="s">
        <v>8711</v>
      </c>
      <c r="D829" s="10" t="s">
        <v>8712</v>
      </c>
      <c r="E829" s="55"/>
      <c r="F829" s="55"/>
      <c r="G829" s="12" t="s">
        <v>4643</v>
      </c>
      <c r="H829" s="74"/>
      <c r="I829" s="147" t="str">
        <f>HYPERLINK("[#]Datatypes!B1416:L1416","TextLexUnconstrained")</f>
        <v>TextLexUnconstrained</v>
      </c>
      <c r="J829" s="80"/>
      <c r="K829" s="77"/>
      <c r="L829" s="77"/>
      <c r="M829" s="78"/>
      <c r="N829" s="74"/>
      <c r="O829" s="25">
        <v>207278</v>
      </c>
      <c r="P829" s="304" t="str">
        <f>CONCATENATE([1]Cover!$D$6,"fdd/view?i=",O829)</f>
        <v>https://www.dgiwg.org/FAD/fdd/view?i=207278</v>
      </c>
      <c r="Q829" s="8" t="s">
        <v>8710</v>
      </c>
      <c r="R829" s="38" t="s">
        <v>1295</v>
      </c>
    </row>
    <row r="830" spans="1:18" ht="127.5">
      <c r="A830" s="302" t="str">
        <f t="shared" si="20"/>
        <v>nationalMonIconCategory</v>
      </c>
      <c r="B830" s="6" t="s">
        <v>8714</v>
      </c>
      <c r="C830" s="17" t="s">
        <v>8715</v>
      </c>
      <c r="D830" s="10" t="s">
        <v>8716</v>
      </c>
      <c r="E830" s="10" t="s">
        <v>8717</v>
      </c>
      <c r="F830" s="55"/>
      <c r="G830" s="12" t="s">
        <v>4643</v>
      </c>
      <c r="H830" s="74"/>
      <c r="I830" s="147" t="str">
        <f>HYPERLINK("[#]Datatypes!B924:L924","NationalMonIconCategoryCode")</f>
        <v>NationalMonIconCategoryCode</v>
      </c>
      <c r="J830" s="80"/>
      <c r="K830" s="77"/>
      <c r="L830" s="77"/>
      <c r="M830" s="71" t="str">
        <f>HYPERLINK("[#]DatatypeListedValues!A5013:H5013","&lt;values&gt;")</f>
        <v>&lt;values&gt;</v>
      </c>
      <c r="N830" s="82" t="b">
        <v>0</v>
      </c>
      <c r="O830" s="25">
        <v>118626</v>
      </c>
      <c r="P830" s="304" t="str">
        <f>CONCATENATE([1]Cover!$D$6,"fdd/view?i=",O830)</f>
        <v>https://www.dgiwg.org/FAD/fdd/view?i=118626</v>
      </c>
      <c r="Q830" s="8" t="s">
        <v>8713</v>
      </c>
      <c r="R830" s="38" t="s">
        <v>151</v>
      </c>
    </row>
    <row r="831" spans="1:18">
      <c r="A831" s="302" t="str">
        <f t="shared" si="20"/>
        <v>naturalPoolType</v>
      </c>
      <c r="B831" s="6" t="s">
        <v>8720</v>
      </c>
      <c r="C831" s="17" t="s">
        <v>8721</v>
      </c>
      <c r="D831" s="10" t="s">
        <v>8722</v>
      </c>
      <c r="E831" s="55"/>
      <c r="F831" s="55"/>
      <c r="G831" s="12" t="s">
        <v>4643</v>
      </c>
      <c r="H831" s="74"/>
      <c r="I831" s="147" t="str">
        <f>HYPERLINK("[#]Datatypes!B926:L926","NaturalPoolTypeCode")</f>
        <v>NaturalPoolTypeCode</v>
      </c>
      <c r="J831" s="80"/>
      <c r="K831" s="77"/>
      <c r="L831" s="77"/>
      <c r="M831" s="71" t="str">
        <f>HYPERLINK("[#]DatatypeListedValues!A5017:H5017","&lt;values&gt;")</f>
        <v>&lt;values&gt;</v>
      </c>
      <c r="N831" s="82" t="b">
        <v>0</v>
      </c>
      <c r="O831" s="25">
        <v>101354</v>
      </c>
      <c r="P831" s="304" t="str">
        <f>CONCATENATE([1]Cover!$D$6,"fdd/view?i=",O831)</f>
        <v>https://www.dgiwg.org/FAD/fdd/view?i=101354</v>
      </c>
      <c r="Q831" s="8" t="s">
        <v>8719</v>
      </c>
      <c r="R831" s="38" t="s">
        <v>151</v>
      </c>
    </row>
    <row r="832" spans="1:18" ht="38.25">
      <c r="A832" s="302" t="str">
        <f t="shared" si="20"/>
        <v>navaidClass</v>
      </c>
      <c r="B832" s="6" t="s">
        <v>8725</v>
      </c>
      <c r="C832" s="17" t="s">
        <v>8726</v>
      </c>
      <c r="D832" s="10" t="s">
        <v>8727</v>
      </c>
      <c r="E832" s="10" t="s">
        <v>8728</v>
      </c>
      <c r="F832" s="55"/>
      <c r="G832" s="12" t="s">
        <v>4643</v>
      </c>
      <c r="H832" s="74"/>
      <c r="I832" s="147" t="str">
        <f>HYPERLINK("[#]Datatypes!B928:L928","NavaidClassCode")</f>
        <v>NavaidClassCode</v>
      </c>
      <c r="J832" s="80"/>
      <c r="K832" s="77"/>
      <c r="L832" s="77"/>
      <c r="M832" s="71" t="str">
        <f>HYPERLINK("[#]DatatypeListedValues!A5020:H5020","&lt;values&gt;")</f>
        <v>&lt;values&gt;</v>
      </c>
      <c r="N832" s="12" t="b">
        <v>1</v>
      </c>
      <c r="O832" s="25">
        <v>200405</v>
      </c>
      <c r="P832" s="304" t="str">
        <f>CONCATENATE([1]Cover!$D$6,"fdd/view?i=",O832)</f>
        <v>https://www.dgiwg.org/FAD/fdd/view?i=200405</v>
      </c>
      <c r="Q832" s="8" t="s">
        <v>8724</v>
      </c>
      <c r="R832" s="38" t="s">
        <v>1295</v>
      </c>
    </row>
    <row r="833" spans="1:18">
      <c r="A833" s="302" t="str">
        <f t="shared" si="20"/>
        <v>navaidPower</v>
      </c>
      <c r="B833" s="6" t="s">
        <v>8731</v>
      </c>
      <c r="C833" s="17" t="s">
        <v>8732</v>
      </c>
      <c r="D833" s="10" t="s">
        <v>8733</v>
      </c>
      <c r="E833" s="55"/>
      <c r="F833" s="55"/>
      <c r="G833" s="12" t="s">
        <v>4643</v>
      </c>
      <c r="H833" s="74"/>
      <c r="I833" s="147" t="str">
        <f>HYPERLINK("[#]Datatypes!B1097:L1097","Real")</f>
        <v>Real</v>
      </c>
      <c r="J833" s="76" t="str">
        <f>HYPERLINK("[#]PhysicalQuantities!A35:N35","Power")</f>
        <v>Power</v>
      </c>
      <c r="K833" s="75" t="str">
        <f>HYPERLINK("[#]UnitsOfMeasure!D182:G182","Watt")</f>
        <v>Watt</v>
      </c>
      <c r="L833" s="77"/>
      <c r="M833" s="78"/>
      <c r="N833" s="74"/>
      <c r="O833" s="25">
        <v>200398</v>
      </c>
      <c r="P833" s="304" t="str">
        <f>CONCATENATE([1]Cover!$D$6,"fdd/view?i=",O833)</f>
        <v>https://www.dgiwg.org/FAD/fdd/view?i=200398</v>
      </c>
      <c r="Q833" s="8" t="s">
        <v>8730</v>
      </c>
      <c r="R833" s="38" t="s">
        <v>1295</v>
      </c>
    </row>
    <row r="834" spans="1:18" ht="51">
      <c r="A834" s="302" t="str">
        <f t="shared" si="20"/>
        <v>navalFiringPracticeType</v>
      </c>
      <c r="B834" s="6" t="s">
        <v>8735</v>
      </c>
      <c r="C834" s="17" t="s">
        <v>8736</v>
      </c>
      <c r="D834" s="10" t="s">
        <v>8737</v>
      </c>
      <c r="E834" s="55"/>
      <c r="F834" s="55"/>
      <c r="G834" s="12" t="s">
        <v>4643</v>
      </c>
      <c r="H834" s="12" t="s">
        <v>4700</v>
      </c>
      <c r="I834" s="147" t="str">
        <f>HYPERLINK("[#]Datatypes!B930:L930","NavalFiringPracticeTypeCode")</f>
        <v>NavalFiringPracticeTypeCode</v>
      </c>
      <c r="J834" s="80"/>
      <c r="K834" s="77"/>
      <c r="L834" s="77"/>
      <c r="M834" s="71" t="str">
        <f>HYPERLINK("[#]DatatypeListedValues!A5027:H5027","&lt;values&gt;")</f>
        <v>&lt;values&gt;</v>
      </c>
      <c r="N834" s="82" t="b">
        <v>0</v>
      </c>
      <c r="O834" s="25">
        <v>111113</v>
      </c>
      <c r="P834" s="304" t="str">
        <f>CONCATENATE([1]Cover!$D$6,"fdd/view?i=",O834)</f>
        <v>https://www.dgiwg.org/FAD/fdd/view?i=111113</v>
      </c>
      <c r="Q834" s="8" t="s">
        <v>8734</v>
      </c>
      <c r="R834" s="38" t="s">
        <v>151</v>
      </c>
    </row>
    <row r="835" spans="1:18">
      <c r="A835" s="302" t="str">
        <f t="shared" si="20"/>
        <v>mineTacticalUse</v>
      </c>
      <c r="B835" s="6" t="s">
        <v>8740</v>
      </c>
      <c r="C835" s="17" t="s">
        <v>8741</v>
      </c>
      <c r="D835" s="10" t="s">
        <v>8742</v>
      </c>
      <c r="E835" s="55"/>
      <c r="F835" s="55"/>
      <c r="G835" s="12" t="s">
        <v>4643</v>
      </c>
      <c r="H835" s="74"/>
      <c r="I835" s="147" t="str">
        <f>HYPERLINK("[#]Datatypes!B932:L932","MineTacticalUseCode")</f>
        <v>MineTacticalUseCode</v>
      </c>
      <c r="J835" s="80"/>
      <c r="K835" s="77"/>
      <c r="L835" s="77"/>
      <c r="M835" s="71" t="str">
        <f>HYPERLINK("[#]DatatypeListedValues!A5037:H5037","&lt;values&gt;")</f>
        <v>&lt;values&gt;</v>
      </c>
      <c r="N835" s="82" t="b">
        <v>0</v>
      </c>
      <c r="O835" s="25">
        <v>101053</v>
      </c>
      <c r="P835" s="304" t="str">
        <f>CONCATENATE([1]Cover!$D$6,"fdd/view?i=",O835)</f>
        <v>https://www.dgiwg.org/FAD/fdd/view?i=101053</v>
      </c>
      <c r="Q835" s="8" t="s">
        <v>8739</v>
      </c>
      <c r="R835" s="38" t="s">
        <v>151</v>
      </c>
    </row>
    <row r="836" spans="1:18" ht="25.5">
      <c r="A836" s="302" t="str">
        <f t="shared" ref="A836:A899" si="23">HYPERLINK(P836,B836)</f>
        <v>navalMinePositioning</v>
      </c>
      <c r="B836" s="6" t="s">
        <v>8745</v>
      </c>
      <c r="C836" s="17" t="s">
        <v>8746</v>
      </c>
      <c r="D836" s="10" t="s">
        <v>8747</v>
      </c>
      <c r="E836" s="55"/>
      <c r="F836" s="55"/>
      <c r="G836" s="12" t="s">
        <v>4643</v>
      </c>
      <c r="H836" s="74"/>
      <c r="I836" s="147" t="str">
        <f>HYPERLINK("[#]Datatypes!B934:L934","NavalMinePositioningCode")</f>
        <v>NavalMinePositioningCode</v>
      </c>
      <c r="J836" s="80"/>
      <c r="K836" s="77"/>
      <c r="L836" s="77"/>
      <c r="M836" s="71" t="str">
        <f>HYPERLINK("[#]DatatypeListedValues!A5047:H5047","&lt;values&gt;")</f>
        <v>&lt;values&gt;</v>
      </c>
      <c r="N836" s="82" t="b">
        <v>0</v>
      </c>
      <c r="O836" s="25">
        <v>101062</v>
      </c>
      <c r="P836" s="304" t="str">
        <f>CONCATENATE([1]Cover!$D$6,"fdd/view?i=",O836)</f>
        <v>https://www.dgiwg.org/FAD/fdd/view?i=101062</v>
      </c>
      <c r="Q836" s="8" t="s">
        <v>8744</v>
      </c>
      <c r="R836" s="38" t="s">
        <v>151</v>
      </c>
    </row>
    <row r="837" spans="1:18" ht="38.25">
      <c r="A837" s="302" t="str">
        <f t="shared" si="23"/>
        <v>navalOperationsType</v>
      </c>
      <c r="B837" s="6" t="s">
        <v>8750</v>
      </c>
      <c r="C837" s="17" t="s">
        <v>8751</v>
      </c>
      <c r="D837" s="10" t="s">
        <v>8752</v>
      </c>
      <c r="E837" s="55"/>
      <c r="F837" s="55"/>
      <c r="G837" s="12" t="s">
        <v>4643</v>
      </c>
      <c r="H837" s="12" t="s">
        <v>4700</v>
      </c>
      <c r="I837" s="147" t="str">
        <f>HYPERLINK("[#]Datatypes!B936:L936","NavalOperationsTypeCode")</f>
        <v>NavalOperationsTypeCode</v>
      </c>
      <c r="J837" s="80"/>
      <c r="K837" s="77"/>
      <c r="L837" s="77"/>
      <c r="M837" s="71" t="str">
        <f>HYPERLINK("[#]DatatypeListedValues!A5063:H5063","&lt;values&gt;")</f>
        <v>&lt;values&gt;</v>
      </c>
      <c r="N837" s="82" t="b">
        <v>0</v>
      </c>
      <c r="O837" s="25">
        <v>111114</v>
      </c>
      <c r="P837" s="304" t="str">
        <f>CONCATENATE([1]Cover!$D$6,"fdd/view?i=",O837)</f>
        <v>https://www.dgiwg.org/FAD/fdd/view?i=111114</v>
      </c>
      <c r="Q837" s="8" t="s">
        <v>8749</v>
      </c>
      <c r="R837" s="38" t="s">
        <v>151</v>
      </c>
    </row>
    <row r="838" spans="1:18" ht="25.5">
      <c r="A838" s="302" t="str">
        <f t="shared" si="23"/>
        <v>navigabilityInformation</v>
      </c>
      <c r="B838" s="6" t="s">
        <v>8755</v>
      </c>
      <c r="C838" s="17" t="s">
        <v>8756</v>
      </c>
      <c r="D838" s="10" t="s">
        <v>8757</v>
      </c>
      <c r="E838" s="10" t="s">
        <v>8758</v>
      </c>
      <c r="F838" s="55"/>
      <c r="G838" s="12" t="s">
        <v>4643</v>
      </c>
      <c r="H838" s="74"/>
      <c r="I838" s="147" t="str">
        <f>HYPERLINK("[#]Datatypes!B938:L938","NavigabilityInformationCode")</f>
        <v>NavigabilityInformationCode</v>
      </c>
      <c r="J838" s="80"/>
      <c r="K838" s="77"/>
      <c r="L838" s="77"/>
      <c r="M838" s="71" t="str">
        <f>HYPERLINK("[#]DatatypeListedValues!A5090:H5090","&lt;values&gt;")</f>
        <v>&lt;values&gt;</v>
      </c>
      <c r="N838" s="82" t="b">
        <v>0</v>
      </c>
      <c r="O838" s="25">
        <v>101111</v>
      </c>
      <c r="P838" s="304" t="str">
        <f>CONCATENATE([1]Cover!$D$6,"fdd/view?i=",O838)</f>
        <v>https://www.dgiwg.org/FAD/fdd/view?i=101111</v>
      </c>
      <c r="Q838" s="8" t="s">
        <v>8754</v>
      </c>
      <c r="R838" s="38" t="s">
        <v>151</v>
      </c>
    </row>
    <row r="839" spans="1:18" ht="25.5">
      <c r="A839" s="302" t="str">
        <f t="shared" si="23"/>
        <v>navAidPointAngleIndication</v>
      </c>
      <c r="B839" s="6" t="s">
        <v>8761</v>
      </c>
      <c r="C839" s="17" t="s">
        <v>8762</v>
      </c>
      <c r="D839" s="10" t="s">
        <v>8763</v>
      </c>
      <c r="E839" s="55"/>
      <c r="F839" s="10" t="s">
        <v>8764</v>
      </c>
      <c r="G839" s="12" t="s">
        <v>4643</v>
      </c>
      <c r="H839" s="74"/>
      <c r="I839" s="147" t="str">
        <f>HYPERLINK("[#]Datatypes!B940:L940","NavAidPointAngleIndicationStrucText")</f>
        <v>NavAidPointAngleIndicationStrucText</v>
      </c>
      <c r="J839" s="80"/>
      <c r="K839" s="77"/>
      <c r="L839" s="77"/>
      <c r="M839" s="78"/>
      <c r="N839" s="74"/>
      <c r="O839" s="25">
        <v>117657</v>
      </c>
      <c r="P839" s="304" t="str">
        <f>CONCATENATE([1]Cover!$D$6,"fdd/view?i=",O839)</f>
        <v>https://www.dgiwg.org/FAD/fdd/view?i=117657</v>
      </c>
      <c r="Q839" s="8" t="s">
        <v>8760</v>
      </c>
      <c r="R839" s="38" t="s">
        <v>151</v>
      </c>
    </row>
    <row r="840" spans="1:18" ht="25.5">
      <c r="A840" s="302" t="str">
        <f t="shared" si="23"/>
        <v>navAidPointDistIndication</v>
      </c>
      <c r="B840" s="6" t="s">
        <v>8767</v>
      </c>
      <c r="C840" s="17" t="s">
        <v>8768</v>
      </c>
      <c r="D840" s="10" t="s">
        <v>8769</v>
      </c>
      <c r="E840" s="55"/>
      <c r="F840" s="55"/>
      <c r="G840" s="12" t="s">
        <v>4643</v>
      </c>
      <c r="H840" s="74"/>
      <c r="I840" s="147" t="str">
        <f>HYPERLINK("[#]Datatypes!B942:L942","NavAidPointDistIndicationStrucText")</f>
        <v>NavAidPointDistIndicationStrucText</v>
      </c>
      <c r="J840" s="80"/>
      <c r="K840" s="77"/>
      <c r="L840" s="77"/>
      <c r="M840" s="78"/>
      <c r="N840" s="74"/>
      <c r="O840" s="25">
        <v>117668</v>
      </c>
      <c r="P840" s="304" t="str">
        <f>CONCATENATE([1]Cover!$D$6,"fdd/view?i=",O840)</f>
        <v>https://www.dgiwg.org/FAD/fdd/view?i=117668</v>
      </c>
      <c r="Q840" s="8" t="s">
        <v>8766</v>
      </c>
      <c r="R840" s="38" t="s">
        <v>151</v>
      </c>
    </row>
    <row r="841" spans="1:18" ht="38.25">
      <c r="A841" s="302" t="str">
        <f t="shared" si="23"/>
        <v>navigationLandmark</v>
      </c>
      <c r="B841" s="6" t="s">
        <v>8772</v>
      </c>
      <c r="C841" s="17" t="s">
        <v>8773</v>
      </c>
      <c r="D841" s="10" t="s">
        <v>8774</v>
      </c>
      <c r="E841" s="10" t="s">
        <v>8775</v>
      </c>
      <c r="F841" s="55"/>
      <c r="G841" s="12" t="s">
        <v>4643</v>
      </c>
      <c r="H841" s="74"/>
      <c r="I841" s="147" t="str">
        <f>HYPERLINK("[#]Datatypes!B230:L230","Boolean")</f>
        <v>Boolean</v>
      </c>
      <c r="J841" s="80"/>
      <c r="K841" s="77"/>
      <c r="L841" s="77"/>
      <c r="M841" s="78"/>
      <c r="N841" s="74"/>
      <c r="O841" s="25">
        <v>101000</v>
      </c>
      <c r="P841" s="304" t="str">
        <f>CONCATENATE([1]Cover!$D$6,"fdd/view?i=",O841)</f>
        <v>https://www.dgiwg.org/FAD/fdd/view?i=101000</v>
      </c>
      <c r="Q841" s="8" t="s">
        <v>8771</v>
      </c>
      <c r="R841" s="38" t="s">
        <v>151</v>
      </c>
    </row>
    <row r="842" spans="1:18" ht="25.5">
      <c r="A842" s="302" t="str">
        <f t="shared" si="23"/>
        <v>navigationLightCharacter</v>
      </c>
      <c r="B842" s="6" t="s">
        <v>8777</v>
      </c>
      <c r="C842" s="17" t="s">
        <v>8778</v>
      </c>
      <c r="D842" s="10" t="s">
        <v>8779</v>
      </c>
      <c r="E842" s="55"/>
      <c r="F842" s="55"/>
      <c r="G842" s="12" t="s">
        <v>4643</v>
      </c>
      <c r="H842" s="74"/>
      <c r="I842" s="147" t="str">
        <f>HYPERLINK("[#]Datatypes!B944:L944","NavigationLightCharacterCode")</f>
        <v>NavigationLightCharacterCode</v>
      </c>
      <c r="J842" s="80"/>
      <c r="K842" s="77"/>
      <c r="L842" s="77"/>
      <c r="M842" s="71" t="str">
        <f>HYPERLINK("[#]DatatypeListedValues!A5095:H5095","&lt;values&gt;")</f>
        <v>&lt;values&gt;</v>
      </c>
      <c r="N842" s="82" t="b">
        <v>0</v>
      </c>
      <c r="O842" s="25">
        <v>100740</v>
      </c>
      <c r="P842" s="304" t="str">
        <f>CONCATENATE([1]Cover!$D$6,"fdd/view?i=",O842)</f>
        <v>https://www.dgiwg.org/FAD/fdd/view?i=100740</v>
      </c>
      <c r="Q842" s="8" t="s">
        <v>8776</v>
      </c>
      <c r="R842" s="38" t="s">
        <v>151</v>
      </c>
    </row>
    <row r="843" spans="1:18" ht="38.25">
      <c r="A843" s="302" t="str">
        <f t="shared" si="23"/>
        <v>navigationMarkColour</v>
      </c>
      <c r="B843" s="6" t="s">
        <v>8782</v>
      </c>
      <c r="C843" s="17" t="s">
        <v>8783</v>
      </c>
      <c r="D843" s="10" t="s">
        <v>8784</v>
      </c>
      <c r="E843" s="10" t="s">
        <v>8785</v>
      </c>
      <c r="F843" s="55"/>
      <c r="G843" s="12" t="s">
        <v>4643</v>
      </c>
      <c r="H843" s="12" t="s">
        <v>4700</v>
      </c>
      <c r="I843" s="147" t="str">
        <f>HYPERLINK("[#]Datatypes!B946:L946","NavigationMarkColourCode")</f>
        <v>NavigationMarkColourCode</v>
      </c>
      <c r="J843" s="80"/>
      <c r="K843" s="77"/>
      <c r="L843" s="77"/>
      <c r="M843" s="71" t="str">
        <f>HYPERLINK("[#]DatatypeListedValues!A5121:H5121","&lt;values&gt;")</f>
        <v>&lt;values&gt;</v>
      </c>
      <c r="N843" s="82" t="b">
        <v>0</v>
      </c>
      <c r="O843" s="25">
        <v>110822</v>
      </c>
      <c r="P843" s="304" t="str">
        <f>CONCATENATE([1]Cover!$D$6,"fdd/view?i=",O843)</f>
        <v>https://www.dgiwg.org/FAD/fdd/view?i=110822</v>
      </c>
      <c r="Q843" s="8" t="s">
        <v>8781</v>
      </c>
      <c r="R843" s="38" t="s">
        <v>151</v>
      </c>
    </row>
    <row r="844" spans="1:18" ht="25.5">
      <c r="A844" s="302" t="str">
        <f t="shared" si="23"/>
        <v>navServiceCheckpointType</v>
      </c>
      <c r="B844" s="6" t="s">
        <v>8788</v>
      </c>
      <c r="C844" s="17" t="s">
        <v>8789</v>
      </c>
      <c r="D844" s="10" t="s">
        <v>8790</v>
      </c>
      <c r="E844" s="10" t="s">
        <v>8791</v>
      </c>
      <c r="F844" s="55"/>
      <c r="G844" s="12" t="s">
        <v>4643</v>
      </c>
      <c r="H844" s="12" t="s">
        <v>4700</v>
      </c>
      <c r="I844" s="147" t="str">
        <f>HYPERLINK("[#]Datatypes!B948:L948","NavServiceCheckpointTypeCode")</f>
        <v>NavServiceCheckpointTypeCode</v>
      </c>
      <c r="J844" s="80"/>
      <c r="K844" s="77"/>
      <c r="L844" s="77"/>
      <c r="M844" s="71" t="str">
        <f>HYPERLINK("[#]DatatypeListedValues!A5134:H5134","&lt;values&gt;")</f>
        <v>&lt;values&gt;</v>
      </c>
      <c r="N844" s="82" t="b">
        <v>0</v>
      </c>
      <c r="O844" s="25">
        <v>117644</v>
      </c>
      <c r="P844" s="304" t="str">
        <f>CONCATENATE([1]Cover!$D$6,"fdd/view?i=",O844)</f>
        <v>https://www.dgiwg.org/FAD/fdd/view?i=117644</v>
      </c>
      <c r="Q844" s="8" t="s">
        <v>8787</v>
      </c>
      <c r="R844" s="38" t="s">
        <v>151</v>
      </c>
    </row>
    <row r="845" spans="1:18" ht="25.5">
      <c r="A845" s="302" t="str">
        <f t="shared" si="23"/>
        <v>navigationSystemName</v>
      </c>
      <c r="B845" s="6" t="s">
        <v>8794</v>
      </c>
      <c r="C845" s="17" t="s">
        <v>8795</v>
      </c>
      <c r="D845" s="10" t="s">
        <v>8796</v>
      </c>
      <c r="E845" s="55"/>
      <c r="F845" s="55"/>
      <c r="G845" s="12" t="s">
        <v>4643</v>
      </c>
      <c r="H845" s="74"/>
      <c r="I845" s="147" t="str">
        <f>HYPERLINK("[#]Datatypes!B1414:L1414","TextLex80")</f>
        <v>TextLex80</v>
      </c>
      <c r="J845" s="80"/>
      <c r="K845" s="77"/>
      <c r="L845" s="77"/>
      <c r="M845" s="78"/>
      <c r="N845" s="74"/>
      <c r="O845" s="25">
        <v>101110</v>
      </c>
      <c r="P845" s="304" t="str">
        <f>CONCATENATE([1]Cover!$D$6,"fdd/view?i=",O845)</f>
        <v>https://www.dgiwg.org/FAD/fdd/view?i=101110</v>
      </c>
      <c r="Q845" s="8" t="s">
        <v>8793</v>
      </c>
      <c r="R845" s="38" t="s">
        <v>151</v>
      </c>
    </row>
    <row r="846" spans="1:18">
      <c r="A846" s="302" t="str">
        <f t="shared" si="23"/>
        <v>navigationSystemType</v>
      </c>
      <c r="B846" s="6" t="s">
        <v>8798</v>
      </c>
      <c r="C846" s="17" t="s">
        <v>8799</v>
      </c>
      <c r="D846" s="10" t="s">
        <v>8800</v>
      </c>
      <c r="E846" s="55"/>
      <c r="F846" s="55"/>
      <c r="G846" s="12" t="s">
        <v>4643</v>
      </c>
      <c r="H846" s="12" t="s">
        <v>4700</v>
      </c>
      <c r="I846" s="147" t="str">
        <f>HYPERLINK("[#]Datatypes!B950:L950","NavigationSystemTypeCode")</f>
        <v>NavigationSystemTypeCode</v>
      </c>
      <c r="J846" s="80"/>
      <c r="K846" s="77"/>
      <c r="L846" s="77"/>
      <c r="M846" s="71" t="str">
        <f>HYPERLINK("[#]DatatypeListedValues!A5140:H5140","&lt;values&gt;")</f>
        <v>&lt;values&gt;</v>
      </c>
      <c r="N846" s="82" t="b">
        <v>0</v>
      </c>
      <c r="O846" s="25">
        <v>101109</v>
      </c>
      <c r="P846" s="304" t="str">
        <f>CONCATENATE([1]Cover!$D$6,"fdd/view?i=",O846)</f>
        <v>https://www.dgiwg.org/FAD/fdd/view?i=101109</v>
      </c>
      <c r="Q846" s="8" t="s">
        <v>8797</v>
      </c>
      <c r="R846" s="38" t="s">
        <v>151</v>
      </c>
    </row>
    <row r="847" spans="1:18" ht="63.75">
      <c r="A847" s="302" t="str">
        <f t="shared" si="23"/>
        <v>nephelometricTurbidity</v>
      </c>
      <c r="B847" s="6" t="s">
        <v>8803</v>
      </c>
      <c r="C847" s="17" t="s">
        <v>8804</v>
      </c>
      <c r="D847" s="10" t="s">
        <v>8805</v>
      </c>
      <c r="E847" s="10" t="s">
        <v>8806</v>
      </c>
      <c r="F847" s="55"/>
      <c r="G847" s="12" t="s">
        <v>4643</v>
      </c>
      <c r="H847" s="74"/>
      <c r="I847" s="147" t="str">
        <f>HYPERLINK("[#]Datatypes!B1097:L1097","Real")</f>
        <v>Real</v>
      </c>
      <c r="J847" s="76" t="str">
        <f>HYPERLINK("[#]PhysicalQuantities!A39:N39","Pure Number")</f>
        <v>Pure Number</v>
      </c>
      <c r="K847" s="75" t="str">
        <f>HYPERLINK("[#]UnitsOfMeasure!D213:G213","Unitless")</f>
        <v>Unitless</v>
      </c>
      <c r="L847" s="77"/>
      <c r="M847" s="78"/>
      <c r="N847" s="74"/>
      <c r="O847" s="25">
        <v>119409</v>
      </c>
      <c r="P847" s="304" t="str">
        <f>CONCATENATE([1]Cover!$D$6,"fdd/view?i=",O847)</f>
        <v>https://www.dgiwg.org/FAD/fdd/view?i=119409</v>
      </c>
      <c r="Q847" s="8" t="s">
        <v>8802</v>
      </c>
      <c r="R847" s="38" t="s">
        <v>151</v>
      </c>
    </row>
    <row r="848" spans="1:18" ht="25.5">
      <c r="A848" s="302" t="str">
        <f t="shared" si="23"/>
        <v>nomadicSeasonalLocation</v>
      </c>
      <c r="B848" s="6" t="s">
        <v>8808</v>
      </c>
      <c r="C848" s="17" t="s">
        <v>8809</v>
      </c>
      <c r="D848" s="10" t="s">
        <v>8810</v>
      </c>
      <c r="E848" s="55"/>
      <c r="F848" s="55"/>
      <c r="G848" s="12" t="s">
        <v>4643</v>
      </c>
      <c r="H848" s="12" t="s">
        <v>4700</v>
      </c>
      <c r="I848" s="147" t="str">
        <f>HYPERLINK("[#]Datatypes!B952:L952","NomadicSeasonalLocationCode")</f>
        <v>NomadicSeasonalLocationCode</v>
      </c>
      <c r="J848" s="80"/>
      <c r="K848" s="77"/>
      <c r="L848" s="77"/>
      <c r="M848" s="71" t="str">
        <f>HYPERLINK("[#]DatatypeListedValues!A5172:H5172","&lt;values&gt;")</f>
        <v>&lt;values&gt;</v>
      </c>
      <c r="N848" s="12" t="b">
        <v>1</v>
      </c>
      <c r="O848" s="25">
        <v>101337</v>
      </c>
      <c r="P848" s="304" t="str">
        <f>CONCATENATE([1]Cover!$D$6,"fdd/view?i=",O848)</f>
        <v>https://www.dgiwg.org/FAD/fdd/view?i=101337</v>
      </c>
      <c r="Q848" s="8" t="s">
        <v>8807</v>
      </c>
      <c r="R848" s="38" t="s">
        <v>151</v>
      </c>
    </row>
    <row r="849" spans="1:18" ht="51">
      <c r="A849" s="302" t="str">
        <f t="shared" si="23"/>
        <v>nominalRange</v>
      </c>
      <c r="B849" s="6" t="s">
        <v>8813</v>
      </c>
      <c r="C849" s="17" t="s">
        <v>8814</v>
      </c>
      <c r="D849" s="10" t="s">
        <v>8815</v>
      </c>
      <c r="E849" s="10" t="s">
        <v>8816</v>
      </c>
      <c r="F849" s="55"/>
      <c r="G849" s="12" t="s">
        <v>4643</v>
      </c>
      <c r="H849" s="74"/>
      <c r="I849" s="147" t="str">
        <f>HYPERLINK("[#]Datatypes!B710:L710","Integer")</f>
        <v>Integer</v>
      </c>
      <c r="J849" s="76" t="str">
        <f>HYPERLINK("[#]PhysicalQuantities!A20:N20","Length")</f>
        <v>Length</v>
      </c>
      <c r="K849" s="75" t="str">
        <f>HYPERLINK("[#]UnitsOfMeasure!D94:G94","Nautical Mile")</f>
        <v>Nautical Mile</v>
      </c>
      <c r="L849" s="77"/>
      <c r="M849" s="78"/>
      <c r="N849" s="74"/>
      <c r="O849" s="25">
        <v>101018</v>
      </c>
      <c r="P849" s="304" t="str">
        <f>CONCATENATE([1]Cover!$D$6,"fdd/view?i=",O849)</f>
        <v>https://www.dgiwg.org/FAD/fdd/view?i=101018</v>
      </c>
      <c r="Q849" s="8" t="s">
        <v>8812</v>
      </c>
      <c r="R849" s="38" t="s">
        <v>151</v>
      </c>
    </row>
    <row r="850" spans="1:18" ht="63.75">
      <c r="A850" s="302" t="str">
        <f t="shared" si="23"/>
        <v>nonBuildingStructType</v>
      </c>
      <c r="B850" s="6" t="s">
        <v>8818</v>
      </c>
      <c r="C850" s="17" t="s">
        <v>8819</v>
      </c>
      <c r="D850" s="10" t="s">
        <v>8820</v>
      </c>
      <c r="E850" s="55"/>
      <c r="F850" s="55"/>
      <c r="G850" s="12" t="s">
        <v>4643</v>
      </c>
      <c r="H850" s="74"/>
      <c r="I850" s="147" t="str">
        <f>HYPERLINK("[#]Datatypes!B954:L954","NonBuildingStructTypeCode")</f>
        <v>NonBuildingStructTypeCode</v>
      </c>
      <c r="J850" s="80"/>
      <c r="K850" s="77"/>
      <c r="L850" s="77"/>
      <c r="M850" s="71" t="str">
        <f>HYPERLINK("[#]DatatypeListedValues!A5176:H5176","&lt;values&gt;")</f>
        <v>&lt;values&gt;</v>
      </c>
      <c r="N850" s="82" t="b">
        <v>0</v>
      </c>
      <c r="O850" s="25">
        <v>204135</v>
      </c>
      <c r="P850" s="304" t="str">
        <f>CONCATENATE([1]Cover!$D$6,"fdd/view?i=",O850)</f>
        <v>https://www.dgiwg.org/FAD/fdd/view?i=204135</v>
      </c>
      <c r="Q850" s="8" t="s">
        <v>8817</v>
      </c>
      <c r="R850" s="38" t="s">
        <v>1295</v>
      </c>
    </row>
    <row r="851" spans="1:18" ht="38.25">
      <c r="A851" s="302" t="str">
        <f t="shared" si="23"/>
        <v>nonSpatialSourceDateTime</v>
      </c>
      <c r="B851" s="6" t="s">
        <v>8823</v>
      </c>
      <c r="C851" s="17" t="s">
        <v>8824</v>
      </c>
      <c r="D851" s="10" t="s">
        <v>8825</v>
      </c>
      <c r="E851" s="10" t="s">
        <v>6206</v>
      </c>
      <c r="F851" s="55"/>
      <c r="G851" s="12" t="s">
        <v>4643</v>
      </c>
      <c r="H851" s="74"/>
      <c r="I851" s="147" t="str">
        <f>HYPERLINK("[#]Datatypes!B965:L965","NonSpatialSourceDateTimeStrucText")</f>
        <v>NonSpatialSourceDateTimeStrucText</v>
      </c>
      <c r="J851" s="80"/>
      <c r="K851" s="77"/>
      <c r="L851" s="77"/>
      <c r="M851" s="78"/>
      <c r="N851" s="74"/>
      <c r="O851" s="25">
        <v>203649</v>
      </c>
      <c r="P851" s="304" t="str">
        <f>CONCATENATE([1]Cover!$D$6,"fdd/view?i=",O851)</f>
        <v>https://www.dgiwg.org/FAD/fdd/view?i=203649</v>
      </c>
      <c r="Q851" s="8" t="s">
        <v>8822</v>
      </c>
      <c r="R851" s="38" t="s">
        <v>1295</v>
      </c>
    </row>
    <row r="852" spans="1:18" ht="25.5">
      <c r="A852" s="302" t="str">
        <f t="shared" si="23"/>
        <v>nonSpatialSourceDesc</v>
      </c>
      <c r="B852" s="6" t="s">
        <v>8828</v>
      </c>
      <c r="C852" s="17" t="s">
        <v>8829</v>
      </c>
      <c r="D852" s="10" t="s">
        <v>8830</v>
      </c>
      <c r="E852" s="55"/>
      <c r="F852" s="55"/>
      <c r="G852" s="12" t="s">
        <v>4643</v>
      </c>
      <c r="H852" s="74"/>
      <c r="I852" s="147" t="str">
        <f>HYPERLINK("[#]Datatypes!B1416:L1416","TextLexUnconstrained")</f>
        <v>TextLexUnconstrained</v>
      </c>
      <c r="J852" s="80"/>
      <c r="K852" s="77"/>
      <c r="L852" s="77"/>
      <c r="M852" s="78"/>
      <c r="N852" s="74"/>
      <c r="O852" s="25">
        <v>203650</v>
      </c>
      <c r="P852" s="304" t="str">
        <f>CONCATENATE([1]Cover!$D$6,"fdd/view?i=",O852)</f>
        <v>https://www.dgiwg.org/FAD/fdd/view?i=203650</v>
      </c>
      <c r="Q852" s="8" t="s">
        <v>8827</v>
      </c>
      <c r="R852" s="38" t="s">
        <v>1295</v>
      </c>
    </row>
    <row r="853" spans="1:18" ht="63.75">
      <c r="A853" s="302" t="str">
        <f t="shared" si="23"/>
        <v>nonSpatialSourceType</v>
      </c>
      <c r="B853" s="6" t="s">
        <v>8832</v>
      </c>
      <c r="C853" s="17" t="s">
        <v>8833</v>
      </c>
      <c r="D853" s="10" t="s">
        <v>8834</v>
      </c>
      <c r="E853" s="10" t="s">
        <v>8835</v>
      </c>
      <c r="F853" s="55"/>
      <c r="G853" s="12" t="s">
        <v>4643</v>
      </c>
      <c r="H853" s="12" t="s">
        <v>4700</v>
      </c>
      <c r="I853" s="147" t="str">
        <f>HYPERLINK("[#]Datatypes!B967:L967","NonSpatialSourceTypeCodeList")</f>
        <v>NonSpatialSourceTypeCodeList</v>
      </c>
      <c r="J853" s="80"/>
      <c r="K853" s="77"/>
      <c r="L853" s="77"/>
      <c r="M853" s="78"/>
      <c r="N853" s="74"/>
      <c r="O853" s="25">
        <v>203651</v>
      </c>
      <c r="P853" s="304" t="str">
        <f>CONCATENATE([1]Cover!$D$6,"fdd/view?i=",O853)</f>
        <v>https://www.dgiwg.org/FAD/fdd/view?i=203651</v>
      </c>
      <c r="Q853" s="8" t="s">
        <v>8831</v>
      </c>
      <c r="R853" s="38" t="s">
        <v>1295</v>
      </c>
    </row>
    <row r="854" spans="1:18" ht="25.5">
      <c r="A854" s="302" t="str">
        <f t="shared" si="23"/>
        <v>nonStandardHoldingReason</v>
      </c>
      <c r="B854" s="6" t="s">
        <v>8838</v>
      </c>
      <c r="C854" s="17" t="s">
        <v>8839</v>
      </c>
      <c r="D854" s="10" t="s">
        <v>8840</v>
      </c>
      <c r="E854" s="55"/>
      <c r="F854" s="55"/>
      <c r="G854" s="12" t="s">
        <v>4643</v>
      </c>
      <c r="H854" s="74"/>
      <c r="I854" s="147" t="str">
        <f>HYPERLINK("[#]Datatypes!B1442:L1442","TextNonLexUnconstrained")</f>
        <v>TextNonLexUnconstrained</v>
      </c>
      <c r="J854" s="80"/>
      <c r="K854" s="77"/>
      <c r="L854" s="77"/>
      <c r="M854" s="78"/>
      <c r="N854" s="74"/>
      <c r="O854" s="25">
        <v>117645</v>
      </c>
      <c r="P854" s="304" t="str">
        <f>CONCATENATE([1]Cover!$D$6,"fdd/view?i=",O854)</f>
        <v>https://www.dgiwg.org/FAD/fdd/view?i=117645</v>
      </c>
      <c r="Q854" s="8" t="s">
        <v>8837</v>
      </c>
      <c r="R854" s="38" t="s">
        <v>151</v>
      </c>
    </row>
    <row r="855" spans="1:18" ht="25.5">
      <c r="A855" s="302" t="str">
        <f t="shared" si="23"/>
        <v>nonSubContactPositionAcc</v>
      </c>
      <c r="B855" s="6" t="s">
        <v>8842</v>
      </c>
      <c r="C855" s="17" t="s">
        <v>8843</v>
      </c>
      <c r="D855" s="10" t="s">
        <v>8844</v>
      </c>
      <c r="E855" s="55"/>
      <c r="F855" s="55"/>
      <c r="G855" s="12" t="s">
        <v>4643</v>
      </c>
      <c r="H855" s="74"/>
      <c r="I855" s="147" t="str">
        <f>HYPERLINK("[#]Datatypes!B1099:L1099","RealInterval")</f>
        <v>RealInterval</v>
      </c>
      <c r="J855" s="76" t="str">
        <f>HYPERLINK("[#]PhysicalQuantities!A20:N20","Length")</f>
        <v>Length</v>
      </c>
      <c r="K855" s="75" t="str">
        <f>HYPERLINK("[#]UnitsOfMeasure!D94:G94","Nautical Mile")</f>
        <v>Nautical Mile</v>
      </c>
      <c r="L855" s="77"/>
      <c r="M855" s="78"/>
      <c r="N855" s="74"/>
      <c r="O855" s="25">
        <v>109957</v>
      </c>
      <c r="P855" s="304" t="str">
        <f>CONCATENATE([1]Cover!$D$6,"fdd/view?i=",O855)</f>
        <v>https://www.dgiwg.org/FAD/fdd/view?i=109957</v>
      </c>
      <c r="Q855" s="8" t="s">
        <v>8841</v>
      </c>
      <c r="R855" s="38" t="s">
        <v>151</v>
      </c>
    </row>
    <row r="856" spans="1:18" ht="25.5">
      <c r="A856" s="302" t="str">
        <f t="shared" si="23"/>
        <v>nonSubContactReportAgType</v>
      </c>
      <c r="B856" s="6" t="s">
        <v>8846</v>
      </c>
      <c r="C856" s="17" t="s">
        <v>8847</v>
      </c>
      <c r="D856" s="10" t="s">
        <v>8848</v>
      </c>
      <c r="E856" s="10" t="s">
        <v>8849</v>
      </c>
      <c r="F856" s="55"/>
      <c r="G856" s="12" t="s">
        <v>4643</v>
      </c>
      <c r="H856" s="74"/>
      <c r="I856" s="147" t="str">
        <f>HYPERLINK("[#]Datatypes!B969:L969","NonSubContactReportAgTypeCode")</f>
        <v>NonSubContactReportAgTypeCode</v>
      </c>
      <c r="J856" s="80"/>
      <c r="K856" s="77"/>
      <c r="L856" s="77"/>
      <c r="M856" s="71" t="str">
        <f>HYPERLINK("[#]DatatypeListedValues!A5218:H5218","&lt;values&gt;")</f>
        <v>&lt;values&gt;</v>
      </c>
      <c r="N856" s="82" t="b">
        <v>0</v>
      </c>
      <c r="O856" s="25">
        <v>101202</v>
      </c>
      <c r="P856" s="304" t="str">
        <f>CONCATENATE([1]Cover!$D$6,"fdd/view?i=",O856)</f>
        <v>https://www.dgiwg.org/FAD/fdd/view?i=101202</v>
      </c>
      <c r="Q856" s="8" t="s">
        <v>8845</v>
      </c>
      <c r="R856" s="38" t="s">
        <v>151</v>
      </c>
    </row>
    <row r="857" spans="1:18">
      <c r="A857" s="302" t="str">
        <f t="shared" si="23"/>
        <v>northReferenceType</v>
      </c>
      <c r="B857" s="6" t="s">
        <v>8852</v>
      </c>
      <c r="C857" s="17" t="s">
        <v>8853</v>
      </c>
      <c r="D857" s="10" t="s">
        <v>8854</v>
      </c>
      <c r="E857" s="10" t="s">
        <v>8855</v>
      </c>
      <c r="F857" s="55"/>
      <c r="G857" s="12" t="s">
        <v>4643</v>
      </c>
      <c r="H857" s="74"/>
      <c r="I857" s="147" t="str">
        <f>HYPERLINK("[#]Datatypes!B971:L971","NorthReferenceTypeCode")</f>
        <v>NorthReferenceTypeCode</v>
      </c>
      <c r="J857" s="80"/>
      <c r="K857" s="77"/>
      <c r="L857" s="77"/>
      <c r="M857" s="71" t="str">
        <f>HYPERLINK("[#]DatatypeListedValues!A5238:H5238","&lt;values&gt;")</f>
        <v>&lt;values&gt;</v>
      </c>
      <c r="N857" s="82" t="b">
        <v>0</v>
      </c>
      <c r="O857" s="25">
        <v>117646</v>
      </c>
      <c r="P857" s="304" t="str">
        <f>CONCATENATE([1]Cover!$D$6,"fdd/view?i=",O857)</f>
        <v>https://www.dgiwg.org/FAD/fdd/view?i=117646</v>
      </c>
      <c r="Q857" s="8" t="s">
        <v>8851</v>
      </c>
      <c r="R857" s="38" t="s">
        <v>151</v>
      </c>
    </row>
    <row r="858" spans="1:18">
      <c r="A858" s="302" t="str">
        <f t="shared" si="23"/>
        <v>northBoundLatitude</v>
      </c>
      <c r="B858" s="6" t="s">
        <v>8858</v>
      </c>
      <c r="C858" s="17" t="s">
        <v>8859</v>
      </c>
      <c r="D858" s="10" t="s">
        <v>8860</v>
      </c>
      <c r="E858" s="55"/>
      <c r="F858" s="55"/>
      <c r="G858" s="12" t="s">
        <v>4643</v>
      </c>
      <c r="H858" s="74"/>
      <c r="I858" s="147" t="str">
        <f>HYPERLINK("[#]Datatypes!B1097:L1097","Real")</f>
        <v>Real</v>
      </c>
      <c r="J858" s="76" t="str">
        <f>HYPERLINK("[#]PhysicalQuantities!A34:N34","Plane Angle")</f>
        <v>Plane Angle</v>
      </c>
      <c r="K858" s="75" t="str">
        <f>HYPERLINK("[#]UnitsOfMeasure!D159:G159","Arc Degree")</f>
        <v>Arc Degree</v>
      </c>
      <c r="L858" s="77"/>
      <c r="M858" s="78"/>
      <c r="N858" s="74"/>
      <c r="O858" s="25">
        <v>207199</v>
      </c>
      <c r="P858" s="304" t="str">
        <f>CONCATENATE([1]Cover!$D$6,"fdd/view?i=",O858)</f>
        <v>https://www.dgiwg.org/FAD/fdd/view?i=207199</v>
      </c>
      <c r="Q858" s="8" t="s">
        <v>8857</v>
      </c>
      <c r="R858" s="38" t="s">
        <v>1295</v>
      </c>
    </row>
    <row r="859" spans="1:18">
      <c r="A859" s="302" t="str">
        <f t="shared" si="23"/>
        <v>alias</v>
      </c>
      <c r="B859" s="6" t="s">
        <v>8862</v>
      </c>
      <c r="C859" s="17" t="s">
        <v>8863</v>
      </c>
      <c r="D859" s="10" t="s">
        <v>8864</v>
      </c>
      <c r="E859" s="55"/>
      <c r="F859" s="55"/>
      <c r="G859" s="12" t="s">
        <v>4643</v>
      </c>
      <c r="H859" s="74"/>
      <c r="I859" s="147" t="str">
        <f>HYPERLINK("[#]Datatypes!B598:L598","GenericNameStrucText")</f>
        <v>GenericNameStrucText</v>
      </c>
      <c r="J859" s="80"/>
      <c r="K859" s="77"/>
      <c r="L859" s="77"/>
      <c r="M859" s="78"/>
      <c r="N859" s="74"/>
      <c r="O859" s="25">
        <v>207303</v>
      </c>
      <c r="P859" s="304" t="str">
        <f>CONCATENATE([1]Cover!$D$6,"fdd/view?i=",O859)</f>
        <v>https://www.dgiwg.org/FAD/fdd/view?i=207303</v>
      </c>
      <c r="Q859" s="8" t="s">
        <v>8861</v>
      </c>
      <c r="R859" s="38" t="s">
        <v>1295</v>
      </c>
    </row>
    <row r="860" spans="1:18" ht="38.25">
      <c r="A860" s="302" t="str">
        <f t="shared" si="23"/>
        <v>objectExistCertaintyCat</v>
      </c>
      <c r="B860" s="6" t="s">
        <v>8867</v>
      </c>
      <c r="C860" s="17" t="s">
        <v>8868</v>
      </c>
      <c r="D860" s="10" t="s">
        <v>8869</v>
      </c>
      <c r="E860" s="10" t="s">
        <v>8870</v>
      </c>
      <c r="F860" s="55"/>
      <c r="G860" s="12" t="s">
        <v>4643</v>
      </c>
      <c r="H860" s="74"/>
      <c r="I860" s="147" t="str">
        <f>HYPERLINK("[#]Datatypes!B973:L973","ObjectExistCertaintyCatCode")</f>
        <v>ObjectExistCertaintyCatCode</v>
      </c>
      <c r="J860" s="80"/>
      <c r="K860" s="77"/>
      <c r="L860" s="77"/>
      <c r="M860" s="71" t="str">
        <f>HYPERLINK("[#]DatatypeListedValues!A5241:H5241","&lt;values&gt;")</f>
        <v>&lt;values&gt;</v>
      </c>
      <c r="N860" s="12" t="b">
        <v>1</v>
      </c>
      <c r="O860" s="25">
        <v>203309</v>
      </c>
      <c r="P860" s="304" t="str">
        <f>CONCATENATE([1]Cover!$D$6,"fdd/view?i=",O860)</f>
        <v>https://www.dgiwg.org/FAD/fdd/view?i=203309</v>
      </c>
      <c r="Q860" s="8" t="s">
        <v>8866</v>
      </c>
      <c r="R860" s="38" t="s">
        <v>1295</v>
      </c>
    </row>
    <row r="861" spans="1:18" ht="38.25">
      <c r="A861" s="302" t="str">
        <f t="shared" si="23"/>
        <v>identifier</v>
      </c>
      <c r="B861" s="6" t="s">
        <v>8873</v>
      </c>
      <c r="C861" s="17" t="s">
        <v>8874</v>
      </c>
      <c r="D861" s="10" t="s">
        <v>8875</v>
      </c>
      <c r="E861" s="55"/>
      <c r="F861" s="55"/>
      <c r="G861" s="12" t="s">
        <v>4643</v>
      </c>
      <c r="H861" s="74"/>
      <c r="I861" s="147" t="str">
        <f>HYPERLINK("[#]Datatypes!B1144:L1144","RefSystemIdentStrucText")</f>
        <v>RefSystemIdentStrucText</v>
      </c>
      <c r="J861" s="80"/>
      <c r="K861" s="77"/>
      <c r="L861" s="77"/>
      <c r="M861" s="78"/>
      <c r="N861" s="74"/>
      <c r="O861" s="25">
        <v>207304</v>
      </c>
      <c r="P861" s="304" t="str">
        <f>CONCATENATE([1]Cover!$D$6,"fdd/view?i=",O861)</f>
        <v>https://www.dgiwg.org/FAD/fdd/view?i=207304</v>
      </c>
      <c r="Q861" s="8" t="s">
        <v>8872</v>
      </c>
      <c r="R861" s="38" t="s">
        <v>1295</v>
      </c>
    </row>
    <row r="862" spans="1:18" ht="25.5">
      <c r="A862" s="302" t="str">
        <f t="shared" si="23"/>
        <v>remarks</v>
      </c>
      <c r="B862" s="6" t="s">
        <v>8878</v>
      </c>
      <c r="C862" s="17" t="s">
        <v>8879</v>
      </c>
      <c r="D862" s="10" t="s">
        <v>8880</v>
      </c>
      <c r="E862" s="55"/>
      <c r="F862" s="55"/>
      <c r="G862" s="12" t="s">
        <v>4643</v>
      </c>
      <c r="H862" s="74"/>
      <c r="I862" s="147" t="str">
        <f>HYPERLINK("[#]Datatypes!B1416:L1416","TextLexUnconstrained")</f>
        <v>TextLexUnconstrained</v>
      </c>
      <c r="J862" s="80"/>
      <c r="K862" s="77"/>
      <c r="L862" s="77"/>
      <c r="M862" s="78"/>
      <c r="N862" s="74"/>
      <c r="O862" s="25">
        <v>207305</v>
      </c>
      <c r="P862" s="304" t="str">
        <f>CONCATENATE([1]Cover!$D$6,"fdd/view?i=",O862)</f>
        <v>https://www.dgiwg.org/FAD/fdd/view?i=207305</v>
      </c>
      <c r="Q862" s="8" t="s">
        <v>8877</v>
      </c>
      <c r="R862" s="38" t="s">
        <v>1295</v>
      </c>
    </row>
    <row r="863" spans="1:18" ht="25.5">
      <c r="A863" s="302" t="str">
        <f t="shared" si="23"/>
        <v>observationCount</v>
      </c>
      <c r="B863" s="6" t="s">
        <v>8882</v>
      </c>
      <c r="C863" s="17" t="s">
        <v>8883</v>
      </c>
      <c r="D863" s="10" t="s">
        <v>8884</v>
      </c>
      <c r="E863" s="55"/>
      <c r="F863" s="55"/>
      <c r="G863" s="12" t="s">
        <v>4643</v>
      </c>
      <c r="H863" s="74"/>
      <c r="I863" s="147" t="str">
        <f>HYPERLINK("[#]Datatypes!B366:L366","Count")</f>
        <v>Count</v>
      </c>
      <c r="J863" s="80"/>
      <c r="K863" s="77"/>
      <c r="L863" s="77"/>
      <c r="M863" s="78"/>
      <c r="N863" s="74"/>
      <c r="O863" s="25">
        <v>114237</v>
      </c>
      <c r="P863" s="304" t="str">
        <f>CONCATENATE([1]Cover!$D$6,"fdd/view?i=",O863)</f>
        <v>https://www.dgiwg.org/FAD/fdd/view?i=114237</v>
      </c>
      <c r="Q863" s="8" t="s">
        <v>8881</v>
      </c>
      <c r="R863" s="38" t="s">
        <v>151</v>
      </c>
    </row>
    <row r="864" spans="1:18" ht="51">
      <c r="A864" s="302" t="str">
        <f t="shared" si="23"/>
        <v>obsLandWaterBoundaryHgt</v>
      </c>
      <c r="B864" s="6" t="s">
        <v>8886</v>
      </c>
      <c r="C864" s="17" t="s">
        <v>8887</v>
      </c>
      <c r="D864" s="10" t="s">
        <v>8888</v>
      </c>
      <c r="E864" s="10" t="s">
        <v>8889</v>
      </c>
      <c r="F864" s="55"/>
      <c r="G864" s="12" t="s">
        <v>4643</v>
      </c>
      <c r="H864" s="74"/>
      <c r="I864" s="147" t="str">
        <f>HYPERLINK("[#]Datatypes!B1097:L1097","Real")</f>
        <v>Real</v>
      </c>
      <c r="J864" s="76" t="str">
        <f>HYPERLINK("[#]PhysicalQuantities!A20:N20","Length")</f>
        <v>Length</v>
      </c>
      <c r="K864" s="75" t="str">
        <f>HYPERLINK("[#]UnitsOfMeasure!D80:G80","Metre")</f>
        <v>Metre</v>
      </c>
      <c r="L864" s="77"/>
      <c r="M864" s="78"/>
      <c r="N864" s="74"/>
      <c r="O864" s="25">
        <v>117796</v>
      </c>
      <c r="P864" s="304" t="str">
        <f>CONCATENATE([1]Cover!$D$6,"fdd/view?i=",O864)</f>
        <v>https://www.dgiwg.org/FAD/fdd/view?i=117796</v>
      </c>
      <c r="Q864" s="8" t="s">
        <v>8885</v>
      </c>
      <c r="R864" s="38" t="s">
        <v>151</v>
      </c>
    </row>
    <row r="865" spans="1:18" ht="25.5">
      <c r="A865" s="302" t="str">
        <f t="shared" si="23"/>
        <v>obstacleClearanceAltitude</v>
      </c>
      <c r="B865" s="6" t="s">
        <v>8891</v>
      </c>
      <c r="C865" s="17" t="s">
        <v>8892</v>
      </c>
      <c r="D865" s="10" t="s">
        <v>8893</v>
      </c>
      <c r="E865" s="55"/>
      <c r="F865" s="10" t="s">
        <v>8890</v>
      </c>
      <c r="G865" s="12" t="s">
        <v>4643</v>
      </c>
      <c r="H865" s="74"/>
      <c r="I865" s="147" t="str">
        <f>HYPERLINK("[#]Datatypes!B1097:L1097","Real")</f>
        <v>Real</v>
      </c>
      <c r="J865" s="76" t="str">
        <f>HYPERLINK("[#]PhysicalQuantities!A20:N20","Length")</f>
        <v>Length</v>
      </c>
      <c r="K865" s="75" t="str">
        <f>HYPERLINK("[#]UnitsOfMeasure!D80:G80","Metre")</f>
        <v>Metre</v>
      </c>
      <c r="L865" s="77"/>
      <c r="M865" s="78"/>
      <c r="N865" s="74"/>
      <c r="O865" s="25">
        <v>117649</v>
      </c>
      <c r="P865" s="304" t="str">
        <f>CONCATENATE([1]Cover!$D$6,"fdd/view?i=",O865)</f>
        <v>https://www.dgiwg.org/FAD/fdd/view?i=117649</v>
      </c>
      <c r="Q865" s="8" t="s">
        <v>8890</v>
      </c>
      <c r="R865" s="38" t="s">
        <v>151</v>
      </c>
    </row>
    <row r="866" spans="1:18" ht="63.75">
      <c r="A866" s="302" t="str">
        <f t="shared" si="23"/>
        <v>obstacleClearanceHeight</v>
      </c>
      <c r="B866" s="6" t="s">
        <v>8895</v>
      </c>
      <c r="C866" s="17" t="s">
        <v>8896</v>
      </c>
      <c r="D866" s="10" t="s">
        <v>8897</v>
      </c>
      <c r="E866" s="10" t="s">
        <v>8898</v>
      </c>
      <c r="F866" s="10" t="s">
        <v>8894</v>
      </c>
      <c r="G866" s="12" t="s">
        <v>4643</v>
      </c>
      <c r="H866" s="74"/>
      <c r="I866" s="147" t="str">
        <f>HYPERLINK("[#]Datatypes!B1097:L1097","Real")</f>
        <v>Real</v>
      </c>
      <c r="J866" s="76" t="str">
        <f>HYPERLINK("[#]PhysicalQuantities!A20:N20","Length")</f>
        <v>Length</v>
      </c>
      <c r="K866" s="75" t="str">
        <f>HYPERLINK("[#]UnitsOfMeasure!D80:G80","Metre")</f>
        <v>Metre</v>
      </c>
      <c r="L866" s="77"/>
      <c r="M866" s="78"/>
      <c r="N866" s="74"/>
      <c r="O866" s="25">
        <v>117650</v>
      </c>
      <c r="P866" s="304" t="str">
        <f>CONCATENATE([1]Cover!$D$6,"fdd/view?i=",O866)</f>
        <v>https://www.dgiwg.org/FAD/fdd/view?i=117650</v>
      </c>
      <c r="Q866" s="8" t="s">
        <v>8894</v>
      </c>
      <c r="R866" s="38" t="s">
        <v>151</v>
      </c>
    </row>
    <row r="867" spans="1:18" ht="25.5">
      <c r="A867" s="302" t="str">
        <f t="shared" si="23"/>
        <v>obstacleMarkingPresent</v>
      </c>
      <c r="B867" s="6" t="s">
        <v>8900</v>
      </c>
      <c r="C867" s="17" t="s">
        <v>8901</v>
      </c>
      <c r="D867" s="10" t="s">
        <v>8902</v>
      </c>
      <c r="E867" s="10" t="s">
        <v>8903</v>
      </c>
      <c r="F867" s="55"/>
      <c r="G867" s="12" t="s">
        <v>4643</v>
      </c>
      <c r="H867" s="74"/>
      <c r="I867" s="147" t="str">
        <f>HYPERLINK("[#]Datatypes!B230:L230","Boolean")</f>
        <v>Boolean</v>
      </c>
      <c r="J867" s="80"/>
      <c r="K867" s="77"/>
      <c r="L867" s="77"/>
      <c r="M867" s="78"/>
      <c r="N867" s="74"/>
      <c r="O867" s="25">
        <v>117653</v>
      </c>
      <c r="P867" s="304" t="str">
        <f>CONCATENATE([1]Cover!$D$6,"fdd/view?i=",O867)</f>
        <v>https://www.dgiwg.org/FAD/fdd/view?i=117653</v>
      </c>
      <c r="Q867" s="8" t="s">
        <v>8899</v>
      </c>
      <c r="R867" s="38" t="s">
        <v>151</v>
      </c>
    </row>
    <row r="868" spans="1:18" ht="25.5">
      <c r="A868" s="302" t="str">
        <f t="shared" si="23"/>
        <v>oceanFrontIndicator</v>
      </c>
      <c r="B868" s="6" t="s">
        <v>8905</v>
      </c>
      <c r="C868" s="17" t="s">
        <v>8906</v>
      </c>
      <c r="D868" s="10" t="s">
        <v>8907</v>
      </c>
      <c r="E868" s="55"/>
      <c r="F868" s="55"/>
      <c r="G868" s="12" t="s">
        <v>4643</v>
      </c>
      <c r="H868" s="74"/>
      <c r="I868" s="147" t="str">
        <f>HYPERLINK("[#]Datatypes!B975:L975","OceanFrontIndicatorCode")</f>
        <v>OceanFrontIndicatorCode</v>
      </c>
      <c r="J868" s="80"/>
      <c r="K868" s="77"/>
      <c r="L868" s="77"/>
      <c r="M868" s="71" t="str">
        <f>HYPERLINK("[#]DatatypeListedValues!A5244:H5244","&lt;values&gt;")</f>
        <v>&lt;values&gt;</v>
      </c>
      <c r="N868" s="82" t="b">
        <v>0</v>
      </c>
      <c r="O868" s="25">
        <v>119200</v>
      </c>
      <c r="P868" s="304" t="str">
        <f>CONCATENATE([1]Cover!$D$6,"fdd/view?i=",O868)</f>
        <v>https://www.dgiwg.org/FAD/fdd/view?i=119200</v>
      </c>
      <c r="Q868" s="8" t="s">
        <v>8904</v>
      </c>
      <c r="R868" s="38" t="s">
        <v>151</v>
      </c>
    </row>
    <row r="869" spans="1:18" ht="25.5">
      <c r="A869" s="302" t="str">
        <f t="shared" si="23"/>
        <v>oceanographicFrontType</v>
      </c>
      <c r="B869" s="6" t="s">
        <v>8910</v>
      </c>
      <c r="C869" s="17" t="s">
        <v>8911</v>
      </c>
      <c r="D869" s="10" t="s">
        <v>8912</v>
      </c>
      <c r="E869" s="55"/>
      <c r="F869" s="55"/>
      <c r="G869" s="12" t="s">
        <v>4643</v>
      </c>
      <c r="H869" s="74"/>
      <c r="I869" s="147" t="str">
        <f>HYPERLINK("[#]Datatypes!B977:L977","OceanographicFrontTypeCode")</f>
        <v>OceanographicFrontTypeCode</v>
      </c>
      <c r="J869" s="80"/>
      <c r="K869" s="77"/>
      <c r="L869" s="77"/>
      <c r="M869" s="71" t="str">
        <f>HYPERLINK("[#]DatatypeListedValues!A5249:H5249","&lt;values&gt;")</f>
        <v>&lt;values&gt;</v>
      </c>
      <c r="N869" s="82" t="b">
        <v>0</v>
      </c>
      <c r="O869" s="25">
        <v>119199</v>
      </c>
      <c r="P869" s="304" t="str">
        <f>CONCATENATE([1]Cover!$D$6,"fdd/view?i=",O869)</f>
        <v>https://www.dgiwg.org/FAD/fdd/view?i=119199</v>
      </c>
      <c r="Q869" s="8" t="s">
        <v>8909</v>
      </c>
      <c r="R869" s="38" t="s">
        <v>151</v>
      </c>
    </row>
    <row r="870" spans="1:18" ht="102">
      <c r="A870" s="302" t="str">
        <f t="shared" si="23"/>
        <v>oceanographicSurveyIdent</v>
      </c>
      <c r="B870" s="6" t="s">
        <v>8915</v>
      </c>
      <c r="C870" s="17" t="s">
        <v>8916</v>
      </c>
      <c r="D870" s="10" t="s">
        <v>8917</v>
      </c>
      <c r="E870" s="10" t="s">
        <v>8918</v>
      </c>
      <c r="F870" s="55"/>
      <c r="G870" s="12" t="s">
        <v>4643</v>
      </c>
      <c r="H870" s="74"/>
      <c r="I870" s="147" t="str">
        <f>HYPERLINK("[#]Datatypes!B1424:L1424","TextNonLex20")</f>
        <v>TextNonLex20</v>
      </c>
      <c r="J870" s="80"/>
      <c r="K870" s="77"/>
      <c r="L870" s="77"/>
      <c r="M870" s="78"/>
      <c r="N870" s="74"/>
      <c r="O870" s="25">
        <v>206200</v>
      </c>
      <c r="P870" s="304" t="str">
        <f>CONCATENATE([1]Cover!$D$6,"fdd/view?i=",O870)</f>
        <v>https://www.dgiwg.org/FAD/fdd/view?i=206200</v>
      </c>
      <c r="Q870" s="8" t="s">
        <v>8914</v>
      </c>
      <c r="R870" s="38" t="s">
        <v>1295</v>
      </c>
    </row>
    <row r="871" spans="1:18" ht="25.5">
      <c r="A871" s="302" t="str">
        <f t="shared" si="23"/>
        <v>offshoreConstPriStruct</v>
      </c>
      <c r="B871" s="6" t="s">
        <v>8921</v>
      </c>
      <c r="C871" s="17" t="s">
        <v>8922</v>
      </c>
      <c r="D871" s="10" t="s">
        <v>8923</v>
      </c>
      <c r="E871" s="55"/>
      <c r="F871" s="55"/>
      <c r="G871" s="12" t="s">
        <v>4643</v>
      </c>
      <c r="H871" s="74"/>
      <c r="I871" s="147" t="str">
        <f>HYPERLINK("[#]Datatypes!B979:L979","OffshoreConstPriStructCode")</f>
        <v>OffshoreConstPriStructCode</v>
      </c>
      <c r="J871" s="80"/>
      <c r="K871" s="77"/>
      <c r="L871" s="77"/>
      <c r="M871" s="71" t="str">
        <f>HYPERLINK("[#]DatatypeListedValues!A5252:H5252","&lt;values&gt;")</f>
        <v>&lt;values&gt;</v>
      </c>
      <c r="N871" s="82" t="b">
        <v>0</v>
      </c>
      <c r="O871" s="25">
        <v>111650</v>
      </c>
      <c r="P871" s="304" t="str">
        <f>CONCATENATE([1]Cover!$D$6,"fdd/view?i=",O871)</f>
        <v>https://www.dgiwg.org/FAD/fdd/view?i=111650</v>
      </c>
      <c r="Q871" s="8" t="s">
        <v>8920</v>
      </c>
      <c r="R871" s="38" t="s">
        <v>151</v>
      </c>
    </row>
    <row r="872" spans="1:18" ht="25.5">
      <c r="A872" s="302" t="str">
        <f t="shared" si="23"/>
        <v>offshoreConstSupStruct</v>
      </c>
      <c r="B872" s="6" t="s">
        <v>8926</v>
      </c>
      <c r="C872" s="17" t="s">
        <v>8927</v>
      </c>
      <c r="D872" s="10" t="s">
        <v>8928</v>
      </c>
      <c r="E872" s="55"/>
      <c r="F872" s="55"/>
      <c r="G872" s="12" t="s">
        <v>4643</v>
      </c>
      <c r="H872" s="74"/>
      <c r="I872" s="147" t="str">
        <f>HYPERLINK("[#]Datatypes!B981:L981","OffshoreConstSupStructCode")</f>
        <v>OffshoreConstSupStructCode</v>
      </c>
      <c r="J872" s="80"/>
      <c r="K872" s="77"/>
      <c r="L872" s="77"/>
      <c r="M872" s="71" t="str">
        <f>HYPERLINK("[#]DatatypeListedValues!A5259:H5259","&lt;values&gt;")</f>
        <v>&lt;values&gt;</v>
      </c>
      <c r="N872" s="82" t="b">
        <v>0</v>
      </c>
      <c r="O872" s="25">
        <v>111654</v>
      </c>
      <c r="P872" s="304" t="str">
        <f>CONCATENATE([1]Cover!$D$6,"fdd/view?i=",O872)</f>
        <v>https://www.dgiwg.org/FAD/fdd/view?i=111654</v>
      </c>
      <c r="Q872" s="8" t="s">
        <v>8925</v>
      </c>
      <c r="R872" s="38" t="s">
        <v>151</v>
      </c>
    </row>
    <row r="873" spans="1:18" ht="25.5">
      <c r="A873" s="302" t="str">
        <f t="shared" si="23"/>
        <v>offshorePositioningMethod</v>
      </c>
      <c r="B873" s="6" t="s">
        <v>8931</v>
      </c>
      <c r="C873" s="17" t="s">
        <v>8932</v>
      </c>
      <c r="D873" s="10" t="s">
        <v>8933</v>
      </c>
      <c r="E873" s="55"/>
      <c r="F873" s="55"/>
      <c r="G873" s="12" t="s">
        <v>4643</v>
      </c>
      <c r="H873" s="74"/>
      <c r="I873" s="147" t="str">
        <f>HYPERLINK("[#]Datatypes!B983:L983","OffshorePositioningMethodCode")</f>
        <v>OffshorePositioningMethodCode</v>
      </c>
      <c r="J873" s="80"/>
      <c r="K873" s="77"/>
      <c r="L873" s="77"/>
      <c r="M873" s="71" t="str">
        <f>HYPERLINK("[#]DatatypeListedValues!A5263:H5263","&lt;values&gt;")</f>
        <v>&lt;values&gt;</v>
      </c>
      <c r="N873" s="82" t="b">
        <v>0</v>
      </c>
      <c r="O873" s="25">
        <v>111653</v>
      </c>
      <c r="P873" s="304" t="str">
        <f>CONCATENATE([1]Cover!$D$6,"fdd/view?i=",O873)</f>
        <v>https://www.dgiwg.org/FAD/fdd/view?i=111653</v>
      </c>
      <c r="Q873" s="8" t="s">
        <v>8930</v>
      </c>
      <c r="R873" s="38" t="s">
        <v>151</v>
      </c>
    </row>
    <row r="874" spans="1:18" ht="102">
      <c r="A874" s="302" t="str">
        <f t="shared" si="23"/>
        <v>omnidirectionalDepartAuth</v>
      </c>
      <c r="B874" s="6" t="s">
        <v>8936</v>
      </c>
      <c r="C874" s="17" t="s">
        <v>8937</v>
      </c>
      <c r="D874" s="10" t="s">
        <v>8938</v>
      </c>
      <c r="E874" s="10" t="s">
        <v>8939</v>
      </c>
      <c r="F874" s="10" t="s">
        <v>8940</v>
      </c>
      <c r="G874" s="12" t="s">
        <v>4643</v>
      </c>
      <c r="H874" s="74"/>
      <c r="I874" s="147" t="str">
        <f>HYPERLINK("[#]Datatypes!B230:L230","Boolean")</f>
        <v>Boolean</v>
      </c>
      <c r="J874" s="80"/>
      <c r="K874" s="77"/>
      <c r="L874" s="77"/>
      <c r="M874" s="78"/>
      <c r="N874" s="74"/>
      <c r="O874" s="25">
        <v>119613</v>
      </c>
      <c r="P874" s="304" t="str">
        <f>CONCATENATE([1]Cover!$D$6,"fdd/view?i=",O874)</f>
        <v>https://www.dgiwg.org/FAD/fdd/view?i=119613</v>
      </c>
      <c r="Q874" s="8" t="s">
        <v>8935</v>
      </c>
      <c r="R874" s="38" t="s">
        <v>151</v>
      </c>
    </row>
    <row r="875" spans="1:18" ht="63.75">
      <c r="A875" s="302" t="str">
        <f t="shared" si="23"/>
        <v>oneWay</v>
      </c>
      <c r="B875" s="6" t="s">
        <v>8942</v>
      </c>
      <c r="C875" s="17" t="s">
        <v>8943</v>
      </c>
      <c r="D875" s="10" t="s">
        <v>8944</v>
      </c>
      <c r="E875" s="10" t="s">
        <v>8945</v>
      </c>
      <c r="F875" s="55"/>
      <c r="G875" s="12" t="s">
        <v>4643</v>
      </c>
      <c r="H875" s="74"/>
      <c r="I875" s="147" t="str">
        <f>HYPERLINK("[#]Datatypes!B230:L230","Boolean")</f>
        <v>Boolean</v>
      </c>
      <c r="J875" s="80"/>
      <c r="K875" s="77"/>
      <c r="L875" s="77"/>
      <c r="M875" s="78"/>
      <c r="N875" s="74"/>
      <c r="O875" s="25">
        <v>111652</v>
      </c>
      <c r="P875" s="304" t="str">
        <f>CONCATENATE([1]Cover!$D$6,"fdd/view?i=",O875)</f>
        <v>https://www.dgiwg.org/FAD/fdd/view?i=111652</v>
      </c>
      <c r="Q875" s="8" t="s">
        <v>8941</v>
      </c>
      <c r="R875" s="38" t="s">
        <v>151</v>
      </c>
    </row>
    <row r="876" spans="1:18" ht="76.5">
      <c r="A876" s="302" t="str">
        <f t="shared" si="23"/>
        <v>openingThickness</v>
      </c>
      <c r="B876" s="6" t="s">
        <v>8947</v>
      </c>
      <c r="C876" s="17" t="s">
        <v>8948</v>
      </c>
      <c r="D876" s="10" t="s">
        <v>8949</v>
      </c>
      <c r="E876" s="10" t="s">
        <v>8950</v>
      </c>
      <c r="F876" s="55"/>
      <c r="G876" s="12" t="s">
        <v>4643</v>
      </c>
      <c r="H876" s="74"/>
      <c r="I876" s="147" t="str">
        <f>HYPERLINK("[#]Datatypes!B1097:L1097","Real")</f>
        <v>Real</v>
      </c>
      <c r="J876" s="76" t="str">
        <f>HYPERLINK("[#]PhysicalQuantities!A20:N20","Length")</f>
        <v>Length</v>
      </c>
      <c r="K876" s="75" t="str">
        <f>HYPERLINK("[#]UnitsOfMeasure!D80:G80","Metre")</f>
        <v>Metre</v>
      </c>
      <c r="L876" s="77"/>
      <c r="M876" s="78"/>
      <c r="N876" s="74"/>
      <c r="O876" s="25">
        <v>119588</v>
      </c>
      <c r="P876" s="304" t="str">
        <f>CONCATENATE([1]Cover!$D$6,"fdd/view?i=",O876)</f>
        <v>https://www.dgiwg.org/FAD/fdd/view?i=119588</v>
      </c>
      <c r="Q876" s="8" t="s">
        <v>8946</v>
      </c>
      <c r="R876" s="38" t="s">
        <v>151</v>
      </c>
    </row>
    <row r="877" spans="1:18" ht="25.5">
      <c r="A877" s="302" t="str">
        <f t="shared" si="23"/>
        <v>operatingAgency</v>
      </c>
      <c r="B877" s="6" t="s">
        <v>8952</v>
      </c>
      <c r="C877" s="17" t="s">
        <v>8953</v>
      </c>
      <c r="D877" s="10" t="s">
        <v>8954</v>
      </c>
      <c r="E877" s="55"/>
      <c r="F877" s="55"/>
      <c r="G877" s="12" t="s">
        <v>4643</v>
      </c>
      <c r="H877" s="74"/>
      <c r="I877" s="147" t="str">
        <f>HYPERLINK("[#]Datatypes!B997:L997","OperatingAgencyCode")</f>
        <v>OperatingAgencyCode</v>
      </c>
      <c r="J877" s="80"/>
      <c r="K877" s="77"/>
      <c r="L877" s="77"/>
      <c r="M877" s="71" t="str">
        <f>HYPERLINK("[#]DatatypeListedValues!A5267:H5267","&lt;values&gt;")</f>
        <v>&lt;values&gt;</v>
      </c>
      <c r="N877" s="82" t="b">
        <v>0</v>
      </c>
      <c r="O877" s="25">
        <v>200388</v>
      </c>
      <c r="P877" s="304" t="str">
        <f>CONCATENATE([1]Cover!$D$6,"fdd/view?i=",O877)</f>
        <v>https://www.dgiwg.org/FAD/fdd/view?i=200388</v>
      </c>
      <c r="Q877" s="8" t="s">
        <v>8951</v>
      </c>
      <c r="R877" s="38" t="s">
        <v>1295</v>
      </c>
    </row>
    <row r="878" spans="1:18">
      <c r="A878" s="302" t="str">
        <f t="shared" si="23"/>
        <v>operatingCycle</v>
      </c>
      <c r="B878" s="6" t="s">
        <v>8957</v>
      </c>
      <c r="C878" s="17" t="s">
        <v>8958</v>
      </c>
      <c r="D878" s="10" t="s">
        <v>8959</v>
      </c>
      <c r="E878" s="55"/>
      <c r="F878" s="55"/>
      <c r="G878" s="12" t="s">
        <v>4643</v>
      </c>
      <c r="H878" s="74"/>
      <c r="I878" s="147" t="str">
        <f>HYPERLINK("[#]Datatypes!B999:L999","OperatingCycleCode")</f>
        <v>OperatingCycleCode</v>
      </c>
      <c r="J878" s="80"/>
      <c r="K878" s="77"/>
      <c r="L878" s="77"/>
      <c r="M878" s="71" t="str">
        <f>HYPERLINK("[#]DatatypeListedValues!A5272:H5272","&lt;values&gt;")</f>
        <v>&lt;values&gt;</v>
      </c>
      <c r="N878" s="82" t="b">
        <v>0</v>
      </c>
      <c r="O878" s="25">
        <v>101133</v>
      </c>
      <c r="P878" s="304" t="str">
        <f>CONCATENATE([1]Cover!$D$6,"fdd/view?i=",O878)</f>
        <v>https://www.dgiwg.org/FAD/fdd/view?i=101133</v>
      </c>
      <c r="Q878" s="8" t="s">
        <v>8956</v>
      </c>
      <c r="R878" s="38" t="s">
        <v>151</v>
      </c>
    </row>
    <row r="879" spans="1:18" ht="38.25">
      <c r="A879" s="302" t="str">
        <f t="shared" si="23"/>
        <v>operatingRestriction</v>
      </c>
      <c r="B879" s="6" t="s">
        <v>8962</v>
      </c>
      <c r="C879" s="17" t="s">
        <v>8963</v>
      </c>
      <c r="D879" s="10" t="s">
        <v>8964</v>
      </c>
      <c r="E879" s="55"/>
      <c r="F879" s="55"/>
      <c r="G879" s="12" t="s">
        <v>4643</v>
      </c>
      <c r="H879" s="12" t="s">
        <v>4700</v>
      </c>
      <c r="I879" s="147" t="str">
        <f>HYPERLINK("[#]Datatypes!B1001:L1001","OperatingRestrictionCode")</f>
        <v>OperatingRestrictionCode</v>
      </c>
      <c r="J879" s="80"/>
      <c r="K879" s="77"/>
      <c r="L879" s="77"/>
      <c r="M879" s="71" t="str">
        <f>HYPERLINK("[#]DatatypeListedValues!A5279:H5279","&lt;values&gt;")</f>
        <v>&lt;values&gt;</v>
      </c>
      <c r="N879" s="82" t="b">
        <v>0</v>
      </c>
      <c r="O879" s="25">
        <v>101137</v>
      </c>
      <c r="P879" s="304" t="str">
        <f>CONCATENATE([1]Cover!$D$6,"fdd/view?i=",O879)</f>
        <v>https://www.dgiwg.org/FAD/fdd/view?i=101137</v>
      </c>
      <c r="Q879" s="8" t="s">
        <v>8961</v>
      </c>
      <c r="R879" s="38" t="s">
        <v>151</v>
      </c>
    </row>
    <row r="880" spans="1:18">
      <c r="A880" s="302" t="str">
        <f t="shared" si="23"/>
        <v>operational</v>
      </c>
      <c r="B880" s="6" t="s">
        <v>8967</v>
      </c>
      <c r="C880" s="17" t="s">
        <v>8968</v>
      </c>
      <c r="D880" s="10" t="s">
        <v>8969</v>
      </c>
      <c r="E880" s="55"/>
      <c r="F880" s="55"/>
      <c r="G880" s="12" t="s">
        <v>4643</v>
      </c>
      <c r="H880" s="74"/>
      <c r="I880" s="147" t="str">
        <f>HYPERLINK("[#]Datatypes!B230:L230","Boolean")</f>
        <v>Boolean</v>
      </c>
      <c r="J880" s="80"/>
      <c r="K880" s="77"/>
      <c r="L880" s="77"/>
      <c r="M880" s="78"/>
      <c r="N880" s="74"/>
      <c r="O880" s="25">
        <v>101131</v>
      </c>
      <c r="P880" s="304" t="str">
        <f>CONCATENATE([1]Cover!$D$6,"fdd/view?i=",O880)</f>
        <v>https://www.dgiwg.org/FAD/fdd/view?i=101131</v>
      </c>
      <c r="Q880" s="8" t="s">
        <v>8966</v>
      </c>
      <c r="R880" s="38" t="s">
        <v>151</v>
      </c>
    </row>
    <row r="881" spans="1:18" ht="25.5">
      <c r="A881" s="302" t="str">
        <f t="shared" si="23"/>
        <v>operationalReadiness</v>
      </c>
      <c r="B881" s="6" t="s">
        <v>8971</v>
      </c>
      <c r="C881" s="17" t="s">
        <v>8972</v>
      </c>
      <c r="D881" s="10" t="s">
        <v>8973</v>
      </c>
      <c r="E881" s="55"/>
      <c r="F881" s="55"/>
      <c r="G881" s="12" t="s">
        <v>4643</v>
      </c>
      <c r="H881" s="74"/>
      <c r="I881" s="147" t="str">
        <f>HYPERLINK("[#]Datatypes!B1003:L1003","OperationalReadinessCode")</f>
        <v>OperationalReadinessCode</v>
      </c>
      <c r="J881" s="80"/>
      <c r="K881" s="77"/>
      <c r="L881" s="77"/>
      <c r="M881" s="71" t="str">
        <f>HYPERLINK("[#]DatatypeListedValues!A5290:H5290","&lt;values&gt;")</f>
        <v>&lt;values&gt;</v>
      </c>
      <c r="N881" s="12" t="b">
        <v>1</v>
      </c>
      <c r="O881" s="25">
        <v>200443</v>
      </c>
      <c r="P881" s="304" t="str">
        <f>CONCATENATE([1]Cover!$D$6,"fdd/view?i=",O881)</f>
        <v>https://www.dgiwg.org/FAD/fdd/view?i=200443</v>
      </c>
      <c r="Q881" s="8" t="s">
        <v>8970</v>
      </c>
      <c r="R881" s="38" t="s">
        <v>1295</v>
      </c>
    </row>
    <row r="882" spans="1:18" ht="38.25">
      <c r="A882" s="302" t="str">
        <f t="shared" si="23"/>
        <v>operationsEndDateTime</v>
      </c>
      <c r="B882" s="6" t="s">
        <v>8976</v>
      </c>
      <c r="C882" s="17" t="s">
        <v>8977</v>
      </c>
      <c r="D882" s="10" t="s">
        <v>8978</v>
      </c>
      <c r="E882" s="10" t="s">
        <v>6206</v>
      </c>
      <c r="F882" s="55"/>
      <c r="G882" s="12" t="s">
        <v>4643</v>
      </c>
      <c r="H882" s="74"/>
      <c r="I882" s="147" t="str">
        <f>HYPERLINK("[#]Datatypes!B1005:L1005","OperationsEndDateTimeStrucText")</f>
        <v>OperationsEndDateTimeStrucText</v>
      </c>
      <c r="J882" s="80"/>
      <c r="K882" s="77"/>
      <c r="L882" s="77"/>
      <c r="M882" s="78"/>
      <c r="N882" s="74"/>
      <c r="O882" s="25">
        <v>109958</v>
      </c>
      <c r="P882" s="304" t="str">
        <f>CONCATENATE([1]Cover!$D$6,"fdd/view?i=",O882)</f>
        <v>https://www.dgiwg.org/FAD/fdd/view?i=109958</v>
      </c>
      <c r="Q882" s="8" t="s">
        <v>8975</v>
      </c>
      <c r="R882" s="38" t="s">
        <v>151</v>
      </c>
    </row>
    <row r="883" spans="1:18" ht="38.25">
      <c r="A883" s="302" t="str">
        <f t="shared" si="23"/>
        <v>operationsStartDateTime</v>
      </c>
      <c r="B883" s="6" t="s">
        <v>8981</v>
      </c>
      <c r="C883" s="17" t="s">
        <v>8982</v>
      </c>
      <c r="D883" s="10" t="s">
        <v>8983</v>
      </c>
      <c r="E883" s="10" t="s">
        <v>6206</v>
      </c>
      <c r="F883" s="55"/>
      <c r="G883" s="12" t="s">
        <v>4643</v>
      </c>
      <c r="H883" s="74"/>
      <c r="I883" s="147" t="str">
        <f>HYPERLINK("[#]Datatypes!B1007:L1007","OperationsStartDateTimeStrucText")</f>
        <v>OperationsStartDateTimeStrucText</v>
      </c>
      <c r="J883" s="80"/>
      <c r="K883" s="77"/>
      <c r="L883" s="77"/>
      <c r="M883" s="78"/>
      <c r="N883" s="74"/>
      <c r="O883" s="25">
        <v>109960</v>
      </c>
      <c r="P883" s="304" t="str">
        <f>CONCATENATE([1]Cover!$D$6,"fdd/view?i=",O883)</f>
        <v>https://www.dgiwg.org/FAD/fdd/view?i=109960</v>
      </c>
      <c r="Q883" s="8" t="s">
        <v>8980</v>
      </c>
      <c r="R883" s="38" t="s">
        <v>151</v>
      </c>
    </row>
    <row r="884" spans="1:18" ht="25.5">
      <c r="A884" s="302" t="str">
        <f t="shared" si="23"/>
        <v>operatorIdentifier</v>
      </c>
      <c r="B884" s="6" t="s">
        <v>8986</v>
      </c>
      <c r="C884" s="17" t="s">
        <v>8987</v>
      </c>
      <c r="D884" s="10" t="s">
        <v>8988</v>
      </c>
      <c r="E884" s="55"/>
      <c r="F884" s="55"/>
      <c r="G884" s="12" t="s">
        <v>4643</v>
      </c>
      <c r="H884" s="74"/>
      <c r="I884" s="147" t="str">
        <f>HYPERLINK("[#]Datatypes!B768:L768","KeyNonLex40")</f>
        <v>KeyNonLex40</v>
      </c>
      <c r="J884" s="80"/>
      <c r="K884" s="77"/>
      <c r="L884" s="77"/>
      <c r="M884" s="78"/>
      <c r="N884" s="74"/>
      <c r="O884" s="25">
        <v>200457</v>
      </c>
      <c r="P884" s="304" t="str">
        <f>CONCATENATE([1]Cover!$D$6,"fdd/view?i=",O884)</f>
        <v>https://www.dgiwg.org/FAD/fdd/view?i=200457</v>
      </c>
      <c r="Q884" s="8" t="s">
        <v>8985</v>
      </c>
      <c r="R884" s="38" t="s">
        <v>1295</v>
      </c>
    </row>
    <row r="885" spans="1:18" ht="38.25">
      <c r="A885" s="302" t="str">
        <f t="shared" si="23"/>
        <v>outboundCourse</v>
      </c>
      <c r="B885" s="6" t="s">
        <v>8991</v>
      </c>
      <c r="C885" s="17" t="s">
        <v>8992</v>
      </c>
      <c r="D885" s="10" t="s">
        <v>8993</v>
      </c>
      <c r="E885" s="55"/>
      <c r="F885" s="55"/>
      <c r="G885" s="12" t="s">
        <v>4643</v>
      </c>
      <c r="H885" s="74"/>
      <c r="I885" s="147" t="str">
        <f>HYPERLINK("[#]Datatypes!B1126:L1126","RealNonNeg359r9")</f>
        <v>RealNonNeg359r9</v>
      </c>
      <c r="J885" s="76" t="str">
        <f>HYPERLINK("[#]PhysicalQuantities!A34:N34","Plane Angle")</f>
        <v>Plane Angle</v>
      </c>
      <c r="K885" s="75" t="str">
        <f>HYPERLINK("[#]UnitsOfMeasure!D159:G159","Arc Degree")</f>
        <v>Arc Degree</v>
      </c>
      <c r="L885" s="77"/>
      <c r="M885" s="78"/>
      <c r="N885" s="74"/>
      <c r="O885" s="25">
        <v>206993</v>
      </c>
      <c r="P885" s="304" t="str">
        <f>CONCATENATE([1]Cover!$D$6,"fdd/view?i=",O885)</f>
        <v>https://www.dgiwg.org/FAD/fdd/view?i=206993</v>
      </c>
      <c r="Q885" s="8" t="s">
        <v>8990</v>
      </c>
      <c r="R885" s="38" t="s">
        <v>1295</v>
      </c>
    </row>
    <row r="886" spans="1:18" ht="25.5">
      <c r="A886" s="302" t="str">
        <f t="shared" si="23"/>
        <v>overheadClearance</v>
      </c>
      <c r="B886" s="6" t="s">
        <v>8995</v>
      </c>
      <c r="C886" s="17" t="s">
        <v>8996</v>
      </c>
      <c r="D886" s="10" t="s">
        <v>8997</v>
      </c>
      <c r="E886" s="10" t="s">
        <v>8998</v>
      </c>
      <c r="F886" s="55"/>
      <c r="G886" s="12" t="s">
        <v>4643</v>
      </c>
      <c r="H886" s="74"/>
      <c r="I886" s="147" t="str">
        <f>HYPERLINK("[#]Datatypes!B1097:L1097","Real")</f>
        <v>Real</v>
      </c>
      <c r="J886" s="76" t="str">
        <f>HYPERLINK("[#]PhysicalQuantities!A20:N20","Length")</f>
        <v>Length</v>
      </c>
      <c r="K886" s="75" t="str">
        <f>HYPERLINK("[#]UnitsOfMeasure!D80:G80","Metre")</f>
        <v>Metre</v>
      </c>
      <c r="L886" s="77"/>
      <c r="M886" s="78"/>
      <c r="N886" s="74"/>
      <c r="O886" s="25">
        <v>101122</v>
      </c>
      <c r="P886" s="304" t="str">
        <f>CONCATENATE([1]Cover!$D$6,"fdd/view?i=",O886)</f>
        <v>https://www.dgiwg.org/FAD/fdd/view?i=101122</v>
      </c>
      <c r="Q886" s="8" t="s">
        <v>8994</v>
      </c>
      <c r="R886" s="38" t="s">
        <v>151</v>
      </c>
    </row>
    <row r="887" spans="1:18" ht="25.5">
      <c r="A887" s="302" t="str">
        <f t="shared" si="23"/>
        <v>overheadObstructionType</v>
      </c>
      <c r="B887" s="6" t="s">
        <v>9000</v>
      </c>
      <c r="C887" s="17" t="s">
        <v>9001</v>
      </c>
      <c r="D887" s="10" t="s">
        <v>9002</v>
      </c>
      <c r="E887" s="55"/>
      <c r="F887" s="55"/>
      <c r="G887" s="12" t="s">
        <v>4643</v>
      </c>
      <c r="H887" s="74"/>
      <c r="I887" s="147" t="str">
        <f>HYPERLINK("[#]Datatypes!B1009:L1009","OverheadObstructionTypeCode")</f>
        <v>OverheadObstructionTypeCode</v>
      </c>
      <c r="J887" s="80"/>
      <c r="K887" s="77"/>
      <c r="L887" s="77"/>
      <c r="M887" s="71" t="str">
        <f>HYPERLINK("[#]DatatypeListedValues!A5310:H5310","&lt;values&gt;")</f>
        <v>&lt;values&gt;</v>
      </c>
      <c r="N887" s="82" t="b">
        <v>0</v>
      </c>
      <c r="O887" s="25">
        <v>101129</v>
      </c>
      <c r="P887" s="304" t="str">
        <f>CONCATENATE([1]Cover!$D$6,"fdd/view?i=",O887)</f>
        <v>https://www.dgiwg.org/FAD/fdd/view?i=101129</v>
      </c>
      <c r="Q887" s="8" t="s">
        <v>8999</v>
      </c>
      <c r="R887" s="38" t="s">
        <v>151</v>
      </c>
    </row>
    <row r="888" spans="1:18" ht="25.5">
      <c r="A888" s="302" t="str">
        <f t="shared" si="23"/>
        <v>ownerOrOperator</v>
      </c>
      <c r="B888" s="6" t="s">
        <v>9005</v>
      </c>
      <c r="C888" s="17" t="s">
        <v>9006</v>
      </c>
      <c r="D888" s="10" t="s">
        <v>9007</v>
      </c>
      <c r="E888" s="10" t="s">
        <v>9008</v>
      </c>
      <c r="F888" s="55"/>
      <c r="G888" s="12" t="s">
        <v>4643</v>
      </c>
      <c r="H888" s="74"/>
      <c r="I888" s="147" t="str">
        <f>HYPERLINK("[#]Datatypes!B1416:L1416","TextLexUnconstrained")</f>
        <v>TextLexUnconstrained</v>
      </c>
      <c r="J888" s="80"/>
      <c r="K888" s="77"/>
      <c r="L888" s="77"/>
      <c r="M888" s="78"/>
      <c r="N888" s="74"/>
      <c r="O888" s="25">
        <v>114238</v>
      </c>
      <c r="P888" s="304" t="str">
        <f>CONCATENATE([1]Cover!$D$6,"fdd/view?i=",O888)</f>
        <v>https://www.dgiwg.org/FAD/fdd/view?i=114238</v>
      </c>
      <c r="Q888" s="8" t="s">
        <v>9004</v>
      </c>
      <c r="R888" s="38" t="s">
        <v>151</v>
      </c>
    </row>
    <row r="889" spans="1:18">
      <c r="A889" s="302" t="str">
        <f t="shared" si="23"/>
        <v>parallelLineCount</v>
      </c>
      <c r="B889" s="6" t="s">
        <v>9010</v>
      </c>
      <c r="C889" s="17" t="s">
        <v>9011</v>
      </c>
      <c r="D889" s="10" t="s">
        <v>9012</v>
      </c>
      <c r="E889" s="55"/>
      <c r="F889" s="55"/>
      <c r="G889" s="12" t="s">
        <v>4643</v>
      </c>
      <c r="H889" s="74"/>
      <c r="I889" s="147" t="str">
        <f>HYPERLINK("[#]Datatypes!B366:L366","Count")</f>
        <v>Count</v>
      </c>
      <c r="J889" s="80"/>
      <c r="K889" s="77"/>
      <c r="L889" s="77"/>
      <c r="M889" s="78"/>
      <c r="N889" s="74"/>
      <c r="O889" s="25">
        <v>101106</v>
      </c>
      <c r="P889" s="304" t="str">
        <f>CONCATENATE([1]Cover!$D$6,"fdd/view?i=",O889)</f>
        <v>https://www.dgiwg.org/FAD/fdd/view?i=101106</v>
      </c>
      <c r="Q889" s="8" t="s">
        <v>9009</v>
      </c>
      <c r="R889" s="38" t="s">
        <v>151</v>
      </c>
    </row>
    <row r="890" spans="1:18">
      <c r="A890" s="302" t="str">
        <f t="shared" si="23"/>
        <v>parentIdentifier</v>
      </c>
      <c r="B890" s="6" t="s">
        <v>9014</v>
      </c>
      <c r="C890" s="17" t="s">
        <v>9015</v>
      </c>
      <c r="D890" s="10" t="s">
        <v>9016</v>
      </c>
      <c r="E890" s="55"/>
      <c r="F890" s="55"/>
      <c r="G890" s="12" t="s">
        <v>4643</v>
      </c>
      <c r="H890" s="74"/>
      <c r="I890" s="147" t="str">
        <f>HYPERLINK("[#]Datatypes!B1416:L1416","TextLexUnconstrained")</f>
        <v>TextLexUnconstrained</v>
      </c>
      <c r="J890" s="80"/>
      <c r="K890" s="77"/>
      <c r="L890" s="77"/>
      <c r="M890" s="78"/>
      <c r="N890" s="74"/>
      <c r="O890" s="25">
        <v>207245</v>
      </c>
      <c r="P890" s="304" t="str">
        <f>CONCATENATE([1]Cover!$D$6,"fdd/view?i=",O890)</f>
        <v>https://www.dgiwg.org/FAD/fdd/view?i=207245</v>
      </c>
      <c r="Q890" s="8" t="s">
        <v>9013</v>
      </c>
      <c r="R890" s="38" t="s">
        <v>1295</v>
      </c>
    </row>
    <row r="891" spans="1:18" ht="51">
      <c r="A891" s="302" t="str">
        <f t="shared" si="23"/>
        <v>partialFeatureIndicator</v>
      </c>
      <c r="B891" s="6" t="s">
        <v>9017</v>
      </c>
      <c r="C891" s="17" t="s">
        <v>9018</v>
      </c>
      <c r="D891" s="10" t="s">
        <v>9019</v>
      </c>
      <c r="E891" s="10" t="s">
        <v>9020</v>
      </c>
      <c r="F891" s="55"/>
      <c r="G891" s="12" t="s">
        <v>4643</v>
      </c>
      <c r="H891" s="74"/>
      <c r="I891" s="147" t="str">
        <f>HYPERLINK("[#]Datatypes!B230:L230","Boolean")</f>
        <v>Boolean</v>
      </c>
      <c r="J891" s="80"/>
      <c r="K891" s="77"/>
      <c r="L891" s="77"/>
      <c r="M891" s="78"/>
      <c r="N891" s="74"/>
      <c r="O891" s="25">
        <v>111656</v>
      </c>
      <c r="P891" s="304" t="str">
        <f>CONCATENATE([1]Cover!$D$6,"fdd/view?i=",O891)</f>
        <v>https://www.dgiwg.org/FAD/fdd/view?i=111656</v>
      </c>
      <c r="Q891" s="8" t="s">
        <v>3475</v>
      </c>
      <c r="R891" s="38" t="s">
        <v>151</v>
      </c>
    </row>
    <row r="892" spans="1:18" ht="25.5">
      <c r="A892" s="302" t="str">
        <f t="shared" si="23"/>
        <v>passengerServiceDesc</v>
      </c>
      <c r="B892" s="6" t="s">
        <v>9022</v>
      </c>
      <c r="C892" s="17" t="s">
        <v>9023</v>
      </c>
      <c r="D892" s="10" t="s">
        <v>9024</v>
      </c>
      <c r="E892" s="55"/>
      <c r="F892" s="55"/>
      <c r="G892" s="12" t="s">
        <v>4643</v>
      </c>
      <c r="H892" s="74"/>
      <c r="I892" s="147" t="str">
        <f>HYPERLINK("[#]Datatypes!B1442:L1442","TextNonLexUnconstrained")</f>
        <v>TextNonLexUnconstrained</v>
      </c>
      <c r="J892" s="80"/>
      <c r="K892" s="77"/>
      <c r="L892" s="77"/>
      <c r="M892" s="78"/>
      <c r="N892" s="74"/>
      <c r="O892" s="25">
        <v>117673</v>
      </c>
      <c r="P892" s="304" t="str">
        <f>CONCATENATE([1]Cover!$D$6,"fdd/view?i=",O892)</f>
        <v>https://www.dgiwg.org/FAD/fdd/view?i=117673</v>
      </c>
      <c r="Q892" s="8" t="s">
        <v>9021</v>
      </c>
      <c r="R892" s="38" t="s">
        <v>151</v>
      </c>
    </row>
    <row r="893" spans="1:18" ht="25.5">
      <c r="A893" s="302" t="str">
        <f t="shared" si="23"/>
        <v>passengerServiceType</v>
      </c>
      <c r="B893" s="6" t="s">
        <v>9026</v>
      </c>
      <c r="C893" s="17" t="s">
        <v>9027</v>
      </c>
      <c r="D893" s="10" t="s">
        <v>9028</v>
      </c>
      <c r="E893" s="55"/>
      <c r="F893" s="55"/>
      <c r="G893" s="12" t="s">
        <v>4643</v>
      </c>
      <c r="H893" s="12" t="s">
        <v>4837</v>
      </c>
      <c r="I893" s="147" t="str">
        <f>HYPERLINK("[#]Datatypes!B1011:L1011","PassengerServiceTypeCode")</f>
        <v>PassengerServiceTypeCode</v>
      </c>
      <c r="J893" s="80"/>
      <c r="K893" s="77"/>
      <c r="L893" s="77"/>
      <c r="M893" s="71" t="str">
        <f>HYPERLINK("[#]DatatypeListedValues!A5336:H5336","&lt;values&gt;")</f>
        <v>&lt;values&gt;</v>
      </c>
      <c r="N893" s="82" t="b">
        <v>0</v>
      </c>
      <c r="O893" s="25">
        <v>117675</v>
      </c>
      <c r="P893" s="304" t="str">
        <f>CONCATENATE([1]Cover!$D$6,"fdd/view?i=",O893)</f>
        <v>https://www.dgiwg.org/FAD/fdd/view?i=117675</v>
      </c>
      <c r="Q893" s="8" t="s">
        <v>9025</v>
      </c>
      <c r="R893" s="38" t="s">
        <v>151</v>
      </c>
    </row>
    <row r="894" spans="1:18" ht="51">
      <c r="A894" s="302" t="str">
        <f t="shared" si="23"/>
        <v>pavementClassNumber</v>
      </c>
      <c r="B894" s="6" t="s">
        <v>9031</v>
      </c>
      <c r="C894" s="17" t="s">
        <v>9032</v>
      </c>
      <c r="D894" s="10" t="s">
        <v>9033</v>
      </c>
      <c r="E894" s="55"/>
      <c r="F894" s="10" t="s">
        <v>9034</v>
      </c>
      <c r="G894" s="12" t="s">
        <v>4643</v>
      </c>
      <c r="H894" s="74"/>
      <c r="I894" s="147" t="str">
        <f>HYPERLINK("[#]Datatypes!B710:L710","Integer")</f>
        <v>Integer</v>
      </c>
      <c r="J894" s="76" t="str">
        <f>HYPERLINK("[#]PhysicalQuantities!A39:N39","Pure Number")</f>
        <v>Pure Number</v>
      </c>
      <c r="K894" s="75" t="str">
        <f>HYPERLINK("[#]UnitsOfMeasure!D213:G213","Unitless")</f>
        <v>Unitless</v>
      </c>
      <c r="L894" s="77"/>
      <c r="M894" s="78"/>
      <c r="N894" s="74"/>
      <c r="O894" s="25">
        <v>117663</v>
      </c>
      <c r="P894" s="304" t="str">
        <f>CONCATENATE([1]Cover!$D$6,"fdd/view?i=",O894)</f>
        <v>https://www.dgiwg.org/FAD/fdd/view?i=117663</v>
      </c>
      <c r="Q894" s="8" t="s">
        <v>9030</v>
      </c>
      <c r="R894" s="38" t="s">
        <v>151</v>
      </c>
    </row>
    <row r="895" spans="1:18" ht="25.5">
      <c r="A895" s="302" t="str">
        <f t="shared" si="23"/>
        <v>pavementTypeForPcnDeterm</v>
      </c>
      <c r="B895" s="6" t="s">
        <v>9036</v>
      </c>
      <c r="C895" s="17" t="s">
        <v>9037</v>
      </c>
      <c r="D895" s="10" t="s">
        <v>9038</v>
      </c>
      <c r="E895" s="55"/>
      <c r="F895" s="10" t="s">
        <v>9039</v>
      </c>
      <c r="G895" s="12" t="s">
        <v>4643</v>
      </c>
      <c r="H895" s="74"/>
      <c r="I895" s="147" t="str">
        <f>HYPERLINK("[#]Datatypes!B1013:L1013","PavementTypePCNCode")</f>
        <v>PavementTypePCNCode</v>
      </c>
      <c r="J895" s="80"/>
      <c r="K895" s="77"/>
      <c r="L895" s="77"/>
      <c r="M895" s="71" t="str">
        <f>HYPERLINK("[#]DatatypeListedValues!A5349:H5349","&lt;values&gt;")</f>
        <v>&lt;values&gt;</v>
      </c>
      <c r="N895" s="12" t="b">
        <v>1</v>
      </c>
      <c r="O895" s="25">
        <v>117658</v>
      </c>
      <c r="P895" s="304" t="str">
        <f>CONCATENATE([1]Cover!$D$6,"fdd/view?i=",O895)</f>
        <v>https://www.dgiwg.org/FAD/fdd/view?i=117658</v>
      </c>
      <c r="Q895" s="8" t="s">
        <v>9035</v>
      </c>
      <c r="R895" s="38" t="s">
        <v>151</v>
      </c>
    </row>
    <row r="896" spans="1:18">
      <c r="A896" s="302" t="str">
        <f t="shared" si="23"/>
        <v>pcnEvaluationMethod</v>
      </c>
      <c r="B896" s="6" t="s">
        <v>9042</v>
      </c>
      <c r="C896" s="17" t="s">
        <v>9043</v>
      </c>
      <c r="D896" s="10" t="s">
        <v>9044</v>
      </c>
      <c r="E896" s="55"/>
      <c r="F896" s="55"/>
      <c r="G896" s="12" t="s">
        <v>4643</v>
      </c>
      <c r="H896" s="74"/>
      <c r="I896" s="147" t="str">
        <f>HYPERLINK("[#]Datatypes!B1015:L1015","PcnEvaluationMethodCode")</f>
        <v>PcnEvaluationMethodCode</v>
      </c>
      <c r="J896" s="80"/>
      <c r="K896" s="77"/>
      <c r="L896" s="77"/>
      <c r="M896" s="71" t="str">
        <f>HYPERLINK("[#]DatatypeListedValues!A5351:H5351","&lt;values&gt;")</f>
        <v>&lt;values&gt;</v>
      </c>
      <c r="N896" s="82" t="b">
        <v>0</v>
      </c>
      <c r="O896" s="25">
        <v>117661</v>
      </c>
      <c r="P896" s="304" t="str">
        <f>CONCATENATE([1]Cover!$D$6,"fdd/view?i=",O896)</f>
        <v>https://www.dgiwg.org/FAD/fdd/view?i=117661</v>
      </c>
      <c r="Q896" s="8" t="s">
        <v>9041</v>
      </c>
      <c r="R896" s="38" t="s">
        <v>151</v>
      </c>
    </row>
    <row r="897" spans="1:18" ht="25.5">
      <c r="A897" s="302" t="str">
        <f t="shared" si="23"/>
        <v>pcnMaxAllowTirePressCat</v>
      </c>
      <c r="B897" s="6" t="s">
        <v>9047</v>
      </c>
      <c r="C897" s="17" t="s">
        <v>9048</v>
      </c>
      <c r="D897" s="10" t="s">
        <v>9049</v>
      </c>
      <c r="E897" s="55"/>
      <c r="F897" s="55"/>
      <c r="G897" s="12" t="s">
        <v>4643</v>
      </c>
      <c r="H897" s="74"/>
      <c r="I897" s="147" t="str">
        <f>HYPERLINK("[#]Datatypes!B1017:L1017","PcnMaxAllowableTirePressureCode")</f>
        <v>PcnMaxAllowableTirePressureCode</v>
      </c>
      <c r="J897" s="80"/>
      <c r="K897" s="77"/>
      <c r="L897" s="77"/>
      <c r="M897" s="71" t="str">
        <f>HYPERLINK("[#]DatatypeListedValues!A5353:H5353","&lt;values&gt;")</f>
        <v>&lt;values&gt;</v>
      </c>
      <c r="N897" s="12" t="b">
        <v>1</v>
      </c>
      <c r="O897" s="25">
        <v>117660</v>
      </c>
      <c r="P897" s="304" t="str">
        <f>CONCATENATE([1]Cover!$D$6,"fdd/view?i=",O897)</f>
        <v>https://www.dgiwg.org/FAD/fdd/view?i=117660</v>
      </c>
      <c r="Q897" s="8" t="s">
        <v>9046</v>
      </c>
      <c r="R897" s="38" t="s">
        <v>151</v>
      </c>
    </row>
    <row r="898" spans="1:18" ht="25.5">
      <c r="A898" s="302" t="str">
        <f t="shared" si="23"/>
        <v>pcnMaxAllowTirePressVal</v>
      </c>
      <c r="B898" s="6" t="s">
        <v>9052</v>
      </c>
      <c r="C898" s="17" t="s">
        <v>9053</v>
      </c>
      <c r="D898" s="10" t="s">
        <v>9054</v>
      </c>
      <c r="E898" s="55"/>
      <c r="F898" s="55"/>
      <c r="G898" s="12" t="s">
        <v>4643</v>
      </c>
      <c r="H898" s="74"/>
      <c r="I898" s="147" t="str">
        <f>HYPERLINK("[#]Datatypes!B1097:L1097","Real")</f>
        <v>Real</v>
      </c>
      <c r="J898" s="76" t="str">
        <f>HYPERLINK("[#]PhysicalQuantities!A38:N38","Pressure")</f>
        <v>Pressure</v>
      </c>
      <c r="K898" s="75" t="str">
        <f>HYPERLINK("[#]UnitsOfMeasure!D200:G200","Megapascal")</f>
        <v>Megapascal</v>
      </c>
      <c r="L898" s="77"/>
      <c r="M898" s="78"/>
      <c r="N898" s="74"/>
      <c r="O898" s="25">
        <v>117662</v>
      </c>
      <c r="P898" s="304" t="str">
        <f>CONCATENATE([1]Cover!$D$6,"fdd/view?i=",O898)</f>
        <v>https://www.dgiwg.org/FAD/fdd/view?i=117662</v>
      </c>
      <c r="Q898" s="8" t="s">
        <v>9051</v>
      </c>
      <c r="R898" s="38" t="s">
        <v>151</v>
      </c>
    </row>
    <row r="899" spans="1:18" ht="25.5">
      <c r="A899" s="302" t="str">
        <f t="shared" si="23"/>
        <v>pcnPavementSubStrengthCat</v>
      </c>
      <c r="B899" s="6" t="s">
        <v>9056</v>
      </c>
      <c r="C899" s="17" t="s">
        <v>9057</v>
      </c>
      <c r="D899" s="10" t="s">
        <v>9058</v>
      </c>
      <c r="E899" s="10" t="s">
        <v>9059</v>
      </c>
      <c r="F899" s="10" t="s">
        <v>9060</v>
      </c>
      <c r="G899" s="12" t="s">
        <v>4643</v>
      </c>
      <c r="H899" s="74"/>
      <c r="I899" s="147" t="str">
        <f>HYPERLINK("[#]Datatypes!B1019:L1019","PcnPavementSubgradeStrengthCatCode")</f>
        <v>PcnPavementSubgradeStrengthCatCode</v>
      </c>
      <c r="J899" s="80"/>
      <c r="K899" s="77"/>
      <c r="L899" s="77"/>
      <c r="M899" s="71" t="str">
        <f>HYPERLINK("[#]DatatypeListedValues!A5357:H5357","&lt;values&gt;")</f>
        <v>&lt;values&gt;</v>
      </c>
      <c r="N899" s="12" t="b">
        <v>1</v>
      </c>
      <c r="O899" s="25">
        <v>117659</v>
      </c>
      <c r="P899" s="304" t="str">
        <f>CONCATENATE([1]Cover!$D$6,"fdd/view?i=",O899)</f>
        <v>https://www.dgiwg.org/FAD/fdd/view?i=117659</v>
      </c>
      <c r="Q899" s="8" t="s">
        <v>9055</v>
      </c>
      <c r="R899" s="38" t="s">
        <v>151</v>
      </c>
    </row>
    <row r="900" spans="1:18">
      <c r="A900" s="302" t="str">
        <f t="shared" ref="A900:A963" si="24">HYPERLINK(P900,B900)</f>
        <v>pedestrianCapacity</v>
      </c>
      <c r="B900" s="6" t="s">
        <v>9063</v>
      </c>
      <c r="C900" s="17" t="s">
        <v>9064</v>
      </c>
      <c r="D900" s="10" t="s">
        <v>9065</v>
      </c>
      <c r="E900" s="55"/>
      <c r="F900" s="55"/>
      <c r="G900" s="12" t="s">
        <v>4643</v>
      </c>
      <c r="H900" s="74"/>
      <c r="I900" s="147" t="str">
        <f>HYPERLINK("[#]Datatypes!B366:L366","Count")</f>
        <v>Count</v>
      </c>
      <c r="J900" s="80"/>
      <c r="K900" s="77"/>
      <c r="L900" s="77"/>
      <c r="M900" s="78"/>
      <c r="N900" s="74"/>
      <c r="O900" s="25">
        <v>101151</v>
      </c>
      <c r="P900" s="304" t="str">
        <f>CONCATENATE([1]Cover!$D$6,"fdd/view?i=",O900)</f>
        <v>https://www.dgiwg.org/FAD/fdd/view?i=101151</v>
      </c>
      <c r="Q900" s="8" t="s">
        <v>9062</v>
      </c>
      <c r="R900" s="38" t="s">
        <v>151</v>
      </c>
    </row>
    <row r="901" spans="1:18">
      <c r="A901" s="302" t="str">
        <f t="shared" si="24"/>
        <v>pedestrianTraversable</v>
      </c>
      <c r="B901" s="6" t="s">
        <v>9067</v>
      </c>
      <c r="C901" s="17" t="s">
        <v>9068</v>
      </c>
      <c r="D901" s="10" t="s">
        <v>9069</v>
      </c>
      <c r="E901" s="55"/>
      <c r="F901" s="55"/>
      <c r="G901" s="12" t="s">
        <v>4643</v>
      </c>
      <c r="H901" s="74"/>
      <c r="I901" s="147" t="str">
        <f>HYPERLINK("[#]Datatypes!B230:L230","Boolean")</f>
        <v>Boolean</v>
      </c>
      <c r="J901" s="80"/>
      <c r="K901" s="77"/>
      <c r="L901" s="77"/>
      <c r="M901" s="78"/>
      <c r="N901" s="74"/>
      <c r="O901" s="25">
        <v>109934</v>
      </c>
      <c r="P901" s="304" t="str">
        <f>CONCATENATE([1]Cover!$D$6,"fdd/view?i=",O901)</f>
        <v>https://www.dgiwg.org/FAD/fdd/view?i=109934</v>
      </c>
      <c r="Q901" s="8" t="s">
        <v>9066</v>
      </c>
      <c r="R901" s="38" t="s">
        <v>151</v>
      </c>
    </row>
    <row r="902" spans="1:18">
      <c r="A902" s="302" t="str">
        <f t="shared" si="24"/>
        <v>periodOfLight</v>
      </c>
      <c r="B902" s="6" t="s">
        <v>9071</v>
      </c>
      <c r="C902" s="17" t="s">
        <v>9072</v>
      </c>
      <c r="D902" s="10" t="s">
        <v>9073</v>
      </c>
      <c r="E902" s="55"/>
      <c r="F902" s="55"/>
      <c r="G902" s="12" t="s">
        <v>4643</v>
      </c>
      <c r="H902" s="74"/>
      <c r="I902" s="147" t="str">
        <f>HYPERLINK("[#]Datatypes!B1097:L1097","Real")</f>
        <v>Real</v>
      </c>
      <c r="J902" s="76" t="str">
        <f>HYPERLINK("[#]PhysicalQuantities!A51:N51","Time")</f>
        <v>Time</v>
      </c>
      <c r="K902" s="75" t="str">
        <f>HYPERLINK("[#]UnitsOfMeasure!D270:G270","Second")</f>
        <v>Second</v>
      </c>
      <c r="L902" s="77"/>
      <c r="M902" s="78"/>
      <c r="N902" s="74"/>
      <c r="O902" s="25">
        <v>101157</v>
      </c>
      <c r="P902" s="304" t="str">
        <f>CONCATENATE([1]Cover!$D$6,"fdd/view?i=",O902)</f>
        <v>https://www.dgiwg.org/FAD/fdd/view?i=101157</v>
      </c>
      <c r="Q902" s="8" t="s">
        <v>9070</v>
      </c>
      <c r="R902" s="38" t="s">
        <v>151</v>
      </c>
    </row>
    <row r="903" spans="1:18" ht="25.5">
      <c r="A903" s="302" t="str">
        <f t="shared" si="24"/>
        <v>periodMarineCurrentMonth</v>
      </c>
      <c r="B903" s="6" t="s">
        <v>9075</v>
      </c>
      <c r="C903" s="17" t="s">
        <v>9076</v>
      </c>
      <c r="D903" s="10" t="s">
        <v>9077</v>
      </c>
      <c r="E903" s="10" t="s">
        <v>9078</v>
      </c>
      <c r="F903" s="55"/>
      <c r="G903" s="12" t="s">
        <v>4643</v>
      </c>
      <c r="H903" s="74"/>
      <c r="I903" s="147" t="str">
        <f>HYPERLINK("[#]Datatypes!B1021:L1021","PeriodMarineCurMonthIntStrucText")</f>
        <v>PeriodMarineCurMonthIntStrucText</v>
      </c>
      <c r="J903" s="80"/>
      <c r="K903" s="77"/>
      <c r="L903" s="77"/>
      <c r="M903" s="78"/>
      <c r="N903" s="74"/>
      <c r="O903" s="25">
        <v>109952</v>
      </c>
      <c r="P903" s="304" t="str">
        <f>CONCATENATE([1]Cover!$D$6,"fdd/view?i=",O903)</f>
        <v>https://www.dgiwg.org/FAD/fdd/view?i=109952</v>
      </c>
      <c r="Q903" s="8" t="s">
        <v>9074</v>
      </c>
      <c r="R903" s="38" t="s">
        <v>151</v>
      </c>
    </row>
    <row r="904" spans="1:18" ht="38.25">
      <c r="A904" s="302" t="str">
        <f t="shared" si="24"/>
        <v>periodicMonthInterval</v>
      </c>
      <c r="B904" s="6" t="s">
        <v>9081</v>
      </c>
      <c r="C904" s="17" t="s">
        <v>9082</v>
      </c>
      <c r="D904" s="10" t="s">
        <v>9083</v>
      </c>
      <c r="E904" s="10" t="s">
        <v>9084</v>
      </c>
      <c r="F904" s="55"/>
      <c r="G904" s="12" t="s">
        <v>4643</v>
      </c>
      <c r="H904" s="74"/>
      <c r="I904" s="147" t="str">
        <f>HYPERLINK("[#]Datatypes!B1023:L1023","PeriodicMonthIntervalStrucText")</f>
        <v>PeriodicMonthIntervalStrucText</v>
      </c>
      <c r="J904" s="80"/>
      <c r="K904" s="77"/>
      <c r="L904" s="77"/>
      <c r="M904" s="78"/>
      <c r="N904" s="74"/>
      <c r="O904" s="25">
        <v>204816</v>
      </c>
      <c r="P904" s="304" t="str">
        <f>CONCATENATE([1]Cover!$D$6,"fdd/view?i=",O904)</f>
        <v>https://www.dgiwg.org/FAD/fdd/view?i=204816</v>
      </c>
      <c r="Q904" s="8" t="s">
        <v>9080</v>
      </c>
      <c r="R904" s="38" t="s">
        <v>1295</v>
      </c>
    </row>
    <row r="905" spans="1:18" ht="25.5">
      <c r="A905" s="302" t="str">
        <f t="shared" si="24"/>
        <v>periodRestrictMonth</v>
      </c>
      <c r="B905" s="6" t="s">
        <v>9087</v>
      </c>
      <c r="C905" s="17" t="s">
        <v>9088</v>
      </c>
      <c r="D905" s="10" t="s">
        <v>9089</v>
      </c>
      <c r="E905" s="10" t="s">
        <v>9090</v>
      </c>
      <c r="F905" s="55"/>
      <c r="G905" s="12" t="s">
        <v>4643</v>
      </c>
      <c r="H905" s="74"/>
      <c r="I905" s="147" t="str">
        <f>HYPERLINK("[#]Datatypes!B1025:L1025","PeriodRestrictMonthIntStrucText")</f>
        <v>PeriodRestrictMonthIntStrucText</v>
      </c>
      <c r="J905" s="80"/>
      <c r="K905" s="77"/>
      <c r="L905" s="77"/>
      <c r="M905" s="78"/>
      <c r="N905" s="74"/>
      <c r="O905" s="25">
        <v>109967</v>
      </c>
      <c r="P905" s="304" t="str">
        <f>CONCATENATE([1]Cover!$D$6,"fdd/view?i=",O905)</f>
        <v>https://www.dgiwg.org/FAD/fdd/view?i=109967</v>
      </c>
      <c r="Q905" s="8" t="s">
        <v>9086</v>
      </c>
      <c r="R905" s="38" t="s">
        <v>151</v>
      </c>
    </row>
    <row r="906" spans="1:18">
      <c r="A906" s="302" t="str">
        <f t="shared" si="24"/>
        <v>permanent</v>
      </c>
      <c r="B906" s="6" t="s">
        <v>9093</v>
      </c>
      <c r="C906" s="17" t="s">
        <v>9094</v>
      </c>
      <c r="D906" s="10" t="s">
        <v>9095</v>
      </c>
      <c r="E906" s="10" t="s">
        <v>9096</v>
      </c>
      <c r="F906" s="55"/>
      <c r="G906" s="12" t="s">
        <v>4643</v>
      </c>
      <c r="H906" s="74"/>
      <c r="I906" s="147" t="str">
        <f>HYPERLINK("[#]Datatypes!B230:L230","Boolean")</f>
        <v>Boolean</v>
      </c>
      <c r="J906" s="80"/>
      <c r="K906" s="77"/>
      <c r="L906" s="77"/>
      <c r="M906" s="78"/>
      <c r="N906" s="74"/>
      <c r="O906" s="25">
        <v>101183</v>
      </c>
      <c r="P906" s="304" t="str">
        <f>CONCATENATE([1]Cover!$D$6,"fdd/view?i=",O906)</f>
        <v>https://www.dgiwg.org/FAD/fdd/view?i=101183</v>
      </c>
      <c r="Q906" s="8" t="s">
        <v>9092</v>
      </c>
      <c r="R906" s="38" t="s">
        <v>151</v>
      </c>
    </row>
    <row r="907" spans="1:18" ht="51">
      <c r="A907" s="302" t="str">
        <f t="shared" si="24"/>
        <v>pH</v>
      </c>
      <c r="B907" s="6" t="s">
        <v>9098</v>
      </c>
      <c r="C907" s="17" t="s">
        <v>9098</v>
      </c>
      <c r="D907" s="10" t="s">
        <v>9099</v>
      </c>
      <c r="E907" s="10" t="s">
        <v>9100</v>
      </c>
      <c r="F907" s="55"/>
      <c r="G907" s="12" t="s">
        <v>4643</v>
      </c>
      <c r="H907" s="74"/>
      <c r="I907" s="147" t="str">
        <f>HYPERLINK("[#]Datatypes!B1097:L1097","Real")</f>
        <v>Real</v>
      </c>
      <c r="J907" s="76" t="str">
        <f>HYPERLINK("[#]PhysicalQuantities!A39:N39","Pure Number")</f>
        <v>Pure Number</v>
      </c>
      <c r="K907" s="75" t="str">
        <f>HYPERLINK("[#]UnitsOfMeasure!D213:G213","Unitless")</f>
        <v>Unitless</v>
      </c>
      <c r="L907" s="77"/>
      <c r="M907" s="78"/>
      <c r="N907" s="74"/>
      <c r="O907" s="25">
        <v>119404</v>
      </c>
      <c r="P907" s="304" t="str">
        <f>CONCATENATE([1]Cover!$D$6,"fdd/view?i=",O907)</f>
        <v>https://www.dgiwg.org/FAD/fdd/view?i=119404</v>
      </c>
      <c r="Q907" s="8" t="s">
        <v>9097</v>
      </c>
      <c r="R907" s="38" t="s">
        <v>151</v>
      </c>
    </row>
    <row r="908" spans="1:18" ht="51">
      <c r="A908" s="302" t="str">
        <f t="shared" si="24"/>
        <v>physicalCondition</v>
      </c>
      <c r="B908" s="6" t="s">
        <v>9102</v>
      </c>
      <c r="C908" s="17" t="s">
        <v>9103</v>
      </c>
      <c r="D908" s="10" t="s">
        <v>9104</v>
      </c>
      <c r="E908" s="10" t="s">
        <v>9105</v>
      </c>
      <c r="F908" s="55"/>
      <c r="G908" s="12" t="s">
        <v>4643</v>
      </c>
      <c r="H908" s="74"/>
      <c r="I908" s="147" t="str">
        <f>HYPERLINK("[#]Datatypes!B1027:L1027","PhysicalConditionCode")</f>
        <v>PhysicalConditionCode</v>
      </c>
      <c r="J908" s="80"/>
      <c r="K908" s="77"/>
      <c r="L908" s="77"/>
      <c r="M908" s="71" t="str">
        <f>HYPERLINK("[#]DatatypeListedValues!A5361:H5361","&lt;values&gt;")</f>
        <v>&lt;values&gt;</v>
      </c>
      <c r="N908" s="12" t="b">
        <v>1</v>
      </c>
      <c r="O908" s="25">
        <v>119202</v>
      </c>
      <c r="P908" s="304" t="str">
        <f>CONCATENATE([1]Cover!$D$6,"fdd/view?i=",O908)</f>
        <v>https://www.dgiwg.org/FAD/fdd/view?i=119202</v>
      </c>
      <c r="Q908" s="8" t="s">
        <v>9101</v>
      </c>
      <c r="R908" s="38" t="s">
        <v>151</v>
      </c>
    </row>
    <row r="909" spans="1:18" ht="25.5">
      <c r="A909" s="302" t="str">
        <f t="shared" si="24"/>
        <v>pilotBoardingMethod</v>
      </c>
      <c r="B909" s="6" t="s">
        <v>9108</v>
      </c>
      <c r="C909" s="17" t="s">
        <v>9109</v>
      </c>
      <c r="D909" s="10" t="s">
        <v>9110</v>
      </c>
      <c r="E909" s="55"/>
      <c r="F909" s="55"/>
      <c r="G909" s="12" t="s">
        <v>4643</v>
      </c>
      <c r="H909" s="74"/>
      <c r="I909" s="147" t="str">
        <f>HYPERLINK("[#]Datatypes!B1029:L1029","PilotBoardingMethodCode")</f>
        <v>PilotBoardingMethodCode</v>
      </c>
      <c r="J909" s="80"/>
      <c r="K909" s="77"/>
      <c r="L909" s="77"/>
      <c r="M909" s="71" t="str">
        <f>HYPERLINK("[#]DatatypeListedValues!A5367:H5367","&lt;values&gt;")</f>
        <v>&lt;values&gt;</v>
      </c>
      <c r="N909" s="82" t="b">
        <v>0</v>
      </c>
      <c r="O909" s="25">
        <v>101145</v>
      </c>
      <c r="P909" s="304" t="str">
        <f>CONCATENATE([1]Cover!$D$6,"fdd/view?i=",O909)</f>
        <v>https://www.dgiwg.org/FAD/fdd/view?i=101145</v>
      </c>
      <c r="Q909" s="8" t="s">
        <v>9107</v>
      </c>
      <c r="R909" s="38" t="s">
        <v>151</v>
      </c>
    </row>
    <row r="910" spans="1:18">
      <c r="A910" s="302" t="str">
        <f t="shared" si="24"/>
        <v>pilotBoatBerth</v>
      </c>
      <c r="B910" s="6" t="s">
        <v>9113</v>
      </c>
      <c r="C910" s="17" t="s">
        <v>9114</v>
      </c>
      <c r="D910" s="10" t="s">
        <v>9115</v>
      </c>
      <c r="E910" s="10" t="s">
        <v>9116</v>
      </c>
      <c r="F910" s="55"/>
      <c r="G910" s="12" t="s">
        <v>4643</v>
      </c>
      <c r="H910" s="74"/>
      <c r="I910" s="147" t="str">
        <f>HYPERLINK("[#]Datatypes!B230:L230","Boolean")</f>
        <v>Boolean</v>
      </c>
      <c r="J910" s="80"/>
      <c r="K910" s="77"/>
      <c r="L910" s="77"/>
      <c r="M910" s="78"/>
      <c r="N910" s="74"/>
      <c r="O910" s="25">
        <v>118588</v>
      </c>
      <c r="P910" s="304" t="str">
        <f>CONCATENATE([1]Cover!$D$6,"fdd/view?i=",O910)</f>
        <v>https://www.dgiwg.org/FAD/fdd/view?i=118588</v>
      </c>
      <c r="Q910" s="8" t="s">
        <v>9112</v>
      </c>
      <c r="R910" s="38" t="s">
        <v>151</v>
      </c>
    </row>
    <row r="911" spans="1:18" ht="25.5">
      <c r="A911" s="302" t="str">
        <f t="shared" si="24"/>
        <v>pilotControlledLighting</v>
      </c>
      <c r="B911" s="6" t="s">
        <v>9118</v>
      </c>
      <c r="C911" s="17" t="s">
        <v>9119</v>
      </c>
      <c r="D911" s="10" t="s">
        <v>9120</v>
      </c>
      <c r="E911" s="55"/>
      <c r="F911" s="10" t="s">
        <v>9121</v>
      </c>
      <c r="G911" s="12" t="s">
        <v>4643</v>
      </c>
      <c r="H911" s="74"/>
      <c r="I911" s="147" t="str">
        <f>HYPERLINK("[#]Datatypes!B230:L230","Boolean")</f>
        <v>Boolean</v>
      </c>
      <c r="J911" s="80"/>
      <c r="K911" s="77"/>
      <c r="L911" s="77"/>
      <c r="M911" s="78"/>
      <c r="N911" s="74"/>
      <c r="O911" s="25">
        <v>117664</v>
      </c>
      <c r="P911" s="304" t="str">
        <f>CONCATENATE([1]Cover!$D$6,"fdd/view?i=",O911)</f>
        <v>https://www.dgiwg.org/FAD/fdd/view?i=117664</v>
      </c>
      <c r="Q911" s="8" t="s">
        <v>9117</v>
      </c>
      <c r="R911" s="38" t="s">
        <v>151</v>
      </c>
    </row>
    <row r="912" spans="1:18" ht="25.5">
      <c r="A912" s="302" t="str">
        <f t="shared" si="24"/>
        <v>pipelineType</v>
      </c>
      <c r="B912" s="6" t="s">
        <v>9123</v>
      </c>
      <c r="C912" s="17" t="s">
        <v>9124</v>
      </c>
      <c r="D912" s="10" t="s">
        <v>9125</v>
      </c>
      <c r="E912" s="55"/>
      <c r="F912" s="55"/>
      <c r="G912" s="12" t="s">
        <v>4643</v>
      </c>
      <c r="H912" s="12" t="s">
        <v>4700</v>
      </c>
      <c r="I912" s="147" t="str">
        <f>HYPERLINK("[#]Datatypes!B1031:L1031","PipelineTypeCode")</f>
        <v>PipelineTypeCode</v>
      </c>
      <c r="J912" s="80"/>
      <c r="K912" s="77"/>
      <c r="L912" s="77"/>
      <c r="M912" s="71" t="str">
        <f>HYPERLINK("[#]DatatypeListedValues!A5370:H5370","&lt;values&gt;")</f>
        <v>&lt;values&gt;</v>
      </c>
      <c r="N912" s="82" t="b">
        <v>0</v>
      </c>
      <c r="O912" s="25">
        <v>101172</v>
      </c>
      <c r="P912" s="304" t="str">
        <f>CONCATENATE([1]Cover!$D$6,"fdd/view?i=",O912)</f>
        <v>https://www.dgiwg.org/FAD/fdd/view?i=101172</v>
      </c>
      <c r="Q912" s="8" t="s">
        <v>9122</v>
      </c>
      <c r="R912" s="38" t="s">
        <v>151</v>
      </c>
    </row>
    <row r="913" spans="1:18">
      <c r="A913" s="302" t="str">
        <f t="shared" si="24"/>
        <v>pointGeometry</v>
      </c>
      <c r="B913" s="6" t="s">
        <v>9128</v>
      </c>
      <c r="C913" s="17" t="s">
        <v>9129</v>
      </c>
      <c r="D913" s="10" t="s">
        <v>9130</v>
      </c>
      <c r="E913" s="55"/>
      <c r="F913" s="55"/>
      <c r="G913" s="12" t="s">
        <v>4643</v>
      </c>
      <c r="H913" s="74"/>
      <c r="I913" s="147" t="str">
        <f>HYPERLINK("[#]Datatypes!B1033:L1033","GmPoint")</f>
        <v>GmPoint</v>
      </c>
      <c r="J913" s="80"/>
      <c r="K913" s="77"/>
      <c r="L913" s="77"/>
      <c r="M913" s="78"/>
      <c r="N913" s="74"/>
      <c r="O913" s="25">
        <v>200617</v>
      </c>
      <c r="P913" s="304" t="str">
        <f>CONCATENATE([1]Cover!$D$6,"fdd/view?i=",O913)</f>
        <v>https://www.dgiwg.org/FAD/fdd/view?i=200617</v>
      </c>
      <c r="Q913" s="8" t="s">
        <v>9127</v>
      </c>
      <c r="R913" s="38" t="s">
        <v>1295</v>
      </c>
    </row>
    <row r="914" spans="1:18">
      <c r="A914" s="302" t="str">
        <f t="shared" si="24"/>
        <v>polygon</v>
      </c>
      <c r="B914" s="6" t="s">
        <v>9133</v>
      </c>
      <c r="C914" s="17" t="s">
        <v>9134</v>
      </c>
      <c r="D914" s="10" t="s">
        <v>9135</v>
      </c>
      <c r="E914" s="55"/>
      <c r="F914" s="55"/>
      <c r="G914" s="12" t="s">
        <v>4643</v>
      </c>
      <c r="H914" s="74"/>
      <c r="I914" s="147" t="str">
        <f>HYPERLINK("[#]Datatypes!B1035:L1035","GmPolygon")</f>
        <v>GmPolygon</v>
      </c>
      <c r="J914" s="80"/>
      <c r="K914" s="77"/>
      <c r="L914" s="77"/>
      <c r="M914" s="78"/>
      <c r="N914" s="74"/>
      <c r="O914" s="25">
        <v>207302</v>
      </c>
      <c r="P914" s="304" t="str">
        <f>CONCATENATE([1]Cover!$D$6,"fdd/view?i=",O914)</f>
        <v>https://www.dgiwg.org/FAD/fdd/view?i=207302</v>
      </c>
      <c r="Q914" s="8" t="s">
        <v>9132</v>
      </c>
      <c r="R914" s="38" t="s">
        <v>1295</v>
      </c>
    </row>
    <row r="915" spans="1:18" ht="25.5">
      <c r="A915" s="302" t="str">
        <f t="shared" si="24"/>
        <v>polygonGeometry</v>
      </c>
      <c r="B915" s="6" t="s">
        <v>9138</v>
      </c>
      <c r="C915" s="17" t="s">
        <v>9139</v>
      </c>
      <c r="D915" s="10" t="s">
        <v>9140</v>
      </c>
      <c r="E915" s="10" t="s">
        <v>9141</v>
      </c>
      <c r="F915" s="55"/>
      <c r="G915" s="12" t="s">
        <v>4643</v>
      </c>
      <c r="H915" s="74"/>
      <c r="I915" s="147" t="str">
        <f>HYPERLINK("[#]Datatypes!B1035:L1035","GmPolygon")</f>
        <v>GmPolygon</v>
      </c>
      <c r="J915" s="80"/>
      <c r="K915" s="77"/>
      <c r="L915" s="77"/>
      <c r="M915" s="78"/>
      <c r="N915" s="74"/>
      <c r="O915" s="25">
        <v>200637</v>
      </c>
      <c r="P915" s="304" t="str">
        <f>CONCATENATE([1]Cover!$D$6,"fdd/view?i=",O915)</f>
        <v>https://www.dgiwg.org/FAD/fdd/view?i=200637</v>
      </c>
      <c r="Q915" s="8" t="s">
        <v>9137</v>
      </c>
      <c r="R915" s="38" t="s">
        <v>1295</v>
      </c>
    </row>
    <row r="916" spans="1:18" ht="25.5">
      <c r="A916" s="302" t="str">
        <f t="shared" si="24"/>
        <v>polyhedralSurfaceGeometry</v>
      </c>
      <c r="B916" s="6" t="s">
        <v>9143</v>
      </c>
      <c r="C916" s="17" t="s">
        <v>9144</v>
      </c>
      <c r="D916" s="10" t="s">
        <v>9145</v>
      </c>
      <c r="E916" s="10" t="s">
        <v>9146</v>
      </c>
      <c r="F916" s="55"/>
      <c r="G916" s="12" t="s">
        <v>4643</v>
      </c>
      <c r="H916" s="74"/>
      <c r="I916" s="147" t="str">
        <f>HYPERLINK("[#]Datatypes!B1037:L1037","GmPolyhedralSurface")</f>
        <v>GmPolyhedralSurface</v>
      </c>
      <c r="J916" s="80"/>
      <c r="K916" s="77"/>
      <c r="L916" s="77"/>
      <c r="M916" s="78"/>
      <c r="N916" s="74"/>
      <c r="O916" s="25">
        <v>200638</v>
      </c>
      <c r="P916" s="304" t="str">
        <f>CONCATENATE([1]Cover!$D$6,"fdd/view?i=",O916)</f>
        <v>https://www.dgiwg.org/FAD/fdd/view?i=200638</v>
      </c>
      <c r="Q916" s="8" t="s">
        <v>9142</v>
      </c>
      <c r="R916" s="38" t="s">
        <v>1295</v>
      </c>
    </row>
    <row r="917" spans="1:18" ht="25.5">
      <c r="A917" s="302" t="str">
        <f t="shared" si="24"/>
        <v>popPlaceRelImportance</v>
      </c>
      <c r="B917" s="6" t="s">
        <v>9149</v>
      </c>
      <c r="C917" s="17" t="s">
        <v>9150</v>
      </c>
      <c r="D917" s="10" t="s">
        <v>9151</v>
      </c>
      <c r="E917" s="10" t="s">
        <v>9152</v>
      </c>
      <c r="F917" s="55"/>
      <c r="G917" s="12" t="s">
        <v>4643</v>
      </c>
      <c r="H917" s="74"/>
      <c r="I917" s="147" t="str">
        <f>HYPERLINK("[#]Datatypes!B1039:L1039","PopPlaceRelImportanceStrucText")</f>
        <v>PopPlaceRelImportanceStrucText</v>
      </c>
      <c r="J917" s="80"/>
      <c r="K917" s="77"/>
      <c r="L917" s="77"/>
      <c r="M917" s="78"/>
      <c r="N917" s="74"/>
      <c r="O917" s="25">
        <v>200530</v>
      </c>
      <c r="P917" s="304" t="str">
        <f>CONCATENATE([1]Cover!$D$6,"fdd/view?i=",O917)</f>
        <v>https://www.dgiwg.org/FAD/fdd/view?i=200530</v>
      </c>
      <c r="Q917" s="8" t="s">
        <v>9148</v>
      </c>
      <c r="R917" s="38" t="s">
        <v>1295</v>
      </c>
    </row>
    <row r="918" spans="1:18" ht="25.5">
      <c r="A918" s="302" t="str">
        <f t="shared" si="24"/>
        <v>population</v>
      </c>
      <c r="B918" s="6" t="s">
        <v>9155</v>
      </c>
      <c r="C918" s="17" t="s">
        <v>9156</v>
      </c>
      <c r="D918" s="10" t="s">
        <v>9157</v>
      </c>
      <c r="E918" s="55"/>
      <c r="F918" s="55"/>
      <c r="G918" s="12" t="s">
        <v>4643</v>
      </c>
      <c r="H918" s="74"/>
      <c r="I918" s="147" t="str">
        <f>HYPERLINK("[#]Datatypes!B366:L366","Count")</f>
        <v>Count</v>
      </c>
      <c r="J918" s="80"/>
      <c r="K918" s="77"/>
      <c r="L918" s="77"/>
      <c r="M918" s="78"/>
      <c r="N918" s="74"/>
      <c r="O918" s="25">
        <v>101176</v>
      </c>
      <c r="P918" s="304" t="str">
        <f>CONCATENATE([1]Cover!$D$6,"fdd/view?i=",O918)</f>
        <v>https://www.dgiwg.org/FAD/fdd/view?i=101176</v>
      </c>
      <c r="Q918" s="8" t="s">
        <v>9154</v>
      </c>
      <c r="R918" s="38" t="s">
        <v>151</v>
      </c>
    </row>
    <row r="919" spans="1:18" ht="25.5">
      <c r="A919" s="302" t="str">
        <f t="shared" si="24"/>
        <v>portAccess</v>
      </c>
      <c r="B919" s="6" t="s">
        <v>9159</v>
      </c>
      <c r="C919" s="17" t="s">
        <v>9160</v>
      </c>
      <c r="D919" s="10" t="s">
        <v>9161</v>
      </c>
      <c r="E919" s="55"/>
      <c r="F919" s="55"/>
      <c r="G919" s="12" t="s">
        <v>4643</v>
      </c>
      <c r="H919" s="74"/>
      <c r="I919" s="147" t="str">
        <f>HYPERLINK("[#]Datatypes!B230:L230","Boolean")</f>
        <v>Boolean</v>
      </c>
      <c r="J919" s="80"/>
      <c r="K919" s="77"/>
      <c r="L919" s="77"/>
      <c r="M919" s="78"/>
      <c r="N919" s="74"/>
      <c r="O919" s="25">
        <v>101239</v>
      </c>
      <c r="P919" s="304" t="str">
        <f>CONCATENATE([1]Cover!$D$6,"fdd/view?i=",O919)</f>
        <v>https://www.dgiwg.org/FAD/fdd/view?i=101239</v>
      </c>
      <c r="Q919" s="8" t="s">
        <v>9158</v>
      </c>
      <c r="R919" s="38" t="s">
        <v>151</v>
      </c>
    </row>
    <row r="920" spans="1:18" ht="25.5">
      <c r="A920" s="302" t="str">
        <f t="shared" si="24"/>
        <v>portOfEntry</v>
      </c>
      <c r="B920" s="6" t="s">
        <v>9163</v>
      </c>
      <c r="C920" s="17" t="s">
        <v>9164</v>
      </c>
      <c r="D920" s="10" t="s">
        <v>9165</v>
      </c>
      <c r="E920" s="55"/>
      <c r="F920" s="55"/>
      <c r="G920" s="12" t="s">
        <v>4643</v>
      </c>
      <c r="H920" s="74"/>
      <c r="I920" s="147" t="str">
        <f>HYPERLINK("[#]Datatypes!B230:L230","Boolean")</f>
        <v>Boolean</v>
      </c>
      <c r="J920" s="80"/>
      <c r="K920" s="77"/>
      <c r="L920" s="77"/>
      <c r="M920" s="78"/>
      <c r="N920" s="74"/>
      <c r="O920" s="25">
        <v>101155</v>
      </c>
      <c r="P920" s="304" t="str">
        <f>CONCATENATE([1]Cover!$D$6,"fdd/view?i=",O920)</f>
        <v>https://www.dgiwg.org/FAD/fdd/view?i=101155</v>
      </c>
      <c r="Q920" s="8" t="s">
        <v>9162</v>
      </c>
      <c r="R920" s="38" t="s">
        <v>151</v>
      </c>
    </row>
    <row r="921" spans="1:18" ht="25.5">
      <c r="A921" s="302" t="str">
        <f t="shared" si="24"/>
        <v>portableAggressorWeapon</v>
      </c>
      <c r="B921" s="6" t="s">
        <v>9167</v>
      </c>
      <c r="C921" s="17" t="s">
        <v>9168</v>
      </c>
      <c r="D921" s="10" t="s">
        <v>9169</v>
      </c>
      <c r="E921" s="55"/>
      <c r="F921" s="55"/>
      <c r="G921" s="12" t="s">
        <v>4643</v>
      </c>
      <c r="H921" s="12" t="s">
        <v>4700</v>
      </c>
      <c r="I921" s="147" t="str">
        <f>HYPERLINK("[#]Datatypes!B1041:L1041","PortableAggressorWeaponCode")</f>
        <v>PortableAggressorWeaponCode</v>
      </c>
      <c r="J921" s="80"/>
      <c r="K921" s="77"/>
      <c r="L921" s="77"/>
      <c r="M921" s="71" t="str">
        <f>HYPERLINK("[#]DatatypeListedValues!A5376:H5376","&lt;values&gt;")</f>
        <v>&lt;values&gt;</v>
      </c>
      <c r="N921" s="82" t="b">
        <v>0</v>
      </c>
      <c r="O921" s="25">
        <v>111472</v>
      </c>
      <c r="P921" s="304" t="str">
        <f>CONCATENATE([1]Cover!$D$6,"fdd/view?i=",O921)</f>
        <v>https://www.dgiwg.org/FAD/fdd/view?i=111472</v>
      </c>
      <c r="Q921" s="8" t="s">
        <v>9166</v>
      </c>
      <c r="R921" s="38" t="s">
        <v>151</v>
      </c>
    </row>
    <row r="922" spans="1:18" ht="25.5">
      <c r="A922" s="302" t="str">
        <f t="shared" si="24"/>
        <v>powerLineMaximumVoltage</v>
      </c>
      <c r="B922" s="6" t="s">
        <v>9172</v>
      </c>
      <c r="C922" s="17" t="s">
        <v>9173</v>
      </c>
      <c r="D922" s="10" t="s">
        <v>9174</v>
      </c>
      <c r="E922" s="55"/>
      <c r="F922" s="55"/>
      <c r="G922" s="12" t="s">
        <v>4643</v>
      </c>
      <c r="H922" s="74"/>
      <c r="I922" s="147" t="str">
        <f>HYPERLINK("[#]Datatypes!B1097:L1097","Real")</f>
        <v>Real</v>
      </c>
      <c r="J922" s="76" t="str">
        <f>HYPERLINK("[#]PhysicalQuantities!A12:N12","Electromotive Force")</f>
        <v>Electromotive Force</v>
      </c>
      <c r="K922" s="75" t="str">
        <f>HYPERLINK("[#]UnitsOfMeasure!D49:G49","Kilovolt")</f>
        <v>Kilovolt</v>
      </c>
      <c r="L922" s="77"/>
      <c r="M922" s="78"/>
      <c r="N922" s="74"/>
      <c r="O922" s="25">
        <v>110711</v>
      </c>
      <c r="P922" s="304" t="str">
        <f>CONCATENATE([1]Cover!$D$6,"fdd/view?i=",O922)</f>
        <v>https://www.dgiwg.org/FAD/fdd/view?i=110711</v>
      </c>
      <c r="Q922" s="8" t="s">
        <v>9171</v>
      </c>
      <c r="R922" s="38" t="s">
        <v>151</v>
      </c>
    </row>
    <row r="923" spans="1:18" ht="25.5">
      <c r="A923" s="302" t="str">
        <f t="shared" si="24"/>
        <v>powerSource</v>
      </c>
      <c r="B923" s="6" t="s">
        <v>9176</v>
      </c>
      <c r="C923" s="17" t="s">
        <v>9177</v>
      </c>
      <c r="D923" s="10" t="s">
        <v>9178</v>
      </c>
      <c r="E923" s="55"/>
      <c r="F923" s="55"/>
      <c r="G923" s="12" t="s">
        <v>4643</v>
      </c>
      <c r="H923" s="12" t="s">
        <v>4700</v>
      </c>
      <c r="I923" s="147" t="str">
        <f>HYPERLINK("[#]Datatypes!B1045:L1045","PowerSourceCode")</f>
        <v>PowerSourceCode</v>
      </c>
      <c r="J923" s="80"/>
      <c r="K923" s="77"/>
      <c r="L923" s="77"/>
      <c r="M923" s="71" t="str">
        <f>HYPERLINK("[#]DatatypeListedValues!A5385:H5385","&lt;values&gt;")</f>
        <v>&lt;values&gt;</v>
      </c>
      <c r="N923" s="82" t="b">
        <v>0</v>
      </c>
      <c r="O923" s="25">
        <v>119648</v>
      </c>
      <c r="P923" s="304" t="str">
        <f>CONCATENATE([1]Cover!$D$6,"fdd/view?i=",O923)</f>
        <v>https://www.dgiwg.org/FAD/fdd/view?i=119648</v>
      </c>
      <c r="Q923" s="8" t="s">
        <v>9175</v>
      </c>
      <c r="R923" s="38" t="s">
        <v>151</v>
      </c>
    </row>
    <row r="924" spans="1:18" ht="25.5">
      <c r="A924" s="302" t="str">
        <f t="shared" si="24"/>
        <v>predominantAvWaterVel</v>
      </c>
      <c r="B924" s="6" t="s">
        <v>9181</v>
      </c>
      <c r="C924" s="17" t="s">
        <v>9182</v>
      </c>
      <c r="D924" s="10" t="s">
        <v>9183</v>
      </c>
      <c r="E924" s="55"/>
      <c r="F924" s="55"/>
      <c r="G924" s="12" t="s">
        <v>4643</v>
      </c>
      <c r="H924" s="74"/>
      <c r="I924" s="147" t="str">
        <f t="shared" ref="I924:I936" si="25">HYPERLINK("[#]Datatypes!B1099:L1099","RealInterval")</f>
        <v>RealInterval</v>
      </c>
      <c r="J924" s="76" t="str">
        <f>HYPERLINK("[#]PhysicalQuantities!A48:N48","Speed")</f>
        <v>Speed</v>
      </c>
      <c r="K924" s="75" t="str">
        <f>HYPERLINK("[#]UnitsOfMeasure!D246:G246","Metre per Second")</f>
        <v>Metre per Second</v>
      </c>
      <c r="L924" s="77"/>
      <c r="M924" s="78"/>
      <c r="N924" s="74"/>
      <c r="O924" s="25">
        <v>110736</v>
      </c>
      <c r="P924" s="304" t="str">
        <f>CONCATENATE([1]Cover!$D$6,"fdd/view?i=",O924)</f>
        <v>https://www.dgiwg.org/FAD/fdd/view?i=110736</v>
      </c>
      <c r="Q924" s="8" t="s">
        <v>9180</v>
      </c>
      <c r="R924" s="38" t="s">
        <v>151</v>
      </c>
    </row>
    <row r="925" spans="1:18">
      <c r="A925" s="302" t="str">
        <f t="shared" si="24"/>
        <v>predominantFeatureDepth</v>
      </c>
      <c r="B925" s="6" t="s">
        <v>9185</v>
      </c>
      <c r="C925" s="17" t="s">
        <v>9186</v>
      </c>
      <c r="D925" s="10" t="s">
        <v>9187</v>
      </c>
      <c r="E925" s="55"/>
      <c r="F925" s="55"/>
      <c r="G925" s="12" t="s">
        <v>4643</v>
      </c>
      <c r="H925" s="74"/>
      <c r="I925" s="147" t="str">
        <f t="shared" si="25"/>
        <v>RealInterval</v>
      </c>
      <c r="J925" s="76" t="str">
        <f>HYPERLINK("[#]PhysicalQuantities!A20:N20","Length")</f>
        <v>Length</v>
      </c>
      <c r="K925" s="75" t="str">
        <f>HYPERLINK("[#]UnitsOfMeasure!D80:G80","Metre")</f>
        <v>Metre</v>
      </c>
      <c r="L925" s="77"/>
      <c r="M925" s="78"/>
      <c r="N925" s="74"/>
      <c r="O925" s="25">
        <v>101159</v>
      </c>
      <c r="P925" s="304" t="str">
        <f>CONCATENATE([1]Cover!$D$6,"fdd/view?i=",O925)</f>
        <v>https://www.dgiwg.org/FAD/fdd/view?i=101159</v>
      </c>
      <c r="Q925" s="8" t="s">
        <v>9184</v>
      </c>
      <c r="R925" s="38" t="s">
        <v>151</v>
      </c>
    </row>
    <row r="926" spans="1:18" ht="38.25">
      <c r="A926" s="302" t="str">
        <f t="shared" si="24"/>
        <v>predominantFeatureHeight</v>
      </c>
      <c r="B926" s="6" t="s">
        <v>9189</v>
      </c>
      <c r="C926" s="17" t="s">
        <v>9190</v>
      </c>
      <c r="D926" s="10" t="s">
        <v>9191</v>
      </c>
      <c r="E926" s="55"/>
      <c r="F926" s="55"/>
      <c r="G926" s="12" t="s">
        <v>4643</v>
      </c>
      <c r="H926" s="74"/>
      <c r="I926" s="147" t="str">
        <f t="shared" si="25"/>
        <v>RealInterval</v>
      </c>
      <c r="J926" s="76" t="str">
        <f>HYPERLINK("[#]PhysicalQuantities!A20:N20","Length")</f>
        <v>Length</v>
      </c>
      <c r="K926" s="75" t="str">
        <f>HYPERLINK("[#]UnitsOfMeasure!D80:G80","Metre")</f>
        <v>Metre</v>
      </c>
      <c r="L926" s="77"/>
      <c r="M926" s="78"/>
      <c r="N926" s="74"/>
      <c r="O926" s="25">
        <v>101163</v>
      </c>
      <c r="P926" s="304" t="str">
        <f>CONCATENATE([1]Cover!$D$6,"fdd/view?i=",O926)</f>
        <v>https://www.dgiwg.org/FAD/fdd/view?i=101163</v>
      </c>
      <c r="Q926" s="8" t="s">
        <v>9188</v>
      </c>
      <c r="R926" s="38" t="s">
        <v>151</v>
      </c>
    </row>
    <row r="927" spans="1:18" ht="25.5">
      <c r="A927" s="302" t="str">
        <f t="shared" si="24"/>
        <v>predominantGapWidth</v>
      </c>
      <c r="B927" s="6" t="s">
        <v>9193</v>
      </c>
      <c r="C927" s="17" t="s">
        <v>9194</v>
      </c>
      <c r="D927" s="10" t="s">
        <v>9195</v>
      </c>
      <c r="E927" s="10" t="s">
        <v>9196</v>
      </c>
      <c r="F927" s="55"/>
      <c r="G927" s="12" t="s">
        <v>4643</v>
      </c>
      <c r="H927" s="74"/>
      <c r="I927" s="147" t="str">
        <f t="shared" si="25"/>
        <v>RealInterval</v>
      </c>
      <c r="J927" s="76" t="str">
        <f>HYPERLINK("[#]PhysicalQuantities!A20:N20","Length")</f>
        <v>Length</v>
      </c>
      <c r="K927" s="75" t="str">
        <f>HYPERLINK("[#]UnitsOfMeasure!D80:G80","Metre")</f>
        <v>Metre</v>
      </c>
      <c r="L927" s="77"/>
      <c r="M927" s="78"/>
      <c r="N927" s="74"/>
      <c r="O927" s="25">
        <v>109962</v>
      </c>
      <c r="P927" s="304" t="str">
        <f>CONCATENATE([1]Cover!$D$6,"fdd/view?i=",O927)</f>
        <v>https://www.dgiwg.org/FAD/fdd/view?i=109962</v>
      </c>
      <c r="Q927" s="8" t="s">
        <v>9192</v>
      </c>
      <c r="R927" s="38" t="s">
        <v>151</v>
      </c>
    </row>
    <row r="928" spans="1:18" ht="25.5">
      <c r="A928" s="302" t="str">
        <f t="shared" si="24"/>
        <v>predominantMaxWaterDepth</v>
      </c>
      <c r="B928" s="6" t="s">
        <v>9198</v>
      </c>
      <c r="C928" s="17" t="s">
        <v>9199</v>
      </c>
      <c r="D928" s="10" t="s">
        <v>9200</v>
      </c>
      <c r="E928" s="10" t="s">
        <v>5542</v>
      </c>
      <c r="F928" s="55"/>
      <c r="G928" s="12" t="s">
        <v>4643</v>
      </c>
      <c r="H928" s="74"/>
      <c r="I928" s="147" t="str">
        <f t="shared" si="25"/>
        <v>RealInterval</v>
      </c>
      <c r="J928" s="76" t="str">
        <f>HYPERLINK("[#]PhysicalQuantities!A20:N20","Length")</f>
        <v>Length</v>
      </c>
      <c r="K928" s="75" t="str">
        <f>HYPERLINK("[#]UnitsOfMeasure!D80:G80","Metre")</f>
        <v>Metre</v>
      </c>
      <c r="L928" s="77"/>
      <c r="M928" s="78"/>
      <c r="N928" s="74"/>
      <c r="O928" s="25">
        <v>109997</v>
      </c>
      <c r="P928" s="304" t="str">
        <f>CONCATENATE([1]Cover!$D$6,"fdd/view?i=",O928)</f>
        <v>https://www.dgiwg.org/FAD/fdd/view?i=109997</v>
      </c>
      <c r="Q928" s="8" t="s">
        <v>9197</v>
      </c>
      <c r="R928" s="38" t="s">
        <v>151</v>
      </c>
    </row>
    <row r="929" spans="1:18" ht="25.5">
      <c r="A929" s="302" t="str">
        <f t="shared" si="24"/>
        <v>predominantMaxWaterVel</v>
      </c>
      <c r="B929" s="6" t="s">
        <v>9202</v>
      </c>
      <c r="C929" s="17" t="s">
        <v>9203</v>
      </c>
      <c r="D929" s="10" t="s">
        <v>9204</v>
      </c>
      <c r="E929" s="55"/>
      <c r="F929" s="55"/>
      <c r="G929" s="12" t="s">
        <v>4643</v>
      </c>
      <c r="H929" s="74"/>
      <c r="I929" s="147" t="str">
        <f t="shared" si="25"/>
        <v>RealInterval</v>
      </c>
      <c r="J929" s="76" t="str">
        <f>HYPERLINK("[#]PhysicalQuantities!A48:N48","Speed")</f>
        <v>Speed</v>
      </c>
      <c r="K929" s="75" t="str">
        <f>HYPERLINK("[#]UnitsOfMeasure!D246:G246","Metre per Second")</f>
        <v>Metre per Second</v>
      </c>
      <c r="L929" s="77"/>
      <c r="M929" s="78"/>
      <c r="N929" s="74"/>
      <c r="O929" s="25">
        <v>101514</v>
      </c>
      <c r="P929" s="304" t="str">
        <f>CONCATENATE([1]Cover!$D$6,"fdd/view?i=",O929)</f>
        <v>https://www.dgiwg.org/FAD/fdd/view?i=101514</v>
      </c>
      <c r="Q929" s="8" t="s">
        <v>9201</v>
      </c>
      <c r="R929" s="38" t="s">
        <v>151</v>
      </c>
    </row>
    <row r="930" spans="1:18" ht="25.5">
      <c r="A930" s="302" t="str">
        <f t="shared" si="24"/>
        <v>predominantMinWaterDepth</v>
      </c>
      <c r="B930" s="6" t="s">
        <v>9206</v>
      </c>
      <c r="C930" s="17" t="s">
        <v>9207</v>
      </c>
      <c r="D930" s="10" t="s">
        <v>9208</v>
      </c>
      <c r="E930" s="10" t="s">
        <v>5542</v>
      </c>
      <c r="F930" s="55"/>
      <c r="G930" s="12" t="s">
        <v>4643</v>
      </c>
      <c r="H930" s="74"/>
      <c r="I930" s="147" t="str">
        <f t="shared" si="25"/>
        <v>RealInterval</v>
      </c>
      <c r="J930" s="76" t="str">
        <f>HYPERLINK("[#]PhysicalQuantities!A20:N20","Length")</f>
        <v>Length</v>
      </c>
      <c r="K930" s="75" t="str">
        <f>HYPERLINK("[#]UnitsOfMeasure!D80:G80","Metre")</f>
        <v>Metre</v>
      </c>
      <c r="L930" s="77"/>
      <c r="M930" s="78"/>
      <c r="N930" s="74"/>
      <c r="O930" s="25">
        <v>109998</v>
      </c>
      <c r="P930" s="304" t="str">
        <f>CONCATENATE([1]Cover!$D$6,"fdd/view?i=",O930)</f>
        <v>https://www.dgiwg.org/FAD/fdd/view?i=109998</v>
      </c>
      <c r="Q930" s="8" t="s">
        <v>9205</v>
      </c>
      <c r="R930" s="38" t="s">
        <v>151</v>
      </c>
    </row>
    <row r="931" spans="1:18" ht="25.5">
      <c r="A931" s="302" t="str">
        <f t="shared" si="24"/>
        <v>predominantMinWaterVel</v>
      </c>
      <c r="B931" s="6" t="s">
        <v>9210</v>
      </c>
      <c r="C931" s="17" t="s">
        <v>9211</v>
      </c>
      <c r="D931" s="10" t="s">
        <v>9212</v>
      </c>
      <c r="E931" s="55"/>
      <c r="F931" s="55"/>
      <c r="G931" s="12" t="s">
        <v>4643</v>
      </c>
      <c r="H931" s="74"/>
      <c r="I931" s="147" t="str">
        <f t="shared" si="25"/>
        <v>RealInterval</v>
      </c>
      <c r="J931" s="76" t="str">
        <f>HYPERLINK("[#]PhysicalQuantities!A48:N48","Speed")</f>
        <v>Speed</v>
      </c>
      <c r="K931" s="75" t="str">
        <f>HYPERLINK("[#]UnitsOfMeasure!D246:G246","Metre per Second")</f>
        <v>Metre per Second</v>
      </c>
      <c r="L931" s="77"/>
      <c r="M931" s="78"/>
      <c r="N931" s="74"/>
      <c r="O931" s="25">
        <v>101515</v>
      </c>
      <c r="P931" s="304" t="str">
        <f>CONCATENATE([1]Cover!$D$6,"fdd/view?i=",O931)</f>
        <v>https://www.dgiwg.org/FAD/fdd/view?i=101515</v>
      </c>
      <c r="Q931" s="8" t="s">
        <v>9209</v>
      </c>
      <c r="R931" s="38" t="s">
        <v>151</v>
      </c>
    </row>
    <row r="932" spans="1:18" ht="25.5">
      <c r="A932" s="302" t="str">
        <f t="shared" si="24"/>
        <v>predominantStructHeight</v>
      </c>
      <c r="B932" s="6" t="s">
        <v>9214</v>
      </c>
      <c r="C932" s="17" t="s">
        <v>9215</v>
      </c>
      <c r="D932" s="10" t="s">
        <v>9216</v>
      </c>
      <c r="E932" s="55"/>
      <c r="F932" s="55"/>
      <c r="G932" s="12" t="s">
        <v>4643</v>
      </c>
      <c r="H932" s="74"/>
      <c r="I932" s="147" t="str">
        <f t="shared" si="25"/>
        <v>RealInterval</v>
      </c>
      <c r="J932" s="76" t="str">
        <f>HYPERLINK("[#]PhysicalQuantities!A20:N20","Length")</f>
        <v>Length</v>
      </c>
      <c r="K932" s="75" t="str">
        <f>HYPERLINK("[#]UnitsOfMeasure!D80:G80","Metre")</f>
        <v>Metre</v>
      </c>
      <c r="L932" s="77"/>
      <c r="M932" s="78"/>
      <c r="N932" s="74"/>
      <c r="O932" s="25">
        <v>109968</v>
      </c>
      <c r="P932" s="304" t="str">
        <f>CONCATENATE([1]Cover!$D$6,"fdd/view?i=",O932)</f>
        <v>https://www.dgiwg.org/FAD/fdd/view?i=109968</v>
      </c>
      <c r="Q932" s="8" t="s">
        <v>9213</v>
      </c>
      <c r="R932" s="38" t="s">
        <v>151</v>
      </c>
    </row>
    <row r="933" spans="1:18" ht="25.5">
      <c r="A933" s="302" t="str">
        <f t="shared" si="24"/>
        <v>predominantVegHeight</v>
      </c>
      <c r="B933" s="6" t="s">
        <v>9218</v>
      </c>
      <c r="C933" s="17" t="s">
        <v>9219</v>
      </c>
      <c r="D933" s="10" t="s">
        <v>9220</v>
      </c>
      <c r="E933" s="55"/>
      <c r="F933" s="55"/>
      <c r="G933" s="12" t="s">
        <v>4643</v>
      </c>
      <c r="H933" s="74"/>
      <c r="I933" s="147" t="str">
        <f t="shared" si="25"/>
        <v>RealInterval</v>
      </c>
      <c r="J933" s="76" t="str">
        <f>HYPERLINK("[#]PhysicalQuantities!A20:N20","Length")</f>
        <v>Length</v>
      </c>
      <c r="K933" s="75" t="str">
        <f>HYPERLINK("[#]UnitsOfMeasure!D80:G80","Metre")</f>
        <v>Metre</v>
      </c>
      <c r="L933" s="77"/>
      <c r="M933" s="78"/>
      <c r="N933" s="74"/>
      <c r="O933" s="25">
        <v>109969</v>
      </c>
      <c r="P933" s="304" t="str">
        <f>CONCATENATE([1]Cover!$D$6,"fdd/view?i=",O933)</f>
        <v>https://www.dgiwg.org/FAD/fdd/view?i=109969</v>
      </c>
      <c r="Q933" s="8" t="s">
        <v>9217</v>
      </c>
      <c r="R933" s="38" t="s">
        <v>151</v>
      </c>
    </row>
    <row r="934" spans="1:18" ht="25.5">
      <c r="A934" s="302" t="str">
        <f t="shared" si="24"/>
        <v>predominantWaterDepth</v>
      </c>
      <c r="B934" s="6" t="s">
        <v>9222</v>
      </c>
      <c r="C934" s="17" t="s">
        <v>9223</v>
      </c>
      <c r="D934" s="10" t="s">
        <v>9224</v>
      </c>
      <c r="E934" s="10" t="s">
        <v>9225</v>
      </c>
      <c r="F934" s="55"/>
      <c r="G934" s="12" t="s">
        <v>4643</v>
      </c>
      <c r="H934" s="74"/>
      <c r="I934" s="147" t="str">
        <f t="shared" si="25"/>
        <v>RealInterval</v>
      </c>
      <c r="J934" s="76" t="str">
        <f>HYPERLINK("[#]PhysicalQuantities!A20:N20","Length")</f>
        <v>Length</v>
      </c>
      <c r="K934" s="75" t="str">
        <f>HYPERLINK("[#]UnitsOfMeasure!D80:G80","Metre")</f>
        <v>Metre</v>
      </c>
      <c r="L934" s="77"/>
      <c r="M934" s="78"/>
      <c r="N934" s="74"/>
      <c r="O934" s="25">
        <v>109970</v>
      </c>
      <c r="P934" s="304" t="str">
        <f>CONCATENATE([1]Cover!$D$6,"fdd/view?i=",O934)</f>
        <v>https://www.dgiwg.org/FAD/fdd/view?i=109970</v>
      </c>
      <c r="Q934" s="8" t="s">
        <v>9221</v>
      </c>
      <c r="R934" s="38" t="s">
        <v>151</v>
      </c>
    </row>
    <row r="935" spans="1:18" ht="38.25">
      <c r="A935" s="302" t="str">
        <f t="shared" si="24"/>
        <v>predominantWaterBankHgt</v>
      </c>
      <c r="B935" s="6" t="s">
        <v>9227</v>
      </c>
      <c r="C935" s="17" t="s">
        <v>9228</v>
      </c>
      <c r="D935" s="10" t="s">
        <v>9229</v>
      </c>
      <c r="E935" s="55"/>
      <c r="F935" s="55"/>
      <c r="G935" s="12" t="s">
        <v>4643</v>
      </c>
      <c r="H935" s="74"/>
      <c r="I935" s="147" t="str">
        <f t="shared" si="25"/>
        <v>RealInterval</v>
      </c>
      <c r="J935" s="76" t="str">
        <f>HYPERLINK("[#]PhysicalQuantities!A20:N20","Length")</f>
        <v>Length</v>
      </c>
      <c r="K935" s="75" t="str">
        <f>HYPERLINK("[#]UnitsOfMeasure!D80:G80","Metre")</f>
        <v>Metre</v>
      </c>
      <c r="L935" s="77"/>
      <c r="M935" s="78"/>
      <c r="N935" s="74"/>
      <c r="O935" s="25">
        <v>114349</v>
      </c>
      <c r="P935" s="304" t="str">
        <f>CONCATENATE([1]Cover!$D$6,"fdd/view?i=",O935)</f>
        <v>https://www.dgiwg.org/FAD/fdd/view?i=114349</v>
      </c>
      <c r="Q935" s="8" t="s">
        <v>9226</v>
      </c>
      <c r="R935" s="38" t="s">
        <v>151</v>
      </c>
    </row>
    <row r="936" spans="1:18" ht="38.25">
      <c r="A936" s="302" t="str">
        <f t="shared" si="24"/>
        <v>predominantWaterBankSlope</v>
      </c>
      <c r="B936" s="6" t="s">
        <v>9231</v>
      </c>
      <c r="C936" s="17" t="s">
        <v>9232</v>
      </c>
      <c r="D936" s="10" t="s">
        <v>9233</v>
      </c>
      <c r="E936" s="10" t="s">
        <v>4642</v>
      </c>
      <c r="F936" s="55"/>
      <c r="G936" s="12" t="s">
        <v>4643</v>
      </c>
      <c r="H936" s="74"/>
      <c r="I936" s="147" t="str">
        <f t="shared" si="25"/>
        <v>RealInterval</v>
      </c>
      <c r="J936" s="76" t="str">
        <f>HYPERLINK("[#]PhysicalQuantities!A39:N39","Pure Number")</f>
        <v>Pure Number</v>
      </c>
      <c r="K936" s="75" t="str">
        <f>HYPERLINK("[#]UnitsOfMeasure!D215:G215","Percent")</f>
        <v>Percent</v>
      </c>
      <c r="L936" s="77"/>
      <c r="M936" s="78"/>
      <c r="N936" s="74"/>
      <c r="O936" s="25">
        <v>114350</v>
      </c>
      <c r="P936" s="304" t="str">
        <f>CONCATENATE([1]Cover!$D$6,"fdd/view?i=",O936)</f>
        <v>https://www.dgiwg.org/FAD/fdd/view?i=114350</v>
      </c>
      <c r="Q936" s="8" t="s">
        <v>9230</v>
      </c>
      <c r="R936" s="38" t="s">
        <v>151</v>
      </c>
    </row>
    <row r="937" spans="1:18">
      <c r="A937" s="302" t="str">
        <f t="shared" si="24"/>
        <v>presenceDateInterval</v>
      </c>
      <c r="B937" s="6" t="s">
        <v>9235</v>
      </c>
      <c r="C937" s="17" t="s">
        <v>9236</v>
      </c>
      <c r="D937" s="10" t="s">
        <v>9237</v>
      </c>
      <c r="E937" s="55"/>
      <c r="F937" s="55"/>
      <c r="G937" s="12" t="s">
        <v>4643</v>
      </c>
      <c r="H937" s="74"/>
      <c r="I937" s="147" t="str">
        <f>HYPERLINK("[#]Datatypes!B1047:L1047","PresenceDateIntervalStrucText")</f>
        <v>PresenceDateIntervalStrucText</v>
      </c>
      <c r="J937" s="80"/>
      <c r="K937" s="77"/>
      <c r="L937" s="77"/>
      <c r="M937" s="78"/>
      <c r="N937" s="74"/>
      <c r="O937" s="25">
        <v>109950</v>
      </c>
      <c r="P937" s="304" t="str">
        <f>CONCATENATE([1]Cover!$D$6,"fdd/view?i=",O937)</f>
        <v>https://www.dgiwg.org/FAD/fdd/view?i=109950</v>
      </c>
      <c r="Q937" s="8" t="s">
        <v>9234</v>
      </c>
      <c r="R937" s="38" t="s">
        <v>151</v>
      </c>
    </row>
    <row r="938" spans="1:18" ht="25.5">
      <c r="A938" s="302" t="str">
        <f t="shared" si="24"/>
        <v>primaryFrequency</v>
      </c>
      <c r="B938" s="6" t="s">
        <v>9240</v>
      </c>
      <c r="C938" s="17" t="s">
        <v>9241</v>
      </c>
      <c r="D938" s="10" t="s">
        <v>9242</v>
      </c>
      <c r="E938" s="55"/>
      <c r="F938" s="55"/>
      <c r="G938" s="12" t="s">
        <v>4643</v>
      </c>
      <c r="H938" s="74"/>
      <c r="I938" s="147" t="str">
        <f>HYPERLINK("[#]Datatypes!B230:L230","Boolean")</f>
        <v>Boolean</v>
      </c>
      <c r="J938" s="80"/>
      <c r="K938" s="77"/>
      <c r="L938" s="77"/>
      <c r="M938" s="78"/>
      <c r="N938" s="74"/>
      <c r="O938" s="25">
        <v>119614</v>
      </c>
      <c r="P938" s="304" t="str">
        <f>CONCATENATE([1]Cover!$D$6,"fdd/view?i=",O938)</f>
        <v>https://www.dgiwg.org/FAD/fdd/view?i=119614</v>
      </c>
      <c r="Q938" s="8" t="s">
        <v>9239</v>
      </c>
      <c r="R938" s="38" t="s">
        <v>151</v>
      </c>
    </row>
    <row r="939" spans="1:18" ht="25.5">
      <c r="A939" s="302" t="str">
        <f t="shared" si="24"/>
        <v>primaryOperatingRange</v>
      </c>
      <c r="B939" s="6" t="s">
        <v>9244</v>
      </c>
      <c r="C939" s="17" t="s">
        <v>9245</v>
      </c>
      <c r="D939" s="10" t="s">
        <v>9246</v>
      </c>
      <c r="E939" s="55"/>
      <c r="F939" s="55"/>
      <c r="G939" s="12" t="s">
        <v>4643</v>
      </c>
      <c r="H939" s="74"/>
      <c r="I939" s="147" t="str">
        <f>HYPERLINK("[#]Datatypes!B958:L958","RealNonNegative")</f>
        <v>RealNonNegative</v>
      </c>
      <c r="J939" s="76" t="str">
        <f>HYPERLINK("[#]PhysicalQuantities!A20:N20","Length")</f>
        <v>Length</v>
      </c>
      <c r="K939" s="75" t="str">
        <f>HYPERLINK("[#]UnitsOfMeasure!D94:G94","Nautical Mile")</f>
        <v>Nautical Mile</v>
      </c>
      <c r="L939" s="77"/>
      <c r="M939" s="78"/>
      <c r="N939" s="74"/>
      <c r="O939" s="25">
        <v>110819</v>
      </c>
      <c r="P939" s="304" t="str">
        <f>CONCATENATE([1]Cover!$D$6,"fdd/view?i=",O939)</f>
        <v>https://www.dgiwg.org/FAD/fdd/view?i=110819</v>
      </c>
      <c r="Q939" s="8" t="s">
        <v>9243</v>
      </c>
      <c r="R939" s="38" t="s">
        <v>151</v>
      </c>
    </row>
    <row r="940" spans="1:18" ht="25.5">
      <c r="A940" s="302" t="str">
        <f t="shared" si="24"/>
        <v>primaryStructMatChar</v>
      </c>
      <c r="B940" s="6" t="s">
        <v>9248</v>
      </c>
      <c r="C940" s="17" t="s">
        <v>9249</v>
      </c>
      <c r="D940" s="10" t="s">
        <v>9250</v>
      </c>
      <c r="E940" s="10" t="s">
        <v>9251</v>
      </c>
      <c r="F940" s="55"/>
      <c r="G940" s="12" t="s">
        <v>4643</v>
      </c>
      <c r="H940" s="12" t="s">
        <v>4700</v>
      </c>
      <c r="I940" s="147" t="str">
        <f>HYPERLINK("[#]Datatypes!B1049:L1049","PrimaryStructMatCharCode")</f>
        <v>PrimaryStructMatCharCode</v>
      </c>
      <c r="J940" s="80"/>
      <c r="K940" s="77"/>
      <c r="L940" s="77"/>
      <c r="M940" s="71" t="str">
        <f>HYPERLINK("[#]DatatypeListedValues!A5390:H5390","&lt;values&gt;")</f>
        <v>&lt;values&gt;</v>
      </c>
      <c r="N940" s="82" t="b">
        <v>0</v>
      </c>
      <c r="O940" s="25">
        <v>101189</v>
      </c>
      <c r="P940" s="304" t="str">
        <f>CONCATENATE([1]Cover!$D$6,"fdd/view?i=",O940)</f>
        <v>https://www.dgiwg.org/FAD/fdd/view?i=101189</v>
      </c>
      <c r="Q940" s="8" t="s">
        <v>9247</v>
      </c>
      <c r="R940" s="38" t="s">
        <v>151</v>
      </c>
    </row>
    <row r="941" spans="1:18" ht="25.5">
      <c r="A941" s="302" t="str">
        <f t="shared" si="24"/>
        <v>privateInfoIndicator</v>
      </c>
      <c r="B941" s="6" t="s">
        <v>9254</v>
      </c>
      <c r="C941" s="17" t="s">
        <v>9255</v>
      </c>
      <c r="D941" s="10" t="s">
        <v>9256</v>
      </c>
      <c r="E941" s="10" t="s">
        <v>9257</v>
      </c>
      <c r="F941" s="55"/>
      <c r="G941" s="12" t="s">
        <v>4643</v>
      </c>
      <c r="H941" s="74"/>
      <c r="I941" s="147" t="str">
        <f>HYPERLINK("[#]Datatypes!B230:L230","Boolean")</f>
        <v>Boolean</v>
      </c>
      <c r="J941" s="80"/>
      <c r="K941" s="77"/>
      <c r="L941" s="77"/>
      <c r="M941" s="78"/>
      <c r="N941" s="74"/>
      <c r="O941" s="25">
        <v>111677</v>
      </c>
      <c r="P941" s="304" t="str">
        <f>CONCATENATE([1]Cover!$D$6,"fdd/view?i=",O941)</f>
        <v>https://www.dgiwg.org/FAD/fdd/view?i=111677</v>
      </c>
      <c r="Q941" s="8" t="s">
        <v>9253</v>
      </c>
      <c r="R941" s="38" t="s">
        <v>151</v>
      </c>
    </row>
    <row r="942" spans="1:18" ht="51">
      <c r="A942" s="302" t="str">
        <f t="shared" si="24"/>
        <v>procedureAltitudeHeight</v>
      </c>
      <c r="B942" s="6" t="s">
        <v>9259</v>
      </c>
      <c r="C942" s="17" t="s">
        <v>9260</v>
      </c>
      <c r="D942" s="10" t="s">
        <v>9261</v>
      </c>
      <c r="E942" s="55"/>
      <c r="F942" s="55"/>
      <c r="G942" s="12" t="s">
        <v>4643</v>
      </c>
      <c r="H942" s="74"/>
      <c r="I942" s="147" t="str">
        <f>HYPERLINK("[#]Datatypes!B1097:L1097","Real")</f>
        <v>Real</v>
      </c>
      <c r="J942" s="76" t="str">
        <f>HYPERLINK("[#]PhysicalQuantities!A20:N20","Length")</f>
        <v>Length</v>
      </c>
      <c r="K942" s="75" t="str">
        <f>HYPERLINK("[#]UnitsOfMeasure!D80:G80","Metre")</f>
        <v>Metre</v>
      </c>
      <c r="L942" s="77"/>
      <c r="M942" s="78"/>
      <c r="N942" s="74"/>
      <c r="O942" s="25">
        <v>117656</v>
      </c>
      <c r="P942" s="304" t="str">
        <f>CONCATENATE([1]Cover!$D$6,"fdd/view?i=",O942)</f>
        <v>https://www.dgiwg.org/FAD/fdd/view?i=117656</v>
      </c>
      <c r="Q942" s="8" t="s">
        <v>9258</v>
      </c>
      <c r="R942" s="38" t="s">
        <v>151</v>
      </c>
    </row>
    <row r="943" spans="1:18" ht="89.25">
      <c r="A943" s="302" t="str">
        <f t="shared" si="24"/>
        <v>procedureDescription</v>
      </c>
      <c r="B943" s="6" t="s">
        <v>9263</v>
      </c>
      <c r="C943" s="17" t="s">
        <v>9264</v>
      </c>
      <c r="D943" s="10" t="s">
        <v>9265</v>
      </c>
      <c r="E943" s="10" t="s">
        <v>9266</v>
      </c>
      <c r="F943" s="10" t="s">
        <v>9267</v>
      </c>
      <c r="G943" s="12" t="s">
        <v>4643</v>
      </c>
      <c r="H943" s="74"/>
      <c r="I943" s="147" t="str">
        <f>HYPERLINK("[#]Datatypes!B1442:L1442","TextNonLexUnconstrained")</f>
        <v>TextNonLexUnconstrained</v>
      </c>
      <c r="J943" s="80"/>
      <c r="K943" s="77"/>
      <c r="L943" s="77"/>
      <c r="M943" s="78"/>
      <c r="N943" s="74"/>
      <c r="O943" s="25">
        <v>117669</v>
      </c>
      <c r="P943" s="304" t="str">
        <f>CONCATENATE([1]Cover!$D$6,"fdd/view?i=",O943)</f>
        <v>https://www.dgiwg.org/FAD/fdd/view?i=117669</v>
      </c>
      <c r="Q943" s="8" t="s">
        <v>9262</v>
      </c>
      <c r="R943" s="38" t="s">
        <v>151</v>
      </c>
    </row>
    <row r="944" spans="1:18" ht="25.5">
      <c r="A944" s="302" t="str">
        <f t="shared" si="24"/>
        <v>procedureDesignCriteria</v>
      </c>
      <c r="B944" s="6" t="s">
        <v>9269</v>
      </c>
      <c r="C944" s="17" t="s">
        <v>9270</v>
      </c>
      <c r="D944" s="10" t="s">
        <v>9271</v>
      </c>
      <c r="E944" s="55"/>
      <c r="F944" s="55"/>
      <c r="G944" s="12" t="s">
        <v>4643</v>
      </c>
      <c r="H944" s="74"/>
      <c r="I944" s="147" t="str">
        <f>HYPERLINK("[#]Datatypes!B1053:L1053","ProcedureDesignCriteriaCode")</f>
        <v>ProcedureDesignCriteriaCode</v>
      </c>
      <c r="J944" s="80"/>
      <c r="K944" s="77"/>
      <c r="L944" s="77"/>
      <c r="M944" s="71" t="str">
        <f>HYPERLINK("[#]DatatypeListedValues!A5497:H5497","&lt;values&gt;")</f>
        <v>&lt;values&gt;</v>
      </c>
      <c r="N944" s="82" t="b">
        <v>0</v>
      </c>
      <c r="O944" s="25">
        <v>117667</v>
      </c>
      <c r="P944" s="304" t="str">
        <f>CONCATENATE([1]Cover!$D$6,"fdd/view?i=",O944)</f>
        <v>https://www.dgiwg.org/FAD/fdd/view?i=117667</v>
      </c>
      <c r="Q944" s="8" t="s">
        <v>9268</v>
      </c>
      <c r="R944" s="38" t="s">
        <v>151</v>
      </c>
    </row>
    <row r="945" spans="1:18">
      <c r="A945" s="302" t="str">
        <f t="shared" si="24"/>
        <v>procedureLowerLimit</v>
      </c>
      <c r="B945" s="6" t="s">
        <v>9274</v>
      </c>
      <c r="C945" s="17" t="s">
        <v>9275</v>
      </c>
      <c r="D945" s="10" t="s">
        <v>9276</v>
      </c>
      <c r="E945" s="55"/>
      <c r="F945" s="55"/>
      <c r="G945" s="12" t="s">
        <v>4643</v>
      </c>
      <c r="H945" s="74"/>
      <c r="I945" s="147" t="str">
        <f>HYPERLINK("[#]Datatypes!B1097:L1097","Real")</f>
        <v>Real</v>
      </c>
      <c r="J945" s="76" t="str">
        <f>HYPERLINK("[#]PhysicalQuantities!A20:N20","Length")</f>
        <v>Length</v>
      </c>
      <c r="K945" s="75" t="str">
        <f>HYPERLINK("[#]UnitsOfMeasure!D80:G80","Metre")</f>
        <v>Metre</v>
      </c>
      <c r="L945" s="77"/>
      <c r="M945" s="78"/>
      <c r="N945" s="74"/>
      <c r="O945" s="25">
        <v>117671</v>
      </c>
      <c r="P945" s="304" t="str">
        <f>CONCATENATE([1]Cover!$D$6,"fdd/view?i=",O945)</f>
        <v>https://www.dgiwg.org/FAD/fdd/view?i=117671</v>
      </c>
      <c r="Q945" s="8" t="s">
        <v>9273</v>
      </c>
      <c r="R945" s="38" t="s">
        <v>151</v>
      </c>
    </row>
    <row r="946" spans="1:18" ht="38.25">
      <c r="A946" s="302" t="str">
        <f t="shared" si="24"/>
        <v>procedureMinimaType</v>
      </c>
      <c r="B946" s="6" t="s">
        <v>9278</v>
      </c>
      <c r="C946" s="17" t="s">
        <v>9279</v>
      </c>
      <c r="D946" s="10" t="s">
        <v>9280</v>
      </c>
      <c r="E946" s="55"/>
      <c r="F946" s="55"/>
      <c r="G946" s="12" t="s">
        <v>4643</v>
      </c>
      <c r="H946" s="74"/>
      <c r="I946" s="147" t="str">
        <f>HYPERLINK("[#]Datatypes!B1055:L1055","ProcedureMinimaTypeCode")</f>
        <v>ProcedureMinimaTypeCode</v>
      </c>
      <c r="J946" s="80"/>
      <c r="K946" s="77"/>
      <c r="L946" s="77"/>
      <c r="M946" s="71" t="str">
        <f>HYPERLINK("[#]DatatypeListedValues!A5501:H5501","&lt;values&gt;")</f>
        <v>&lt;values&gt;</v>
      </c>
      <c r="N946" s="12" t="b">
        <v>1</v>
      </c>
      <c r="O946" s="25">
        <v>119650</v>
      </c>
      <c r="P946" s="304" t="str">
        <f>CONCATENATE([1]Cover!$D$6,"fdd/view?i=",O946)</f>
        <v>https://www.dgiwg.org/FAD/fdd/view?i=119650</v>
      </c>
      <c r="Q946" s="8" t="s">
        <v>9277</v>
      </c>
      <c r="R946" s="38" t="s">
        <v>151</v>
      </c>
    </row>
    <row r="947" spans="1:18" ht="25.5">
      <c r="A947" s="302" t="str">
        <f t="shared" si="24"/>
        <v>procMinimumSpeed</v>
      </c>
      <c r="B947" s="6" t="s">
        <v>9283</v>
      </c>
      <c r="C947" s="17" t="s">
        <v>9284</v>
      </c>
      <c r="D947" s="10" t="s">
        <v>9285</v>
      </c>
      <c r="E947" s="55"/>
      <c r="F947" s="55"/>
      <c r="G947" s="12" t="s">
        <v>4643</v>
      </c>
      <c r="H947" s="74"/>
      <c r="I947" s="147" t="str">
        <f>HYPERLINK("[#]Datatypes!B1097:L1097","Real")</f>
        <v>Real</v>
      </c>
      <c r="J947" s="76" t="str">
        <f>HYPERLINK("[#]PhysicalQuantities!A48:N48","Speed")</f>
        <v>Speed</v>
      </c>
      <c r="K947" s="75" t="str">
        <f>HYPERLINK("[#]UnitsOfMeasure!D251:G251","Knot")</f>
        <v>Knot</v>
      </c>
      <c r="L947" s="77"/>
      <c r="M947" s="78"/>
      <c r="N947" s="74"/>
      <c r="O947" s="25">
        <v>119617</v>
      </c>
      <c r="P947" s="304" t="str">
        <f>CONCATENATE([1]Cover!$D$6,"fdd/view?i=",O947)</f>
        <v>https://www.dgiwg.org/FAD/fdd/view?i=119617</v>
      </c>
      <c r="Q947" s="8" t="s">
        <v>9282</v>
      </c>
      <c r="R947" s="38" t="s">
        <v>151</v>
      </c>
    </row>
    <row r="948" spans="1:18" ht="38.25">
      <c r="A948" s="302" t="str">
        <f t="shared" si="24"/>
        <v>procRecommendedSpeed</v>
      </c>
      <c r="B948" s="6" t="s">
        <v>9287</v>
      </c>
      <c r="C948" s="17" t="s">
        <v>9288</v>
      </c>
      <c r="D948" s="10" t="s">
        <v>9289</v>
      </c>
      <c r="E948" s="55"/>
      <c r="F948" s="55"/>
      <c r="G948" s="12" t="s">
        <v>4643</v>
      </c>
      <c r="H948" s="74"/>
      <c r="I948" s="147" t="str">
        <f>HYPERLINK("[#]Datatypes!B1097:L1097","Real")</f>
        <v>Real</v>
      </c>
      <c r="J948" s="76" t="str">
        <f>HYPERLINK("[#]PhysicalQuantities!A48:N48","Speed")</f>
        <v>Speed</v>
      </c>
      <c r="K948" s="75" t="str">
        <f>HYPERLINK("[#]UnitsOfMeasure!D251:G251","Knot")</f>
        <v>Knot</v>
      </c>
      <c r="L948" s="77"/>
      <c r="M948" s="78"/>
      <c r="N948" s="74"/>
      <c r="O948" s="25">
        <v>119600</v>
      </c>
      <c r="P948" s="304" t="str">
        <f>CONCATENATE([1]Cover!$D$6,"fdd/view?i=",O948)</f>
        <v>https://www.dgiwg.org/FAD/fdd/view?i=119600</v>
      </c>
      <c r="Q948" s="8" t="s">
        <v>9286</v>
      </c>
      <c r="R948" s="38" t="s">
        <v>151</v>
      </c>
    </row>
    <row r="949" spans="1:18" ht="25.5">
      <c r="A949" s="302" t="str">
        <f t="shared" si="24"/>
        <v>procedureSegmentAltitude</v>
      </c>
      <c r="B949" s="6" t="s">
        <v>9291</v>
      </c>
      <c r="C949" s="17" t="s">
        <v>9292</v>
      </c>
      <c r="D949" s="10" t="s">
        <v>9293</v>
      </c>
      <c r="E949" s="55"/>
      <c r="F949" s="55"/>
      <c r="G949" s="12" t="s">
        <v>4643</v>
      </c>
      <c r="H949" s="74"/>
      <c r="I949" s="147" t="str">
        <f>HYPERLINK("[#]Datatypes!B1097:L1097","Real")</f>
        <v>Real</v>
      </c>
      <c r="J949" s="76" t="str">
        <f>HYPERLINK("[#]PhysicalQuantities!A20:N20","Length")</f>
        <v>Length</v>
      </c>
      <c r="K949" s="75" t="str">
        <f>HYPERLINK("[#]UnitsOfMeasure!D80:G80","Metre")</f>
        <v>Metre</v>
      </c>
      <c r="L949" s="77"/>
      <c r="M949" s="78"/>
      <c r="N949" s="74"/>
      <c r="O949" s="25">
        <v>117672</v>
      </c>
      <c r="P949" s="304" t="str">
        <f>CONCATENATE([1]Cover!$D$6,"fdd/view?i=",O949)</f>
        <v>https://www.dgiwg.org/FAD/fdd/view?i=117672</v>
      </c>
      <c r="Q949" s="8" t="s">
        <v>9290</v>
      </c>
      <c r="R949" s="38" t="s">
        <v>151</v>
      </c>
    </row>
    <row r="950" spans="1:18" ht="25.5">
      <c r="A950" s="302" t="str">
        <f t="shared" si="24"/>
        <v>procedureSegmentCourse</v>
      </c>
      <c r="B950" s="6" t="s">
        <v>9295</v>
      </c>
      <c r="C950" s="17" t="s">
        <v>9296</v>
      </c>
      <c r="D950" s="10" t="s">
        <v>9297</v>
      </c>
      <c r="E950" s="55"/>
      <c r="F950" s="10" t="s">
        <v>9298</v>
      </c>
      <c r="G950" s="12" t="s">
        <v>4643</v>
      </c>
      <c r="H950" s="74"/>
      <c r="I950" s="147" t="str">
        <f>HYPERLINK("[#]Datatypes!B1097:L1097","Real")</f>
        <v>Real</v>
      </c>
      <c r="J950" s="76" t="str">
        <f>HYPERLINK("[#]PhysicalQuantities!A34:N34","Plane Angle")</f>
        <v>Plane Angle</v>
      </c>
      <c r="K950" s="75" t="str">
        <f>HYPERLINK("[#]UnitsOfMeasure!D159:G159","Arc Degree")</f>
        <v>Arc Degree</v>
      </c>
      <c r="L950" s="77"/>
      <c r="M950" s="78"/>
      <c r="N950" s="74"/>
      <c r="O950" s="25">
        <v>117665</v>
      </c>
      <c r="P950" s="304" t="str">
        <f>CONCATENATE([1]Cover!$D$6,"fdd/view?i=",O950)</f>
        <v>https://www.dgiwg.org/FAD/fdd/view?i=117665</v>
      </c>
      <c r="Q950" s="8" t="s">
        <v>9294</v>
      </c>
      <c r="R950" s="38" t="s">
        <v>151</v>
      </c>
    </row>
    <row r="951" spans="1:18">
      <c r="A951" s="302" t="str">
        <f t="shared" si="24"/>
        <v>procedureSegmentLength</v>
      </c>
      <c r="B951" s="6" t="s">
        <v>9300</v>
      </c>
      <c r="C951" s="17" t="s">
        <v>9301</v>
      </c>
      <c r="D951" s="10" t="s">
        <v>9302</v>
      </c>
      <c r="E951" s="55"/>
      <c r="F951" s="55"/>
      <c r="G951" s="12" t="s">
        <v>4643</v>
      </c>
      <c r="H951" s="74"/>
      <c r="I951" s="147" t="str">
        <f>HYPERLINK("[#]Datatypes!B1097:L1097","Real")</f>
        <v>Real</v>
      </c>
      <c r="J951" s="76" t="str">
        <f>HYPERLINK("[#]PhysicalQuantities!A20:N20","Length")</f>
        <v>Length</v>
      </c>
      <c r="K951" s="75" t="str">
        <f>HYPERLINK("[#]UnitsOfMeasure!D94:G94","Nautical Mile")</f>
        <v>Nautical Mile</v>
      </c>
      <c r="L951" s="77"/>
      <c r="M951" s="78"/>
      <c r="N951" s="74"/>
      <c r="O951" s="25">
        <v>117674</v>
      </c>
      <c r="P951" s="304" t="str">
        <f>CONCATENATE([1]Cover!$D$6,"fdd/view?i=",O951)</f>
        <v>https://www.dgiwg.org/FAD/fdd/view?i=117674</v>
      </c>
      <c r="Q951" s="8" t="s">
        <v>9299</v>
      </c>
      <c r="R951" s="38" t="s">
        <v>151</v>
      </c>
    </row>
    <row r="952" spans="1:18" ht="25.5">
      <c r="A952" s="302" t="str">
        <f t="shared" si="24"/>
        <v>procedureSegmentTime</v>
      </c>
      <c r="B952" s="6" t="s">
        <v>9304</v>
      </c>
      <c r="C952" s="17" t="s">
        <v>9305</v>
      </c>
      <c r="D952" s="10" t="s">
        <v>9306</v>
      </c>
      <c r="E952" s="55"/>
      <c r="F952" s="55"/>
      <c r="G952" s="12" t="s">
        <v>4643</v>
      </c>
      <c r="H952" s="74"/>
      <c r="I952" s="147" t="str">
        <f>HYPERLINK("[#]Datatypes!B1057:L1057","ProcedureSegmentTimeStrucText")</f>
        <v>ProcedureSegmentTimeStrucText</v>
      </c>
      <c r="J952" s="80"/>
      <c r="K952" s="77"/>
      <c r="L952" s="77"/>
      <c r="M952" s="78"/>
      <c r="N952" s="74"/>
      <c r="O952" s="25">
        <v>117677</v>
      </c>
      <c r="P952" s="304" t="str">
        <f>CONCATENATE([1]Cover!$D$6,"fdd/view?i=",O952)</f>
        <v>https://www.dgiwg.org/FAD/fdd/view?i=117677</v>
      </c>
      <c r="Q952" s="8" t="s">
        <v>9303</v>
      </c>
      <c r="R952" s="38" t="s">
        <v>151</v>
      </c>
    </row>
    <row r="953" spans="1:18" ht="25.5">
      <c r="A953" s="302" t="str">
        <f t="shared" si="24"/>
        <v>procedureSpeedLimit</v>
      </c>
      <c r="B953" s="6" t="s">
        <v>9309</v>
      </c>
      <c r="C953" s="17" t="s">
        <v>9310</v>
      </c>
      <c r="D953" s="10" t="s">
        <v>9311</v>
      </c>
      <c r="E953" s="55"/>
      <c r="F953" s="55"/>
      <c r="G953" s="12" t="s">
        <v>4643</v>
      </c>
      <c r="H953" s="74"/>
      <c r="I953" s="147" t="str">
        <f>HYPERLINK("[#]Datatypes!B1097:L1097","Real")</f>
        <v>Real</v>
      </c>
      <c r="J953" s="76" t="str">
        <f>HYPERLINK("[#]PhysicalQuantities!A48:N48","Speed")</f>
        <v>Speed</v>
      </c>
      <c r="K953" s="75" t="str">
        <f>HYPERLINK("[#]UnitsOfMeasure!D251:G251","Knot")</f>
        <v>Knot</v>
      </c>
      <c r="L953" s="77"/>
      <c r="M953" s="78"/>
      <c r="N953" s="74"/>
      <c r="O953" s="25">
        <v>117711</v>
      </c>
      <c r="P953" s="304" t="str">
        <f>CONCATENATE([1]Cover!$D$6,"fdd/view?i=",O953)</f>
        <v>https://www.dgiwg.org/FAD/fdd/view?i=117711</v>
      </c>
      <c r="Q953" s="8" t="s">
        <v>9308</v>
      </c>
      <c r="R953" s="38" t="s">
        <v>151</v>
      </c>
    </row>
    <row r="954" spans="1:18" ht="102">
      <c r="A954" s="302" t="str">
        <f t="shared" si="24"/>
        <v>procedureTurnRequired</v>
      </c>
      <c r="B954" s="6" t="s">
        <v>9313</v>
      </c>
      <c r="C954" s="17" t="s">
        <v>9314</v>
      </c>
      <c r="D954" s="10" t="s">
        <v>9315</v>
      </c>
      <c r="E954" s="10" t="s">
        <v>9316</v>
      </c>
      <c r="F954" s="55"/>
      <c r="G954" s="12" t="s">
        <v>4643</v>
      </c>
      <c r="H954" s="74"/>
      <c r="I954" s="147" t="str">
        <f>HYPERLINK("[#]Datatypes!B230:L230","Boolean")</f>
        <v>Boolean</v>
      </c>
      <c r="J954" s="80"/>
      <c r="K954" s="77"/>
      <c r="L954" s="77"/>
      <c r="M954" s="78"/>
      <c r="N954" s="74"/>
      <c r="O954" s="25">
        <v>117676</v>
      </c>
      <c r="P954" s="304" t="str">
        <f>CONCATENATE([1]Cover!$D$6,"fdd/view?i=",O954)</f>
        <v>https://www.dgiwg.org/FAD/fdd/view?i=117676</v>
      </c>
      <c r="Q954" s="8" t="s">
        <v>9312</v>
      </c>
      <c r="R954" s="38" t="s">
        <v>151</v>
      </c>
    </row>
    <row r="955" spans="1:18">
      <c r="A955" s="302" t="str">
        <f t="shared" si="24"/>
        <v>procedureUpperLimit</v>
      </c>
      <c r="B955" s="6" t="s">
        <v>9318</v>
      </c>
      <c r="C955" s="17" t="s">
        <v>9319</v>
      </c>
      <c r="D955" s="10" t="s">
        <v>9320</v>
      </c>
      <c r="E955" s="55"/>
      <c r="F955" s="55"/>
      <c r="G955" s="12" t="s">
        <v>4643</v>
      </c>
      <c r="H955" s="74"/>
      <c r="I955" s="147" t="str">
        <f>HYPERLINK("[#]Datatypes!B1097:L1097","Real")</f>
        <v>Real</v>
      </c>
      <c r="J955" s="76" t="str">
        <f>HYPERLINK("[#]PhysicalQuantities!A20:N20","Length")</f>
        <v>Length</v>
      </c>
      <c r="K955" s="75" t="str">
        <f>HYPERLINK("[#]UnitsOfMeasure!D80:G80","Metre")</f>
        <v>Metre</v>
      </c>
      <c r="L955" s="77"/>
      <c r="M955" s="78"/>
      <c r="N955" s="74"/>
      <c r="O955" s="25">
        <v>117678</v>
      </c>
      <c r="P955" s="304" t="str">
        <f>CONCATENATE([1]Cover!$D$6,"fdd/view?i=",O955)</f>
        <v>https://www.dgiwg.org/FAD/fdd/view?i=117678</v>
      </c>
      <c r="Q955" s="8" t="s">
        <v>9317</v>
      </c>
      <c r="R955" s="38" t="s">
        <v>151</v>
      </c>
    </row>
    <row r="956" spans="1:18" ht="38.25">
      <c r="A956" s="302" t="str">
        <f t="shared" si="24"/>
        <v>processStepDateTime</v>
      </c>
      <c r="B956" s="6" t="s">
        <v>9322</v>
      </c>
      <c r="C956" s="17" t="s">
        <v>9323</v>
      </c>
      <c r="D956" s="10" t="s">
        <v>9324</v>
      </c>
      <c r="E956" s="10" t="s">
        <v>9325</v>
      </c>
      <c r="F956" s="55"/>
      <c r="G956" s="12" t="s">
        <v>4643</v>
      </c>
      <c r="H956" s="74"/>
      <c r="I956" s="147" t="str">
        <f>HYPERLINK("[#]Datatypes!B1059:L1059","ProcessStepDateTimeStrucText")</f>
        <v>ProcessStepDateTimeStrucText</v>
      </c>
      <c r="J956" s="80"/>
      <c r="K956" s="77"/>
      <c r="L956" s="77"/>
      <c r="M956" s="78"/>
      <c r="N956" s="74"/>
      <c r="O956" s="25">
        <v>111673</v>
      </c>
      <c r="P956" s="304" t="str">
        <f>CONCATENATE([1]Cover!$D$6,"fdd/view?i=",O956)</f>
        <v>https://www.dgiwg.org/FAD/fdd/view?i=111673</v>
      </c>
      <c r="Q956" s="8" t="s">
        <v>9321</v>
      </c>
      <c r="R956" s="38" t="s">
        <v>151</v>
      </c>
    </row>
    <row r="957" spans="1:18" ht="51">
      <c r="A957" s="302" t="str">
        <f t="shared" si="24"/>
        <v>processStepDescription</v>
      </c>
      <c r="B957" s="6" t="s">
        <v>9328</v>
      </c>
      <c r="C957" s="17" t="s">
        <v>9329</v>
      </c>
      <c r="D957" s="10" t="s">
        <v>9330</v>
      </c>
      <c r="E957" s="10" t="s">
        <v>9331</v>
      </c>
      <c r="F957" s="55"/>
      <c r="G957" s="12" t="s">
        <v>4643</v>
      </c>
      <c r="H957" s="74"/>
      <c r="I957" s="147" t="str">
        <f>HYPERLINK("[#]Datatypes!B1416:L1416","TextLexUnconstrained")</f>
        <v>TextLexUnconstrained</v>
      </c>
      <c r="J957" s="80"/>
      <c r="K957" s="77"/>
      <c r="L957" s="77"/>
      <c r="M957" s="78"/>
      <c r="N957" s="74"/>
      <c r="O957" s="25">
        <v>111674</v>
      </c>
      <c r="P957" s="304" t="str">
        <f>CONCATENATE([1]Cover!$D$6,"fdd/view?i=",O957)</f>
        <v>https://www.dgiwg.org/FAD/fdd/view?i=111674</v>
      </c>
      <c r="Q957" s="8" t="s">
        <v>9327</v>
      </c>
      <c r="R957" s="38" t="s">
        <v>151</v>
      </c>
    </row>
    <row r="958" spans="1:18" ht="38.25">
      <c r="A958" s="302" t="str">
        <f t="shared" si="24"/>
        <v>processStepProcessor</v>
      </c>
      <c r="B958" s="6" t="s">
        <v>9333</v>
      </c>
      <c r="C958" s="17" t="s">
        <v>9334</v>
      </c>
      <c r="D958" s="10" t="s">
        <v>9335</v>
      </c>
      <c r="E958" s="10" t="s">
        <v>9325</v>
      </c>
      <c r="F958" s="55"/>
      <c r="G958" s="12" t="s">
        <v>4643</v>
      </c>
      <c r="H958" s="74"/>
      <c r="I958" s="147" t="str">
        <f>HYPERLINK("[#]Datatypes!B1204:L1204","CI_ResponsibleParty")</f>
        <v>CI_ResponsibleParty</v>
      </c>
      <c r="J958" s="80"/>
      <c r="K958" s="77"/>
      <c r="L958" s="77"/>
      <c r="M958" s="78"/>
      <c r="N958" s="74"/>
      <c r="O958" s="25">
        <v>111681</v>
      </c>
      <c r="P958" s="304" t="str">
        <f>CONCATENATE([1]Cover!$D$6,"fdd/view?i=",O958)</f>
        <v>https://www.dgiwg.org/FAD/fdd/view?i=111681</v>
      </c>
      <c r="Q958" s="8" t="s">
        <v>9332</v>
      </c>
      <c r="R958" s="38" t="s">
        <v>151</v>
      </c>
    </row>
    <row r="959" spans="1:18" ht="51">
      <c r="A959" s="302" t="str">
        <f t="shared" si="24"/>
        <v>processStepRationale</v>
      </c>
      <c r="B959" s="6" t="s">
        <v>9338</v>
      </c>
      <c r="C959" s="17" t="s">
        <v>9339</v>
      </c>
      <c r="D959" s="10" t="s">
        <v>9340</v>
      </c>
      <c r="E959" s="10" t="s">
        <v>9341</v>
      </c>
      <c r="F959" s="55"/>
      <c r="G959" s="12" t="s">
        <v>4643</v>
      </c>
      <c r="H959" s="74"/>
      <c r="I959" s="147" t="str">
        <f>HYPERLINK("[#]Datatypes!B1416:L1416","TextLexUnconstrained")</f>
        <v>TextLexUnconstrained</v>
      </c>
      <c r="J959" s="80"/>
      <c r="K959" s="77"/>
      <c r="L959" s="77"/>
      <c r="M959" s="78"/>
      <c r="N959" s="74"/>
      <c r="O959" s="25">
        <v>111676</v>
      </c>
      <c r="P959" s="304" t="str">
        <f>CONCATENATE([1]Cover!$D$6,"fdd/view?i=",O959)</f>
        <v>https://www.dgiwg.org/FAD/fdd/view?i=111676</v>
      </c>
      <c r="Q959" s="8" t="s">
        <v>9337</v>
      </c>
      <c r="R959" s="38" t="s">
        <v>151</v>
      </c>
    </row>
    <row r="960" spans="1:18" ht="25.5">
      <c r="A960" s="302" t="str">
        <f t="shared" si="24"/>
        <v>product</v>
      </c>
      <c r="B960" s="6" t="s">
        <v>9343</v>
      </c>
      <c r="C960" s="17" t="s">
        <v>9344</v>
      </c>
      <c r="D960" s="10" t="s">
        <v>9345</v>
      </c>
      <c r="E960" s="10" t="s">
        <v>9346</v>
      </c>
      <c r="F960" s="55"/>
      <c r="G960" s="12" t="s">
        <v>4643</v>
      </c>
      <c r="H960" s="12" t="s">
        <v>4700</v>
      </c>
      <c r="I960" s="147" t="str">
        <f>HYPERLINK("[#]Datatypes!B1061:L1061","ProductCode")</f>
        <v>ProductCode</v>
      </c>
      <c r="J960" s="80"/>
      <c r="K960" s="77"/>
      <c r="L960" s="77"/>
      <c r="M960" s="71" t="str">
        <f>HYPERLINK("[#]DatatypeListedValues!A5503:H5503","&lt;values&gt;")</f>
        <v>&lt;values&gt;</v>
      </c>
      <c r="N960" s="82" t="b">
        <v>0</v>
      </c>
      <c r="O960" s="25">
        <v>101177</v>
      </c>
      <c r="P960" s="304" t="str">
        <f>CONCATENATE([1]Cover!$D$6,"fdd/view?i=",O960)</f>
        <v>https://www.dgiwg.org/FAD/fdd/view?i=101177</v>
      </c>
      <c r="Q960" s="8" t="s">
        <v>9342</v>
      </c>
      <c r="R960" s="38" t="s">
        <v>151</v>
      </c>
    </row>
    <row r="961" spans="1:18">
      <c r="A961" s="302" t="str">
        <f t="shared" si="24"/>
        <v>pylonConfiguration</v>
      </c>
      <c r="B961" s="6" t="s">
        <v>9349</v>
      </c>
      <c r="C961" s="17" t="s">
        <v>9350</v>
      </c>
      <c r="D961" s="10" t="s">
        <v>9351</v>
      </c>
      <c r="E961" s="55"/>
      <c r="F961" s="55"/>
      <c r="G961" s="12" t="s">
        <v>4643</v>
      </c>
      <c r="H961" s="74"/>
      <c r="I961" s="147" t="str">
        <f>HYPERLINK("[#]Datatypes!B1063:L1063","PylonConfigurationCode")</f>
        <v>PylonConfigurationCode</v>
      </c>
      <c r="J961" s="80"/>
      <c r="K961" s="77"/>
      <c r="L961" s="77"/>
      <c r="M961" s="71" t="str">
        <f>HYPERLINK("[#]DatatypeListedValues!A5621:H5621","&lt;values&gt;")</f>
        <v>&lt;values&gt;</v>
      </c>
      <c r="N961" s="82" t="b">
        <v>0</v>
      </c>
      <c r="O961" s="25">
        <v>111685</v>
      </c>
      <c r="P961" s="304" t="str">
        <f>CONCATENATE([1]Cover!$D$6,"fdd/view?i=",O961)</f>
        <v>https://www.dgiwg.org/FAD/fdd/view?i=111685</v>
      </c>
      <c r="Q961" s="8" t="s">
        <v>9348</v>
      </c>
      <c r="R961" s="38" t="s">
        <v>151</v>
      </c>
    </row>
    <row r="962" spans="1:18" ht="25.5">
      <c r="A962" s="302" t="str">
        <f t="shared" si="24"/>
        <v>pylonMaterial</v>
      </c>
      <c r="B962" s="6" t="s">
        <v>9354</v>
      </c>
      <c r="C962" s="17" t="s">
        <v>9355</v>
      </c>
      <c r="D962" s="10" t="s">
        <v>9356</v>
      </c>
      <c r="E962" s="10" t="s">
        <v>9251</v>
      </c>
      <c r="F962" s="55"/>
      <c r="G962" s="12" t="s">
        <v>4643</v>
      </c>
      <c r="H962" s="74"/>
      <c r="I962" s="147" t="str">
        <f>HYPERLINK("[#]Datatypes!B1065:L1065","PylonMaterialCode")</f>
        <v>PylonMaterialCode</v>
      </c>
      <c r="J962" s="80"/>
      <c r="K962" s="77"/>
      <c r="L962" s="77"/>
      <c r="M962" s="71" t="str">
        <f>HYPERLINK("[#]DatatypeListedValues!A5626:H5626","&lt;values&gt;")</f>
        <v>&lt;values&gt;</v>
      </c>
      <c r="N962" s="82" t="b">
        <v>0</v>
      </c>
      <c r="O962" s="25">
        <v>109971</v>
      </c>
      <c r="P962" s="304" t="str">
        <f>CONCATENATE([1]Cover!$D$6,"fdd/view?i=",O962)</f>
        <v>https://www.dgiwg.org/FAD/fdd/view?i=109971</v>
      </c>
      <c r="Q962" s="8" t="s">
        <v>9353</v>
      </c>
      <c r="R962" s="38" t="s">
        <v>151</v>
      </c>
    </row>
    <row r="963" spans="1:18">
      <c r="A963" s="302" t="str">
        <f t="shared" si="24"/>
        <v>racingType</v>
      </c>
      <c r="B963" s="6" t="s">
        <v>9359</v>
      </c>
      <c r="C963" s="17" t="s">
        <v>9360</v>
      </c>
      <c r="D963" s="10" t="s">
        <v>9361</v>
      </c>
      <c r="E963" s="55"/>
      <c r="F963" s="55"/>
      <c r="G963" s="12" t="s">
        <v>4643</v>
      </c>
      <c r="H963" s="12" t="s">
        <v>4700</v>
      </c>
      <c r="I963" s="147" t="str">
        <f>HYPERLINK("[#]Datatypes!B1067:L1067","RacingTypeCode")</f>
        <v>RacingTypeCode</v>
      </c>
      <c r="J963" s="80"/>
      <c r="K963" s="77"/>
      <c r="L963" s="77"/>
      <c r="M963" s="71" t="str">
        <f>HYPERLINK("[#]DatatypeListedValues!A5634:H5634","&lt;values&gt;")</f>
        <v>&lt;values&gt;</v>
      </c>
      <c r="N963" s="82" t="b">
        <v>0</v>
      </c>
      <c r="O963" s="25">
        <v>118628</v>
      </c>
      <c r="P963" s="304" t="str">
        <f>CONCATENATE([1]Cover!$D$6,"fdd/view?i=",O963)</f>
        <v>https://www.dgiwg.org/FAD/fdd/view?i=118628</v>
      </c>
      <c r="Q963" s="8" t="s">
        <v>9358</v>
      </c>
      <c r="R963" s="38" t="s">
        <v>151</v>
      </c>
    </row>
    <row r="964" spans="1:18" ht="25.5">
      <c r="A964" s="302" t="str">
        <f t="shared" ref="A964:A1027" si="26">HYPERLINK(P964,B964)</f>
        <v>racingVehicleType</v>
      </c>
      <c r="B964" s="6" t="s">
        <v>9364</v>
      </c>
      <c r="C964" s="17" t="s">
        <v>9365</v>
      </c>
      <c r="D964" s="10" t="s">
        <v>9366</v>
      </c>
      <c r="E964" s="55"/>
      <c r="F964" s="55"/>
      <c r="G964" s="12" t="s">
        <v>4643</v>
      </c>
      <c r="H964" s="74"/>
      <c r="I964" s="147" t="str">
        <f>HYPERLINK("[#]Datatypes!B1069:L1069","RacingVehicleTypeCode")</f>
        <v>RacingVehicleTypeCode</v>
      </c>
      <c r="J964" s="80"/>
      <c r="K964" s="77"/>
      <c r="L964" s="77"/>
      <c r="M964" s="71" t="str">
        <f>HYPERLINK("[#]DatatypeListedValues!A5643:H5643","&lt;values&gt;")</f>
        <v>&lt;values&gt;</v>
      </c>
      <c r="N964" s="82" t="b">
        <v>0</v>
      </c>
      <c r="O964" s="25">
        <v>118627</v>
      </c>
      <c r="P964" s="304" t="str">
        <f>CONCATENATE([1]Cover!$D$6,"fdd/view?i=",O964)</f>
        <v>https://www.dgiwg.org/FAD/fdd/view?i=118627</v>
      </c>
      <c r="Q964" s="8" t="s">
        <v>9363</v>
      </c>
      <c r="R964" s="38" t="s">
        <v>151</v>
      </c>
    </row>
    <row r="965" spans="1:18" ht="25.5">
      <c r="A965" s="302" t="str">
        <f t="shared" si="26"/>
        <v>radarAntennaConfiguration</v>
      </c>
      <c r="B965" s="6" t="s">
        <v>9369</v>
      </c>
      <c r="C965" s="17" t="s">
        <v>9370</v>
      </c>
      <c r="D965" s="10" t="s">
        <v>9371</v>
      </c>
      <c r="E965" s="55"/>
      <c r="F965" s="55"/>
      <c r="G965" s="12" t="s">
        <v>4643</v>
      </c>
      <c r="H965" s="74"/>
      <c r="I965" s="147" t="str">
        <f>HYPERLINK("[#]Datatypes!B1071:L1071","RadarAntennaConfigurationCode")</f>
        <v>RadarAntennaConfigurationCode</v>
      </c>
      <c r="J965" s="80"/>
      <c r="K965" s="77"/>
      <c r="L965" s="77"/>
      <c r="M965" s="71" t="str">
        <f>HYPERLINK("[#]DatatypeListedValues!A5648:H5648","&lt;values&gt;")</f>
        <v>&lt;values&gt;</v>
      </c>
      <c r="N965" s="82" t="b">
        <v>0</v>
      </c>
      <c r="O965" s="25">
        <v>103224</v>
      </c>
      <c r="P965" s="304" t="str">
        <f>CONCATENATE([1]Cover!$D$6,"fdd/view?i=",O965)</f>
        <v>https://www.dgiwg.org/FAD/fdd/view?i=103224</v>
      </c>
      <c r="Q965" s="8" t="s">
        <v>9368</v>
      </c>
      <c r="R965" s="38" t="s">
        <v>151</v>
      </c>
    </row>
    <row r="966" spans="1:18" ht="25.5">
      <c r="A966" s="302" t="str">
        <f t="shared" si="26"/>
        <v>radarMonitoring</v>
      </c>
      <c r="B966" s="6" t="s">
        <v>9374</v>
      </c>
      <c r="C966" s="17" t="s">
        <v>9375</v>
      </c>
      <c r="D966" s="10" t="s">
        <v>9376</v>
      </c>
      <c r="E966" s="55"/>
      <c r="F966" s="55"/>
      <c r="G966" s="12" t="s">
        <v>4643</v>
      </c>
      <c r="H966" s="74"/>
      <c r="I966" s="147" t="str">
        <f>HYPERLINK("[#]Datatypes!B230:L230","Boolean")</f>
        <v>Boolean</v>
      </c>
      <c r="J966" s="80"/>
      <c r="K966" s="77"/>
      <c r="L966" s="77"/>
      <c r="M966" s="78"/>
      <c r="N966" s="74"/>
      <c r="O966" s="25">
        <v>119615</v>
      </c>
      <c r="P966" s="304" t="str">
        <f>CONCATENATE([1]Cover!$D$6,"fdd/view?i=",O966)</f>
        <v>https://www.dgiwg.org/FAD/fdd/view?i=119615</v>
      </c>
      <c r="Q966" s="8" t="s">
        <v>9373</v>
      </c>
      <c r="R966" s="38" t="s">
        <v>151</v>
      </c>
    </row>
    <row r="967" spans="1:18">
      <c r="A967" s="302" t="str">
        <f t="shared" si="26"/>
        <v>radarReflectorPresent</v>
      </c>
      <c r="B967" s="6" t="s">
        <v>9378</v>
      </c>
      <c r="C967" s="17" t="s">
        <v>9379</v>
      </c>
      <c r="D967" s="10" t="s">
        <v>9380</v>
      </c>
      <c r="E967" s="55"/>
      <c r="F967" s="55"/>
      <c r="G967" s="12" t="s">
        <v>4643</v>
      </c>
      <c r="H967" s="74"/>
      <c r="I967" s="147" t="str">
        <f>HYPERLINK("[#]Datatypes!B230:L230","Boolean")</f>
        <v>Boolean</v>
      </c>
      <c r="J967" s="80"/>
      <c r="K967" s="77"/>
      <c r="L967" s="77"/>
      <c r="M967" s="78"/>
      <c r="N967" s="74"/>
      <c r="O967" s="25">
        <v>101214</v>
      </c>
      <c r="P967" s="304" t="str">
        <f>CONCATENATE([1]Cover!$D$6,"fdd/view?i=",O967)</f>
        <v>https://www.dgiwg.org/FAD/fdd/view?i=101214</v>
      </c>
      <c r="Q967" s="8" t="s">
        <v>9377</v>
      </c>
      <c r="R967" s="38" t="s">
        <v>151</v>
      </c>
    </row>
    <row r="968" spans="1:18" ht="25.5">
      <c r="A968" s="302" t="str">
        <f t="shared" si="26"/>
        <v>radarSignificance</v>
      </c>
      <c r="B968" s="6" t="s">
        <v>9382</v>
      </c>
      <c r="C968" s="17" t="s">
        <v>9383</v>
      </c>
      <c r="D968" s="10" t="s">
        <v>9384</v>
      </c>
      <c r="E968" s="55"/>
      <c r="F968" s="55"/>
      <c r="G968" s="12" t="s">
        <v>4643</v>
      </c>
      <c r="H968" s="74"/>
      <c r="I968" s="147" t="str">
        <f>HYPERLINK("[#]Datatypes!B1073:L1073","RadarSignificanceCode")</f>
        <v>RadarSignificanceCode</v>
      </c>
      <c r="J968" s="80"/>
      <c r="K968" s="77"/>
      <c r="L968" s="77"/>
      <c r="M968" s="71" t="str">
        <f>HYPERLINK("[#]DatatypeListedValues!A5654:H5654","&lt;values&gt;")</f>
        <v>&lt;values&gt;</v>
      </c>
      <c r="N968" s="82" t="b">
        <v>0</v>
      </c>
      <c r="O968" s="25">
        <v>200495</v>
      </c>
      <c r="P968" s="304" t="str">
        <f>CONCATENATE([1]Cover!$D$6,"fdd/view?i=",O968)</f>
        <v>https://www.dgiwg.org/FAD/fdd/view?i=200495</v>
      </c>
      <c r="Q968" s="8" t="s">
        <v>9381</v>
      </c>
      <c r="R968" s="38" t="s">
        <v>1295</v>
      </c>
    </row>
    <row r="969" spans="1:18">
      <c r="A969" s="302" t="str">
        <f t="shared" si="26"/>
        <v>radarStationFunction</v>
      </c>
      <c r="B969" s="6" t="s">
        <v>9387</v>
      </c>
      <c r="C969" s="17" t="s">
        <v>9388</v>
      </c>
      <c r="D969" s="10" t="s">
        <v>9389</v>
      </c>
      <c r="E969" s="55"/>
      <c r="F969" s="55"/>
      <c r="G969" s="12" t="s">
        <v>4643</v>
      </c>
      <c r="H969" s="74"/>
      <c r="I969" s="147" t="str">
        <f>HYPERLINK("[#]Datatypes!B1075:L1075","RadarStationFunctionCode")</f>
        <v>RadarStationFunctionCode</v>
      </c>
      <c r="J969" s="80"/>
      <c r="K969" s="77"/>
      <c r="L969" s="77"/>
      <c r="M969" s="71" t="str">
        <f>HYPERLINK("[#]DatatypeListedValues!A5668:H5668","&lt;values&gt;")</f>
        <v>&lt;values&gt;</v>
      </c>
      <c r="N969" s="82" t="b">
        <v>0</v>
      </c>
      <c r="O969" s="25">
        <v>101208</v>
      </c>
      <c r="P969" s="304" t="str">
        <f>CONCATENATE([1]Cover!$D$6,"fdd/view?i=",O969)</f>
        <v>https://www.dgiwg.org/FAD/fdd/view?i=101208</v>
      </c>
      <c r="Q969" s="8" t="s">
        <v>9386</v>
      </c>
      <c r="R969" s="38" t="s">
        <v>151</v>
      </c>
    </row>
    <row r="970" spans="1:18" ht="25.5">
      <c r="A970" s="302" t="str">
        <f t="shared" si="26"/>
        <v>radioCommChanFlightChecked</v>
      </c>
      <c r="B970" s="6" t="s">
        <v>9392</v>
      </c>
      <c r="C970" s="17" t="s">
        <v>9393</v>
      </c>
      <c r="D970" s="10" t="s">
        <v>9394</v>
      </c>
      <c r="E970" s="55"/>
      <c r="F970" s="55"/>
      <c r="G970" s="12" t="s">
        <v>4643</v>
      </c>
      <c r="H970" s="74"/>
      <c r="I970" s="147" t="str">
        <f>HYPERLINK("[#]Datatypes!B230:L230","Boolean")</f>
        <v>Boolean</v>
      </c>
      <c r="J970" s="80"/>
      <c r="K970" s="77"/>
      <c r="L970" s="77"/>
      <c r="M970" s="78"/>
      <c r="N970" s="74"/>
      <c r="O970" s="25">
        <v>117679</v>
      </c>
      <c r="P970" s="304" t="str">
        <f>CONCATENATE([1]Cover!$D$6,"fdd/view?i=",O970)</f>
        <v>https://www.dgiwg.org/FAD/fdd/view?i=117679</v>
      </c>
      <c r="Q970" s="8" t="s">
        <v>9391</v>
      </c>
      <c r="R970" s="38" t="s">
        <v>151</v>
      </c>
    </row>
    <row r="971" spans="1:18" ht="38.25">
      <c r="A971" s="302" t="str">
        <f t="shared" si="26"/>
        <v>radioCommChanSelCallAvail</v>
      </c>
      <c r="B971" s="6" t="s">
        <v>9396</v>
      </c>
      <c r="C971" s="17" t="s">
        <v>9397</v>
      </c>
      <c r="D971" s="10" t="s">
        <v>9398</v>
      </c>
      <c r="E971" s="10" t="s">
        <v>9399</v>
      </c>
      <c r="F971" s="55"/>
      <c r="G971" s="12" t="s">
        <v>4643</v>
      </c>
      <c r="H971" s="74"/>
      <c r="I971" s="147" t="str">
        <f>HYPERLINK("[#]Datatypes!B230:L230","Boolean")</f>
        <v>Boolean</v>
      </c>
      <c r="J971" s="80"/>
      <c r="K971" s="77"/>
      <c r="L971" s="77"/>
      <c r="M971" s="78"/>
      <c r="N971" s="74"/>
      <c r="O971" s="25">
        <v>117706</v>
      </c>
      <c r="P971" s="304" t="str">
        <f>CONCATENATE([1]Cover!$D$6,"fdd/view?i=",O971)</f>
        <v>https://www.dgiwg.org/FAD/fdd/view?i=117706</v>
      </c>
      <c r="Q971" s="8" t="s">
        <v>9395</v>
      </c>
      <c r="R971" s="38" t="s">
        <v>151</v>
      </c>
    </row>
    <row r="972" spans="1:18">
      <c r="A972" s="302" t="str">
        <f t="shared" si="26"/>
        <v>radioCommDirection</v>
      </c>
      <c r="B972" s="6" t="s">
        <v>9401</v>
      </c>
      <c r="C972" s="17" t="s">
        <v>9402</v>
      </c>
      <c r="D972" s="10" t="s">
        <v>9403</v>
      </c>
      <c r="E972" s="10" t="s">
        <v>9404</v>
      </c>
      <c r="F972" s="55"/>
      <c r="G972" s="12" t="s">
        <v>4643</v>
      </c>
      <c r="H972" s="74"/>
      <c r="I972" s="147" t="str">
        <f>HYPERLINK("[#]Datatypes!B1077:L1077","RadioCommDirectionCode")</f>
        <v>RadioCommDirectionCode</v>
      </c>
      <c r="J972" s="80"/>
      <c r="K972" s="77"/>
      <c r="L972" s="77"/>
      <c r="M972" s="71" t="str">
        <f>HYPERLINK("[#]DatatypeListedValues!A5678:H5678","&lt;values&gt;")</f>
        <v>&lt;values&gt;</v>
      </c>
      <c r="N972" s="82" t="b">
        <v>0</v>
      </c>
      <c r="O972" s="25">
        <v>117680</v>
      </c>
      <c r="P972" s="304" t="str">
        <f>CONCATENATE([1]Cover!$D$6,"fdd/view?i=",O972)</f>
        <v>https://www.dgiwg.org/FAD/fdd/view?i=117680</v>
      </c>
      <c r="Q972" s="8" t="s">
        <v>9400</v>
      </c>
      <c r="R972" s="38" t="s">
        <v>151</v>
      </c>
    </row>
    <row r="973" spans="1:18" ht="89.25">
      <c r="A973" s="302" t="str">
        <f t="shared" si="26"/>
        <v>radioEmissionClass</v>
      </c>
      <c r="B973" s="6" t="s">
        <v>9407</v>
      </c>
      <c r="C973" s="17" t="s">
        <v>9408</v>
      </c>
      <c r="D973" s="10" t="s">
        <v>9409</v>
      </c>
      <c r="E973" s="10" t="s">
        <v>9410</v>
      </c>
      <c r="F973" s="55"/>
      <c r="G973" s="12" t="s">
        <v>4643</v>
      </c>
      <c r="H973" s="74"/>
      <c r="I973" s="147" t="str">
        <f>HYPERLINK("[#]Datatypes!B1079:L1079","RadioEmissionClassCode")</f>
        <v>RadioEmissionClassCode</v>
      </c>
      <c r="J973" s="80"/>
      <c r="K973" s="77"/>
      <c r="L973" s="77"/>
      <c r="M973" s="71" t="str">
        <f>HYPERLINK("[#]DatatypeListedValues!A5683:H5683","&lt;values&gt;")</f>
        <v>&lt;values&gt;</v>
      </c>
      <c r="N973" s="82" t="b">
        <v>0</v>
      </c>
      <c r="O973" s="25">
        <v>206994</v>
      </c>
      <c r="P973" s="304" t="str">
        <f>CONCATENATE([1]Cover!$D$6,"fdd/view?i=",O973)</f>
        <v>https://www.dgiwg.org/FAD/fdd/view?i=206994</v>
      </c>
      <c r="Q973" s="8" t="s">
        <v>9406</v>
      </c>
      <c r="R973" s="38" t="s">
        <v>1295</v>
      </c>
    </row>
    <row r="974" spans="1:18" ht="25.5">
      <c r="A974" s="302" t="str">
        <f t="shared" si="26"/>
        <v>radioNavServCoverageType</v>
      </c>
      <c r="B974" s="6" t="s">
        <v>9413</v>
      </c>
      <c r="C974" s="17" t="s">
        <v>9414</v>
      </c>
      <c r="D974" s="10" t="s">
        <v>3542</v>
      </c>
      <c r="E974" s="55"/>
      <c r="F974" s="10" t="s">
        <v>9415</v>
      </c>
      <c r="G974" s="12" t="s">
        <v>4643</v>
      </c>
      <c r="H974" s="74"/>
      <c r="I974" s="147" t="str">
        <f>HYPERLINK("[#]Datatypes!B1081:L1081","RadioNavServCoverageTypeCode")</f>
        <v>RadioNavServCoverageTypeCode</v>
      </c>
      <c r="J974" s="80"/>
      <c r="K974" s="77"/>
      <c r="L974" s="77"/>
      <c r="M974" s="71" t="str">
        <f>HYPERLINK("[#]DatatypeListedValues!A5699:H5699","&lt;values&gt;")</f>
        <v>&lt;values&gt;</v>
      </c>
      <c r="N974" s="82" t="b">
        <v>0</v>
      </c>
      <c r="O974" s="25">
        <v>117687</v>
      </c>
      <c r="P974" s="304" t="str">
        <f>CONCATENATE([1]Cover!$D$6,"fdd/view?i=",O974)</f>
        <v>https://www.dgiwg.org/FAD/fdd/view?i=117687</v>
      </c>
      <c r="Q974" s="8" t="s">
        <v>9412</v>
      </c>
      <c r="R974" s="38" t="s">
        <v>151</v>
      </c>
    </row>
    <row r="975" spans="1:18" ht="25.5">
      <c r="A975" s="302" t="str">
        <f t="shared" si="26"/>
        <v>radioNavServLimitationType</v>
      </c>
      <c r="B975" s="6" t="s">
        <v>9418</v>
      </c>
      <c r="C975" s="17" t="s">
        <v>9419</v>
      </c>
      <c r="D975" s="10" t="s">
        <v>9420</v>
      </c>
      <c r="E975" s="55"/>
      <c r="F975" s="10" t="s">
        <v>9421</v>
      </c>
      <c r="G975" s="12" t="s">
        <v>4643</v>
      </c>
      <c r="H975" s="74"/>
      <c r="I975" s="147" t="str">
        <f>HYPERLINK("[#]Datatypes!B1083:L1083","RadioNavServLimitationTypeCode")</f>
        <v>RadioNavServLimitationTypeCode</v>
      </c>
      <c r="J975" s="80"/>
      <c r="K975" s="77"/>
      <c r="L975" s="77"/>
      <c r="M975" s="71" t="str">
        <f>HYPERLINK("[#]DatatypeListedValues!A5702:H5702","&lt;values&gt;")</f>
        <v>&lt;values&gt;</v>
      </c>
      <c r="N975" s="82" t="b">
        <v>0</v>
      </c>
      <c r="O975" s="25">
        <v>117688</v>
      </c>
      <c r="P975" s="304" t="str">
        <f>CONCATENATE([1]Cover!$D$6,"fdd/view?i=",O975)</f>
        <v>https://www.dgiwg.org/FAD/fdd/view?i=117688</v>
      </c>
      <c r="Q975" s="8" t="s">
        <v>9417</v>
      </c>
      <c r="R975" s="38" t="s">
        <v>151</v>
      </c>
    </row>
    <row r="976" spans="1:18" ht="25.5">
      <c r="A976" s="302" t="str">
        <f t="shared" si="26"/>
        <v>railwayClass</v>
      </c>
      <c r="B976" s="6" t="s">
        <v>9424</v>
      </c>
      <c r="C976" s="17" t="s">
        <v>9425</v>
      </c>
      <c r="D976" s="10" t="s">
        <v>9426</v>
      </c>
      <c r="E976" s="55"/>
      <c r="F976" s="55"/>
      <c r="G976" s="12" t="s">
        <v>4643</v>
      </c>
      <c r="H976" s="74"/>
      <c r="I976" s="147" t="str">
        <f>HYPERLINK("[#]Datatypes!B1085:L1085","RailwayClassCode")</f>
        <v>RailwayClassCode</v>
      </c>
      <c r="J976" s="80"/>
      <c r="K976" s="77"/>
      <c r="L976" s="77"/>
      <c r="M976" s="71" t="str">
        <f>HYPERLINK("[#]DatatypeListedValues!A5707:H5707","&lt;values&gt;")</f>
        <v>&lt;values&gt;</v>
      </c>
      <c r="N976" s="82" t="b">
        <v>0</v>
      </c>
      <c r="O976" s="25">
        <v>109981</v>
      </c>
      <c r="P976" s="304" t="str">
        <f>CONCATENATE([1]Cover!$D$6,"fdd/view?i=",O976)</f>
        <v>https://www.dgiwg.org/FAD/fdd/view?i=109981</v>
      </c>
      <c r="Q976" s="8" t="s">
        <v>9423</v>
      </c>
      <c r="R976" s="38" t="s">
        <v>151</v>
      </c>
    </row>
    <row r="977" spans="1:18" ht="25.5">
      <c r="A977" s="302" t="str">
        <f t="shared" si="26"/>
        <v>railwayGauge</v>
      </c>
      <c r="B977" s="6" t="s">
        <v>9429</v>
      </c>
      <c r="C977" s="17" t="s">
        <v>9430</v>
      </c>
      <c r="D977" s="10" t="s">
        <v>9431</v>
      </c>
      <c r="E977" s="55"/>
      <c r="F977" s="55"/>
      <c r="G977" s="12" t="s">
        <v>4643</v>
      </c>
      <c r="H977" s="74"/>
      <c r="I977" s="147" t="str">
        <f>HYPERLINK("[#]Datatypes!B1097:L1097","Real")</f>
        <v>Real</v>
      </c>
      <c r="J977" s="76" t="str">
        <f>HYPERLINK("[#]PhysicalQuantities!A20:N20","Length")</f>
        <v>Length</v>
      </c>
      <c r="K977" s="75" t="str">
        <f>HYPERLINK("[#]UnitsOfMeasure!D80:G80","Metre")</f>
        <v>Metre</v>
      </c>
      <c r="L977" s="77"/>
      <c r="M977" s="78"/>
      <c r="N977" s="74"/>
      <c r="O977" s="25">
        <v>110706</v>
      </c>
      <c r="P977" s="304" t="str">
        <f>CONCATENATE([1]Cover!$D$6,"fdd/view?i=",O977)</f>
        <v>https://www.dgiwg.org/FAD/fdd/view?i=110706</v>
      </c>
      <c r="Q977" s="8" t="s">
        <v>9428</v>
      </c>
      <c r="R977" s="38" t="s">
        <v>151</v>
      </c>
    </row>
    <row r="978" spans="1:18" ht="38.25">
      <c r="A978" s="302" t="str">
        <f t="shared" si="26"/>
        <v>railwayGaugeClass</v>
      </c>
      <c r="B978" s="6" t="s">
        <v>9433</v>
      </c>
      <c r="C978" s="17" t="s">
        <v>9434</v>
      </c>
      <c r="D978" s="10" t="s">
        <v>9435</v>
      </c>
      <c r="E978" s="55"/>
      <c r="F978" s="55"/>
      <c r="G978" s="12" t="s">
        <v>4643</v>
      </c>
      <c r="H978" s="74"/>
      <c r="I978" s="147" t="str">
        <f>HYPERLINK("[#]Datatypes!B1087:L1087","RailwayGaugeClassCode")</f>
        <v>RailwayGaugeClassCode</v>
      </c>
      <c r="J978" s="80"/>
      <c r="K978" s="77"/>
      <c r="L978" s="77"/>
      <c r="M978" s="71" t="str">
        <f>HYPERLINK("[#]DatatypeListedValues!A5710:H5710","&lt;values&gt;")</f>
        <v>&lt;values&gt;</v>
      </c>
      <c r="N978" s="12" t="b">
        <v>1</v>
      </c>
      <c r="O978" s="25">
        <v>101222</v>
      </c>
      <c r="P978" s="304" t="str">
        <f>CONCATENATE([1]Cover!$D$6,"fdd/view?i=",O978)</f>
        <v>https://www.dgiwg.org/FAD/fdd/view?i=101222</v>
      </c>
      <c r="Q978" s="8" t="s">
        <v>9432</v>
      </c>
      <c r="R978" s="38" t="s">
        <v>151</v>
      </c>
    </row>
    <row r="979" spans="1:18" ht="25.5">
      <c r="A979" s="302" t="str">
        <f t="shared" si="26"/>
        <v>railwayInRoad</v>
      </c>
      <c r="B979" s="6" t="s">
        <v>9438</v>
      </c>
      <c r="C979" s="17" t="s">
        <v>9439</v>
      </c>
      <c r="D979" s="10" t="s">
        <v>9440</v>
      </c>
      <c r="E979" s="10" t="s">
        <v>9441</v>
      </c>
      <c r="F979" s="55"/>
      <c r="G979" s="12" t="s">
        <v>4643</v>
      </c>
      <c r="H979" s="74"/>
      <c r="I979" s="147" t="str">
        <f>HYPERLINK("[#]Datatypes!B230:L230","Boolean")</f>
        <v>Boolean</v>
      </c>
      <c r="J979" s="80"/>
      <c r="K979" s="77"/>
      <c r="L979" s="77"/>
      <c r="M979" s="78"/>
      <c r="N979" s="74"/>
      <c r="O979" s="25">
        <v>109977</v>
      </c>
      <c r="P979" s="304" t="str">
        <f>CONCATENATE([1]Cover!$D$6,"fdd/view?i=",O979)</f>
        <v>https://www.dgiwg.org/FAD/fdd/view?i=109977</v>
      </c>
      <c r="Q979" s="8" t="s">
        <v>9437</v>
      </c>
      <c r="R979" s="38" t="s">
        <v>151</v>
      </c>
    </row>
    <row r="980" spans="1:18" ht="25.5">
      <c r="A980" s="302" t="str">
        <f t="shared" si="26"/>
        <v>railwayPowerMethod</v>
      </c>
      <c r="B980" s="6" t="s">
        <v>9443</v>
      </c>
      <c r="C980" s="17" t="s">
        <v>9444</v>
      </c>
      <c r="D980" s="10" t="s">
        <v>9445</v>
      </c>
      <c r="E980" s="55"/>
      <c r="F980" s="55"/>
      <c r="G980" s="12" t="s">
        <v>4643</v>
      </c>
      <c r="H980" s="74"/>
      <c r="I980" s="147" t="str">
        <f>HYPERLINK("[#]Datatypes!B1089:L1089","RailwayPowerMethodCode")</f>
        <v>RailwayPowerMethodCode</v>
      </c>
      <c r="J980" s="80"/>
      <c r="K980" s="77"/>
      <c r="L980" s="77"/>
      <c r="M980" s="71" t="str">
        <f>HYPERLINK("[#]DatatypeListedValues!A5713:H5713","&lt;values&gt;")</f>
        <v>&lt;values&gt;</v>
      </c>
      <c r="N980" s="82" t="b">
        <v>0</v>
      </c>
      <c r="O980" s="25">
        <v>101242</v>
      </c>
      <c r="P980" s="304" t="str">
        <f>CONCATENATE([1]Cover!$D$6,"fdd/view?i=",O980)</f>
        <v>https://www.dgiwg.org/FAD/fdd/view?i=101242</v>
      </c>
      <c r="Q980" s="8" t="s">
        <v>9442</v>
      </c>
      <c r="R980" s="38" t="s">
        <v>151</v>
      </c>
    </row>
    <row r="981" spans="1:18">
      <c r="A981" s="302" t="str">
        <f t="shared" si="26"/>
        <v>railwayUse</v>
      </c>
      <c r="B981" s="6" t="s">
        <v>9448</v>
      </c>
      <c r="C981" s="17" t="s">
        <v>9449</v>
      </c>
      <c r="D981" s="10" t="s">
        <v>9450</v>
      </c>
      <c r="E981" s="55"/>
      <c r="F981" s="55"/>
      <c r="G981" s="12" t="s">
        <v>4643</v>
      </c>
      <c r="H981" s="12" t="s">
        <v>4700</v>
      </c>
      <c r="I981" s="147" t="str">
        <f>HYPERLINK("[#]Datatypes!B1091:L1091","RailwayUseCode")</f>
        <v>RailwayUseCode</v>
      </c>
      <c r="J981" s="80"/>
      <c r="K981" s="77"/>
      <c r="L981" s="77"/>
      <c r="M981" s="71" t="str">
        <f>HYPERLINK("[#]DatatypeListedValues!A5716:H5716","&lt;values&gt;")</f>
        <v>&lt;values&gt;</v>
      </c>
      <c r="N981" s="82" t="b">
        <v>0</v>
      </c>
      <c r="O981" s="25">
        <v>101243</v>
      </c>
      <c r="P981" s="304" t="str">
        <f>CONCATENATE([1]Cover!$D$6,"fdd/view?i=",O981)</f>
        <v>https://www.dgiwg.org/FAD/fdd/view?i=101243</v>
      </c>
      <c r="Q981" s="8" t="s">
        <v>9447</v>
      </c>
      <c r="R981" s="38" t="s">
        <v>151</v>
      </c>
    </row>
    <row r="982" spans="1:18">
      <c r="A982" s="302" t="str">
        <f t="shared" si="26"/>
        <v>rangeOfSignal</v>
      </c>
      <c r="B982" s="6" t="s">
        <v>9453</v>
      </c>
      <c r="C982" s="17" t="s">
        <v>9454</v>
      </c>
      <c r="D982" s="10" t="s">
        <v>9455</v>
      </c>
      <c r="E982" s="55"/>
      <c r="F982" s="55"/>
      <c r="G982" s="12" t="s">
        <v>4643</v>
      </c>
      <c r="H982" s="74"/>
      <c r="I982" s="147" t="str">
        <f>HYPERLINK("[#]Datatypes!B1097:L1097","Real")</f>
        <v>Real</v>
      </c>
      <c r="J982" s="76" t="str">
        <f>HYPERLINK("[#]PhysicalQuantities!A20:N20","Length")</f>
        <v>Length</v>
      </c>
      <c r="K982" s="75" t="str">
        <f>HYPERLINK("[#]UnitsOfMeasure!D94:G94","Nautical Mile")</f>
        <v>Nautical Mile</v>
      </c>
      <c r="L982" s="77"/>
      <c r="M982" s="78"/>
      <c r="N982" s="74"/>
      <c r="O982" s="25">
        <v>111706</v>
      </c>
      <c r="P982" s="304" t="str">
        <f>CONCATENATE([1]Cover!$D$6,"fdd/view?i=",O982)</f>
        <v>https://www.dgiwg.org/FAD/fdd/view?i=111706</v>
      </c>
      <c r="Q982" s="8" t="s">
        <v>9452</v>
      </c>
      <c r="R982" s="38" t="s">
        <v>151</v>
      </c>
    </row>
    <row r="983" spans="1:18" ht="25.5">
      <c r="A983" s="302" t="str">
        <f t="shared" si="26"/>
        <v>rapidClass</v>
      </c>
      <c r="B983" s="6" t="s">
        <v>9457</v>
      </c>
      <c r="C983" s="17" t="s">
        <v>9458</v>
      </c>
      <c r="D983" s="10" t="s">
        <v>9459</v>
      </c>
      <c r="E983" s="10" t="s">
        <v>9460</v>
      </c>
      <c r="F983" s="55"/>
      <c r="G983" s="12" t="s">
        <v>4643</v>
      </c>
      <c r="H983" s="74"/>
      <c r="I983" s="147" t="str">
        <f>HYPERLINK("[#]Datatypes!B1093:L1093","RapidClassCode")</f>
        <v>RapidClassCode</v>
      </c>
      <c r="J983" s="80"/>
      <c r="K983" s="77"/>
      <c r="L983" s="77"/>
      <c r="M983" s="71" t="str">
        <f>HYPERLINK("[#]DatatypeListedValues!A5726:H5726","&lt;values&gt;")</f>
        <v>&lt;values&gt;</v>
      </c>
      <c r="N983" s="12" t="b">
        <v>1</v>
      </c>
      <c r="O983" s="25">
        <v>100746</v>
      </c>
      <c r="P983" s="304" t="str">
        <f>CONCATENATE([1]Cover!$D$6,"fdd/view?i=",O983)</f>
        <v>https://www.dgiwg.org/FAD/fdd/view?i=100746</v>
      </c>
      <c r="Q983" s="8" t="s">
        <v>9456</v>
      </c>
      <c r="R983" s="38" t="s">
        <v>151</v>
      </c>
    </row>
    <row r="984" spans="1:18" ht="25.5">
      <c r="A984" s="302" t="str">
        <f t="shared" si="26"/>
        <v>rawMaterial</v>
      </c>
      <c r="B984" s="6" t="s">
        <v>9463</v>
      </c>
      <c r="C984" s="17" t="s">
        <v>9464</v>
      </c>
      <c r="D984" s="10" t="s">
        <v>9465</v>
      </c>
      <c r="E984" s="10" t="s">
        <v>9466</v>
      </c>
      <c r="F984" s="55"/>
      <c r="G984" s="12" t="s">
        <v>4643</v>
      </c>
      <c r="H984" s="12" t="s">
        <v>4700</v>
      </c>
      <c r="I984" s="147" t="str">
        <f>HYPERLINK("[#]Datatypes!B1095:L1095","RawMaterialCode")</f>
        <v>RawMaterialCode</v>
      </c>
      <c r="J984" s="80"/>
      <c r="K984" s="77"/>
      <c r="L984" s="77"/>
      <c r="M984" s="71" t="str">
        <f>HYPERLINK("[#]DatatypeListedValues!A5732:H5732","&lt;values&gt;")</f>
        <v>&lt;values&gt;</v>
      </c>
      <c r="N984" s="82" t="b">
        <v>0</v>
      </c>
      <c r="O984" s="25">
        <v>101188</v>
      </c>
      <c r="P984" s="304" t="str">
        <f>CONCATENATE([1]Cover!$D$6,"fdd/view?i=",O984)</f>
        <v>https://www.dgiwg.org/FAD/fdd/view?i=101188</v>
      </c>
      <c r="Q984" s="8" t="s">
        <v>9462</v>
      </c>
      <c r="R984" s="38" t="s">
        <v>151</v>
      </c>
    </row>
    <row r="985" spans="1:18" ht="38.25">
      <c r="A985" s="302" t="str">
        <f t="shared" si="26"/>
        <v>recommendedChannel</v>
      </c>
      <c r="B985" s="6" t="s">
        <v>9469</v>
      </c>
      <c r="C985" s="17" t="s">
        <v>9470</v>
      </c>
      <c r="D985" s="10" t="s">
        <v>9471</v>
      </c>
      <c r="E985" s="55"/>
      <c r="F985" s="55"/>
      <c r="G985" s="12" t="s">
        <v>4643</v>
      </c>
      <c r="H985" s="74"/>
      <c r="I985" s="147" t="str">
        <f>HYPERLINK("[#]Datatypes!B230:L230","Boolean")</f>
        <v>Boolean</v>
      </c>
      <c r="J985" s="80"/>
      <c r="K985" s="77"/>
      <c r="L985" s="77"/>
      <c r="M985" s="78"/>
      <c r="N985" s="74"/>
      <c r="O985" s="25">
        <v>114239</v>
      </c>
      <c r="P985" s="304" t="str">
        <f>CONCATENATE([1]Cover!$D$6,"fdd/view?i=",O985)</f>
        <v>https://www.dgiwg.org/FAD/fdd/view?i=114239</v>
      </c>
      <c r="Q985" s="8" t="s">
        <v>9468</v>
      </c>
      <c r="R985" s="38" t="s">
        <v>151</v>
      </c>
    </row>
    <row r="986" spans="1:18" ht="25.5">
      <c r="A986" s="302" t="str">
        <f t="shared" si="26"/>
        <v>redCrossAdminRegionType</v>
      </c>
      <c r="B986" s="6" t="s">
        <v>9473</v>
      </c>
      <c r="C986" s="17" t="s">
        <v>9474</v>
      </c>
      <c r="D986" s="10" t="s">
        <v>9475</v>
      </c>
      <c r="E986" s="55"/>
      <c r="F986" s="55"/>
      <c r="G986" s="12" t="s">
        <v>4643</v>
      </c>
      <c r="H986" s="74"/>
      <c r="I986" s="147" t="str">
        <f>HYPERLINK("[#]Datatypes!B1134:L1134","RedCrossAdminRegionTypeCode")</f>
        <v>RedCrossAdminRegionTypeCode</v>
      </c>
      <c r="J986" s="80"/>
      <c r="K986" s="77"/>
      <c r="L986" s="77"/>
      <c r="M986" s="71" t="str">
        <f>HYPERLINK("[#]DatatypeListedValues!A5782:H5782","&lt;values&gt;")</f>
        <v>&lt;values&gt;</v>
      </c>
      <c r="N986" s="82" t="b">
        <v>0</v>
      </c>
      <c r="O986" s="25">
        <v>204371</v>
      </c>
      <c r="P986" s="304" t="str">
        <f>CONCATENATE([1]Cover!$D$6,"fdd/view?i=",O986)</f>
        <v>https://www.dgiwg.org/FAD/fdd/view?i=204371</v>
      </c>
      <c r="Q986" s="8" t="s">
        <v>9472</v>
      </c>
      <c r="R986" s="38" t="s">
        <v>1295</v>
      </c>
    </row>
    <row r="987" spans="1:18" ht="38.25">
      <c r="A987" s="302" t="str">
        <f t="shared" si="26"/>
        <v>rvsmLowerLimit</v>
      </c>
      <c r="B987" s="6" t="s">
        <v>9478</v>
      </c>
      <c r="C987" s="17" t="s">
        <v>9479</v>
      </c>
      <c r="D987" s="10" t="s">
        <v>9480</v>
      </c>
      <c r="E987" s="55"/>
      <c r="F987" s="55"/>
      <c r="G987" s="12" t="s">
        <v>4643</v>
      </c>
      <c r="H987" s="74"/>
      <c r="I987" s="147" t="str">
        <f>HYPERLINK("[#]Datatypes!B1097:L1097","Real")</f>
        <v>Real</v>
      </c>
      <c r="J987" s="76" t="str">
        <f>HYPERLINK("[#]PhysicalQuantities!A20:N20","Length")</f>
        <v>Length</v>
      </c>
      <c r="K987" s="75" t="str">
        <f>HYPERLINK("[#]UnitsOfMeasure!D80:G80","Metre")</f>
        <v>Metre</v>
      </c>
      <c r="L987" s="77"/>
      <c r="M987" s="78"/>
      <c r="N987" s="74"/>
      <c r="O987" s="25">
        <v>117685</v>
      </c>
      <c r="P987" s="304" t="str">
        <f>CONCATENATE([1]Cover!$D$6,"fdd/view?i=",O987)</f>
        <v>https://www.dgiwg.org/FAD/fdd/view?i=117685</v>
      </c>
      <c r="Q987" s="8" t="s">
        <v>9477</v>
      </c>
      <c r="R987" s="38" t="s">
        <v>151</v>
      </c>
    </row>
    <row r="988" spans="1:18" ht="25.5">
      <c r="A988" s="302" t="str">
        <f t="shared" si="26"/>
        <v>rvsmPointType</v>
      </c>
      <c r="B988" s="6" t="s">
        <v>9482</v>
      </c>
      <c r="C988" s="17" t="s">
        <v>9483</v>
      </c>
      <c r="D988" s="10" t="s">
        <v>9484</v>
      </c>
      <c r="E988" s="10" t="s">
        <v>9485</v>
      </c>
      <c r="F988" s="55"/>
      <c r="G988" s="12" t="s">
        <v>4643</v>
      </c>
      <c r="H988" s="74"/>
      <c r="I988" s="147" t="str">
        <f>HYPERLINK("[#]Datatypes!B1136:L1136","RvsmPointTypeCode")</f>
        <v>RvsmPointTypeCode</v>
      </c>
      <c r="J988" s="80"/>
      <c r="K988" s="77"/>
      <c r="L988" s="77"/>
      <c r="M988" s="71" t="str">
        <f>HYPERLINK("[#]DatatypeListedValues!A5788:H5788","&lt;values&gt;")</f>
        <v>&lt;values&gt;</v>
      </c>
      <c r="N988" s="82" t="b">
        <v>0</v>
      </c>
      <c r="O988" s="25">
        <v>117702</v>
      </c>
      <c r="P988" s="304" t="str">
        <f>CONCATENATE([1]Cover!$D$6,"fdd/view?i=",O988)</f>
        <v>https://www.dgiwg.org/FAD/fdd/view?i=117702</v>
      </c>
      <c r="Q988" s="8" t="s">
        <v>9481</v>
      </c>
      <c r="R988" s="38" t="s">
        <v>151</v>
      </c>
    </row>
    <row r="989" spans="1:18" ht="25.5">
      <c r="A989" s="302" t="str">
        <f t="shared" si="26"/>
        <v>rvsmUpperLimit</v>
      </c>
      <c r="B989" s="6" t="s">
        <v>9488</v>
      </c>
      <c r="C989" s="17" t="s">
        <v>9489</v>
      </c>
      <c r="D989" s="10" t="s">
        <v>9490</v>
      </c>
      <c r="E989" s="55"/>
      <c r="F989" s="55"/>
      <c r="G989" s="12" t="s">
        <v>4643</v>
      </c>
      <c r="H989" s="74"/>
      <c r="I989" s="147" t="str">
        <f>HYPERLINK("[#]Datatypes!B1097:L1097","Real")</f>
        <v>Real</v>
      </c>
      <c r="J989" s="76" t="str">
        <f>HYPERLINK("[#]PhysicalQuantities!A20:N20","Length")</f>
        <v>Length</v>
      </c>
      <c r="K989" s="75" t="str">
        <f>HYPERLINK("[#]UnitsOfMeasure!D80:G80","Metre")</f>
        <v>Metre</v>
      </c>
      <c r="L989" s="77"/>
      <c r="M989" s="78"/>
      <c r="N989" s="74"/>
      <c r="O989" s="25">
        <v>117698</v>
      </c>
      <c r="P989" s="304" t="str">
        <f>CONCATENATE([1]Cover!$D$6,"fdd/view?i=",O989)</f>
        <v>https://www.dgiwg.org/FAD/fdd/view?i=117698</v>
      </c>
      <c r="Q989" s="8" t="s">
        <v>9487</v>
      </c>
      <c r="R989" s="38" t="s">
        <v>151</v>
      </c>
    </row>
    <row r="990" spans="1:18" ht="25.5">
      <c r="A990" s="302" t="str">
        <f t="shared" si="26"/>
        <v>refPathIdentifier</v>
      </c>
      <c r="B990" s="6" t="s">
        <v>9492</v>
      </c>
      <c r="C990" s="17" t="s">
        <v>9493</v>
      </c>
      <c r="D990" s="10" t="s">
        <v>9494</v>
      </c>
      <c r="E990" s="55"/>
      <c r="F990" s="55"/>
      <c r="G990" s="12" t="s">
        <v>4643</v>
      </c>
      <c r="H990" s="74"/>
      <c r="I990" s="147" t="str">
        <f>HYPERLINK("[#]Datatypes!B1138:L1138","RefPathIdentifierStrucText")</f>
        <v>RefPathIdentifierStrucText</v>
      </c>
      <c r="J990" s="80"/>
      <c r="K990" s="77"/>
      <c r="L990" s="77"/>
      <c r="M990" s="78"/>
      <c r="N990" s="74"/>
      <c r="O990" s="25">
        <v>206995</v>
      </c>
      <c r="P990" s="304" t="str">
        <f>CONCATENATE([1]Cover!$D$6,"fdd/view?i=",O990)</f>
        <v>https://www.dgiwg.org/FAD/fdd/view?i=206995</v>
      </c>
      <c r="Q990" s="8" t="s">
        <v>9491</v>
      </c>
      <c r="R990" s="38" t="s">
        <v>1295</v>
      </c>
    </row>
    <row r="991" spans="1:18" ht="25.5">
      <c r="A991" s="302" t="str">
        <f t="shared" si="26"/>
        <v>refPointDetermineMethod</v>
      </c>
      <c r="B991" s="6" t="s">
        <v>9497</v>
      </c>
      <c r="C991" s="17" t="s">
        <v>9498</v>
      </c>
      <c r="D991" s="10" t="s">
        <v>9499</v>
      </c>
      <c r="E991" s="55"/>
      <c r="F991" s="55"/>
      <c r="G991" s="12" t="s">
        <v>4643</v>
      </c>
      <c r="H991" s="74"/>
      <c r="I991" s="147" t="str">
        <f>HYPERLINK("[#]Datatypes!B1140:L1140","RefPointDetermineMethodCode")</f>
        <v>RefPointDetermineMethodCode</v>
      </c>
      <c r="J991" s="80"/>
      <c r="K991" s="77"/>
      <c r="L991" s="77"/>
      <c r="M991" s="71" t="str">
        <f>HYPERLINK("[#]DatatypeListedValues!A5791:H5791","&lt;values&gt;")</f>
        <v>&lt;values&gt;</v>
      </c>
      <c r="N991" s="82" t="b">
        <v>0</v>
      </c>
      <c r="O991" s="25">
        <v>101241</v>
      </c>
      <c r="P991" s="304" t="str">
        <f>CONCATENATE([1]Cover!$D$6,"fdd/view?i=",O991)</f>
        <v>https://www.dgiwg.org/FAD/fdd/view?i=101241</v>
      </c>
      <c r="Q991" s="8" t="s">
        <v>9496</v>
      </c>
      <c r="R991" s="38" t="s">
        <v>151</v>
      </c>
    </row>
    <row r="992" spans="1:18" ht="25.5">
      <c r="A992" s="302" t="str">
        <f t="shared" si="26"/>
        <v>refStationDataSelector</v>
      </c>
      <c r="B992" s="6" t="s">
        <v>9502</v>
      </c>
      <c r="C992" s="17" t="s">
        <v>9503</v>
      </c>
      <c r="D992" s="10" t="s">
        <v>9504</v>
      </c>
      <c r="E992" s="55"/>
      <c r="F992" s="55"/>
      <c r="G992" s="12" t="s">
        <v>4643</v>
      </c>
      <c r="H992" s="74"/>
      <c r="I992" s="147" t="str">
        <f>HYPERLINK("[#]Datatypes!B1142:L1142","RefStationDataSelectorStrucText")</f>
        <v>RefStationDataSelectorStrucText</v>
      </c>
      <c r="J992" s="80"/>
      <c r="K992" s="77"/>
      <c r="L992" s="77"/>
      <c r="M992" s="78"/>
      <c r="N992" s="74"/>
      <c r="O992" s="25">
        <v>206996</v>
      </c>
      <c r="P992" s="304" t="str">
        <f>CONCATENATE([1]Cover!$D$6,"fdd/view?i=",O992)</f>
        <v>https://www.dgiwg.org/FAD/fdd/view?i=206996</v>
      </c>
      <c r="Q992" s="8" t="s">
        <v>9501</v>
      </c>
      <c r="R992" s="38" t="s">
        <v>1295</v>
      </c>
    </row>
    <row r="993" spans="1:18">
      <c r="A993" s="302" t="str">
        <f t="shared" si="26"/>
        <v>referenceSystemIdentifier</v>
      </c>
      <c r="B993" s="6" t="s">
        <v>9507</v>
      </c>
      <c r="C993" s="17" t="s">
        <v>9508</v>
      </c>
      <c r="D993" s="10" t="s">
        <v>9509</v>
      </c>
      <c r="E993" s="55"/>
      <c r="F993" s="55"/>
      <c r="G993" s="12" t="s">
        <v>4643</v>
      </c>
      <c r="H993" s="74"/>
      <c r="I993" s="147" t="str">
        <f>HYPERLINK("[#]Datatypes!B1144:L1144","RefSystemIdentStrucText")</f>
        <v>RefSystemIdentStrucText</v>
      </c>
      <c r="J993" s="80"/>
      <c r="K993" s="77"/>
      <c r="L993" s="77"/>
      <c r="M993" s="78"/>
      <c r="N993" s="74"/>
      <c r="O993" s="25">
        <v>207188</v>
      </c>
      <c r="P993" s="304" t="str">
        <f>CONCATENATE([1]Cover!$D$6,"fdd/view?i=",O993)</f>
        <v>https://www.dgiwg.org/FAD/fdd/view?i=207188</v>
      </c>
      <c r="Q993" s="8" t="s">
        <v>9506</v>
      </c>
      <c r="R993" s="38" t="s">
        <v>1295</v>
      </c>
    </row>
    <row r="994" spans="1:18" ht="38.25">
      <c r="A994" s="302" t="str">
        <f t="shared" si="26"/>
        <v>referenceWaterLevel</v>
      </c>
      <c r="B994" s="6" t="s">
        <v>9511</v>
      </c>
      <c r="C994" s="17" t="s">
        <v>9512</v>
      </c>
      <c r="D994" s="10" t="s">
        <v>9513</v>
      </c>
      <c r="E994" s="55"/>
      <c r="F994" s="55"/>
      <c r="G994" s="12" t="s">
        <v>4643</v>
      </c>
      <c r="H994" s="74"/>
      <c r="I994" s="147" t="str">
        <f>HYPERLINK("[#]Datatypes!B1146:L1146","ReferenceWaterLevelCode")</f>
        <v>ReferenceWaterLevelCode</v>
      </c>
      <c r="J994" s="80"/>
      <c r="K994" s="77"/>
      <c r="L994" s="77"/>
      <c r="M994" s="71" t="str">
        <f>HYPERLINK("[#]DatatypeListedValues!A5800:H5800","&lt;values&gt;")</f>
        <v>&lt;values&gt;</v>
      </c>
      <c r="N994" s="12" t="b">
        <v>1</v>
      </c>
      <c r="O994" s="25">
        <v>110814</v>
      </c>
      <c r="P994" s="304" t="str">
        <f>CONCATENATE([1]Cover!$D$6,"fdd/view?i=",O994)</f>
        <v>https://www.dgiwg.org/FAD/fdd/view?i=110814</v>
      </c>
      <c r="Q994" s="8" t="s">
        <v>9510</v>
      </c>
      <c r="R994" s="38" t="s">
        <v>151</v>
      </c>
    </row>
    <row r="995" spans="1:18" ht="51">
      <c r="A995" s="302" t="str">
        <f t="shared" si="26"/>
        <v>regulatorySignType</v>
      </c>
      <c r="B995" s="6" t="s">
        <v>9516</v>
      </c>
      <c r="C995" s="17" t="s">
        <v>9517</v>
      </c>
      <c r="D995" s="10" t="s">
        <v>9518</v>
      </c>
      <c r="E995" s="55"/>
      <c r="F995" s="55"/>
      <c r="G995" s="12" t="s">
        <v>4643</v>
      </c>
      <c r="H995" s="74"/>
      <c r="I995" s="147" t="str">
        <f>HYPERLINK("[#]Datatypes!B1148:L1148","RegulatorySignTypeCode")</f>
        <v>RegulatorySignTypeCode</v>
      </c>
      <c r="J995" s="80"/>
      <c r="K995" s="77"/>
      <c r="L995" s="77"/>
      <c r="M995" s="71" t="str">
        <f>HYPERLINK("[#]DatatypeListedValues!A5802:H5802","&lt;values&gt;")</f>
        <v>&lt;values&gt;</v>
      </c>
      <c r="N995" s="82" t="b">
        <v>0</v>
      </c>
      <c r="O995" s="25">
        <v>204140</v>
      </c>
      <c r="P995" s="304" t="str">
        <f>CONCATENATE([1]Cover!$D$6,"fdd/view?i=",O995)</f>
        <v>https://www.dgiwg.org/FAD/fdd/view?i=204140</v>
      </c>
      <c r="Q995" s="8" t="s">
        <v>9515</v>
      </c>
      <c r="R995" s="38" t="s">
        <v>1295</v>
      </c>
    </row>
    <row r="996" spans="1:18" ht="38.25">
      <c r="A996" s="302" t="str">
        <f t="shared" si="26"/>
        <v>rejectTakeOffDistAvailHeli</v>
      </c>
      <c r="B996" s="6" t="s">
        <v>9521</v>
      </c>
      <c r="C996" s="17" t="s">
        <v>9522</v>
      </c>
      <c r="D996" s="10" t="s">
        <v>9523</v>
      </c>
      <c r="E996" s="55"/>
      <c r="F996" s="10" t="s">
        <v>9524</v>
      </c>
      <c r="G996" s="12" t="s">
        <v>4643</v>
      </c>
      <c r="H996" s="74"/>
      <c r="I996" s="147" t="str">
        <f>HYPERLINK("[#]Datatypes!B1097:L1097","Real")</f>
        <v>Real</v>
      </c>
      <c r="J996" s="76" t="str">
        <f>HYPERLINK("[#]PhysicalQuantities!A20:N20","Length")</f>
        <v>Length</v>
      </c>
      <c r="K996" s="75" t="str">
        <f>HYPERLINK("[#]UnitsOfMeasure!D80:G80","Metre")</f>
        <v>Metre</v>
      </c>
      <c r="L996" s="77"/>
      <c r="M996" s="78"/>
      <c r="N996" s="74"/>
      <c r="O996" s="25">
        <v>117697</v>
      </c>
      <c r="P996" s="304" t="str">
        <f>CONCATENATE([1]Cover!$D$6,"fdd/view?i=",O996)</f>
        <v>https://www.dgiwg.org/FAD/fdd/view?i=117697</v>
      </c>
      <c r="Q996" s="8" t="s">
        <v>9520</v>
      </c>
      <c r="R996" s="38" t="s">
        <v>151</v>
      </c>
    </row>
    <row r="997" spans="1:18" ht="25.5">
      <c r="A997" s="302" t="str">
        <f t="shared" si="26"/>
        <v>relativeLevel</v>
      </c>
      <c r="B997" s="6" t="s">
        <v>9526</v>
      </c>
      <c r="C997" s="17" t="s">
        <v>9527</v>
      </c>
      <c r="D997" s="10" t="s">
        <v>9528</v>
      </c>
      <c r="E997" s="10" t="s">
        <v>9529</v>
      </c>
      <c r="F997" s="55"/>
      <c r="G997" s="12" t="s">
        <v>4643</v>
      </c>
      <c r="H997" s="74"/>
      <c r="I997" s="147" t="str">
        <f>HYPERLINK("[#]Datatypes!B1150:L1150","RelativeLevelCode")</f>
        <v>RelativeLevelCode</v>
      </c>
      <c r="J997" s="80"/>
      <c r="K997" s="77"/>
      <c r="L997" s="77"/>
      <c r="M997" s="71" t="str">
        <f>HYPERLINK("[#]DatatypeListedValues!A5804:H5804","&lt;values&gt;")</f>
        <v>&lt;values&gt;</v>
      </c>
      <c r="N997" s="12" t="b">
        <v>1</v>
      </c>
      <c r="O997" s="25">
        <v>109978</v>
      </c>
      <c r="P997" s="304" t="str">
        <f>CONCATENATE([1]Cover!$D$6,"fdd/view?i=",O997)</f>
        <v>https://www.dgiwg.org/FAD/fdd/view?i=109978</v>
      </c>
      <c r="Q997" s="8" t="s">
        <v>9525</v>
      </c>
      <c r="R997" s="38" t="s">
        <v>151</v>
      </c>
    </row>
    <row r="998" spans="1:18">
      <c r="A998" s="302" t="str">
        <f t="shared" si="26"/>
        <v>religiousDesignation</v>
      </c>
      <c r="B998" s="6" t="s">
        <v>9532</v>
      </c>
      <c r="C998" s="17" t="s">
        <v>9533</v>
      </c>
      <c r="D998" s="10" t="s">
        <v>9534</v>
      </c>
      <c r="E998" s="55"/>
      <c r="F998" s="55"/>
      <c r="G998" s="12" t="s">
        <v>4643</v>
      </c>
      <c r="H998" s="74"/>
      <c r="I998" s="147" t="str">
        <f>HYPERLINK("[#]Datatypes!B1152:L1152","ReligiousDesignationCode")</f>
        <v>ReligiousDesignationCode</v>
      </c>
      <c r="J998" s="80"/>
      <c r="K998" s="77"/>
      <c r="L998" s="77"/>
      <c r="M998" s="71" t="str">
        <f>HYPERLINK("[#]DatatypeListedValues!A5807:H5807","&lt;values&gt;")</f>
        <v>&lt;values&gt;</v>
      </c>
      <c r="N998" s="82" t="b">
        <v>0</v>
      </c>
      <c r="O998" s="25">
        <v>101216</v>
      </c>
      <c r="P998" s="304" t="str">
        <f>CONCATENATE([1]Cover!$D$6,"fdd/view?i=",O998)</f>
        <v>https://www.dgiwg.org/FAD/fdd/view?i=101216</v>
      </c>
      <c r="Q998" s="8" t="s">
        <v>9531</v>
      </c>
      <c r="R998" s="38" t="s">
        <v>151</v>
      </c>
    </row>
    <row r="999" spans="1:18" ht="38.25">
      <c r="A999" s="302" t="str">
        <f t="shared" si="26"/>
        <v>religiousFacilityType</v>
      </c>
      <c r="B999" s="6" t="s">
        <v>9537</v>
      </c>
      <c r="C999" s="17" t="s">
        <v>9538</v>
      </c>
      <c r="D999" s="10" t="s">
        <v>9539</v>
      </c>
      <c r="E999" s="55"/>
      <c r="F999" s="55"/>
      <c r="G999" s="12" t="s">
        <v>4643</v>
      </c>
      <c r="H999" s="74"/>
      <c r="I999" s="147" t="str">
        <f>HYPERLINK("[#]Datatypes!B1154:L1154","ReligiousFacilityTypeCode")</f>
        <v>ReligiousFacilityTypeCode</v>
      </c>
      <c r="J999" s="80"/>
      <c r="K999" s="77"/>
      <c r="L999" s="77"/>
      <c r="M999" s="71" t="str">
        <f>HYPERLINK("[#]DatatypeListedValues!A5820:H5820","&lt;values&gt;")</f>
        <v>&lt;values&gt;</v>
      </c>
      <c r="N999" s="82" t="b">
        <v>0</v>
      </c>
      <c r="O999" s="25">
        <v>111696</v>
      </c>
      <c r="P999" s="304" t="str">
        <f>CONCATENATE([1]Cover!$D$6,"fdd/view?i=",O999)</f>
        <v>https://www.dgiwg.org/FAD/fdd/view?i=111696</v>
      </c>
      <c r="Q999" s="8" t="s">
        <v>9536</v>
      </c>
      <c r="R999" s="38" t="s">
        <v>151</v>
      </c>
    </row>
    <row r="1000" spans="1:18" ht="25.5">
      <c r="A1000" s="302" t="str">
        <f t="shared" si="26"/>
        <v>remoteSensMineActuateMeth</v>
      </c>
      <c r="B1000" s="6" t="s">
        <v>9542</v>
      </c>
      <c r="C1000" s="17" t="s">
        <v>9543</v>
      </c>
      <c r="D1000" s="10" t="s">
        <v>9544</v>
      </c>
      <c r="E1000" s="55"/>
      <c r="F1000" s="55"/>
      <c r="G1000" s="12" t="s">
        <v>4643</v>
      </c>
      <c r="H1000" s="74"/>
      <c r="I1000" s="147" t="str">
        <f>HYPERLINK("[#]Datatypes!B1156:L1156","RemoteSensMineActuateMethCode")</f>
        <v>RemoteSensMineActuateMethCode</v>
      </c>
      <c r="J1000" s="80"/>
      <c r="K1000" s="77"/>
      <c r="L1000" s="77"/>
      <c r="M1000" s="71" t="str">
        <f>HYPERLINK("[#]DatatypeListedValues!A5841:H5841","&lt;values&gt;")</f>
        <v>&lt;values&gt;</v>
      </c>
      <c r="N1000" s="82" t="b">
        <v>0</v>
      </c>
      <c r="O1000" s="25">
        <v>101051</v>
      </c>
      <c r="P1000" s="304" t="str">
        <f>CONCATENATE([1]Cover!$D$6,"fdd/view?i=",O1000)</f>
        <v>https://www.dgiwg.org/FAD/fdd/view?i=101051</v>
      </c>
      <c r="Q1000" s="8" t="s">
        <v>9541</v>
      </c>
      <c r="R1000" s="38" t="s">
        <v>151</v>
      </c>
    </row>
    <row r="1001" spans="1:18" ht="38.25">
      <c r="A1001" s="302" t="str">
        <f t="shared" si="26"/>
        <v>reportSource</v>
      </c>
      <c r="B1001" s="6" t="s">
        <v>9547</v>
      </c>
      <c r="C1001" s="17" t="s">
        <v>9548</v>
      </c>
      <c r="D1001" s="10" t="s">
        <v>9549</v>
      </c>
      <c r="E1001" s="55"/>
      <c r="F1001" s="55"/>
      <c r="G1001" s="12" t="s">
        <v>4643</v>
      </c>
      <c r="H1001" s="74"/>
      <c r="I1001" s="147" t="str">
        <f>HYPERLINK("[#]Datatypes!B1204:L1204","CI_ResponsibleParty")</f>
        <v>CI_ResponsibleParty</v>
      </c>
      <c r="J1001" s="80"/>
      <c r="K1001" s="77"/>
      <c r="L1001" s="77"/>
      <c r="M1001" s="78"/>
      <c r="N1001" s="74"/>
      <c r="O1001" s="25">
        <v>200600</v>
      </c>
      <c r="P1001" s="304" t="str">
        <f>CONCATENATE([1]Cover!$D$6,"fdd/view?i=",O1001)</f>
        <v>https://www.dgiwg.org/FAD/fdd/view?i=200600</v>
      </c>
      <c r="Q1001" s="8" t="s">
        <v>9546</v>
      </c>
      <c r="R1001" s="38" t="s">
        <v>1295</v>
      </c>
    </row>
    <row r="1002" spans="1:18" ht="51">
      <c r="A1002" s="302" t="str">
        <f t="shared" si="26"/>
        <v>requiredNavPerformanceType</v>
      </c>
      <c r="B1002" s="6" t="s">
        <v>9551</v>
      </c>
      <c r="C1002" s="17" t="s">
        <v>9552</v>
      </c>
      <c r="D1002" s="10" t="s">
        <v>9553</v>
      </c>
      <c r="E1002" s="10" t="s">
        <v>9554</v>
      </c>
      <c r="F1002" s="10" t="s">
        <v>9555</v>
      </c>
      <c r="G1002" s="12" t="s">
        <v>4643</v>
      </c>
      <c r="H1002" s="74"/>
      <c r="I1002" s="147" t="str">
        <f>HYPERLINK("[#]Datatypes!B1097:L1097","Real")</f>
        <v>Real</v>
      </c>
      <c r="J1002" s="76" t="str">
        <f>HYPERLINK("[#]PhysicalQuantities!A20:N20","Length")</f>
        <v>Length</v>
      </c>
      <c r="K1002" s="75" t="str">
        <f>HYPERLINK("[#]UnitsOfMeasure!D94:G94","Nautical Mile")</f>
        <v>Nautical Mile</v>
      </c>
      <c r="L1002" s="77"/>
      <c r="M1002" s="78"/>
      <c r="N1002" s="74"/>
      <c r="O1002" s="25">
        <v>117689</v>
      </c>
      <c r="P1002" s="304" t="str">
        <f>CONCATENATE([1]Cover!$D$6,"fdd/view?i=",O1002)</f>
        <v>https://www.dgiwg.org/FAD/fdd/view?i=117689</v>
      </c>
      <c r="Q1002" s="8" t="s">
        <v>9550</v>
      </c>
      <c r="R1002" s="38" t="s">
        <v>151</v>
      </c>
    </row>
    <row r="1003" spans="1:18" ht="76.5">
      <c r="A1003" s="302" t="str">
        <f t="shared" si="26"/>
        <v>reserveVessel</v>
      </c>
      <c r="B1003" s="6" t="s">
        <v>9557</v>
      </c>
      <c r="C1003" s="17" t="s">
        <v>9558</v>
      </c>
      <c r="D1003" s="10" t="s">
        <v>9559</v>
      </c>
      <c r="E1003" s="10" t="s">
        <v>9560</v>
      </c>
      <c r="F1003" s="55"/>
      <c r="G1003" s="12" t="s">
        <v>4643</v>
      </c>
      <c r="H1003" s="74"/>
      <c r="I1003" s="147" t="str">
        <f>HYPERLINK("[#]Datatypes!B230:L230","Boolean")</f>
        <v>Boolean</v>
      </c>
      <c r="J1003" s="80"/>
      <c r="K1003" s="77"/>
      <c r="L1003" s="77"/>
      <c r="M1003" s="78"/>
      <c r="N1003" s="74"/>
      <c r="O1003" s="25">
        <v>111709</v>
      </c>
      <c r="P1003" s="304" t="str">
        <f>CONCATENATE([1]Cover!$D$6,"fdd/view?i=",O1003)</f>
        <v>https://www.dgiwg.org/FAD/fdd/view?i=111709</v>
      </c>
      <c r="Q1003" s="8" t="s">
        <v>9556</v>
      </c>
      <c r="R1003" s="38" t="s">
        <v>151</v>
      </c>
    </row>
    <row r="1004" spans="1:18" ht="25.5">
      <c r="A1004" s="302" t="str">
        <f t="shared" si="26"/>
        <v>distance</v>
      </c>
      <c r="B1004" s="6" t="s">
        <v>9562</v>
      </c>
      <c r="C1004" s="17" t="s">
        <v>9563</v>
      </c>
      <c r="D1004" s="10" t="s">
        <v>9564</v>
      </c>
      <c r="E1004" s="55"/>
      <c r="F1004" s="55"/>
      <c r="G1004" s="12" t="s">
        <v>4643</v>
      </c>
      <c r="H1004" s="74"/>
      <c r="I1004" s="147" t="str">
        <f>HYPERLINK("[#]Datatypes!B1097:L1097","Real")</f>
        <v>Real</v>
      </c>
      <c r="J1004" s="76" t="str">
        <f>HYPERLINK("[#]PhysicalQuantities!A20:N20","Length")</f>
        <v>Length</v>
      </c>
      <c r="K1004" s="75" t="str">
        <f>HYPERLINK("[#]UnitsOfMeasure!D80:G80","Metre")</f>
        <v>Metre</v>
      </c>
      <c r="L1004" s="77"/>
      <c r="M1004" s="78"/>
      <c r="N1004" s="74"/>
      <c r="O1004" s="25">
        <v>207282</v>
      </c>
      <c r="P1004" s="304" t="str">
        <f>CONCATENATE([1]Cover!$D$6,"fdd/view?i=",O1004)</f>
        <v>https://www.dgiwg.org/FAD/fdd/view?i=207282</v>
      </c>
      <c r="Q1004" s="8" t="s">
        <v>9561</v>
      </c>
      <c r="R1004" s="38" t="s">
        <v>1295</v>
      </c>
    </row>
    <row r="1005" spans="1:18" ht="25.5">
      <c r="A1005" s="302" t="str">
        <f t="shared" si="26"/>
        <v>equivalentScale</v>
      </c>
      <c r="B1005" s="6" t="s">
        <v>6806</v>
      </c>
      <c r="C1005" s="17" t="s">
        <v>9566</v>
      </c>
      <c r="D1005" s="10" t="s">
        <v>9567</v>
      </c>
      <c r="E1005" s="55"/>
      <c r="F1005" s="55"/>
      <c r="G1005" s="12" t="s">
        <v>4643</v>
      </c>
      <c r="H1005" s="74"/>
      <c r="I1005" s="147" t="str">
        <f>HYPERLINK("[#]Datatypes!B522:L522","EquivalentScaleStrucText")</f>
        <v>EquivalentScaleStrucText</v>
      </c>
      <c r="J1005" s="80"/>
      <c r="K1005" s="77"/>
      <c r="L1005" s="77"/>
      <c r="M1005" s="78"/>
      <c r="N1005" s="74"/>
      <c r="O1005" s="25">
        <v>207281</v>
      </c>
      <c r="P1005" s="304" t="str">
        <f>CONCATENATE([1]Cover!$D$6,"fdd/view?i=",O1005)</f>
        <v>https://www.dgiwg.org/FAD/fdd/view?i=207281</v>
      </c>
      <c r="Q1005" s="8" t="s">
        <v>9565</v>
      </c>
      <c r="R1005" s="38" t="s">
        <v>151</v>
      </c>
    </row>
    <row r="1006" spans="1:18">
      <c r="A1006" s="302" t="str">
        <f t="shared" si="26"/>
        <v>abstract</v>
      </c>
      <c r="B1006" s="6" t="s">
        <v>9570</v>
      </c>
      <c r="C1006" s="17" t="s">
        <v>9571</v>
      </c>
      <c r="D1006" s="10" t="s">
        <v>9572</v>
      </c>
      <c r="E1006" s="55"/>
      <c r="F1006" s="55"/>
      <c r="G1006" s="12" t="s">
        <v>4643</v>
      </c>
      <c r="H1006" s="74"/>
      <c r="I1006" s="147" t="str">
        <f>HYPERLINK("[#]Datatypes!B1416:L1416","TextLexUnconstrained")</f>
        <v>TextLexUnconstrained</v>
      </c>
      <c r="J1006" s="80"/>
      <c r="K1006" s="77"/>
      <c r="L1006" s="77"/>
      <c r="M1006" s="78"/>
      <c r="N1006" s="74"/>
      <c r="O1006" s="25">
        <v>207168</v>
      </c>
      <c r="P1006" s="304" t="str">
        <f>CONCATENATE([1]Cover!$D$6,"fdd/view?i=",O1006)</f>
        <v>https://www.dgiwg.org/FAD/fdd/view?i=207168</v>
      </c>
      <c r="Q1006" s="8" t="s">
        <v>9569</v>
      </c>
      <c r="R1006" s="38" t="s">
        <v>1295</v>
      </c>
    </row>
    <row r="1007" spans="1:18" ht="25.5">
      <c r="A1007" s="302" t="str">
        <f t="shared" si="26"/>
        <v>accessConstraints</v>
      </c>
      <c r="B1007" s="6" t="s">
        <v>9574</v>
      </c>
      <c r="C1007" s="17" t="s">
        <v>9575</v>
      </c>
      <c r="D1007" s="10" t="s">
        <v>9576</v>
      </c>
      <c r="E1007" s="10" t="s">
        <v>3620</v>
      </c>
      <c r="F1007" s="55"/>
      <c r="G1007" s="12" t="s">
        <v>4643</v>
      </c>
      <c r="H1007" s="74"/>
      <c r="I1007" s="147" t="str">
        <f>HYPERLINK("[#]Datatypes!B1213:L1213","MD_RestrictionCode")</f>
        <v>MD_RestrictionCode</v>
      </c>
      <c r="J1007" s="80"/>
      <c r="K1007" s="77"/>
      <c r="L1007" s="77"/>
      <c r="M1007" s="78"/>
      <c r="N1007" s="74"/>
      <c r="O1007" s="25">
        <v>207182</v>
      </c>
      <c r="P1007" s="304" t="str">
        <f>CONCATENATE([1]Cover!$D$6,"fdd/view?i=",O1007)</f>
        <v>https://www.dgiwg.org/FAD/fdd/view?i=207182</v>
      </c>
      <c r="Q1007" s="8" t="s">
        <v>9573</v>
      </c>
      <c r="R1007" s="38" t="s">
        <v>1295</v>
      </c>
    </row>
    <row r="1008" spans="1:18">
      <c r="A1008" s="302" t="str">
        <f t="shared" si="26"/>
        <v>associationType</v>
      </c>
      <c r="B1008" s="6" t="s">
        <v>9579</v>
      </c>
      <c r="C1008" s="17" t="s">
        <v>9580</v>
      </c>
      <c r="D1008" s="10" t="s">
        <v>9581</v>
      </c>
      <c r="E1008" s="55"/>
      <c r="F1008" s="55"/>
      <c r="G1008" s="12" t="s">
        <v>4643</v>
      </c>
      <c r="H1008" s="74"/>
      <c r="I1008" s="147" t="str">
        <f>HYPERLINK("[#]Datatypes!B1158:L1158","DS_AssociationTypeCode")</f>
        <v>DS_AssociationTypeCode</v>
      </c>
      <c r="J1008" s="80"/>
      <c r="K1008" s="77"/>
      <c r="L1008" s="77"/>
      <c r="M1008" s="78"/>
      <c r="N1008" s="74"/>
      <c r="O1008" s="25">
        <v>207181</v>
      </c>
      <c r="P1008" s="304" t="str">
        <f>CONCATENATE([1]Cover!$D$6,"fdd/view?i=",O1008)</f>
        <v>https://www.dgiwg.org/FAD/fdd/view?i=207181</v>
      </c>
      <c r="Q1008" s="8" t="s">
        <v>9578</v>
      </c>
      <c r="R1008" s="38" t="s">
        <v>1295</v>
      </c>
    </row>
    <row r="1009" spans="1:18" ht="25.5">
      <c r="A1009" s="302" t="str">
        <f t="shared" si="26"/>
        <v>resAtomicEnergyMarkings</v>
      </c>
      <c r="B1009" s="6" t="s">
        <v>9584</v>
      </c>
      <c r="C1009" s="17" t="s">
        <v>9585</v>
      </c>
      <c r="D1009" s="10" t="s">
        <v>9586</v>
      </c>
      <c r="E1009" s="55"/>
      <c r="F1009" s="55"/>
      <c r="G1009" s="12" t="s">
        <v>4643</v>
      </c>
      <c r="H1009" s="74"/>
      <c r="I1009" s="147" t="str">
        <f>HYPERLINK("[#]Datatypes!B1160:L1160","ResAtomicEnergyMarkingsStrucText")</f>
        <v>ResAtomicEnergyMarkingsStrucText</v>
      </c>
      <c r="J1009" s="80"/>
      <c r="K1009" s="77"/>
      <c r="L1009" s="77"/>
      <c r="M1009" s="78"/>
      <c r="N1009" s="74"/>
      <c r="O1009" s="25">
        <v>207932</v>
      </c>
      <c r="P1009" s="304" t="str">
        <f>CONCATENATE([1]Cover!$D$6,"fdd/view?i=",O1009)</f>
        <v>https://www.dgiwg.org/FAD/fdd/view?i=207932</v>
      </c>
      <c r="Q1009" s="8" t="s">
        <v>9583</v>
      </c>
      <c r="R1009" s="38" t="s">
        <v>1295</v>
      </c>
    </row>
    <row r="1010" spans="1:18">
      <c r="A1010" s="302" t="str">
        <f t="shared" si="26"/>
        <v>citation</v>
      </c>
      <c r="B1010" s="6" t="s">
        <v>9589</v>
      </c>
      <c r="C1010" s="17" t="s">
        <v>9590</v>
      </c>
      <c r="D1010" s="10" t="s">
        <v>9591</v>
      </c>
      <c r="E1010" s="55"/>
      <c r="F1010" s="55"/>
      <c r="G1010" s="12" t="s">
        <v>4643</v>
      </c>
      <c r="H1010" s="74"/>
      <c r="I1010" s="147" t="str">
        <f>HYPERLINK("[#]Datatypes!B315:L315","CitationStrucText")</f>
        <v>CitationStrucText</v>
      </c>
      <c r="J1010" s="80"/>
      <c r="K1010" s="77"/>
      <c r="L1010" s="77"/>
      <c r="M1010" s="78"/>
      <c r="N1010" s="74"/>
      <c r="O1010" s="25">
        <v>207167</v>
      </c>
      <c r="P1010" s="304" t="str">
        <f>CONCATENATE([1]Cover!$D$6,"fdd/view?i=",O1010)</f>
        <v>https://www.dgiwg.org/FAD/fdd/view?i=207167</v>
      </c>
      <c r="Q1010" s="8" t="s">
        <v>9588</v>
      </c>
      <c r="R1010" s="38" t="s">
        <v>1295</v>
      </c>
    </row>
    <row r="1011" spans="1:18" ht="51">
      <c r="A1011" s="302" t="str">
        <f t="shared" si="26"/>
        <v>resClassification</v>
      </c>
      <c r="B1011" s="6" t="s">
        <v>9593</v>
      </c>
      <c r="C1011" s="17" t="s">
        <v>9594</v>
      </c>
      <c r="D1011" s="10" t="s">
        <v>9595</v>
      </c>
      <c r="E1011" s="10" t="s">
        <v>9596</v>
      </c>
      <c r="F1011" s="55"/>
      <c r="G1011" s="12" t="s">
        <v>4643</v>
      </c>
      <c r="H1011" s="74"/>
      <c r="I1011" s="147" t="str">
        <f>HYPERLINK("[#]Datatypes!B1162:L1162","ResClassificationCodeList")</f>
        <v>ResClassificationCodeList</v>
      </c>
      <c r="J1011" s="80"/>
      <c r="K1011" s="77"/>
      <c r="L1011" s="77"/>
      <c r="M1011" s="78"/>
      <c r="N1011" s="74"/>
      <c r="O1011" s="25">
        <v>203625</v>
      </c>
      <c r="P1011" s="304" t="str">
        <f>CONCATENATE([1]Cover!$D$6,"fdd/view?i=",O1011)</f>
        <v>https://www.dgiwg.org/FAD/fdd/view?i=203625</v>
      </c>
      <c r="Q1011" s="8" t="s">
        <v>9592</v>
      </c>
      <c r="R1011" s="38" t="s">
        <v>1295</v>
      </c>
    </row>
    <row r="1012" spans="1:18" ht="25.5">
      <c r="A1012" s="302" t="str">
        <f t="shared" si="26"/>
        <v>resClassificationReason</v>
      </c>
      <c r="B1012" s="6" t="s">
        <v>9599</v>
      </c>
      <c r="C1012" s="17" t="s">
        <v>9600</v>
      </c>
      <c r="D1012" s="10" t="s">
        <v>9601</v>
      </c>
      <c r="E1012" s="55"/>
      <c r="F1012" s="55"/>
      <c r="G1012" s="12" t="s">
        <v>4643</v>
      </c>
      <c r="H1012" s="74"/>
      <c r="I1012" s="147" t="str">
        <f>HYPERLINK("[#]Datatypes!B1416:L1416","TextLexUnconstrained")</f>
        <v>TextLexUnconstrained</v>
      </c>
      <c r="J1012" s="80"/>
      <c r="K1012" s="77"/>
      <c r="L1012" s="77"/>
      <c r="M1012" s="78"/>
      <c r="N1012" s="74"/>
      <c r="O1012" s="25">
        <v>203626</v>
      </c>
      <c r="P1012" s="304" t="str">
        <f>CONCATENATE([1]Cover!$D$6,"fdd/view?i=",O1012)</f>
        <v>https://www.dgiwg.org/FAD/fdd/view?i=203626</v>
      </c>
      <c r="Q1012" s="8" t="s">
        <v>9598</v>
      </c>
      <c r="R1012" s="38" t="s">
        <v>1295</v>
      </c>
    </row>
    <row r="1013" spans="1:18" ht="25.5">
      <c r="A1013" s="302" t="str">
        <f t="shared" si="26"/>
        <v>resClassifiedBy</v>
      </c>
      <c r="B1013" s="6" t="s">
        <v>9603</v>
      </c>
      <c r="C1013" s="17" t="s">
        <v>9604</v>
      </c>
      <c r="D1013" s="10" t="s">
        <v>9605</v>
      </c>
      <c r="E1013" s="55"/>
      <c r="F1013" s="55"/>
      <c r="G1013" s="12" t="s">
        <v>4643</v>
      </c>
      <c r="H1013" s="74"/>
      <c r="I1013" s="147" t="str">
        <f>HYPERLINK("[#]Datatypes!B1416:L1416","TextLexUnconstrained")</f>
        <v>TextLexUnconstrained</v>
      </c>
      <c r="J1013" s="80"/>
      <c r="K1013" s="77"/>
      <c r="L1013" s="77"/>
      <c r="M1013" s="78"/>
      <c r="N1013" s="74"/>
      <c r="O1013" s="25">
        <v>203627</v>
      </c>
      <c r="P1013" s="304" t="str">
        <f>CONCATENATE([1]Cover!$D$6,"fdd/view?i=",O1013)</f>
        <v>https://www.dgiwg.org/FAD/fdd/view?i=203627</v>
      </c>
      <c r="Q1013" s="8" t="s">
        <v>9602</v>
      </c>
      <c r="R1013" s="38" t="s">
        <v>1295</v>
      </c>
    </row>
    <row r="1014" spans="1:18" ht="38.25">
      <c r="A1014" s="302" t="str">
        <f t="shared" si="26"/>
        <v>resCompilationReason</v>
      </c>
      <c r="B1014" s="6" t="s">
        <v>9607</v>
      </c>
      <c r="C1014" s="17" t="s">
        <v>9608</v>
      </c>
      <c r="D1014" s="10" t="s">
        <v>9609</v>
      </c>
      <c r="E1014" s="10" t="s">
        <v>9610</v>
      </c>
      <c r="F1014" s="55"/>
      <c r="G1014" s="12" t="s">
        <v>4643</v>
      </c>
      <c r="H1014" s="74"/>
      <c r="I1014" s="147" t="str">
        <f>HYPERLINK("[#]Datatypes!B1416:L1416","TextLexUnconstrained")</f>
        <v>TextLexUnconstrained</v>
      </c>
      <c r="J1014" s="80"/>
      <c r="K1014" s="77"/>
      <c r="L1014" s="77"/>
      <c r="M1014" s="78"/>
      <c r="N1014" s="74"/>
      <c r="O1014" s="25">
        <v>207822</v>
      </c>
      <c r="P1014" s="304" t="str">
        <f>CONCATENATE([1]Cover!$D$6,"fdd/view?i=",O1014)</f>
        <v>https://www.dgiwg.org/FAD/fdd/view?i=207822</v>
      </c>
      <c r="Q1014" s="8" t="s">
        <v>9606</v>
      </c>
      <c r="R1014" s="38" t="s">
        <v>1295</v>
      </c>
    </row>
    <row r="1015" spans="1:18" ht="51">
      <c r="A1015" s="302" t="str">
        <f t="shared" si="26"/>
        <v>resourceContentOrigin</v>
      </c>
      <c r="B1015" s="6" t="s">
        <v>9612</v>
      </c>
      <c r="C1015" s="17" t="s">
        <v>9613</v>
      </c>
      <c r="D1015" s="10" t="s">
        <v>9614</v>
      </c>
      <c r="E1015" s="10" t="s">
        <v>9615</v>
      </c>
      <c r="F1015" s="55"/>
      <c r="G1015" s="12" t="s">
        <v>4643</v>
      </c>
      <c r="H1015" s="74"/>
      <c r="I1015" s="147" t="str">
        <f>HYPERLINK("[#]Datatypes!B1164:L1164","ResourceContentOriginCodeList")</f>
        <v>ResourceContentOriginCodeList</v>
      </c>
      <c r="J1015" s="80"/>
      <c r="K1015" s="77"/>
      <c r="L1015" s="77"/>
      <c r="M1015" s="78"/>
      <c r="N1015" s="74"/>
      <c r="O1015" s="25">
        <v>203859</v>
      </c>
      <c r="P1015" s="304" t="str">
        <f>CONCATENATE([1]Cover!$D$6,"fdd/view?i=",O1015)</f>
        <v>https://www.dgiwg.org/FAD/fdd/view?i=203859</v>
      </c>
      <c r="Q1015" s="8" t="s">
        <v>9611</v>
      </c>
      <c r="R1015" s="38" t="s">
        <v>1295</v>
      </c>
    </row>
    <row r="1016" spans="1:18" ht="25.5">
      <c r="A1016" s="302" t="str">
        <f t="shared" si="26"/>
        <v>credit</v>
      </c>
      <c r="B1016" s="6" t="s">
        <v>9618</v>
      </c>
      <c r="C1016" s="17" t="s">
        <v>9619</v>
      </c>
      <c r="D1016" s="10" t="s">
        <v>9620</v>
      </c>
      <c r="E1016" s="55"/>
      <c r="F1016" s="55"/>
      <c r="G1016" s="12" t="s">
        <v>4643</v>
      </c>
      <c r="H1016" s="74"/>
      <c r="I1016" s="147" t="str">
        <f>HYPERLINK("[#]Datatypes!B1416:L1416","TextLexUnconstrained")</f>
        <v>TextLexUnconstrained</v>
      </c>
      <c r="J1016" s="80"/>
      <c r="K1016" s="77"/>
      <c r="L1016" s="77"/>
      <c r="M1016" s="78"/>
      <c r="N1016" s="74"/>
      <c r="O1016" s="25">
        <v>207248</v>
      </c>
      <c r="P1016" s="304" t="str">
        <f>CONCATENATE([1]Cover!$D$6,"fdd/view?i=",O1016)</f>
        <v>https://www.dgiwg.org/FAD/fdd/view?i=207248</v>
      </c>
      <c r="Q1016" s="8" t="s">
        <v>9617</v>
      </c>
      <c r="R1016" s="38" t="s">
        <v>1295</v>
      </c>
    </row>
    <row r="1017" spans="1:18" ht="102">
      <c r="A1017" s="302" t="str">
        <f t="shared" si="26"/>
        <v>resCuiCategory</v>
      </c>
      <c r="B1017" s="6" t="s">
        <v>9622</v>
      </c>
      <c r="C1017" s="17" t="s">
        <v>9623</v>
      </c>
      <c r="D1017" s="10" t="s">
        <v>9624</v>
      </c>
      <c r="E1017" s="10" t="s">
        <v>9625</v>
      </c>
      <c r="F1017" s="55"/>
      <c r="G1017" s="12" t="s">
        <v>4643</v>
      </c>
      <c r="H1017" s="74"/>
      <c r="I1017" s="147" t="str">
        <f>HYPERLINK("[#]Datatypes!B1166:L1166","ResCuiCategoryCode")</f>
        <v>ResCuiCategoryCode</v>
      </c>
      <c r="J1017" s="80"/>
      <c r="K1017" s="77"/>
      <c r="L1017" s="77"/>
      <c r="M1017" s="71" t="str">
        <f>HYPERLINK("[#]DatatypeListedValues!A5846:H5846","&lt;values&gt;")</f>
        <v>&lt;values&gt;</v>
      </c>
      <c r="N1017" s="12" t="b">
        <v>1</v>
      </c>
      <c r="O1017" s="25">
        <v>203644</v>
      </c>
      <c r="P1017" s="304" t="str">
        <f>CONCATENATE([1]Cover!$D$6,"fdd/view?i=",O1017)</f>
        <v>https://www.dgiwg.org/FAD/fdd/view?i=203644</v>
      </c>
      <c r="Q1017" s="8" t="s">
        <v>9621</v>
      </c>
      <c r="R1017" s="38" t="s">
        <v>1295</v>
      </c>
    </row>
    <row r="1018" spans="1:18" ht="38.25">
      <c r="A1018" s="302" t="str">
        <f t="shared" si="26"/>
        <v>resCuiSpecifiedDissem</v>
      </c>
      <c r="B1018" s="6" t="s">
        <v>9628</v>
      </c>
      <c r="C1018" s="17" t="s">
        <v>9629</v>
      </c>
      <c r="D1018" s="10" t="s">
        <v>9630</v>
      </c>
      <c r="E1018" s="55"/>
      <c r="F1018" s="55"/>
      <c r="G1018" s="12" t="s">
        <v>4643</v>
      </c>
      <c r="H1018" s="74"/>
      <c r="I1018" s="147" t="str">
        <f>HYPERLINK("[#]Datatypes!B1416:L1416","TextLexUnconstrained")</f>
        <v>TextLexUnconstrained</v>
      </c>
      <c r="J1018" s="80"/>
      <c r="K1018" s="77"/>
      <c r="L1018" s="77"/>
      <c r="M1018" s="78"/>
      <c r="N1018" s="74"/>
      <c r="O1018" s="25">
        <v>203645</v>
      </c>
      <c r="P1018" s="304" t="str">
        <f>CONCATENATE([1]Cover!$D$6,"fdd/view?i=",O1018)</f>
        <v>https://www.dgiwg.org/FAD/fdd/view?i=203645</v>
      </c>
      <c r="Q1018" s="8" t="s">
        <v>9627</v>
      </c>
      <c r="R1018" s="38" t="s">
        <v>1295</v>
      </c>
    </row>
    <row r="1019" spans="1:18" ht="38.25">
      <c r="A1019" s="302" t="str">
        <f t="shared" si="26"/>
        <v>resDateExemptedSource</v>
      </c>
      <c r="B1019" s="6" t="s">
        <v>9632</v>
      </c>
      <c r="C1019" s="17" t="s">
        <v>9633</v>
      </c>
      <c r="D1019" s="10" t="s">
        <v>9634</v>
      </c>
      <c r="E1019" s="10" t="s">
        <v>9635</v>
      </c>
      <c r="F1019" s="55"/>
      <c r="G1019" s="12" t="s">
        <v>4643</v>
      </c>
      <c r="H1019" s="74"/>
      <c r="I1019" s="147" t="str">
        <f>HYPERLINK("[#]Datatypes!B1170:L1170","ResDateExemptedSourceStrucText")</f>
        <v>ResDateExemptedSourceStrucText</v>
      </c>
      <c r="J1019" s="80"/>
      <c r="K1019" s="77"/>
      <c r="L1019" s="77"/>
      <c r="M1019" s="78"/>
      <c r="N1019" s="74"/>
      <c r="O1019" s="25">
        <v>203628</v>
      </c>
      <c r="P1019" s="304" t="str">
        <f>CONCATENATE([1]Cover!$D$6,"fdd/view?i=",O1019)</f>
        <v>https://www.dgiwg.org/FAD/fdd/view?i=203628</v>
      </c>
      <c r="Q1019" s="8" t="s">
        <v>9631</v>
      </c>
      <c r="R1019" s="38" t="s">
        <v>1295</v>
      </c>
    </row>
    <row r="1020" spans="1:18" ht="38.25">
      <c r="A1020" s="302" t="str">
        <f t="shared" si="26"/>
        <v>resDeclassDate</v>
      </c>
      <c r="B1020" s="6" t="s">
        <v>9638</v>
      </c>
      <c r="C1020" s="17" t="s">
        <v>9639</v>
      </c>
      <c r="D1020" s="10" t="s">
        <v>9640</v>
      </c>
      <c r="E1020" s="55"/>
      <c r="F1020" s="55"/>
      <c r="G1020" s="12" t="s">
        <v>4643</v>
      </c>
      <c r="H1020" s="74"/>
      <c r="I1020" s="147" t="str">
        <f>HYPERLINK("[#]Datatypes!B1172:L1172","ResDeclassDateStrucText")</f>
        <v>ResDeclassDateStrucText</v>
      </c>
      <c r="J1020" s="80"/>
      <c r="K1020" s="77"/>
      <c r="L1020" s="77"/>
      <c r="M1020" s="78"/>
      <c r="N1020" s="74"/>
      <c r="O1020" s="25">
        <v>203629</v>
      </c>
      <c r="P1020" s="304" t="str">
        <f>CONCATENATE([1]Cover!$D$6,"fdd/view?i=",O1020)</f>
        <v>https://www.dgiwg.org/FAD/fdd/view?i=203629</v>
      </c>
      <c r="Q1020" s="8" t="s">
        <v>9637</v>
      </c>
      <c r="R1020" s="38" t="s">
        <v>1295</v>
      </c>
    </row>
    <row r="1021" spans="1:18" ht="38.25">
      <c r="A1021" s="302" t="str">
        <f t="shared" si="26"/>
        <v>resDeclassEvent</v>
      </c>
      <c r="B1021" s="6" t="s">
        <v>9643</v>
      </c>
      <c r="C1021" s="17" t="s">
        <v>9644</v>
      </c>
      <c r="D1021" s="10" t="s">
        <v>9645</v>
      </c>
      <c r="E1021" s="55"/>
      <c r="F1021" s="55"/>
      <c r="G1021" s="12" t="s">
        <v>4643</v>
      </c>
      <c r="H1021" s="74"/>
      <c r="I1021" s="147" t="str">
        <f>HYPERLINK("[#]Datatypes!B1416:L1416","TextLexUnconstrained")</f>
        <v>TextLexUnconstrained</v>
      </c>
      <c r="J1021" s="80"/>
      <c r="K1021" s="77"/>
      <c r="L1021" s="77"/>
      <c r="M1021" s="78"/>
      <c r="N1021" s="74"/>
      <c r="O1021" s="25">
        <v>203630</v>
      </c>
      <c r="P1021" s="304" t="str">
        <f>CONCATENATE([1]Cover!$D$6,"fdd/view?i=",O1021)</f>
        <v>https://www.dgiwg.org/FAD/fdd/view?i=203630</v>
      </c>
      <c r="Q1021" s="8" t="s">
        <v>9642</v>
      </c>
      <c r="R1021" s="38" t="s">
        <v>1295</v>
      </c>
    </row>
    <row r="1022" spans="1:18" ht="25.5">
      <c r="A1022" s="302" t="str">
        <f t="shared" si="26"/>
        <v>resDeclassException</v>
      </c>
      <c r="B1022" s="6" t="s">
        <v>9647</v>
      </c>
      <c r="C1022" s="17" t="s">
        <v>9648</v>
      </c>
      <c r="D1022" s="10" t="s">
        <v>9649</v>
      </c>
      <c r="E1022" s="10" t="s">
        <v>9650</v>
      </c>
      <c r="F1022" s="55"/>
      <c r="G1022" s="12" t="s">
        <v>4643</v>
      </c>
      <c r="H1022" s="74"/>
      <c r="I1022" s="147" t="str">
        <f>HYPERLINK("[#]Datatypes!B1174:L1174","ResDeclassExceptionCodeList")</f>
        <v>ResDeclassExceptionCodeList</v>
      </c>
      <c r="J1022" s="80"/>
      <c r="K1022" s="77"/>
      <c r="L1022" s="77"/>
      <c r="M1022" s="78"/>
      <c r="N1022" s="74"/>
      <c r="O1022" s="25">
        <v>203631</v>
      </c>
      <c r="P1022" s="304" t="str">
        <f>CONCATENATE([1]Cover!$D$6,"fdd/view?i=",O1022)</f>
        <v>https://www.dgiwg.org/FAD/fdd/view?i=203631</v>
      </c>
      <c r="Q1022" s="8" t="s">
        <v>9646</v>
      </c>
      <c r="R1022" s="38" t="s">
        <v>1295</v>
      </c>
    </row>
    <row r="1023" spans="1:18" ht="25.5">
      <c r="A1023" s="302" t="str">
        <f t="shared" si="26"/>
        <v>resDerivClassifiedBy</v>
      </c>
      <c r="B1023" s="6" t="s">
        <v>9653</v>
      </c>
      <c r="C1023" s="17" t="s">
        <v>9654</v>
      </c>
      <c r="D1023" s="10" t="s">
        <v>9655</v>
      </c>
      <c r="E1023" s="55"/>
      <c r="F1023" s="55"/>
      <c r="G1023" s="12" t="s">
        <v>4643</v>
      </c>
      <c r="H1023" s="74"/>
      <c r="I1023" s="147" t="str">
        <f>HYPERLINK("[#]Datatypes!B1416:L1416","TextLexUnconstrained")</f>
        <v>TextLexUnconstrained</v>
      </c>
      <c r="J1023" s="80"/>
      <c r="K1023" s="77"/>
      <c r="L1023" s="77"/>
      <c r="M1023" s="78"/>
      <c r="N1023" s="74"/>
      <c r="O1023" s="25">
        <v>203633</v>
      </c>
      <c r="P1023" s="304" t="str">
        <f>CONCATENATE([1]Cover!$D$6,"fdd/view?i=",O1023)</f>
        <v>https://www.dgiwg.org/FAD/fdd/view?i=203633</v>
      </c>
      <c r="Q1023" s="8" t="s">
        <v>9652</v>
      </c>
      <c r="R1023" s="38" t="s">
        <v>1295</v>
      </c>
    </row>
    <row r="1024" spans="1:18" ht="38.25">
      <c r="A1024" s="302" t="str">
        <f t="shared" si="26"/>
        <v>resDerivedFrom</v>
      </c>
      <c r="B1024" s="6" t="s">
        <v>9657</v>
      </c>
      <c r="C1024" s="17" t="s">
        <v>9658</v>
      </c>
      <c r="D1024" s="10" t="s">
        <v>9659</v>
      </c>
      <c r="E1024" s="55"/>
      <c r="F1024" s="55"/>
      <c r="G1024" s="12" t="s">
        <v>4643</v>
      </c>
      <c r="H1024" s="74"/>
      <c r="I1024" s="147" t="str">
        <f>HYPERLINK("[#]Datatypes!B1416:L1416","TextLexUnconstrained")</f>
        <v>TextLexUnconstrained</v>
      </c>
      <c r="J1024" s="80"/>
      <c r="K1024" s="77"/>
      <c r="L1024" s="77"/>
      <c r="M1024" s="78"/>
      <c r="N1024" s="74"/>
      <c r="O1024" s="25">
        <v>203634</v>
      </c>
      <c r="P1024" s="304" t="str">
        <f>CONCATENATE([1]Cover!$D$6,"fdd/view?i=",O1024)</f>
        <v>https://www.dgiwg.org/FAD/fdd/view?i=203634</v>
      </c>
      <c r="Q1024" s="8" t="s">
        <v>9656</v>
      </c>
      <c r="R1024" s="38" t="s">
        <v>1295</v>
      </c>
    </row>
    <row r="1025" spans="1:18" ht="51">
      <c r="A1025" s="302" t="str">
        <f t="shared" si="26"/>
        <v>resDisplayOnlyTo</v>
      </c>
      <c r="B1025" s="6" t="s">
        <v>9661</v>
      </c>
      <c r="C1025" s="17" t="s">
        <v>9662</v>
      </c>
      <c r="D1025" s="10" t="s">
        <v>9663</v>
      </c>
      <c r="E1025" s="10" t="s">
        <v>9664</v>
      </c>
      <c r="F1025" s="55"/>
      <c r="G1025" s="12" t="s">
        <v>4643</v>
      </c>
      <c r="H1025" s="74"/>
      <c r="I1025" s="147" t="str">
        <f>HYPERLINK("[#]Datatypes!B1416:L1416","TextLexUnconstrained")</f>
        <v>TextLexUnconstrained</v>
      </c>
      <c r="J1025" s="80"/>
      <c r="K1025" s="77"/>
      <c r="L1025" s="77"/>
      <c r="M1025" s="78"/>
      <c r="N1025" s="74"/>
      <c r="O1025" s="25">
        <v>207823</v>
      </c>
      <c r="P1025" s="304" t="str">
        <f>CONCATENATE([1]Cover!$D$6,"fdd/view?i=",O1025)</f>
        <v>https://www.dgiwg.org/FAD/fdd/view?i=207823</v>
      </c>
      <c r="Q1025" s="8" t="s">
        <v>9660</v>
      </c>
      <c r="R1025" s="38" t="s">
        <v>1295</v>
      </c>
    </row>
    <row r="1026" spans="1:18" ht="25.5">
      <c r="A1026" s="302" t="str">
        <f t="shared" si="26"/>
        <v>resDissemControls</v>
      </c>
      <c r="B1026" s="6" t="s">
        <v>9666</v>
      </c>
      <c r="C1026" s="17" t="s">
        <v>9667</v>
      </c>
      <c r="D1026" s="10" t="s">
        <v>9668</v>
      </c>
      <c r="E1026" s="55"/>
      <c r="F1026" s="55"/>
      <c r="G1026" s="12" t="s">
        <v>4643</v>
      </c>
      <c r="H1026" s="74"/>
      <c r="I1026" s="147" t="str">
        <f>HYPERLINK("[#]Datatypes!B1176:L1176","ResDissemControlsStrucText")</f>
        <v>ResDissemControlsStrucText</v>
      </c>
      <c r="J1026" s="80"/>
      <c r="K1026" s="77"/>
      <c r="L1026" s="77"/>
      <c r="M1026" s="78"/>
      <c r="N1026" s="74"/>
      <c r="O1026" s="25">
        <v>203635</v>
      </c>
      <c r="P1026" s="304" t="str">
        <f>CONCATENATE([1]Cover!$D$6,"fdd/view?i=",O1026)</f>
        <v>https://www.dgiwg.org/FAD/fdd/view?i=203635</v>
      </c>
      <c r="Q1026" s="8" t="s">
        <v>9665</v>
      </c>
      <c r="R1026" s="38" t="s">
        <v>1295</v>
      </c>
    </row>
    <row r="1027" spans="1:18" ht="25.5">
      <c r="A1027" s="302" t="str">
        <f t="shared" si="26"/>
        <v>extent</v>
      </c>
      <c r="B1027" s="6" t="s">
        <v>9671</v>
      </c>
      <c r="C1027" s="17" t="s">
        <v>9672</v>
      </c>
      <c r="D1027" s="10" t="s">
        <v>9673</v>
      </c>
      <c r="E1027" s="55"/>
      <c r="F1027" s="55"/>
      <c r="G1027" s="12" t="s">
        <v>4643</v>
      </c>
      <c r="H1027" s="74"/>
      <c r="I1027" s="147" t="str">
        <f>HYPERLINK("[#]Datatypes!B624:L624","GeoExtentStrucText")</f>
        <v>GeoExtentStrucText</v>
      </c>
      <c r="J1027" s="80"/>
      <c r="K1027" s="77"/>
      <c r="L1027" s="77"/>
      <c r="M1027" s="78"/>
      <c r="N1027" s="74"/>
      <c r="O1027" s="25">
        <v>207175</v>
      </c>
      <c r="P1027" s="304" t="str">
        <f>CONCATENATE([1]Cover!$D$6,"fdd/view?i=",O1027)</f>
        <v>https://www.dgiwg.org/FAD/fdd/view?i=207175</v>
      </c>
      <c r="Q1027" s="8" t="s">
        <v>9670</v>
      </c>
      <c r="R1027" s="38" t="s">
        <v>1295</v>
      </c>
    </row>
    <row r="1028" spans="1:18" ht="38.25">
      <c r="A1028" s="302" t="str">
        <f t="shared" ref="A1028:A1091" si="27">HYPERLINK(P1028,B1028)</f>
        <v>resFgnGovInfoOpenSource</v>
      </c>
      <c r="B1028" s="6" t="s">
        <v>9676</v>
      </c>
      <c r="C1028" s="17" t="s">
        <v>9677</v>
      </c>
      <c r="D1028" s="10" t="s">
        <v>9678</v>
      </c>
      <c r="E1028" s="55"/>
      <c r="F1028" s="55"/>
      <c r="G1028" s="12" t="s">
        <v>4643</v>
      </c>
      <c r="H1028" s="74"/>
      <c r="I1028" s="147" t="str">
        <f>HYPERLINK("[#]Datatypes!B1178:L1178","ResFgnGovInfoOpenSourceStrucText")</f>
        <v>ResFgnGovInfoOpenSourceStrucText</v>
      </c>
      <c r="J1028" s="80"/>
      <c r="K1028" s="77"/>
      <c r="L1028" s="77"/>
      <c r="M1028" s="78"/>
      <c r="N1028" s="74"/>
      <c r="O1028" s="25">
        <v>203636</v>
      </c>
      <c r="P1028" s="304" t="str">
        <f>CONCATENATE([1]Cover!$D$6,"fdd/view?i=",O1028)</f>
        <v>https://www.dgiwg.org/FAD/fdd/view?i=203636</v>
      </c>
      <c r="Q1028" s="8" t="s">
        <v>9675</v>
      </c>
      <c r="R1028" s="38" t="s">
        <v>1295</v>
      </c>
    </row>
    <row r="1029" spans="1:18" ht="51">
      <c r="A1029" s="302" t="str">
        <f t="shared" si="27"/>
        <v>resFgnGovInfoProtSource</v>
      </c>
      <c r="B1029" s="6" t="s">
        <v>9681</v>
      </c>
      <c r="C1029" s="17" t="s">
        <v>9682</v>
      </c>
      <c r="D1029" s="10" t="s">
        <v>9683</v>
      </c>
      <c r="E1029" s="10" t="s">
        <v>9684</v>
      </c>
      <c r="F1029" s="55"/>
      <c r="G1029" s="12" t="s">
        <v>4643</v>
      </c>
      <c r="H1029" s="74"/>
      <c r="I1029" s="147" t="str">
        <f>HYPERLINK("[#]Datatypes!B1180:L1180","ResFgnGovInfoProtSourceStrucText")</f>
        <v>ResFgnGovInfoProtSourceStrucText</v>
      </c>
      <c r="J1029" s="80"/>
      <c r="K1029" s="77"/>
      <c r="L1029" s="77"/>
      <c r="M1029" s="78"/>
      <c r="N1029" s="74"/>
      <c r="O1029" s="25">
        <v>203637</v>
      </c>
      <c r="P1029" s="304" t="str">
        <f>CONCATENATE([1]Cover!$D$6,"fdd/view?i=",O1029)</f>
        <v>https://www.dgiwg.org/FAD/fdd/view?i=203637</v>
      </c>
      <c r="Q1029" s="8" t="s">
        <v>9680</v>
      </c>
      <c r="R1029" s="38" t="s">
        <v>1295</v>
      </c>
    </row>
    <row r="1030" spans="1:18" ht="25.5">
      <c r="A1030" s="302" t="str">
        <f t="shared" si="27"/>
        <v>handlingDescription</v>
      </c>
      <c r="B1030" s="6" t="s">
        <v>9687</v>
      </c>
      <c r="C1030" s="17" t="s">
        <v>9688</v>
      </c>
      <c r="D1030" s="10" t="s">
        <v>9689</v>
      </c>
      <c r="E1030" s="10" t="s">
        <v>3620</v>
      </c>
      <c r="F1030" s="55"/>
      <c r="G1030" s="12" t="s">
        <v>4643</v>
      </c>
      <c r="H1030" s="74"/>
      <c r="I1030" s="147" t="str">
        <f>HYPERLINK("[#]Datatypes!B1416:L1416","TextLexUnconstrained")</f>
        <v>TextLexUnconstrained</v>
      </c>
      <c r="J1030" s="80"/>
      <c r="K1030" s="77"/>
      <c r="L1030" s="77"/>
      <c r="M1030" s="78"/>
      <c r="N1030" s="74"/>
      <c r="O1030" s="25">
        <v>207255</v>
      </c>
      <c r="P1030" s="304" t="str">
        <f>CONCATENATE([1]Cover!$D$6,"fdd/view?i=",O1030)</f>
        <v>https://www.dgiwg.org/FAD/fdd/view?i=207255</v>
      </c>
      <c r="Q1030" s="8" t="s">
        <v>9686</v>
      </c>
      <c r="R1030" s="38" t="s">
        <v>1295</v>
      </c>
    </row>
    <row r="1031" spans="1:18" ht="38.25">
      <c r="A1031" s="302" t="str">
        <f t="shared" si="27"/>
        <v>resNonIntelComMarkings</v>
      </c>
      <c r="B1031" s="6" t="s">
        <v>9691</v>
      </c>
      <c r="C1031" s="17" t="s">
        <v>9692</v>
      </c>
      <c r="D1031" s="10" t="s">
        <v>9693</v>
      </c>
      <c r="E1031" s="55"/>
      <c r="F1031" s="55"/>
      <c r="G1031" s="12" t="s">
        <v>4643</v>
      </c>
      <c r="H1031" s="74"/>
      <c r="I1031" s="147" t="str">
        <f>HYPERLINK("[#]Datatypes!B1182:L1182","ResNonIntelComMarkingsStrucText")</f>
        <v>ResNonIntelComMarkingsStrucText</v>
      </c>
      <c r="J1031" s="80"/>
      <c r="K1031" s="77"/>
      <c r="L1031" s="77"/>
      <c r="M1031" s="78"/>
      <c r="N1031" s="74"/>
      <c r="O1031" s="25">
        <v>203638</v>
      </c>
      <c r="P1031" s="304" t="str">
        <f>CONCATENATE([1]Cover!$D$6,"fdd/view?i=",O1031)</f>
        <v>https://www.dgiwg.org/FAD/fdd/view?i=203638</v>
      </c>
      <c r="Q1031" s="8" t="s">
        <v>9690</v>
      </c>
      <c r="R1031" s="38" t="s">
        <v>1295</v>
      </c>
    </row>
    <row r="1032" spans="1:18" ht="38.25">
      <c r="A1032" s="302" t="str">
        <f t="shared" si="27"/>
        <v>resNonUSControls</v>
      </c>
      <c r="B1032" s="6" t="s">
        <v>9696</v>
      </c>
      <c r="C1032" s="17" t="s">
        <v>9697</v>
      </c>
      <c r="D1032" s="10" t="s">
        <v>9698</v>
      </c>
      <c r="E1032" s="55"/>
      <c r="F1032" s="55"/>
      <c r="G1032" s="12" t="s">
        <v>4643</v>
      </c>
      <c r="H1032" s="74"/>
      <c r="I1032" s="147" t="str">
        <f>HYPERLINK("[#]Datatypes!B1184:L1184","ResNonUSControlsStrucText")</f>
        <v>ResNonUSControlsStrucText</v>
      </c>
      <c r="J1032" s="80"/>
      <c r="K1032" s="77"/>
      <c r="L1032" s="77"/>
      <c r="M1032" s="78"/>
      <c r="N1032" s="74"/>
      <c r="O1032" s="25">
        <v>207830</v>
      </c>
      <c r="P1032" s="304" t="str">
        <f>CONCATENATE([1]Cover!$D$6,"fdd/view?i=",O1032)</f>
        <v>https://www.dgiwg.org/FAD/fdd/view?i=207830</v>
      </c>
      <c r="Q1032" s="8" t="s">
        <v>9695</v>
      </c>
      <c r="R1032" s="38" t="s">
        <v>1295</v>
      </c>
    </row>
    <row r="1033" spans="1:18" ht="25.5">
      <c r="A1033" s="302" t="str">
        <f t="shared" si="27"/>
        <v>otherConstraints</v>
      </c>
      <c r="B1033" s="6" t="s">
        <v>9701</v>
      </c>
      <c r="C1033" s="17" t="s">
        <v>9702</v>
      </c>
      <c r="D1033" s="10" t="s">
        <v>9703</v>
      </c>
      <c r="E1033" s="10" t="s">
        <v>3620</v>
      </c>
      <c r="F1033" s="55"/>
      <c r="G1033" s="12" t="s">
        <v>4643</v>
      </c>
      <c r="H1033" s="74"/>
      <c r="I1033" s="147" t="str">
        <f>HYPERLINK("[#]Datatypes!B1416:L1416","TextLexUnconstrained")</f>
        <v>TextLexUnconstrained</v>
      </c>
      <c r="J1033" s="80"/>
      <c r="K1033" s="77"/>
      <c r="L1033" s="77"/>
      <c r="M1033" s="78"/>
      <c r="N1033" s="74"/>
      <c r="O1033" s="25">
        <v>207253</v>
      </c>
      <c r="P1033" s="304" t="str">
        <f>CONCATENATE([1]Cover!$D$6,"fdd/view?i=",O1033)</f>
        <v>https://www.dgiwg.org/FAD/fdd/view?i=207253</v>
      </c>
      <c r="Q1033" s="8" t="s">
        <v>9700</v>
      </c>
      <c r="R1033" s="38" t="s">
        <v>1295</v>
      </c>
    </row>
    <row r="1034" spans="1:18" ht="51">
      <c r="A1034" s="302" t="str">
        <f t="shared" si="27"/>
        <v>resOwnerProducer</v>
      </c>
      <c r="B1034" s="6" t="s">
        <v>9705</v>
      </c>
      <c r="C1034" s="17" t="s">
        <v>9706</v>
      </c>
      <c r="D1034" s="10" t="s">
        <v>9707</v>
      </c>
      <c r="E1034" s="10" t="s">
        <v>9708</v>
      </c>
      <c r="F1034" s="55"/>
      <c r="G1034" s="12" t="s">
        <v>4643</v>
      </c>
      <c r="H1034" s="74"/>
      <c r="I1034" s="147" t="str">
        <f>HYPERLINK("[#]Datatypes!B1188:L1188","ResOwnerProducerStrucText")</f>
        <v>ResOwnerProducerStrucText</v>
      </c>
      <c r="J1034" s="80"/>
      <c r="K1034" s="77"/>
      <c r="L1034" s="77"/>
      <c r="M1034" s="78"/>
      <c r="N1034" s="74"/>
      <c r="O1034" s="25">
        <v>203639</v>
      </c>
      <c r="P1034" s="304" t="str">
        <f>CONCATENATE([1]Cover!$D$6,"fdd/view?i=",O1034)</f>
        <v>https://www.dgiwg.org/FAD/fdd/view?i=203639</v>
      </c>
      <c r="Q1034" s="8" t="s">
        <v>9704</v>
      </c>
      <c r="R1034" s="38" t="s">
        <v>1295</v>
      </c>
    </row>
    <row r="1035" spans="1:18" ht="25.5">
      <c r="A1035" s="302" t="str">
        <f t="shared" si="27"/>
        <v>pointOfContact</v>
      </c>
      <c r="B1035" s="6" t="s">
        <v>9711</v>
      </c>
      <c r="C1035" s="17" t="s">
        <v>9712</v>
      </c>
      <c r="D1035" s="10" t="s">
        <v>9713</v>
      </c>
      <c r="E1035" s="55"/>
      <c r="F1035" s="55"/>
      <c r="G1035" s="12" t="s">
        <v>4643</v>
      </c>
      <c r="H1035" s="74"/>
      <c r="I1035" s="147" t="str">
        <f>HYPERLINK("[#]Datatypes!B1211:L1211","ResPartyStrucText")</f>
        <v>ResPartyStrucText</v>
      </c>
      <c r="J1035" s="80"/>
      <c r="K1035" s="77"/>
      <c r="L1035" s="77"/>
      <c r="M1035" s="78"/>
      <c r="N1035" s="74"/>
      <c r="O1035" s="25">
        <v>207169</v>
      </c>
      <c r="P1035" s="304" t="str">
        <f>CONCATENATE([1]Cover!$D$6,"fdd/view?i=",O1035)</f>
        <v>https://www.dgiwg.org/FAD/fdd/view?i=207169</v>
      </c>
      <c r="Q1035" s="8" t="s">
        <v>9710</v>
      </c>
      <c r="R1035" s="38" t="s">
        <v>1295</v>
      </c>
    </row>
    <row r="1036" spans="1:18" ht="25.5">
      <c r="A1036" s="302" t="str">
        <f t="shared" si="27"/>
        <v>purpose</v>
      </c>
      <c r="B1036" s="6" t="s">
        <v>9715</v>
      </c>
      <c r="C1036" s="17" t="s">
        <v>9716</v>
      </c>
      <c r="D1036" s="10" t="s">
        <v>9717</v>
      </c>
      <c r="E1036" s="55"/>
      <c r="F1036" s="55"/>
      <c r="G1036" s="12" t="s">
        <v>4643</v>
      </c>
      <c r="H1036" s="74"/>
      <c r="I1036" s="147" t="str">
        <f>HYPERLINK("[#]Datatypes!B1416:L1416","TextLexUnconstrained")</f>
        <v>TextLexUnconstrained</v>
      </c>
      <c r="J1036" s="80"/>
      <c r="K1036" s="77"/>
      <c r="L1036" s="77"/>
      <c r="M1036" s="78"/>
      <c r="N1036" s="74"/>
      <c r="O1036" s="25">
        <v>207247</v>
      </c>
      <c r="P1036" s="304" t="str">
        <f>CONCATENATE([1]Cover!$D$6,"fdd/view?i=",O1036)</f>
        <v>https://www.dgiwg.org/FAD/fdd/view?i=207247</v>
      </c>
      <c r="Q1036" s="8" t="s">
        <v>9714</v>
      </c>
      <c r="R1036" s="38" t="s">
        <v>1295</v>
      </c>
    </row>
    <row r="1037" spans="1:18" ht="51">
      <c r="A1037" s="302" t="str">
        <f t="shared" si="27"/>
        <v>resReleasableTo</v>
      </c>
      <c r="B1037" s="6" t="s">
        <v>9719</v>
      </c>
      <c r="C1037" s="17" t="s">
        <v>9720</v>
      </c>
      <c r="D1037" s="10" t="s">
        <v>9721</v>
      </c>
      <c r="E1037" s="10" t="s">
        <v>9722</v>
      </c>
      <c r="F1037" s="55"/>
      <c r="G1037" s="12" t="s">
        <v>4643</v>
      </c>
      <c r="H1037" s="74"/>
      <c r="I1037" s="147" t="str">
        <f>HYPERLINK("[#]Datatypes!B1192:L1192","ResReleasabilityStrucText")</f>
        <v>ResReleasabilityStrucText</v>
      </c>
      <c r="J1037" s="80"/>
      <c r="K1037" s="77"/>
      <c r="L1037" s="77"/>
      <c r="M1037" s="78"/>
      <c r="N1037" s="74"/>
      <c r="O1037" s="25">
        <v>203640</v>
      </c>
      <c r="P1037" s="304" t="str">
        <f>CONCATENATE([1]Cover!$D$6,"fdd/view?i=",O1037)</f>
        <v>https://www.dgiwg.org/FAD/fdd/view?i=203640</v>
      </c>
      <c r="Q1037" s="8" t="s">
        <v>9718</v>
      </c>
      <c r="R1037" s="38" t="s">
        <v>1295</v>
      </c>
    </row>
    <row r="1038" spans="1:18" ht="25.5">
      <c r="A1038" s="302" t="str">
        <f t="shared" si="27"/>
        <v>resSciControls</v>
      </c>
      <c r="B1038" s="6" t="s">
        <v>9725</v>
      </c>
      <c r="C1038" s="17" t="s">
        <v>9726</v>
      </c>
      <c r="D1038" s="10" t="s">
        <v>9727</v>
      </c>
      <c r="E1038" s="55"/>
      <c r="F1038" s="55"/>
      <c r="G1038" s="12" t="s">
        <v>4643</v>
      </c>
      <c r="H1038" s="74"/>
      <c r="I1038" s="147" t="str">
        <f>HYPERLINK("[#]Datatypes!B1198:L1198","ResSciControlsStrucText")</f>
        <v>ResSciControlsStrucText</v>
      </c>
      <c r="J1038" s="80"/>
      <c r="K1038" s="77"/>
      <c r="L1038" s="77"/>
      <c r="M1038" s="78"/>
      <c r="N1038" s="74"/>
      <c r="O1038" s="25">
        <v>203642</v>
      </c>
      <c r="P1038" s="304" t="str">
        <f>CONCATENATE([1]Cover!$D$6,"fdd/view?i=",O1038)</f>
        <v>https://www.dgiwg.org/FAD/fdd/view?i=203642</v>
      </c>
      <c r="Q1038" s="8" t="s">
        <v>9724</v>
      </c>
      <c r="R1038" s="38" t="s">
        <v>1295</v>
      </c>
    </row>
    <row r="1039" spans="1:18" ht="25.5">
      <c r="A1039" s="302" t="str">
        <f t="shared" si="27"/>
        <v>classification</v>
      </c>
      <c r="B1039" s="6" t="s">
        <v>9730</v>
      </c>
      <c r="C1039" s="17" t="s">
        <v>9731</v>
      </c>
      <c r="D1039" s="10" t="s">
        <v>9732</v>
      </c>
      <c r="E1039" s="10" t="s">
        <v>3620</v>
      </c>
      <c r="F1039" s="55"/>
      <c r="G1039" s="12" t="s">
        <v>4643</v>
      </c>
      <c r="H1039" s="74"/>
      <c r="I1039" s="147" t="str">
        <f>HYPERLINK("[#]Datatypes!B317:L317","MD_ClassificationCode")</f>
        <v>MD_ClassificationCode</v>
      </c>
      <c r="J1039" s="80"/>
      <c r="K1039" s="77"/>
      <c r="L1039" s="77"/>
      <c r="M1039" s="78"/>
      <c r="N1039" s="74"/>
      <c r="O1039" s="25">
        <v>207184</v>
      </c>
      <c r="P1039" s="304" t="str">
        <f>CONCATENATE([1]Cover!$D$6,"fdd/view?i=",O1039)</f>
        <v>https://www.dgiwg.org/FAD/fdd/view?i=207184</v>
      </c>
      <c r="Q1039" s="8" t="s">
        <v>9729</v>
      </c>
      <c r="R1039" s="38" t="s">
        <v>1295</v>
      </c>
    </row>
    <row r="1040" spans="1:18" ht="25.5">
      <c r="A1040" s="302" t="str">
        <f t="shared" si="27"/>
        <v>classificationSystem</v>
      </c>
      <c r="B1040" s="6" t="s">
        <v>9735</v>
      </c>
      <c r="C1040" s="17" t="s">
        <v>9736</v>
      </c>
      <c r="D1040" s="10" t="s">
        <v>9737</v>
      </c>
      <c r="E1040" s="10" t="s">
        <v>3620</v>
      </c>
      <c r="F1040" s="55"/>
      <c r="G1040" s="12" t="s">
        <v>4643</v>
      </c>
      <c r="H1040" s="74"/>
      <c r="I1040" s="147" t="str">
        <f>HYPERLINK("[#]Datatypes!B1416:L1416","TextLexUnconstrained")</f>
        <v>TextLexUnconstrained</v>
      </c>
      <c r="J1040" s="80"/>
      <c r="K1040" s="77"/>
      <c r="L1040" s="77"/>
      <c r="M1040" s="78"/>
      <c r="N1040" s="74"/>
      <c r="O1040" s="25">
        <v>207185</v>
      </c>
      <c r="P1040" s="304" t="str">
        <f>CONCATENATE([1]Cover!$D$6,"fdd/view?i=",O1040)</f>
        <v>https://www.dgiwg.org/FAD/fdd/view?i=207185</v>
      </c>
      <c r="Q1040" s="8" t="s">
        <v>9734</v>
      </c>
      <c r="R1040" s="38" t="s">
        <v>1295</v>
      </c>
    </row>
    <row r="1041" spans="1:18" ht="25.5">
      <c r="A1041" s="302" t="str">
        <f t="shared" si="27"/>
        <v>resSpAccReqProgIdent</v>
      </c>
      <c r="B1041" s="6" t="s">
        <v>9739</v>
      </c>
      <c r="C1041" s="17" t="s">
        <v>9740</v>
      </c>
      <c r="D1041" s="10" t="s">
        <v>9741</v>
      </c>
      <c r="E1041" s="55"/>
      <c r="F1041" s="55"/>
      <c r="G1041" s="12" t="s">
        <v>4643</v>
      </c>
      <c r="H1041" s="74"/>
      <c r="I1041" s="147" t="str">
        <f>HYPERLINK("[#]Datatypes!B1200:L1200","ResSpAccReqProgIdentStrucText")</f>
        <v>ResSpAccReqProgIdentStrucText</v>
      </c>
      <c r="J1041" s="80"/>
      <c r="K1041" s="77"/>
      <c r="L1041" s="77"/>
      <c r="M1041" s="78"/>
      <c r="N1041" s="74"/>
      <c r="O1041" s="25">
        <v>203641</v>
      </c>
      <c r="P1041" s="304" t="str">
        <f>CONCATENATE([1]Cover!$D$6,"fdd/view?i=",O1041)</f>
        <v>https://www.dgiwg.org/FAD/fdd/view?i=203641</v>
      </c>
      <c r="Q1041" s="8" t="s">
        <v>9738</v>
      </c>
      <c r="R1041" s="38" t="s">
        <v>1295</v>
      </c>
    </row>
    <row r="1042" spans="1:18">
      <c r="A1042" s="302" t="str">
        <f t="shared" si="27"/>
        <v>status</v>
      </c>
      <c r="B1042" s="6" t="s">
        <v>9744</v>
      </c>
      <c r="C1042" s="17" t="s">
        <v>9745</v>
      </c>
      <c r="D1042" s="10" t="s">
        <v>9746</v>
      </c>
      <c r="E1042" s="55"/>
      <c r="F1042" s="55"/>
      <c r="G1042" s="12" t="s">
        <v>4643</v>
      </c>
      <c r="H1042" s="74"/>
      <c r="I1042" s="147" t="str">
        <f>HYPERLINK("[#]Datatypes!B1190:L1190","MD_ProgressCode")</f>
        <v>MD_ProgressCode</v>
      </c>
      <c r="J1042" s="80"/>
      <c r="K1042" s="77"/>
      <c r="L1042" s="77"/>
      <c r="M1042" s="78"/>
      <c r="N1042" s="74"/>
      <c r="O1042" s="25">
        <v>207249</v>
      </c>
      <c r="P1042" s="304" t="str">
        <f>CONCATENATE([1]Cover!$D$6,"fdd/view?i=",O1042)</f>
        <v>https://www.dgiwg.org/FAD/fdd/view?i=207249</v>
      </c>
      <c r="Q1042" s="8" t="s">
        <v>9743</v>
      </c>
      <c r="R1042" s="38" t="s">
        <v>1295</v>
      </c>
    </row>
    <row r="1043" spans="1:18" ht="38.25">
      <c r="A1043" s="302" t="str">
        <f t="shared" si="27"/>
        <v>resTypeExemptedSource</v>
      </c>
      <c r="B1043" s="6" t="s">
        <v>9749</v>
      </c>
      <c r="C1043" s="17" t="s">
        <v>9750</v>
      </c>
      <c r="D1043" s="10" t="s">
        <v>9751</v>
      </c>
      <c r="E1043" s="10" t="s">
        <v>9752</v>
      </c>
      <c r="F1043" s="55"/>
      <c r="G1043" s="12" t="s">
        <v>4643</v>
      </c>
      <c r="H1043" s="74"/>
      <c r="I1043" s="147" t="str">
        <f>HYPERLINK("[#]Datatypes!B1202:L1202","ResTypeExemptedSourceCodeList")</f>
        <v>ResTypeExemptedSourceCodeList</v>
      </c>
      <c r="J1043" s="80"/>
      <c r="K1043" s="77"/>
      <c r="L1043" s="77"/>
      <c r="M1043" s="78"/>
      <c r="N1043" s="74"/>
      <c r="O1043" s="25">
        <v>203643</v>
      </c>
      <c r="P1043" s="304" t="str">
        <f>CONCATENATE([1]Cover!$D$6,"fdd/view?i=",O1043)</f>
        <v>https://www.dgiwg.org/FAD/fdd/view?i=203643</v>
      </c>
      <c r="Q1043" s="8" t="s">
        <v>9748</v>
      </c>
      <c r="R1043" s="38" t="s">
        <v>1295</v>
      </c>
    </row>
    <row r="1044" spans="1:18" ht="25.5">
      <c r="A1044" s="302" t="str">
        <f t="shared" si="27"/>
        <v>useConstraints</v>
      </c>
      <c r="B1044" s="6" t="s">
        <v>9755</v>
      </c>
      <c r="C1044" s="17" t="s">
        <v>9756</v>
      </c>
      <c r="D1044" s="10" t="s">
        <v>9757</v>
      </c>
      <c r="E1044" s="10" t="s">
        <v>3620</v>
      </c>
      <c r="F1044" s="55"/>
      <c r="G1044" s="12" t="s">
        <v>4643</v>
      </c>
      <c r="H1044" s="74"/>
      <c r="I1044" s="147" t="str">
        <f>HYPERLINK("[#]Datatypes!B1213:L1213","MD_RestrictionCode")</f>
        <v>MD_RestrictionCode</v>
      </c>
      <c r="J1044" s="80"/>
      <c r="K1044" s="77"/>
      <c r="L1044" s="77"/>
      <c r="M1044" s="78"/>
      <c r="N1044" s="74"/>
      <c r="O1044" s="25">
        <v>207183</v>
      </c>
      <c r="P1044" s="304" t="str">
        <f>CONCATENATE([1]Cover!$D$6,"fdd/view?i=",O1044)</f>
        <v>https://www.dgiwg.org/FAD/fdd/view?i=207183</v>
      </c>
      <c r="Q1044" s="8" t="s">
        <v>9754</v>
      </c>
      <c r="R1044" s="38" t="s">
        <v>1295</v>
      </c>
    </row>
    <row r="1045" spans="1:18" ht="38.25">
      <c r="A1045" s="302" t="str">
        <f t="shared" si="27"/>
        <v>useLimitation</v>
      </c>
      <c r="B1045" s="6" t="s">
        <v>9759</v>
      </c>
      <c r="C1045" s="17" t="s">
        <v>9760</v>
      </c>
      <c r="D1045" s="10" t="s">
        <v>9761</v>
      </c>
      <c r="E1045" s="10" t="s">
        <v>9762</v>
      </c>
      <c r="F1045" s="55"/>
      <c r="G1045" s="12" t="s">
        <v>4643</v>
      </c>
      <c r="H1045" s="74"/>
      <c r="I1045" s="147" t="str">
        <f>HYPERLINK("[#]Datatypes!B1416:L1416","TextLexUnconstrained")</f>
        <v>TextLexUnconstrained</v>
      </c>
      <c r="J1045" s="80"/>
      <c r="K1045" s="77"/>
      <c r="L1045" s="77"/>
      <c r="M1045" s="78"/>
      <c r="N1045" s="74"/>
      <c r="O1045" s="25">
        <v>207252</v>
      </c>
      <c r="P1045" s="304" t="str">
        <f>CONCATENATE([1]Cover!$D$6,"fdd/view?i=",O1045)</f>
        <v>https://www.dgiwg.org/FAD/fdd/view?i=207252</v>
      </c>
      <c r="Q1045" s="8" t="s">
        <v>9758</v>
      </c>
      <c r="R1045" s="38" t="s">
        <v>1295</v>
      </c>
    </row>
    <row r="1046" spans="1:18" ht="38.25">
      <c r="A1046" s="302" t="str">
        <f t="shared" si="27"/>
        <v>userNote</v>
      </c>
      <c r="B1046" s="6" t="s">
        <v>9764</v>
      </c>
      <c r="C1046" s="17" t="s">
        <v>9765</v>
      </c>
      <c r="D1046" s="10" t="s">
        <v>9766</v>
      </c>
      <c r="E1046" s="10" t="s">
        <v>3620</v>
      </c>
      <c r="F1046" s="55"/>
      <c r="G1046" s="12" t="s">
        <v>4643</v>
      </c>
      <c r="H1046" s="74"/>
      <c r="I1046" s="147" t="str">
        <f>HYPERLINK("[#]Datatypes!B1416:L1416","TextLexUnconstrained")</f>
        <v>TextLexUnconstrained</v>
      </c>
      <c r="J1046" s="80"/>
      <c r="K1046" s="77"/>
      <c r="L1046" s="77"/>
      <c r="M1046" s="78"/>
      <c r="N1046" s="74"/>
      <c r="O1046" s="25">
        <v>207254</v>
      </c>
      <c r="P1046" s="304" t="str">
        <f>CONCATENATE([1]Cover!$D$6,"fdd/view?i=",O1046)</f>
        <v>https://www.dgiwg.org/FAD/fdd/view?i=207254</v>
      </c>
      <c r="Q1046" s="8" t="s">
        <v>9763</v>
      </c>
      <c r="R1046" s="38" t="s">
        <v>1295</v>
      </c>
    </row>
    <row r="1047" spans="1:18" ht="25.5">
      <c r="A1047" s="302" t="str">
        <f t="shared" si="27"/>
        <v>restrictHorizClearance</v>
      </c>
      <c r="B1047" s="6" t="s">
        <v>9768</v>
      </c>
      <c r="C1047" s="17" t="s">
        <v>9769</v>
      </c>
      <c r="D1047" s="10" t="s">
        <v>9770</v>
      </c>
      <c r="E1047" s="10" t="s">
        <v>9771</v>
      </c>
      <c r="F1047" s="55"/>
      <c r="G1047" s="12" t="s">
        <v>4643</v>
      </c>
      <c r="H1047" s="74"/>
      <c r="I1047" s="147" t="str">
        <f>HYPERLINK("[#]Datatypes!B230:L230","Boolean")</f>
        <v>Boolean</v>
      </c>
      <c r="J1047" s="80"/>
      <c r="K1047" s="77"/>
      <c r="L1047" s="77"/>
      <c r="M1047" s="78"/>
      <c r="N1047" s="74"/>
      <c r="O1047" s="25">
        <v>100931</v>
      </c>
      <c r="P1047" s="304" t="str">
        <f>CONCATENATE([1]Cover!$D$6,"fdd/view?i=",O1047)</f>
        <v>https://www.dgiwg.org/FAD/fdd/view?i=100931</v>
      </c>
      <c r="Q1047" s="8" t="s">
        <v>9767</v>
      </c>
      <c r="R1047" s="38" t="s">
        <v>151</v>
      </c>
    </row>
    <row r="1048" spans="1:18" ht="25.5">
      <c r="A1048" s="302" t="str">
        <f t="shared" si="27"/>
        <v>restrictOverheadClearance</v>
      </c>
      <c r="B1048" s="6" t="s">
        <v>9773</v>
      </c>
      <c r="C1048" s="17" t="s">
        <v>9774</v>
      </c>
      <c r="D1048" s="10" t="s">
        <v>9775</v>
      </c>
      <c r="E1048" s="10" t="s">
        <v>9776</v>
      </c>
      <c r="F1048" s="55"/>
      <c r="G1048" s="12" t="s">
        <v>4643</v>
      </c>
      <c r="H1048" s="74"/>
      <c r="I1048" s="147" t="str">
        <f>HYPERLINK("[#]Datatypes!B230:L230","Boolean")</f>
        <v>Boolean</v>
      </c>
      <c r="J1048" s="80"/>
      <c r="K1048" s="77"/>
      <c r="L1048" s="77"/>
      <c r="M1048" s="78"/>
      <c r="N1048" s="74"/>
      <c r="O1048" s="25">
        <v>101118</v>
      </c>
      <c r="P1048" s="304" t="str">
        <f>CONCATENATE([1]Cover!$D$6,"fdd/view?i=",O1048)</f>
        <v>https://www.dgiwg.org/FAD/fdd/view?i=101118</v>
      </c>
      <c r="Q1048" s="8" t="s">
        <v>9772</v>
      </c>
      <c r="R1048" s="38" t="s">
        <v>151</v>
      </c>
    </row>
    <row r="1049" spans="1:18" ht="51">
      <c r="A1049" s="302" t="str">
        <f t="shared" si="27"/>
        <v>reverseMagneticTrack</v>
      </c>
      <c r="B1049" s="6" t="s">
        <v>9778</v>
      </c>
      <c r="C1049" s="17" t="s">
        <v>9779</v>
      </c>
      <c r="D1049" s="10" t="s">
        <v>9780</v>
      </c>
      <c r="E1049" s="55"/>
      <c r="F1049" s="55"/>
      <c r="G1049" s="12" t="s">
        <v>4643</v>
      </c>
      <c r="H1049" s="74"/>
      <c r="I1049" s="147" t="str">
        <f>HYPERLINK("[#]Datatypes!B1097:L1097","Real")</f>
        <v>Real</v>
      </c>
      <c r="J1049" s="76" t="str">
        <f>HYPERLINK("[#]PhysicalQuantities!A34:N34","Plane Angle")</f>
        <v>Plane Angle</v>
      </c>
      <c r="K1049" s="75" t="str">
        <f>HYPERLINK("[#]UnitsOfMeasure!D159:G159","Arc Degree")</f>
        <v>Arc Degree</v>
      </c>
      <c r="L1049" s="77"/>
      <c r="M1049" s="78"/>
      <c r="N1049" s="74"/>
      <c r="O1049" s="25">
        <v>117616</v>
      </c>
      <c r="P1049" s="304" t="str">
        <f>CONCATENATE([1]Cover!$D$6,"fdd/view?i=",O1049)</f>
        <v>https://www.dgiwg.org/FAD/fdd/view?i=117616</v>
      </c>
      <c r="Q1049" s="8" t="s">
        <v>9777</v>
      </c>
      <c r="R1049" s="38" t="s">
        <v>151</v>
      </c>
    </row>
    <row r="1050" spans="1:18" ht="38.25">
      <c r="A1050" s="302" t="str">
        <f t="shared" si="27"/>
        <v>reverseTrueTrack</v>
      </c>
      <c r="B1050" s="6" t="s">
        <v>9782</v>
      </c>
      <c r="C1050" s="17" t="s">
        <v>9783</v>
      </c>
      <c r="D1050" s="10" t="s">
        <v>9784</v>
      </c>
      <c r="E1050" s="55"/>
      <c r="F1050" s="55"/>
      <c r="G1050" s="12" t="s">
        <v>4643</v>
      </c>
      <c r="H1050" s="74"/>
      <c r="I1050" s="147" t="str">
        <f>HYPERLINK("[#]Datatypes!B1097:L1097","Real")</f>
        <v>Real</v>
      </c>
      <c r="J1050" s="76" t="str">
        <f>HYPERLINK("[#]PhysicalQuantities!A34:N34","Plane Angle")</f>
        <v>Plane Angle</v>
      </c>
      <c r="K1050" s="75" t="str">
        <f>HYPERLINK("[#]UnitsOfMeasure!D159:G159","Arc Degree")</f>
        <v>Arc Degree</v>
      </c>
      <c r="L1050" s="77"/>
      <c r="M1050" s="78"/>
      <c r="N1050" s="74"/>
      <c r="O1050" s="25">
        <v>117734</v>
      </c>
      <c r="P1050" s="304" t="str">
        <f>CONCATENATE([1]Cover!$D$6,"fdd/view?i=",O1050)</f>
        <v>https://www.dgiwg.org/FAD/fdd/view?i=117734</v>
      </c>
      <c r="Q1050" s="8" t="s">
        <v>9781</v>
      </c>
      <c r="R1050" s="38" t="s">
        <v>151</v>
      </c>
    </row>
    <row r="1051" spans="1:18" ht="25.5">
      <c r="A1051" s="302" t="str">
        <f t="shared" si="27"/>
        <v>rigPresent</v>
      </c>
      <c r="B1051" s="6" t="s">
        <v>9786</v>
      </c>
      <c r="C1051" s="17" t="s">
        <v>9787</v>
      </c>
      <c r="D1051" s="10" t="s">
        <v>9788</v>
      </c>
      <c r="E1051" s="10" t="s">
        <v>9789</v>
      </c>
      <c r="F1051" s="55"/>
      <c r="G1051" s="12" t="s">
        <v>4643</v>
      </c>
      <c r="H1051" s="74"/>
      <c r="I1051" s="147" t="str">
        <f>HYPERLINK("[#]Datatypes!B230:L230","Boolean")</f>
        <v>Boolean</v>
      </c>
      <c r="J1051" s="80"/>
      <c r="K1051" s="77"/>
      <c r="L1051" s="77"/>
      <c r="M1051" s="78"/>
      <c r="N1051" s="74"/>
      <c r="O1051" s="25">
        <v>111704</v>
      </c>
      <c r="P1051" s="304" t="str">
        <f>CONCATENATE([1]Cover!$D$6,"fdd/view?i=",O1051)</f>
        <v>https://www.dgiwg.org/FAD/fdd/view?i=111704</v>
      </c>
      <c r="Q1051" s="8" t="s">
        <v>9785</v>
      </c>
      <c r="R1051" s="38" t="s">
        <v>151</v>
      </c>
    </row>
    <row r="1052" spans="1:18" ht="51">
      <c r="A1052" s="302" t="str">
        <f t="shared" si="27"/>
        <v>rightBelowWaterBankSlope</v>
      </c>
      <c r="B1052" s="6" t="s">
        <v>9791</v>
      </c>
      <c r="C1052" s="17" t="s">
        <v>9792</v>
      </c>
      <c r="D1052" s="10" t="s">
        <v>9793</v>
      </c>
      <c r="E1052" s="10" t="s">
        <v>9794</v>
      </c>
      <c r="F1052" s="55"/>
      <c r="G1052" s="12" t="s">
        <v>4643</v>
      </c>
      <c r="H1052" s="74"/>
      <c r="I1052" s="147" t="str">
        <f>HYPERLINK("[#]Datatypes!B1099:L1099","RealInterval")</f>
        <v>RealInterval</v>
      </c>
      <c r="J1052" s="76" t="str">
        <f>HYPERLINK("[#]PhysicalQuantities!A39:N39","Pure Number")</f>
        <v>Pure Number</v>
      </c>
      <c r="K1052" s="75" t="str">
        <f>HYPERLINK("[#]UnitsOfMeasure!D215:G215","Percent")</f>
        <v>Percent</v>
      </c>
      <c r="L1052" s="77"/>
      <c r="M1052" s="78"/>
      <c r="N1052" s="74"/>
      <c r="O1052" s="25">
        <v>110686</v>
      </c>
      <c r="P1052" s="304" t="str">
        <f>CONCATENATE([1]Cover!$D$6,"fdd/view?i=",O1052)</f>
        <v>https://www.dgiwg.org/FAD/fdd/view?i=110686</v>
      </c>
      <c r="Q1052" s="8" t="s">
        <v>9790</v>
      </c>
      <c r="R1052" s="38" t="s">
        <v>151</v>
      </c>
    </row>
    <row r="1053" spans="1:18" ht="76.5">
      <c r="A1053" s="302" t="str">
        <f t="shared" si="27"/>
        <v>roadInterchangeRamp</v>
      </c>
      <c r="B1053" s="6" t="s">
        <v>9796</v>
      </c>
      <c r="C1053" s="17" t="s">
        <v>9797</v>
      </c>
      <c r="D1053" s="10" t="s">
        <v>9798</v>
      </c>
      <c r="E1053" s="10" t="s">
        <v>9799</v>
      </c>
      <c r="F1053" s="10" t="s">
        <v>9800</v>
      </c>
      <c r="G1053" s="12" t="s">
        <v>4643</v>
      </c>
      <c r="H1053" s="74"/>
      <c r="I1053" s="147" t="str">
        <f>HYPERLINK("[#]Datatypes!B230:L230","Boolean")</f>
        <v>Boolean</v>
      </c>
      <c r="J1053" s="80"/>
      <c r="K1053" s="77"/>
      <c r="L1053" s="77"/>
      <c r="M1053" s="78"/>
      <c r="N1053" s="74"/>
      <c r="O1053" s="25">
        <v>119518</v>
      </c>
      <c r="P1053" s="304" t="str">
        <f>CONCATENATE([1]Cover!$D$6,"fdd/view?i=",O1053)</f>
        <v>https://www.dgiwg.org/FAD/fdd/view?i=119518</v>
      </c>
      <c r="Q1053" s="8" t="s">
        <v>9795</v>
      </c>
      <c r="R1053" s="38" t="s">
        <v>151</v>
      </c>
    </row>
    <row r="1054" spans="1:18">
      <c r="A1054" s="302" t="str">
        <f t="shared" si="27"/>
        <v>roadInterchangeType</v>
      </c>
      <c r="B1054" s="6" t="s">
        <v>9802</v>
      </c>
      <c r="C1054" s="17" t="s">
        <v>9803</v>
      </c>
      <c r="D1054" s="10" t="s">
        <v>9804</v>
      </c>
      <c r="E1054" s="55"/>
      <c r="F1054" s="55"/>
      <c r="G1054" s="12" t="s">
        <v>4643</v>
      </c>
      <c r="H1054" s="74"/>
      <c r="I1054" s="147" t="str">
        <f>HYPERLINK("[#]Datatypes!B1215:L1215","RoadInterchangeTypeCode")</f>
        <v>RoadInterchangeTypeCode</v>
      </c>
      <c r="J1054" s="80"/>
      <c r="K1054" s="77"/>
      <c r="L1054" s="77"/>
      <c r="M1054" s="71" t="str">
        <f>HYPERLINK("[#]DatatypeListedValues!A5879:H5879","&lt;values&gt;")</f>
        <v>&lt;values&gt;</v>
      </c>
      <c r="N1054" s="82" t="b">
        <v>0</v>
      </c>
      <c r="O1054" s="25">
        <v>101229</v>
      </c>
      <c r="P1054" s="304" t="str">
        <f>CONCATENATE([1]Cover!$D$6,"fdd/view?i=",O1054)</f>
        <v>https://www.dgiwg.org/FAD/fdd/view?i=101229</v>
      </c>
      <c r="Q1054" s="8" t="s">
        <v>9801</v>
      </c>
      <c r="R1054" s="38" t="s">
        <v>151</v>
      </c>
    </row>
    <row r="1055" spans="1:18">
      <c r="A1055" s="302" t="str">
        <f t="shared" si="27"/>
        <v>roadWeatherRestriction</v>
      </c>
      <c r="B1055" s="6" t="s">
        <v>9807</v>
      </c>
      <c r="C1055" s="17" t="s">
        <v>9808</v>
      </c>
      <c r="D1055" s="10" t="s">
        <v>9809</v>
      </c>
      <c r="E1055" s="55"/>
      <c r="F1055" s="55"/>
      <c r="G1055" s="12" t="s">
        <v>4643</v>
      </c>
      <c r="H1055" s="74"/>
      <c r="I1055" s="147" t="str">
        <f>HYPERLINK("[#]Datatypes!B1217:L1217","RoadWeatherRestrictionCode")</f>
        <v>RoadWeatherRestrictionCode</v>
      </c>
      <c r="J1055" s="80"/>
      <c r="K1055" s="77"/>
      <c r="L1055" s="77"/>
      <c r="M1055" s="71" t="str">
        <f>HYPERLINK("[#]DatatypeListedValues!A5889:H5889","&lt;values&gt;")</f>
        <v>&lt;values&gt;</v>
      </c>
      <c r="N1055" s="82" t="b">
        <v>0</v>
      </c>
      <c r="O1055" s="25">
        <v>101509</v>
      </c>
      <c r="P1055" s="304" t="str">
        <f>CONCATENATE([1]Cover!$D$6,"fdd/view?i=",O1055)</f>
        <v>https://www.dgiwg.org/FAD/fdd/view?i=101509</v>
      </c>
      <c r="Q1055" s="8" t="s">
        <v>9806</v>
      </c>
      <c r="R1055" s="38" t="s">
        <v>151</v>
      </c>
    </row>
    <row r="1056" spans="1:18">
      <c r="A1056" s="302" t="str">
        <f t="shared" si="27"/>
        <v>roadwayType</v>
      </c>
      <c r="B1056" s="6" t="s">
        <v>9812</v>
      </c>
      <c r="C1056" s="17" t="s">
        <v>9813</v>
      </c>
      <c r="D1056" s="10" t="s">
        <v>9814</v>
      </c>
      <c r="E1056" s="55"/>
      <c r="F1056" s="55"/>
      <c r="G1056" s="12" t="s">
        <v>4643</v>
      </c>
      <c r="H1056" s="74"/>
      <c r="I1056" s="147" t="str">
        <f>HYPERLINK("[#]Datatypes!B1219:L1219","RoadwayTypeCode")</f>
        <v>RoadwayTypeCode</v>
      </c>
      <c r="J1056" s="80"/>
      <c r="K1056" s="77"/>
      <c r="L1056" s="77"/>
      <c r="M1056" s="71" t="str">
        <f>HYPERLINK("[#]DatatypeListedValues!A5894:H5894","&lt;values&gt;")</f>
        <v>&lt;values&gt;</v>
      </c>
      <c r="N1056" s="82" t="b">
        <v>0</v>
      </c>
      <c r="O1056" s="25">
        <v>207844</v>
      </c>
      <c r="P1056" s="304" t="str">
        <f>CONCATENATE([1]Cover!$D$6,"fdd/view?i=",O1056)</f>
        <v>https://www.dgiwg.org/FAD/fdd/view?i=207844</v>
      </c>
      <c r="Q1056" s="8" t="s">
        <v>9811</v>
      </c>
      <c r="R1056" s="38" t="s">
        <v>1295</v>
      </c>
    </row>
    <row r="1057" spans="1:18">
      <c r="A1057" s="302" t="str">
        <f t="shared" si="27"/>
        <v>rockFormationStructure</v>
      </c>
      <c r="B1057" s="6" t="s">
        <v>9817</v>
      </c>
      <c r="C1057" s="17" t="s">
        <v>9818</v>
      </c>
      <c r="D1057" s="10" t="s">
        <v>9819</v>
      </c>
      <c r="E1057" s="55"/>
      <c r="F1057" s="55"/>
      <c r="G1057" s="12" t="s">
        <v>4643</v>
      </c>
      <c r="H1057" s="74"/>
      <c r="I1057" s="147" t="str">
        <f>HYPERLINK("[#]Datatypes!B1221:L1221","RockFormationStructureCode")</f>
        <v>RockFormationStructureCode</v>
      </c>
      <c r="J1057" s="80"/>
      <c r="K1057" s="77"/>
      <c r="L1057" s="77"/>
      <c r="M1057" s="71" t="str">
        <f>HYPERLINK("[#]DatatypeListedValues!A5898:H5898","&lt;values&gt;")</f>
        <v>&lt;values&gt;</v>
      </c>
      <c r="N1057" s="82" t="b">
        <v>0</v>
      </c>
      <c r="O1057" s="25">
        <v>101230</v>
      </c>
      <c r="P1057" s="304" t="str">
        <f>CONCATENATE([1]Cover!$D$6,"fdd/view?i=",O1057)</f>
        <v>https://www.dgiwg.org/FAD/fdd/view?i=101230</v>
      </c>
      <c r="Q1057" s="8" t="s">
        <v>9816</v>
      </c>
      <c r="R1057" s="38" t="s">
        <v>151</v>
      </c>
    </row>
    <row r="1058" spans="1:18" ht="25.5">
      <c r="A1058" s="302" t="str">
        <f t="shared" si="27"/>
        <v>roofCover</v>
      </c>
      <c r="B1058" s="6" t="s">
        <v>9822</v>
      </c>
      <c r="C1058" s="17" t="s">
        <v>9823</v>
      </c>
      <c r="D1058" s="10" t="s">
        <v>9824</v>
      </c>
      <c r="E1058" s="55"/>
      <c r="F1058" s="55"/>
      <c r="G1058" s="12" t="s">
        <v>4643</v>
      </c>
      <c r="H1058" s="74"/>
      <c r="I1058" s="147" t="str">
        <f>HYPERLINK("[#]Datatypes!B1110:L1110","RealNonNegInterval100")</f>
        <v>RealNonNegInterval100</v>
      </c>
      <c r="J1058" s="76" t="str">
        <f>HYPERLINK("[#]PhysicalQuantities!A39:N39","Pure Number")</f>
        <v>Pure Number</v>
      </c>
      <c r="K1058" s="75" t="str">
        <f>HYPERLINK("[#]UnitsOfMeasure!D215:G215","Percent")</f>
        <v>Percent</v>
      </c>
      <c r="L1058" s="77"/>
      <c r="M1058" s="78"/>
      <c r="N1058" s="74"/>
      <c r="O1058" s="25">
        <v>110694</v>
      </c>
      <c r="P1058" s="304" t="str">
        <f>CONCATENATE([1]Cover!$D$6,"fdd/view?i=",O1058)</f>
        <v>https://www.dgiwg.org/FAD/fdd/view?i=110694</v>
      </c>
      <c r="Q1058" s="8" t="s">
        <v>9821</v>
      </c>
      <c r="R1058" s="38" t="s">
        <v>151</v>
      </c>
    </row>
    <row r="1059" spans="1:18">
      <c r="A1059" s="302" t="str">
        <f t="shared" si="27"/>
        <v>roofShape</v>
      </c>
      <c r="B1059" s="6" t="s">
        <v>9826</v>
      </c>
      <c r="C1059" s="17" t="s">
        <v>9827</v>
      </c>
      <c r="D1059" s="10" t="s">
        <v>9828</v>
      </c>
      <c r="E1059" s="55"/>
      <c r="F1059" s="55"/>
      <c r="G1059" s="12" t="s">
        <v>4643</v>
      </c>
      <c r="H1059" s="12" t="s">
        <v>4700</v>
      </c>
      <c r="I1059" s="147" t="str">
        <f>HYPERLINK("[#]Datatypes!B1223:L1223","RoofShapeCode")</f>
        <v>RoofShapeCode</v>
      </c>
      <c r="J1059" s="80"/>
      <c r="K1059" s="77"/>
      <c r="L1059" s="77"/>
      <c r="M1059" s="71" t="str">
        <f>HYPERLINK("[#]DatatypeListedValues!A5902:H5902","&lt;values&gt;")</f>
        <v>&lt;values&gt;</v>
      </c>
      <c r="N1059" s="82" t="b">
        <v>0</v>
      </c>
      <c r="O1059" s="25">
        <v>101332</v>
      </c>
      <c r="P1059" s="304" t="str">
        <f>CONCATENATE([1]Cover!$D$6,"fdd/view?i=",O1059)</f>
        <v>https://www.dgiwg.org/FAD/fdd/view?i=101332</v>
      </c>
      <c r="Q1059" s="8" t="s">
        <v>9825</v>
      </c>
      <c r="R1059" s="38" t="s">
        <v>151</v>
      </c>
    </row>
    <row r="1060" spans="1:18" ht="38.25">
      <c r="A1060" s="302" t="str">
        <f t="shared" si="27"/>
        <v>roofed</v>
      </c>
      <c r="B1060" s="6" t="s">
        <v>9831</v>
      </c>
      <c r="C1060" s="17" t="s">
        <v>9832</v>
      </c>
      <c r="D1060" s="10" t="s">
        <v>9833</v>
      </c>
      <c r="E1060" s="10" t="s">
        <v>9834</v>
      </c>
      <c r="F1060" s="55"/>
      <c r="G1060" s="12" t="s">
        <v>4643</v>
      </c>
      <c r="H1060" s="74"/>
      <c r="I1060" s="147" t="str">
        <f>HYPERLINK("[#]Datatypes!B230:L230","Boolean")</f>
        <v>Boolean</v>
      </c>
      <c r="J1060" s="80"/>
      <c r="K1060" s="77"/>
      <c r="L1060" s="77"/>
      <c r="M1060" s="78"/>
      <c r="N1060" s="74"/>
      <c r="O1060" s="25">
        <v>118029</v>
      </c>
      <c r="P1060" s="304" t="str">
        <f>CONCATENATE([1]Cover!$D$6,"fdd/view?i=",O1060)</f>
        <v>https://www.dgiwg.org/FAD/fdd/view?i=118029</v>
      </c>
      <c r="Q1060" s="8" t="s">
        <v>9830</v>
      </c>
      <c r="R1060" s="38" t="s">
        <v>151</v>
      </c>
    </row>
    <row r="1061" spans="1:18" ht="38.25">
      <c r="A1061" s="302" t="str">
        <f t="shared" si="27"/>
        <v>routeDesignation</v>
      </c>
      <c r="B1061" s="6" t="s">
        <v>9836</v>
      </c>
      <c r="C1061" s="17" t="s">
        <v>9837</v>
      </c>
      <c r="D1061" s="10" t="s">
        <v>9838</v>
      </c>
      <c r="E1061" s="10" t="s">
        <v>9839</v>
      </c>
      <c r="F1061" s="55"/>
      <c r="G1061" s="12" t="s">
        <v>4643</v>
      </c>
      <c r="H1061" s="74"/>
      <c r="I1061" s="147" t="str">
        <f>HYPERLINK("[#]Datatypes!B1408:L1408","TextLex24")</f>
        <v>TextLex24</v>
      </c>
      <c r="J1061" s="80"/>
      <c r="K1061" s="77"/>
      <c r="L1061" s="77"/>
      <c r="M1061" s="78"/>
      <c r="N1061" s="74"/>
      <c r="O1061" s="25">
        <v>101252</v>
      </c>
      <c r="P1061" s="304" t="str">
        <f>CONCATENATE([1]Cover!$D$6,"fdd/view?i=",O1061)</f>
        <v>https://www.dgiwg.org/FAD/fdd/view?i=101252</v>
      </c>
      <c r="Q1061" s="8" t="s">
        <v>9835</v>
      </c>
      <c r="R1061" s="38" t="s">
        <v>151</v>
      </c>
    </row>
    <row r="1062" spans="1:18" ht="38.25">
      <c r="A1062" s="302" t="str">
        <f t="shared" si="27"/>
        <v>routeDesignationType</v>
      </c>
      <c r="B1062" s="6" t="s">
        <v>9841</v>
      </c>
      <c r="C1062" s="17" t="s">
        <v>9842</v>
      </c>
      <c r="D1062" s="10" t="s">
        <v>9843</v>
      </c>
      <c r="E1062" s="10" t="s">
        <v>9844</v>
      </c>
      <c r="F1062" s="55"/>
      <c r="G1062" s="12" t="s">
        <v>4643</v>
      </c>
      <c r="H1062" s="12" t="s">
        <v>4700</v>
      </c>
      <c r="I1062" s="147" t="str">
        <f>HYPERLINK("[#]Datatypes!B1227:L1227","RouteDesignationTypeCode")</f>
        <v>RouteDesignationTypeCode</v>
      </c>
      <c r="J1062" s="80"/>
      <c r="K1062" s="77"/>
      <c r="L1062" s="77"/>
      <c r="M1062" s="71" t="str">
        <f>HYPERLINK("[#]DatatypeListedValues!A5962:H5962","&lt;values&gt;")</f>
        <v>&lt;values&gt;</v>
      </c>
      <c r="N1062" s="12" t="b">
        <v>1</v>
      </c>
      <c r="O1062" s="25">
        <v>119204</v>
      </c>
      <c r="P1062" s="304" t="str">
        <f>CONCATENATE([1]Cover!$D$6,"fdd/view?i=",O1062)</f>
        <v>https://www.dgiwg.org/FAD/fdd/view?i=119204</v>
      </c>
      <c r="Q1062" s="8" t="s">
        <v>9840</v>
      </c>
      <c r="R1062" s="38" t="s">
        <v>151</v>
      </c>
    </row>
    <row r="1063" spans="1:18" ht="51">
      <c r="A1063" s="302" t="str">
        <f t="shared" si="27"/>
        <v>routeIdentification</v>
      </c>
      <c r="B1063" s="6" t="s">
        <v>9847</v>
      </c>
      <c r="C1063" s="17" t="s">
        <v>9848</v>
      </c>
      <c r="D1063" s="10" t="s">
        <v>9849</v>
      </c>
      <c r="E1063" s="10" t="s">
        <v>9850</v>
      </c>
      <c r="F1063" s="55"/>
      <c r="G1063" s="12" t="s">
        <v>4643</v>
      </c>
      <c r="H1063" s="74"/>
      <c r="I1063" s="147" t="str">
        <f>HYPERLINK("[#]Datatypes!B1231:L1231","RouteIdentificationStrucText")</f>
        <v>RouteIdentificationStrucText</v>
      </c>
      <c r="J1063" s="80"/>
      <c r="K1063" s="77"/>
      <c r="L1063" s="77"/>
      <c r="M1063" s="78"/>
      <c r="N1063" s="74"/>
      <c r="O1063" s="25">
        <v>207945</v>
      </c>
      <c r="P1063" s="304" t="str">
        <f>CONCATENATE([1]Cover!$D$6,"fdd/view?i=",O1063)</f>
        <v>https://www.dgiwg.org/FAD/fdd/view?i=207945</v>
      </c>
      <c r="Q1063" s="8" t="s">
        <v>9846</v>
      </c>
      <c r="R1063" s="38" t="s">
        <v>1295</v>
      </c>
    </row>
    <row r="1064" spans="1:18" ht="89.25">
      <c r="A1064" s="302" t="str">
        <f t="shared" si="27"/>
        <v>routeIntendedUse</v>
      </c>
      <c r="B1064" s="6" t="s">
        <v>9853</v>
      </c>
      <c r="C1064" s="17" t="s">
        <v>9854</v>
      </c>
      <c r="D1064" s="10" t="s">
        <v>9855</v>
      </c>
      <c r="E1064" s="10" t="s">
        <v>9856</v>
      </c>
      <c r="F1064" s="55"/>
      <c r="G1064" s="12" t="s">
        <v>4643</v>
      </c>
      <c r="H1064" s="74"/>
      <c r="I1064" s="147" t="str">
        <f>HYPERLINK("[#]Datatypes!B1233:L1233","RouteIntendedUseCode")</f>
        <v>RouteIntendedUseCode</v>
      </c>
      <c r="J1064" s="80"/>
      <c r="K1064" s="77"/>
      <c r="L1064" s="77"/>
      <c r="M1064" s="71" t="str">
        <f>HYPERLINK("[#]DatatypeListedValues!A5972:H5972","&lt;values&gt;")</f>
        <v>&lt;values&gt;</v>
      </c>
      <c r="N1064" s="82" t="b">
        <v>0</v>
      </c>
      <c r="O1064" s="25">
        <v>101256</v>
      </c>
      <c r="P1064" s="304" t="str">
        <f>CONCATENATE([1]Cover!$D$6,"fdd/view?i=",O1064)</f>
        <v>https://www.dgiwg.org/FAD/fdd/view?i=101256</v>
      </c>
      <c r="Q1064" s="8" t="s">
        <v>9852</v>
      </c>
      <c r="R1064" s="38" t="s">
        <v>151</v>
      </c>
    </row>
    <row r="1065" spans="1:18" ht="25.5">
      <c r="A1065" s="302" t="str">
        <f t="shared" si="27"/>
        <v>routeInterchangeDesignation</v>
      </c>
      <c r="B1065" s="6" t="s">
        <v>9859</v>
      </c>
      <c r="C1065" s="17" t="s">
        <v>9860</v>
      </c>
      <c r="D1065" s="10" t="s">
        <v>9861</v>
      </c>
      <c r="E1065" s="10" t="s">
        <v>9862</v>
      </c>
      <c r="F1065" s="55"/>
      <c r="G1065" s="12" t="s">
        <v>4643</v>
      </c>
      <c r="H1065" s="74"/>
      <c r="I1065" s="147" t="str">
        <f>HYPERLINK("[#]Datatypes!B1416:L1416","TextLexUnconstrained")</f>
        <v>TextLexUnconstrained</v>
      </c>
      <c r="J1065" s="80"/>
      <c r="K1065" s="77"/>
      <c r="L1065" s="77"/>
      <c r="M1065" s="78"/>
      <c r="N1065" s="74"/>
      <c r="O1065" s="25">
        <v>119520</v>
      </c>
      <c r="P1065" s="304" t="str">
        <f>CONCATENATE([1]Cover!$D$6,"fdd/view?i=",O1065)</f>
        <v>https://www.dgiwg.org/FAD/fdd/view?i=119520</v>
      </c>
      <c r="Q1065" s="8" t="s">
        <v>9858</v>
      </c>
      <c r="R1065" s="38" t="s">
        <v>151</v>
      </c>
    </row>
    <row r="1066" spans="1:18" ht="51">
      <c r="A1066" s="302" t="str">
        <f t="shared" si="27"/>
        <v>routeMedianWidth</v>
      </c>
      <c r="B1066" s="6" t="s">
        <v>9864</v>
      </c>
      <c r="C1066" s="17" t="s">
        <v>9865</v>
      </c>
      <c r="D1066" s="10" t="s">
        <v>9866</v>
      </c>
      <c r="E1066" s="10" t="s">
        <v>9867</v>
      </c>
      <c r="F1066" s="55"/>
      <c r="G1066" s="12" t="s">
        <v>4643</v>
      </c>
      <c r="H1066" s="74"/>
      <c r="I1066" s="147" t="str">
        <f>HYPERLINK("[#]Datatypes!B1099:L1099","RealInterval")</f>
        <v>RealInterval</v>
      </c>
      <c r="J1066" s="76" t="str">
        <f>HYPERLINK("[#]PhysicalQuantities!A20:N20","Length")</f>
        <v>Length</v>
      </c>
      <c r="K1066" s="75" t="str">
        <f>HYPERLINK("[#]UnitsOfMeasure!D80:G80","Metre")</f>
        <v>Metre</v>
      </c>
      <c r="L1066" s="77"/>
      <c r="M1066" s="78"/>
      <c r="N1066" s="74"/>
      <c r="O1066" s="25">
        <v>109979</v>
      </c>
      <c r="P1066" s="304" t="str">
        <f>CONCATENATE([1]Cover!$D$6,"fdd/view?i=",O1066)</f>
        <v>https://www.dgiwg.org/FAD/fdd/view?i=109979</v>
      </c>
      <c r="Q1066" s="8" t="s">
        <v>9863</v>
      </c>
      <c r="R1066" s="38" t="s">
        <v>151</v>
      </c>
    </row>
    <row r="1067" spans="1:18" ht="25.5">
      <c r="A1067" s="302" t="str">
        <f t="shared" si="27"/>
        <v>routeMinTravelledWayWidth</v>
      </c>
      <c r="B1067" s="6" t="s">
        <v>9869</v>
      </c>
      <c r="C1067" s="17" t="s">
        <v>9870</v>
      </c>
      <c r="D1067" s="10" t="s">
        <v>9871</v>
      </c>
      <c r="E1067" s="10" t="s">
        <v>9872</v>
      </c>
      <c r="F1067" s="55"/>
      <c r="G1067" s="12" t="s">
        <v>4643</v>
      </c>
      <c r="H1067" s="74"/>
      <c r="I1067" s="147" t="str">
        <f>HYPERLINK("[#]Datatypes!B1097:L1097","Real")</f>
        <v>Real</v>
      </c>
      <c r="J1067" s="76" t="str">
        <f>HYPERLINK("[#]PhysicalQuantities!A20:N20","Length")</f>
        <v>Length</v>
      </c>
      <c r="K1067" s="75" t="str">
        <f>HYPERLINK("[#]UnitsOfMeasure!D80:G80","Metre")</f>
        <v>Metre</v>
      </c>
      <c r="L1067" s="77"/>
      <c r="M1067" s="78"/>
      <c r="N1067" s="74"/>
      <c r="O1067" s="25">
        <v>110729</v>
      </c>
      <c r="P1067" s="304" t="str">
        <f>CONCATENATE([1]Cover!$D$6,"fdd/view?i=",O1067)</f>
        <v>https://www.dgiwg.org/FAD/fdd/view?i=110729</v>
      </c>
      <c r="Q1067" s="8" t="s">
        <v>9868</v>
      </c>
      <c r="R1067" s="38" t="s">
        <v>151</v>
      </c>
    </row>
    <row r="1068" spans="1:18" ht="76.5">
      <c r="A1068" s="302" t="str">
        <f t="shared" si="27"/>
        <v>routeSurfaceComposition</v>
      </c>
      <c r="B1068" s="6" t="s">
        <v>9874</v>
      </c>
      <c r="C1068" s="17" t="s">
        <v>9875</v>
      </c>
      <c r="D1068" s="10" t="s">
        <v>9876</v>
      </c>
      <c r="E1068" s="10" t="s">
        <v>9877</v>
      </c>
      <c r="F1068" s="55"/>
      <c r="G1068" s="12" t="s">
        <v>4643</v>
      </c>
      <c r="H1068" s="74"/>
      <c r="I1068" s="147" t="str">
        <f>HYPERLINK("[#]Datatypes!B1235:L1235","RouteSurfaceCompositionCode")</f>
        <v>RouteSurfaceCompositionCode</v>
      </c>
      <c r="J1068" s="80"/>
      <c r="K1068" s="77"/>
      <c r="L1068" s="77"/>
      <c r="M1068" s="71" t="str">
        <f>HYPERLINK("[#]DatatypeListedValues!A5980:H5980","&lt;values&gt;")</f>
        <v>&lt;values&gt;</v>
      </c>
      <c r="N1068" s="82" t="b">
        <v>0</v>
      </c>
      <c r="O1068" s="25">
        <v>111707</v>
      </c>
      <c r="P1068" s="304" t="str">
        <f>CONCATENATE([1]Cover!$D$6,"fdd/view?i=",O1068)</f>
        <v>https://www.dgiwg.org/FAD/fdd/view?i=111707</v>
      </c>
      <c r="Q1068" s="8" t="s">
        <v>9873</v>
      </c>
      <c r="R1068" s="38" t="s">
        <v>151</v>
      </c>
    </row>
    <row r="1069" spans="1:18">
      <c r="A1069" s="302" t="str">
        <f t="shared" si="27"/>
        <v>routeTotalUsableWidth</v>
      </c>
      <c r="B1069" s="6" t="s">
        <v>9880</v>
      </c>
      <c r="C1069" s="17" t="s">
        <v>9881</v>
      </c>
      <c r="D1069" s="10" t="s">
        <v>9882</v>
      </c>
      <c r="E1069" s="10" t="s">
        <v>9883</v>
      </c>
      <c r="F1069" s="55"/>
      <c r="G1069" s="12" t="s">
        <v>4643</v>
      </c>
      <c r="H1069" s="74"/>
      <c r="I1069" s="147" t="str">
        <f>HYPERLINK("[#]Datatypes!B1099:L1099","RealInterval")</f>
        <v>RealInterval</v>
      </c>
      <c r="J1069" s="76" t="str">
        <f>HYPERLINK("[#]PhysicalQuantities!A20:N20","Length")</f>
        <v>Length</v>
      </c>
      <c r="K1069" s="75" t="str">
        <f>HYPERLINK("[#]UnitsOfMeasure!D80:G80","Metre")</f>
        <v>Metre</v>
      </c>
      <c r="L1069" s="77"/>
      <c r="M1069" s="78"/>
      <c r="N1069" s="74"/>
      <c r="O1069" s="25">
        <v>110730</v>
      </c>
      <c r="P1069" s="304" t="str">
        <f>CONCATENATE([1]Cover!$D$6,"fdd/view?i=",O1069)</f>
        <v>https://www.dgiwg.org/FAD/fdd/view?i=110730</v>
      </c>
      <c r="Q1069" s="8" t="s">
        <v>9879</v>
      </c>
      <c r="R1069" s="38" t="s">
        <v>151</v>
      </c>
    </row>
    <row r="1070" spans="1:18" ht="38.25">
      <c r="A1070" s="302" t="str">
        <f t="shared" si="27"/>
        <v>routeConstrictionType</v>
      </c>
      <c r="B1070" s="6" t="s">
        <v>9885</v>
      </c>
      <c r="C1070" s="17" t="s">
        <v>9886</v>
      </c>
      <c r="D1070" s="10" t="s">
        <v>9887</v>
      </c>
      <c r="E1070" s="10" t="s">
        <v>9888</v>
      </c>
      <c r="F1070" s="55"/>
      <c r="G1070" s="12" t="s">
        <v>4643</v>
      </c>
      <c r="H1070" s="74"/>
      <c r="I1070" s="147" t="str">
        <f>HYPERLINK("[#]Datatypes!B1225:L1225","RouteConstrictionTypeCode")</f>
        <v>RouteConstrictionTypeCode</v>
      </c>
      <c r="J1070" s="80"/>
      <c r="K1070" s="77"/>
      <c r="L1070" s="77"/>
      <c r="M1070" s="71" t="str">
        <f>HYPERLINK("[#]DatatypeListedValues!A5919:H5919","&lt;values&gt;")</f>
        <v>&lt;values&gt;</v>
      </c>
      <c r="N1070" s="82" t="b">
        <v>0</v>
      </c>
      <c r="O1070" s="25">
        <v>100756</v>
      </c>
      <c r="P1070" s="304" t="str">
        <f>CONCATENATE([1]Cover!$D$6,"fdd/view?i=",O1070)</f>
        <v>https://www.dgiwg.org/FAD/fdd/view?i=100756</v>
      </c>
      <c r="Q1070" s="8" t="s">
        <v>9884</v>
      </c>
      <c r="R1070" s="38" t="s">
        <v>151</v>
      </c>
    </row>
    <row r="1071" spans="1:18" ht="25.5">
      <c r="A1071" s="302" t="str">
        <f t="shared" si="27"/>
        <v>routeExpansionType</v>
      </c>
      <c r="B1071" s="6" t="s">
        <v>9891</v>
      </c>
      <c r="C1071" s="17" t="s">
        <v>9892</v>
      </c>
      <c r="D1071" s="10" t="s">
        <v>9893</v>
      </c>
      <c r="E1071" s="55"/>
      <c r="F1071" s="55"/>
      <c r="G1071" s="12" t="s">
        <v>4643</v>
      </c>
      <c r="H1071" s="74"/>
      <c r="I1071" s="147" t="str">
        <f>HYPERLINK("[#]Datatypes!B1229:L1229","RouteExpansionTypeCode")</f>
        <v>RouteExpansionTypeCode</v>
      </c>
      <c r="J1071" s="80"/>
      <c r="K1071" s="77"/>
      <c r="L1071" s="77"/>
      <c r="M1071" s="71" t="str">
        <f>HYPERLINK("[#]DatatypeListedValues!A5967:H5967","&lt;values&gt;")</f>
        <v>&lt;values&gt;</v>
      </c>
      <c r="N1071" s="82" t="b">
        <v>0</v>
      </c>
      <c r="O1071" s="25">
        <v>100869</v>
      </c>
      <c r="P1071" s="304" t="str">
        <f>CONCATENATE([1]Cover!$D$6,"fdd/view?i=",O1071)</f>
        <v>https://www.dgiwg.org/FAD/fdd/view?i=100869</v>
      </c>
      <c r="Q1071" s="8" t="s">
        <v>9890</v>
      </c>
      <c r="R1071" s="38" t="s">
        <v>151</v>
      </c>
    </row>
    <row r="1072" spans="1:18" ht="25.5">
      <c r="A1072" s="302" t="str">
        <f t="shared" si="27"/>
        <v>runwayBearingStrength</v>
      </c>
      <c r="B1072" s="6" t="s">
        <v>9896</v>
      </c>
      <c r="C1072" s="17" t="s">
        <v>9897</v>
      </c>
      <c r="D1072" s="10" t="s">
        <v>9898</v>
      </c>
      <c r="E1072" s="55"/>
      <c r="F1072" s="55"/>
      <c r="G1072" s="12" t="s">
        <v>4643</v>
      </c>
      <c r="H1072" s="74"/>
      <c r="I1072" s="147" t="str">
        <f>HYPERLINK("[#]Datatypes!B958:L958","RealNonNegative")</f>
        <v>RealNonNegative</v>
      </c>
      <c r="J1072" s="76" t="str">
        <f>HYPERLINK("[#]PhysicalQuantities!A28:N28","Mass")</f>
        <v>Mass</v>
      </c>
      <c r="K1072" s="75" t="str">
        <f>HYPERLINK("[#]UnitsOfMeasure!D127:G127","Kilogram")</f>
        <v>Kilogram</v>
      </c>
      <c r="L1072" s="77"/>
      <c r="M1072" s="78"/>
      <c r="N1072" s="74"/>
      <c r="O1072" s="25">
        <v>119004</v>
      </c>
      <c r="P1072" s="304" t="str">
        <f>CONCATENATE([1]Cover!$D$6,"fdd/view?i=",O1072)</f>
        <v>https://www.dgiwg.org/FAD/fdd/view?i=119004</v>
      </c>
      <c r="Q1072" s="8" t="s">
        <v>9895</v>
      </c>
      <c r="R1072" s="38" t="s">
        <v>151</v>
      </c>
    </row>
    <row r="1073" spans="1:18" ht="38.25">
      <c r="A1073" s="302" t="str">
        <f t="shared" si="27"/>
        <v>runwayCentreLineLocRole</v>
      </c>
      <c r="B1073" s="6" t="s">
        <v>9900</v>
      </c>
      <c r="C1073" s="17" t="s">
        <v>9901</v>
      </c>
      <c r="D1073" s="10" t="s">
        <v>9902</v>
      </c>
      <c r="E1073" s="55"/>
      <c r="F1073" s="55"/>
      <c r="G1073" s="12" t="s">
        <v>4643</v>
      </c>
      <c r="H1073" s="74"/>
      <c r="I1073" s="147" t="str">
        <f>HYPERLINK("[#]Datatypes!B1237:L1237","RunwayCentreLineLocRoleCode")</f>
        <v>RunwayCentreLineLocRoleCode</v>
      </c>
      <c r="J1073" s="80"/>
      <c r="K1073" s="77"/>
      <c r="L1073" s="77"/>
      <c r="M1073" s="71" t="str">
        <f>HYPERLINK("[#]DatatypeListedValues!A5998:H5998","&lt;values&gt;")</f>
        <v>&lt;values&gt;</v>
      </c>
      <c r="N1073" s="82" t="b">
        <v>0</v>
      </c>
      <c r="O1073" s="25">
        <v>207850</v>
      </c>
      <c r="P1073" s="304" t="str">
        <f>CONCATENATE([1]Cover!$D$6,"fdd/view?i=",O1073)</f>
        <v>https://www.dgiwg.org/FAD/fdd/view?i=207850</v>
      </c>
      <c r="Q1073" s="8" t="s">
        <v>9899</v>
      </c>
      <c r="R1073" s="38" t="s">
        <v>1295</v>
      </c>
    </row>
    <row r="1074" spans="1:18" ht="38.25">
      <c r="A1074" s="302" t="str">
        <f t="shared" si="27"/>
        <v>runwayDesignator</v>
      </c>
      <c r="B1074" s="6" t="s">
        <v>9905</v>
      </c>
      <c r="C1074" s="17" t="s">
        <v>9906</v>
      </c>
      <c r="D1074" s="10" t="s">
        <v>9907</v>
      </c>
      <c r="E1074" s="10" t="s">
        <v>9908</v>
      </c>
      <c r="F1074" s="55"/>
      <c r="G1074" s="12" t="s">
        <v>4643</v>
      </c>
      <c r="H1074" s="74"/>
      <c r="I1074" s="147" t="str">
        <f>HYPERLINK("[#]Datatypes!B1239:L1239","RunwayDesignatorStrucText")</f>
        <v>RunwayDesignatorStrucText</v>
      </c>
      <c r="J1074" s="80"/>
      <c r="K1074" s="77"/>
      <c r="L1074" s="77"/>
      <c r="M1074" s="78"/>
      <c r="N1074" s="74"/>
      <c r="O1074" s="25">
        <v>117684</v>
      </c>
      <c r="P1074" s="304" t="str">
        <f>CONCATENATE([1]Cover!$D$6,"fdd/view?i=",O1074)</f>
        <v>https://www.dgiwg.org/FAD/fdd/view?i=117684</v>
      </c>
      <c r="Q1074" s="8" t="s">
        <v>9904</v>
      </c>
      <c r="R1074" s="38" t="s">
        <v>151</v>
      </c>
    </row>
    <row r="1075" spans="1:18" ht="51">
      <c r="A1075" s="302" t="str">
        <f t="shared" si="27"/>
        <v>runwayDisplacedArea</v>
      </c>
      <c r="B1075" s="6" t="s">
        <v>9911</v>
      </c>
      <c r="C1075" s="17" t="s">
        <v>9912</v>
      </c>
      <c r="D1075" s="10" t="s">
        <v>9913</v>
      </c>
      <c r="E1075" s="10" t="s">
        <v>9914</v>
      </c>
      <c r="F1075" s="55"/>
      <c r="G1075" s="12" t="s">
        <v>4643</v>
      </c>
      <c r="H1075" s="74"/>
      <c r="I1075" s="147" t="str">
        <f>HYPERLINK("[#]Datatypes!B230:L230","Boolean")</f>
        <v>Boolean</v>
      </c>
      <c r="J1075" s="80"/>
      <c r="K1075" s="77"/>
      <c r="L1075" s="77"/>
      <c r="M1075" s="78"/>
      <c r="N1075" s="74"/>
      <c r="O1075" s="25">
        <v>119591</v>
      </c>
      <c r="P1075" s="304" t="str">
        <f>CONCATENATE([1]Cover!$D$6,"fdd/view?i=",O1075)</f>
        <v>https://www.dgiwg.org/FAD/fdd/view?i=119591</v>
      </c>
      <c r="Q1075" s="8" t="s">
        <v>9910</v>
      </c>
      <c r="R1075" s="38" t="s">
        <v>151</v>
      </c>
    </row>
    <row r="1076" spans="1:18" ht="25.5">
      <c r="A1076" s="302" t="str">
        <f t="shared" si="27"/>
        <v>runwayExtenDist</v>
      </c>
      <c r="B1076" s="6" t="s">
        <v>9916</v>
      </c>
      <c r="C1076" s="17" t="s">
        <v>9917</v>
      </c>
      <c r="D1076" s="10" t="s">
        <v>9918</v>
      </c>
      <c r="E1076" s="55"/>
      <c r="F1076" s="55"/>
      <c r="G1076" s="12" t="s">
        <v>4643</v>
      </c>
      <c r="H1076" s="74"/>
      <c r="I1076" s="147" t="str">
        <f>HYPERLINK("[#]Datatypes!B958:L958","RealNonNegative")</f>
        <v>RealNonNegative</v>
      </c>
      <c r="J1076" s="76" t="str">
        <f>HYPERLINK("[#]PhysicalQuantities!A20:N20","Length")</f>
        <v>Length</v>
      </c>
      <c r="K1076" s="75" t="str">
        <f>HYPERLINK("[#]UnitsOfMeasure!D80:G80","Metre")</f>
        <v>Metre</v>
      </c>
      <c r="L1076" s="77"/>
      <c r="M1076" s="78"/>
      <c r="N1076" s="74"/>
      <c r="O1076" s="25">
        <v>119006</v>
      </c>
      <c r="P1076" s="304" t="str">
        <f>CONCATENATE([1]Cover!$D$6,"fdd/view?i=",O1076)</f>
        <v>https://www.dgiwg.org/FAD/fdd/view?i=119006</v>
      </c>
      <c r="Q1076" s="8" t="s">
        <v>9915</v>
      </c>
      <c r="R1076" s="38" t="s">
        <v>151</v>
      </c>
    </row>
    <row r="1077" spans="1:18">
      <c r="A1077" s="302" t="str">
        <f t="shared" si="27"/>
        <v>runwayMagHeading</v>
      </c>
      <c r="B1077" s="6" t="s">
        <v>9920</v>
      </c>
      <c r="C1077" s="17" t="s">
        <v>9921</v>
      </c>
      <c r="D1077" s="10" t="s">
        <v>9922</v>
      </c>
      <c r="E1077" s="55"/>
      <c r="F1077" s="55"/>
      <c r="G1077" s="12" t="s">
        <v>4643</v>
      </c>
      <c r="H1077" s="74"/>
      <c r="I1077" s="147" t="str">
        <f>HYPERLINK("[#]Datatypes!B1097:L1097","Real")</f>
        <v>Real</v>
      </c>
      <c r="J1077" s="76" t="str">
        <f>HYPERLINK("[#]PhysicalQuantities!A34:N34","Plane Angle")</f>
        <v>Plane Angle</v>
      </c>
      <c r="K1077" s="75" t="str">
        <f>HYPERLINK("[#]UnitsOfMeasure!D159:G159","Arc Degree")</f>
        <v>Arc Degree</v>
      </c>
      <c r="L1077" s="77"/>
      <c r="M1077" s="78"/>
      <c r="N1077" s="74"/>
      <c r="O1077" s="25">
        <v>119137</v>
      </c>
      <c r="P1077" s="304" t="str">
        <f>CONCATENATE([1]Cover!$D$6,"fdd/view?i=",O1077)</f>
        <v>https://www.dgiwg.org/FAD/fdd/view?i=119137</v>
      </c>
      <c r="Q1077" s="8" t="s">
        <v>9919</v>
      </c>
      <c r="R1077" s="38" t="s">
        <v>151</v>
      </c>
    </row>
    <row r="1078" spans="1:18">
      <c r="A1078" s="302" t="str">
        <f t="shared" si="27"/>
        <v>runwayMidpointElevation</v>
      </c>
      <c r="B1078" s="6" t="s">
        <v>9924</v>
      </c>
      <c r="C1078" s="17" t="s">
        <v>9925</v>
      </c>
      <c r="D1078" s="10" t="s">
        <v>9926</v>
      </c>
      <c r="E1078" s="55"/>
      <c r="F1078" s="55"/>
      <c r="G1078" s="12" t="s">
        <v>4643</v>
      </c>
      <c r="H1078" s="74"/>
      <c r="I1078" s="147" t="str">
        <f>HYPERLINK("[#]Datatypes!B1097:L1097","Real")</f>
        <v>Real</v>
      </c>
      <c r="J1078" s="76" t="str">
        <f>HYPERLINK("[#]PhysicalQuantities!A20:N20","Length")</f>
        <v>Length</v>
      </c>
      <c r="K1078" s="75" t="str">
        <f>HYPERLINK("[#]UnitsOfMeasure!D80:G80","Metre")</f>
        <v>Metre</v>
      </c>
      <c r="L1078" s="77"/>
      <c r="M1078" s="78"/>
      <c r="N1078" s="74"/>
      <c r="O1078" s="25">
        <v>119005</v>
      </c>
      <c r="P1078" s="304" t="str">
        <f>CONCATENATE([1]Cover!$D$6,"fdd/view?i=",O1078)</f>
        <v>https://www.dgiwg.org/FAD/fdd/view?i=119005</v>
      </c>
      <c r="Q1078" s="8" t="s">
        <v>9923</v>
      </c>
      <c r="R1078" s="38" t="s">
        <v>151</v>
      </c>
    </row>
    <row r="1079" spans="1:18">
      <c r="A1079" s="302" t="str">
        <f t="shared" si="27"/>
        <v>runwayObservedLoading</v>
      </c>
      <c r="B1079" s="6" t="s">
        <v>9928</v>
      </c>
      <c r="C1079" s="17" t="s">
        <v>9929</v>
      </c>
      <c r="D1079" s="10" t="s">
        <v>9930</v>
      </c>
      <c r="E1079" s="55"/>
      <c r="F1079" s="55"/>
      <c r="G1079" s="12" t="s">
        <v>4643</v>
      </c>
      <c r="H1079" s="74"/>
      <c r="I1079" s="147" t="str">
        <f>HYPERLINK("[#]Datatypes!B1414:L1414","TextLex80")</f>
        <v>TextLex80</v>
      </c>
      <c r="J1079" s="80"/>
      <c r="K1079" s="77"/>
      <c r="L1079" s="77"/>
      <c r="M1079" s="78"/>
      <c r="N1079" s="74"/>
      <c r="O1079" s="25">
        <v>119196</v>
      </c>
      <c r="P1079" s="304" t="str">
        <f>CONCATENATE([1]Cover!$D$6,"fdd/view?i=",O1079)</f>
        <v>https://www.dgiwg.org/FAD/fdd/view?i=119196</v>
      </c>
      <c r="Q1079" s="8" t="s">
        <v>9927</v>
      </c>
      <c r="R1079" s="38" t="s">
        <v>151</v>
      </c>
    </row>
    <row r="1080" spans="1:18" ht="127.5">
      <c r="A1080" s="302" t="str">
        <f t="shared" si="27"/>
        <v>runwayOffsetLength</v>
      </c>
      <c r="B1080" s="6" t="s">
        <v>9932</v>
      </c>
      <c r="C1080" s="17" t="s">
        <v>9933</v>
      </c>
      <c r="D1080" s="10" t="s">
        <v>9934</v>
      </c>
      <c r="E1080" s="10" t="s">
        <v>9935</v>
      </c>
      <c r="F1080" s="55"/>
      <c r="G1080" s="12" t="s">
        <v>4643</v>
      </c>
      <c r="H1080" s="74"/>
      <c r="I1080" s="147" t="str">
        <f>HYPERLINK("[#]Datatypes!B1097:L1097","Real")</f>
        <v>Real</v>
      </c>
      <c r="J1080" s="76" t="str">
        <f>HYPERLINK("[#]PhysicalQuantities!A20:N20","Length")</f>
        <v>Length</v>
      </c>
      <c r="K1080" s="75" t="str">
        <f>HYPERLINK("[#]UnitsOfMeasure!D80:G80","Metre")</f>
        <v>Metre</v>
      </c>
      <c r="L1080" s="77"/>
      <c r="M1080" s="78"/>
      <c r="N1080" s="74"/>
      <c r="O1080" s="25">
        <v>117690</v>
      </c>
      <c r="P1080" s="304" t="str">
        <f>CONCATENATE([1]Cover!$D$6,"fdd/view?i=",O1080)</f>
        <v>https://www.dgiwg.org/FAD/fdd/view?i=117690</v>
      </c>
      <c r="Q1080" s="8" t="s">
        <v>9931</v>
      </c>
      <c r="R1080" s="38" t="s">
        <v>151</v>
      </c>
    </row>
    <row r="1081" spans="1:18" ht="114.75">
      <c r="A1081" s="302" t="str">
        <f t="shared" si="27"/>
        <v>runwayOffsetWidth</v>
      </c>
      <c r="B1081" s="6" t="s">
        <v>9937</v>
      </c>
      <c r="C1081" s="17" t="s">
        <v>9938</v>
      </c>
      <c r="D1081" s="10" t="s">
        <v>9939</v>
      </c>
      <c r="E1081" s="10" t="s">
        <v>9940</v>
      </c>
      <c r="F1081" s="55"/>
      <c r="G1081" s="12" t="s">
        <v>4643</v>
      </c>
      <c r="H1081" s="74"/>
      <c r="I1081" s="147" t="str">
        <f>HYPERLINK("[#]Datatypes!B1097:L1097","Real")</f>
        <v>Real</v>
      </c>
      <c r="J1081" s="76" t="str">
        <f>HYPERLINK("[#]PhysicalQuantities!A20:N20","Length")</f>
        <v>Length</v>
      </c>
      <c r="K1081" s="75" t="str">
        <f>HYPERLINK("[#]UnitsOfMeasure!D80:G80","Metre")</f>
        <v>Metre</v>
      </c>
      <c r="L1081" s="77"/>
      <c r="M1081" s="78"/>
      <c r="N1081" s="74"/>
      <c r="O1081" s="25">
        <v>117691</v>
      </c>
      <c r="P1081" s="304" t="str">
        <f>CONCATENATE([1]Cover!$D$6,"fdd/view?i=",O1081)</f>
        <v>https://www.dgiwg.org/FAD/fdd/view?i=117691</v>
      </c>
      <c r="Q1081" s="8" t="s">
        <v>9936</v>
      </c>
      <c r="R1081" s="38" t="s">
        <v>151</v>
      </c>
    </row>
    <row r="1082" spans="1:18">
      <c r="A1082" s="302" t="str">
        <f t="shared" si="27"/>
        <v>runwayTrueHeading</v>
      </c>
      <c r="B1082" s="6" t="s">
        <v>9942</v>
      </c>
      <c r="C1082" s="17" t="s">
        <v>9943</v>
      </c>
      <c r="D1082" s="10" t="s">
        <v>9944</v>
      </c>
      <c r="E1082" s="55"/>
      <c r="F1082" s="55"/>
      <c r="G1082" s="12" t="s">
        <v>4643</v>
      </c>
      <c r="H1082" s="74"/>
      <c r="I1082" s="147" t="str">
        <f>HYPERLINK("[#]Datatypes!B1097:L1097","Real")</f>
        <v>Real</v>
      </c>
      <c r="J1082" s="76" t="str">
        <f>HYPERLINK("[#]PhysicalQuantities!A34:N34","Plane Angle")</f>
        <v>Plane Angle</v>
      </c>
      <c r="K1082" s="75" t="str">
        <f>HYPERLINK("[#]UnitsOfMeasure!D159:G159","Arc Degree")</f>
        <v>Arc Degree</v>
      </c>
      <c r="L1082" s="77"/>
      <c r="M1082" s="78"/>
      <c r="N1082" s="74"/>
      <c r="O1082" s="25">
        <v>119138</v>
      </c>
      <c r="P1082" s="304" t="str">
        <f>CONCATENATE([1]Cover!$D$6,"fdd/view?i=",O1082)</f>
        <v>https://www.dgiwg.org/FAD/fdd/view?i=119138</v>
      </c>
      <c r="Q1082" s="8" t="s">
        <v>9941</v>
      </c>
      <c r="R1082" s="38" t="s">
        <v>151</v>
      </c>
    </row>
    <row r="1083" spans="1:18" ht="51">
      <c r="A1083" s="302" t="str">
        <f t="shared" si="27"/>
        <v>runwayVisualRange</v>
      </c>
      <c r="B1083" s="6" t="s">
        <v>9946</v>
      </c>
      <c r="C1083" s="17" t="s">
        <v>9947</v>
      </c>
      <c r="D1083" s="10" t="s">
        <v>9948</v>
      </c>
      <c r="E1083" s="10" t="s">
        <v>9949</v>
      </c>
      <c r="F1083" s="10" t="s">
        <v>9945</v>
      </c>
      <c r="G1083" s="12" t="s">
        <v>4643</v>
      </c>
      <c r="H1083" s="74"/>
      <c r="I1083" s="147" t="str">
        <f>HYPERLINK("[#]Datatypes!B1097:L1097","Real")</f>
        <v>Real</v>
      </c>
      <c r="J1083" s="76" t="str">
        <f>HYPERLINK("[#]PhysicalQuantities!A20:N20","Length")</f>
        <v>Length</v>
      </c>
      <c r="K1083" s="75" t="str">
        <f>HYPERLINK("[#]UnitsOfMeasure!D80:G80","Metre")</f>
        <v>Metre</v>
      </c>
      <c r="L1083" s="77"/>
      <c r="M1083" s="78"/>
      <c r="N1083" s="74"/>
      <c r="O1083" s="25">
        <v>117701</v>
      </c>
      <c r="P1083" s="304" t="str">
        <f>CONCATENATE([1]Cover!$D$6,"fdd/view?i=",O1083)</f>
        <v>https://www.dgiwg.org/FAD/fdd/view?i=117701</v>
      </c>
      <c r="Q1083" s="8" t="s">
        <v>9945</v>
      </c>
      <c r="R1083" s="38" t="s">
        <v>151</v>
      </c>
    </row>
    <row r="1084" spans="1:18" ht="25.5">
      <c r="A1084" s="302" t="str">
        <f t="shared" si="27"/>
        <v>runwayVisualRangeObsSite</v>
      </c>
      <c r="B1084" s="6" t="s">
        <v>9951</v>
      </c>
      <c r="C1084" s="17" t="s">
        <v>9952</v>
      </c>
      <c r="D1084" s="10" t="s">
        <v>9953</v>
      </c>
      <c r="E1084" s="55"/>
      <c r="F1084" s="55"/>
      <c r="G1084" s="12" t="s">
        <v>4643</v>
      </c>
      <c r="H1084" s="74"/>
      <c r="I1084" s="147" t="str">
        <f>HYPERLINK("[#]Datatypes!B1243:L1243","RunwayVisualRangeObsSiteCode")</f>
        <v>RunwayVisualRangeObsSiteCode</v>
      </c>
      <c r="J1084" s="80"/>
      <c r="K1084" s="77"/>
      <c r="L1084" s="77"/>
      <c r="M1084" s="71" t="str">
        <f>HYPERLINK("[#]DatatypeListedValues!A6007:H6007","&lt;values&gt;")</f>
        <v>&lt;values&gt;</v>
      </c>
      <c r="N1084" s="82" t="b">
        <v>0</v>
      </c>
      <c r="O1084" s="25">
        <v>117700</v>
      </c>
      <c r="P1084" s="304" t="str">
        <f>CONCATENATE([1]Cover!$D$6,"fdd/view?i=",O1084)</f>
        <v>https://www.dgiwg.org/FAD/fdd/view?i=117700</v>
      </c>
      <c r="Q1084" s="8" t="s">
        <v>9950</v>
      </c>
      <c r="R1084" s="38" t="s">
        <v>151</v>
      </c>
    </row>
    <row r="1085" spans="1:18" ht="25.5">
      <c r="A1085" s="302" t="str">
        <f t="shared" si="27"/>
        <v>safeHorizontalClearance</v>
      </c>
      <c r="B1085" s="6" t="s">
        <v>9956</v>
      </c>
      <c r="C1085" s="17" t="s">
        <v>9957</v>
      </c>
      <c r="D1085" s="10" t="s">
        <v>9958</v>
      </c>
      <c r="E1085" s="55"/>
      <c r="F1085" s="55"/>
      <c r="G1085" s="12" t="s">
        <v>4643</v>
      </c>
      <c r="H1085" s="74"/>
      <c r="I1085" s="147" t="str">
        <f>HYPERLINK("[#]Datatypes!B1097:L1097","Real")</f>
        <v>Real</v>
      </c>
      <c r="J1085" s="76" t="str">
        <f>HYPERLINK("[#]PhysicalQuantities!A20:N20","Length")</f>
        <v>Length</v>
      </c>
      <c r="K1085" s="75" t="str">
        <f>HYPERLINK("[#]UnitsOfMeasure!D80:G80","Metre")</f>
        <v>Metre</v>
      </c>
      <c r="L1085" s="77"/>
      <c r="M1085" s="78"/>
      <c r="N1085" s="74"/>
      <c r="O1085" s="25">
        <v>101292</v>
      </c>
      <c r="P1085" s="304" t="str">
        <f>CONCATENATE([1]Cover!$D$6,"fdd/view?i=",O1085)</f>
        <v>https://www.dgiwg.org/FAD/fdd/view?i=101292</v>
      </c>
      <c r="Q1085" s="8" t="s">
        <v>9955</v>
      </c>
      <c r="R1085" s="38" t="s">
        <v>151</v>
      </c>
    </row>
    <row r="1086" spans="1:18" ht="25.5">
      <c r="A1086" s="302" t="str">
        <f t="shared" si="27"/>
        <v>salinityDifference</v>
      </c>
      <c r="B1086" s="6" t="s">
        <v>9960</v>
      </c>
      <c r="C1086" s="17" t="s">
        <v>9961</v>
      </c>
      <c r="D1086" s="10" t="s">
        <v>9962</v>
      </c>
      <c r="E1086" s="55"/>
      <c r="F1086" s="55"/>
      <c r="G1086" s="12" t="s">
        <v>4643</v>
      </c>
      <c r="H1086" s="74"/>
      <c r="I1086" s="147" t="str">
        <f>HYPERLINK("[#]Datatypes!B1097:L1097","Real")</f>
        <v>Real</v>
      </c>
      <c r="J1086" s="76" t="str">
        <f>HYPERLINK("[#]PhysicalQuantities!A39:N39","Pure Number")</f>
        <v>Pure Number</v>
      </c>
      <c r="K1086" s="75" t="str">
        <f>HYPERLINK("[#]UnitsOfMeasure!D218:G218","Parts per Thousand")</f>
        <v>Parts per Thousand</v>
      </c>
      <c r="L1086" s="77"/>
      <c r="M1086" s="78"/>
      <c r="N1086" s="74"/>
      <c r="O1086" s="25">
        <v>206192</v>
      </c>
      <c r="P1086" s="304" t="str">
        <f>CONCATENATE([1]Cover!$D$6,"fdd/view?i=",O1086)</f>
        <v>https://www.dgiwg.org/FAD/fdd/view?i=206192</v>
      </c>
      <c r="Q1086" s="8" t="s">
        <v>9959</v>
      </c>
      <c r="R1086" s="38" t="s">
        <v>1295</v>
      </c>
    </row>
    <row r="1087" spans="1:18" ht="38.25">
      <c r="A1087" s="302" t="str">
        <f t="shared" si="27"/>
        <v>sandDuneOrientation</v>
      </c>
      <c r="B1087" s="6" t="s">
        <v>9964</v>
      </c>
      <c r="C1087" s="17" t="s">
        <v>9965</v>
      </c>
      <c r="D1087" s="10" t="s">
        <v>9966</v>
      </c>
      <c r="E1087" s="10" t="s">
        <v>9967</v>
      </c>
      <c r="F1087" s="55"/>
      <c r="G1087" s="12" t="s">
        <v>4643</v>
      </c>
      <c r="H1087" s="74"/>
      <c r="I1087" s="147" t="str">
        <f>HYPERLINK("[#]Datatypes!B1128:L1128","RealNonNeg360")</f>
        <v>RealNonNeg360</v>
      </c>
      <c r="J1087" s="76" t="str">
        <f>HYPERLINK("[#]PhysicalQuantities!A34:N34","Plane Angle")</f>
        <v>Plane Angle</v>
      </c>
      <c r="K1087" s="75" t="str">
        <f>HYPERLINK("[#]UnitsOfMeasure!D159:G159","Arc Degree")</f>
        <v>Arc Degree</v>
      </c>
      <c r="L1087" s="77"/>
      <c r="M1087" s="78"/>
      <c r="N1087" s="74"/>
      <c r="O1087" s="25">
        <v>110718</v>
      </c>
      <c r="P1087" s="304" t="str">
        <f>CONCATENATE([1]Cover!$D$6,"fdd/view?i=",O1087)</f>
        <v>https://www.dgiwg.org/FAD/fdd/view?i=110718</v>
      </c>
      <c r="Q1087" s="8" t="s">
        <v>9963</v>
      </c>
      <c r="R1087" s="38" t="s">
        <v>151</v>
      </c>
    </row>
    <row r="1088" spans="1:18" ht="25.5">
      <c r="A1088" s="302" t="str">
        <f t="shared" si="27"/>
        <v>sandDuneStabilized</v>
      </c>
      <c r="B1088" s="6" t="s">
        <v>9969</v>
      </c>
      <c r="C1088" s="17" t="s">
        <v>9970</v>
      </c>
      <c r="D1088" s="10" t="s">
        <v>9971</v>
      </c>
      <c r="E1088" s="10" t="s">
        <v>9972</v>
      </c>
      <c r="F1088" s="55"/>
      <c r="G1088" s="12" t="s">
        <v>4643</v>
      </c>
      <c r="H1088" s="74"/>
      <c r="I1088" s="147" t="str">
        <f>HYPERLINK("[#]Datatypes!B230:L230","Boolean")</f>
        <v>Boolean</v>
      </c>
      <c r="J1088" s="80"/>
      <c r="K1088" s="77"/>
      <c r="L1088" s="77"/>
      <c r="M1088" s="78"/>
      <c r="N1088" s="74"/>
      <c r="O1088" s="25">
        <v>118030</v>
      </c>
      <c r="P1088" s="304" t="str">
        <f>CONCATENATE([1]Cover!$D$6,"fdd/view?i=",O1088)</f>
        <v>https://www.dgiwg.org/FAD/fdd/view?i=118030</v>
      </c>
      <c r="Q1088" s="8" t="s">
        <v>9968</v>
      </c>
      <c r="R1088" s="38" t="s">
        <v>151</v>
      </c>
    </row>
    <row r="1089" spans="1:18">
      <c r="A1089" s="302" t="str">
        <f t="shared" si="27"/>
        <v>sandDuneType</v>
      </c>
      <c r="B1089" s="6" t="s">
        <v>9974</v>
      </c>
      <c r="C1089" s="17" t="s">
        <v>9975</v>
      </c>
      <c r="D1089" s="10" t="s">
        <v>9976</v>
      </c>
      <c r="E1089" s="55"/>
      <c r="F1089" s="55"/>
      <c r="G1089" s="12" t="s">
        <v>4643</v>
      </c>
      <c r="H1089" s="74"/>
      <c r="I1089" s="147" t="str">
        <f>HYPERLINK("[#]Datatypes!B1245:L1245","SandDuneTypeCode")</f>
        <v>SandDuneTypeCode</v>
      </c>
      <c r="J1089" s="80"/>
      <c r="K1089" s="77"/>
      <c r="L1089" s="77"/>
      <c r="M1089" s="71" t="str">
        <f>HYPERLINK("[#]DatatypeListedValues!A6010:H6010","&lt;values&gt;")</f>
        <v>&lt;values&gt;</v>
      </c>
      <c r="N1089" s="82" t="b">
        <v>0</v>
      </c>
      <c r="O1089" s="25">
        <v>103067</v>
      </c>
      <c r="P1089" s="304" t="str">
        <f>CONCATENATE([1]Cover!$D$6,"fdd/view?i=",O1089)</f>
        <v>https://www.dgiwg.org/FAD/fdd/view?i=103067</v>
      </c>
      <c r="Q1089" s="8" t="s">
        <v>9973</v>
      </c>
      <c r="R1089" s="38" t="s">
        <v>151</v>
      </c>
    </row>
    <row r="1090" spans="1:18" ht="38.25">
      <c r="A1090" s="302" t="str">
        <f t="shared" si="27"/>
        <v>satelliteBasedAugSystem</v>
      </c>
      <c r="B1090" s="6" t="s">
        <v>9979</v>
      </c>
      <c r="C1090" s="17" t="s">
        <v>9980</v>
      </c>
      <c r="D1090" s="10" t="s">
        <v>3776</v>
      </c>
      <c r="E1090" s="55"/>
      <c r="F1090" s="55"/>
      <c r="G1090" s="12" t="s">
        <v>4643</v>
      </c>
      <c r="H1090" s="74"/>
      <c r="I1090" s="147" t="str">
        <f>HYPERLINK("[#]Datatypes!B1249:L1249","SatelliteBasedAugSystemCode")</f>
        <v>SatelliteBasedAugSystemCode</v>
      </c>
      <c r="J1090" s="80"/>
      <c r="K1090" s="77"/>
      <c r="L1090" s="77"/>
      <c r="M1090" s="71" t="str">
        <f>HYPERLINK("[#]DatatypeListedValues!A6018:H6018","&lt;values&gt;")</f>
        <v>&lt;values&gt;</v>
      </c>
      <c r="N1090" s="82" t="b">
        <v>0</v>
      </c>
      <c r="O1090" s="25">
        <v>117704</v>
      </c>
      <c r="P1090" s="304" t="str">
        <f>CONCATENATE([1]Cover!$D$6,"fdd/view?i=",O1090)</f>
        <v>https://www.dgiwg.org/FAD/fdd/view?i=117704</v>
      </c>
      <c r="Q1090" s="8" t="s">
        <v>9978</v>
      </c>
      <c r="R1090" s="38" t="s">
        <v>151</v>
      </c>
    </row>
    <row r="1091" spans="1:18" ht="25.5">
      <c r="A1091" s="302" t="str">
        <f t="shared" si="27"/>
        <v>sbasServiceProvider</v>
      </c>
      <c r="B1091" s="6" t="s">
        <v>9983</v>
      </c>
      <c r="C1091" s="17" t="s">
        <v>9984</v>
      </c>
      <c r="D1091" s="10" t="s">
        <v>9985</v>
      </c>
      <c r="E1091" s="55"/>
      <c r="F1091" s="55"/>
      <c r="G1091" s="12" t="s">
        <v>4643</v>
      </c>
      <c r="H1091" s="74"/>
      <c r="I1091" s="147" t="str">
        <f>HYPERLINK("[#]Datatypes!B1247:L1247","SbasServiceProviderStrucText")</f>
        <v>SbasServiceProviderStrucText</v>
      </c>
      <c r="J1091" s="80"/>
      <c r="K1091" s="77"/>
      <c r="L1091" s="77"/>
      <c r="M1091" s="78"/>
      <c r="N1091" s="74"/>
      <c r="O1091" s="25">
        <v>119592</v>
      </c>
      <c r="P1091" s="304" t="str">
        <f>CONCATENATE([1]Cover!$D$6,"fdd/view?i=",O1091)</f>
        <v>https://www.dgiwg.org/FAD/fdd/view?i=119592</v>
      </c>
      <c r="Q1091" s="8" t="s">
        <v>9982</v>
      </c>
      <c r="R1091" s="38" t="s">
        <v>151</v>
      </c>
    </row>
    <row r="1092" spans="1:18" ht="25.5">
      <c r="A1092" s="302" t="str">
        <f t="shared" ref="A1092:A1155" si="28">HYPERLINK(P1092,B1092)</f>
        <v>scaleDenominator</v>
      </c>
      <c r="B1092" s="6" t="s">
        <v>9988</v>
      </c>
      <c r="C1092" s="17" t="s">
        <v>9989</v>
      </c>
      <c r="D1092" s="10" t="s">
        <v>9990</v>
      </c>
      <c r="E1092" s="10" t="s">
        <v>9991</v>
      </c>
      <c r="F1092" s="55"/>
      <c r="G1092" s="12" t="s">
        <v>4643</v>
      </c>
      <c r="H1092" s="74"/>
      <c r="I1092" s="147" t="str">
        <f>HYPERLINK("[#]Datatypes!B710:L710","Integer")</f>
        <v>Integer</v>
      </c>
      <c r="J1092" s="76" t="str">
        <f>HYPERLINK("[#]PhysicalQuantities!A39:N39","Pure Number")</f>
        <v>Pure Number</v>
      </c>
      <c r="K1092" s="75" t="str">
        <f>HYPERLINK("[#]UnitsOfMeasure!D213:G213","Unitless")</f>
        <v>Unitless</v>
      </c>
      <c r="L1092" s="77"/>
      <c r="M1092" s="78"/>
      <c r="N1092" s="74"/>
      <c r="O1092" s="25">
        <v>111714</v>
      </c>
      <c r="P1092" s="304" t="str">
        <f>CONCATENATE([1]Cover!$D$6,"fdd/view?i=",O1092)</f>
        <v>https://www.dgiwg.org/FAD/fdd/view?i=111714</v>
      </c>
      <c r="Q1092" s="8" t="s">
        <v>9987</v>
      </c>
      <c r="R1092" s="38" t="s">
        <v>151</v>
      </c>
    </row>
    <row r="1093" spans="1:18" ht="38.25">
      <c r="A1093" s="302" t="str">
        <f t="shared" si="28"/>
        <v>extent</v>
      </c>
      <c r="B1093" s="6" t="s">
        <v>9671</v>
      </c>
      <c r="C1093" s="17" t="s">
        <v>9993</v>
      </c>
      <c r="D1093" s="10" t="s">
        <v>9994</v>
      </c>
      <c r="E1093" s="55"/>
      <c r="F1093" s="55"/>
      <c r="G1093" s="12" t="s">
        <v>4643</v>
      </c>
      <c r="H1093" s="74"/>
      <c r="I1093" s="147" t="str">
        <f>HYPERLINK("[#]Datatypes!B624:L624","GeoExtentStrucText")</f>
        <v>GeoExtentStrucText</v>
      </c>
      <c r="J1093" s="80"/>
      <c r="K1093" s="77"/>
      <c r="L1093" s="77"/>
      <c r="M1093" s="78"/>
      <c r="N1093" s="74"/>
      <c r="O1093" s="25">
        <v>207284</v>
      </c>
      <c r="P1093" s="304" t="str">
        <f>CONCATENATE([1]Cover!$D$6,"fdd/view?i=",O1093)</f>
        <v>https://www.dgiwg.org/FAD/fdd/view?i=207284</v>
      </c>
      <c r="Q1093" s="8" t="s">
        <v>9992</v>
      </c>
      <c r="R1093" s="38" t="s">
        <v>1295</v>
      </c>
    </row>
    <row r="1094" spans="1:18" ht="25.5">
      <c r="A1094" s="302" t="str">
        <f t="shared" si="28"/>
        <v>level</v>
      </c>
      <c r="B1094" s="6" t="s">
        <v>9996</v>
      </c>
      <c r="C1094" s="17" t="s">
        <v>9997</v>
      </c>
      <c r="D1094" s="10" t="s">
        <v>9998</v>
      </c>
      <c r="E1094" s="55"/>
      <c r="F1094" s="55"/>
      <c r="G1094" s="12" t="s">
        <v>4643</v>
      </c>
      <c r="H1094" s="74"/>
      <c r="I1094" s="147" t="str">
        <f>HYPERLINK("[#]Datatypes!B1251:L1251","MD_ScopeCode")</f>
        <v>MD_ScopeCode</v>
      </c>
      <c r="J1094" s="80"/>
      <c r="K1094" s="77"/>
      <c r="L1094" s="77"/>
      <c r="M1094" s="78"/>
      <c r="N1094" s="74"/>
      <c r="O1094" s="25">
        <v>207283</v>
      </c>
      <c r="P1094" s="304" t="str">
        <f>CONCATENATE([1]Cover!$D$6,"fdd/view?i=",O1094)</f>
        <v>https://www.dgiwg.org/FAD/fdd/view?i=207283</v>
      </c>
      <c r="Q1094" s="8" t="s">
        <v>9995</v>
      </c>
      <c r="R1094" s="38" t="s">
        <v>1295</v>
      </c>
    </row>
    <row r="1095" spans="1:18" ht="25.5">
      <c r="A1095" s="302" t="str">
        <f t="shared" si="28"/>
        <v>levelDescription</v>
      </c>
      <c r="B1095" s="6" t="s">
        <v>10000</v>
      </c>
      <c r="C1095" s="17" t="s">
        <v>10001</v>
      </c>
      <c r="D1095" s="10" t="s">
        <v>10002</v>
      </c>
      <c r="E1095" s="55"/>
      <c r="F1095" s="55"/>
      <c r="G1095" s="12" t="s">
        <v>4643</v>
      </c>
      <c r="H1095" s="74"/>
      <c r="I1095" s="147" t="str">
        <f>HYPERLINK("[#]Datatypes!B1253:L1253","ScopeDescriptionStrucText")</f>
        <v>ScopeDescriptionStrucText</v>
      </c>
      <c r="J1095" s="80"/>
      <c r="K1095" s="77"/>
      <c r="L1095" s="77"/>
      <c r="M1095" s="78"/>
      <c r="N1095" s="74"/>
      <c r="O1095" s="25">
        <v>207298</v>
      </c>
      <c r="P1095" s="304" t="str">
        <f>CONCATENATE([1]Cover!$D$6,"fdd/view?i=",O1095)</f>
        <v>https://www.dgiwg.org/FAD/fdd/view?i=207298</v>
      </c>
      <c r="Q1095" s="8" t="s">
        <v>9999</v>
      </c>
      <c r="R1095" s="38" t="s">
        <v>1295</v>
      </c>
    </row>
    <row r="1096" spans="1:18" ht="38.25">
      <c r="A1096" s="302" t="str">
        <f t="shared" si="28"/>
        <v>screener</v>
      </c>
      <c r="B1096" s="6" t="s">
        <v>10005</v>
      </c>
      <c r="C1096" s="17" t="s">
        <v>10006</v>
      </c>
      <c r="D1096" s="10" t="s">
        <v>10007</v>
      </c>
      <c r="E1096" s="10" t="s">
        <v>10008</v>
      </c>
      <c r="F1096" s="55"/>
      <c r="G1096" s="12" t="s">
        <v>4643</v>
      </c>
      <c r="H1096" s="74"/>
      <c r="I1096" s="147" t="str">
        <f>HYPERLINK("[#]Datatypes!B230:L230","Boolean")</f>
        <v>Boolean</v>
      </c>
      <c r="J1096" s="80"/>
      <c r="K1096" s="77"/>
      <c r="L1096" s="77"/>
      <c r="M1096" s="78"/>
      <c r="N1096" s="74"/>
      <c r="O1096" s="25">
        <v>114351</v>
      </c>
      <c r="P1096" s="304" t="str">
        <f>CONCATENATE([1]Cover!$D$6,"fdd/view?i=",O1096)</f>
        <v>https://www.dgiwg.org/FAD/fdd/view?i=114351</v>
      </c>
      <c r="Q1096" s="8" t="s">
        <v>10004</v>
      </c>
      <c r="R1096" s="38" t="s">
        <v>151</v>
      </c>
    </row>
    <row r="1097" spans="1:18" ht="25.5">
      <c r="A1097" s="302" t="str">
        <f t="shared" si="28"/>
        <v>season</v>
      </c>
      <c r="B1097" s="6" t="s">
        <v>10010</v>
      </c>
      <c r="C1097" s="17" t="s">
        <v>10011</v>
      </c>
      <c r="D1097" s="10" t="s">
        <v>10012</v>
      </c>
      <c r="E1097" s="55"/>
      <c r="F1097" s="55"/>
      <c r="G1097" s="12" t="s">
        <v>4643</v>
      </c>
      <c r="H1097" s="74"/>
      <c r="I1097" s="147" t="str">
        <f>HYPERLINK("[#]Datatypes!B1255:L1255","SeasonCode")</f>
        <v>SeasonCode</v>
      </c>
      <c r="J1097" s="80"/>
      <c r="K1097" s="77"/>
      <c r="L1097" s="77"/>
      <c r="M1097" s="71" t="str">
        <f>HYPERLINK("[#]DatatypeListedValues!A6022:H6022","&lt;values&gt;")</f>
        <v>&lt;values&gt;</v>
      </c>
      <c r="N1097" s="12" t="b">
        <v>1</v>
      </c>
      <c r="O1097" s="25">
        <v>206230</v>
      </c>
      <c r="P1097" s="304" t="str">
        <f>CONCATENATE([1]Cover!$D$6,"fdd/view?i=",O1097)</f>
        <v>https://www.dgiwg.org/FAD/fdd/view?i=206230</v>
      </c>
      <c r="Q1097" s="8" t="s">
        <v>10009</v>
      </c>
      <c r="R1097" s="38" t="s">
        <v>1295</v>
      </c>
    </row>
    <row r="1098" spans="1:18" ht="25.5">
      <c r="A1098" s="302" t="str">
        <f t="shared" si="28"/>
        <v>seasonalIceLimit</v>
      </c>
      <c r="B1098" s="6" t="s">
        <v>10015</v>
      </c>
      <c r="C1098" s="17" t="s">
        <v>10016</v>
      </c>
      <c r="D1098" s="10" t="s">
        <v>10017</v>
      </c>
      <c r="E1098" s="10" t="s">
        <v>10018</v>
      </c>
      <c r="F1098" s="55"/>
      <c r="G1098" s="12" t="s">
        <v>4643</v>
      </c>
      <c r="H1098" s="74"/>
      <c r="I1098" s="147" t="str">
        <f>HYPERLINK("[#]Datatypes!B1257:L1257","SeasonalIceLimitIntStrucText")</f>
        <v>SeasonalIceLimitIntStrucText</v>
      </c>
      <c r="J1098" s="80"/>
      <c r="K1098" s="77"/>
      <c r="L1098" s="77"/>
      <c r="M1098" s="78"/>
      <c r="N1098" s="74"/>
      <c r="O1098" s="25">
        <v>109985</v>
      </c>
      <c r="P1098" s="304" t="str">
        <f>CONCATENATE([1]Cover!$D$6,"fdd/view?i=",O1098)</f>
        <v>https://www.dgiwg.org/FAD/fdd/view?i=109985</v>
      </c>
      <c r="Q1098" s="8" t="s">
        <v>10014</v>
      </c>
      <c r="R1098" s="38" t="s">
        <v>151</v>
      </c>
    </row>
    <row r="1099" spans="1:18" ht="38.25">
      <c r="A1099" s="302" t="str">
        <f t="shared" si="28"/>
        <v>secondBroadcastFrequency</v>
      </c>
      <c r="B1099" s="6" t="s">
        <v>10021</v>
      </c>
      <c r="C1099" s="17" t="s">
        <v>10022</v>
      </c>
      <c r="D1099" s="10" t="s">
        <v>10023</v>
      </c>
      <c r="E1099" s="10" t="s">
        <v>10024</v>
      </c>
      <c r="F1099" s="55"/>
      <c r="G1099" s="12" t="s">
        <v>4643</v>
      </c>
      <c r="H1099" s="74"/>
      <c r="I1099" s="147" t="str">
        <f>HYPERLINK("[#]Datatypes!B710:L710","Integer")</f>
        <v>Integer</v>
      </c>
      <c r="J1099" s="76" t="str">
        <f>HYPERLINK("[#]PhysicalQuantities!A15:N15","Frequency")</f>
        <v>Frequency</v>
      </c>
      <c r="K1099" s="75" t="str">
        <f>HYPERLINK("[#]UnitsOfMeasure!D71:G71","Hertz")</f>
        <v>Hertz</v>
      </c>
      <c r="L1099" s="77"/>
      <c r="M1099" s="78"/>
      <c r="N1099" s="74"/>
      <c r="O1099" s="25">
        <v>100671</v>
      </c>
      <c r="P1099" s="304" t="str">
        <f>CONCATENATE([1]Cover!$D$6,"fdd/view?i=",O1099)</f>
        <v>https://www.dgiwg.org/FAD/fdd/view?i=100671</v>
      </c>
      <c r="Q1099" s="8" t="s">
        <v>10020</v>
      </c>
      <c r="R1099" s="38" t="s">
        <v>151</v>
      </c>
    </row>
    <row r="1100" spans="1:18" ht="38.25">
      <c r="A1100" s="302" t="str">
        <f t="shared" si="28"/>
        <v>secondaryControlAuthority</v>
      </c>
      <c r="B1100" s="6" t="s">
        <v>10026</v>
      </c>
      <c r="C1100" s="17" t="s">
        <v>10027</v>
      </c>
      <c r="D1100" s="10" t="s">
        <v>10028</v>
      </c>
      <c r="E1100" s="10" t="s">
        <v>6145</v>
      </c>
      <c r="F1100" s="55"/>
      <c r="G1100" s="12" t="s">
        <v>4643</v>
      </c>
      <c r="H1100" s="74"/>
      <c r="I1100" s="147" t="str">
        <f>HYPERLINK("[#]Datatypes!B1259:L1259","SecondaryControlAuthorityCode")</f>
        <v>SecondaryControlAuthorityCode</v>
      </c>
      <c r="J1100" s="80"/>
      <c r="K1100" s="77"/>
      <c r="L1100" s="77"/>
      <c r="M1100" s="71" t="str">
        <f>HYPERLINK("[#]DatatypeListedValues!A6030:H6030","&lt;values&gt;")</f>
        <v>&lt;values&gt;</v>
      </c>
      <c r="N1100" s="82" t="b">
        <v>0</v>
      </c>
      <c r="O1100" s="25">
        <v>207702</v>
      </c>
      <c r="P1100" s="304" t="str">
        <f>CONCATENATE([1]Cover!$D$6,"fdd/view?i=",O1100)</f>
        <v>https://www.dgiwg.org/FAD/fdd/view?i=207702</v>
      </c>
      <c r="Q1100" s="8" t="s">
        <v>10025</v>
      </c>
      <c r="R1100" s="38" t="s">
        <v>1295</v>
      </c>
    </row>
    <row r="1101" spans="1:18" ht="25.5">
      <c r="A1101" s="302" t="str">
        <f t="shared" si="28"/>
        <v>secondaryFaaIdentifier</v>
      </c>
      <c r="B1101" s="6" t="s">
        <v>10031</v>
      </c>
      <c r="C1101" s="17" t="s">
        <v>10032</v>
      </c>
      <c r="D1101" s="10" t="s">
        <v>10033</v>
      </c>
      <c r="E1101" s="55"/>
      <c r="F1101" s="55"/>
      <c r="G1101" s="12" t="s">
        <v>4643</v>
      </c>
      <c r="H1101" s="74"/>
      <c r="I1101" s="147" t="str">
        <f>HYPERLINK("[#]Datatypes!B1434:L1434","TextNonLex4")</f>
        <v>TextNonLex4</v>
      </c>
      <c r="J1101" s="80"/>
      <c r="K1101" s="77"/>
      <c r="L1101" s="77"/>
      <c r="M1101" s="78"/>
      <c r="N1101" s="74"/>
      <c r="O1101" s="25">
        <v>200343</v>
      </c>
      <c r="P1101" s="304" t="str">
        <f>CONCATENATE([1]Cover!$D$6,"fdd/view?i=",O1101)</f>
        <v>https://www.dgiwg.org/FAD/fdd/view?i=200343</v>
      </c>
      <c r="Q1101" s="8" t="s">
        <v>10030</v>
      </c>
      <c r="R1101" s="38" t="s">
        <v>1295</v>
      </c>
    </row>
    <row r="1102" spans="1:18" ht="25.5">
      <c r="A1102" s="302" t="str">
        <f t="shared" si="28"/>
        <v>secondaryIcaoIdentifier</v>
      </c>
      <c r="B1102" s="6" t="s">
        <v>10035</v>
      </c>
      <c r="C1102" s="17" t="s">
        <v>10036</v>
      </c>
      <c r="D1102" s="10" t="s">
        <v>10037</v>
      </c>
      <c r="E1102" s="55"/>
      <c r="F1102" s="55"/>
      <c r="G1102" s="12" t="s">
        <v>4643</v>
      </c>
      <c r="H1102" s="74"/>
      <c r="I1102" s="147" t="str">
        <f>HYPERLINK("[#]Datatypes!B766:L766","KeyNonLex254")</f>
        <v>KeyNonLex254</v>
      </c>
      <c r="J1102" s="80"/>
      <c r="K1102" s="77"/>
      <c r="L1102" s="77"/>
      <c r="M1102" s="78"/>
      <c r="N1102" s="74"/>
      <c r="O1102" s="25">
        <v>119189</v>
      </c>
      <c r="P1102" s="304" t="str">
        <f>CONCATENATE([1]Cover!$D$6,"fdd/view?i=",O1102)</f>
        <v>https://www.dgiwg.org/FAD/fdd/view?i=119189</v>
      </c>
      <c r="Q1102" s="8" t="s">
        <v>10034</v>
      </c>
      <c r="R1102" s="38" t="s">
        <v>151</v>
      </c>
    </row>
    <row r="1103" spans="1:18" ht="25.5">
      <c r="A1103" s="302" t="str">
        <f t="shared" si="28"/>
        <v>secondaryPowerDescription</v>
      </c>
      <c r="B1103" s="6" t="s">
        <v>10040</v>
      </c>
      <c r="C1103" s="17" t="s">
        <v>10041</v>
      </c>
      <c r="D1103" s="10" t="s">
        <v>10042</v>
      </c>
      <c r="E1103" s="10" t="s">
        <v>10043</v>
      </c>
      <c r="F1103" s="55"/>
      <c r="G1103" s="12" t="s">
        <v>4643</v>
      </c>
      <c r="H1103" s="74"/>
      <c r="I1103" s="147" t="str">
        <f>HYPERLINK("[#]Datatypes!B1442:L1442","TextNonLexUnconstrained")</f>
        <v>TextNonLexUnconstrained</v>
      </c>
      <c r="J1103" s="80"/>
      <c r="K1103" s="77"/>
      <c r="L1103" s="77"/>
      <c r="M1103" s="78"/>
      <c r="N1103" s="74"/>
      <c r="O1103" s="25">
        <v>117712</v>
      </c>
      <c r="P1103" s="304" t="str">
        <f>CONCATENATE([1]Cover!$D$6,"fdd/view?i=",O1103)</f>
        <v>https://www.dgiwg.org/FAD/fdd/view?i=117712</v>
      </c>
      <c r="Q1103" s="8" t="s">
        <v>10039</v>
      </c>
      <c r="R1103" s="38" t="s">
        <v>151</v>
      </c>
    </row>
    <row r="1104" spans="1:18" ht="38.25">
      <c r="A1104" s="302" t="str">
        <f t="shared" si="28"/>
        <v>secondOrderAdminDivName</v>
      </c>
      <c r="B1104" s="6" t="s">
        <v>10045</v>
      </c>
      <c r="C1104" s="17" t="s">
        <v>10046</v>
      </c>
      <c r="D1104" s="10" t="s">
        <v>10047</v>
      </c>
      <c r="E1104" s="10" t="s">
        <v>10048</v>
      </c>
      <c r="F1104" s="55"/>
      <c r="G1104" s="12" t="s">
        <v>4643</v>
      </c>
      <c r="H1104" s="74"/>
      <c r="I1104" s="147" t="str">
        <f>HYPERLINK("[#]Datatypes!B1406:L1406","TextLex200")</f>
        <v>TextLex200</v>
      </c>
      <c r="J1104" s="80"/>
      <c r="K1104" s="77"/>
      <c r="L1104" s="77"/>
      <c r="M1104" s="78"/>
      <c r="N1104" s="74"/>
      <c r="O1104" s="25">
        <v>119007</v>
      </c>
      <c r="P1104" s="304" t="str">
        <f>CONCATENATE([1]Cover!$D$6,"fdd/view?i=",O1104)</f>
        <v>https://www.dgiwg.org/FAD/fdd/view?i=119007</v>
      </c>
      <c r="Q1104" s="8" t="s">
        <v>10044</v>
      </c>
      <c r="R1104" s="38" t="s">
        <v>151</v>
      </c>
    </row>
    <row r="1105" spans="1:18" ht="63.75">
      <c r="A1105" s="302" t="str">
        <f t="shared" si="28"/>
        <v>securityAttributesGroup</v>
      </c>
      <c r="B1105" s="6" t="s">
        <v>10050</v>
      </c>
      <c r="C1105" s="17" t="s">
        <v>10051</v>
      </c>
      <c r="D1105" s="10" t="s">
        <v>10052</v>
      </c>
      <c r="E1105" s="10" t="s">
        <v>10053</v>
      </c>
      <c r="F1105" s="55"/>
      <c r="G1105" s="12" t="s">
        <v>4643</v>
      </c>
      <c r="H1105" s="74"/>
      <c r="I1105" s="147" t="str">
        <f>HYPERLINK("[#]Datatypes!B1261:L1261","SecurityAttributesGroupStrucText")</f>
        <v>SecurityAttributesGroupStrucText</v>
      </c>
      <c r="J1105" s="80"/>
      <c r="K1105" s="77"/>
      <c r="L1105" s="77"/>
      <c r="M1105" s="78"/>
      <c r="N1105" s="74"/>
      <c r="O1105" s="25">
        <v>204074</v>
      </c>
      <c r="P1105" s="304" t="str">
        <f>CONCATENATE([1]Cover!$D$6,"fdd/view?i=",O1105)</f>
        <v>https://www.dgiwg.org/FAD/fdd/view?i=204074</v>
      </c>
      <c r="Q1105" s="8" t="s">
        <v>10049</v>
      </c>
      <c r="R1105" s="38" t="s">
        <v>1295</v>
      </c>
    </row>
    <row r="1106" spans="1:18" ht="204">
      <c r="A1106" s="302" t="str">
        <f t="shared" si="28"/>
        <v>sedimentColour</v>
      </c>
      <c r="B1106" s="6" t="s">
        <v>10056</v>
      </c>
      <c r="C1106" s="17" t="s">
        <v>10057</v>
      </c>
      <c r="D1106" s="10" t="s">
        <v>10058</v>
      </c>
      <c r="E1106" s="10" t="s">
        <v>10059</v>
      </c>
      <c r="F1106" s="55"/>
      <c r="G1106" s="12" t="s">
        <v>4643</v>
      </c>
      <c r="H1106" s="74"/>
      <c r="I1106" s="147" t="str">
        <f>HYPERLINK("[#]Datatypes!B1263:L1263","SedimentColourCode")</f>
        <v>SedimentColourCode</v>
      </c>
      <c r="J1106" s="80"/>
      <c r="K1106" s="77"/>
      <c r="L1106" s="77"/>
      <c r="M1106" s="71" t="str">
        <f>HYPERLINK("[#]DatatypeListedValues!A6035:H6035","&lt;values&gt;")</f>
        <v>&lt;values&gt;</v>
      </c>
      <c r="N1106" s="12" t="b">
        <v>1</v>
      </c>
      <c r="O1106" s="25">
        <v>109983</v>
      </c>
      <c r="P1106" s="304" t="str">
        <f>CONCATENATE([1]Cover!$D$6,"fdd/view?i=",O1106)</f>
        <v>https://www.dgiwg.org/FAD/fdd/view?i=109983</v>
      </c>
      <c r="Q1106" s="8" t="s">
        <v>10055</v>
      </c>
      <c r="R1106" s="38" t="s">
        <v>151</v>
      </c>
    </row>
    <row r="1107" spans="1:18" ht="25.5">
      <c r="A1107" s="302" t="str">
        <f t="shared" si="28"/>
        <v>segmentEndCondition</v>
      </c>
      <c r="B1107" s="6" t="s">
        <v>10062</v>
      </c>
      <c r="C1107" s="17" t="s">
        <v>10063</v>
      </c>
      <c r="D1107" s="10" t="s">
        <v>10064</v>
      </c>
      <c r="E1107" s="10" t="s">
        <v>10065</v>
      </c>
      <c r="F1107" s="10" t="s">
        <v>10066</v>
      </c>
      <c r="G1107" s="12" t="s">
        <v>4643</v>
      </c>
      <c r="H1107" s="74"/>
      <c r="I1107" s="147" t="str">
        <f>HYPERLINK("[#]Datatypes!B1442:L1442","TextNonLexUnconstrained")</f>
        <v>TextNonLexUnconstrained</v>
      </c>
      <c r="J1107" s="80"/>
      <c r="K1107" s="77"/>
      <c r="L1107" s="77"/>
      <c r="M1107" s="78"/>
      <c r="N1107" s="74"/>
      <c r="O1107" s="25">
        <v>117707</v>
      </c>
      <c r="P1107" s="304" t="str">
        <f>CONCATENATE([1]Cover!$D$6,"fdd/view?i=",O1107)</f>
        <v>https://www.dgiwg.org/FAD/fdd/view?i=117707</v>
      </c>
      <c r="Q1107" s="8" t="s">
        <v>10061</v>
      </c>
      <c r="R1107" s="38" t="s">
        <v>151</v>
      </c>
    </row>
    <row r="1108" spans="1:18" ht="25.5">
      <c r="A1108" s="302" t="str">
        <f t="shared" si="28"/>
        <v>sensorCalibrationPointUse</v>
      </c>
      <c r="B1108" s="6" t="s">
        <v>10068</v>
      </c>
      <c r="C1108" s="17" t="s">
        <v>10069</v>
      </c>
      <c r="D1108" s="10" t="s">
        <v>10070</v>
      </c>
      <c r="E1108" s="55"/>
      <c r="F1108" s="55"/>
      <c r="G1108" s="12" t="s">
        <v>4643</v>
      </c>
      <c r="H1108" s="74"/>
      <c r="I1108" s="147" t="str">
        <f>HYPERLINK("[#]Datatypes!B1265:L1265","SensorCalibrationPointUseCode")</f>
        <v>SensorCalibrationPointUseCode</v>
      </c>
      <c r="J1108" s="80"/>
      <c r="K1108" s="77"/>
      <c r="L1108" s="77"/>
      <c r="M1108" s="71" t="str">
        <f>HYPERLINK("[#]DatatypeListedValues!A6084:H6084","&lt;values&gt;")</f>
        <v>&lt;values&gt;</v>
      </c>
      <c r="N1108" s="82" t="b">
        <v>0</v>
      </c>
      <c r="O1108" s="25">
        <v>119803</v>
      </c>
      <c r="P1108" s="304" t="str">
        <f>CONCATENATE([1]Cover!$D$6,"fdd/view?i=",O1108)</f>
        <v>https://www.dgiwg.org/FAD/fdd/view?i=119803</v>
      </c>
      <c r="Q1108" s="8" t="s">
        <v>10067</v>
      </c>
      <c r="R1108" s="38" t="s">
        <v>1295</v>
      </c>
    </row>
    <row r="1109" spans="1:18" ht="25.5">
      <c r="A1109" s="302" t="str">
        <f t="shared" si="28"/>
        <v>sequenceOfSignal</v>
      </c>
      <c r="B1109" s="6" t="s">
        <v>10073</v>
      </c>
      <c r="C1109" s="17" t="s">
        <v>10074</v>
      </c>
      <c r="D1109" s="10" t="s">
        <v>10075</v>
      </c>
      <c r="E1109" s="55"/>
      <c r="F1109" s="55"/>
      <c r="G1109" s="12" t="s">
        <v>4643</v>
      </c>
      <c r="H1109" s="74"/>
      <c r="I1109" s="147" t="str">
        <f>HYPERLINK("[#]Datatypes!B1267:L1267","SequenceOfSignalStrucText")</f>
        <v>SequenceOfSignalStrucText</v>
      </c>
      <c r="J1109" s="80"/>
      <c r="K1109" s="77"/>
      <c r="L1109" s="77"/>
      <c r="M1109" s="78"/>
      <c r="N1109" s="74"/>
      <c r="O1109" s="25">
        <v>101285</v>
      </c>
      <c r="P1109" s="304" t="str">
        <f>CONCATENATE([1]Cover!$D$6,"fdd/view?i=",O1109)</f>
        <v>https://www.dgiwg.org/FAD/fdd/view?i=101285</v>
      </c>
      <c r="Q1109" s="8" t="s">
        <v>10072</v>
      </c>
      <c r="R1109" s="38" t="s">
        <v>151</v>
      </c>
    </row>
    <row r="1110" spans="1:18" ht="38.25">
      <c r="A1110" s="302" t="str">
        <f t="shared" si="28"/>
        <v>settlementPattern</v>
      </c>
      <c r="B1110" s="6" t="s">
        <v>10078</v>
      </c>
      <c r="C1110" s="17" t="s">
        <v>10079</v>
      </c>
      <c r="D1110" s="10" t="s">
        <v>10080</v>
      </c>
      <c r="E1110" s="55"/>
      <c r="F1110" s="55"/>
      <c r="G1110" s="12" t="s">
        <v>4643</v>
      </c>
      <c r="H1110" s="74"/>
      <c r="I1110" s="147" t="str">
        <f>HYPERLINK("[#]Datatypes!B1274:L1274","SettlementPatternCode")</f>
        <v>SettlementPatternCode</v>
      </c>
      <c r="J1110" s="80"/>
      <c r="K1110" s="77"/>
      <c r="L1110" s="77"/>
      <c r="M1110" s="71" t="str">
        <f>HYPERLINK("[#]DatatypeListedValues!A6089:H6089","&lt;values&gt;")</f>
        <v>&lt;values&gt;</v>
      </c>
      <c r="N1110" s="82" t="b">
        <v>0</v>
      </c>
      <c r="O1110" s="25">
        <v>101417</v>
      </c>
      <c r="P1110" s="304" t="str">
        <f>CONCATENATE([1]Cover!$D$6,"fdd/view?i=",O1110)</f>
        <v>https://www.dgiwg.org/FAD/fdd/view?i=101417</v>
      </c>
      <c r="Q1110" s="8" t="s">
        <v>10077</v>
      </c>
      <c r="R1110" s="38" t="s">
        <v>151</v>
      </c>
    </row>
    <row r="1111" spans="1:18" ht="51">
      <c r="A1111" s="302" t="str">
        <f t="shared" si="28"/>
        <v>shelterBelt</v>
      </c>
      <c r="B1111" s="6" t="s">
        <v>10083</v>
      </c>
      <c r="C1111" s="17" t="s">
        <v>10084</v>
      </c>
      <c r="D1111" s="10" t="s">
        <v>10085</v>
      </c>
      <c r="E1111" s="55"/>
      <c r="F1111" s="55"/>
      <c r="G1111" s="12" t="s">
        <v>4643</v>
      </c>
      <c r="H1111" s="74"/>
      <c r="I1111" s="147" t="str">
        <f>HYPERLINK("[#]Datatypes!B230:L230","Boolean")</f>
        <v>Boolean</v>
      </c>
      <c r="J1111" s="80"/>
      <c r="K1111" s="77"/>
      <c r="L1111" s="77"/>
      <c r="M1111" s="78"/>
      <c r="N1111" s="74"/>
      <c r="O1111" s="25">
        <v>101263</v>
      </c>
      <c r="P1111" s="304" t="str">
        <f>CONCATENATE([1]Cover!$D$6,"fdd/view?i=",O1111)</f>
        <v>https://www.dgiwg.org/FAD/fdd/view?i=101263</v>
      </c>
      <c r="Q1111" s="8" t="s">
        <v>10082</v>
      </c>
      <c r="R1111" s="38" t="s">
        <v>151</v>
      </c>
    </row>
    <row r="1112" spans="1:18" ht="25.5">
      <c r="A1112" s="302" t="str">
        <f t="shared" si="28"/>
        <v>shippingContainerType</v>
      </c>
      <c r="B1112" s="6" t="s">
        <v>10087</v>
      </c>
      <c r="C1112" s="17" t="s">
        <v>10088</v>
      </c>
      <c r="D1112" s="10" t="s">
        <v>10089</v>
      </c>
      <c r="E1112" s="55"/>
      <c r="F1112" s="55"/>
      <c r="G1112" s="12" t="s">
        <v>4643</v>
      </c>
      <c r="H1112" s="74"/>
      <c r="I1112" s="147" t="str">
        <f>HYPERLINK("[#]Datatypes!B1276:L1276","ShippingContainerTypeCode")</f>
        <v>ShippingContainerTypeCode</v>
      </c>
      <c r="J1112" s="80"/>
      <c r="K1112" s="77"/>
      <c r="L1112" s="77"/>
      <c r="M1112" s="71" t="str">
        <f>HYPERLINK("[#]DatatypeListedValues!A6104:H6104","&lt;values&gt;")</f>
        <v>&lt;values&gt;</v>
      </c>
      <c r="N1112" s="82" t="b">
        <v>0</v>
      </c>
      <c r="O1112" s="25">
        <v>118031</v>
      </c>
      <c r="P1112" s="304" t="str">
        <f>CONCATENATE([1]Cover!$D$6,"fdd/view?i=",O1112)</f>
        <v>https://www.dgiwg.org/FAD/fdd/view?i=118031</v>
      </c>
      <c r="Q1112" s="8" t="s">
        <v>10086</v>
      </c>
      <c r="R1112" s="38" t="s">
        <v>151</v>
      </c>
    </row>
    <row r="1113" spans="1:18" ht="25.5">
      <c r="A1113" s="302" t="str">
        <f t="shared" si="28"/>
        <v>shorelineConstructionType</v>
      </c>
      <c r="B1113" s="6" t="s">
        <v>10092</v>
      </c>
      <c r="C1113" s="17" t="s">
        <v>10093</v>
      </c>
      <c r="D1113" s="10" t="s">
        <v>10094</v>
      </c>
      <c r="E1113" s="10" t="s">
        <v>10095</v>
      </c>
      <c r="F1113" s="55"/>
      <c r="G1113" s="12" t="s">
        <v>4643</v>
      </c>
      <c r="H1113" s="74"/>
      <c r="I1113" s="147" t="str">
        <f>HYPERLINK("[#]Datatypes!B1278:L1278","ShorelineConstructionTypeCode")</f>
        <v>ShorelineConstructionTypeCode</v>
      </c>
      <c r="J1113" s="80"/>
      <c r="K1113" s="77"/>
      <c r="L1113" s="77"/>
      <c r="M1113" s="71" t="str">
        <f>HYPERLINK("[#]DatatypeListedValues!A6109:H6109","&lt;values&gt;")</f>
        <v>&lt;values&gt;</v>
      </c>
      <c r="N1113" s="82" t="b">
        <v>0</v>
      </c>
      <c r="O1113" s="25">
        <v>103232</v>
      </c>
      <c r="P1113" s="304" t="str">
        <f>CONCATENATE([1]Cover!$D$6,"fdd/view?i=",O1113)</f>
        <v>https://www.dgiwg.org/FAD/fdd/view?i=103232</v>
      </c>
      <c r="Q1113" s="8" t="s">
        <v>10091</v>
      </c>
      <c r="R1113" s="38" t="s">
        <v>151</v>
      </c>
    </row>
    <row r="1114" spans="1:18" ht="25.5">
      <c r="A1114" s="302" t="str">
        <f t="shared" si="28"/>
        <v>shorelineDelineated</v>
      </c>
      <c r="B1114" s="6" t="s">
        <v>10098</v>
      </c>
      <c r="C1114" s="17" t="s">
        <v>10099</v>
      </c>
      <c r="D1114" s="10" t="s">
        <v>10100</v>
      </c>
      <c r="E1114" s="10" t="s">
        <v>10101</v>
      </c>
      <c r="F1114" s="55"/>
      <c r="G1114" s="12" t="s">
        <v>4643</v>
      </c>
      <c r="H1114" s="74"/>
      <c r="I1114" s="147" t="str">
        <f>HYPERLINK("[#]Datatypes!B230:L230","Boolean")</f>
        <v>Boolean</v>
      </c>
      <c r="J1114" s="80"/>
      <c r="K1114" s="77"/>
      <c r="L1114" s="77"/>
      <c r="M1114" s="78"/>
      <c r="N1114" s="74"/>
      <c r="O1114" s="25">
        <v>101294</v>
      </c>
      <c r="P1114" s="304" t="str">
        <f>CONCATENATE([1]Cover!$D$6,"fdd/view?i=",O1114)</f>
        <v>https://www.dgiwg.org/FAD/fdd/view?i=101294</v>
      </c>
      <c r="Q1114" s="8" t="s">
        <v>10097</v>
      </c>
      <c r="R1114" s="38" t="s">
        <v>151</v>
      </c>
    </row>
    <row r="1115" spans="1:18">
      <c r="A1115" s="302" t="str">
        <f t="shared" si="28"/>
        <v>shorelineRampType</v>
      </c>
      <c r="B1115" s="6" t="s">
        <v>10103</v>
      </c>
      <c r="C1115" s="17" t="s">
        <v>10104</v>
      </c>
      <c r="D1115" s="10" t="s">
        <v>10105</v>
      </c>
      <c r="E1115" s="10" t="s">
        <v>10106</v>
      </c>
      <c r="F1115" s="55"/>
      <c r="G1115" s="12" t="s">
        <v>4643</v>
      </c>
      <c r="H1115" s="74"/>
      <c r="I1115" s="147" t="str">
        <f>HYPERLINK("[#]Datatypes!B1280:L1280","ShorelineRampTypeCode")</f>
        <v>ShorelineRampTypeCode</v>
      </c>
      <c r="J1115" s="80"/>
      <c r="K1115" s="77"/>
      <c r="L1115" s="77"/>
      <c r="M1115" s="71" t="str">
        <f>HYPERLINK("[#]DatatypeListedValues!A6121:H6121","&lt;values&gt;")</f>
        <v>&lt;values&gt;</v>
      </c>
      <c r="N1115" s="82" t="b">
        <v>0</v>
      </c>
      <c r="O1115" s="25">
        <v>111721</v>
      </c>
      <c r="P1115" s="304" t="str">
        <f>CONCATENATE([1]Cover!$D$6,"fdd/view?i=",O1115)</f>
        <v>https://www.dgiwg.org/FAD/fdd/view?i=111721</v>
      </c>
      <c r="Q1115" s="8" t="s">
        <v>10102</v>
      </c>
      <c r="R1115" s="38" t="s">
        <v>151</v>
      </c>
    </row>
    <row r="1116" spans="1:18">
      <c r="A1116" s="302" t="str">
        <f t="shared" si="28"/>
        <v>shorelineType</v>
      </c>
      <c r="B1116" s="6" t="s">
        <v>10109</v>
      </c>
      <c r="C1116" s="17" t="s">
        <v>10110</v>
      </c>
      <c r="D1116" s="10" t="s">
        <v>10111</v>
      </c>
      <c r="E1116" s="55"/>
      <c r="F1116" s="55"/>
      <c r="G1116" s="12" t="s">
        <v>4643</v>
      </c>
      <c r="H1116" s="74"/>
      <c r="I1116" s="147" t="str">
        <f>HYPERLINK("[#]Datatypes!B1282:L1282","ShorelineTypeCode")</f>
        <v>ShorelineTypeCode</v>
      </c>
      <c r="J1116" s="80"/>
      <c r="K1116" s="77"/>
      <c r="L1116" s="77"/>
      <c r="M1116" s="71" t="str">
        <f>HYPERLINK("[#]DatatypeListedValues!A6124:H6124","&lt;values&gt;")</f>
        <v>&lt;values&gt;</v>
      </c>
      <c r="N1116" s="82" t="b">
        <v>0</v>
      </c>
      <c r="O1116" s="25">
        <v>101307</v>
      </c>
      <c r="P1116" s="304" t="str">
        <f>CONCATENATE([1]Cover!$D$6,"fdd/view?i=",O1116)</f>
        <v>https://www.dgiwg.org/FAD/fdd/view?i=101307</v>
      </c>
      <c r="Q1116" s="8" t="s">
        <v>10108</v>
      </c>
      <c r="R1116" s="38" t="s">
        <v>151</v>
      </c>
    </row>
    <row r="1117" spans="1:18" ht="89.25">
      <c r="A1117" s="302" t="str">
        <f t="shared" si="28"/>
        <v>shortName</v>
      </c>
      <c r="B1117" s="6" t="s">
        <v>10114</v>
      </c>
      <c r="C1117" s="17" t="s">
        <v>132</v>
      </c>
      <c r="D1117" s="10" t="s">
        <v>10115</v>
      </c>
      <c r="E1117" s="10" t="s">
        <v>10116</v>
      </c>
      <c r="F1117" s="55"/>
      <c r="G1117" s="12" t="s">
        <v>4643</v>
      </c>
      <c r="H1117" s="74"/>
      <c r="I1117" s="147" t="str">
        <f>HYPERLINK("[#]Datatypes!B1402:L1402","TextLex128")</f>
        <v>TextLex128</v>
      </c>
      <c r="J1117" s="80"/>
      <c r="K1117" s="77"/>
      <c r="L1117" s="77"/>
      <c r="M1117" s="78"/>
      <c r="N1117" s="74"/>
      <c r="O1117" s="25">
        <v>111723</v>
      </c>
      <c r="P1117" s="304" t="str">
        <f>CONCATENATE([1]Cover!$D$6,"fdd/view?i=",O1117)</f>
        <v>https://www.dgiwg.org/FAD/fdd/view?i=111723</v>
      </c>
      <c r="Q1117" s="8" t="s">
        <v>10113</v>
      </c>
      <c r="R1117" s="38" t="s">
        <v>151</v>
      </c>
    </row>
    <row r="1118" spans="1:18" ht="89.25">
      <c r="A1118" s="302" t="str">
        <f t="shared" si="28"/>
        <v>shortNameNoDiacritics</v>
      </c>
      <c r="B1118" s="6" t="s">
        <v>10118</v>
      </c>
      <c r="C1118" s="17" t="s">
        <v>10119</v>
      </c>
      <c r="D1118" s="10" t="s">
        <v>10120</v>
      </c>
      <c r="E1118" s="10" t="s">
        <v>10116</v>
      </c>
      <c r="F1118" s="55"/>
      <c r="G1118" s="12" t="s">
        <v>4643</v>
      </c>
      <c r="H1118" s="74"/>
      <c r="I1118" s="147" t="str">
        <f>HYPERLINK("[#]Datatypes!B1420:L1420","TextNonLex128")</f>
        <v>TextNonLex128</v>
      </c>
      <c r="J1118" s="80"/>
      <c r="K1118" s="77"/>
      <c r="L1118" s="77"/>
      <c r="M1118" s="78"/>
      <c r="N1118" s="74"/>
      <c r="O1118" s="25">
        <v>111722</v>
      </c>
      <c r="P1118" s="304" t="str">
        <f>CONCATENATE([1]Cover!$D$6,"fdd/view?i=",O1118)</f>
        <v>https://www.dgiwg.org/FAD/fdd/view?i=111722</v>
      </c>
      <c r="Q1118" s="8" t="s">
        <v>10117</v>
      </c>
      <c r="R1118" s="38" t="s">
        <v>151</v>
      </c>
    </row>
    <row r="1119" spans="1:18" ht="25.5">
      <c r="A1119" s="302" t="str">
        <f t="shared" si="28"/>
        <v>shrubLandType</v>
      </c>
      <c r="B1119" s="6" t="s">
        <v>10122</v>
      </c>
      <c r="C1119" s="17" t="s">
        <v>10123</v>
      </c>
      <c r="D1119" s="10" t="s">
        <v>10124</v>
      </c>
      <c r="E1119" s="55"/>
      <c r="F1119" s="55"/>
      <c r="G1119" s="12" t="s">
        <v>4643</v>
      </c>
      <c r="H1119" s="74"/>
      <c r="I1119" s="147" t="str">
        <f>HYPERLINK("[#]Datatypes!B1284:L1284","ShrubLandTypeCode")</f>
        <v>ShrubLandTypeCode</v>
      </c>
      <c r="J1119" s="80"/>
      <c r="K1119" s="77"/>
      <c r="L1119" s="77"/>
      <c r="M1119" s="71" t="str">
        <f>HYPERLINK("[#]DatatypeListedValues!A6134:H6134","&lt;values&gt;")</f>
        <v>&lt;values&gt;</v>
      </c>
      <c r="N1119" s="82" t="b">
        <v>0</v>
      </c>
      <c r="O1119" s="25">
        <v>204141</v>
      </c>
      <c r="P1119" s="304" t="str">
        <f>CONCATENATE([1]Cover!$D$6,"fdd/view?i=",O1119)</f>
        <v>https://www.dgiwg.org/FAD/fdd/view?i=204141</v>
      </c>
      <c r="Q1119" s="8" t="s">
        <v>10121</v>
      </c>
      <c r="R1119" s="38" t="s">
        <v>1295</v>
      </c>
    </row>
    <row r="1120" spans="1:18" ht="25.5">
      <c r="A1120" s="302" t="str">
        <f t="shared" si="28"/>
        <v>signalGroupPattern</v>
      </c>
      <c r="B1120" s="6" t="s">
        <v>10127</v>
      </c>
      <c r="C1120" s="17" t="s">
        <v>10128</v>
      </c>
      <c r="D1120" s="10" t="s">
        <v>10129</v>
      </c>
      <c r="E1120" s="55"/>
      <c r="F1120" s="55"/>
      <c r="G1120" s="12" t="s">
        <v>4643</v>
      </c>
      <c r="H1120" s="74"/>
      <c r="I1120" s="147" t="str">
        <f>HYPERLINK("[#]Datatypes!B1286:L1286","SignalGroupPatternStrucText")</f>
        <v>SignalGroupPatternStrucText</v>
      </c>
      <c r="J1120" s="80"/>
      <c r="K1120" s="77"/>
      <c r="L1120" s="77"/>
      <c r="M1120" s="78"/>
      <c r="N1120" s="74"/>
      <c r="O1120" s="25">
        <v>100918</v>
      </c>
      <c r="P1120" s="304" t="str">
        <f>CONCATENATE([1]Cover!$D$6,"fdd/view?i=",O1120)</f>
        <v>https://www.dgiwg.org/FAD/fdd/view?i=100918</v>
      </c>
      <c r="Q1120" s="8" t="s">
        <v>10126</v>
      </c>
      <c r="R1120" s="38" t="s">
        <v>151</v>
      </c>
    </row>
    <row r="1121" spans="1:18" ht="25.5">
      <c r="A1121" s="302" t="str">
        <f t="shared" si="28"/>
        <v>signalLimitMaxRange</v>
      </c>
      <c r="B1121" s="6" t="s">
        <v>10132</v>
      </c>
      <c r="C1121" s="17" t="s">
        <v>10133</v>
      </c>
      <c r="D1121" s="10" t="s">
        <v>10134</v>
      </c>
      <c r="E1121" s="55"/>
      <c r="F1121" s="55"/>
      <c r="G1121" s="12" t="s">
        <v>4643</v>
      </c>
      <c r="H1121" s="74"/>
      <c r="I1121" s="147" t="str">
        <f>HYPERLINK("[#]Datatypes!B958:L958","RealNonNegative")</f>
        <v>RealNonNegative</v>
      </c>
      <c r="J1121" s="76" t="str">
        <f>HYPERLINK("[#]PhysicalQuantities!A20:N20","Length")</f>
        <v>Length</v>
      </c>
      <c r="K1121" s="75" t="str">
        <f>HYPERLINK("[#]UnitsOfMeasure!D94:G94","Nautical Mile")</f>
        <v>Nautical Mile</v>
      </c>
      <c r="L1121" s="77"/>
      <c r="M1121" s="78"/>
      <c r="N1121" s="74"/>
      <c r="O1121" s="25">
        <v>119609</v>
      </c>
      <c r="P1121" s="304" t="str">
        <f>CONCATENATE([1]Cover!$D$6,"fdd/view?i=",O1121)</f>
        <v>https://www.dgiwg.org/FAD/fdd/view?i=119609</v>
      </c>
      <c r="Q1121" s="8" t="s">
        <v>10131</v>
      </c>
      <c r="R1121" s="38" t="s">
        <v>151</v>
      </c>
    </row>
    <row r="1122" spans="1:18" ht="25.5">
      <c r="A1122" s="302" t="str">
        <f t="shared" si="28"/>
        <v>signalLimitMinRange</v>
      </c>
      <c r="B1122" s="6" t="s">
        <v>10136</v>
      </c>
      <c r="C1122" s="17" t="s">
        <v>10137</v>
      </c>
      <c r="D1122" s="10" t="s">
        <v>10138</v>
      </c>
      <c r="E1122" s="55"/>
      <c r="F1122" s="55"/>
      <c r="G1122" s="12" t="s">
        <v>4643</v>
      </c>
      <c r="H1122" s="74"/>
      <c r="I1122" s="147" t="str">
        <f>HYPERLINK("[#]Datatypes!B958:L958","RealNonNegative")</f>
        <v>RealNonNegative</v>
      </c>
      <c r="J1122" s="76" t="str">
        <f>HYPERLINK("[#]PhysicalQuantities!A20:N20","Length")</f>
        <v>Length</v>
      </c>
      <c r="K1122" s="75" t="str">
        <f>HYPERLINK("[#]UnitsOfMeasure!D94:G94","Nautical Mile")</f>
        <v>Nautical Mile</v>
      </c>
      <c r="L1122" s="77"/>
      <c r="M1122" s="78"/>
      <c r="N1122" s="74"/>
      <c r="O1122" s="25">
        <v>119608</v>
      </c>
      <c r="P1122" s="304" t="str">
        <f>CONCATENATE([1]Cover!$D$6,"fdd/view?i=",O1122)</f>
        <v>https://www.dgiwg.org/FAD/fdd/view?i=119608</v>
      </c>
      <c r="Q1122" s="8" t="s">
        <v>10135</v>
      </c>
      <c r="R1122" s="38" t="s">
        <v>151</v>
      </c>
    </row>
    <row r="1123" spans="1:18" ht="89.25">
      <c r="A1123" s="302" t="str">
        <f t="shared" si="28"/>
        <v>significantEarthquake</v>
      </c>
      <c r="B1123" s="6" t="s">
        <v>10140</v>
      </c>
      <c r="C1123" s="17" t="s">
        <v>10141</v>
      </c>
      <c r="D1123" s="10" t="s">
        <v>10142</v>
      </c>
      <c r="E1123" s="10" t="s">
        <v>10143</v>
      </c>
      <c r="F1123" s="55"/>
      <c r="G1123" s="12" t="s">
        <v>4643</v>
      </c>
      <c r="H1123" s="74"/>
      <c r="I1123" s="147" t="str">
        <f>HYPERLINK("[#]Datatypes!B230:L230","Boolean")</f>
        <v>Boolean</v>
      </c>
      <c r="J1123" s="80"/>
      <c r="K1123" s="77"/>
      <c r="L1123" s="77"/>
      <c r="M1123" s="78"/>
      <c r="N1123" s="74"/>
      <c r="O1123" s="25">
        <v>204344</v>
      </c>
      <c r="P1123" s="304" t="str">
        <f>CONCATENATE([1]Cover!$D$6,"fdd/view?i=",O1123)</f>
        <v>https://www.dgiwg.org/FAD/fdd/view?i=204344</v>
      </c>
      <c r="Q1123" s="8" t="s">
        <v>10139</v>
      </c>
      <c r="R1123" s="38" t="s">
        <v>1295</v>
      </c>
    </row>
    <row r="1124" spans="1:18" ht="25.5">
      <c r="A1124" s="302" t="str">
        <f t="shared" si="28"/>
        <v>sigPointAssocInAirspace</v>
      </c>
      <c r="B1124" s="6" t="s">
        <v>10145</v>
      </c>
      <c r="C1124" s="17" t="s">
        <v>10146</v>
      </c>
      <c r="D1124" s="10" t="s">
        <v>10147</v>
      </c>
      <c r="E1124" s="10" t="s">
        <v>10148</v>
      </c>
      <c r="F1124" s="10" t="s">
        <v>10149</v>
      </c>
      <c r="G1124" s="12" t="s">
        <v>4643</v>
      </c>
      <c r="H1124" s="74"/>
      <c r="I1124" s="147" t="str">
        <f>HYPERLINK("[#]Datatypes!B1288:L1288","SigPointAssocInAirspaceCode")</f>
        <v>SigPointAssocInAirspaceCode</v>
      </c>
      <c r="J1124" s="80"/>
      <c r="K1124" s="77"/>
      <c r="L1124" s="77"/>
      <c r="M1124" s="71" t="str">
        <f>HYPERLINK("[#]DatatypeListedValues!A6136:H6136","&lt;values&gt;")</f>
        <v>&lt;values&gt;</v>
      </c>
      <c r="N1124" s="82" t="b">
        <v>0</v>
      </c>
      <c r="O1124" s="25">
        <v>117714</v>
      </c>
      <c r="P1124" s="304" t="str">
        <f>CONCATENATE([1]Cover!$D$6,"fdd/view?i=",O1124)</f>
        <v>https://www.dgiwg.org/FAD/fdd/view?i=117714</v>
      </c>
      <c r="Q1124" s="8" t="s">
        <v>10144</v>
      </c>
      <c r="R1124" s="38" t="s">
        <v>151</v>
      </c>
    </row>
    <row r="1125" spans="1:18" ht="25.5">
      <c r="A1125" s="302" t="str">
        <f t="shared" si="28"/>
        <v>sigPointRelLocToAirspace</v>
      </c>
      <c r="B1125" s="6" t="s">
        <v>10152</v>
      </c>
      <c r="C1125" s="17" t="s">
        <v>10153</v>
      </c>
      <c r="D1125" s="10" t="s">
        <v>10154</v>
      </c>
      <c r="E1125" s="10" t="s">
        <v>10155</v>
      </c>
      <c r="F1125" s="55"/>
      <c r="G1125" s="12" t="s">
        <v>4643</v>
      </c>
      <c r="H1125" s="74"/>
      <c r="I1125" s="147" t="str">
        <f>HYPERLINK("[#]Datatypes!B1290:L1290","SigPointRelLocToAirspaceCode")</f>
        <v>SigPointRelLocToAirspaceCode</v>
      </c>
      <c r="J1125" s="80"/>
      <c r="K1125" s="77"/>
      <c r="L1125" s="77"/>
      <c r="M1125" s="71" t="str">
        <f>HYPERLINK("[#]DatatypeListedValues!A6139:H6139","&lt;values&gt;")</f>
        <v>&lt;values&gt;</v>
      </c>
      <c r="N1125" s="82" t="b">
        <v>0</v>
      </c>
      <c r="O1125" s="25">
        <v>117713</v>
      </c>
      <c r="P1125" s="304" t="str">
        <f>CONCATENATE([1]Cover!$D$6,"fdd/view?i=",O1125)</f>
        <v>https://www.dgiwg.org/FAD/fdd/view?i=117713</v>
      </c>
      <c r="Q1125" s="8" t="s">
        <v>10151</v>
      </c>
      <c r="R1125" s="38" t="s">
        <v>151</v>
      </c>
    </row>
    <row r="1126" spans="1:18" ht="38.25">
      <c r="A1126" s="302" t="str">
        <f t="shared" si="28"/>
        <v>singleIsolatedWheelLoad</v>
      </c>
      <c r="B1126" s="6" t="s">
        <v>10158</v>
      </c>
      <c r="C1126" s="17" t="s">
        <v>10159</v>
      </c>
      <c r="D1126" s="10" t="s">
        <v>10160</v>
      </c>
      <c r="E1126" s="10" t="s">
        <v>10161</v>
      </c>
      <c r="F1126" s="10" t="s">
        <v>10162</v>
      </c>
      <c r="G1126" s="12" t="s">
        <v>4643</v>
      </c>
      <c r="H1126" s="74"/>
      <c r="I1126" s="147" t="str">
        <f>HYPERLINK("[#]Datatypes!B1097:L1097","Real")</f>
        <v>Real</v>
      </c>
      <c r="J1126" s="76" t="str">
        <f>HYPERLINK("[#]PhysicalQuantities!A28:N28","Mass")</f>
        <v>Mass</v>
      </c>
      <c r="K1126" s="75" t="str">
        <f>HYPERLINK("[#]UnitsOfMeasure!D127:G127","Kilogram")</f>
        <v>Kilogram</v>
      </c>
      <c r="L1126" s="77"/>
      <c r="M1126" s="78"/>
      <c r="N1126" s="74"/>
      <c r="O1126" s="25">
        <v>117709</v>
      </c>
      <c r="P1126" s="304" t="str">
        <f>CONCATENATE([1]Cover!$D$6,"fdd/view?i=",O1126)</f>
        <v>https://www.dgiwg.org/FAD/fdd/view?i=117709</v>
      </c>
      <c r="Q1126" s="8" t="s">
        <v>10157</v>
      </c>
      <c r="R1126" s="38" t="s">
        <v>151</v>
      </c>
    </row>
    <row r="1127" spans="1:18" ht="25.5">
      <c r="A1127" s="302" t="str">
        <f t="shared" si="28"/>
        <v>siwlTireInflationPressure</v>
      </c>
      <c r="B1127" s="6" t="s">
        <v>10164</v>
      </c>
      <c r="C1127" s="17" t="s">
        <v>10165</v>
      </c>
      <c r="D1127" s="10" t="s">
        <v>10166</v>
      </c>
      <c r="E1127" s="55"/>
      <c r="F1127" s="10" t="s">
        <v>10167</v>
      </c>
      <c r="G1127" s="12" t="s">
        <v>4643</v>
      </c>
      <c r="H1127" s="74"/>
      <c r="I1127" s="147" t="str">
        <f>HYPERLINK("[#]Datatypes!B1097:L1097","Real")</f>
        <v>Real</v>
      </c>
      <c r="J1127" s="76" t="str">
        <f>HYPERLINK("[#]PhysicalQuantities!A38:N38","Pressure")</f>
        <v>Pressure</v>
      </c>
      <c r="K1127" s="75" t="str">
        <f>HYPERLINK("[#]UnitsOfMeasure!D210:G210","Pound-force per Square Inch")</f>
        <v>Pound-force per Square Inch</v>
      </c>
      <c r="L1127" s="77"/>
      <c r="M1127" s="78"/>
      <c r="N1127" s="74"/>
      <c r="O1127" s="25">
        <v>117710</v>
      </c>
      <c r="P1127" s="304" t="str">
        <f>CONCATENATE([1]Cover!$D$6,"fdd/view?i=",O1127)</f>
        <v>https://www.dgiwg.org/FAD/fdd/view?i=117710</v>
      </c>
      <c r="Q1127" s="8" t="s">
        <v>10163</v>
      </c>
      <c r="R1127" s="38" t="s">
        <v>151</v>
      </c>
    </row>
    <row r="1128" spans="1:18">
      <c r="A1128" s="302" t="str">
        <f t="shared" si="28"/>
        <v>sinkingMethod</v>
      </c>
      <c r="B1128" s="6" t="s">
        <v>10169</v>
      </c>
      <c r="C1128" s="17" t="s">
        <v>10170</v>
      </c>
      <c r="D1128" s="10" t="s">
        <v>10171</v>
      </c>
      <c r="E1128" s="55"/>
      <c r="F1128" s="55"/>
      <c r="G1128" s="12" t="s">
        <v>4643</v>
      </c>
      <c r="H1128" s="74"/>
      <c r="I1128" s="147" t="str">
        <f>HYPERLINK("[#]Datatypes!B1292:L1292","SinkingMethodCode")</f>
        <v>SinkingMethodCode</v>
      </c>
      <c r="J1128" s="80"/>
      <c r="K1128" s="77"/>
      <c r="L1128" s="77"/>
      <c r="M1128" s="71" t="str">
        <f>HYPERLINK("[#]DatatypeListedValues!A6142:H6142","&lt;values&gt;")</f>
        <v>&lt;values&gt;</v>
      </c>
      <c r="N1128" s="82" t="b">
        <v>0</v>
      </c>
      <c r="O1128" s="25">
        <v>118173</v>
      </c>
      <c r="P1128" s="304" t="str">
        <f>CONCATENATE([1]Cover!$D$6,"fdd/view?i=",O1128)</f>
        <v>https://www.dgiwg.org/FAD/fdd/view?i=118173</v>
      </c>
      <c r="Q1128" s="8" t="s">
        <v>10168</v>
      </c>
      <c r="R1128" s="38" t="s">
        <v>151</v>
      </c>
    </row>
    <row r="1129" spans="1:18" ht="38.25">
      <c r="A1129" s="302" t="str">
        <f t="shared" si="28"/>
        <v>slavedVariation</v>
      </c>
      <c r="B1129" s="6" t="s">
        <v>10174</v>
      </c>
      <c r="C1129" s="17" t="s">
        <v>10175</v>
      </c>
      <c r="D1129" s="10" t="s">
        <v>10176</v>
      </c>
      <c r="E1129" s="10" t="s">
        <v>10177</v>
      </c>
      <c r="F1129" s="10" t="s">
        <v>10178</v>
      </c>
      <c r="G1129" s="12" t="s">
        <v>4643</v>
      </c>
      <c r="H1129" s="74"/>
      <c r="I1129" s="147" t="str">
        <f>HYPERLINK("[#]Datatypes!B1132:L1132","Realm180to180")</f>
        <v>Realm180to180</v>
      </c>
      <c r="J1129" s="76" t="str">
        <f>HYPERLINK("[#]PhysicalQuantities!A34:N34","Plane Angle")</f>
        <v>Plane Angle</v>
      </c>
      <c r="K1129" s="75" t="str">
        <f>HYPERLINK("[#]UnitsOfMeasure!D159:G159","Arc Degree")</f>
        <v>Arc Degree</v>
      </c>
      <c r="L1129" s="77"/>
      <c r="M1129" s="78"/>
      <c r="N1129" s="74"/>
      <c r="O1129" s="25">
        <v>101349</v>
      </c>
      <c r="P1129" s="304" t="str">
        <f>CONCATENATE([1]Cover!$D$6,"fdd/view?i=",O1129)</f>
        <v>https://www.dgiwg.org/FAD/fdd/view?i=101349</v>
      </c>
      <c r="Q1129" s="8" t="s">
        <v>10173</v>
      </c>
      <c r="R1129" s="38" t="s">
        <v>151</v>
      </c>
    </row>
    <row r="1130" spans="1:18" ht="38.25">
      <c r="A1130" s="302" t="str">
        <f t="shared" si="28"/>
        <v>slavedVariationDateTime</v>
      </c>
      <c r="B1130" s="6" t="s">
        <v>10180</v>
      </c>
      <c r="C1130" s="17" t="s">
        <v>10181</v>
      </c>
      <c r="D1130" s="10" t="s">
        <v>10182</v>
      </c>
      <c r="E1130" s="10" t="s">
        <v>6206</v>
      </c>
      <c r="F1130" s="55"/>
      <c r="G1130" s="12" t="s">
        <v>4643</v>
      </c>
      <c r="H1130" s="74"/>
      <c r="I1130" s="147" t="str">
        <f>HYPERLINK("[#]Datatypes!B1294:L1294","SlavedVariationDateTimeStrucText")</f>
        <v>SlavedVariationDateTimeStrucText</v>
      </c>
      <c r="J1130" s="80"/>
      <c r="K1130" s="77"/>
      <c r="L1130" s="77"/>
      <c r="M1130" s="78"/>
      <c r="N1130" s="74"/>
      <c r="O1130" s="25">
        <v>207000</v>
      </c>
      <c r="P1130" s="304" t="str">
        <f>CONCATENATE([1]Cover!$D$6,"fdd/view?i=",O1130)</f>
        <v>https://www.dgiwg.org/FAD/fdd/view?i=207000</v>
      </c>
      <c r="Q1130" s="8" t="s">
        <v>10179</v>
      </c>
      <c r="R1130" s="38" t="s">
        <v>1295</v>
      </c>
    </row>
    <row r="1131" spans="1:18" ht="25.5">
      <c r="A1131" s="302" t="str">
        <f t="shared" si="28"/>
        <v>slopeOrientDown</v>
      </c>
      <c r="B1131" s="6" t="s">
        <v>10185</v>
      </c>
      <c r="C1131" s="17" t="s">
        <v>10186</v>
      </c>
      <c r="D1131" s="10" t="s">
        <v>10187</v>
      </c>
      <c r="E1131" s="10" t="s">
        <v>10188</v>
      </c>
      <c r="F1131" s="55"/>
      <c r="G1131" s="12" t="s">
        <v>4643</v>
      </c>
      <c r="H1131" s="74"/>
      <c r="I1131" s="147" t="str">
        <f>HYPERLINK("[#]Datatypes!B1115:L1115","RealNonNegInterval360")</f>
        <v>RealNonNegInterval360</v>
      </c>
      <c r="J1131" s="76" t="str">
        <f>HYPERLINK("[#]PhysicalQuantities!A34:N34","Plane Angle")</f>
        <v>Plane Angle</v>
      </c>
      <c r="K1131" s="75" t="str">
        <f>HYPERLINK("[#]UnitsOfMeasure!D159:G159","Arc Degree")</f>
        <v>Arc Degree</v>
      </c>
      <c r="L1131" s="77"/>
      <c r="M1131" s="78"/>
      <c r="N1131" s="74"/>
      <c r="O1131" s="25">
        <v>200233</v>
      </c>
      <c r="P1131" s="304" t="str">
        <f>CONCATENATE([1]Cover!$D$6,"fdd/view?i=",O1131)</f>
        <v>https://www.dgiwg.org/FAD/fdd/view?i=200233</v>
      </c>
      <c r="Q1131" s="8" t="s">
        <v>10184</v>
      </c>
      <c r="R1131" s="38" t="s">
        <v>1295</v>
      </c>
    </row>
    <row r="1132" spans="1:18" ht="25.5">
      <c r="A1132" s="302" t="str">
        <f t="shared" si="28"/>
        <v>soilDepth</v>
      </c>
      <c r="B1132" s="6" t="s">
        <v>10190</v>
      </c>
      <c r="C1132" s="17" t="s">
        <v>10191</v>
      </c>
      <c r="D1132" s="10" t="s">
        <v>10192</v>
      </c>
      <c r="E1132" s="10" t="s">
        <v>10193</v>
      </c>
      <c r="F1132" s="55"/>
      <c r="G1132" s="12" t="s">
        <v>4643</v>
      </c>
      <c r="H1132" s="74"/>
      <c r="I1132" s="147" t="str">
        <f>HYPERLINK("[#]Datatypes!B1099:L1099","RealInterval")</f>
        <v>RealInterval</v>
      </c>
      <c r="J1132" s="76" t="str">
        <f>HYPERLINK("[#]PhysicalQuantities!A20:N20","Length")</f>
        <v>Length</v>
      </c>
      <c r="K1132" s="75" t="str">
        <f>HYPERLINK("[#]UnitsOfMeasure!D80:G80","Metre")</f>
        <v>Metre</v>
      </c>
      <c r="L1132" s="77"/>
      <c r="M1132" s="78"/>
      <c r="N1132" s="74"/>
      <c r="O1132" s="25">
        <v>110717</v>
      </c>
      <c r="P1132" s="304" t="str">
        <f>CONCATENATE([1]Cover!$D$6,"fdd/view?i=",O1132)</f>
        <v>https://www.dgiwg.org/FAD/fdd/view?i=110717</v>
      </c>
      <c r="Q1132" s="8" t="s">
        <v>10189</v>
      </c>
      <c r="R1132" s="38" t="s">
        <v>151</v>
      </c>
    </row>
    <row r="1133" spans="1:18" ht="25.5">
      <c r="A1133" s="302" t="str">
        <f t="shared" si="28"/>
        <v>soilType</v>
      </c>
      <c r="B1133" s="6" t="s">
        <v>10195</v>
      </c>
      <c r="C1133" s="17" t="s">
        <v>10196</v>
      </c>
      <c r="D1133" s="10" t="s">
        <v>10197</v>
      </c>
      <c r="E1133" s="55"/>
      <c r="F1133" s="55"/>
      <c r="G1133" s="12" t="s">
        <v>4643</v>
      </c>
      <c r="H1133" s="74"/>
      <c r="I1133" s="147" t="str">
        <f>HYPERLINK("[#]Datatypes!B1296:L1296","SoilTypeCode")</f>
        <v>SoilTypeCode</v>
      </c>
      <c r="J1133" s="80"/>
      <c r="K1133" s="77"/>
      <c r="L1133" s="77"/>
      <c r="M1133" s="71" t="str">
        <f>HYPERLINK("[#]DatatypeListedValues!A6151:H6151","&lt;values&gt;")</f>
        <v>&lt;values&gt;</v>
      </c>
      <c r="N1133" s="82" t="b">
        <v>0</v>
      </c>
      <c r="O1133" s="25">
        <v>101338</v>
      </c>
      <c r="P1133" s="304" t="str">
        <f>CONCATENATE([1]Cover!$D$6,"fdd/view?i=",O1133)</f>
        <v>https://www.dgiwg.org/FAD/fdd/view?i=101338</v>
      </c>
      <c r="Q1133" s="8" t="s">
        <v>10194</v>
      </c>
      <c r="R1133" s="38" t="s">
        <v>151</v>
      </c>
    </row>
    <row r="1134" spans="1:18" ht="25.5">
      <c r="A1134" s="302" t="str">
        <f t="shared" si="28"/>
        <v>soilWetTrafficabilityType</v>
      </c>
      <c r="B1134" s="6" t="s">
        <v>10200</v>
      </c>
      <c r="C1134" s="17" t="s">
        <v>10201</v>
      </c>
      <c r="D1134" s="10" t="s">
        <v>10202</v>
      </c>
      <c r="E1134" s="10" t="s">
        <v>10203</v>
      </c>
      <c r="F1134" s="55"/>
      <c r="G1134" s="12" t="s">
        <v>4643</v>
      </c>
      <c r="H1134" s="74"/>
      <c r="I1134" s="147" t="str">
        <f>HYPERLINK("[#]Datatypes!B1298:L1298","SoilWetTrafficabilityTypeCode")</f>
        <v>SoilWetTrafficabilityTypeCode</v>
      </c>
      <c r="J1134" s="80"/>
      <c r="K1134" s="77"/>
      <c r="L1134" s="77"/>
      <c r="M1134" s="71" t="str">
        <f>HYPERLINK("[#]DatatypeListedValues!A6169:H6169","&lt;values&gt;")</f>
        <v>&lt;values&gt;</v>
      </c>
      <c r="N1134" s="12" t="b">
        <v>1</v>
      </c>
      <c r="O1134" s="25">
        <v>101336</v>
      </c>
      <c r="P1134" s="304" t="str">
        <f>CONCATENATE([1]Cover!$D$6,"fdd/view?i=",O1134)</f>
        <v>https://www.dgiwg.org/FAD/fdd/view?i=101336</v>
      </c>
      <c r="Q1134" s="8" t="s">
        <v>10199</v>
      </c>
      <c r="R1134" s="38" t="s">
        <v>151</v>
      </c>
    </row>
    <row r="1135" spans="1:18">
      <c r="A1135" s="302" t="str">
        <f t="shared" si="28"/>
        <v>soilWetnessCondition</v>
      </c>
      <c r="B1135" s="6" t="s">
        <v>10206</v>
      </c>
      <c r="C1135" s="17" t="s">
        <v>10207</v>
      </c>
      <c r="D1135" s="10" t="s">
        <v>10208</v>
      </c>
      <c r="E1135" s="55"/>
      <c r="F1135" s="55"/>
      <c r="G1135" s="12" t="s">
        <v>4643</v>
      </c>
      <c r="H1135" s="74"/>
      <c r="I1135" s="147" t="str">
        <f>HYPERLINK("[#]Datatypes!B1300:L1300","SoilWetnessConditionCode")</f>
        <v>SoilWetnessConditionCode</v>
      </c>
      <c r="J1135" s="80"/>
      <c r="K1135" s="77"/>
      <c r="L1135" s="77"/>
      <c r="M1135" s="71" t="str">
        <f>HYPERLINK("[#]DatatypeListedValues!A6175:H6175","&lt;values&gt;")</f>
        <v>&lt;values&gt;</v>
      </c>
      <c r="N1135" s="12" t="b">
        <v>1</v>
      </c>
      <c r="O1135" s="25">
        <v>101352</v>
      </c>
      <c r="P1135" s="304" t="str">
        <f>CONCATENATE([1]Cover!$D$6,"fdd/view?i=",O1135)</f>
        <v>https://www.dgiwg.org/FAD/fdd/view?i=101352</v>
      </c>
      <c r="Q1135" s="8" t="s">
        <v>10205</v>
      </c>
      <c r="R1135" s="38" t="s">
        <v>151</v>
      </c>
    </row>
    <row r="1136" spans="1:18" ht="25.5">
      <c r="A1136" s="302" t="str">
        <f t="shared" si="28"/>
        <v>solidGeometry</v>
      </c>
      <c r="B1136" s="6" t="s">
        <v>10211</v>
      </c>
      <c r="C1136" s="17" t="s">
        <v>10212</v>
      </c>
      <c r="D1136" s="10" t="s">
        <v>10213</v>
      </c>
      <c r="E1136" s="55"/>
      <c r="F1136" s="55"/>
      <c r="G1136" s="12" t="s">
        <v>4643</v>
      </c>
      <c r="H1136" s="74"/>
      <c r="I1136" s="147" t="str">
        <f>HYPERLINK("[#]Datatypes!B1302:L1302","GmSolid")</f>
        <v>GmSolid</v>
      </c>
      <c r="J1136" s="80"/>
      <c r="K1136" s="77"/>
      <c r="L1136" s="77"/>
      <c r="M1136" s="78"/>
      <c r="N1136" s="74"/>
      <c r="O1136" s="25">
        <v>200620</v>
      </c>
      <c r="P1136" s="304" t="str">
        <f>CONCATENATE([1]Cover!$D$6,"fdd/view?i=",O1136)</f>
        <v>https://www.dgiwg.org/FAD/fdd/view?i=200620</v>
      </c>
      <c r="Q1136" s="8" t="s">
        <v>10210</v>
      </c>
      <c r="R1136" s="38" t="s">
        <v>1295</v>
      </c>
    </row>
    <row r="1137" spans="1:18" ht="38.25">
      <c r="A1137" s="302" t="str">
        <f t="shared" si="28"/>
        <v>solidMaritimeConstruction</v>
      </c>
      <c r="B1137" s="6" t="s">
        <v>10216</v>
      </c>
      <c r="C1137" s="17" t="s">
        <v>10217</v>
      </c>
      <c r="D1137" s="10" t="s">
        <v>10218</v>
      </c>
      <c r="E1137" s="10" t="s">
        <v>10219</v>
      </c>
      <c r="F1137" s="55"/>
      <c r="G1137" s="12" t="s">
        <v>4643</v>
      </c>
      <c r="H1137" s="74"/>
      <c r="I1137" s="147" t="str">
        <f>HYPERLINK("[#]Datatypes!B230:L230","Boolean")</f>
        <v>Boolean</v>
      </c>
      <c r="J1137" s="80"/>
      <c r="K1137" s="77"/>
      <c r="L1137" s="77"/>
      <c r="M1137" s="78"/>
      <c r="N1137" s="74"/>
      <c r="O1137" s="25">
        <v>100872</v>
      </c>
      <c r="P1137" s="304" t="str">
        <f>CONCATENATE([1]Cover!$D$6,"fdd/view?i=",O1137)</f>
        <v>https://www.dgiwg.org/FAD/fdd/view?i=100872</v>
      </c>
      <c r="Q1137" s="8" t="s">
        <v>10215</v>
      </c>
      <c r="R1137" s="38" t="s">
        <v>151</v>
      </c>
    </row>
    <row r="1138" spans="1:18" ht="25.5">
      <c r="A1138" s="302" t="str">
        <f t="shared" si="28"/>
        <v>sonarConfirmed</v>
      </c>
      <c r="B1138" s="6" t="s">
        <v>10221</v>
      </c>
      <c r="C1138" s="17" t="s">
        <v>10222</v>
      </c>
      <c r="D1138" s="10" t="s">
        <v>10223</v>
      </c>
      <c r="E1138" s="55"/>
      <c r="F1138" s="55"/>
      <c r="G1138" s="12" t="s">
        <v>4643</v>
      </c>
      <c r="H1138" s="74"/>
      <c r="I1138" s="147" t="str">
        <f>HYPERLINK("[#]Datatypes!B230:L230","Boolean")</f>
        <v>Boolean</v>
      </c>
      <c r="J1138" s="80"/>
      <c r="K1138" s="77"/>
      <c r="L1138" s="77"/>
      <c r="M1138" s="78"/>
      <c r="N1138" s="74"/>
      <c r="O1138" s="25">
        <v>101270</v>
      </c>
      <c r="P1138" s="304" t="str">
        <f>CONCATENATE([1]Cover!$D$6,"fdd/view?i=",O1138)</f>
        <v>https://www.dgiwg.org/FAD/fdd/view?i=101270</v>
      </c>
      <c r="Q1138" s="8" t="s">
        <v>10220</v>
      </c>
      <c r="R1138" s="38" t="s">
        <v>151</v>
      </c>
    </row>
    <row r="1139" spans="1:18" ht="38.25">
      <c r="A1139" s="302" t="str">
        <f t="shared" si="28"/>
        <v>sortName</v>
      </c>
      <c r="B1139" s="6" t="s">
        <v>10225</v>
      </c>
      <c r="C1139" s="17" t="s">
        <v>10226</v>
      </c>
      <c r="D1139" s="10" t="s">
        <v>10227</v>
      </c>
      <c r="E1139" s="10" t="s">
        <v>10228</v>
      </c>
      <c r="F1139" s="55"/>
      <c r="G1139" s="12" t="s">
        <v>4643</v>
      </c>
      <c r="H1139" s="74"/>
      <c r="I1139" s="147" t="str">
        <f>HYPERLINK("[#]Datatypes!B1426:L1426","TextNonLex200")</f>
        <v>TextNonLex200</v>
      </c>
      <c r="J1139" s="80"/>
      <c r="K1139" s="77"/>
      <c r="L1139" s="77"/>
      <c r="M1139" s="78"/>
      <c r="N1139" s="74"/>
      <c r="O1139" s="25">
        <v>111724</v>
      </c>
      <c r="P1139" s="304" t="str">
        <f>CONCATENATE([1]Cover!$D$6,"fdd/view?i=",O1139)</f>
        <v>https://www.dgiwg.org/FAD/fdd/view?i=111724</v>
      </c>
      <c r="Q1139" s="8" t="s">
        <v>10224</v>
      </c>
      <c r="R1139" s="38" t="s">
        <v>151</v>
      </c>
    </row>
    <row r="1140" spans="1:18" ht="25.5">
      <c r="A1140" s="302" t="str">
        <f t="shared" si="28"/>
        <v>soundingDatum</v>
      </c>
      <c r="B1140" s="6" t="s">
        <v>10230</v>
      </c>
      <c r="C1140" s="17" t="s">
        <v>10231</v>
      </c>
      <c r="D1140" s="10" t="s">
        <v>10232</v>
      </c>
      <c r="E1140" s="10" t="s">
        <v>10233</v>
      </c>
      <c r="F1140" s="10" t="s">
        <v>10234</v>
      </c>
      <c r="G1140" s="12" t="s">
        <v>4643</v>
      </c>
      <c r="H1140" s="74"/>
      <c r="I1140" s="147" t="str">
        <f>HYPERLINK("[#]Datatypes!B1304:L1304","SoundingDatumCode")</f>
        <v>SoundingDatumCode</v>
      </c>
      <c r="J1140" s="80"/>
      <c r="K1140" s="77"/>
      <c r="L1140" s="77"/>
      <c r="M1140" s="71" t="str">
        <f>HYPERLINK("[#]DatatypeListedValues!A6179:H6179","&lt;values&gt;")</f>
        <v>&lt;values&gt;</v>
      </c>
      <c r="N1140" s="82" t="b">
        <v>0</v>
      </c>
      <c r="O1140" s="25">
        <v>101445</v>
      </c>
      <c r="P1140" s="304" t="str">
        <f>CONCATENATE([1]Cover!$D$6,"fdd/view?i=",O1140)</f>
        <v>https://www.dgiwg.org/FAD/fdd/view?i=101445</v>
      </c>
      <c r="Q1140" s="8" t="s">
        <v>10229</v>
      </c>
      <c r="R1140" s="38" t="s">
        <v>151</v>
      </c>
    </row>
    <row r="1141" spans="1:18" ht="25.5">
      <c r="A1141" s="302" t="str">
        <f t="shared" si="28"/>
        <v>soundingDatumName</v>
      </c>
      <c r="B1141" s="6" t="s">
        <v>10237</v>
      </c>
      <c r="C1141" s="17" t="s">
        <v>10238</v>
      </c>
      <c r="D1141" s="10" t="s">
        <v>10239</v>
      </c>
      <c r="E1141" s="10" t="s">
        <v>10240</v>
      </c>
      <c r="F1141" s="55"/>
      <c r="G1141" s="12" t="s">
        <v>4643</v>
      </c>
      <c r="H1141" s="74"/>
      <c r="I1141" s="147" t="str">
        <f>HYPERLINK("[#]Datatypes!B1414:L1414","TextLex80")</f>
        <v>TextLex80</v>
      </c>
      <c r="J1141" s="80"/>
      <c r="K1141" s="77"/>
      <c r="L1141" s="77"/>
      <c r="M1141" s="78"/>
      <c r="N1141" s="74"/>
      <c r="O1141" s="25">
        <v>101446</v>
      </c>
      <c r="P1141" s="304" t="str">
        <f>CONCATENATE([1]Cover!$D$6,"fdd/view?i=",O1141)</f>
        <v>https://www.dgiwg.org/FAD/fdd/view?i=101446</v>
      </c>
      <c r="Q1141" s="8" t="s">
        <v>10236</v>
      </c>
      <c r="R1141" s="38" t="s">
        <v>151</v>
      </c>
    </row>
    <row r="1142" spans="1:18" ht="25.5">
      <c r="A1142" s="302" t="str">
        <f t="shared" si="28"/>
        <v>soundingExposition</v>
      </c>
      <c r="B1142" s="6" t="s">
        <v>10242</v>
      </c>
      <c r="C1142" s="17" t="s">
        <v>10243</v>
      </c>
      <c r="D1142" s="10" t="s">
        <v>10244</v>
      </c>
      <c r="E1142" s="55"/>
      <c r="F1142" s="55"/>
      <c r="G1142" s="12" t="s">
        <v>4643</v>
      </c>
      <c r="H1142" s="74"/>
      <c r="I1142" s="147" t="str">
        <f>HYPERLINK("[#]Datatypes!B1306:L1306","SoundingExpositionCode")</f>
        <v>SoundingExpositionCode</v>
      </c>
      <c r="J1142" s="80"/>
      <c r="K1142" s="77"/>
      <c r="L1142" s="77"/>
      <c r="M1142" s="71" t="str">
        <f>HYPERLINK("[#]DatatypeListedValues!A6220:H6220","&lt;values&gt;")</f>
        <v>&lt;values&gt;</v>
      </c>
      <c r="N1142" s="12" t="b">
        <v>1</v>
      </c>
      <c r="O1142" s="25">
        <v>101312</v>
      </c>
      <c r="P1142" s="304" t="str">
        <f>CONCATENATE([1]Cover!$D$6,"fdd/view?i=",O1142)</f>
        <v>https://www.dgiwg.org/FAD/fdd/view?i=101312</v>
      </c>
      <c r="Q1142" s="8" t="s">
        <v>10241</v>
      </c>
      <c r="R1142" s="38" t="s">
        <v>151</v>
      </c>
    </row>
    <row r="1143" spans="1:18">
      <c r="A1143" s="302" t="str">
        <f t="shared" si="28"/>
        <v>soundingSourceIdentifier</v>
      </c>
      <c r="B1143" s="6" t="s">
        <v>10247</v>
      </c>
      <c r="C1143" s="17" t="s">
        <v>10248</v>
      </c>
      <c r="D1143" s="10" t="s">
        <v>10249</v>
      </c>
      <c r="E1143" s="55"/>
      <c r="F1143" s="55"/>
      <c r="G1143" s="12" t="s">
        <v>4643</v>
      </c>
      <c r="H1143" s="74"/>
      <c r="I1143" s="147" t="str">
        <f>HYPERLINK("[#]Datatypes!B772:L772","KeyNonLex80")</f>
        <v>KeyNonLex80</v>
      </c>
      <c r="J1143" s="80"/>
      <c r="K1143" s="77"/>
      <c r="L1143" s="77"/>
      <c r="M1143" s="78"/>
      <c r="N1143" s="74"/>
      <c r="O1143" s="25">
        <v>101330</v>
      </c>
      <c r="P1143" s="304" t="str">
        <f>CONCATENATE([1]Cover!$D$6,"fdd/view?i=",O1143)</f>
        <v>https://www.dgiwg.org/FAD/fdd/view?i=101330</v>
      </c>
      <c r="Q1143" s="8" t="s">
        <v>10246</v>
      </c>
      <c r="R1143" s="38" t="s">
        <v>151</v>
      </c>
    </row>
    <row r="1144" spans="1:18" ht="25.5">
      <c r="A1144" s="302" t="str">
        <f t="shared" si="28"/>
        <v>soundingVelCorrectMethod</v>
      </c>
      <c r="B1144" s="6" t="s">
        <v>10251</v>
      </c>
      <c r="C1144" s="17" t="s">
        <v>10252</v>
      </c>
      <c r="D1144" s="10" t="s">
        <v>10253</v>
      </c>
      <c r="E1144" s="55"/>
      <c r="F1144" s="55"/>
      <c r="G1144" s="12" t="s">
        <v>4643</v>
      </c>
      <c r="H1144" s="74"/>
      <c r="I1144" s="147" t="str">
        <f>HYPERLINK("[#]Datatypes!B1308:L1308","SoundingVelCorrectMethodCode")</f>
        <v>SoundingVelCorrectMethodCode</v>
      </c>
      <c r="J1144" s="80"/>
      <c r="K1144" s="77"/>
      <c r="L1144" s="77"/>
      <c r="M1144" s="71" t="str">
        <f>HYPERLINK("[#]DatatypeListedValues!A6223:H6223","&lt;values&gt;")</f>
        <v>&lt;values&gt;</v>
      </c>
      <c r="N1144" s="82" t="b">
        <v>0</v>
      </c>
      <c r="O1144" s="25">
        <v>101350</v>
      </c>
      <c r="P1144" s="304" t="str">
        <f>CONCATENATE([1]Cover!$D$6,"fdd/view?i=",O1144)</f>
        <v>https://www.dgiwg.org/FAD/fdd/view?i=101350</v>
      </c>
      <c r="Q1144" s="8" t="s">
        <v>10250</v>
      </c>
      <c r="R1144" s="38" t="s">
        <v>151</v>
      </c>
    </row>
    <row r="1145" spans="1:18" ht="25.5">
      <c r="A1145" s="302" t="str">
        <f t="shared" si="28"/>
        <v>sourceCategory</v>
      </c>
      <c r="B1145" s="6" t="s">
        <v>10256</v>
      </c>
      <c r="C1145" s="17" t="s">
        <v>10257</v>
      </c>
      <c r="D1145" s="10" t="s">
        <v>10258</v>
      </c>
      <c r="E1145" s="55"/>
      <c r="F1145" s="55"/>
      <c r="G1145" s="12" t="s">
        <v>4643</v>
      </c>
      <c r="H1145" s="12" t="s">
        <v>4700</v>
      </c>
      <c r="I1145" s="147" t="str">
        <f>HYPERLINK("[#]Datatypes!B1310:L1310","SourceCategoryCode")</f>
        <v>SourceCategoryCode</v>
      </c>
      <c r="J1145" s="80"/>
      <c r="K1145" s="77"/>
      <c r="L1145" s="77"/>
      <c r="M1145" s="71" t="str">
        <f>HYPERLINK("[#]DatatypeListedValues!A6228:H6228","&lt;values&gt;")</f>
        <v>&lt;values&gt;</v>
      </c>
      <c r="N1145" s="82" t="b">
        <v>0</v>
      </c>
      <c r="O1145" s="25">
        <v>101335</v>
      </c>
      <c r="P1145" s="304" t="str">
        <f>CONCATENATE([1]Cover!$D$6,"fdd/view?i=",O1145)</f>
        <v>https://www.dgiwg.org/FAD/fdd/view?i=101335</v>
      </c>
      <c r="Q1145" s="8" t="s">
        <v>10255</v>
      </c>
      <c r="R1145" s="38" t="s">
        <v>151</v>
      </c>
    </row>
    <row r="1146" spans="1:18" ht="25.5">
      <c r="A1146" s="302" t="str">
        <f t="shared" si="28"/>
        <v>sourceDescription</v>
      </c>
      <c r="B1146" s="6" t="s">
        <v>10261</v>
      </c>
      <c r="C1146" s="17" t="s">
        <v>10262</v>
      </c>
      <c r="D1146" s="10" t="s">
        <v>10263</v>
      </c>
      <c r="E1146" s="10" t="s">
        <v>10264</v>
      </c>
      <c r="F1146" s="55"/>
      <c r="G1146" s="12" t="s">
        <v>4643</v>
      </c>
      <c r="H1146" s="74"/>
      <c r="I1146" s="147" t="str">
        <f>HYPERLINK("[#]Datatypes!B1416:L1416","TextLexUnconstrained")</f>
        <v>TextLexUnconstrained</v>
      </c>
      <c r="J1146" s="80"/>
      <c r="K1146" s="77"/>
      <c r="L1146" s="77"/>
      <c r="M1146" s="78"/>
      <c r="N1146" s="74"/>
      <c r="O1146" s="25">
        <v>101276</v>
      </c>
      <c r="P1146" s="304" t="str">
        <f>CONCATENATE([1]Cover!$D$6,"fdd/view?i=",O1146)</f>
        <v>https://www.dgiwg.org/FAD/fdd/view?i=101276</v>
      </c>
      <c r="Q1146" s="8" t="s">
        <v>10260</v>
      </c>
      <c r="R1146" s="38" t="s">
        <v>151</v>
      </c>
    </row>
    <row r="1147" spans="1:18">
      <c r="A1147" s="302" t="str">
        <f t="shared" si="28"/>
        <v>southBoundLatitude</v>
      </c>
      <c r="B1147" s="6" t="s">
        <v>10266</v>
      </c>
      <c r="C1147" s="17" t="s">
        <v>10267</v>
      </c>
      <c r="D1147" s="10" t="s">
        <v>10268</v>
      </c>
      <c r="E1147" s="55"/>
      <c r="F1147" s="55"/>
      <c r="G1147" s="12" t="s">
        <v>4643</v>
      </c>
      <c r="H1147" s="74"/>
      <c r="I1147" s="147" t="str">
        <f>HYPERLINK("[#]Datatypes!B1097:L1097","Real")</f>
        <v>Real</v>
      </c>
      <c r="J1147" s="76" t="str">
        <f>HYPERLINK("[#]PhysicalQuantities!A34:N34","Plane Angle")</f>
        <v>Plane Angle</v>
      </c>
      <c r="K1147" s="75" t="str">
        <f>HYPERLINK("[#]UnitsOfMeasure!D159:G159","Arc Degree")</f>
        <v>Arc Degree</v>
      </c>
      <c r="L1147" s="77"/>
      <c r="M1147" s="78"/>
      <c r="N1147" s="74"/>
      <c r="O1147" s="25">
        <v>207198</v>
      </c>
      <c r="P1147" s="304" t="str">
        <f>CONCATENATE([1]Cover!$D$6,"fdd/view?i=",O1147)</f>
        <v>https://www.dgiwg.org/FAD/fdd/view?i=207198</v>
      </c>
      <c r="Q1147" s="8" t="s">
        <v>10265</v>
      </c>
      <c r="R1147" s="38" t="s">
        <v>1295</v>
      </c>
    </row>
    <row r="1148" spans="1:18">
      <c r="A1148" s="302" t="str">
        <f t="shared" si="28"/>
        <v>spanCount</v>
      </c>
      <c r="B1148" s="6" t="s">
        <v>10270</v>
      </c>
      <c r="C1148" s="17" t="s">
        <v>10271</v>
      </c>
      <c r="D1148" s="10" t="s">
        <v>10272</v>
      </c>
      <c r="E1148" s="55"/>
      <c r="F1148" s="55"/>
      <c r="G1148" s="12" t="s">
        <v>4643</v>
      </c>
      <c r="H1148" s="74"/>
      <c r="I1148" s="147" t="str">
        <f>HYPERLINK("[#]Datatypes!B366:L366","Count")</f>
        <v>Count</v>
      </c>
      <c r="J1148" s="80"/>
      <c r="K1148" s="77"/>
      <c r="L1148" s="77"/>
      <c r="M1148" s="78"/>
      <c r="N1148" s="74"/>
      <c r="O1148" s="25">
        <v>101103</v>
      </c>
      <c r="P1148" s="304" t="str">
        <f>CONCATENATE([1]Cover!$D$6,"fdd/view?i=",O1148)</f>
        <v>https://www.dgiwg.org/FAD/fdd/view?i=101103</v>
      </c>
      <c r="Q1148" s="8" t="s">
        <v>10269</v>
      </c>
      <c r="R1148" s="38" t="s">
        <v>151</v>
      </c>
    </row>
    <row r="1149" spans="1:18" ht="25.5">
      <c r="A1149" s="302" t="str">
        <f t="shared" si="28"/>
        <v>spatialRepresentationType</v>
      </c>
      <c r="B1149" s="6" t="s">
        <v>10274</v>
      </c>
      <c r="C1149" s="17" t="s">
        <v>10275</v>
      </c>
      <c r="D1149" s="10" t="s">
        <v>10276</v>
      </c>
      <c r="E1149" s="55"/>
      <c r="F1149" s="55"/>
      <c r="G1149" s="12" t="s">
        <v>4643</v>
      </c>
      <c r="H1149" s="74"/>
      <c r="I1149" s="147" t="str">
        <f>HYPERLINK("[#]Datatypes!B1312:L1312","MD_SpatialRepresentationTypeCode")</f>
        <v>MD_SpatialRepresentationTypeCode</v>
      </c>
      <c r="J1149" s="80"/>
      <c r="K1149" s="77"/>
      <c r="L1149" s="77"/>
      <c r="M1149" s="78"/>
      <c r="N1149" s="74"/>
      <c r="O1149" s="25">
        <v>207170</v>
      </c>
      <c r="P1149" s="304" t="str">
        <f>CONCATENATE([1]Cover!$D$6,"fdd/view?i=",O1149)</f>
        <v>https://www.dgiwg.org/FAD/fdd/view?i=207170</v>
      </c>
      <c r="Q1149" s="8" t="s">
        <v>10273</v>
      </c>
      <c r="R1149" s="38" t="s">
        <v>1295</v>
      </c>
    </row>
    <row r="1150" spans="1:18" ht="25.5">
      <c r="A1150" s="302" t="str">
        <f t="shared" si="28"/>
        <v>spatialResolution</v>
      </c>
      <c r="B1150" s="6" t="s">
        <v>10279</v>
      </c>
      <c r="C1150" s="17" t="s">
        <v>10280</v>
      </c>
      <c r="D1150" s="10" t="s">
        <v>10281</v>
      </c>
      <c r="E1150" s="55"/>
      <c r="F1150" s="55"/>
      <c r="G1150" s="12" t="s">
        <v>4643</v>
      </c>
      <c r="H1150" s="74"/>
      <c r="I1150" s="147" t="str">
        <f>HYPERLINK("[#]Datatypes!B1314:L1314","SpatialResStrucText")</f>
        <v>SpatialResStrucText</v>
      </c>
      <c r="J1150" s="80"/>
      <c r="K1150" s="77"/>
      <c r="L1150" s="77"/>
      <c r="M1150" s="78"/>
      <c r="N1150" s="74"/>
      <c r="O1150" s="25">
        <v>207171</v>
      </c>
      <c r="P1150" s="304" t="str">
        <f>CONCATENATE([1]Cover!$D$6,"fdd/view?i=",O1150)</f>
        <v>https://www.dgiwg.org/FAD/fdd/view?i=207171</v>
      </c>
      <c r="Q1150" s="8" t="s">
        <v>10278</v>
      </c>
      <c r="R1150" s="38" t="s">
        <v>1295</v>
      </c>
    </row>
    <row r="1151" spans="1:18" ht="38.25">
      <c r="A1151" s="302" t="str">
        <f t="shared" si="28"/>
        <v>spatialSourceDateTime</v>
      </c>
      <c r="B1151" s="6" t="s">
        <v>10284</v>
      </c>
      <c r="C1151" s="17" t="s">
        <v>10285</v>
      </c>
      <c r="D1151" s="10" t="s">
        <v>10286</v>
      </c>
      <c r="E1151" s="10" t="s">
        <v>6206</v>
      </c>
      <c r="F1151" s="55"/>
      <c r="G1151" s="12" t="s">
        <v>4643</v>
      </c>
      <c r="H1151" s="74"/>
      <c r="I1151" s="147" t="str">
        <f>HYPERLINK("[#]Datatypes!B1316:L1316","SpatialSourceDateTimeStrucText")</f>
        <v>SpatialSourceDateTimeStrucText</v>
      </c>
      <c r="J1151" s="80"/>
      <c r="K1151" s="77"/>
      <c r="L1151" s="77"/>
      <c r="M1151" s="78"/>
      <c r="N1151" s="74"/>
      <c r="O1151" s="25">
        <v>203646</v>
      </c>
      <c r="P1151" s="304" t="str">
        <f>CONCATENATE([1]Cover!$D$6,"fdd/view?i=",O1151)</f>
        <v>https://www.dgiwg.org/FAD/fdd/view?i=203646</v>
      </c>
      <c r="Q1151" s="8" t="s">
        <v>10283</v>
      </c>
      <c r="R1151" s="38" t="s">
        <v>1295</v>
      </c>
    </row>
    <row r="1152" spans="1:18" ht="25.5">
      <c r="A1152" s="302" t="str">
        <f t="shared" si="28"/>
        <v>spatialSourceDesc</v>
      </c>
      <c r="B1152" s="6" t="s">
        <v>10289</v>
      </c>
      <c r="C1152" s="17" t="s">
        <v>10290</v>
      </c>
      <c r="D1152" s="10" t="s">
        <v>10291</v>
      </c>
      <c r="E1152" s="55"/>
      <c r="F1152" s="55"/>
      <c r="G1152" s="12" t="s">
        <v>4643</v>
      </c>
      <c r="H1152" s="74"/>
      <c r="I1152" s="147" t="str">
        <f>HYPERLINK("[#]Datatypes!B1416:L1416","TextLexUnconstrained")</f>
        <v>TextLexUnconstrained</v>
      </c>
      <c r="J1152" s="80"/>
      <c r="K1152" s="77"/>
      <c r="L1152" s="77"/>
      <c r="M1152" s="78"/>
      <c r="N1152" s="74"/>
      <c r="O1152" s="25">
        <v>203647</v>
      </c>
      <c r="P1152" s="304" t="str">
        <f>CONCATENATE([1]Cover!$D$6,"fdd/view?i=",O1152)</f>
        <v>https://www.dgiwg.org/FAD/fdd/view?i=203647</v>
      </c>
      <c r="Q1152" s="8" t="s">
        <v>10288</v>
      </c>
      <c r="R1152" s="38" t="s">
        <v>1295</v>
      </c>
    </row>
    <row r="1153" spans="1:18" ht="76.5">
      <c r="A1153" s="302" t="str">
        <f t="shared" si="28"/>
        <v>spatialSourceType</v>
      </c>
      <c r="B1153" s="6" t="s">
        <v>10293</v>
      </c>
      <c r="C1153" s="17" t="s">
        <v>10294</v>
      </c>
      <c r="D1153" s="10" t="s">
        <v>10295</v>
      </c>
      <c r="E1153" s="10" t="s">
        <v>10296</v>
      </c>
      <c r="F1153" s="55"/>
      <c r="G1153" s="12" t="s">
        <v>4643</v>
      </c>
      <c r="H1153" s="12" t="s">
        <v>4700</v>
      </c>
      <c r="I1153" s="147" t="str">
        <f>HYPERLINK("[#]Datatypes!B1318:L1318","SpatialSourceTypeCodeList")</f>
        <v>SpatialSourceTypeCodeList</v>
      </c>
      <c r="J1153" s="80"/>
      <c r="K1153" s="77"/>
      <c r="L1153" s="77"/>
      <c r="M1153" s="78"/>
      <c r="N1153" s="74"/>
      <c r="O1153" s="25">
        <v>203648</v>
      </c>
      <c r="P1153" s="304" t="str">
        <f>CONCATENATE([1]Cover!$D$6,"fdd/view?i=",O1153)</f>
        <v>https://www.dgiwg.org/FAD/fdd/view?i=203648</v>
      </c>
      <c r="Q1153" s="8" t="s">
        <v>10292</v>
      </c>
      <c r="R1153" s="38" t="s">
        <v>1295</v>
      </c>
    </row>
    <row r="1154" spans="1:18" ht="38.25">
      <c r="A1154" s="302" t="str">
        <f t="shared" si="28"/>
        <v>specialAdminUnit</v>
      </c>
      <c r="B1154" s="6" t="s">
        <v>10299</v>
      </c>
      <c r="C1154" s="17" t="s">
        <v>10300</v>
      </c>
      <c r="D1154" s="10" t="s">
        <v>10301</v>
      </c>
      <c r="E1154" s="10" t="s">
        <v>10302</v>
      </c>
      <c r="F1154" s="55"/>
      <c r="G1154" s="12" t="s">
        <v>4643</v>
      </c>
      <c r="H1154" s="74"/>
      <c r="I1154" s="147" t="str">
        <f>HYPERLINK("[#]Datatypes!B1320:L1320","SpecialAdminUnitCode")</f>
        <v>SpecialAdminUnitCode</v>
      </c>
      <c r="J1154" s="80"/>
      <c r="K1154" s="77"/>
      <c r="L1154" s="77"/>
      <c r="M1154" s="71" t="str">
        <f>HYPERLINK("[#]DatatypeListedValues!A6238:H6238","&lt;values&gt;")</f>
        <v>&lt;values&gt;</v>
      </c>
      <c r="N1154" s="12" t="b">
        <v>1</v>
      </c>
      <c r="O1154" s="25">
        <v>111474</v>
      </c>
      <c r="P1154" s="304" t="str">
        <f>CONCATENATE([1]Cover!$D$6,"fdd/view?i=",O1154)</f>
        <v>https://www.dgiwg.org/FAD/fdd/view?i=111474</v>
      </c>
      <c r="Q1154" s="8" t="s">
        <v>10298</v>
      </c>
      <c r="R1154" s="38" t="s">
        <v>151</v>
      </c>
    </row>
    <row r="1155" spans="1:18" ht="25.5">
      <c r="A1155" s="302" t="str">
        <f t="shared" si="28"/>
        <v>specialAdminUnitDesc</v>
      </c>
      <c r="B1155" s="6" t="s">
        <v>10305</v>
      </c>
      <c r="C1155" s="17" t="s">
        <v>10306</v>
      </c>
      <c r="D1155" s="10" t="s">
        <v>10307</v>
      </c>
      <c r="E1155" s="10" t="s">
        <v>10308</v>
      </c>
      <c r="F1155" s="55"/>
      <c r="G1155" s="12" t="s">
        <v>4643</v>
      </c>
      <c r="H1155" s="74"/>
      <c r="I1155" s="147" t="str">
        <f>HYPERLINK("[#]Datatypes!B1412:L1412","TextLex4095")</f>
        <v>TextLex4095</v>
      </c>
      <c r="J1155" s="80"/>
      <c r="K1155" s="77"/>
      <c r="L1155" s="77"/>
      <c r="M1155" s="78"/>
      <c r="N1155" s="74"/>
      <c r="O1155" s="25">
        <v>114214</v>
      </c>
      <c r="P1155" s="304" t="str">
        <f>CONCATENATE([1]Cover!$D$6,"fdd/view?i=",O1155)</f>
        <v>https://www.dgiwg.org/FAD/fdd/view?i=114214</v>
      </c>
      <c r="Q1155" s="8" t="s">
        <v>10304</v>
      </c>
      <c r="R1155" s="38" t="s">
        <v>151</v>
      </c>
    </row>
    <row r="1156" spans="1:18" ht="25.5">
      <c r="A1156" s="302" t="str">
        <f t="shared" ref="A1156:A1219" si="29">HYPERLINK(P1156,B1156)</f>
        <v>specialNavServiceType</v>
      </c>
      <c r="B1156" s="6" t="s">
        <v>10310</v>
      </c>
      <c r="C1156" s="17" t="s">
        <v>10311</v>
      </c>
      <c r="D1156" s="10" t="s">
        <v>10312</v>
      </c>
      <c r="E1156" s="10" t="s">
        <v>10313</v>
      </c>
      <c r="F1156" s="55"/>
      <c r="G1156" s="12" t="s">
        <v>4643</v>
      </c>
      <c r="H1156" s="74"/>
      <c r="I1156" s="147" t="str">
        <f>HYPERLINK("[#]Datatypes!B1322:L1322","SpecialNavServiceTypeCode")</f>
        <v>SpecialNavServiceTypeCode</v>
      </c>
      <c r="J1156" s="80"/>
      <c r="K1156" s="77"/>
      <c r="L1156" s="77"/>
      <c r="M1156" s="71" t="str">
        <f>HYPERLINK("[#]DatatypeListedValues!A6258:H6258","&lt;values&gt;")</f>
        <v>&lt;values&gt;</v>
      </c>
      <c r="N1156" s="82" t="b">
        <v>0</v>
      </c>
      <c r="O1156" s="25">
        <v>117716</v>
      </c>
      <c r="P1156" s="304" t="str">
        <f>CONCATENATE([1]Cover!$D$6,"fdd/view?i=",O1156)</f>
        <v>https://www.dgiwg.org/FAD/fdd/view?i=117716</v>
      </c>
      <c r="Q1156" s="8" t="s">
        <v>10309</v>
      </c>
      <c r="R1156" s="38" t="s">
        <v>151</v>
      </c>
    </row>
    <row r="1157" spans="1:18" ht="25.5">
      <c r="A1157" s="302" t="str">
        <f t="shared" si="29"/>
        <v>specialNavSystemChainIdent</v>
      </c>
      <c r="B1157" s="6" t="s">
        <v>10316</v>
      </c>
      <c r="C1157" s="17" t="s">
        <v>10317</v>
      </c>
      <c r="D1157" s="10" t="s">
        <v>10318</v>
      </c>
      <c r="E1157" s="55"/>
      <c r="F1157" s="55"/>
      <c r="G1157" s="12" t="s">
        <v>4643</v>
      </c>
      <c r="H1157" s="74"/>
      <c r="I1157" s="147" t="str">
        <f>HYPERLINK("[#]Datatypes!B1424:L1424","TextNonLex20")</f>
        <v>TextNonLex20</v>
      </c>
      <c r="J1157" s="80"/>
      <c r="K1157" s="77"/>
      <c r="L1157" s="77"/>
      <c r="M1157" s="78"/>
      <c r="N1157" s="74"/>
      <c r="O1157" s="25">
        <v>117705</v>
      </c>
      <c r="P1157" s="304" t="str">
        <f>CONCATENATE([1]Cover!$D$6,"fdd/view?i=",O1157)</f>
        <v>https://www.dgiwg.org/FAD/fdd/view?i=117705</v>
      </c>
      <c r="Q1157" s="8" t="s">
        <v>10315</v>
      </c>
      <c r="R1157" s="38" t="s">
        <v>151</v>
      </c>
    </row>
    <row r="1158" spans="1:18" ht="25.5">
      <c r="A1158" s="302" t="str">
        <f t="shared" si="29"/>
        <v>specialNavSystemType</v>
      </c>
      <c r="B1158" s="6" t="s">
        <v>10320</v>
      </c>
      <c r="C1158" s="17" t="s">
        <v>10321</v>
      </c>
      <c r="D1158" s="10" t="s">
        <v>10322</v>
      </c>
      <c r="E1158" s="10" t="s">
        <v>4019</v>
      </c>
      <c r="F1158" s="55"/>
      <c r="G1158" s="12" t="s">
        <v>4643</v>
      </c>
      <c r="H1158" s="74"/>
      <c r="I1158" s="147" t="str">
        <f>HYPERLINK("[#]Datatypes!B1324:L1324","SpecialNavSystemTypeCode")</f>
        <v>SpecialNavSystemTypeCode</v>
      </c>
      <c r="J1158" s="80"/>
      <c r="K1158" s="77"/>
      <c r="L1158" s="77"/>
      <c r="M1158" s="71" t="str">
        <f>HYPERLINK("[#]DatatypeListedValues!A6263:H6263","&lt;values&gt;")</f>
        <v>&lt;values&gt;</v>
      </c>
      <c r="N1158" s="82" t="b">
        <v>0</v>
      </c>
      <c r="O1158" s="25">
        <v>117715</v>
      </c>
      <c r="P1158" s="304" t="str">
        <f>CONCATENATE([1]Cover!$D$6,"fdd/view?i=",O1158)</f>
        <v>https://www.dgiwg.org/FAD/fdd/view?i=117715</v>
      </c>
      <c r="Q1158" s="8" t="s">
        <v>10319</v>
      </c>
      <c r="R1158" s="38" t="s">
        <v>151</v>
      </c>
    </row>
    <row r="1159" spans="1:18" ht="25.5">
      <c r="A1159" s="302" t="str">
        <f t="shared" si="29"/>
        <v>specifiedComplianceType</v>
      </c>
      <c r="B1159" s="6" t="s">
        <v>10325</v>
      </c>
      <c r="C1159" s="17" t="s">
        <v>10326</v>
      </c>
      <c r="D1159" s="10" t="s">
        <v>10327</v>
      </c>
      <c r="E1159" s="10" t="s">
        <v>10328</v>
      </c>
      <c r="F1159" s="55"/>
      <c r="G1159" s="12" t="s">
        <v>4643</v>
      </c>
      <c r="H1159" s="74"/>
      <c r="I1159" s="147" t="str">
        <f>HYPERLINK("[#]Datatypes!B1326:L1326","SpecifiedComplianceTypeCode")</f>
        <v>SpecifiedComplianceTypeCode</v>
      </c>
      <c r="J1159" s="80"/>
      <c r="K1159" s="77"/>
      <c r="L1159" s="77"/>
      <c r="M1159" s="71" t="str">
        <f>HYPERLINK("[#]DatatypeListedValues!A6267:H6267","&lt;values&gt;")</f>
        <v>&lt;values&gt;</v>
      </c>
      <c r="N1159" s="82" t="b">
        <v>0</v>
      </c>
      <c r="O1159" s="25">
        <v>207696</v>
      </c>
      <c r="P1159" s="304" t="str">
        <f>CONCATENATE([1]Cover!$D$6,"fdd/view?i=",O1159)</f>
        <v>https://www.dgiwg.org/FAD/fdd/view?i=207696</v>
      </c>
      <c r="Q1159" s="8" t="s">
        <v>10324</v>
      </c>
      <c r="R1159" s="38" t="s">
        <v>1295</v>
      </c>
    </row>
    <row r="1160" spans="1:18" ht="38.25">
      <c r="A1160" s="302" t="str">
        <f t="shared" si="29"/>
        <v>specifiedDomainValues</v>
      </c>
      <c r="B1160" s="6" t="s">
        <v>10331</v>
      </c>
      <c r="C1160" s="17" t="s">
        <v>10332</v>
      </c>
      <c r="D1160" s="10" t="s">
        <v>10333</v>
      </c>
      <c r="E1160" s="10" t="s">
        <v>10334</v>
      </c>
      <c r="F1160" s="55"/>
      <c r="G1160" s="12" t="s">
        <v>4643</v>
      </c>
      <c r="H1160" s="74"/>
      <c r="I1160" s="147" t="str">
        <f>HYPERLINK("[#]Datatypes!B1328:L1328","SpecifiedDomainValuesStrucText")</f>
        <v>SpecifiedDomainValuesStrucText</v>
      </c>
      <c r="J1160" s="80"/>
      <c r="K1160" s="77"/>
      <c r="L1160" s="77"/>
      <c r="M1160" s="78"/>
      <c r="N1160" s="74"/>
      <c r="O1160" s="25">
        <v>118154</v>
      </c>
      <c r="P1160" s="304" t="str">
        <f>CONCATENATE([1]Cover!$D$6,"fdd/view?i=",O1160)</f>
        <v>https://www.dgiwg.org/FAD/fdd/view?i=118154</v>
      </c>
      <c r="Q1160" s="8" t="s">
        <v>10330</v>
      </c>
      <c r="R1160" s="38" t="s">
        <v>1295</v>
      </c>
    </row>
    <row r="1161" spans="1:18" ht="25.5">
      <c r="A1161" s="302" t="str">
        <f t="shared" si="29"/>
        <v>speedLimitKph</v>
      </c>
      <c r="B1161" s="6" t="s">
        <v>10337</v>
      </c>
      <c r="C1161" s="17" t="s">
        <v>10338</v>
      </c>
      <c r="D1161" s="10" t="s">
        <v>10339</v>
      </c>
      <c r="E1161" s="55"/>
      <c r="F1161" s="55"/>
      <c r="G1161" s="12" t="s">
        <v>4643</v>
      </c>
      <c r="H1161" s="74"/>
      <c r="I1161" s="147" t="str">
        <f>HYPERLINK("[#]Datatypes!B1097:L1097","Real")</f>
        <v>Real</v>
      </c>
      <c r="J1161" s="76" t="str">
        <f>HYPERLINK("[#]PhysicalQuantities!A48:N48","Speed")</f>
        <v>Speed</v>
      </c>
      <c r="K1161" s="75" t="str">
        <f>HYPERLINK("[#]UnitsOfMeasure!D248:G248","Kilometre per Hour")</f>
        <v>Kilometre per Hour</v>
      </c>
      <c r="L1161" s="77"/>
      <c r="M1161" s="78"/>
      <c r="N1161" s="74"/>
      <c r="O1161" s="25">
        <v>110724</v>
      </c>
      <c r="P1161" s="304" t="str">
        <f>CONCATENATE([1]Cover!$D$6,"fdd/view?i=",O1161)</f>
        <v>https://www.dgiwg.org/FAD/fdd/view?i=110724</v>
      </c>
      <c r="Q1161" s="8" t="s">
        <v>10336</v>
      </c>
      <c r="R1161" s="38" t="s">
        <v>151</v>
      </c>
    </row>
    <row r="1162" spans="1:18" ht="25.5">
      <c r="A1162" s="302" t="str">
        <f t="shared" si="29"/>
        <v>speedLimitMph</v>
      </c>
      <c r="B1162" s="6" t="s">
        <v>10341</v>
      </c>
      <c r="C1162" s="17" t="s">
        <v>10342</v>
      </c>
      <c r="D1162" s="10" t="s">
        <v>10343</v>
      </c>
      <c r="E1162" s="55"/>
      <c r="F1162" s="55"/>
      <c r="G1162" s="12" t="s">
        <v>4643</v>
      </c>
      <c r="H1162" s="74"/>
      <c r="I1162" s="147" t="str">
        <f>HYPERLINK("[#]Datatypes!B1097:L1097","Real")</f>
        <v>Real</v>
      </c>
      <c r="J1162" s="76" t="str">
        <f>HYPERLINK("[#]PhysicalQuantities!A48:N48","Speed")</f>
        <v>Speed</v>
      </c>
      <c r="K1162" s="75" t="str">
        <f>HYPERLINK("[#]UnitsOfMeasure!D252:G252","Statute Mile per Hour")</f>
        <v>Statute Mile per Hour</v>
      </c>
      <c r="L1162" s="77"/>
      <c r="M1162" s="78"/>
      <c r="N1162" s="74"/>
      <c r="O1162" s="25">
        <v>110722</v>
      </c>
      <c r="P1162" s="304" t="str">
        <f>CONCATENATE([1]Cover!$D$6,"fdd/view?i=",O1162)</f>
        <v>https://www.dgiwg.org/FAD/fdd/view?i=110722</v>
      </c>
      <c r="Q1162" s="8" t="s">
        <v>10340</v>
      </c>
      <c r="R1162" s="38" t="s">
        <v>151</v>
      </c>
    </row>
    <row r="1163" spans="1:18" ht="25.5">
      <c r="A1163" s="302" t="str">
        <f t="shared" si="29"/>
        <v>spillwayHeight</v>
      </c>
      <c r="B1163" s="6" t="s">
        <v>10345</v>
      </c>
      <c r="C1163" s="17" t="s">
        <v>10346</v>
      </c>
      <c r="D1163" s="10" t="s">
        <v>10347</v>
      </c>
      <c r="E1163" s="55"/>
      <c r="F1163" s="55"/>
      <c r="G1163" s="12" t="s">
        <v>4643</v>
      </c>
      <c r="H1163" s="74"/>
      <c r="I1163" s="147" t="str">
        <f>HYPERLINK("[#]Datatypes!B1097:L1097","Real")</f>
        <v>Real</v>
      </c>
      <c r="J1163" s="76" t="str">
        <f>HYPERLINK("[#]PhysicalQuantities!A20:N20","Length")</f>
        <v>Length</v>
      </c>
      <c r="K1163" s="75" t="str">
        <f>HYPERLINK("[#]UnitsOfMeasure!D80:G80","Metre")</f>
        <v>Metre</v>
      </c>
      <c r="L1163" s="77"/>
      <c r="M1163" s="78"/>
      <c r="N1163" s="74"/>
      <c r="O1163" s="25">
        <v>110709</v>
      </c>
      <c r="P1163" s="304" t="str">
        <f>CONCATENATE([1]Cover!$D$6,"fdd/view?i=",O1163)</f>
        <v>https://www.dgiwg.org/FAD/fdd/view?i=110709</v>
      </c>
      <c r="Q1163" s="8" t="s">
        <v>10344</v>
      </c>
      <c r="R1163" s="38" t="s">
        <v>151</v>
      </c>
    </row>
    <row r="1164" spans="1:18" ht="25.5">
      <c r="A1164" s="302" t="str">
        <f t="shared" si="29"/>
        <v>standardOperatingTimes</v>
      </c>
      <c r="B1164" s="6" t="s">
        <v>10349</v>
      </c>
      <c r="C1164" s="17" t="s">
        <v>10350</v>
      </c>
      <c r="D1164" s="10" t="s">
        <v>10351</v>
      </c>
      <c r="E1164" s="55"/>
      <c r="F1164" s="55"/>
      <c r="G1164" s="12" t="s">
        <v>4643</v>
      </c>
      <c r="H1164" s="74"/>
      <c r="I1164" s="147" t="str">
        <f>HYPERLINK("[#]Datatypes!B1330:L1330","StandardOperatingTimesCode")</f>
        <v>StandardOperatingTimesCode</v>
      </c>
      <c r="J1164" s="80"/>
      <c r="K1164" s="77"/>
      <c r="L1164" s="77"/>
      <c r="M1164" s="71" t="str">
        <f>HYPERLINK("[#]DatatypeListedValues!A6272:H6272","&lt;values&gt;")</f>
        <v>&lt;values&gt;</v>
      </c>
      <c r="N1164" s="82" t="b">
        <v>0</v>
      </c>
      <c r="O1164" s="25">
        <v>119499</v>
      </c>
      <c r="P1164" s="304" t="str">
        <f>CONCATENATE([1]Cover!$D$6,"fdd/view?i=",O1164)</f>
        <v>https://www.dgiwg.org/FAD/fdd/view?i=119499</v>
      </c>
      <c r="Q1164" s="8" t="s">
        <v>10348</v>
      </c>
      <c r="R1164" s="38" t="s">
        <v>151</v>
      </c>
    </row>
    <row r="1165" spans="1:18" ht="38.25">
      <c r="A1165" s="302" t="str">
        <f t="shared" si="29"/>
        <v>staticWaterLevel</v>
      </c>
      <c r="B1165" s="6" t="s">
        <v>10354</v>
      </c>
      <c r="C1165" s="17" t="s">
        <v>10355</v>
      </c>
      <c r="D1165" s="10" t="s">
        <v>10356</v>
      </c>
      <c r="E1165" s="10" t="s">
        <v>10357</v>
      </c>
      <c r="F1165" s="55"/>
      <c r="G1165" s="12" t="s">
        <v>4643</v>
      </c>
      <c r="H1165" s="74"/>
      <c r="I1165" s="147" t="str">
        <f>HYPERLINK("[#]Datatypes!B1097:L1097","Real")</f>
        <v>Real</v>
      </c>
      <c r="J1165" s="76" t="str">
        <f>HYPERLINK("[#]PhysicalQuantities!A20:N20","Length")</f>
        <v>Length</v>
      </c>
      <c r="K1165" s="75" t="str">
        <f>HYPERLINK("[#]UnitsOfMeasure!D80:G80","Metre")</f>
        <v>Metre</v>
      </c>
      <c r="L1165" s="77"/>
      <c r="M1165" s="78"/>
      <c r="N1165" s="74"/>
      <c r="O1165" s="25">
        <v>119406</v>
      </c>
      <c r="P1165" s="304" t="str">
        <f>CONCATENATE([1]Cover!$D$6,"fdd/view?i=",O1165)</f>
        <v>https://www.dgiwg.org/FAD/fdd/view?i=119406</v>
      </c>
      <c r="Q1165" s="8" t="s">
        <v>10353</v>
      </c>
      <c r="R1165" s="38" t="s">
        <v>151</v>
      </c>
    </row>
    <row r="1166" spans="1:18" ht="25.5">
      <c r="A1166" s="302" t="str">
        <f t="shared" si="29"/>
        <v>stationDeclination</v>
      </c>
      <c r="B1166" s="6" t="s">
        <v>10359</v>
      </c>
      <c r="C1166" s="17" t="s">
        <v>10360</v>
      </c>
      <c r="D1166" s="10" t="s">
        <v>10361</v>
      </c>
      <c r="E1166" s="55"/>
      <c r="F1166" s="10" t="s">
        <v>10362</v>
      </c>
      <c r="G1166" s="12" t="s">
        <v>4643</v>
      </c>
      <c r="H1166" s="74"/>
      <c r="I1166" s="147" t="str">
        <f>HYPERLINK("[#]Datatypes!B1097:L1097","Real")</f>
        <v>Real</v>
      </c>
      <c r="J1166" s="76" t="str">
        <f>HYPERLINK("[#]PhysicalQuantities!A34:N34","Plane Angle")</f>
        <v>Plane Angle</v>
      </c>
      <c r="K1166" s="75" t="str">
        <f>HYPERLINK("[#]UnitsOfMeasure!D159:G159","Arc Degree")</f>
        <v>Arc Degree</v>
      </c>
      <c r="L1166" s="77"/>
      <c r="M1166" s="78"/>
      <c r="N1166" s="74"/>
      <c r="O1166" s="25">
        <v>117549</v>
      </c>
      <c r="P1166" s="304" t="str">
        <f>CONCATENATE([1]Cover!$D$6,"fdd/view?i=",O1166)</f>
        <v>https://www.dgiwg.org/FAD/fdd/view?i=117549</v>
      </c>
      <c r="Q1166" s="8" t="s">
        <v>10358</v>
      </c>
      <c r="R1166" s="38" t="s">
        <v>151</v>
      </c>
    </row>
    <row r="1167" spans="1:18" ht="38.25">
      <c r="A1167" s="302" t="str">
        <f t="shared" si="29"/>
        <v>stationDeclinationDateTime</v>
      </c>
      <c r="B1167" s="6" t="s">
        <v>10364</v>
      </c>
      <c r="C1167" s="17" t="s">
        <v>10365</v>
      </c>
      <c r="D1167" s="10" t="s">
        <v>10366</v>
      </c>
      <c r="E1167" s="10" t="s">
        <v>6206</v>
      </c>
      <c r="F1167" s="55"/>
      <c r="G1167" s="12" t="s">
        <v>4643</v>
      </c>
      <c r="H1167" s="74"/>
      <c r="I1167" s="147" t="str">
        <f>HYPERLINK("[#]Datatypes!B1332:L1332","StationDeclinationDateTimeStrucText")</f>
        <v>StationDeclinationDateTimeStrucText</v>
      </c>
      <c r="J1167" s="80"/>
      <c r="K1167" s="77"/>
      <c r="L1167" s="77"/>
      <c r="M1167" s="78"/>
      <c r="N1167" s="74"/>
      <c r="O1167" s="25">
        <v>207002</v>
      </c>
      <c r="P1167" s="304" t="str">
        <f>CONCATENATE([1]Cover!$D$6,"fdd/view?i=",O1167)</f>
        <v>https://www.dgiwg.org/FAD/fdd/view?i=207002</v>
      </c>
      <c r="Q1167" s="8" t="s">
        <v>10363</v>
      </c>
      <c r="R1167" s="38" t="s">
        <v>1295</v>
      </c>
    </row>
    <row r="1168" spans="1:18" ht="25.5">
      <c r="A1168" s="302" t="str">
        <f t="shared" si="29"/>
        <v>stationary</v>
      </c>
      <c r="B1168" s="6" t="s">
        <v>10369</v>
      </c>
      <c r="C1168" s="17" t="s">
        <v>10370</v>
      </c>
      <c r="D1168" s="10" t="s">
        <v>10371</v>
      </c>
      <c r="E1168" s="55"/>
      <c r="F1168" s="55"/>
      <c r="G1168" s="12" t="s">
        <v>4643</v>
      </c>
      <c r="H1168" s="74"/>
      <c r="I1168" s="147" t="str">
        <f>HYPERLINK("[#]Datatypes!B230:L230","Boolean")</f>
        <v>Boolean</v>
      </c>
      <c r="J1168" s="80"/>
      <c r="K1168" s="77"/>
      <c r="L1168" s="77"/>
      <c r="M1168" s="78"/>
      <c r="N1168" s="74"/>
      <c r="O1168" s="25">
        <v>117798</v>
      </c>
      <c r="P1168" s="304" t="str">
        <f>CONCATENATE([1]Cover!$D$6,"fdd/view?i=",O1168)</f>
        <v>https://www.dgiwg.org/FAD/fdd/view?i=117798</v>
      </c>
      <c r="Q1168" s="8" t="s">
        <v>10368</v>
      </c>
      <c r="R1168" s="38" t="s">
        <v>151</v>
      </c>
    </row>
    <row r="1169" spans="1:18" ht="25.5">
      <c r="A1169" s="302" t="str">
        <f t="shared" si="29"/>
        <v>statisticalGeoAreaType</v>
      </c>
      <c r="B1169" s="6" t="s">
        <v>10373</v>
      </c>
      <c r="C1169" s="17" t="s">
        <v>10374</v>
      </c>
      <c r="D1169" s="10" t="s">
        <v>10375</v>
      </c>
      <c r="E1169" s="55"/>
      <c r="F1169" s="55"/>
      <c r="G1169" s="12" t="s">
        <v>4643</v>
      </c>
      <c r="H1169" s="74"/>
      <c r="I1169" s="147" t="str">
        <f>HYPERLINK("[#]Datatypes!B1334:L1334","StatisticalGeoAreaTypeCode")</f>
        <v>StatisticalGeoAreaTypeCode</v>
      </c>
      <c r="J1169" s="80"/>
      <c r="K1169" s="77"/>
      <c r="L1169" s="77"/>
      <c r="M1169" s="71" t="str">
        <f>HYPERLINK("[#]DatatypeListedValues!A6282:H6282","&lt;values&gt;")</f>
        <v>&lt;values&gt;</v>
      </c>
      <c r="N1169" s="82" t="b">
        <v>0</v>
      </c>
      <c r="O1169" s="25">
        <v>119206</v>
      </c>
      <c r="P1169" s="304" t="str">
        <f>CONCATENATE([1]Cover!$D$6,"fdd/view?i=",O1169)</f>
        <v>https://www.dgiwg.org/FAD/fdd/view?i=119206</v>
      </c>
      <c r="Q1169" s="8" t="s">
        <v>10372</v>
      </c>
      <c r="R1169" s="38" t="s">
        <v>151</v>
      </c>
    </row>
    <row r="1170" spans="1:18" ht="38.25">
      <c r="A1170" s="302" t="str">
        <f t="shared" si="29"/>
        <v>stemDiameter</v>
      </c>
      <c r="B1170" s="6" t="s">
        <v>10378</v>
      </c>
      <c r="C1170" s="17" t="s">
        <v>10379</v>
      </c>
      <c r="D1170" s="10" t="s">
        <v>10380</v>
      </c>
      <c r="E1170" s="10" t="s">
        <v>10381</v>
      </c>
      <c r="F1170" s="55"/>
      <c r="G1170" s="12" t="s">
        <v>4643</v>
      </c>
      <c r="H1170" s="74"/>
      <c r="I1170" s="147" t="str">
        <f>HYPERLINK("[#]Datatypes!B1099:L1099","RealInterval")</f>
        <v>RealInterval</v>
      </c>
      <c r="J1170" s="76" t="str">
        <f>HYPERLINK("[#]PhysicalQuantities!A20:N20","Length")</f>
        <v>Length</v>
      </c>
      <c r="K1170" s="75" t="str">
        <f>HYPERLINK("[#]UnitsOfMeasure!D80:G80","Metre")</f>
        <v>Metre</v>
      </c>
      <c r="L1170" s="77"/>
      <c r="M1170" s="78"/>
      <c r="N1170" s="74"/>
      <c r="O1170" s="25">
        <v>101279</v>
      </c>
      <c r="P1170" s="304" t="str">
        <f>CONCATENATE([1]Cover!$D$6,"fdd/view?i=",O1170)</f>
        <v>https://www.dgiwg.org/FAD/fdd/view?i=101279</v>
      </c>
      <c r="Q1170" s="8" t="s">
        <v>10377</v>
      </c>
      <c r="R1170" s="38" t="s">
        <v>151</v>
      </c>
    </row>
    <row r="1171" spans="1:18" ht="76.5">
      <c r="A1171" s="302" t="str">
        <f t="shared" si="29"/>
        <v>strainer</v>
      </c>
      <c r="B1171" s="6" t="s">
        <v>10383</v>
      </c>
      <c r="C1171" s="17" t="s">
        <v>10384</v>
      </c>
      <c r="D1171" s="10" t="s">
        <v>10385</v>
      </c>
      <c r="E1171" s="10" t="s">
        <v>10386</v>
      </c>
      <c r="F1171" s="55"/>
      <c r="G1171" s="12" t="s">
        <v>4643</v>
      </c>
      <c r="H1171" s="74"/>
      <c r="I1171" s="147" t="str">
        <f>HYPERLINK("[#]Datatypes!B230:L230","Boolean")</f>
        <v>Boolean</v>
      </c>
      <c r="J1171" s="80"/>
      <c r="K1171" s="77"/>
      <c r="L1171" s="77"/>
      <c r="M1171" s="78"/>
      <c r="N1171" s="74"/>
      <c r="O1171" s="25">
        <v>114352</v>
      </c>
      <c r="P1171" s="304" t="str">
        <f>CONCATENATE([1]Cover!$D$6,"fdd/view?i=",O1171)</f>
        <v>https://www.dgiwg.org/FAD/fdd/view?i=114352</v>
      </c>
      <c r="Q1171" s="8" t="s">
        <v>10382</v>
      </c>
      <c r="R1171" s="38" t="s">
        <v>151</v>
      </c>
    </row>
    <row r="1172" spans="1:18" ht="25.5">
      <c r="A1172" s="302" t="str">
        <f t="shared" si="29"/>
        <v>streetSignType</v>
      </c>
      <c r="B1172" s="6" t="s">
        <v>10388</v>
      </c>
      <c r="C1172" s="17" t="s">
        <v>10389</v>
      </c>
      <c r="D1172" s="10" t="s">
        <v>10390</v>
      </c>
      <c r="E1172" s="55"/>
      <c r="F1172" s="55"/>
      <c r="G1172" s="12" t="s">
        <v>4643</v>
      </c>
      <c r="H1172" s="74"/>
      <c r="I1172" s="147" t="str">
        <f>HYPERLINK("[#]Datatypes!B1338:L1338","StreetSignTypeCode")</f>
        <v>StreetSignTypeCode</v>
      </c>
      <c r="J1172" s="80"/>
      <c r="K1172" s="77"/>
      <c r="L1172" s="77"/>
      <c r="M1172" s="71" t="str">
        <f>HYPERLINK("[#]DatatypeListedValues!A6302:H6302","&lt;values&gt;")</f>
        <v>&lt;values&gt;</v>
      </c>
      <c r="N1172" s="82" t="b">
        <v>0</v>
      </c>
      <c r="O1172" s="25">
        <v>118039</v>
      </c>
      <c r="P1172" s="304" t="str">
        <f>CONCATENATE([1]Cover!$D$6,"fdd/view?i=",O1172)</f>
        <v>https://www.dgiwg.org/FAD/fdd/view?i=118039</v>
      </c>
      <c r="Q1172" s="8" t="s">
        <v>10387</v>
      </c>
      <c r="R1172" s="38" t="s">
        <v>151</v>
      </c>
    </row>
    <row r="1173" spans="1:18" ht="25.5">
      <c r="A1173" s="302" t="str">
        <f t="shared" si="29"/>
        <v>structMatType</v>
      </c>
      <c r="B1173" s="6" t="s">
        <v>10393</v>
      </c>
      <c r="C1173" s="17" t="s">
        <v>10394</v>
      </c>
      <c r="D1173" s="10" t="s">
        <v>10395</v>
      </c>
      <c r="E1173" s="10" t="s">
        <v>9251</v>
      </c>
      <c r="F1173" s="55"/>
      <c r="G1173" s="12" t="s">
        <v>4643</v>
      </c>
      <c r="H1173" s="12" t="s">
        <v>4700</v>
      </c>
      <c r="I1173" s="147" t="str">
        <f>HYPERLINK("[#]Datatypes!B1051:L1051","PrimaryStructMatTypeCode")</f>
        <v>PrimaryStructMatTypeCode</v>
      </c>
      <c r="J1173" s="80"/>
      <c r="K1173" s="77"/>
      <c r="L1173" s="77"/>
      <c r="M1173" s="71" t="str">
        <f>HYPERLINK("[#]DatatypeListedValues!A5416:H5416","&lt;values&gt;")</f>
        <v>&lt;values&gt;</v>
      </c>
      <c r="N1173" s="82" t="b">
        <v>0</v>
      </c>
      <c r="O1173" s="25">
        <v>101031</v>
      </c>
      <c r="P1173" s="304" t="str">
        <f>CONCATENATE([1]Cover!$D$6,"fdd/view?i=",O1173)</f>
        <v>https://www.dgiwg.org/FAD/fdd/view?i=101031</v>
      </c>
      <c r="Q1173" s="8" t="s">
        <v>10392</v>
      </c>
      <c r="R1173" s="38" t="s">
        <v>151</v>
      </c>
    </row>
    <row r="1174" spans="1:18" ht="76.5">
      <c r="A1174" s="302" t="str">
        <f t="shared" si="29"/>
        <v>structurallyDissected</v>
      </c>
      <c r="B1174" s="6" t="s">
        <v>10398</v>
      </c>
      <c r="C1174" s="17" t="s">
        <v>10399</v>
      </c>
      <c r="D1174" s="10" t="s">
        <v>10400</v>
      </c>
      <c r="E1174" s="10" t="s">
        <v>10401</v>
      </c>
      <c r="F1174" s="55"/>
      <c r="G1174" s="12" t="s">
        <v>4643</v>
      </c>
      <c r="H1174" s="74"/>
      <c r="I1174" s="147" t="str">
        <f>HYPERLINK("[#]Datatypes!B230:L230","Boolean")</f>
        <v>Boolean</v>
      </c>
      <c r="J1174" s="80"/>
      <c r="K1174" s="77"/>
      <c r="L1174" s="77"/>
      <c r="M1174" s="78"/>
      <c r="N1174" s="74"/>
      <c r="O1174" s="25">
        <v>119519</v>
      </c>
      <c r="P1174" s="304" t="str">
        <f>CONCATENATE([1]Cover!$D$6,"fdd/view?i=",O1174)</f>
        <v>https://www.dgiwg.org/FAD/fdd/view?i=119519</v>
      </c>
      <c r="Q1174" s="8" t="s">
        <v>10397</v>
      </c>
      <c r="R1174" s="38" t="s">
        <v>151</v>
      </c>
    </row>
    <row r="1175" spans="1:18" ht="38.25">
      <c r="A1175" s="302" t="str">
        <f t="shared" si="29"/>
        <v>structureDensity</v>
      </c>
      <c r="B1175" s="6" t="s">
        <v>10403</v>
      </c>
      <c r="C1175" s="17" t="s">
        <v>10404</v>
      </c>
      <c r="D1175" s="10" t="s">
        <v>10405</v>
      </c>
      <c r="E1175" s="10" t="s">
        <v>10406</v>
      </c>
      <c r="F1175" s="55"/>
      <c r="G1175" s="12" t="s">
        <v>4643</v>
      </c>
      <c r="H1175" s="74"/>
      <c r="I1175" s="147" t="str">
        <f>HYPERLINK("[#]Datatypes!B1099:L1099","RealInterval")</f>
        <v>RealInterval</v>
      </c>
      <c r="J1175" s="76" t="str">
        <f>HYPERLINK("[#]PhysicalQuantities!A39:N39","Pure Number")</f>
        <v>Pure Number</v>
      </c>
      <c r="K1175" s="75" t="str">
        <f>HYPERLINK("[#]UnitsOfMeasure!D213:G213","Unitless")</f>
        <v>Unitless</v>
      </c>
      <c r="L1175" s="77"/>
      <c r="M1175" s="78"/>
      <c r="N1175" s="74"/>
      <c r="O1175" s="25">
        <v>110695</v>
      </c>
      <c r="P1175" s="304" t="str">
        <f>CONCATENATE([1]Cover!$D$6,"fdd/view?i=",O1175)</f>
        <v>https://www.dgiwg.org/FAD/fdd/view?i=110695</v>
      </c>
      <c r="Q1175" s="8" t="s">
        <v>10402</v>
      </c>
      <c r="R1175" s="38" t="s">
        <v>151</v>
      </c>
    </row>
    <row r="1176" spans="1:18" ht="25.5">
      <c r="A1176" s="302" t="str">
        <f t="shared" si="29"/>
        <v>structureShape</v>
      </c>
      <c r="B1176" s="6" t="s">
        <v>10408</v>
      </c>
      <c r="C1176" s="17" t="s">
        <v>10409</v>
      </c>
      <c r="D1176" s="10" t="s">
        <v>10410</v>
      </c>
      <c r="E1176" s="55"/>
      <c r="F1176" s="55"/>
      <c r="G1176" s="12" t="s">
        <v>4643</v>
      </c>
      <c r="H1176" s="74"/>
      <c r="I1176" s="147" t="str">
        <f>HYPERLINK("[#]Datatypes!B1340:L1340","StructureShapeCode")</f>
        <v>StructureShapeCode</v>
      </c>
      <c r="J1176" s="80"/>
      <c r="K1176" s="77"/>
      <c r="L1176" s="77"/>
      <c r="M1176" s="71" t="str">
        <f>HYPERLINK("[#]DatatypeListedValues!A6312:H6312","&lt;values&gt;")</f>
        <v>&lt;values&gt;</v>
      </c>
      <c r="N1176" s="82" t="b">
        <v>0</v>
      </c>
      <c r="O1176" s="25">
        <v>101329</v>
      </c>
      <c r="P1176" s="304" t="str">
        <f>CONCATENATE([1]Cover!$D$6,"fdd/view?i=",O1176)</f>
        <v>https://www.dgiwg.org/FAD/fdd/view?i=101329</v>
      </c>
      <c r="Q1176" s="8" t="s">
        <v>10407</v>
      </c>
      <c r="R1176" s="38" t="s">
        <v>151</v>
      </c>
    </row>
    <row r="1177" spans="1:18" ht="25.5">
      <c r="A1177" s="302" t="str">
        <f t="shared" si="29"/>
        <v>submarineAcousticSigType</v>
      </c>
      <c r="B1177" s="6" t="s">
        <v>10413</v>
      </c>
      <c r="C1177" s="17" t="s">
        <v>10414</v>
      </c>
      <c r="D1177" s="10" t="s">
        <v>10415</v>
      </c>
      <c r="E1177" s="55"/>
      <c r="F1177" s="55"/>
      <c r="G1177" s="12" t="s">
        <v>4643</v>
      </c>
      <c r="H1177" s="74"/>
      <c r="I1177" s="147" t="str">
        <f>HYPERLINK("[#]Datatypes!B1348:L1348","SubmarineAcousticSigTypeCode")</f>
        <v>SubmarineAcousticSigTypeCode</v>
      </c>
      <c r="J1177" s="80"/>
      <c r="K1177" s="77"/>
      <c r="L1177" s="77"/>
      <c r="M1177" s="71" t="str">
        <f>HYPERLINK("[#]DatatypeListedValues!A6338:H6338","&lt;values&gt;")</f>
        <v>&lt;values&gt;</v>
      </c>
      <c r="N1177" s="82" t="b">
        <v>0</v>
      </c>
      <c r="O1177" s="25">
        <v>109982</v>
      </c>
      <c r="P1177" s="304" t="str">
        <f>CONCATENATE([1]Cover!$D$6,"fdd/view?i=",O1177)</f>
        <v>https://www.dgiwg.org/FAD/fdd/view?i=109982</v>
      </c>
      <c r="Q1177" s="8" t="s">
        <v>10412</v>
      </c>
      <c r="R1177" s="38" t="s">
        <v>151</v>
      </c>
    </row>
    <row r="1178" spans="1:18" ht="38.25">
      <c r="A1178" s="302" t="str">
        <f t="shared" si="29"/>
        <v>submarineLikeObject</v>
      </c>
      <c r="B1178" s="6" t="s">
        <v>10418</v>
      </c>
      <c r="C1178" s="17" t="s">
        <v>10419</v>
      </c>
      <c r="D1178" s="10" t="s">
        <v>10420</v>
      </c>
      <c r="E1178" s="55"/>
      <c r="F1178" s="55"/>
      <c r="G1178" s="12" t="s">
        <v>4643</v>
      </c>
      <c r="H1178" s="74"/>
      <c r="I1178" s="147" t="str">
        <f>HYPERLINK("[#]Datatypes!B230:L230","Boolean")</f>
        <v>Boolean</v>
      </c>
      <c r="J1178" s="80"/>
      <c r="K1178" s="77"/>
      <c r="L1178" s="77"/>
      <c r="M1178" s="78"/>
      <c r="N1178" s="74"/>
      <c r="O1178" s="25">
        <v>118152</v>
      </c>
      <c r="P1178" s="304" t="str">
        <f>CONCATENATE([1]Cover!$D$6,"fdd/view?i=",O1178)</f>
        <v>https://www.dgiwg.org/FAD/fdd/view?i=118152</v>
      </c>
      <c r="Q1178" s="8" t="s">
        <v>10417</v>
      </c>
      <c r="R1178" s="38" t="s">
        <v>151</v>
      </c>
    </row>
    <row r="1179" spans="1:18" ht="25.5">
      <c r="A1179" s="302" t="str">
        <f t="shared" si="29"/>
        <v>substationType</v>
      </c>
      <c r="B1179" s="6" t="s">
        <v>10422</v>
      </c>
      <c r="C1179" s="17" t="s">
        <v>10423</v>
      </c>
      <c r="D1179" s="10" t="s">
        <v>10424</v>
      </c>
      <c r="E1179" s="55"/>
      <c r="F1179" s="55"/>
      <c r="G1179" s="12" t="s">
        <v>4643</v>
      </c>
      <c r="H1179" s="12" t="s">
        <v>4700</v>
      </c>
      <c r="I1179" s="147" t="str">
        <f>HYPERLINK("[#]Datatypes!B1350:L1350","SubstationTypeCode")</f>
        <v>SubstationTypeCode</v>
      </c>
      <c r="J1179" s="80"/>
      <c r="K1179" s="77"/>
      <c r="L1179" s="77"/>
      <c r="M1179" s="71" t="str">
        <f>HYPERLINK("[#]DatatypeListedValues!A6341:H6341","&lt;values&gt;")</f>
        <v>&lt;values&gt;</v>
      </c>
      <c r="N1179" s="82" t="b">
        <v>0</v>
      </c>
      <c r="O1179" s="25">
        <v>101264</v>
      </c>
      <c r="P1179" s="304" t="str">
        <f>CONCATENATE([1]Cover!$D$6,"fdd/view?i=",O1179)</f>
        <v>https://www.dgiwg.org/FAD/fdd/view?i=101264</v>
      </c>
      <c r="Q1179" s="8" t="s">
        <v>10421</v>
      </c>
      <c r="R1179" s="38" t="s">
        <v>151</v>
      </c>
    </row>
    <row r="1180" spans="1:18" ht="25.5">
      <c r="A1180" s="302" t="str">
        <f t="shared" si="29"/>
        <v>sulfateConcentration</v>
      </c>
      <c r="B1180" s="6" t="s">
        <v>10427</v>
      </c>
      <c r="C1180" s="17" t="s">
        <v>10428</v>
      </c>
      <c r="D1180" s="10" t="s">
        <v>10429</v>
      </c>
      <c r="E1180" s="55"/>
      <c r="F1180" s="55"/>
      <c r="G1180" s="12" t="s">
        <v>4643</v>
      </c>
      <c r="H1180" s="74"/>
      <c r="I1180" s="147" t="str">
        <f>HYPERLINK("[#]Datatypes!B1097:L1097","Real")</f>
        <v>Real</v>
      </c>
      <c r="J1180" s="76" t="str">
        <f>HYPERLINK("[#]PhysicalQuantities!A29:N29","Mass Density")</f>
        <v>Mass Density</v>
      </c>
      <c r="K1180" s="75" t="str">
        <f>HYPERLINK("[#]UnitsOfMeasure!D140:G140","Gram per cubic Metre")</f>
        <v>Gram per cubic Metre</v>
      </c>
      <c r="L1180" s="77"/>
      <c r="M1180" s="78"/>
      <c r="N1180" s="74"/>
      <c r="O1180" s="25">
        <v>119405</v>
      </c>
      <c r="P1180" s="304" t="str">
        <f>CONCATENATE([1]Cover!$D$6,"fdd/view?i=",O1180)</f>
        <v>https://www.dgiwg.org/FAD/fdd/view?i=119405</v>
      </c>
      <c r="Q1180" s="8" t="s">
        <v>10426</v>
      </c>
      <c r="R1180" s="38" t="s">
        <v>151</v>
      </c>
    </row>
    <row r="1181" spans="1:18" ht="25.5">
      <c r="A1181" s="302" t="str">
        <f t="shared" si="29"/>
        <v>summerCanopyCover</v>
      </c>
      <c r="B1181" s="6" t="s">
        <v>10431</v>
      </c>
      <c r="C1181" s="17" t="s">
        <v>10432</v>
      </c>
      <c r="D1181" s="10" t="s">
        <v>10433</v>
      </c>
      <c r="E1181" s="10" t="s">
        <v>5880</v>
      </c>
      <c r="F1181" s="55"/>
      <c r="G1181" s="12" t="s">
        <v>4643</v>
      </c>
      <c r="H1181" s="74"/>
      <c r="I1181" s="147" t="str">
        <f>HYPERLINK("[#]Datatypes!B1110:L1110","RealNonNegInterval100")</f>
        <v>RealNonNegInterval100</v>
      </c>
      <c r="J1181" s="76" t="str">
        <f>HYPERLINK("[#]PhysicalQuantities!A39:N39","Pure Number")</f>
        <v>Pure Number</v>
      </c>
      <c r="K1181" s="75" t="str">
        <f>HYPERLINK("[#]UnitsOfMeasure!D215:G215","Percent")</f>
        <v>Percent</v>
      </c>
      <c r="L1181" s="77"/>
      <c r="M1181" s="78"/>
      <c r="N1181" s="74"/>
      <c r="O1181" s="25">
        <v>110726</v>
      </c>
      <c r="P1181" s="304" t="str">
        <f>CONCATENATE([1]Cover!$D$6,"fdd/view?i=",O1181)</f>
        <v>https://www.dgiwg.org/FAD/fdd/view?i=110726</v>
      </c>
      <c r="Q1181" s="8" t="s">
        <v>10430</v>
      </c>
      <c r="R1181" s="38" t="s">
        <v>151</v>
      </c>
    </row>
    <row r="1182" spans="1:18" ht="25.5">
      <c r="A1182" s="302" t="str">
        <f t="shared" si="29"/>
        <v>supported</v>
      </c>
      <c r="B1182" s="6" t="s">
        <v>10435</v>
      </c>
      <c r="C1182" s="17" t="s">
        <v>10436</v>
      </c>
      <c r="D1182" s="10" t="s">
        <v>10437</v>
      </c>
      <c r="E1182" s="10" t="s">
        <v>10438</v>
      </c>
      <c r="F1182" s="55"/>
      <c r="G1182" s="12" t="s">
        <v>4643</v>
      </c>
      <c r="H1182" s="74"/>
      <c r="I1182" s="147" t="str">
        <f>HYPERLINK("[#]Datatypes!B230:L230","Boolean")</f>
        <v>Boolean</v>
      </c>
      <c r="J1182" s="80"/>
      <c r="K1182" s="77"/>
      <c r="L1182" s="77"/>
      <c r="M1182" s="78"/>
      <c r="N1182" s="74"/>
      <c r="O1182" s="25">
        <v>111726</v>
      </c>
      <c r="P1182" s="304" t="str">
        <f>CONCATENATE([1]Cover!$D$6,"fdd/view?i=",O1182)</f>
        <v>https://www.dgiwg.org/FAD/fdd/view?i=111726</v>
      </c>
      <c r="Q1182" s="8" t="s">
        <v>10434</v>
      </c>
      <c r="R1182" s="38" t="s">
        <v>151</v>
      </c>
    </row>
    <row r="1183" spans="1:18" ht="25.5">
      <c r="A1183" s="302" t="str">
        <f t="shared" si="29"/>
        <v>supportedByBridgeSpan</v>
      </c>
      <c r="B1183" s="6" t="s">
        <v>10440</v>
      </c>
      <c r="C1183" s="17" t="s">
        <v>10441</v>
      </c>
      <c r="D1183" s="10" t="s">
        <v>10442</v>
      </c>
      <c r="E1183" s="10" t="s">
        <v>10443</v>
      </c>
      <c r="F1183" s="55"/>
      <c r="G1183" s="12" t="s">
        <v>4643</v>
      </c>
      <c r="H1183" s="74"/>
      <c r="I1183" s="147" t="str">
        <f>HYPERLINK("[#]Datatypes!B230:L230","Boolean")</f>
        <v>Boolean</v>
      </c>
      <c r="J1183" s="80"/>
      <c r="K1183" s="77"/>
      <c r="L1183" s="77"/>
      <c r="M1183" s="78"/>
      <c r="N1183" s="74"/>
      <c r="O1183" s="25">
        <v>111712</v>
      </c>
      <c r="P1183" s="304" t="str">
        <f>CONCATENATE([1]Cover!$D$6,"fdd/view?i=",O1183)</f>
        <v>https://www.dgiwg.org/FAD/fdd/view?i=111712</v>
      </c>
      <c r="Q1183" s="8" t="s">
        <v>10439</v>
      </c>
      <c r="R1183" s="38" t="s">
        <v>151</v>
      </c>
    </row>
    <row r="1184" spans="1:18" ht="25.5">
      <c r="A1184" s="302" t="str">
        <f t="shared" si="29"/>
        <v>surfaceDetectionStationType</v>
      </c>
      <c r="B1184" s="6" t="s">
        <v>10445</v>
      </c>
      <c r="C1184" s="17" t="s">
        <v>10446</v>
      </c>
      <c r="D1184" s="10" t="s">
        <v>10447</v>
      </c>
      <c r="E1184" s="55"/>
      <c r="F1184" s="55"/>
      <c r="G1184" s="12" t="s">
        <v>4643</v>
      </c>
      <c r="H1184" s="74"/>
      <c r="I1184" s="147" t="str">
        <f>HYPERLINK("[#]Datatypes!B1354:L1354","SurfaceDetectionStationTypeCode")</f>
        <v>SurfaceDetectionStationTypeCode</v>
      </c>
      <c r="J1184" s="80"/>
      <c r="K1184" s="77"/>
      <c r="L1184" s="77"/>
      <c r="M1184" s="71" t="str">
        <f>HYPERLINK("[#]DatatypeListedValues!A6344:H6344","&lt;values&gt;")</f>
        <v>&lt;values&gt;</v>
      </c>
      <c r="N1184" s="82" t="b">
        <v>0</v>
      </c>
      <c r="O1184" s="25">
        <v>119804</v>
      </c>
      <c r="P1184" s="304" t="str">
        <f>CONCATENATE([1]Cover!$D$6,"fdd/view?i=",O1184)</f>
        <v>https://www.dgiwg.org/FAD/fdd/view?i=119804</v>
      </c>
      <c r="Q1184" s="8" t="s">
        <v>10444</v>
      </c>
      <c r="R1184" s="38" t="s">
        <v>1295</v>
      </c>
    </row>
    <row r="1185" spans="1:18" ht="25.5">
      <c r="A1185" s="302" t="str">
        <f t="shared" si="29"/>
        <v>surfaceGeometry</v>
      </c>
      <c r="B1185" s="6" t="s">
        <v>10450</v>
      </c>
      <c r="C1185" s="17" t="s">
        <v>10451</v>
      </c>
      <c r="D1185" s="10" t="s">
        <v>10452</v>
      </c>
      <c r="E1185" s="10" t="s">
        <v>10453</v>
      </c>
      <c r="F1185" s="55"/>
      <c r="G1185" s="12" t="s">
        <v>4643</v>
      </c>
      <c r="H1185" s="74"/>
      <c r="I1185" s="147" t="str">
        <f>HYPERLINK("[#]Datatypes!B1352:L1352","GmSurface")</f>
        <v>GmSurface</v>
      </c>
      <c r="J1185" s="80"/>
      <c r="K1185" s="77"/>
      <c r="L1185" s="77"/>
      <c r="M1185" s="78"/>
      <c r="N1185" s="74"/>
      <c r="O1185" s="25">
        <v>200619</v>
      </c>
      <c r="P1185" s="304" t="str">
        <f>CONCATENATE([1]Cover!$D$6,"fdd/view?i=",O1185)</f>
        <v>https://www.dgiwg.org/FAD/fdd/view?i=200619</v>
      </c>
      <c r="Q1185" s="8" t="s">
        <v>10449</v>
      </c>
      <c r="R1185" s="38" t="s">
        <v>1295</v>
      </c>
    </row>
    <row r="1186" spans="1:18" ht="114.75">
      <c r="A1186" s="302" t="str">
        <f t="shared" si="29"/>
        <v>surfaceSlope</v>
      </c>
      <c r="B1186" s="6" t="s">
        <v>10456</v>
      </c>
      <c r="C1186" s="17" t="s">
        <v>10457</v>
      </c>
      <c r="D1186" s="10" t="s">
        <v>10458</v>
      </c>
      <c r="E1186" s="10" t="s">
        <v>10459</v>
      </c>
      <c r="F1186" s="55"/>
      <c r="G1186" s="12" t="s">
        <v>4643</v>
      </c>
      <c r="H1186" s="74"/>
      <c r="I1186" s="147" t="str">
        <f>HYPERLINK("[#]Datatypes!B1099:L1099","RealInterval")</f>
        <v>RealInterval</v>
      </c>
      <c r="J1186" s="76" t="str">
        <f>HYPERLINK("[#]PhysicalQuantities!A39:N39","Pure Number")</f>
        <v>Pure Number</v>
      </c>
      <c r="K1186" s="75" t="str">
        <f>HYPERLINK("[#]UnitsOfMeasure!D215:G215","Percent")</f>
        <v>Percent</v>
      </c>
      <c r="L1186" s="77"/>
      <c r="M1186" s="78"/>
      <c r="N1186" s="74"/>
      <c r="O1186" s="25">
        <v>110719</v>
      </c>
      <c r="P1186" s="304" t="str">
        <f>CONCATENATE([1]Cover!$D$6,"fdd/view?i=",O1186)</f>
        <v>https://www.dgiwg.org/FAD/fdd/view?i=110719</v>
      </c>
      <c r="Q1186" s="8" t="s">
        <v>10455</v>
      </c>
      <c r="R1186" s="38" t="s">
        <v>151</v>
      </c>
    </row>
    <row r="1187" spans="1:18" ht="76.5">
      <c r="A1187" s="302" t="str">
        <f t="shared" si="29"/>
        <v>surfaceWaveMagnitude</v>
      </c>
      <c r="B1187" s="6" t="s">
        <v>10461</v>
      </c>
      <c r="C1187" s="17" t="s">
        <v>10462</v>
      </c>
      <c r="D1187" s="10" t="s">
        <v>10463</v>
      </c>
      <c r="E1187" s="10" t="s">
        <v>10464</v>
      </c>
      <c r="F1187" s="55"/>
      <c r="G1187" s="12" t="s">
        <v>4643</v>
      </c>
      <c r="H1187" s="74"/>
      <c r="I1187" s="147" t="str">
        <f>HYPERLINK("[#]Datatypes!B1097:L1097","Real")</f>
        <v>Real</v>
      </c>
      <c r="J1187" s="76" t="str">
        <f>HYPERLINK("[#]PhysicalQuantities!A39:N39","Pure Number")</f>
        <v>Pure Number</v>
      </c>
      <c r="K1187" s="75" t="str">
        <f>HYPERLINK("[#]UnitsOfMeasure!D213:G213","Unitless")</f>
        <v>Unitless</v>
      </c>
      <c r="L1187" s="77"/>
      <c r="M1187" s="78"/>
      <c r="N1187" s="74"/>
      <c r="O1187" s="25">
        <v>118575</v>
      </c>
      <c r="P1187" s="304" t="str">
        <f>CONCATENATE([1]Cover!$D$6,"fdd/view?i=",O1187)</f>
        <v>https://www.dgiwg.org/FAD/fdd/view?i=118575</v>
      </c>
      <c r="Q1187" s="8" t="s">
        <v>10460</v>
      </c>
      <c r="R1187" s="38" t="s">
        <v>151</v>
      </c>
    </row>
    <row r="1188" spans="1:18" ht="25.5">
      <c r="A1188" s="302" t="str">
        <f t="shared" si="29"/>
        <v>surveyCoverageCategory</v>
      </c>
      <c r="B1188" s="6" t="s">
        <v>10466</v>
      </c>
      <c r="C1188" s="17" t="s">
        <v>10467</v>
      </c>
      <c r="D1188" s="10" t="s">
        <v>10468</v>
      </c>
      <c r="E1188" s="10" t="s">
        <v>10469</v>
      </c>
      <c r="F1188" s="55"/>
      <c r="G1188" s="12" t="s">
        <v>4643</v>
      </c>
      <c r="H1188" s="74"/>
      <c r="I1188" s="147" t="str">
        <f>HYPERLINK("[#]Datatypes!B1356:L1356","SurveyCoverageCategoryCode")</f>
        <v>SurveyCoverageCategoryCode</v>
      </c>
      <c r="J1188" s="80"/>
      <c r="K1188" s="77"/>
      <c r="L1188" s="77"/>
      <c r="M1188" s="71" t="str">
        <f>HYPERLINK("[#]DatatypeListedValues!A6346:H6346","&lt;values&gt;")</f>
        <v>&lt;values&gt;</v>
      </c>
      <c r="N1188" s="12" t="b">
        <v>1</v>
      </c>
      <c r="O1188" s="25">
        <v>101346</v>
      </c>
      <c r="P1188" s="304" t="str">
        <f>CONCATENATE([1]Cover!$D$6,"fdd/view?i=",O1188)</f>
        <v>https://www.dgiwg.org/FAD/fdd/view?i=101346</v>
      </c>
      <c r="Q1188" s="8" t="s">
        <v>10465</v>
      </c>
      <c r="R1188" s="38" t="s">
        <v>151</v>
      </c>
    </row>
    <row r="1189" spans="1:18">
      <c r="A1189" s="302" t="str">
        <f t="shared" si="29"/>
        <v>surveyDates</v>
      </c>
      <c r="B1189" s="6" t="s">
        <v>10472</v>
      </c>
      <c r="C1189" s="17" t="s">
        <v>10473</v>
      </c>
      <c r="D1189" s="10" t="s">
        <v>10474</v>
      </c>
      <c r="E1189" s="55"/>
      <c r="F1189" s="55"/>
      <c r="G1189" s="12" t="s">
        <v>4643</v>
      </c>
      <c r="H1189" s="74"/>
      <c r="I1189" s="147" t="str">
        <f>HYPERLINK("[#]Datatypes!B1358:L1358","SurveyDatesStrucText")</f>
        <v>SurveyDatesStrucText</v>
      </c>
      <c r="J1189" s="80"/>
      <c r="K1189" s="77"/>
      <c r="L1189" s="77"/>
      <c r="M1189" s="78"/>
      <c r="N1189" s="74"/>
      <c r="O1189" s="25">
        <v>200234</v>
      </c>
      <c r="P1189" s="304" t="str">
        <f>CONCATENATE([1]Cover!$D$6,"fdd/view?i=",O1189)</f>
        <v>https://www.dgiwg.org/FAD/fdd/view?i=200234</v>
      </c>
      <c r="Q1189" s="8" t="s">
        <v>10471</v>
      </c>
      <c r="R1189" s="38" t="s">
        <v>1295</v>
      </c>
    </row>
    <row r="1190" spans="1:18">
      <c r="A1190" s="302" t="str">
        <f t="shared" si="29"/>
        <v>surveyPointMark</v>
      </c>
      <c r="B1190" s="6" t="s">
        <v>10477</v>
      </c>
      <c r="C1190" s="17" t="s">
        <v>10478</v>
      </c>
      <c r="D1190" s="10" t="s">
        <v>10479</v>
      </c>
      <c r="E1190" s="55"/>
      <c r="F1190" s="55"/>
      <c r="G1190" s="12" t="s">
        <v>4643</v>
      </c>
      <c r="H1190" s="74"/>
      <c r="I1190" s="147" t="str">
        <f>HYPERLINK("[#]Datatypes!B1360:L1360","SurveyPointMarkCode")</f>
        <v>SurveyPointMarkCode</v>
      </c>
      <c r="J1190" s="80"/>
      <c r="K1190" s="77"/>
      <c r="L1190" s="77"/>
      <c r="M1190" s="71" t="str">
        <f>HYPERLINK("[#]DatatypeListedValues!A6349:H6349","&lt;values&gt;")</f>
        <v>&lt;values&gt;</v>
      </c>
      <c r="N1190" s="82" t="b">
        <v>0</v>
      </c>
      <c r="O1190" s="25">
        <v>119805</v>
      </c>
      <c r="P1190" s="304" t="str">
        <f>CONCATENATE([1]Cover!$D$6,"fdd/view?i=",O1190)</f>
        <v>https://www.dgiwg.org/FAD/fdd/view?i=119805</v>
      </c>
      <c r="Q1190" s="8" t="s">
        <v>10476</v>
      </c>
      <c r="R1190" s="38" t="s">
        <v>1295</v>
      </c>
    </row>
    <row r="1191" spans="1:18" ht="25.5">
      <c r="A1191" s="302" t="str">
        <f t="shared" si="29"/>
        <v>surveyPointType</v>
      </c>
      <c r="B1191" s="6" t="s">
        <v>10482</v>
      </c>
      <c r="C1191" s="17" t="s">
        <v>10483</v>
      </c>
      <c r="D1191" s="10" t="s">
        <v>10484</v>
      </c>
      <c r="E1191" s="55"/>
      <c r="F1191" s="55"/>
      <c r="G1191" s="12" t="s">
        <v>4643</v>
      </c>
      <c r="H1191" s="74"/>
      <c r="I1191" s="147" t="str">
        <f>HYPERLINK("[#]Datatypes!B1362:L1362","SurveyPointTypeCode")</f>
        <v>SurveyPointTypeCode</v>
      </c>
      <c r="J1191" s="80"/>
      <c r="K1191" s="77"/>
      <c r="L1191" s="77"/>
      <c r="M1191" s="71" t="str">
        <f>HYPERLINK("[#]DatatypeListedValues!A6352:H6352","&lt;values&gt;")</f>
        <v>&lt;values&gt;</v>
      </c>
      <c r="N1191" s="82" t="b">
        <v>0</v>
      </c>
      <c r="O1191" s="25">
        <v>119806</v>
      </c>
      <c r="P1191" s="304" t="str">
        <f>CONCATENATE([1]Cover!$D$6,"fdd/view?i=",O1191)</f>
        <v>https://www.dgiwg.org/FAD/fdd/view?i=119806</v>
      </c>
      <c r="Q1191" s="8" t="s">
        <v>10481</v>
      </c>
      <c r="R1191" s="38" t="s">
        <v>1295</v>
      </c>
    </row>
    <row r="1192" spans="1:18">
      <c r="A1192" s="302" t="str">
        <f t="shared" si="29"/>
        <v>surveyTechnique</v>
      </c>
      <c r="B1192" s="6" t="s">
        <v>10487</v>
      </c>
      <c r="C1192" s="17" t="s">
        <v>10488</v>
      </c>
      <c r="D1192" s="10" t="s">
        <v>10489</v>
      </c>
      <c r="E1192" s="55"/>
      <c r="F1192" s="55"/>
      <c r="G1192" s="12" t="s">
        <v>4643</v>
      </c>
      <c r="H1192" s="74"/>
      <c r="I1192" s="147" t="str">
        <f>HYPERLINK("[#]Datatypes!B1364:L1364","SurveyTechniqueCode")</f>
        <v>SurveyTechniqueCode</v>
      </c>
      <c r="J1192" s="80"/>
      <c r="K1192" s="77"/>
      <c r="L1192" s="77"/>
      <c r="M1192" s="71" t="str">
        <f>HYPERLINK("[#]DatatypeListedValues!A6362:H6362","&lt;values&gt;")</f>
        <v>&lt;values&gt;</v>
      </c>
      <c r="N1192" s="82" t="b">
        <v>0</v>
      </c>
      <c r="O1192" s="25">
        <v>207849</v>
      </c>
      <c r="P1192" s="304" t="str">
        <f>CONCATENATE([1]Cover!$D$6,"fdd/view?i=",O1192)</f>
        <v>https://www.dgiwg.org/FAD/fdd/view?i=207849</v>
      </c>
      <c r="Q1192" s="8" t="s">
        <v>10486</v>
      </c>
      <c r="R1192" s="38" t="s">
        <v>1295</v>
      </c>
    </row>
    <row r="1193" spans="1:18" ht="51">
      <c r="A1193" s="302" t="str">
        <f t="shared" si="29"/>
        <v>suspended</v>
      </c>
      <c r="B1193" s="6" t="s">
        <v>10492</v>
      </c>
      <c r="C1193" s="17" t="s">
        <v>10493</v>
      </c>
      <c r="D1193" s="10" t="s">
        <v>10494</v>
      </c>
      <c r="E1193" s="10" t="s">
        <v>10495</v>
      </c>
      <c r="F1193" s="55"/>
      <c r="G1193" s="12" t="s">
        <v>4643</v>
      </c>
      <c r="H1193" s="74"/>
      <c r="I1193" s="147" t="str">
        <f>HYPERLINK("[#]Datatypes!B230:L230","Boolean")</f>
        <v>Boolean</v>
      </c>
      <c r="J1193" s="80"/>
      <c r="K1193" s="77"/>
      <c r="L1193" s="77"/>
      <c r="M1193" s="78"/>
      <c r="N1193" s="74"/>
      <c r="O1193" s="25">
        <v>109986</v>
      </c>
      <c r="P1193" s="304" t="str">
        <f>CONCATENATE([1]Cover!$D$6,"fdd/view?i=",O1193)</f>
        <v>https://www.dgiwg.org/FAD/fdd/view?i=109986</v>
      </c>
      <c r="Q1193" s="8" t="s">
        <v>10491</v>
      </c>
      <c r="R1193" s="38" t="s">
        <v>151</v>
      </c>
    </row>
    <row r="1194" spans="1:18">
      <c r="A1194" s="302" t="str">
        <f t="shared" si="29"/>
        <v>suspiciousVesselCount</v>
      </c>
      <c r="B1194" s="6" t="s">
        <v>10497</v>
      </c>
      <c r="C1194" s="17" t="s">
        <v>10498</v>
      </c>
      <c r="D1194" s="10" t="s">
        <v>10499</v>
      </c>
      <c r="E1194" s="55"/>
      <c r="F1194" s="55"/>
      <c r="G1194" s="12" t="s">
        <v>4643</v>
      </c>
      <c r="H1194" s="74"/>
      <c r="I1194" s="147" t="str">
        <f>HYPERLINK("[#]Datatypes!B366:L366","Count")</f>
        <v>Count</v>
      </c>
      <c r="J1194" s="76" t="str">
        <f>HYPERLINK("[#]PhysicalQuantities!A39:N39","Pure Number")</f>
        <v>Pure Number</v>
      </c>
      <c r="K1194" s="75" t="str">
        <f>HYPERLINK("[#]UnitsOfMeasure!D213:G213","Unitless")</f>
        <v>Unitless</v>
      </c>
      <c r="L1194" s="77"/>
      <c r="M1194" s="78"/>
      <c r="N1194" s="74"/>
      <c r="O1194" s="25">
        <v>206184</v>
      </c>
      <c r="P1194" s="304" t="str">
        <f>CONCATENATE([1]Cover!$D$6,"fdd/view?i=",O1194)</f>
        <v>https://www.dgiwg.org/FAD/fdd/view?i=206184</v>
      </c>
      <c r="Q1194" s="8" t="s">
        <v>10496</v>
      </c>
      <c r="R1194" s="38" t="s">
        <v>1295</v>
      </c>
    </row>
    <row r="1195" spans="1:18">
      <c r="A1195" s="302" t="str">
        <f t="shared" si="29"/>
        <v>sweptMineCondition</v>
      </c>
      <c r="B1195" s="6" t="s">
        <v>10501</v>
      </c>
      <c r="C1195" s="17" t="s">
        <v>10502</v>
      </c>
      <c r="D1195" s="10" t="s">
        <v>10503</v>
      </c>
      <c r="E1195" s="55"/>
      <c r="F1195" s="55"/>
      <c r="G1195" s="12" t="s">
        <v>4643</v>
      </c>
      <c r="H1195" s="74"/>
      <c r="I1195" s="147" t="str">
        <f>HYPERLINK("[#]Datatypes!B1366:L1366","SweptMineConditionCode")</f>
        <v>SweptMineConditionCode</v>
      </c>
      <c r="J1195" s="80"/>
      <c r="K1195" s="77"/>
      <c r="L1195" s="77"/>
      <c r="M1195" s="71" t="str">
        <f>HYPERLINK("[#]DatatypeListedValues!A6384:H6384","&lt;values&gt;")</f>
        <v>&lt;values&gt;</v>
      </c>
      <c r="N1195" s="82" t="b">
        <v>0</v>
      </c>
      <c r="O1195" s="25">
        <v>101070</v>
      </c>
      <c r="P1195" s="304" t="str">
        <f>CONCATENATE([1]Cover!$D$6,"fdd/view?i=",O1195)</f>
        <v>https://www.dgiwg.org/FAD/fdd/view?i=101070</v>
      </c>
      <c r="Q1195" s="8" t="s">
        <v>10500</v>
      </c>
      <c r="R1195" s="38" t="s">
        <v>151</v>
      </c>
    </row>
    <row r="1196" spans="1:18" ht="51">
      <c r="A1196" s="302" t="str">
        <f t="shared" si="29"/>
        <v>tacticalAirNavChannel</v>
      </c>
      <c r="B1196" s="6" t="s">
        <v>10506</v>
      </c>
      <c r="C1196" s="17" t="s">
        <v>10507</v>
      </c>
      <c r="D1196" s="10" t="s">
        <v>10508</v>
      </c>
      <c r="E1196" s="10" t="s">
        <v>10509</v>
      </c>
      <c r="F1196" s="55"/>
      <c r="G1196" s="12" t="s">
        <v>4643</v>
      </c>
      <c r="H1196" s="74"/>
      <c r="I1196" s="147" t="str">
        <f>HYPERLINK("[#]Datatypes!B1368:L1368","TacticalAirNavChannelCode")</f>
        <v>TacticalAirNavChannelCode</v>
      </c>
      <c r="J1196" s="80"/>
      <c r="K1196" s="77"/>
      <c r="L1196" s="77"/>
      <c r="M1196" s="71" t="str">
        <f>HYPERLINK("[#]DatatypeListedValues!A6395:H6395","&lt;values&gt;")</f>
        <v>&lt;values&gt;</v>
      </c>
      <c r="N1196" s="12" t="b">
        <v>1</v>
      </c>
      <c r="O1196" s="25">
        <v>117719</v>
      </c>
      <c r="P1196" s="304" t="str">
        <f>CONCATENATE([1]Cover!$D$6,"fdd/view?i=",O1196)</f>
        <v>https://www.dgiwg.org/FAD/fdd/view?i=117719</v>
      </c>
      <c r="Q1196" s="8" t="s">
        <v>10505</v>
      </c>
      <c r="R1196" s="38" t="s">
        <v>151</v>
      </c>
    </row>
    <row r="1197" spans="1:18" ht="51">
      <c r="A1197" s="302" t="str">
        <f t="shared" si="29"/>
        <v>takeOffDistAvailable</v>
      </c>
      <c r="B1197" s="6" t="s">
        <v>10512</v>
      </c>
      <c r="C1197" s="17" t="s">
        <v>10513</v>
      </c>
      <c r="D1197" s="10" t="s">
        <v>10514</v>
      </c>
      <c r="E1197" s="10" t="s">
        <v>10515</v>
      </c>
      <c r="F1197" s="10" t="s">
        <v>10516</v>
      </c>
      <c r="G1197" s="12" t="s">
        <v>4643</v>
      </c>
      <c r="H1197" s="74"/>
      <c r="I1197" s="147" t="str">
        <f>HYPERLINK("[#]Datatypes!B1097:L1097","Real")</f>
        <v>Real</v>
      </c>
      <c r="J1197" s="76" t="str">
        <f>HYPERLINK("[#]PhysicalQuantities!A20:N20","Length")</f>
        <v>Length</v>
      </c>
      <c r="K1197" s="75" t="str">
        <f>HYPERLINK("[#]UnitsOfMeasure!D80:G80","Metre")</f>
        <v>Metre</v>
      </c>
      <c r="L1197" s="77"/>
      <c r="M1197" s="78"/>
      <c r="N1197" s="74"/>
      <c r="O1197" s="25">
        <v>117730</v>
      </c>
      <c r="P1197" s="304" t="str">
        <f>CONCATENATE([1]Cover!$D$6,"fdd/view?i=",O1197)</f>
        <v>https://www.dgiwg.org/FAD/fdd/view?i=117730</v>
      </c>
      <c r="Q1197" s="8" t="s">
        <v>10511</v>
      </c>
      <c r="R1197" s="38" t="s">
        <v>151</v>
      </c>
    </row>
    <row r="1198" spans="1:18" ht="51">
      <c r="A1198" s="302" t="str">
        <f t="shared" si="29"/>
        <v>takeOffDistAvailCopter</v>
      </c>
      <c r="B1198" s="6" t="s">
        <v>10518</v>
      </c>
      <c r="C1198" s="17" t="s">
        <v>10519</v>
      </c>
      <c r="D1198" s="10" t="s">
        <v>10520</v>
      </c>
      <c r="E1198" s="10" t="s">
        <v>1877</v>
      </c>
      <c r="F1198" s="10" t="s">
        <v>10521</v>
      </c>
      <c r="G1198" s="12" t="s">
        <v>4643</v>
      </c>
      <c r="H1198" s="74"/>
      <c r="I1198" s="147" t="str">
        <f>HYPERLINK("[#]Datatypes!B1097:L1097","Real")</f>
        <v>Real</v>
      </c>
      <c r="J1198" s="76" t="str">
        <f>HYPERLINK("[#]PhysicalQuantities!A20:N20","Length")</f>
        <v>Length</v>
      </c>
      <c r="K1198" s="75" t="str">
        <f>HYPERLINK("[#]UnitsOfMeasure!D80:G80","Metre")</f>
        <v>Metre</v>
      </c>
      <c r="L1198" s="77"/>
      <c r="M1198" s="78"/>
      <c r="N1198" s="74"/>
      <c r="O1198" s="25">
        <v>117731</v>
      </c>
      <c r="P1198" s="304" t="str">
        <f>CONCATENATE([1]Cover!$D$6,"fdd/view?i=",O1198)</f>
        <v>https://www.dgiwg.org/FAD/fdd/view?i=117731</v>
      </c>
      <c r="Q1198" s="8" t="s">
        <v>10517</v>
      </c>
      <c r="R1198" s="38" t="s">
        <v>151</v>
      </c>
    </row>
    <row r="1199" spans="1:18" ht="25.5">
      <c r="A1199" s="302" t="str">
        <f t="shared" si="29"/>
        <v>takeOffRunAvailable</v>
      </c>
      <c r="B1199" s="6" t="s">
        <v>10523</v>
      </c>
      <c r="C1199" s="17" t="s">
        <v>10524</v>
      </c>
      <c r="D1199" s="10" t="s">
        <v>10525</v>
      </c>
      <c r="E1199" s="55"/>
      <c r="F1199" s="10" t="s">
        <v>10526</v>
      </c>
      <c r="G1199" s="12" t="s">
        <v>4643</v>
      </c>
      <c r="H1199" s="74"/>
      <c r="I1199" s="147" t="str">
        <f>HYPERLINK("[#]Datatypes!B1097:L1097","Real")</f>
        <v>Real</v>
      </c>
      <c r="J1199" s="76" t="str">
        <f>HYPERLINK("[#]PhysicalQuantities!A20:N20","Length")</f>
        <v>Length</v>
      </c>
      <c r="K1199" s="75" t="str">
        <f>HYPERLINK("[#]UnitsOfMeasure!D80:G80","Metre")</f>
        <v>Metre</v>
      </c>
      <c r="L1199" s="77"/>
      <c r="M1199" s="78"/>
      <c r="N1199" s="74"/>
      <c r="O1199" s="25">
        <v>117732</v>
      </c>
      <c r="P1199" s="304" t="str">
        <f>CONCATENATE([1]Cover!$D$6,"fdd/view?i=",O1199)</f>
        <v>https://www.dgiwg.org/FAD/fdd/view?i=117732</v>
      </c>
      <c r="Q1199" s="8" t="s">
        <v>10522</v>
      </c>
      <c r="R1199" s="38" t="s">
        <v>151</v>
      </c>
    </row>
    <row r="1200" spans="1:18" ht="102">
      <c r="A1200" s="302" t="str">
        <f t="shared" si="29"/>
        <v>taxiwayDesignator</v>
      </c>
      <c r="B1200" s="6" t="s">
        <v>10528</v>
      </c>
      <c r="C1200" s="17" t="s">
        <v>10529</v>
      </c>
      <c r="D1200" s="10" t="s">
        <v>10530</v>
      </c>
      <c r="E1200" s="10" t="s">
        <v>10531</v>
      </c>
      <c r="F1200" s="55"/>
      <c r="G1200" s="12" t="s">
        <v>4643</v>
      </c>
      <c r="H1200" s="74"/>
      <c r="I1200" s="147" t="str">
        <f>HYPERLINK("[#]Datatypes!B1442:L1442","TextNonLexUnconstrained")</f>
        <v>TextNonLexUnconstrained</v>
      </c>
      <c r="J1200" s="80"/>
      <c r="K1200" s="77"/>
      <c r="L1200" s="77"/>
      <c r="M1200" s="78"/>
      <c r="N1200" s="74"/>
      <c r="O1200" s="25">
        <v>117560</v>
      </c>
      <c r="P1200" s="304" t="str">
        <f>CONCATENATE([1]Cover!$D$6,"fdd/view?i=",O1200)</f>
        <v>https://www.dgiwg.org/FAD/fdd/view?i=117560</v>
      </c>
      <c r="Q1200" s="8" t="s">
        <v>10527</v>
      </c>
      <c r="R1200" s="38" t="s">
        <v>151</v>
      </c>
    </row>
    <row r="1201" spans="1:18">
      <c r="A1201" s="302" t="str">
        <f t="shared" si="29"/>
        <v>taxiwayRemarks</v>
      </c>
      <c r="B1201" s="6" t="s">
        <v>10533</v>
      </c>
      <c r="C1201" s="17" t="s">
        <v>10534</v>
      </c>
      <c r="D1201" s="10" t="s">
        <v>10535</v>
      </c>
      <c r="E1201" s="55"/>
      <c r="F1201" s="55"/>
      <c r="G1201" s="12" t="s">
        <v>4643</v>
      </c>
      <c r="H1201" s="74"/>
      <c r="I1201" s="147" t="str">
        <f>HYPERLINK("[#]Datatypes!B1416:L1416","TextLexUnconstrained")</f>
        <v>TextLexUnconstrained</v>
      </c>
      <c r="J1201" s="80"/>
      <c r="K1201" s="77"/>
      <c r="L1201" s="77"/>
      <c r="M1201" s="78"/>
      <c r="N1201" s="74"/>
      <c r="O1201" s="25">
        <v>119141</v>
      </c>
      <c r="P1201" s="304" t="str">
        <f>CONCATENATE([1]Cover!$D$6,"fdd/view?i=",O1201)</f>
        <v>https://www.dgiwg.org/FAD/fdd/view?i=119141</v>
      </c>
      <c r="Q1201" s="8" t="s">
        <v>10532</v>
      </c>
      <c r="R1201" s="38" t="s">
        <v>151</v>
      </c>
    </row>
    <row r="1202" spans="1:18" ht="25.5">
      <c r="A1202" s="302" t="str">
        <f t="shared" si="29"/>
        <v>taxiwayType</v>
      </c>
      <c r="B1202" s="6" t="s">
        <v>10537</v>
      </c>
      <c r="C1202" s="17" t="s">
        <v>10538</v>
      </c>
      <c r="D1202" s="10" t="s">
        <v>10539</v>
      </c>
      <c r="E1202" s="55"/>
      <c r="F1202" s="55"/>
      <c r="G1202" s="12" t="s">
        <v>4643</v>
      </c>
      <c r="H1202" s="74"/>
      <c r="I1202" s="147" t="str">
        <f>HYPERLINK("[#]Datatypes!B1370:L1370","TaxiwayTypeCode")</f>
        <v>TaxiwayTypeCode</v>
      </c>
      <c r="J1202" s="80"/>
      <c r="K1202" s="77"/>
      <c r="L1202" s="77"/>
      <c r="M1202" s="71" t="str">
        <f>HYPERLINK("[#]DatatypeListedValues!A6747:H6747","&lt;values&gt;")</f>
        <v>&lt;values&gt;</v>
      </c>
      <c r="N1202" s="82" t="b">
        <v>0</v>
      </c>
      <c r="O1202" s="25">
        <v>117735</v>
      </c>
      <c r="P1202" s="304" t="str">
        <f>CONCATENATE([1]Cover!$D$6,"fdd/view?i=",O1202)</f>
        <v>https://www.dgiwg.org/FAD/fdd/view?i=117735</v>
      </c>
      <c r="Q1202" s="8" t="s">
        <v>10536</v>
      </c>
      <c r="R1202" s="38" t="s">
        <v>151</v>
      </c>
    </row>
    <row r="1203" spans="1:18" ht="38.25">
      <c r="A1203" s="302" t="str">
        <f t="shared" si="29"/>
        <v>telecomManageRegionType</v>
      </c>
      <c r="B1203" s="6" t="s">
        <v>10542</v>
      </c>
      <c r="C1203" s="17" t="s">
        <v>10543</v>
      </c>
      <c r="D1203" s="10" t="s">
        <v>10544</v>
      </c>
      <c r="E1203" s="55"/>
      <c r="F1203" s="55"/>
      <c r="G1203" s="12" t="s">
        <v>4643</v>
      </c>
      <c r="H1203" s="74"/>
      <c r="I1203" s="147" t="str">
        <f>HYPERLINK("[#]Datatypes!B1372:L1372","TelecomManageRegionTypeCode")</f>
        <v>TelecomManageRegionTypeCode</v>
      </c>
      <c r="J1203" s="80"/>
      <c r="K1203" s="77"/>
      <c r="L1203" s="77"/>
      <c r="M1203" s="71" t="str">
        <f>HYPERLINK("[#]DatatypeListedValues!A6760:H6760","&lt;values&gt;")</f>
        <v>&lt;values&gt;</v>
      </c>
      <c r="N1203" s="82" t="b">
        <v>0</v>
      </c>
      <c r="O1203" s="25">
        <v>204373</v>
      </c>
      <c r="P1203" s="304" t="str">
        <f>CONCATENATE([1]Cover!$D$6,"fdd/view?i=",O1203)</f>
        <v>https://www.dgiwg.org/FAD/fdd/view?i=204373</v>
      </c>
      <c r="Q1203" s="8" t="s">
        <v>10541</v>
      </c>
      <c r="R1203" s="38" t="s">
        <v>1295</v>
      </c>
    </row>
    <row r="1204" spans="1:18" ht="25.5">
      <c r="A1204" s="302" t="str">
        <f t="shared" si="29"/>
        <v>telescopeType</v>
      </c>
      <c r="B1204" s="6" t="s">
        <v>10547</v>
      </c>
      <c r="C1204" s="17" t="s">
        <v>10548</v>
      </c>
      <c r="D1204" s="10" t="s">
        <v>10549</v>
      </c>
      <c r="E1204" s="55"/>
      <c r="F1204" s="55"/>
      <c r="G1204" s="12" t="s">
        <v>4643</v>
      </c>
      <c r="H1204" s="74"/>
      <c r="I1204" s="147" t="str">
        <f>HYPERLINK("[#]Datatypes!B1378:L1378","TelescopeTypeCode")</f>
        <v>TelescopeTypeCode</v>
      </c>
      <c r="J1204" s="80"/>
      <c r="K1204" s="77"/>
      <c r="L1204" s="77"/>
      <c r="M1204" s="71" t="str">
        <f>HYPERLINK("[#]DatatypeListedValues!A6766:H6766","&lt;values&gt;")</f>
        <v>&lt;values&gt;</v>
      </c>
      <c r="N1204" s="82" t="b">
        <v>0</v>
      </c>
      <c r="O1204" s="25">
        <v>101362</v>
      </c>
      <c r="P1204" s="304" t="str">
        <f>CONCATENATE([1]Cover!$D$6,"fdd/view?i=",O1204)</f>
        <v>https://www.dgiwg.org/FAD/fdd/view?i=101362</v>
      </c>
      <c r="Q1204" s="8" t="s">
        <v>10546</v>
      </c>
      <c r="R1204" s="38" t="s">
        <v>151</v>
      </c>
    </row>
    <row r="1205" spans="1:18" ht="25.5">
      <c r="A1205" s="302" t="str">
        <f t="shared" si="29"/>
        <v>temperature</v>
      </c>
      <c r="B1205" s="6" t="s">
        <v>10552</v>
      </c>
      <c r="C1205" s="17" t="s">
        <v>10553</v>
      </c>
      <c r="D1205" s="10" t="s">
        <v>10554</v>
      </c>
      <c r="E1205" s="10" t="s">
        <v>299</v>
      </c>
      <c r="F1205" s="55"/>
      <c r="G1205" s="12" t="s">
        <v>4643</v>
      </c>
      <c r="H1205" s="74"/>
      <c r="I1205" s="147" t="str">
        <f>HYPERLINK("[#]Datatypes!B1097:L1097","Real")</f>
        <v>Real</v>
      </c>
      <c r="J1205" s="76" t="str">
        <f>HYPERLINK("[#]PhysicalQuantities!A50:N50","Thermodynamic Temperature")</f>
        <v>Thermodynamic Temperature</v>
      </c>
      <c r="K1205" s="75" t="str">
        <f>HYPERLINK("[#]UnitsOfMeasure!D262:G262","Degree Celsius")</f>
        <v>Degree Celsius</v>
      </c>
      <c r="L1205" s="77"/>
      <c r="M1205" s="78"/>
      <c r="N1205" s="74"/>
      <c r="O1205" s="25">
        <v>119408</v>
      </c>
      <c r="P1205" s="304" t="str">
        <f>CONCATENATE([1]Cover!$D$6,"fdd/view?i=",O1205)</f>
        <v>https://www.dgiwg.org/FAD/fdd/view?i=119408</v>
      </c>
      <c r="Q1205" s="8" t="s">
        <v>10551</v>
      </c>
      <c r="R1205" s="38" t="s">
        <v>151</v>
      </c>
    </row>
    <row r="1206" spans="1:18">
      <c r="A1206" s="302" t="str">
        <f t="shared" si="29"/>
        <v>extent</v>
      </c>
      <c r="B1206" s="6" t="s">
        <v>9671</v>
      </c>
      <c r="C1206" s="17" t="s">
        <v>4202</v>
      </c>
      <c r="D1206" s="10" t="s">
        <v>10556</v>
      </c>
      <c r="E1206" s="55"/>
      <c r="F1206" s="55"/>
      <c r="G1206" s="12" t="s">
        <v>4643</v>
      </c>
      <c r="H1206" s="74"/>
      <c r="I1206" s="147" t="str">
        <f>HYPERLINK("[#]Datatypes!B1380:L1380","TemporalGeoPrimStrucText")</f>
        <v>TemporalGeoPrimStrucText</v>
      </c>
      <c r="J1206" s="80"/>
      <c r="K1206" s="77"/>
      <c r="L1206" s="77"/>
      <c r="M1206" s="78"/>
      <c r="N1206" s="74"/>
      <c r="O1206" s="25">
        <v>207202</v>
      </c>
      <c r="P1206" s="304" t="str">
        <f>CONCATENATE([1]Cover!$D$6,"fdd/view?i=",O1206)</f>
        <v>https://www.dgiwg.org/FAD/fdd/view?i=207202</v>
      </c>
      <c r="Q1206" s="8" t="s">
        <v>10555</v>
      </c>
      <c r="R1206" s="38" t="s">
        <v>1295</v>
      </c>
    </row>
    <row r="1207" spans="1:18" ht="38.25">
      <c r="A1207" s="302" t="str">
        <f t="shared" si="29"/>
        <v>temporaryOceanFront</v>
      </c>
      <c r="B1207" s="6" t="s">
        <v>10559</v>
      </c>
      <c r="C1207" s="17" t="s">
        <v>10560</v>
      </c>
      <c r="D1207" s="10" t="s">
        <v>10561</v>
      </c>
      <c r="E1207" s="55"/>
      <c r="F1207" s="55"/>
      <c r="G1207" s="12" t="s">
        <v>4643</v>
      </c>
      <c r="H1207" s="74"/>
      <c r="I1207" s="147" t="str">
        <f>HYPERLINK("[#]Datatypes!B230:L230","Boolean")</f>
        <v>Boolean</v>
      </c>
      <c r="J1207" s="80"/>
      <c r="K1207" s="77"/>
      <c r="L1207" s="77"/>
      <c r="M1207" s="78"/>
      <c r="N1207" s="74"/>
      <c r="O1207" s="25">
        <v>206190</v>
      </c>
      <c r="P1207" s="304" t="str">
        <f>CONCATENATE([1]Cover!$D$6,"fdd/view?i=",O1207)</f>
        <v>https://www.dgiwg.org/FAD/fdd/view?i=206190</v>
      </c>
      <c r="Q1207" s="8" t="s">
        <v>10558</v>
      </c>
      <c r="R1207" s="38" t="s">
        <v>1295</v>
      </c>
    </row>
    <row r="1208" spans="1:18" ht="63.75">
      <c r="A1208" s="302" t="str">
        <f t="shared" si="29"/>
        <v>terminalArriveAltAreaType</v>
      </c>
      <c r="B1208" s="6" t="s">
        <v>10563</v>
      </c>
      <c r="C1208" s="17" t="s">
        <v>10564</v>
      </c>
      <c r="D1208" s="10" t="s">
        <v>10565</v>
      </c>
      <c r="E1208" s="10" t="s">
        <v>10566</v>
      </c>
      <c r="F1208" s="55"/>
      <c r="G1208" s="12" t="s">
        <v>4643</v>
      </c>
      <c r="H1208" s="74"/>
      <c r="I1208" s="147" t="str">
        <f>HYPERLINK("[#]Datatypes!B1382:L1382","TerminalArriveAltAreaTypeCode")</f>
        <v>TerminalArriveAltAreaTypeCode</v>
      </c>
      <c r="J1208" s="80"/>
      <c r="K1208" s="77"/>
      <c r="L1208" s="77"/>
      <c r="M1208" s="71" t="str">
        <f>HYPERLINK("[#]DatatypeListedValues!A6769:H6769","&lt;values&gt;")</f>
        <v>&lt;values&gt;</v>
      </c>
      <c r="N1208" s="82" t="b">
        <v>0</v>
      </c>
      <c r="O1208" s="25">
        <v>117718</v>
      </c>
      <c r="P1208" s="304" t="str">
        <f>CONCATENATE([1]Cover!$D$6,"fdd/view?i=",O1208)</f>
        <v>https://www.dgiwg.org/FAD/fdd/view?i=117718</v>
      </c>
      <c r="Q1208" s="8" t="s">
        <v>10562</v>
      </c>
      <c r="R1208" s="38" t="s">
        <v>151</v>
      </c>
    </row>
    <row r="1209" spans="1:18" ht="89.25">
      <c r="A1209" s="302" t="str">
        <f t="shared" si="29"/>
        <v>termInstProcDesig</v>
      </c>
      <c r="B1209" s="6" t="s">
        <v>10569</v>
      </c>
      <c r="C1209" s="17" t="s">
        <v>10570</v>
      </c>
      <c r="D1209" s="10" t="s">
        <v>10571</v>
      </c>
      <c r="E1209" s="10" t="s">
        <v>10572</v>
      </c>
      <c r="F1209" s="55"/>
      <c r="G1209" s="12" t="s">
        <v>4643</v>
      </c>
      <c r="H1209" s="74"/>
      <c r="I1209" s="147" t="str">
        <f>HYPERLINK("[#]Datatypes!B1384:L1384","TermInstProcDesigStrucText")</f>
        <v>TermInstProcDesigStrucText</v>
      </c>
      <c r="J1209" s="80"/>
      <c r="K1209" s="77"/>
      <c r="L1209" s="77"/>
      <c r="M1209" s="78"/>
      <c r="N1209" s="74"/>
      <c r="O1209" s="25">
        <v>119622</v>
      </c>
      <c r="P1209" s="304" t="str">
        <f>CONCATENATE([1]Cover!$D$6,"fdd/view?i=",O1209)</f>
        <v>https://www.dgiwg.org/FAD/fdd/view?i=119622</v>
      </c>
      <c r="Q1209" s="8" t="s">
        <v>10568</v>
      </c>
      <c r="R1209" s="38" t="s">
        <v>151</v>
      </c>
    </row>
    <row r="1210" spans="1:18" ht="38.25">
      <c r="A1210" s="302" t="str">
        <f t="shared" si="29"/>
        <v>termInstProcIdent</v>
      </c>
      <c r="B1210" s="6" t="s">
        <v>10575</v>
      </c>
      <c r="C1210" s="17" t="s">
        <v>10576</v>
      </c>
      <c r="D1210" s="10" t="s">
        <v>10577</v>
      </c>
      <c r="E1210" s="10" t="s">
        <v>10578</v>
      </c>
      <c r="F1210" s="55"/>
      <c r="G1210" s="12" t="s">
        <v>4643</v>
      </c>
      <c r="H1210" s="74"/>
      <c r="I1210" s="147" t="str">
        <f>HYPERLINK("[#]Datatypes!B1386:L1386","TermInstProcIdentStrucText")</f>
        <v>TermInstProcIdentStrucText</v>
      </c>
      <c r="J1210" s="80"/>
      <c r="K1210" s="77"/>
      <c r="L1210" s="77"/>
      <c r="M1210" s="78"/>
      <c r="N1210" s="74"/>
      <c r="O1210" s="25">
        <v>119623</v>
      </c>
      <c r="P1210" s="304" t="str">
        <f>CONCATENATE([1]Cover!$D$6,"fdd/view?i=",O1210)</f>
        <v>https://www.dgiwg.org/FAD/fdd/view?i=119623</v>
      </c>
      <c r="Q1210" s="8" t="s">
        <v>10574</v>
      </c>
      <c r="R1210" s="38" t="s">
        <v>151</v>
      </c>
    </row>
    <row r="1211" spans="1:18" ht="25.5">
      <c r="A1211" s="302" t="str">
        <f t="shared" si="29"/>
        <v>termInstProcTransitionId</v>
      </c>
      <c r="B1211" s="6" t="s">
        <v>10581</v>
      </c>
      <c r="C1211" s="17" t="s">
        <v>10582</v>
      </c>
      <c r="D1211" s="10" t="s">
        <v>10583</v>
      </c>
      <c r="E1211" s="55"/>
      <c r="F1211" s="55"/>
      <c r="G1211" s="12" t="s">
        <v>4643</v>
      </c>
      <c r="H1211" s="74"/>
      <c r="I1211" s="147" t="str">
        <f>HYPERLINK("[#]Datatypes!B1388:L1388","TermInstProcTransitionIdStrucText")</f>
        <v>TermInstProcTransitionIdStrucText</v>
      </c>
      <c r="J1211" s="80"/>
      <c r="K1211" s="77"/>
      <c r="L1211" s="77"/>
      <c r="M1211" s="78"/>
      <c r="N1211" s="74"/>
      <c r="O1211" s="25">
        <v>119624</v>
      </c>
      <c r="P1211" s="304" t="str">
        <f>CONCATENATE([1]Cover!$D$6,"fdd/view?i=",O1211)</f>
        <v>https://www.dgiwg.org/FAD/fdd/view?i=119624</v>
      </c>
      <c r="Q1211" s="8" t="s">
        <v>10580</v>
      </c>
      <c r="R1211" s="38" t="s">
        <v>151</v>
      </c>
    </row>
    <row r="1212" spans="1:18" ht="25.5">
      <c r="A1212" s="302" t="str">
        <f t="shared" si="29"/>
        <v>terrainFaceType</v>
      </c>
      <c r="B1212" s="6" t="s">
        <v>10586</v>
      </c>
      <c r="C1212" s="17" t="s">
        <v>10587</v>
      </c>
      <c r="D1212" s="10" t="s">
        <v>10588</v>
      </c>
      <c r="E1212" s="55"/>
      <c r="F1212" s="55"/>
      <c r="G1212" s="12" t="s">
        <v>4643</v>
      </c>
      <c r="H1212" s="74"/>
      <c r="I1212" s="147" t="str">
        <f>HYPERLINK("[#]Datatypes!B1390:L1390","TerrainFaceTypeCode")</f>
        <v>TerrainFaceTypeCode</v>
      </c>
      <c r="J1212" s="80"/>
      <c r="K1212" s="77"/>
      <c r="L1212" s="77"/>
      <c r="M1212" s="71" t="str">
        <f>HYPERLINK("[#]DatatypeListedValues!A6772:H6772","&lt;values&gt;")</f>
        <v>&lt;values&gt;</v>
      </c>
      <c r="N1212" s="82" t="b">
        <v>0</v>
      </c>
      <c r="O1212" s="25">
        <v>114241</v>
      </c>
      <c r="P1212" s="304" t="str">
        <f>CONCATENATE([1]Cover!$D$6,"fdd/view?i=",O1212)</f>
        <v>https://www.dgiwg.org/FAD/fdd/view?i=114241</v>
      </c>
      <c r="Q1212" s="8" t="s">
        <v>10585</v>
      </c>
      <c r="R1212" s="38" t="s">
        <v>151</v>
      </c>
    </row>
    <row r="1213" spans="1:18" ht="63.75">
      <c r="A1213" s="302" t="str">
        <f t="shared" si="29"/>
        <v>terrainGapWidth</v>
      </c>
      <c r="B1213" s="6" t="s">
        <v>10591</v>
      </c>
      <c r="C1213" s="17" t="s">
        <v>10592</v>
      </c>
      <c r="D1213" s="10" t="s">
        <v>10593</v>
      </c>
      <c r="E1213" s="10" t="s">
        <v>10594</v>
      </c>
      <c r="F1213" s="10" t="s">
        <v>10595</v>
      </c>
      <c r="G1213" s="12" t="s">
        <v>4643</v>
      </c>
      <c r="H1213" s="74"/>
      <c r="I1213" s="147" t="str">
        <f>HYPERLINK("[#]Datatypes!B1097:L1097","Real")</f>
        <v>Real</v>
      </c>
      <c r="J1213" s="76" t="str">
        <f>HYPERLINK("[#]PhysicalQuantities!A20:N20","Length")</f>
        <v>Length</v>
      </c>
      <c r="K1213" s="75" t="str">
        <f>HYPERLINK("[#]UnitsOfMeasure!D80:G80","Metre")</f>
        <v>Metre</v>
      </c>
      <c r="L1213" s="77"/>
      <c r="M1213" s="78"/>
      <c r="N1213" s="74"/>
      <c r="O1213" s="25">
        <v>110731</v>
      </c>
      <c r="P1213" s="304" t="str">
        <f>CONCATENATE([1]Cover!$D$6,"fdd/view?i=",O1213)</f>
        <v>https://www.dgiwg.org/FAD/fdd/view?i=110731</v>
      </c>
      <c r="Q1213" s="8" t="s">
        <v>10590</v>
      </c>
      <c r="R1213" s="38" t="s">
        <v>151</v>
      </c>
    </row>
    <row r="1214" spans="1:18" ht="38.25">
      <c r="A1214" s="302" t="str">
        <f t="shared" si="29"/>
        <v>terrainMorphology</v>
      </c>
      <c r="B1214" s="6" t="s">
        <v>10597</v>
      </c>
      <c r="C1214" s="17" t="s">
        <v>10598</v>
      </c>
      <c r="D1214" s="10" t="s">
        <v>10599</v>
      </c>
      <c r="E1214" s="10" t="s">
        <v>10600</v>
      </c>
      <c r="F1214" s="55"/>
      <c r="G1214" s="12" t="s">
        <v>4643</v>
      </c>
      <c r="H1214" s="74"/>
      <c r="I1214" s="147" t="str">
        <f>HYPERLINK("[#]Datatypes!B1392:L1392","TerrainMorphologyCode")</f>
        <v>TerrainMorphologyCode</v>
      </c>
      <c r="J1214" s="80"/>
      <c r="K1214" s="77"/>
      <c r="L1214" s="77"/>
      <c r="M1214" s="71" t="str">
        <f>HYPERLINK("[#]DatatypeListedValues!A6774:H6774","&lt;values&gt;")</f>
        <v>&lt;values&gt;</v>
      </c>
      <c r="N1214" s="82" t="b">
        <v>0</v>
      </c>
      <c r="O1214" s="25">
        <v>101324</v>
      </c>
      <c r="P1214" s="304" t="str">
        <f>CONCATENATE([1]Cover!$D$6,"fdd/view?i=",O1214)</f>
        <v>https://www.dgiwg.org/FAD/fdd/view?i=101324</v>
      </c>
      <c r="Q1214" s="8" t="s">
        <v>10596</v>
      </c>
      <c r="R1214" s="38" t="s">
        <v>151</v>
      </c>
    </row>
    <row r="1215" spans="1:18" ht="38.25">
      <c r="A1215" s="302" t="str">
        <f t="shared" si="29"/>
        <v>terrainMorphologyDesc</v>
      </c>
      <c r="B1215" s="6" t="s">
        <v>10603</v>
      </c>
      <c r="C1215" s="17" t="s">
        <v>10604</v>
      </c>
      <c r="D1215" s="10" t="s">
        <v>10605</v>
      </c>
      <c r="E1215" s="10" t="s">
        <v>10606</v>
      </c>
      <c r="F1215" s="55"/>
      <c r="G1215" s="12" t="s">
        <v>4643</v>
      </c>
      <c r="H1215" s="74"/>
      <c r="I1215" s="147" t="str">
        <f>HYPERLINK("[#]Datatypes!B1416:L1416","TextLexUnconstrained")</f>
        <v>TextLexUnconstrained</v>
      </c>
      <c r="J1215" s="80"/>
      <c r="K1215" s="77"/>
      <c r="L1215" s="77"/>
      <c r="M1215" s="78"/>
      <c r="N1215" s="74"/>
      <c r="O1215" s="25">
        <v>101394</v>
      </c>
      <c r="P1215" s="304" t="str">
        <f>CONCATENATE([1]Cover!$D$6,"fdd/view?i=",O1215)</f>
        <v>https://www.dgiwg.org/FAD/fdd/view?i=101394</v>
      </c>
      <c r="Q1215" s="8" t="s">
        <v>10602</v>
      </c>
      <c r="R1215" s="38" t="s">
        <v>151</v>
      </c>
    </row>
    <row r="1216" spans="1:18">
      <c r="A1216" s="302" t="str">
        <f t="shared" si="29"/>
        <v>terrainSurfaceMaterial</v>
      </c>
      <c r="B1216" s="6" t="s">
        <v>10608</v>
      </c>
      <c r="C1216" s="17" t="s">
        <v>10609</v>
      </c>
      <c r="D1216" s="10" t="s">
        <v>10610</v>
      </c>
      <c r="E1216" s="55"/>
      <c r="F1216" s="55"/>
      <c r="G1216" s="12" t="s">
        <v>4643</v>
      </c>
      <c r="H1216" s="12" t="s">
        <v>4700</v>
      </c>
      <c r="I1216" s="147" t="str">
        <f>HYPERLINK("[#]Datatypes!B1394:L1394","TerrainSurfaceMaterialCode")</f>
        <v>TerrainSurfaceMaterialCode</v>
      </c>
      <c r="J1216" s="80"/>
      <c r="K1216" s="77"/>
      <c r="L1216" s="77"/>
      <c r="M1216" s="71" t="str">
        <f>HYPERLINK("[#]DatatypeListedValues!A6826:H6826","&lt;values&gt;")</f>
        <v>&lt;values&gt;</v>
      </c>
      <c r="N1216" s="82" t="b">
        <v>0</v>
      </c>
      <c r="O1216" s="25">
        <v>202744</v>
      </c>
      <c r="P1216" s="304" t="str">
        <f>CONCATENATE([1]Cover!$D$6,"fdd/view?i=",O1216)</f>
        <v>https://www.dgiwg.org/FAD/fdd/view?i=202744</v>
      </c>
      <c r="Q1216" s="8" t="s">
        <v>10607</v>
      </c>
      <c r="R1216" s="38" t="s">
        <v>1295</v>
      </c>
    </row>
    <row r="1217" spans="1:18" ht="25.5">
      <c r="A1217" s="302" t="str">
        <f t="shared" si="29"/>
        <v>locale</v>
      </c>
      <c r="B1217" s="6" t="s">
        <v>10613</v>
      </c>
      <c r="C1217" s="17" t="s">
        <v>10614</v>
      </c>
      <c r="D1217" s="10" t="s">
        <v>10615</v>
      </c>
      <c r="E1217" s="10" t="s">
        <v>10616</v>
      </c>
      <c r="F1217" s="55"/>
      <c r="G1217" s="12" t="s">
        <v>4643</v>
      </c>
      <c r="H1217" s="74"/>
      <c r="I1217" s="147" t="str">
        <f>HYPERLINK("[#]Datatypes!B1416:L1416","TextLexUnconstrained")</f>
        <v>TextLexUnconstrained</v>
      </c>
      <c r="J1217" s="80"/>
      <c r="K1217" s="77"/>
      <c r="L1217" s="77"/>
      <c r="M1217" s="78"/>
      <c r="N1217" s="74"/>
      <c r="O1217" s="25">
        <v>207242</v>
      </c>
      <c r="P1217" s="304" t="str">
        <f>CONCATENATE([1]Cover!$D$6,"fdd/view?i=",O1217)</f>
        <v>https://www.dgiwg.org/FAD/fdd/view?i=207242</v>
      </c>
      <c r="Q1217" s="8" t="s">
        <v>10612</v>
      </c>
      <c r="R1217" s="38" t="s">
        <v>1295</v>
      </c>
    </row>
    <row r="1218" spans="1:18" ht="25.5">
      <c r="A1218" s="302" t="str">
        <f t="shared" si="29"/>
        <v>thermalDifference</v>
      </c>
      <c r="B1218" s="6" t="s">
        <v>10618</v>
      </c>
      <c r="C1218" s="17" t="s">
        <v>10619</v>
      </c>
      <c r="D1218" s="10" t="s">
        <v>10620</v>
      </c>
      <c r="E1218" s="55"/>
      <c r="F1218" s="55"/>
      <c r="G1218" s="12" t="s">
        <v>4643</v>
      </c>
      <c r="H1218" s="74"/>
      <c r="I1218" s="147" t="str">
        <f>HYPERLINK("[#]Datatypes!B1097:L1097","Real")</f>
        <v>Real</v>
      </c>
      <c r="J1218" s="76" t="str">
        <f>HYPERLINK("[#]PhysicalQuantities!A50:N50","Thermodynamic Temperature")</f>
        <v>Thermodynamic Temperature</v>
      </c>
      <c r="K1218" s="75" t="str">
        <f>HYPERLINK("[#]UnitsOfMeasure!D262:G262","Degree Celsius")</f>
        <v>Degree Celsius</v>
      </c>
      <c r="L1218" s="77"/>
      <c r="M1218" s="78"/>
      <c r="N1218" s="74"/>
      <c r="O1218" s="25">
        <v>206191</v>
      </c>
      <c r="P1218" s="304" t="str">
        <f>CONCATENATE([1]Cover!$D$6,"fdd/view?i=",O1218)</f>
        <v>https://www.dgiwg.org/FAD/fdd/view?i=206191</v>
      </c>
      <c r="Q1218" s="8" t="s">
        <v>10617</v>
      </c>
      <c r="R1218" s="38" t="s">
        <v>1295</v>
      </c>
    </row>
    <row r="1219" spans="1:18" ht="25.5">
      <c r="A1219" s="302" t="str">
        <f t="shared" si="29"/>
        <v>thesaurusName</v>
      </c>
      <c r="B1219" s="6" t="s">
        <v>10622</v>
      </c>
      <c r="C1219" s="17" t="s">
        <v>10623</v>
      </c>
      <c r="D1219" s="10" t="s">
        <v>10624</v>
      </c>
      <c r="E1219" s="55"/>
      <c r="F1219" s="55"/>
      <c r="G1219" s="12" t="s">
        <v>4643</v>
      </c>
      <c r="H1219" s="74"/>
      <c r="I1219" s="147" t="str">
        <f>HYPERLINK("[#]Datatypes!B315:L315","CitationStrucText")</f>
        <v>CitationStrucText</v>
      </c>
      <c r="J1219" s="80"/>
      <c r="K1219" s="77"/>
      <c r="L1219" s="77"/>
      <c r="M1219" s="78"/>
      <c r="N1219" s="74"/>
      <c r="O1219" s="25">
        <v>207178</v>
      </c>
      <c r="P1219" s="304" t="str">
        <f>CONCATENATE([1]Cover!$D$6,"fdd/view?i=",O1219)</f>
        <v>https://www.dgiwg.org/FAD/fdd/view?i=207178</v>
      </c>
      <c r="Q1219" s="8" t="s">
        <v>10621</v>
      </c>
      <c r="R1219" s="38" t="s">
        <v>1295</v>
      </c>
    </row>
    <row r="1220" spans="1:18" ht="25.5">
      <c r="A1220" s="302" t="str">
        <f t="shared" ref="A1220:A1283" si="30">HYPERLINK(P1220,B1220)</f>
        <v>thickness</v>
      </c>
      <c r="B1220" s="6" t="s">
        <v>10626</v>
      </c>
      <c r="C1220" s="17" t="s">
        <v>10627</v>
      </c>
      <c r="D1220" s="10" t="s">
        <v>10628</v>
      </c>
      <c r="E1220" s="10" t="s">
        <v>10629</v>
      </c>
      <c r="F1220" s="55"/>
      <c r="G1220" s="12" t="s">
        <v>4643</v>
      </c>
      <c r="H1220" s="74"/>
      <c r="I1220" s="147" t="str">
        <f>HYPERLINK("[#]Datatypes!B1099:L1099","RealInterval")</f>
        <v>RealInterval</v>
      </c>
      <c r="J1220" s="76" t="str">
        <f>HYPERLINK("[#]PhysicalQuantities!A20:N20","Length")</f>
        <v>Length</v>
      </c>
      <c r="K1220" s="75" t="str">
        <f>HYPERLINK("[#]UnitsOfMeasure!D80:G80","Metre")</f>
        <v>Metre</v>
      </c>
      <c r="L1220" s="77"/>
      <c r="M1220" s="78"/>
      <c r="N1220" s="74"/>
      <c r="O1220" s="25">
        <v>111733</v>
      </c>
      <c r="P1220" s="304" t="str">
        <f>CONCATENATE([1]Cover!$D$6,"fdd/view?i=",O1220)</f>
        <v>https://www.dgiwg.org/FAD/fdd/view?i=111733</v>
      </c>
      <c r="Q1220" s="8" t="s">
        <v>10625</v>
      </c>
      <c r="R1220" s="38" t="s">
        <v>151</v>
      </c>
    </row>
    <row r="1221" spans="1:18" ht="51">
      <c r="A1221" s="302" t="str">
        <f t="shared" si="30"/>
        <v>thresholdCourseWidth</v>
      </c>
      <c r="B1221" s="6" t="s">
        <v>10631</v>
      </c>
      <c r="C1221" s="17" t="s">
        <v>10632</v>
      </c>
      <c r="D1221" s="10" t="s">
        <v>10633</v>
      </c>
      <c r="E1221" s="10" t="s">
        <v>10634</v>
      </c>
      <c r="F1221" s="55"/>
      <c r="G1221" s="12" t="s">
        <v>4643</v>
      </c>
      <c r="H1221" s="74"/>
      <c r="I1221" s="147" t="str">
        <f>HYPERLINK("[#]Datatypes!B958:L958","RealNonNegative")</f>
        <v>RealNonNegative</v>
      </c>
      <c r="J1221" s="76" t="str">
        <f>HYPERLINK("[#]PhysicalQuantities!A20:N20","Length")</f>
        <v>Length</v>
      </c>
      <c r="K1221" s="75" t="str">
        <f>HYPERLINK("[#]UnitsOfMeasure!D80:G80","Metre")</f>
        <v>Metre</v>
      </c>
      <c r="L1221" s="77"/>
      <c r="M1221" s="78"/>
      <c r="N1221" s="74"/>
      <c r="O1221" s="25">
        <v>119610</v>
      </c>
      <c r="P1221" s="304" t="str">
        <f>CONCATENATE([1]Cover!$D$6,"fdd/view?i=",O1221)</f>
        <v>https://www.dgiwg.org/FAD/fdd/view?i=119610</v>
      </c>
      <c r="Q1221" s="8" t="s">
        <v>10630</v>
      </c>
      <c r="R1221" s="38" t="s">
        <v>151</v>
      </c>
    </row>
    <row r="1222" spans="1:18" ht="38.25">
      <c r="A1222" s="302" t="str">
        <f t="shared" si="30"/>
        <v>thresholdCrossingHeight</v>
      </c>
      <c r="B1222" s="6" t="s">
        <v>10636</v>
      </c>
      <c r="C1222" s="17" t="s">
        <v>10637</v>
      </c>
      <c r="D1222" s="10" t="s">
        <v>10638</v>
      </c>
      <c r="E1222" s="55"/>
      <c r="F1222" s="10" t="s">
        <v>10639</v>
      </c>
      <c r="G1222" s="12" t="s">
        <v>4643</v>
      </c>
      <c r="H1222" s="74"/>
      <c r="I1222" s="147" t="str">
        <f>HYPERLINK("[#]Datatypes!B1097:L1097","Real")</f>
        <v>Real</v>
      </c>
      <c r="J1222" s="76" t="str">
        <f>HYPERLINK("[#]PhysicalQuantities!A20:N20","Length")</f>
        <v>Length</v>
      </c>
      <c r="K1222" s="75" t="str">
        <f>HYPERLINK("[#]UnitsOfMeasure!D80:G80","Metre")</f>
        <v>Metre</v>
      </c>
      <c r="L1222" s="77"/>
      <c r="M1222" s="78"/>
      <c r="N1222" s="74"/>
      <c r="O1222" s="25">
        <v>117723</v>
      </c>
      <c r="P1222" s="304" t="str">
        <f>CONCATENATE([1]Cover!$D$6,"fdd/view?i=",O1222)</f>
        <v>https://www.dgiwg.org/FAD/fdd/view?i=117723</v>
      </c>
      <c r="Q1222" s="8" t="s">
        <v>10635</v>
      </c>
      <c r="R1222" s="38" t="s">
        <v>151</v>
      </c>
    </row>
    <row r="1223" spans="1:18" ht="63.75">
      <c r="A1223" s="302" t="str">
        <f t="shared" si="30"/>
        <v>throughRoute</v>
      </c>
      <c r="B1223" s="6" t="s">
        <v>10641</v>
      </c>
      <c r="C1223" s="17" t="s">
        <v>10642</v>
      </c>
      <c r="D1223" s="10" t="s">
        <v>10643</v>
      </c>
      <c r="E1223" s="10" t="s">
        <v>10644</v>
      </c>
      <c r="F1223" s="55"/>
      <c r="G1223" s="12" t="s">
        <v>4643</v>
      </c>
      <c r="H1223" s="74"/>
      <c r="I1223" s="147" t="str">
        <f>HYPERLINK("[#]Datatypes!B230:L230","Boolean")</f>
        <v>Boolean</v>
      </c>
      <c r="J1223" s="80"/>
      <c r="K1223" s="77"/>
      <c r="L1223" s="77"/>
      <c r="M1223" s="78"/>
      <c r="N1223" s="74"/>
      <c r="O1223" s="25">
        <v>111734</v>
      </c>
      <c r="P1223" s="304" t="str">
        <f>CONCATENATE([1]Cover!$D$6,"fdd/view?i=",O1223)</f>
        <v>https://www.dgiwg.org/FAD/fdd/view?i=111734</v>
      </c>
      <c r="Q1223" s="8" t="s">
        <v>10640</v>
      </c>
      <c r="R1223" s="38" t="s">
        <v>151</v>
      </c>
    </row>
    <row r="1224" spans="1:18" ht="25.5">
      <c r="A1224" s="302" t="str">
        <f t="shared" si="30"/>
        <v>thrustAugmentFluidType</v>
      </c>
      <c r="B1224" s="6" t="s">
        <v>10646</v>
      </c>
      <c r="C1224" s="17" t="s">
        <v>10647</v>
      </c>
      <c r="D1224" s="10" t="s">
        <v>10648</v>
      </c>
      <c r="E1224" s="55"/>
      <c r="F1224" s="10" t="s">
        <v>10649</v>
      </c>
      <c r="G1224" s="12" t="s">
        <v>4643</v>
      </c>
      <c r="H1224" s="12" t="s">
        <v>4837</v>
      </c>
      <c r="I1224" s="147" t="str">
        <f>HYPERLINK("[#]Datatypes!B1444:L1444","ThrustAugmentFluidTypeCode")</f>
        <v>ThrustAugmentFluidTypeCode</v>
      </c>
      <c r="J1224" s="80"/>
      <c r="K1224" s="77"/>
      <c r="L1224" s="77"/>
      <c r="M1224" s="71" t="str">
        <f>HYPERLINK("[#]DatatypeListedValues!A6840:H6840","&lt;values&gt;")</f>
        <v>&lt;values&gt;</v>
      </c>
      <c r="N1224" s="82" t="b">
        <v>0</v>
      </c>
      <c r="O1224" s="25">
        <v>117720</v>
      </c>
      <c r="P1224" s="304" t="str">
        <f>CONCATENATE([1]Cover!$D$6,"fdd/view?i=",O1224)</f>
        <v>https://www.dgiwg.org/FAD/fdd/view?i=117720</v>
      </c>
      <c r="Q1224" s="8" t="s">
        <v>10645</v>
      </c>
      <c r="R1224" s="38" t="s">
        <v>151</v>
      </c>
    </row>
    <row r="1225" spans="1:18" ht="25.5">
      <c r="A1225" s="302" t="str">
        <f t="shared" si="30"/>
        <v>tidalCurDirect</v>
      </c>
      <c r="B1225" s="6" t="s">
        <v>10652</v>
      </c>
      <c r="C1225" s="17" t="s">
        <v>10653</v>
      </c>
      <c r="D1225" s="10" t="s">
        <v>10654</v>
      </c>
      <c r="E1225" s="10" t="s">
        <v>10655</v>
      </c>
      <c r="F1225" s="55"/>
      <c r="G1225" s="12" t="s">
        <v>4643</v>
      </c>
      <c r="H1225" s="74"/>
      <c r="I1225" s="147" t="str">
        <f t="shared" ref="I1225:I1236" si="31">HYPERLINK("[#]Datatypes!B1124:L1124","RealNonNeg359")</f>
        <v>RealNonNeg359</v>
      </c>
      <c r="J1225" s="76" t="str">
        <f t="shared" ref="J1225:J1236" si="32">HYPERLINK("[#]PhysicalQuantities!A34:N34","Plane Angle")</f>
        <v>Plane Angle</v>
      </c>
      <c r="K1225" s="75" t="str">
        <f t="shared" ref="K1225:K1236" si="33">HYPERLINK("[#]UnitsOfMeasure!D159:G159","Arc Degree")</f>
        <v>Arc Degree</v>
      </c>
      <c r="L1225" s="77"/>
      <c r="M1225" s="78"/>
      <c r="N1225" s="74"/>
      <c r="O1225" s="25">
        <v>110802</v>
      </c>
      <c r="P1225" s="304" t="str">
        <f>CONCATENATE([1]Cover!$D$6,"fdd/view?i=",O1225)</f>
        <v>https://www.dgiwg.org/FAD/fdd/view?i=110802</v>
      </c>
      <c r="Q1225" s="8" t="s">
        <v>10651</v>
      </c>
      <c r="R1225" s="38" t="s">
        <v>151</v>
      </c>
    </row>
    <row r="1226" spans="1:18" ht="25.5">
      <c r="A1226" s="302" t="str">
        <f t="shared" si="30"/>
        <v>tidalCurDirect1HrAfter</v>
      </c>
      <c r="B1226" s="6" t="s">
        <v>10658</v>
      </c>
      <c r="C1226" s="17" t="s">
        <v>10659</v>
      </c>
      <c r="D1226" s="10" t="s">
        <v>10660</v>
      </c>
      <c r="E1226" s="10" t="s">
        <v>10661</v>
      </c>
      <c r="F1226" s="55"/>
      <c r="G1226" s="12" t="s">
        <v>4643</v>
      </c>
      <c r="H1226" s="74"/>
      <c r="I1226" s="147" t="str">
        <f t="shared" si="31"/>
        <v>RealNonNeg359</v>
      </c>
      <c r="J1226" s="76" t="str">
        <f t="shared" si="32"/>
        <v>Plane Angle</v>
      </c>
      <c r="K1226" s="75" t="str">
        <f t="shared" si="33"/>
        <v>Arc Degree</v>
      </c>
      <c r="L1226" s="77"/>
      <c r="M1226" s="78"/>
      <c r="N1226" s="74"/>
      <c r="O1226" s="25">
        <v>110803</v>
      </c>
      <c r="P1226" s="304" t="str">
        <f>CONCATENATE([1]Cover!$D$6,"fdd/view?i=",O1226)</f>
        <v>https://www.dgiwg.org/FAD/fdd/view?i=110803</v>
      </c>
      <c r="Q1226" s="8" t="s">
        <v>10657</v>
      </c>
      <c r="R1226" s="38" t="s">
        <v>151</v>
      </c>
    </row>
    <row r="1227" spans="1:18" ht="25.5">
      <c r="A1227" s="302" t="str">
        <f t="shared" si="30"/>
        <v>tidalCurDirect1HrBefore</v>
      </c>
      <c r="B1227" s="6" t="s">
        <v>10663</v>
      </c>
      <c r="C1227" s="17" t="s">
        <v>10664</v>
      </c>
      <c r="D1227" s="10" t="s">
        <v>10665</v>
      </c>
      <c r="E1227" s="10" t="s">
        <v>10661</v>
      </c>
      <c r="F1227" s="55"/>
      <c r="G1227" s="12" t="s">
        <v>4643</v>
      </c>
      <c r="H1227" s="74"/>
      <c r="I1227" s="147" t="str">
        <f t="shared" si="31"/>
        <v>RealNonNeg359</v>
      </c>
      <c r="J1227" s="76" t="str">
        <f t="shared" si="32"/>
        <v>Plane Angle</v>
      </c>
      <c r="K1227" s="75" t="str">
        <f t="shared" si="33"/>
        <v>Arc Degree</v>
      </c>
      <c r="L1227" s="77"/>
      <c r="M1227" s="78"/>
      <c r="N1227" s="74"/>
      <c r="O1227" s="25">
        <v>110801</v>
      </c>
      <c r="P1227" s="304" t="str">
        <f>CONCATENATE([1]Cover!$D$6,"fdd/view?i=",O1227)</f>
        <v>https://www.dgiwg.org/FAD/fdd/view?i=110801</v>
      </c>
      <c r="Q1227" s="8" t="s">
        <v>10662</v>
      </c>
      <c r="R1227" s="38" t="s">
        <v>151</v>
      </c>
    </row>
    <row r="1228" spans="1:18" ht="25.5">
      <c r="A1228" s="302" t="str">
        <f t="shared" si="30"/>
        <v>tidalCurDirect2HrsAfter</v>
      </c>
      <c r="B1228" s="6" t="s">
        <v>10667</v>
      </c>
      <c r="C1228" s="17" t="s">
        <v>10668</v>
      </c>
      <c r="D1228" s="10" t="s">
        <v>10669</v>
      </c>
      <c r="E1228" s="10" t="s">
        <v>10661</v>
      </c>
      <c r="F1228" s="55"/>
      <c r="G1228" s="12" t="s">
        <v>4643</v>
      </c>
      <c r="H1228" s="74"/>
      <c r="I1228" s="147" t="str">
        <f t="shared" si="31"/>
        <v>RealNonNeg359</v>
      </c>
      <c r="J1228" s="76" t="str">
        <f t="shared" si="32"/>
        <v>Plane Angle</v>
      </c>
      <c r="K1228" s="75" t="str">
        <f t="shared" si="33"/>
        <v>Arc Degree</v>
      </c>
      <c r="L1228" s="77"/>
      <c r="M1228" s="78"/>
      <c r="N1228" s="74"/>
      <c r="O1228" s="25">
        <v>110804</v>
      </c>
      <c r="P1228" s="304" t="str">
        <f>CONCATENATE([1]Cover!$D$6,"fdd/view?i=",O1228)</f>
        <v>https://www.dgiwg.org/FAD/fdd/view?i=110804</v>
      </c>
      <c r="Q1228" s="8" t="s">
        <v>10666</v>
      </c>
      <c r="R1228" s="38" t="s">
        <v>151</v>
      </c>
    </row>
    <row r="1229" spans="1:18" ht="25.5">
      <c r="A1229" s="302" t="str">
        <f t="shared" si="30"/>
        <v>tidalCurDirect2HrsBefore</v>
      </c>
      <c r="B1229" s="6" t="s">
        <v>10671</v>
      </c>
      <c r="C1229" s="17" t="s">
        <v>10672</v>
      </c>
      <c r="D1229" s="10" t="s">
        <v>10673</v>
      </c>
      <c r="E1229" s="10" t="s">
        <v>10661</v>
      </c>
      <c r="F1229" s="55"/>
      <c r="G1229" s="12" t="s">
        <v>4643</v>
      </c>
      <c r="H1229" s="74"/>
      <c r="I1229" s="147" t="str">
        <f t="shared" si="31"/>
        <v>RealNonNeg359</v>
      </c>
      <c r="J1229" s="76" t="str">
        <f t="shared" si="32"/>
        <v>Plane Angle</v>
      </c>
      <c r="K1229" s="75" t="str">
        <f t="shared" si="33"/>
        <v>Arc Degree</v>
      </c>
      <c r="L1229" s="77"/>
      <c r="M1229" s="78"/>
      <c r="N1229" s="74"/>
      <c r="O1229" s="25">
        <v>110800</v>
      </c>
      <c r="P1229" s="304" t="str">
        <f>CONCATENATE([1]Cover!$D$6,"fdd/view?i=",O1229)</f>
        <v>https://www.dgiwg.org/FAD/fdd/view?i=110800</v>
      </c>
      <c r="Q1229" s="8" t="s">
        <v>10670</v>
      </c>
      <c r="R1229" s="38" t="s">
        <v>151</v>
      </c>
    </row>
    <row r="1230" spans="1:18" ht="25.5">
      <c r="A1230" s="302" t="str">
        <f t="shared" si="30"/>
        <v>tidalCurDirect3HrsAfter</v>
      </c>
      <c r="B1230" s="6" t="s">
        <v>10675</v>
      </c>
      <c r="C1230" s="17" t="s">
        <v>10676</v>
      </c>
      <c r="D1230" s="10" t="s">
        <v>10677</v>
      </c>
      <c r="E1230" s="10" t="s">
        <v>10661</v>
      </c>
      <c r="F1230" s="55"/>
      <c r="G1230" s="12" t="s">
        <v>4643</v>
      </c>
      <c r="H1230" s="74"/>
      <c r="I1230" s="147" t="str">
        <f t="shared" si="31"/>
        <v>RealNonNeg359</v>
      </c>
      <c r="J1230" s="76" t="str">
        <f t="shared" si="32"/>
        <v>Plane Angle</v>
      </c>
      <c r="K1230" s="75" t="str">
        <f t="shared" si="33"/>
        <v>Arc Degree</v>
      </c>
      <c r="L1230" s="77"/>
      <c r="M1230" s="78"/>
      <c r="N1230" s="74"/>
      <c r="O1230" s="25">
        <v>110805</v>
      </c>
      <c r="P1230" s="304" t="str">
        <f>CONCATENATE([1]Cover!$D$6,"fdd/view?i=",O1230)</f>
        <v>https://www.dgiwg.org/FAD/fdd/view?i=110805</v>
      </c>
      <c r="Q1230" s="8" t="s">
        <v>10674</v>
      </c>
      <c r="R1230" s="38" t="s">
        <v>151</v>
      </c>
    </row>
    <row r="1231" spans="1:18" ht="25.5">
      <c r="A1231" s="302" t="str">
        <f t="shared" si="30"/>
        <v>tidalCurDirect3HrsBefore</v>
      </c>
      <c r="B1231" s="6" t="s">
        <v>10679</v>
      </c>
      <c r="C1231" s="17" t="s">
        <v>10680</v>
      </c>
      <c r="D1231" s="10" t="s">
        <v>10681</v>
      </c>
      <c r="E1231" s="10" t="s">
        <v>10661</v>
      </c>
      <c r="F1231" s="55"/>
      <c r="G1231" s="12" t="s">
        <v>4643</v>
      </c>
      <c r="H1231" s="74"/>
      <c r="I1231" s="147" t="str">
        <f t="shared" si="31"/>
        <v>RealNonNeg359</v>
      </c>
      <c r="J1231" s="76" t="str">
        <f t="shared" si="32"/>
        <v>Plane Angle</v>
      </c>
      <c r="K1231" s="75" t="str">
        <f t="shared" si="33"/>
        <v>Arc Degree</v>
      </c>
      <c r="L1231" s="77"/>
      <c r="M1231" s="78"/>
      <c r="N1231" s="74"/>
      <c r="O1231" s="25">
        <v>110799</v>
      </c>
      <c r="P1231" s="304" t="str">
        <f>CONCATENATE([1]Cover!$D$6,"fdd/view?i=",O1231)</f>
        <v>https://www.dgiwg.org/FAD/fdd/view?i=110799</v>
      </c>
      <c r="Q1231" s="8" t="s">
        <v>10678</v>
      </c>
      <c r="R1231" s="38" t="s">
        <v>151</v>
      </c>
    </row>
    <row r="1232" spans="1:18" ht="25.5">
      <c r="A1232" s="302" t="str">
        <f t="shared" si="30"/>
        <v>tidalCurDirect4HrsAfter</v>
      </c>
      <c r="B1232" s="6" t="s">
        <v>10683</v>
      </c>
      <c r="C1232" s="17" t="s">
        <v>10684</v>
      </c>
      <c r="D1232" s="10" t="s">
        <v>10685</v>
      </c>
      <c r="E1232" s="10" t="s">
        <v>10661</v>
      </c>
      <c r="F1232" s="55"/>
      <c r="G1232" s="12" t="s">
        <v>4643</v>
      </c>
      <c r="H1232" s="74"/>
      <c r="I1232" s="147" t="str">
        <f t="shared" si="31"/>
        <v>RealNonNeg359</v>
      </c>
      <c r="J1232" s="76" t="str">
        <f t="shared" si="32"/>
        <v>Plane Angle</v>
      </c>
      <c r="K1232" s="75" t="str">
        <f t="shared" si="33"/>
        <v>Arc Degree</v>
      </c>
      <c r="L1232" s="77"/>
      <c r="M1232" s="78"/>
      <c r="N1232" s="74"/>
      <c r="O1232" s="25">
        <v>110806</v>
      </c>
      <c r="P1232" s="304" t="str">
        <f>CONCATENATE([1]Cover!$D$6,"fdd/view?i=",O1232)</f>
        <v>https://www.dgiwg.org/FAD/fdd/view?i=110806</v>
      </c>
      <c r="Q1232" s="8" t="s">
        <v>10682</v>
      </c>
      <c r="R1232" s="38" t="s">
        <v>151</v>
      </c>
    </row>
    <row r="1233" spans="1:18" ht="25.5">
      <c r="A1233" s="302" t="str">
        <f t="shared" si="30"/>
        <v>tidalCurDirect4HrsBefore</v>
      </c>
      <c r="B1233" s="6" t="s">
        <v>10687</v>
      </c>
      <c r="C1233" s="17" t="s">
        <v>10688</v>
      </c>
      <c r="D1233" s="10" t="s">
        <v>10689</v>
      </c>
      <c r="E1233" s="10" t="s">
        <v>10661</v>
      </c>
      <c r="F1233" s="55"/>
      <c r="G1233" s="12" t="s">
        <v>4643</v>
      </c>
      <c r="H1233" s="74"/>
      <c r="I1233" s="147" t="str">
        <f t="shared" si="31"/>
        <v>RealNonNeg359</v>
      </c>
      <c r="J1233" s="76" t="str">
        <f t="shared" si="32"/>
        <v>Plane Angle</v>
      </c>
      <c r="K1233" s="75" t="str">
        <f t="shared" si="33"/>
        <v>Arc Degree</v>
      </c>
      <c r="L1233" s="77"/>
      <c r="M1233" s="78"/>
      <c r="N1233" s="74"/>
      <c r="O1233" s="25">
        <v>110798</v>
      </c>
      <c r="P1233" s="304" t="str">
        <f>CONCATENATE([1]Cover!$D$6,"fdd/view?i=",O1233)</f>
        <v>https://www.dgiwg.org/FAD/fdd/view?i=110798</v>
      </c>
      <c r="Q1233" s="8" t="s">
        <v>10686</v>
      </c>
      <c r="R1233" s="38" t="s">
        <v>151</v>
      </c>
    </row>
    <row r="1234" spans="1:18" ht="25.5">
      <c r="A1234" s="302" t="str">
        <f t="shared" si="30"/>
        <v>tidalCurDirect5HrsAfter</v>
      </c>
      <c r="B1234" s="6" t="s">
        <v>10691</v>
      </c>
      <c r="C1234" s="17" t="s">
        <v>10692</v>
      </c>
      <c r="D1234" s="10" t="s">
        <v>10693</v>
      </c>
      <c r="E1234" s="10" t="s">
        <v>10661</v>
      </c>
      <c r="F1234" s="55"/>
      <c r="G1234" s="12" t="s">
        <v>4643</v>
      </c>
      <c r="H1234" s="74"/>
      <c r="I1234" s="147" t="str">
        <f t="shared" si="31"/>
        <v>RealNonNeg359</v>
      </c>
      <c r="J1234" s="76" t="str">
        <f t="shared" si="32"/>
        <v>Plane Angle</v>
      </c>
      <c r="K1234" s="75" t="str">
        <f t="shared" si="33"/>
        <v>Arc Degree</v>
      </c>
      <c r="L1234" s="77"/>
      <c r="M1234" s="78"/>
      <c r="N1234" s="74"/>
      <c r="O1234" s="25">
        <v>110807</v>
      </c>
      <c r="P1234" s="304" t="str">
        <f>CONCATENATE([1]Cover!$D$6,"fdd/view?i=",O1234)</f>
        <v>https://www.dgiwg.org/FAD/fdd/view?i=110807</v>
      </c>
      <c r="Q1234" s="8" t="s">
        <v>10690</v>
      </c>
      <c r="R1234" s="38" t="s">
        <v>151</v>
      </c>
    </row>
    <row r="1235" spans="1:18" ht="25.5">
      <c r="A1235" s="302" t="str">
        <f t="shared" si="30"/>
        <v>tidalCurDirect5HrsBefore</v>
      </c>
      <c r="B1235" s="6" t="s">
        <v>10695</v>
      </c>
      <c r="C1235" s="17" t="s">
        <v>10696</v>
      </c>
      <c r="D1235" s="10" t="s">
        <v>10697</v>
      </c>
      <c r="E1235" s="10" t="s">
        <v>10661</v>
      </c>
      <c r="F1235" s="55"/>
      <c r="G1235" s="12" t="s">
        <v>4643</v>
      </c>
      <c r="H1235" s="74"/>
      <c r="I1235" s="147" t="str">
        <f t="shared" si="31"/>
        <v>RealNonNeg359</v>
      </c>
      <c r="J1235" s="76" t="str">
        <f t="shared" si="32"/>
        <v>Plane Angle</v>
      </c>
      <c r="K1235" s="75" t="str">
        <f t="shared" si="33"/>
        <v>Arc Degree</v>
      </c>
      <c r="L1235" s="77"/>
      <c r="M1235" s="78"/>
      <c r="N1235" s="74"/>
      <c r="O1235" s="25">
        <v>110797</v>
      </c>
      <c r="P1235" s="304" t="str">
        <f>CONCATENATE([1]Cover!$D$6,"fdd/view?i=",O1235)</f>
        <v>https://www.dgiwg.org/FAD/fdd/view?i=110797</v>
      </c>
      <c r="Q1235" s="8" t="s">
        <v>10694</v>
      </c>
      <c r="R1235" s="38" t="s">
        <v>151</v>
      </c>
    </row>
    <row r="1236" spans="1:18" ht="25.5">
      <c r="A1236" s="302" t="str">
        <f t="shared" si="30"/>
        <v>tidalCurDirect6HrsAfter</v>
      </c>
      <c r="B1236" s="6" t="s">
        <v>10699</v>
      </c>
      <c r="C1236" s="17" t="s">
        <v>10700</v>
      </c>
      <c r="D1236" s="10" t="s">
        <v>10701</v>
      </c>
      <c r="E1236" s="10" t="s">
        <v>10661</v>
      </c>
      <c r="F1236" s="55"/>
      <c r="G1236" s="12" t="s">
        <v>4643</v>
      </c>
      <c r="H1236" s="74"/>
      <c r="I1236" s="147" t="str">
        <f t="shared" si="31"/>
        <v>RealNonNeg359</v>
      </c>
      <c r="J1236" s="76" t="str">
        <f t="shared" si="32"/>
        <v>Plane Angle</v>
      </c>
      <c r="K1236" s="75" t="str">
        <f t="shared" si="33"/>
        <v>Arc Degree</v>
      </c>
      <c r="L1236" s="77"/>
      <c r="M1236" s="78"/>
      <c r="N1236" s="74"/>
      <c r="O1236" s="25">
        <v>110808</v>
      </c>
      <c r="P1236" s="304" t="str">
        <f>CONCATENATE([1]Cover!$D$6,"fdd/view?i=",O1236)</f>
        <v>https://www.dgiwg.org/FAD/fdd/view?i=110808</v>
      </c>
      <c r="Q1236" s="8" t="s">
        <v>10698</v>
      </c>
      <c r="R1236" s="38" t="s">
        <v>151</v>
      </c>
    </row>
    <row r="1237" spans="1:18" ht="25.5">
      <c r="A1237" s="302" t="str">
        <f t="shared" si="30"/>
        <v>tidalCurSpeed</v>
      </c>
      <c r="B1237" s="6" t="s">
        <v>10703</v>
      </c>
      <c r="C1237" s="17" t="s">
        <v>10704</v>
      </c>
      <c r="D1237" s="10" t="s">
        <v>10705</v>
      </c>
      <c r="E1237" s="10" t="s">
        <v>10655</v>
      </c>
      <c r="F1237" s="55"/>
      <c r="G1237" s="12" t="s">
        <v>4643</v>
      </c>
      <c r="H1237" s="74"/>
      <c r="I1237" s="147" t="str">
        <f t="shared" ref="I1237:I1248" si="34">HYPERLINK("[#]Datatypes!B960:L960","RealNonNegInterval")</f>
        <v>RealNonNegInterval</v>
      </c>
      <c r="J1237" s="76" t="str">
        <f t="shared" ref="J1237:J1248" si="35">HYPERLINK("[#]PhysicalQuantities!A48:N48","Speed")</f>
        <v>Speed</v>
      </c>
      <c r="K1237" s="75" t="str">
        <f t="shared" ref="K1237:K1248" si="36">HYPERLINK("[#]UnitsOfMeasure!D251:G251","Knot")</f>
        <v>Knot</v>
      </c>
      <c r="L1237" s="77"/>
      <c r="M1237" s="78"/>
      <c r="N1237" s="74"/>
      <c r="O1237" s="25">
        <v>110778</v>
      </c>
      <c r="P1237" s="304" t="str">
        <f>CONCATENATE([1]Cover!$D$6,"fdd/view?i=",O1237)</f>
        <v>https://www.dgiwg.org/FAD/fdd/view?i=110778</v>
      </c>
      <c r="Q1237" s="8" t="s">
        <v>10702</v>
      </c>
      <c r="R1237" s="38" t="s">
        <v>151</v>
      </c>
    </row>
    <row r="1238" spans="1:18" ht="25.5">
      <c r="A1238" s="302" t="str">
        <f t="shared" si="30"/>
        <v>tidalCurSpeed1HrAfter</v>
      </c>
      <c r="B1238" s="6" t="s">
        <v>10708</v>
      </c>
      <c r="C1238" s="17" t="s">
        <v>10709</v>
      </c>
      <c r="D1238" s="10" t="s">
        <v>10710</v>
      </c>
      <c r="E1238" s="10" t="s">
        <v>10661</v>
      </c>
      <c r="F1238" s="55"/>
      <c r="G1238" s="12" t="s">
        <v>4643</v>
      </c>
      <c r="H1238" s="74"/>
      <c r="I1238" s="147" t="str">
        <f t="shared" si="34"/>
        <v>RealNonNegInterval</v>
      </c>
      <c r="J1238" s="76" t="str">
        <f t="shared" si="35"/>
        <v>Speed</v>
      </c>
      <c r="K1238" s="75" t="str">
        <f t="shared" si="36"/>
        <v>Knot</v>
      </c>
      <c r="L1238" s="77"/>
      <c r="M1238" s="78"/>
      <c r="N1238" s="74"/>
      <c r="O1238" s="25">
        <v>110779</v>
      </c>
      <c r="P1238" s="304" t="str">
        <f>CONCATENATE([1]Cover!$D$6,"fdd/view?i=",O1238)</f>
        <v>https://www.dgiwg.org/FAD/fdd/view?i=110779</v>
      </c>
      <c r="Q1238" s="8" t="s">
        <v>10707</v>
      </c>
      <c r="R1238" s="38" t="s">
        <v>151</v>
      </c>
    </row>
    <row r="1239" spans="1:18" ht="25.5">
      <c r="A1239" s="302" t="str">
        <f t="shared" si="30"/>
        <v>tidalCurSpeed1HrBefore</v>
      </c>
      <c r="B1239" s="6" t="s">
        <v>10712</v>
      </c>
      <c r="C1239" s="17" t="s">
        <v>10713</v>
      </c>
      <c r="D1239" s="10" t="s">
        <v>10714</v>
      </c>
      <c r="E1239" s="10" t="s">
        <v>10661</v>
      </c>
      <c r="F1239" s="55"/>
      <c r="G1239" s="12" t="s">
        <v>4643</v>
      </c>
      <c r="H1239" s="74"/>
      <c r="I1239" s="147" t="str">
        <f t="shared" si="34"/>
        <v>RealNonNegInterval</v>
      </c>
      <c r="J1239" s="76" t="str">
        <f t="shared" si="35"/>
        <v>Speed</v>
      </c>
      <c r="K1239" s="75" t="str">
        <f t="shared" si="36"/>
        <v>Knot</v>
      </c>
      <c r="L1239" s="77"/>
      <c r="M1239" s="78"/>
      <c r="N1239" s="74"/>
      <c r="O1239" s="25">
        <v>110777</v>
      </c>
      <c r="P1239" s="304" t="str">
        <f>CONCATENATE([1]Cover!$D$6,"fdd/view?i=",O1239)</f>
        <v>https://www.dgiwg.org/FAD/fdd/view?i=110777</v>
      </c>
      <c r="Q1239" s="8" t="s">
        <v>10711</v>
      </c>
      <c r="R1239" s="38" t="s">
        <v>151</v>
      </c>
    </row>
    <row r="1240" spans="1:18" ht="25.5">
      <c r="A1240" s="302" t="str">
        <f t="shared" si="30"/>
        <v>tidalCurSpeed2HrsAfter</v>
      </c>
      <c r="B1240" s="6" t="s">
        <v>10716</v>
      </c>
      <c r="C1240" s="17" t="s">
        <v>10717</v>
      </c>
      <c r="D1240" s="10" t="s">
        <v>10718</v>
      </c>
      <c r="E1240" s="10" t="s">
        <v>10661</v>
      </c>
      <c r="F1240" s="55"/>
      <c r="G1240" s="12" t="s">
        <v>4643</v>
      </c>
      <c r="H1240" s="74"/>
      <c r="I1240" s="147" t="str">
        <f t="shared" si="34"/>
        <v>RealNonNegInterval</v>
      </c>
      <c r="J1240" s="76" t="str">
        <f t="shared" si="35"/>
        <v>Speed</v>
      </c>
      <c r="K1240" s="75" t="str">
        <f t="shared" si="36"/>
        <v>Knot</v>
      </c>
      <c r="L1240" s="77"/>
      <c r="M1240" s="78"/>
      <c r="N1240" s="74"/>
      <c r="O1240" s="25">
        <v>110780</v>
      </c>
      <c r="P1240" s="304" t="str">
        <f>CONCATENATE([1]Cover!$D$6,"fdd/view?i=",O1240)</f>
        <v>https://www.dgiwg.org/FAD/fdd/view?i=110780</v>
      </c>
      <c r="Q1240" s="8" t="s">
        <v>10715</v>
      </c>
      <c r="R1240" s="38" t="s">
        <v>151</v>
      </c>
    </row>
    <row r="1241" spans="1:18" ht="25.5">
      <c r="A1241" s="302" t="str">
        <f t="shared" si="30"/>
        <v>tidalCurSpeed2HrsBefore</v>
      </c>
      <c r="B1241" s="6" t="s">
        <v>10720</v>
      </c>
      <c r="C1241" s="17" t="s">
        <v>10721</v>
      </c>
      <c r="D1241" s="10" t="s">
        <v>10722</v>
      </c>
      <c r="E1241" s="10" t="s">
        <v>10661</v>
      </c>
      <c r="F1241" s="55"/>
      <c r="G1241" s="12" t="s">
        <v>4643</v>
      </c>
      <c r="H1241" s="74"/>
      <c r="I1241" s="147" t="str">
        <f t="shared" si="34"/>
        <v>RealNonNegInterval</v>
      </c>
      <c r="J1241" s="76" t="str">
        <f t="shared" si="35"/>
        <v>Speed</v>
      </c>
      <c r="K1241" s="75" t="str">
        <f t="shared" si="36"/>
        <v>Knot</v>
      </c>
      <c r="L1241" s="77"/>
      <c r="M1241" s="78"/>
      <c r="N1241" s="74"/>
      <c r="O1241" s="25">
        <v>110776</v>
      </c>
      <c r="P1241" s="304" t="str">
        <f>CONCATENATE([1]Cover!$D$6,"fdd/view?i=",O1241)</f>
        <v>https://www.dgiwg.org/FAD/fdd/view?i=110776</v>
      </c>
      <c r="Q1241" s="8" t="s">
        <v>10719</v>
      </c>
      <c r="R1241" s="38" t="s">
        <v>151</v>
      </c>
    </row>
    <row r="1242" spans="1:18" ht="25.5">
      <c r="A1242" s="302" t="str">
        <f t="shared" si="30"/>
        <v>tidalCurSpeed3HrsAfter</v>
      </c>
      <c r="B1242" s="6" t="s">
        <v>10724</v>
      </c>
      <c r="C1242" s="17" t="s">
        <v>10725</v>
      </c>
      <c r="D1242" s="10" t="s">
        <v>10726</v>
      </c>
      <c r="E1242" s="10" t="s">
        <v>10661</v>
      </c>
      <c r="F1242" s="55"/>
      <c r="G1242" s="12" t="s">
        <v>4643</v>
      </c>
      <c r="H1242" s="74"/>
      <c r="I1242" s="147" t="str">
        <f t="shared" si="34"/>
        <v>RealNonNegInterval</v>
      </c>
      <c r="J1242" s="76" t="str">
        <f t="shared" si="35"/>
        <v>Speed</v>
      </c>
      <c r="K1242" s="75" t="str">
        <f t="shared" si="36"/>
        <v>Knot</v>
      </c>
      <c r="L1242" s="77"/>
      <c r="M1242" s="78"/>
      <c r="N1242" s="74"/>
      <c r="O1242" s="25">
        <v>110781</v>
      </c>
      <c r="P1242" s="304" t="str">
        <f>CONCATENATE([1]Cover!$D$6,"fdd/view?i=",O1242)</f>
        <v>https://www.dgiwg.org/FAD/fdd/view?i=110781</v>
      </c>
      <c r="Q1242" s="8" t="s">
        <v>10723</v>
      </c>
      <c r="R1242" s="38" t="s">
        <v>151</v>
      </c>
    </row>
    <row r="1243" spans="1:18" ht="25.5">
      <c r="A1243" s="302" t="str">
        <f t="shared" si="30"/>
        <v>tidalCurSpeed3HrsBefore</v>
      </c>
      <c r="B1243" s="6" t="s">
        <v>10728</v>
      </c>
      <c r="C1243" s="17" t="s">
        <v>10729</v>
      </c>
      <c r="D1243" s="10" t="s">
        <v>10730</v>
      </c>
      <c r="E1243" s="10" t="s">
        <v>10661</v>
      </c>
      <c r="F1243" s="55"/>
      <c r="G1243" s="12" t="s">
        <v>4643</v>
      </c>
      <c r="H1243" s="74"/>
      <c r="I1243" s="147" t="str">
        <f t="shared" si="34"/>
        <v>RealNonNegInterval</v>
      </c>
      <c r="J1243" s="76" t="str">
        <f t="shared" si="35"/>
        <v>Speed</v>
      </c>
      <c r="K1243" s="75" t="str">
        <f t="shared" si="36"/>
        <v>Knot</v>
      </c>
      <c r="L1243" s="77"/>
      <c r="M1243" s="78"/>
      <c r="N1243" s="74"/>
      <c r="O1243" s="25">
        <v>110775</v>
      </c>
      <c r="P1243" s="304" t="str">
        <f>CONCATENATE([1]Cover!$D$6,"fdd/view?i=",O1243)</f>
        <v>https://www.dgiwg.org/FAD/fdd/view?i=110775</v>
      </c>
      <c r="Q1243" s="8" t="s">
        <v>10727</v>
      </c>
      <c r="R1243" s="38" t="s">
        <v>151</v>
      </c>
    </row>
    <row r="1244" spans="1:18" ht="25.5">
      <c r="A1244" s="302" t="str">
        <f t="shared" si="30"/>
        <v>tidalCurSpeed4HrsAfter</v>
      </c>
      <c r="B1244" s="6" t="s">
        <v>10732</v>
      </c>
      <c r="C1244" s="17" t="s">
        <v>10733</v>
      </c>
      <c r="D1244" s="10" t="s">
        <v>10734</v>
      </c>
      <c r="E1244" s="10" t="s">
        <v>10661</v>
      </c>
      <c r="F1244" s="55"/>
      <c r="G1244" s="12" t="s">
        <v>4643</v>
      </c>
      <c r="H1244" s="74"/>
      <c r="I1244" s="147" t="str">
        <f t="shared" si="34"/>
        <v>RealNonNegInterval</v>
      </c>
      <c r="J1244" s="76" t="str">
        <f t="shared" si="35"/>
        <v>Speed</v>
      </c>
      <c r="K1244" s="75" t="str">
        <f t="shared" si="36"/>
        <v>Knot</v>
      </c>
      <c r="L1244" s="77"/>
      <c r="M1244" s="78"/>
      <c r="N1244" s="74"/>
      <c r="O1244" s="25">
        <v>110782</v>
      </c>
      <c r="P1244" s="304" t="str">
        <f>CONCATENATE([1]Cover!$D$6,"fdd/view?i=",O1244)</f>
        <v>https://www.dgiwg.org/FAD/fdd/view?i=110782</v>
      </c>
      <c r="Q1244" s="8" t="s">
        <v>10731</v>
      </c>
      <c r="R1244" s="38" t="s">
        <v>151</v>
      </c>
    </row>
    <row r="1245" spans="1:18" ht="25.5">
      <c r="A1245" s="302" t="str">
        <f t="shared" si="30"/>
        <v>tidalCurSpeed4HrsBefore</v>
      </c>
      <c r="B1245" s="6" t="s">
        <v>10736</v>
      </c>
      <c r="C1245" s="17" t="s">
        <v>10737</v>
      </c>
      <c r="D1245" s="10" t="s">
        <v>10738</v>
      </c>
      <c r="E1245" s="10" t="s">
        <v>10661</v>
      </c>
      <c r="F1245" s="55"/>
      <c r="G1245" s="12" t="s">
        <v>4643</v>
      </c>
      <c r="H1245" s="74"/>
      <c r="I1245" s="147" t="str">
        <f t="shared" si="34"/>
        <v>RealNonNegInterval</v>
      </c>
      <c r="J1245" s="76" t="str">
        <f t="shared" si="35"/>
        <v>Speed</v>
      </c>
      <c r="K1245" s="75" t="str">
        <f t="shared" si="36"/>
        <v>Knot</v>
      </c>
      <c r="L1245" s="77"/>
      <c r="M1245" s="78"/>
      <c r="N1245" s="74"/>
      <c r="O1245" s="25">
        <v>110774</v>
      </c>
      <c r="P1245" s="304" t="str">
        <f>CONCATENATE([1]Cover!$D$6,"fdd/view?i=",O1245)</f>
        <v>https://www.dgiwg.org/FAD/fdd/view?i=110774</v>
      </c>
      <c r="Q1245" s="8" t="s">
        <v>10735</v>
      </c>
      <c r="R1245" s="38" t="s">
        <v>151</v>
      </c>
    </row>
    <row r="1246" spans="1:18" ht="25.5">
      <c r="A1246" s="302" t="str">
        <f t="shared" si="30"/>
        <v>tidalCurSpeed5HrsAfter</v>
      </c>
      <c r="B1246" s="6" t="s">
        <v>10740</v>
      </c>
      <c r="C1246" s="17" t="s">
        <v>10741</v>
      </c>
      <c r="D1246" s="10" t="s">
        <v>10742</v>
      </c>
      <c r="E1246" s="10" t="s">
        <v>10661</v>
      </c>
      <c r="F1246" s="55"/>
      <c r="G1246" s="12" t="s">
        <v>4643</v>
      </c>
      <c r="H1246" s="74"/>
      <c r="I1246" s="147" t="str">
        <f t="shared" si="34"/>
        <v>RealNonNegInterval</v>
      </c>
      <c r="J1246" s="76" t="str">
        <f t="shared" si="35"/>
        <v>Speed</v>
      </c>
      <c r="K1246" s="75" t="str">
        <f t="shared" si="36"/>
        <v>Knot</v>
      </c>
      <c r="L1246" s="77"/>
      <c r="M1246" s="78"/>
      <c r="N1246" s="74"/>
      <c r="O1246" s="25">
        <v>110783</v>
      </c>
      <c r="P1246" s="304" t="str">
        <f>CONCATENATE([1]Cover!$D$6,"fdd/view?i=",O1246)</f>
        <v>https://www.dgiwg.org/FAD/fdd/view?i=110783</v>
      </c>
      <c r="Q1246" s="8" t="s">
        <v>10739</v>
      </c>
      <c r="R1246" s="38" t="s">
        <v>151</v>
      </c>
    </row>
    <row r="1247" spans="1:18" ht="25.5">
      <c r="A1247" s="302" t="str">
        <f t="shared" si="30"/>
        <v>tidalCurSpeed5HrsBefore</v>
      </c>
      <c r="B1247" s="6" t="s">
        <v>10744</v>
      </c>
      <c r="C1247" s="17" t="s">
        <v>10745</v>
      </c>
      <c r="D1247" s="10" t="s">
        <v>10746</v>
      </c>
      <c r="E1247" s="10" t="s">
        <v>10661</v>
      </c>
      <c r="F1247" s="55"/>
      <c r="G1247" s="12" t="s">
        <v>4643</v>
      </c>
      <c r="H1247" s="74"/>
      <c r="I1247" s="147" t="str">
        <f t="shared" si="34"/>
        <v>RealNonNegInterval</v>
      </c>
      <c r="J1247" s="76" t="str">
        <f t="shared" si="35"/>
        <v>Speed</v>
      </c>
      <c r="K1247" s="75" t="str">
        <f t="shared" si="36"/>
        <v>Knot</v>
      </c>
      <c r="L1247" s="77"/>
      <c r="M1247" s="78"/>
      <c r="N1247" s="74"/>
      <c r="O1247" s="25">
        <v>110773</v>
      </c>
      <c r="P1247" s="304" t="str">
        <f>CONCATENATE([1]Cover!$D$6,"fdd/view?i=",O1247)</f>
        <v>https://www.dgiwg.org/FAD/fdd/view?i=110773</v>
      </c>
      <c r="Q1247" s="8" t="s">
        <v>10743</v>
      </c>
      <c r="R1247" s="38" t="s">
        <v>151</v>
      </c>
    </row>
    <row r="1248" spans="1:18" ht="25.5">
      <c r="A1248" s="302" t="str">
        <f t="shared" si="30"/>
        <v>tidalCurSpeed6HrsAfter</v>
      </c>
      <c r="B1248" s="6" t="s">
        <v>10748</v>
      </c>
      <c r="C1248" s="17" t="s">
        <v>10749</v>
      </c>
      <c r="D1248" s="10" t="s">
        <v>10750</v>
      </c>
      <c r="E1248" s="10" t="s">
        <v>10661</v>
      </c>
      <c r="F1248" s="55"/>
      <c r="G1248" s="12" t="s">
        <v>4643</v>
      </c>
      <c r="H1248" s="74"/>
      <c r="I1248" s="147" t="str">
        <f t="shared" si="34"/>
        <v>RealNonNegInterval</v>
      </c>
      <c r="J1248" s="76" t="str">
        <f t="shared" si="35"/>
        <v>Speed</v>
      </c>
      <c r="K1248" s="75" t="str">
        <f t="shared" si="36"/>
        <v>Knot</v>
      </c>
      <c r="L1248" s="77"/>
      <c r="M1248" s="78"/>
      <c r="N1248" s="74"/>
      <c r="O1248" s="25">
        <v>110784</v>
      </c>
      <c r="P1248" s="304" t="str">
        <f>CONCATENATE([1]Cover!$D$6,"fdd/view?i=",O1248)</f>
        <v>https://www.dgiwg.org/FAD/fdd/view?i=110784</v>
      </c>
      <c r="Q1248" s="8" t="s">
        <v>10747</v>
      </c>
      <c r="R1248" s="38" t="s">
        <v>151</v>
      </c>
    </row>
    <row r="1249" spans="1:18">
      <c r="A1249" s="302" t="str">
        <f t="shared" si="30"/>
        <v>tideInfluenced</v>
      </c>
      <c r="B1249" s="6" t="s">
        <v>10752</v>
      </c>
      <c r="C1249" s="17" t="s">
        <v>10753</v>
      </c>
      <c r="D1249" s="10" t="s">
        <v>10754</v>
      </c>
      <c r="E1249" s="55"/>
      <c r="F1249" s="55"/>
      <c r="G1249" s="12" t="s">
        <v>4643</v>
      </c>
      <c r="H1249" s="74"/>
      <c r="I1249" s="147" t="str">
        <f>HYPERLINK("[#]Datatypes!B230:L230","Boolean")</f>
        <v>Boolean</v>
      </c>
      <c r="J1249" s="80"/>
      <c r="K1249" s="77"/>
      <c r="L1249" s="77"/>
      <c r="M1249" s="78"/>
      <c r="N1249" s="74"/>
      <c r="O1249" s="25">
        <v>101367</v>
      </c>
      <c r="P1249" s="304" t="str">
        <f>CONCATENATE([1]Cover!$D$6,"fdd/view?i=",O1249)</f>
        <v>https://www.dgiwg.org/FAD/fdd/view?i=101367</v>
      </c>
      <c r="Q1249" s="8" t="s">
        <v>10751</v>
      </c>
      <c r="R1249" s="38" t="s">
        <v>151</v>
      </c>
    </row>
    <row r="1250" spans="1:18" ht="25.5">
      <c r="A1250" s="302" t="str">
        <f t="shared" si="30"/>
        <v>tombType</v>
      </c>
      <c r="B1250" s="6" t="s">
        <v>10756</v>
      </c>
      <c r="C1250" s="17" t="s">
        <v>10757</v>
      </c>
      <c r="D1250" s="10" t="s">
        <v>10758</v>
      </c>
      <c r="E1250" s="55"/>
      <c r="F1250" s="55"/>
      <c r="G1250" s="12" t="s">
        <v>4643</v>
      </c>
      <c r="H1250" s="74"/>
      <c r="I1250" s="147" t="str">
        <f>HYPERLINK("[#]Datatypes!B1446:L1446","TombTypeCode")</f>
        <v>TombTypeCode</v>
      </c>
      <c r="J1250" s="80"/>
      <c r="K1250" s="77"/>
      <c r="L1250" s="77"/>
      <c r="M1250" s="71" t="str">
        <f>HYPERLINK("[#]DatatypeListedValues!A6846:H6846","&lt;values&gt;")</f>
        <v>&lt;values&gt;</v>
      </c>
      <c r="N1250" s="82" t="b">
        <v>0</v>
      </c>
      <c r="O1250" s="25">
        <v>111738</v>
      </c>
      <c r="P1250" s="304" t="str">
        <f>CONCATENATE([1]Cover!$D$6,"fdd/view?i=",O1250)</f>
        <v>https://www.dgiwg.org/FAD/fdd/view?i=111738</v>
      </c>
      <c r="Q1250" s="8" t="s">
        <v>10755</v>
      </c>
      <c r="R1250" s="38" t="s">
        <v>151</v>
      </c>
    </row>
    <row r="1251" spans="1:18">
      <c r="A1251" s="302" t="str">
        <f t="shared" si="30"/>
        <v>tonnage</v>
      </c>
      <c r="B1251" s="6" t="s">
        <v>10761</v>
      </c>
      <c r="C1251" s="17" t="s">
        <v>10762</v>
      </c>
      <c r="D1251" s="10" t="s">
        <v>10763</v>
      </c>
      <c r="E1251" s="10" t="s">
        <v>10764</v>
      </c>
      <c r="F1251" s="55"/>
      <c r="G1251" s="12" t="s">
        <v>4643</v>
      </c>
      <c r="H1251" s="74"/>
      <c r="I1251" s="147" t="str">
        <f>HYPERLINK("[#]Datatypes!B710:L710","Integer")</f>
        <v>Integer</v>
      </c>
      <c r="J1251" s="76" t="str">
        <f>HYPERLINK("[#]PhysicalQuantities!A28:N28","Mass")</f>
        <v>Mass</v>
      </c>
      <c r="K1251" s="75" t="str">
        <f>HYPERLINK("[#]UnitsOfMeasure!D132:G132","Short Ton")</f>
        <v>Short Ton</v>
      </c>
      <c r="L1251" s="77"/>
      <c r="M1251" s="78"/>
      <c r="N1251" s="74"/>
      <c r="O1251" s="25">
        <v>101375</v>
      </c>
      <c r="P1251" s="304" t="str">
        <f>CONCATENATE([1]Cover!$D$6,"fdd/view?i=",O1251)</f>
        <v>https://www.dgiwg.org/FAD/fdd/view?i=101375</v>
      </c>
      <c r="Q1251" s="8" t="s">
        <v>10760</v>
      </c>
      <c r="R1251" s="38" t="s">
        <v>151</v>
      </c>
    </row>
    <row r="1252" spans="1:18">
      <c r="A1252" s="302" t="str">
        <f t="shared" si="30"/>
        <v>topicCategory</v>
      </c>
      <c r="B1252" s="6" t="s">
        <v>10766</v>
      </c>
      <c r="C1252" s="17" t="s">
        <v>10767</v>
      </c>
      <c r="D1252" s="10" t="s">
        <v>10768</v>
      </c>
      <c r="E1252" s="55"/>
      <c r="F1252" s="55"/>
      <c r="G1252" s="12" t="s">
        <v>4643</v>
      </c>
      <c r="H1252" s="74"/>
      <c r="I1252" s="147" t="str">
        <f>HYPERLINK("[#]Datatypes!B1448:L1448","MD_TopicCategoryCode")</f>
        <v>MD_TopicCategoryCode</v>
      </c>
      <c r="J1252" s="80"/>
      <c r="K1252" s="77"/>
      <c r="L1252" s="77"/>
      <c r="M1252" s="71" t="str">
        <f>HYPERLINK("[#]DatatypeListedValues!A6853:H6853","&lt;values&gt;")</f>
        <v>&lt;values&gt;</v>
      </c>
      <c r="N1252" s="82" t="b">
        <v>0</v>
      </c>
      <c r="O1252" s="25">
        <v>207174</v>
      </c>
      <c r="P1252" s="304" t="str">
        <f>CONCATENATE([1]Cover!$D$6,"fdd/view?i=",O1252)</f>
        <v>https://www.dgiwg.org/FAD/fdd/view?i=207174</v>
      </c>
      <c r="Q1252" s="8" t="s">
        <v>10765</v>
      </c>
      <c r="R1252" s="38" t="s">
        <v>1295</v>
      </c>
    </row>
    <row r="1253" spans="1:18" ht="25.5">
      <c r="A1253" s="302" t="str">
        <f t="shared" si="30"/>
        <v>topmarkShape</v>
      </c>
      <c r="B1253" s="6" t="s">
        <v>10771</v>
      </c>
      <c r="C1253" s="17" t="s">
        <v>10772</v>
      </c>
      <c r="D1253" s="10" t="s">
        <v>10773</v>
      </c>
      <c r="E1253" s="10" t="s">
        <v>10774</v>
      </c>
      <c r="F1253" s="55"/>
      <c r="G1253" s="12" t="s">
        <v>4643</v>
      </c>
      <c r="H1253" s="74"/>
      <c r="I1253" s="147" t="str">
        <f>HYPERLINK("[#]Datatypes!B1450:L1450","TopmarkShapeCode")</f>
        <v>TopmarkShapeCode</v>
      </c>
      <c r="J1253" s="80"/>
      <c r="K1253" s="77"/>
      <c r="L1253" s="77"/>
      <c r="M1253" s="71" t="str">
        <f>HYPERLINK("[#]DatatypeListedValues!A6872:H6872","&lt;values&gt;")</f>
        <v>&lt;values&gt;</v>
      </c>
      <c r="N1253" s="82" t="b">
        <v>0</v>
      </c>
      <c r="O1253" s="25">
        <v>118924</v>
      </c>
      <c r="P1253" s="304" t="str">
        <f>CONCATENATE([1]Cover!$D$6,"fdd/view?i=",O1253)</f>
        <v>https://www.dgiwg.org/FAD/fdd/view?i=118924</v>
      </c>
      <c r="Q1253" s="8" t="s">
        <v>10770</v>
      </c>
      <c r="R1253" s="38" t="s">
        <v>151</v>
      </c>
    </row>
    <row r="1254" spans="1:18" ht="25.5">
      <c r="A1254" s="302" t="str">
        <f t="shared" si="30"/>
        <v>totalDissolvedSolids</v>
      </c>
      <c r="B1254" s="6" t="s">
        <v>10777</v>
      </c>
      <c r="C1254" s="17" t="s">
        <v>10778</v>
      </c>
      <c r="D1254" s="10" t="s">
        <v>10779</v>
      </c>
      <c r="E1254" s="55"/>
      <c r="F1254" s="55"/>
      <c r="G1254" s="12" t="s">
        <v>4643</v>
      </c>
      <c r="H1254" s="74"/>
      <c r="I1254" s="147" t="str">
        <f>HYPERLINK("[#]Datatypes!B1097:L1097","Real")</f>
        <v>Real</v>
      </c>
      <c r="J1254" s="76" t="str">
        <f>HYPERLINK("[#]PhysicalQuantities!A29:N29","Mass Density")</f>
        <v>Mass Density</v>
      </c>
      <c r="K1254" s="75" t="str">
        <f>HYPERLINK("[#]UnitsOfMeasure!D140:G140","Gram per cubic Metre")</f>
        <v>Gram per cubic Metre</v>
      </c>
      <c r="L1254" s="77"/>
      <c r="M1254" s="78"/>
      <c r="N1254" s="74"/>
      <c r="O1254" s="25">
        <v>119407</v>
      </c>
      <c r="P1254" s="304" t="str">
        <f>CONCATENATE([1]Cover!$D$6,"fdd/view?i=",O1254)</f>
        <v>https://www.dgiwg.org/FAD/fdd/view?i=119407</v>
      </c>
      <c r="Q1254" s="8" t="s">
        <v>10776</v>
      </c>
      <c r="R1254" s="38" t="s">
        <v>151</v>
      </c>
    </row>
    <row r="1255" spans="1:18" ht="25.5">
      <c r="A1255" s="302" t="str">
        <f t="shared" si="30"/>
        <v>touchdownLiftOffAreaDesig</v>
      </c>
      <c r="B1255" s="6" t="s">
        <v>10781</v>
      </c>
      <c r="C1255" s="17" t="s">
        <v>10782</v>
      </c>
      <c r="D1255" s="10" t="s">
        <v>10783</v>
      </c>
      <c r="E1255" s="55"/>
      <c r="F1255" s="55"/>
      <c r="G1255" s="12" t="s">
        <v>4643</v>
      </c>
      <c r="H1255" s="74"/>
      <c r="I1255" s="147" t="str">
        <f>HYPERLINK("[#]Datatypes!B1422:L1422","TextNonLex16")</f>
        <v>TextNonLex16</v>
      </c>
      <c r="J1255" s="80"/>
      <c r="K1255" s="77"/>
      <c r="L1255" s="77"/>
      <c r="M1255" s="78"/>
      <c r="N1255" s="74"/>
      <c r="O1255" s="25">
        <v>117726</v>
      </c>
      <c r="P1255" s="304" t="str">
        <f>CONCATENATE([1]Cover!$D$6,"fdd/view?i=",O1255)</f>
        <v>https://www.dgiwg.org/FAD/fdd/view?i=117726</v>
      </c>
      <c r="Q1255" s="8" t="s">
        <v>10780</v>
      </c>
      <c r="R1255" s="38" t="s">
        <v>151</v>
      </c>
    </row>
    <row r="1256" spans="1:18" ht="102">
      <c r="A1256" s="302" t="str">
        <f t="shared" si="30"/>
        <v>touchdownZoneElevation</v>
      </c>
      <c r="B1256" s="6" t="s">
        <v>10786</v>
      </c>
      <c r="C1256" s="17" t="s">
        <v>10787</v>
      </c>
      <c r="D1256" s="10" t="s">
        <v>10788</v>
      </c>
      <c r="E1256" s="10" t="s">
        <v>10789</v>
      </c>
      <c r="F1256" s="55"/>
      <c r="G1256" s="12" t="s">
        <v>4643</v>
      </c>
      <c r="H1256" s="74"/>
      <c r="I1256" s="147" t="str">
        <f>HYPERLINK("[#]Datatypes!B1097:L1097","Real")</f>
        <v>Real</v>
      </c>
      <c r="J1256" s="76" t="str">
        <f>HYPERLINK("[#]PhysicalQuantities!A20:N20","Length")</f>
        <v>Length</v>
      </c>
      <c r="K1256" s="75" t="str">
        <f>HYPERLINK("[#]UnitsOfMeasure!D80:G80","Metre")</f>
        <v>Metre</v>
      </c>
      <c r="L1256" s="77"/>
      <c r="M1256" s="78"/>
      <c r="N1256" s="74"/>
      <c r="O1256" s="25">
        <v>117736</v>
      </c>
      <c r="P1256" s="304" t="str">
        <f>CONCATENATE([1]Cover!$D$6,"fdd/view?i=",O1256)</f>
        <v>https://www.dgiwg.org/FAD/fdd/view?i=117736</v>
      </c>
      <c r="Q1256" s="8" t="s">
        <v>10785</v>
      </c>
      <c r="R1256" s="38" t="s">
        <v>151</v>
      </c>
    </row>
    <row r="1257" spans="1:18" ht="51">
      <c r="A1257" s="302" t="str">
        <f t="shared" si="30"/>
        <v>touristAttraction</v>
      </c>
      <c r="B1257" s="6" t="s">
        <v>10791</v>
      </c>
      <c r="C1257" s="17" t="s">
        <v>10792</v>
      </c>
      <c r="D1257" s="10" t="s">
        <v>10793</v>
      </c>
      <c r="E1257" s="55"/>
      <c r="F1257" s="55"/>
      <c r="G1257" s="12" t="s">
        <v>4643</v>
      </c>
      <c r="H1257" s="74"/>
      <c r="I1257" s="147" t="str">
        <f>HYPERLINK("[#]Datatypes!B230:L230","Boolean")</f>
        <v>Boolean</v>
      </c>
      <c r="J1257" s="80"/>
      <c r="K1257" s="77"/>
      <c r="L1257" s="77"/>
      <c r="M1257" s="78"/>
      <c r="N1257" s="74"/>
      <c r="O1257" s="25">
        <v>118591</v>
      </c>
      <c r="P1257" s="304" t="str">
        <f>CONCATENATE([1]Cover!$D$6,"fdd/view?i=",O1257)</f>
        <v>https://www.dgiwg.org/FAD/fdd/view?i=118591</v>
      </c>
      <c r="Q1257" s="8" t="s">
        <v>10790</v>
      </c>
      <c r="R1257" s="38" t="s">
        <v>151</v>
      </c>
    </row>
    <row r="1258" spans="1:18">
      <c r="A1258" s="302" t="str">
        <f t="shared" si="30"/>
        <v>towerShape</v>
      </c>
      <c r="B1258" s="6" t="s">
        <v>10795</v>
      </c>
      <c r="C1258" s="17" t="s">
        <v>10796</v>
      </c>
      <c r="D1258" s="10" t="s">
        <v>10797</v>
      </c>
      <c r="E1258" s="55"/>
      <c r="F1258" s="55"/>
      <c r="G1258" s="12" t="s">
        <v>4643</v>
      </c>
      <c r="H1258" s="74"/>
      <c r="I1258" s="147" t="str">
        <f>HYPERLINK("[#]Datatypes!B1452:L1452","TowerShapeCode")</f>
        <v>TowerShapeCode</v>
      </c>
      <c r="J1258" s="80"/>
      <c r="K1258" s="77"/>
      <c r="L1258" s="77"/>
      <c r="M1258" s="71" t="str">
        <f>HYPERLINK("[#]DatatypeListedValues!A6908:H6908","&lt;values&gt;")</f>
        <v>&lt;values&gt;</v>
      </c>
      <c r="N1258" s="82" t="b">
        <v>0</v>
      </c>
      <c r="O1258" s="25">
        <v>103064</v>
      </c>
      <c r="P1258" s="304" t="str">
        <f>CONCATENATE([1]Cover!$D$6,"fdd/view?i=",O1258)</f>
        <v>https://www.dgiwg.org/FAD/fdd/view?i=103064</v>
      </c>
      <c r="Q1258" s="8" t="s">
        <v>10794</v>
      </c>
      <c r="R1258" s="38" t="s">
        <v>151</v>
      </c>
    </row>
    <row r="1259" spans="1:18">
      <c r="A1259" s="302" t="str">
        <f t="shared" si="30"/>
        <v>towerType</v>
      </c>
      <c r="B1259" s="6" t="s">
        <v>10800</v>
      </c>
      <c r="C1259" s="17" t="s">
        <v>10801</v>
      </c>
      <c r="D1259" s="10" t="s">
        <v>10802</v>
      </c>
      <c r="E1259" s="55"/>
      <c r="F1259" s="55"/>
      <c r="G1259" s="12" t="s">
        <v>4643</v>
      </c>
      <c r="H1259" s="12" t="s">
        <v>4700</v>
      </c>
      <c r="I1259" s="147" t="str">
        <f>HYPERLINK("[#]Datatypes!B1454:L1454","TowerTypeCode")</f>
        <v>TowerTypeCode</v>
      </c>
      <c r="J1259" s="80"/>
      <c r="K1259" s="77"/>
      <c r="L1259" s="77"/>
      <c r="M1259" s="71" t="str">
        <f>HYPERLINK("[#]DatatypeListedValues!A6922:H6922","&lt;values&gt;")</f>
        <v>&lt;values&gt;</v>
      </c>
      <c r="N1259" s="82" t="b">
        <v>0</v>
      </c>
      <c r="O1259" s="25">
        <v>101398</v>
      </c>
      <c r="P1259" s="304" t="str">
        <f>CONCATENATE([1]Cover!$D$6,"fdd/view?i=",O1259)</f>
        <v>https://www.dgiwg.org/FAD/fdd/view?i=101398</v>
      </c>
      <c r="Q1259" s="8" t="s">
        <v>10799</v>
      </c>
      <c r="R1259" s="38" t="s">
        <v>151</v>
      </c>
    </row>
    <row r="1260" spans="1:18" ht="25.5">
      <c r="A1260" s="302" t="str">
        <f t="shared" si="30"/>
        <v>trackOrLaneCount</v>
      </c>
      <c r="B1260" s="6" t="s">
        <v>10805</v>
      </c>
      <c r="C1260" s="17" t="s">
        <v>10806</v>
      </c>
      <c r="D1260" s="10" t="s">
        <v>10807</v>
      </c>
      <c r="E1260" s="55"/>
      <c r="F1260" s="55"/>
      <c r="G1260" s="12" t="s">
        <v>4643</v>
      </c>
      <c r="H1260" s="74"/>
      <c r="I1260" s="147" t="str">
        <f>HYPERLINK("[#]Datatypes!B366:L366","Count")</f>
        <v>Count</v>
      </c>
      <c r="J1260" s="80"/>
      <c r="K1260" s="77"/>
      <c r="L1260" s="77"/>
      <c r="M1260" s="78"/>
      <c r="N1260" s="74"/>
      <c r="O1260" s="25">
        <v>101015</v>
      </c>
      <c r="P1260" s="304" t="str">
        <f>CONCATENATE([1]Cover!$D$6,"fdd/view?i=",O1260)</f>
        <v>https://www.dgiwg.org/FAD/fdd/view?i=101015</v>
      </c>
      <c r="Q1260" s="8" t="s">
        <v>10804</v>
      </c>
      <c r="R1260" s="38" t="s">
        <v>151</v>
      </c>
    </row>
    <row r="1261" spans="1:18" ht="25.5">
      <c r="A1261" s="302" t="str">
        <f t="shared" si="30"/>
        <v>trackType</v>
      </c>
      <c r="B1261" s="6" t="s">
        <v>10809</v>
      </c>
      <c r="C1261" s="17" t="s">
        <v>10810</v>
      </c>
      <c r="D1261" s="10" t="s">
        <v>10811</v>
      </c>
      <c r="E1261" s="55"/>
      <c r="F1261" s="55"/>
      <c r="G1261" s="12" t="s">
        <v>4643</v>
      </c>
      <c r="H1261" s="74"/>
      <c r="I1261" s="147" t="str">
        <f>HYPERLINK("[#]Datatypes!B1456:L1456","TrackTypeCode")</f>
        <v>TrackTypeCode</v>
      </c>
      <c r="J1261" s="80"/>
      <c r="K1261" s="77"/>
      <c r="L1261" s="77"/>
      <c r="M1261" s="71" t="str">
        <f>HYPERLINK("[#]DatatypeListedValues!A6930:H6930","&lt;values&gt;")</f>
        <v>&lt;values&gt;</v>
      </c>
      <c r="N1261" s="82" t="b">
        <v>0</v>
      </c>
      <c r="O1261" s="25">
        <v>103066</v>
      </c>
      <c r="P1261" s="304" t="str">
        <f>CONCATENATE([1]Cover!$D$6,"fdd/view?i=",O1261)</f>
        <v>https://www.dgiwg.org/FAD/fdd/view?i=103066</v>
      </c>
      <c r="Q1261" s="8" t="s">
        <v>10808</v>
      </c>
      <c r="R1261" s="38" t="s">
        <v>151</v>
      </c>
    </row>
    <row r="1262" spans="1:18" ht="25.5">
      <c r="A1262" s="302" t="str">
        <f t="shared" si="30"/>
        <v>trafficFlow</v>
      </c>
      <c r="B1262" s="6" t="s">
        <v>10814</v>
      </c>
      <c r="C1262" s="17" t="s">
        <v>10815</v>
      </c>
      <c r="D1262" s="10" t="s">
        <v>10816</v>
      </c>
      <c r="E1262" s="55"/>
      <c r="F1262" s="55"/>
      <c r="G1262" s="12" t="s">
        <v>4643</v>
      </c>
      <c r="H1262" s="74"/>
      <c r="I1262" s="147" t="str">
        <f>HYPERLINK("[#]Datatypes!B1458:L1458","TrafficFlowCode")</f>
        <v>TrafficFlowCode</v>
      </c>
      <c r="J1262" s="80"/>
      <c r="K1262" s="77"/>
      <c r="L1262" s="77"/>
      <c r="M1262" s="71" t="str">
        <f>HYPERLINK("[#]DatatypeListedValues!A6941:H6941","&lt;values&gt;")</f>
        <v>&lt;values&gt;</v>
      </c>
      <c r="N1262" s="12" t="b">
        <v>1</v>
      </c>
      <c r="O1262" s="25">
        <v>101380</v>
      </c>
      <c r="P1262" s="304" t="str">
        <f>CONCATENATE([1]Cover!$D$6,"fdd/view?i=",O1262)</f>
        <v>https://www.dgiwg.org/FAD/fdd/view?i=101380</v>
      </c>
      <c r="Q1262" s="8" t="s">
        <v>10813</v>
      </c>
      <c r="R1262" s="38" t="s">
        <v>151</v>
      </c>
    </row>
    <row r="1263" spans="1:18" ht="38.25">
      <c r="A1263" s="302" t="str">
        <f t="shared" si="30"/>
        <v>trafficMonitorType</v>
      </c>
      <c r="B1263" s="6" t="s">
        <v>10819</v>
      </c>
      <c r="C1263" s="17" t="s">
        <v>10820</v>
      </c>
      <c r="D1263" s="10" t="s">
        <v>10821</v>
      </c>
      <c r="E1263" s="10" t="s">
        <v>10822</v>
      </c>
      <c r="F1263" s="55"/>
      <c r="G1263" s="12" t="s">
        <v>4643</v>
      </c>
      <c r="H1263" s="12" t="s">
        <v>4700</v>
      </c>
      <c r="I1263" s="147" t="str">
        <f>HYPERLINK("[#]Datatypes!B1460:L1460","TrafficMonitorTypeCode")</f>
        <v>TrafficMonitorTypeCode</v>
      </c>
      <c r="J1263" s="80"/>
      <c r="K1263" s="77"/>
      <c r="L1263" s="77"/>
      <c r="M1263" s="71" t="str">
        <f>HYPERLINK("[#]DatatypeListedValues!A6945:H6945","&lt;values&gt;")</f>
        <v>&lt;values&gt;</v>
      </c>
      <c r="N1263" s="82" t="b">
        <v>0</v>
      </c>
      <c r="O1263" s="25">
        <v>119075</v>
      </c>
      <c r="P1263" s="304" t="str">
        <f>CONCATENATE([1]Cover!$D$6,"fdd/view?i=",O1263)</f>
        <v>https://www.dgiwg.org/FAD/fdd/view?i=119075</v>
      </c>
      <c r="Q1263" s="8" t="s">
        <v>10818</v>
      </c>
      <c r="R1263" s="38" t="s">
        <v>151</v>
      </c>
    </row>
    <row r="1264" spans="1:18">
      <c r="A1264" s="302" t="str">
        <f t="shared" si="30"/>
        <v>trafficRestrictionType</v>
      </c>
      <c r="B1264" s="6" t="s">
        <v>10825</v>
      </c>
      <c r="C1264" s="17" t="s">
        <v>10826</v>
      </c>
      <c r="D1264" s="10" t="s">
        <v>10827</v>
      </c>
      <c r="E1264" s="55"/>
      <c r="F1264" s="55"/>
      <c r="G1264" s="12" t="s">
        <v>4643</v>
      </c>
      <c r="H1264" s="74"/>
      <c r="I1264" s="147" t="str">
        <f>HYPERLINK("[#]Datatypes!B1462:L1462","TrafficRestrictionTypeCode")</f>
        <v>TrafficRestrictionTypeCode</v>
      </c>
      <c r="J1264" s="80"/>
      <c r="K1264" s="77"/>
      <c r="L1264" s="77"/>
      <c r="M1264" s="71" t="str">
        <f>HYPERLINK("[#]DatatypeListedValues!A6948:H6948","&lt;values&gt;")</f>
        <v>&lt;values&gt;</v>
      </c>
      <c r="N1264" s="82" t="b">
        <v>0</v>
      </c>
      <c r="O1264" s="25">
        <v>117797</v>
      </c>
      <c r="P1264" s="304" t="str">
        <f>CONCATENATE([1]Cover!$D$6,"fdd/view?i=",O1264)</f>
        <v>https://www.dgiwg.org/FAD/fdd/view?i=117797</v>
      </c>
      <c r="Q1264" s="8" t="s">
        <v>10824</v>
      </c>
      <c r="R1264" s="38" t="s">
        <v>151</v>
      </c>
    </row>
    <row r="1265" spans="1:18" ht="25.5">
      <c r="A1265" s="302" t="str">
        <f t="shared" si="30"/>
        <v>trainedAviatFirefighterCnt</v>
      </c>
      <c r="B1265" s="6" t="s">
        <v>10830</v>
      </c>
      <c r="C1265" s="17" t="s">
        <v>10831</v>
      </c>
      <c r="D1265" s="10" t="s">
        <v>10832</v>
      </c>
      <c r="E1265" s="55"/>
      <c r="F1265" s="55"/>
      <c r="G1265" s="12" t="s">
        <v>4643</v>
      </c>
      <c r="H1265" s="74"/>
      <c r="I1265" s="147" t="str">
        <f>HYPERLINK("[#]Datatypes!B366:L366","Count")</f>
        <v>Count</v>
      </c>
      <c r="J1265" s="80"/>
      <c r="K1265" s="77"/>
      <c r="L1265" s="77"/>
      <c r="M1265" s="78"/>
      <c r="N1265" s="74"/>
      <c r="O1265" s="25">
        <v>119616</v>
      </c>
      <c r="P1265" s="304" t="str">
        <f>CONCATENATE([1]Cover!$D$6,"fdd/view?i=",O1265)</f>
        <v>https://www.dgiwg.org/FAD/fdd/view?i=119616</v>
      </c>
      <c r="Q1265" s="8" t="s">
        <v>10829</v>
      </c>
      <c r="R1265" s="38" t="s">
        <v>151</v>
      </c>
    </row>
    <row r="1266" spans="1:18" ht="25.5">
      <c r="A1266" s="302" t="str">
        <f t="shared" si="30"/>
        <v>transitionAltitude</v>
      </c>
      <c r="B1266" s="6" t="s">
        <v>10834</v>
      </c>
      <c r="C1266" s="17" t="s">
        <v>10835</v>
      </c>
      <c r="D1266" s="10" t="s">
        <v>10836</v>
      </c>
      <c r="E1266" s="55"/>
      <c r="F1266" s="55"/>
      <c r="G1266" s="12" t="s">
        <v>4643</v>
      </c>
      <c r="H1266" s="74"/>
      <c r="I1266" s="147" t="str">
        <f>HYPERLINK("[#]Datatypes!B1097:L1097","Real")</f>
        <v>Real</v>
      </c>
      <c r="J1266" s="76" t="str">
        <f>HYPERLINK("[#]PhysicalQuantities!A20:N20","Length")</f>
        <v>Length</v>
      </c>
      <c r="K1266" s="75" t="str">
        <f>HYPERLINK("[#]UnitsOfMeasure!D80:G80","Metre")</f>
        <v>Metre</v>
      </c>
      <c r="L1266" s="77"/>
      <c r="M1266" s="78"/>
      <c r="N1266" s="74"/>
      <c r="O1266" s="25">
        <v>117727</v>
      </c>
      <c r="P1266" s="304" t="str">
        <f>CONCATENATE([1]Cover!$D$6,"fdd/view?i=",O1266)</f>
        <v>https://www.dgiwg.org/FAD/fdd/view?i=117727</v>
      </c>
      <c r="Q1266" s="8" t="s">
        <v>10833</v>
      </c>
      <c r="R1266" s="38" t="s">
        <v>151</v>
      </c>
    </row>
    <row r="1267" spans="1:18">
      <c r="A1267" s="302" t="str">
        <f t="shared" si="30"/>
        <v>transitionLevel</v>
      </c>
      <c r="B1267" s="6" t="s">
        <v>10838</v>
      </c>
      <c r="C1267" s="17" t="s">
        <v>10839</v>
      </c>
      <c r="D1267" s="10" t="s">
        <v>10840</v>
      </c>
      <c r="E1267" s="55"/>
      <c r="F1267" s="55"/>
      <c r="G1267" s="12" t="s">
        <v>4643</v>
      </c>
      <c r="H1267" s="74"/>
      <c r="I1267" s="147" t="str">
        <f>HYPERLINK("[#]Datatypes!B1097:L1097","Real")</f>
        <v>Real</v>
      </c>
      <c r="J1267" s="76" t="str">
        <f>HYPERLINK("[#]PhysicalQuantities!A20:N20","Length")</f>
        <v>Length</v>
      </c>
      <c r="K1267" s="75" t="str">
        <f>HYPERLINK("[#]UnitsOfMeasure!D103:G103","Foot")</f>
        <v>Foot</v>
      </c>
      <c r="L1267" s="75" t="str">
        <f>HYPERLINK("[#]UnitsOfMeasure!D154:G154","Flight Level")</f>
        <v>Flight Level</v>
      </c>
      <c r="M1267" s="78"/>
      <c r="N1267" s="74"/>
      <c r="O1267" s="25">
        <v>117729</v>
      </c>
      <c r="P1267" s="304" t="str">
        <f>CONCATENATE([1]Cover!$D$6,"fdd/view?i=",O1267)</f>
        <v>https://www.dgiwg.org/FAD/fdd/view?i=117729</v>
      </c>
      <c r="Q1267" s="8" t="s">
        <v>10837</v>
      </c>
      <c r="R1267" s="38" t="s">
        <v>151</v>
      </c>
    </row>
    <row r="1268" spans="1:18" ht="25.5">
      <c r="A1268" s="302" t="str">
        <f t="shared" si="30"/>
        <v>transliterationMethod</v>
      </c>
      <c r="B1268" s="6" t="s">
        <v>10842</v>
      </c>
      <c r="C1268" s="17" t="s">
        <v>10843</v>
      </c>
      <c r="D1268" s="10" t="s">
        <v>10844</v>
      </c>
      <c r="E1268" s="10" t="s">
        <v>10845</v>
      </c>
      <c r="F1268" s="55"/>
      <c r="G1268" s="12" t="s">
        <v>4643</v>
      </c>
      <c r="H1268" s="74"/>
      <c r="I1268" s="147" t="str">
        <f>HYPERLINK("[#]Datatypes!B1464:L1464","TransliterationMethodStrucText")</f>
        <v>TransliterationMethodStrucText</v>
      </c>
      <c r="J1268" s="80"/>
      <c r="K1268" s="77"/>
      <c r="L1268" s="77"/>
      <c r="M1268" s="78"/>
      <c r="N1268" s="74"/>
      <c r="O1268" s="25">
        <v>200586</v>
      </c>
      <c r="P1268" s="304" t="str">
        <f>CONCATENATE([1]Cover!$D$6,"fdd/view?i=",O1268)</f>
        <v>https://www.dgiwg.org/FAD/fdd/view?i=200586</v>
      </c>
      <c r="Q1268" s="8" t="s">
        <v>10841</v>
      </c>
      <c r="R1268" s="38" t="s">
        <v>1295</v>
      </c>
    </row>
    <row r="1269" spans="1:18">
      <c r="A1269" s="302" t="str">
        <f t="shared" si="30"/>
        <v>transportationBlockType</v>
      </c>
      <c r="B1269" s="6" t="s">
        <v>10848</v>
      </c>
      <c r="C1269" s="17" t="s">
        <v>10849</v>
      </c>
      <c r="D1269" s="10" t="s">
        <v>10850</v>
      </c>
      <c r="E1269" s="10" t="s">
        <v>10851</v>
      </c>
      <c r="F1269" s="55"/>
      <c r="G1269" s="12" t="s">
        <v>4643</v>
      </c>
      <c r="H1269" s="74"/>
      <c r="I1269" s="147" t="str">
        <f>HYPERLINK("[#]Datatypes!B1466:L1466","TransportationBlockTypeCode")</f>
        <v>TransportationBlockTypeCode</v>
      </c>
      <c r="J1269" s="80"/>
      <c r="K1269" s="77"/>
      <c r="L1269" s="77"/>
      <c r="M1269" s="71" t="str">
        <f>HYPERLINK("[#]DatatypeListedValues!A6953:H6953","&lt;values&gt;")</f>
        <v>&lt;values&gt;</v>
      </c>
      <c r="N1269" s="82" t="b">
        <v>0</v>
      </c>
      <c r="O1269" s="25">
        <v>100813</v>
      </c>
      <c r="P1269" s="304" t="str">
        <f>CONCATENATE([1]Cover!$D$6,"fdd/view?i=",O1269)</f>
        <v>https://www.dgiwg.org/FAD/fdd/view?i=100813</v>
      </c>
      <c r="Q1269" s="8" t="s">
        <v>10847</v>
      </c>
      <c r="R1269" s="38" t="s">
        <v>151</v>
      </c>
    </row>
    <row r="1270" spans="1:18" ht="25.5">
      <c r="A1270" s="302" t="str">
        <f t="shared" si="30"/>
        <v>transRteProtStructType</v>
      </c>
      <c r="B1270" s="6" t="s">
        <v>10854</v>
      </c>
      <c r="C1270" s="17" t="s">
        <v>10855</v>
      </c>
      <c r="D1270" s="10" t="s">
        <v>10856</v>
      </c>
      <c r="E1270" s="55"/>
      <c r="F1270" s="55"/>
      <c r="G1270" s="12" t="s">
        <v>4643</v>
      </c>
      <c r="H1270" s="74"/>
      <c r="I1270" s="147" t="str">
        <f>HYPERLINK("[#]Datatypes!B1468:L1468","TransRouteProtectShelterTypeCode")</f>
        <v>TransRouteProtectShelterTypeCode</v>
      </c>
      <c r="J1270" s="80"/>
      <c r="K1270" s="77"/>
      <c r="L1270" s="77"/>
      <c r="M1270" s="71" t="str">
        <f>HYPERLINK("[#]DatatypeListedValues!A6955:H6955","&lt;values&gt;")</f>
        <v>&lt;values&gt;</v>
      </c>
      <c r="N1270" s="82" t="b">
        <v>0</v>
      </c>
      <c r="O1270" s="25">
        <v>117799</v>
      </c>
      <c r="P1270" s="304" t="str">
        <f>CONCATENATE([1]Cover!$D$6,"fdd/view?i=",O1270)</f>
        <v>https://www.dgiwg.org/FAD/fdd/view?i=117799</v>
      </c>
      <c r="Q1270" s="8" t="s">
        <v>10853</v>
      </c>
      <c r="R1270" s="38" t="s">
        <v>151</v>
      </c>
    </row>
    <row r="1271" spans="1:18" ht="25.5">
      <c r="A1271" s="302" t="str">
        <f t="shared" si="30"/>
        <v>transportationSystemType</v>
      </c>
      <c r="B1271" s="6" t="s">
        <v>10859</v>
      </c>
      <c r="C1271" s="17" t="s">
        <v>10860</v>
      </c>
      <c r="D1271" s="10" t="s">
        <v>10861</v>
      </c>
      <c r="E1271" s="55"/>
      <c r="F1271" s="55"/>
      <c r="G1271" s="12" t="s">
        <v>4643</v>
      </c>
      <c r="H1271" s="12" t="s">
        <v>4700</v>
      </c>
      <c r="I1271" s="147" t="str">
        <f>HYPERLINK("[#]Datatypes!B1470:L1470","TransportationSystemTypeCode")</f>
        <v>TransportationSystemTypeCode</v>
      </c>
      <c r="J1271" s="80"/>
      <c r="K1271" s="77"/>
      <c r="L1271" s="77"/>
      <c r="M1271" s="71" t="str">
        <f>HYPERLINK("[#]DatatypeListedValues!A6959:H6959","&lt;values&gt;")</f>
        <v>&lt;values&gt;</v>
      </c>
      <c r="N1271" s="82" t="b">
        <v>0</v>
      </c>
      <c r="O1271" s="25">
        <v>109991</v>
      </c>
      <c r="P1271" s="304" t="str">
        <f>CONCATENATE([1]Cover!$D$6,"fdd/view?i=",O1271)</f>
        <v>https://www.dgiwg.org/FAD/fdd/view?i=109991</v>
      </c>
      <c r="Q1271" s="8" t="s">
        <v>10858</v>
      </c>
      <c r="R1271" s="38" t="s">
        <v>151</v>
      </c>
    </row>
    <row r="1272" spans="1:18" ht="25.5">
      <c r="A1272" s="302" t="str">
        <f t="shared" si="30"/>
        <v>treeSpacing</v>
      </c>
      <c r="B1272" s="6" t="s">
        <v>10864</v>
      </c>
      <c r="C1272" s="17" t="s">
        <v>10865</v>
      </c>
      <c r="D1272" s="10" t="s">
        <v>10866</v>
      </c>
      <c r="E1272" s="55"/>
      <c r="F1272" s="55"/>
      <c r="G1272" s="12" t="s">
        <v>4643</v>
      </c>
      <c r="H1272" s="74"/>
      <c r="I1272" s="147" t="str">
        <f>HYPERLINK("[#]Datatypes!B1099:L1099","RealInterval")</f>
        <v>RealInterval</v>
      </c>
      <c r="J1272" s="76" t="str">
        <f>HYPERLINK("[#]PhysicalQuantities!A20:N20","Length")</f>
        <v>Length</v>
      </c>
      <c r="K1272" s="75" t="str">
        <f>HYPERLINK("[#]UnitsOfMeasure!D80:G80","Metre")</f>
        <v>Metre</v>
      </c>
      <c r="L1272" s="77"/>
      <c r="M1272" s="78"/>
      <c r="N1272" s="74"/>
      <c r="O1272" s="25">
        <v>101386</v>
      </c>
      <c r="P1272" s="304" t="str">
        <f>CONCATENATE([1]Cover!$D$6,"fdd/view?i=",O1272)</f>
        <v>https://www.dgiwg.org/FAD/fdd/view?i=101386</v>
      </c>
      <c r="Q1272" s="8" t="s">
        <v>10863</v>
      </c>
      <c r="R1272" s="38" t="s">
        <v>151</v>
      </c>
    </row>
    <row r="1273" spans="1:18" ht="25.5">
      <c r="A1273" s="302" t="str">
        <f t="shared" si="30"/>
        <v>tropicalHurricaneCategory</v>
      </c>
      <c r="B1273" s="6" t="s">
        <v>10868</v>
      </c>
      <c r="C1273" s="17" t="s">
        <v>10869</v>
      </c>
      <c r="D1273" s="10" t="s">
        <v>10870</v>
      </c>
      <c r="E1273" s="55"/>
      <c r="F1273" s="55"/>
      <c r="G1273" s="12" t="s">
        <v>4643</v>
      </c>
      <c r="H1273" s="74"/>
      <c r="I1273" s="147" t="str">
        <f>HYPERLINK("[#]Datatypes!B1472:L1472","TropicalHurricaneCategoryCode")</f>
        <v>TropicalHurricaneCategoryCode</v>
      </c>
      <c r="J1273" s="80"/>
      <c r="K1273" s="77"/>
      <c r="L1273" s="77"/>
      <c r="M1273" s="71" t="str">
        <f>HYPERLINK("[#]DatatypeListedValues!A6983:H6983","&lt;values&gt;")</f>
        <v>&lt;values&gt;</v>
      </c>
      <c r="N1273" s="82" t="b">
        <v>0</v>
      </c>
      <c r="O1273" s="25">
        <v>204375</v>
      </c>
      <c r="P1273" s="304" t="str">
        <f>CONCATENATE([1]Cover!$D$6,"fdd/view?i=",O1273)</f>
        <v>https://www.dgiwg.org/FAD/fdd/view?i=204375</v>
      </c>
      <c r="Q1273" s="8" t="s">
        <v>10867</v>
      </c>
      <c r="R1273" s="38" t="s">
        <v>1295</v>
      </c>
    </row>
    <row r="1274" spans="1:18" ht="25.5">
      <c r="A1274" s="302" t="str">
        <f t="shared" si="30"/>
        <v>trueBearing</v>
      </c>
      <c r="B1274" s="6" t="s">
        <v>10873</v>
      </c>
      <c r="C1274" s="17" t="s">
        <v>10874</v>
      </c>
      <c r="D1274" s="10" t="s">
        <v>10875</v>
      </c>
      <c r="E1274" s="10" t="s">
        <v>10876</v>
      </c>
      <c r="F1274" s="55"/>
      <c r="G1274" s="12" t="s">
        <v>4643</v>
      </c>
      <c r="H1274" s="74"/>
      <c r="I1274" s="147" t="str">
        <f>HYPERLINK("[#]Datatypes!B1097:L1097","Real")</f>
        <v>Real</v>
      </c>
      <c r="J1274" s="76" t="str">
        <f>HYPERLINK("[#]PhysicalQuantities!A34:N34","Plane Angle")</f>
        <v>Plane Angle</v>
      </c>
      <c r="K1274" s="75" t="str">
        <f>HYPERLINK("[#]UnitsOfMeasure!D159:G159","Arc Degree")</f>
        <v>Arc Degree</v>
      </c>
      <c r="L1274" s="77"/>
      <c r="M1274" s="78"/>
      <c r="N1274" s="74"/>
      <c r="O1274" s="25">
        <v>117721</v>
      </c>
      <c r="P1274" s="304" t="str">
        <f>CONCATENATE([1]Cover!$D$6,"fdd/view?i=",O1274)</f>
        <v>https://www.dgiwg.org/FAD/fdd/view?i=117721</v>
      </c>
      <c r="Q1274" s="8" t="s">
        <v>10872</v>
      </c>
      <c r="R1274" s="38" t="s">
        <v>151</v>
      </c>
    </row>
    <row r="1275" spans="1:18" ht="38.25">
      <c r="A1275" s="302" t="str">
        <f t="shared" si="30"/>
        <v>trueBearingAcc</v>
      </c>
      <c r="B1275" s="6" t="s">
        <v>10878</v>
      </c>
      <c r="C1275" s="17" t="s">
        <v>10879</v>
      </c>
      <c r="D1275" s="10" t="s">
        <v>10880</v>
      </c>
      <c r="E1275" s="55"/>
      <c r="F1275" s="55"/>
      <c r="G1275" s="12" t="s">
        <v>4643</v>
      </c>
      <c r="H1275" s="74"/>
      <c r="I1275" s="147" t="str">
        <f>HYPERLINK("[#]Datatypes!B958:L958","RealNonNegative")</f>
        <v>RealNonNegative</v>
      </c>
      <c r="J1275" s="76" t="str">
        <f>HYPERLINK("[#]PhysicalQuantities!A34:N34","Plane Angle")</f>
        <v>Plane Angle</v>
      </c>
      <c r="K1275" s="75" t="str">
        <f>HYPERLINK("[#]UnitsOfMeasure!D159:G159","Arc Degree")</f>
        <v>Arc Degree</v>
      </c>
      <c r="L1275" s="77"/>
      <c r="M1275" s="78"/>
      <c r="N1275" s="74"/>
      <c r="O1275" s="25">
        <v>207005</v>
      </c>
      <c r="P1275" s="304" t="str">
        <f>CONCATENATE([1]Cover!$D$6,"fdd/view?i=",O1275)</f>
        <v>https://www.dgiwg.org/FAD/fdd/view?i=207005</v>
      </c>
      <c r="Q1275" s="8" t="s">
        <v>10877</v>
      </c>
      <c r="R1275" s="38" t="s">
        <v>1295</v>
      </c>
    </row>
    <row r="1276" spans="1:18" ht="38.25">
      <c r="A1276" s="302" t="str">
        <f t="shared" si="30"/>
        <v>trueTrack</v>
      </c>
      <c r="B1276" s="6" t="s">
        <v>10882</v>
      </c>
      <c r="C1276" s="17" t="s">
        <v>10883</v>
      </c>
      <c r="D1276" s="10" t="s">
        <v>10884</v>
      </c>
      <c r="E1276" s="55"/>
      <c r="F1276" s="55"/>
      <c r="G1276" s="12" t="s">
        <v>4643</v>
      </c>
      <c r="H1276" s="74"/>
      <c r="I1276" s="147" t="str">
        <f>HYPERLINK("[#]Datatypes!B1097:L1097","Real")</f>
        <v>Real</v>
      </c>
      <c r="J1276" s="76" t="str">
        <f>HYPERLINK("[#]PhysicalQuantities!A34:N34","Plane Angle")</f>
        <v>Plane Angle</v>
      </c>
      <c r="K1276" s="75" t="str">
        <f>HYPERLINK("[#]UnitsOfMeasure!D159:G159","Arc Degree")</f>
        <v>Arc Degree</v>
      </c>
      <c r="L1276" s="77"/>
      <c r="M1276" s="78"/>
      <c r="N1276" s="74"/>
      <c r="O1276" s="25">
        <v>117733</v>
      </c>
      <c r="P1276" s="304" t="str">
        <f>CONCATENATE([1]Cover!$D$6,"fdd/view?i=",O1276)</f>
        <v>https://www.dgiwg.org/FAD/fdd/view?i=117733</v>
      </c>
      <c r="Q1276" s="8" t="s">
        <v>10881</v>
      </c>
      <c r="R1276" s="38" t="s">
        <v>151</v>
      </c>
    </row>
    <row r="1277" spans="1:18" ht="25.5">
      <c r="A1277" s="302" t="str">
        <f t="shared" si="30"/>
        <v>tssAssocAidsToNavigation</v>
      </c>
      <c r="B1277" s="6" t="s">
        <v>10886</v>
      </c>
      <c r="C1277" s="17" t="s">
        <v>10887</v>
      </c>
      <c r="D1277" s="10" t="s">
        <v>10888</v>
      </c>
      <c r="E1277" s="55"/>
      <c r="F1277" s="55"/>
      <c r="G1277" s="12" t="s">
        <v>4643</v>
      </c>
      <c r="H1277" s="74"/>
      <c r="I1277" s="147" t="str">
        <f>HYPERLINK("[#]Datatypes!B1416:L1416","TextLexUnconstrained")</f>
        <v>TextLexUnconstrained</v>
      </c>
      <c r="J1277" s="80"/>
      <c r="K1277" s="77"/>
      <c r="L1277" s="77"/>
      <c r="M1277" s="78"/>
      <c r="N1277" s="74"/>
      <c r="O1277" s="25">
        <v>118157</v>
      </c>
      <c r="P1277" s="304" t="str">
        <f>CONCATENATE([1]Cover!$D$6,"fdd/view?i=",O1277)</f>
        <v>https://www.dgiwg.org/FAD/fdd/view?i=118157</v>
      </c>
      <c r="Q1277" s="8" t="s">
        <v>10885</v>
      </c>
      <c r="R1277" s="38" t="s">
        <v>151</v>
      </c>
    </row>
    <row r="1278" spans="1:18">
      <c r="A1278" s="302" t="str">
        <f t="shared" si="30"/>
        <v>turnDirection</v>
      </c>
      <c r="B1278" s="6" t="s">
        <v>10890</v>
      </c>
      <c r="C1278" s="17" t="s">
        <v>10891</v>
      </c>
      <c r="D1278" s="10" t="s">
        <v>10892</v>
      </c>
      <c r="E1278" s="10" t="s">
        <v>10893</v>
      </c>
      <c r="F1278" s="55"/>
      <c r="G1278" s="12" t="s">
        <v>4643</v>
      </c>
      <c r="H1278" s="74"/>
      <c r="I1278" s="147" t="str">
        <f>HYPERLINK("[#]Datatypes!B1474:L1474","TurnDirectionCode")</f>
        <v>TurnDirectionCode</v>
      </c>
      <c r="J1278" s="80"/>
      <c r="K1278" s="77"/>
      <c r="L1278" s="77"/>
      <c r="M1278" s="71" t="str">
        <f>HYPERLINK("[#]DatatypeListedValues!A6988:H6988","&lt;values&gt;")</f>
        <v>&lt;values&gt;</v>
      </c>
      <c r="N1278" s="82" t="b">
        <v>0</v>
      </c>
      <c r="O1278" s="25">
        <v>117728</v>
      </c>
      <c r="P1278" s="304" t="str">
        <f>CONCATENATE([1]Cover!$D$6,"fdd/view?i=",O1278)</f>
        <v>https://www.dgiwg.org/FAD/fdd/view?i=117728</v>
      </c>
      <c r="Q1278" s="8" t="s">
        <v>10889</v>
      </c>
      <c r="R1278" s="38" t="s">
        <v>151</v>
      </c>
    </row>
    <row r="1279" spans="1:18" ht="25.5">
      <c r="A1279" s="302" t="str">
        <f t="shared" si="30"/>
        <v>usDodAircraftFuelContract</v>
      </c>
      <c r="B1279" s="6" t="s">
        <v>10896</v>
      </c>
      <c r="C1279" s="17" t="s">
        <v>10897</v>
      </c>
      <c r="D1279" s="10" t="s">
        <v>10898</v>
      </c>
      <c r="E1279" s="55"/>
      <c r="F1279" s="55"/>
      <c r="G1279" s="12" t="s">
        <v>4643</v>
      </c>
      <c r="H1279" s="74"/>
      <c r="I1279" s="147" t="str">
        <f>HYPERLINK("[#]Datatypes!B230:L230","Boolean")</f>
        <v>Boolean</v>
      </c>
      <c r="J1279" s="80"/>
      <c r="K1279" s="77"/>
      <c r="L1279" s="77"/>
      <c r="M1279" s="78"/>
      <c r="N1279" s="74"/>
      <c r="O1279" s="25">
        <v>207681</v>
      </c>
      <c r="P1279" s="304" t="str">
        <f>CONCATENATE([1]Cover!$D$6,"fdd/view?i=",O1279)</f>
        <v>https://www.dgiwg.org/FAD/fdd/view?i=207681</v>
      </c>
      <c r="Q1279" s="8" t="s">
        <v>10895</v>
      </c>
      <c r="R1279" s="38" t="s">
        <v>1295</v>
      </c>
    </row>
    <row r="1280" spans="1:18" ht="25.5">
      <c r="A1280" s="302" t="str">
        <f t="shared" si="30"/>
        <v>uncoveringHeightKnown</v>
      </c>
      <c r="B1280" s="6" t="s">
        <v>10900</v>
      </c>
      <c r="C1280" s="17" t="s">
        <v>10901</v>
      </c>
      <c r="D1280" s="10" t="s">
        <v>10902</v>
      </c>
      <c r="E1280" s="55"/>
      <c r="F1280" s="55"/>
      <c r="G1280" s="12" t="s">
        <v>4643</v>
      </c>
      <c r="H1280" s="74"/>
      <c r="I1280" s="147" t="str">
        <f>HYPERLINK("[#]Datatypes!B230:L230","Boolean")</f>
        <v>Boolean</v>
      </c>
      <c r="J1280" s="80"/>
      <c r="K1280" s="77"/>
      <c r="L1280" s="77"/>
      <c r="M1280" s="78"/>
      <c r="N1280" s="74"/>
      <c r="O1280" s="25">
        <v>101411</v>
      </c>
      <c r="P1280" s="304" t="str">
        <f>CONCATENATE([1]Cover!$D$6,"fdd/view?i=",O1280)</f>
        <v>https://www.dgiwg.org/FAD/fdd/view?i=101411</v>
      </c>
      <c r="Q1280" s="8" t="s">
        <v>10899</v>
      </c>
      <c r="R1280" s="38" t="s">
        <v>151</v>
      </c>
    </row>
    <row r="1281" spans="1:18" ht="25.5">
      <c r="A1281" s="302" t="str">
        <f t="shared" si="30"/>
        <v>underbridgeClearance</v>
      </c>
      <c r="B1281" s="6" t="s">
        <v>10904</v>
      </c>
      <c r="C1281" s="17" t="s">
        <v>10905</v>
      </c>
      <c r="D1281" s="10" t="s">
        <v>10906</v>
      </c>
      <c r="E1281" s="55"/>
      <c r="F1281" s="55"/>
      <c r="G1281" s="12" t="s">
        <v>4643</v>
      </c>
      <c r="H1281" s="74"/>
      <c r="I1281" s="147" t="str">
        <f>HYPERLINK("[#]Datatypes!B1099:L1099","RealInterval")</f>
        <v>RealInterval</v>
      </c>
      <c r="J1281" s="76" t="str">
        <f>HYPERLINK("[#]PhysicalQuantities!A20:N20","Length")</f>
        <v>Length</v>
      </c>
      <c r="K1281" s="75" t="str">
        <f>HYPERLINK("[#]UnitsOfMeasure!D80:G80","Metre")</f>
        <v>Metre</v>
      </c>
      <c r="L1281" s="77"/>
      <c r="M1281" s="78"/>
      <c r="N1281" s="74"/>
      <c r="O1281" s="25">
        <v>101408</v>
      </c>
      <c r="P1281" s="304" t="str">
        <f>CONCATENATE([1]Cover!$D$6,"fdd/view?i=",O1281)</f>
        <v>https://www.dgiwg.org/FAD/fdd/view?i=101408</v>
      </c>
      <c r="Q1281" s="8" t="s">
        <v>10903</v>
      </c>
      <c r="R1281" s="38" t="s">
        <v>151</v>
      </c>
    </row>
    <row r="1282" spans="1:18" ht="38.25">
      <c r="A1282" s="302" t="str">
        <f t="shared" si="30"/>
        <v>undergroundAccessOrient</v>
      </c>
      <c r="B1282" s="6" t="s">
        <v>10908</v>
      </c>
      <c r="C1282" s="17" t="s">
        <v>10909</v>
      </c>
      <c r="D1282" s="10" t="s">
        <v>10910</v>
      </c>
      <c r="E1282" s="55"/>
      <c r="F1282" s="55"/>
      <c r="G1282" s="12" t="s">
        <v>4643</v>
      </c>
      <c r="H1282" s="74"/>
      <c r="I1282" s="147" t="str">
        <f>HYPERLINK("[#]Datatypes!B1476:L1476","UndergroundAccessOrientCode")</f>
        <v>UndergroundAccessOrientCode</v>
      </c>
      <c r="J1282" s="80"/>
      <c r="K1282" s="77"/>
      <c r="L1282" s="77"/>
      <c r="M1282" s="71" t="str">
        <f>HYPERLINK("[#]DatatypeListedValues!A6991:H6991","&lt;values&gt;")</f>
        <v>&lt;values&gt;</v>
      </c>
      <c r="N1282" s="82" t="b">
        <v>0</v>
      </c>
      <c r="O1282" s="25">
        <v>119208</v>
      </c>
      <c r="P1282" s="304" t="str">
        <f>CONCATENATE([1]Cover!$D$6,"fdd/view?i=",O1282)</f>
        <v>https://www.dgiwg.org/FAD/fdd/view?i=119208</v>
      </c>
      <c r="Q1282" s="8" t="s">
        <v>10907</v>
      </c>
      <c r="R1282" s="38" t="s">
        <v>151</v>
      </c>
    </row>
    <row r="1283" spans="1:18" ht="25.5">
      <c r="A1283" s="302" t="str">
        <f t="shared" si="30"/>
        <v>undergroundMineAccess</v>
      </c>
      <c r="B1283" s="6" t="s">
        <v>10913</v>
      </c>
      <c r="C1283" s="17" t="s">
        <v>10914</v>
      </c>
      <c r="D1283" s="10" t="s">
        <v>10915</v>
      </c>
      <c r="E1283" s="10" t="s">
        <v>10916</v>
      </c>
      <c r="F1283" s="55"/>
      <c r="G1283" s="12" t="s">
        <v>4643</v>
      </c>
      <c r="H1283" s="74"/>
      <c r="I1283" s="147" t="str">
        <f>HYPERLINK("[#]Datatypes!B1478:L1478","UndergroundMineAccessCode")</f>
        <v>UndergroundMineAccessCode</v>
      </c>
      <c r="J1283" s="80"/>
      <c r="K1283" s="77"/>
      <c r="L1283" s="77"/>
      <c r="M1283" s="71" t="str">
        <f>HYPERLINK("[#]DatatypeListedValues!A6996:H6996","&lt;values&gt;")</f>
        <v>&lt;values&gt;</v>
      </c>
      <c r="N1283" s="12" t="b">
        <v>1</v>
      </c>
      <c r="O1283" s="25">
        <v>111739</v>
      </c>
      <c r="P1283" s="304" t="str">
        <f>CONCATENATE([1]Cover!$D$6,"fdd/view?i=",O1283)</f>
        <v>https://www.dgiwg.org/FAD/fdd/view?i=111739</v>
      </c>
      <c r="Q1283" s="8" t="s">
        <v>10912</v>
      </c>
      <c r="R1283" s="38" t="s">
        <v>151</v>
      </c>
    </row>
    <row r="1284" spans="1:18" ht="25.5">
      <c r="A1284" s="302" t="str">
        <f t="shared" ref="A1284:A1347" si="37">HYPERLINK(P1284,B1284)</f>
        <v>undergndStorageFormType</v>
      </c>
      <c r="B1284" s="6" t="s">
        <v>10919</v>
      </c>
      <c r="C1284" s="17" t="s">
        <v>10920</v>
      </c>
      <c r="D1284" s="10" t="s">
        <v>10921</v>
      </c>
      <c r="E1284" s="55"/>
      <c r="F1284" s="55"/>
      <c r="G1284" s="12" t="s">
        <v>4643</v>
      </c>
      <c r="H1284" s="74"/>
      <c r="I1284" s="147" t="str">
        <f>HYPERLINK("[#]Datatypes!B1480:L1480","UndergndStorageFormTypeCode")</f>
        <v>UndergndStorageFormTypeCode</v>
      </c>
      <c r="J1284" s="80"/>
      <c r="K1284" s="77"/>
      <c r="L1284" s="77"/>
      <c r="M1284" s="71" t="str">
        <f>HYPERLINK("[#]DatatypeListedValues!A6999:H6999","&lt;values&gt;")</f>
        <v>&lt;values&gt;</v>
      </c>
      <c r="N1284" s="82" t="b">
        <v>0</v>
      </c>
      <c r="O1284" s="25">
        <v>119209</v>
      </c>
      <c r="P1284" s="304" t="str">
        <f>CONCATENATE([1]Cover!$D$6,"fdd/view?i=",O1284)</f>
        <v>https://www.dgiwg.org/FAD/fdd/view?i=119209</v>
      </c>
      <c r="Q1284" s="8" t="s">
        <v>10918</v>
      </c>
      <c r="R1284" s="38" t="s">
        <v>151</v>
      </c>
    </row>
    <row r="1285" spans="1:18" ht="25.5">
      <c r="A1285" s="302" t="str">
        <f t="shared" si="37"/>
        <v>undergrowthDensity</v>
      </c>
      <c r="B1285" s="6" t="s">
        <v>10924</v>
      </c>
      <c r="C1285" s="17" t="s">
        <v>10925</v>
      </c>
      <c r="D1285" s="10" t="s">
        <v>10926</v>
      </c>
      <c r="E1285" s="55"/>
      <c r="F1285" s="55"/>
      <c r="G1285" s="12" t="s">
        <v>4643</v>
      </c>
      <c r="H1285" s="74"/>
      <c r="I1285" s="147" t="str">
        <f>HYPERLINK("[#]Datatypes!B1110:L1110","RealNonNegInterval100")</f>
        <v>RealNonNegInterval100</v>
      </c>
      <c r="J1285" s="76" t="str">
        <f>HYPERLINK("[#]PhysicalQuantities!A39:N39","Pure Number")</f>
        <v>Pure Number</v>
      </c>
      <c r="K1285" s="75" t="str">
        <f>HYPERLINK("[#]UnitsOfMeasure!D215:G215","Percent")</f>
        <v>Percent</v>
      </c>
      <c r="L1285" s="77"/>
      <c r="M1285" s="78"/>
      <c r="N1285" s="74"/>
      <c r="O1285" s="25">
        <v>110692</v>
      </c>
      <c r="P1285" s="304" t="str">
        <f>CONCATENATE([1]Cover!$D$6,"fdd/view?i=",O1285)</f>
        <v>https://www.dgiwg.org/FAD/fdd/view?i=110692</v>
      </c>
      <c r="Q1285" s="8" t="s">
        <v>10923</v>
      </c>
      <c r="R1285" s="38" t="s">
        <v>151</v>
      </c>
    </row>
    <row r="1286" spans="1:18" ht="38.25">
      <c r="A1286" s="302" t="str">
        <f t="shared" si="37"/>
        <v>underwaterDelineationQuality</v>
      </c>
      <c r="B1286" s="6" t="s">
        <v>10928</v>
      </c>
      <c r="C1286" s="17" t="s">
        <v>10929</v>
      </c>
      <c r="D1286" s="10" t="s">
        <v>10930</v>
      </c>
      <c r="E1286" s="10" t="s">
        <v>10931</v>
      </c>
      <c r="F1286" s="55"/>
      <c r="G1286" s="12" t="s">
        <v>4643</v>
      </c>
      <c r="H1286" s="74"/>
      <c r="I1286" s="147" t="str">
        <f>HYPERLINK("[#]Datatypes!B1482:L1482","UnderwaterDelineationQualityCode")</f>
        <v>UnderwaterDelineationQualityCode</v>
      </c>
      <c r="J1286" s="80"/>
      <c r="K1286" s="77"/>
      <c r="L1286" s="77"/>
      <c r="M1286" s="71" t="str">
        <f>HYPERLINK("[#]DatatypeListedValues!A7006:H7006","&lt;values&gt;")</f>
        <v>&lt;values&gt;</v>
      </c>
      <c r="N1286" s="12" t="b">
        <v>1</v>
      </c>
      <c r="O1286" s="25">
        <v>206231</v>
      </c>
      <c r="P1286" s="304" t="str">
        <f>CONCATENATE([1]Cover!$D$6,"fdd/view?i=",O1286)</f>
        <v>https://www.dgiwg.org/FAD/fdd/view?i=206231</v>
      </c>
      <c r="Q1286" s="8" t="s">
        <v>10927</v>
      </c>
      <c r="R1286" s="38" t="s">
        <v>1295</v>
      </c>
    </row>
    <row r="1287" spans="1:18" ht="51">
      <c r="A1287" s="302" t="str">
        <f t="shared" si="37"/>
        <v>logisticsPlanReportCode</v>
      </c>
      <c r="B1287" s="6" t="s">
        <v>10934</v>
      </c>
      <c r="C1287" s="17" t="s">
        <v>10935</v>
      </c>
      <c r="D1287" s="10" t="s">
        <v>10936</v>
      </c>
      <c r="E1287" s="10" t="s">
        <v>10937</v>
      </c>
      <c r="F1287" s="55"/>
      <c r="G1287" s="12" t="s">
        <v>4643</v>
      </c>
      <c r="H1287" s="74"/>
      <c r="I1287" s="147" t="str">
        <f>HYPERLINK("[#]Datatypes!B1484:L1484","LogisticsPlanReportCodeStrucText")</f>
        <v>LogisticsPlanReportCodeStrucText</v>
      </c>
      <c r="J1287" s="80"/>
      <c r="K1287" s="77"/>
      <c r="L1287" s="77"/>
      <c r="M1287" s="78"/>
      <c r="N1287" s="74"/>
      <c r="O1287" s="25">
        <v>207134</v>
      </c>
      <c r="P1287" s="304" t="str">
        <f>CONCATENATE([1]Cover!$D$6,"fdd/view?i=",O1287)</f>
        <v>https://www.dgiwg.org/FAD/fdd/view?i=207134</v>
      </c>
      <c r="Q1287" s="8" t="s">
        <v>10933</v>
      </c>
      <c r="R1287" s="38" t="s">
        <v>1295</v>
      </c>
    </row>
    <row r="1288" spans="1:18" ht="89.25">
      <c r="A1288" s="302" t="str">
        <f t="shared" si="37"/>
        <v>uniqueEntityIdentifier</v>
      </c>
      <c r="B1288" s="6" t="s">
        <v>10940</v>
      </c>
      <c r="C1288" s="17" t="s">
        <v>10941</v>
      </c>
      <c r="D1288" s="10" t="s">
        <v>10942</v>
      </c>
      <c r="E1288" s="10" t="s">
        <v>10943</v>
      </c>
      <c r="F1288" s="55"/>
      <c r="G1288" s="12" t="s">
        <v>4643</v>
      </c>
      <c r="H1288" s="74"/>
      <c r="I1288" s="147" t="str">
        <f>HYPERLINK("[#]Datatypes!B1486:L1486","UniqueFeatureIdentifierStrucText")</f>
        <v>UniqueFeatureIdentifierStrucText</v>
      </c>
      <c r="J1288" s="80"/>
      <c r="K1288" s="77"/>
      <c r="L1288" s="77"/>
      <c r="M1288" s="78"/>
      <c r="N1288" s="74"/>
      <c r="O1288" s="25">
        <v>114242</v>
      </c>
      <c r="P1288" s="304" t="str">
        <f>CONCATENATE([1]Cover!$D$6,"fdd/view?i=",O1288)</f>
        <v>https://www.dgiwg.org/FAD/fdd/view?i=114242</v>
      </c>
      <c r="Q1288" s="8" t="s">
        <v>10939</v>
      </c>
      <c r="R1288" s="38" t="s">
        <v>151</v>
      </c>
    </row>
    <row r="1289" spans="1:18" ht="51">
      <c r="A1289" s="302" t="str">
        <f t="shared" si="37"/>
        <v>uniqueResourceIdentifier</v>
      </c>
      <c r="B1289" s="6" t="s">
        <v>10946</v>
      </c>
      <c r="C1289" s="17" t="s">
        <v>10947</v>
      </c>
      <c r="D1289" s="10" t="s">
        <v>10948</v>
      </c>
      <c r="E1289" s="55"/>
      <c r="F1289" s="55"/>
      <c r="G1289" s="12" t="s">
        <v>4643</v>
      </c>
      <c r="H1289" s="74"/>
      <c r="I1289" s="147" t="str">
        <f>HYPERLINK("[#]Datatypes!B1488:L1488","UniqueResourceIdentifierStrucText")</f>
        <v>UniqueResourceIdentifierStrucText</v>
      </c>
      <c r="J1289" s="80"/>
      <c r="K1289" s="77"/>
      <c r="L1289" s="77"/>
      <c r="M1289" s="78"/>
      <c r="N1289" s="74"/>
      <c r="O1289" s="25">
        <v>203767</v>
      </c>
      <c r="P1289" s="304" t="str">
        <f>CONCATENATE([1]Cover!$D$6,"fdd/view?i=",O1289)</f>
        <v>https://www.dgiwg.org/FAD/fdd/view?i=203767</v>
      </c>
      <c r="Q1289" s="8" t="s">
        <v>10945</v>
      </c>
      <c r="R1289" s="38" t="s">
        <v>1295</v>
      </c>
    </row>
    <row r="1290" spans="1:18" ht="63.75">
      <c r="A1290" s="302" t="str">
        <f t="shared" si="37"/>
        <v>usableLength</v>
      </c>
      <c r="B1290" s="6" t="s">
        <v>10951</v>
      </c>
      <c r="C1290" s="17" t="s">
        <v>10952</v>
      </c>
      <c r="D1290" s="10" t="s">
        <v>10953</v>
      </c>
      <c r="E1290" s="10" t="s">
        <v>10954</v>
      </c>
      <c r="F1290" s="55"/>
      <c r="G1290" s="12" t="s">
        <v>4643</v>
      </c>
      <c r="H1290" s="74"/>
      <c r="I1290" s="147" t="str">
        <f>HYPERLINK("[#]Datatypes!B1099:L1099","RealInterval")</f>
        <v>RealInterval</v>
      </c>
      <c r="J1290" s="76" t="str">
        <f>HYPERLINK("[#]PhysicalQuantities!A20:N20","Length")</f>
        <v>Length</v>
      </c>
      <c r="K1290" s="75" t="str">
        <f>HYPERLINK("[#]UnitsOfMeasure!D80:G80","Metre")</f>
        <v>Metre</v>
      </c>
      <c r="L1290" s="77"/>
      <c r="M1290" s="78"/>
      <c r="N1290" s="74"/>
      <c r="O1290" s="25">
        <v>101004</v>
      </c>
      <c r="P1290" s="304" t="str">
        <f>CONCATENATE([1]Cover!$D$6,"fdd/view?i=",O1290)</f>
        <v>https://www.dgiwg.org/FAD/fdd/view?i=101004</v>
      </c>
      <c r="Q1290" s="8" t="s">
        <v>10950</v>
      </c>
      <c r="R1290" s="38" t="s">
        <v>151</v>
      </c>
    </row>
    <row r="1291" spans="1:18">
      <c r="A1291" s="302" t="str">
        <f t="shared" si="37"/>
        <v>usableWidth</v>
      </c>
      <c r="B1291" s="6" t="s">
        <v>10956</v>
      </c>
      <c r="C1291" s="17" t="s">
        <v>10957</v>
      </c>
      <c r="D1291" s="10" t="s">
        <v>10958</v>
      </c>
      <c r="E1291" s="10" t="s">
        <v>10959</v>
      </c>
      <c r="F1291" s="55"/>
      <c r="G1291" s="12" t="s">
        <v>4643</v>
      </c>
      <c r="H1291" s="74"/>
      <c r="I1291" s="147" t="str">
        <f>HYPERLINK("[#]Datatypes!B1099:L1099","RealInterval")</f>
        <v>RealInterval</v>
      </c>
      <c r="J1291" s="76" t="str">
        <f>HYPERLINK("[#]PhysicalQuantities!A20:N20","Length")</f>
        <v>Length</v>
      </c>
      <c r="K1291" s="75" t="str">
        <f>HYPERLINK("[#]UnitsOfMeasure!D80:G80","Metre")</f>
        <v>Metre</v>
      </c>
      <c r="L1291" s="77"/>
      <c r="M1291" s="78"/>
      <c r="N1291" s="74"/>
      <c r="O1291" s="25">
        <v>101485</v>
      </c>
      <c r="P1291" s="304" t="str">
        <f>CONCATENATE([1]Cover!$D$6,"fdd/view?i=",O1291)</f>
        <v>https://www.dgiwg.org/FAD/fdd/view?i=101485</v>
      </c>
      <c r="Q1291" s="8" t="s">
        <v>10955</v>
      </c>
      <c r="R1291" s="38" t="s">
        <v>151</v>
      </c>
    </row>
    <row r="1292" spans="1:18" ht="25.5">
      <c r="A1292" s="302" t="str">
        <f t="shared" si="37"/>
        <v>utcOffset</v>
      </c>
      <c r="B1292" s="6" t="s">
        <v>10961</v>
      </c>
      <c r="C1292" s="17" t="s">
        <v>10962</v>
      </c>
      <c r="D1292" s="10" t="s">
        <v>10963</v>
      </c>
      <c r="E1292" s="55"/>
      <c r="F1292" s="55"/>
      <c r="G1292" s="12" t="s">
        <v>4643</v>
      </c>
      <c r="H1292" s="74"/>
      <c r="I1292" s="147" t="str">
        <f>HYPERLINK("[#]Datatypes!B710:L710","Integer")</f>
        <v>Integer</v>
      </c>
      <c r="J1292" s="76" t="str">
        <f>HYPERLINK("[#]PhysicalQuantities!A51:N51","Time")</f>
        <v>Time</v>
      </c>
      <c r="K1292" s="75" t="str">
        <f>HYPERLINK("[#]UnitsOfMeasure!D268:G268","Hour")</f>
        <v>Hour</v>
      </c>
      <c r="L1292" s="77"/>
      <c r="M1292" s="78"/>
      <c r="N1292" s="74"/>
      <c r="O1292" s="25">
        <v>119210</v>
      </c>
      <c r="P1292" s="304" t="str">
        <f>CONCATENATE([1]Cover!$D$6,"fdd/view?i=",O1292)</f>
        <v>https://www.dgiwg.org/FAD/fdd/view?i=119210</v>
      </c>
      <c r="Q1292" s="8" t="s">
        <v>10960</v>
      </c>
      <c r="R1292" s="38" t="s">
        <v>151</v>
      </c>
    </row>
    <row r="1293" spans="1:18" ht="25.5">
      <c r="A1293" s="302" t="str">
        <f t="shared" si="37"/>
        <v>vegetationCharacteristic</v>
      </c>
      <c r="B1293" s="6" t="s">
        <v>10965</v>
      </c>
      <c r="C1293" s="17" t="s">
        <v>10966</v>
      </c>
      <c r="D1293" s="10" t="s">
        <v>10967</v>
      </c>
      <c r="E1293" s="55"/>
      <c r="F1293" s="55"/>
      <c r="G1293" s="12" t="s">
        <v>4643</v>
      </c>
      <c r="H1293" s="74"/>
      <c r="I1293" s="147" t="str">
        <f>HYPERLINK("[#]Datatypes!B1490:L1490","VegetationCharacteristicCode")</f>
        <v>VegetationCharacteristicCode</v>
      </c>
      <c r="J1293" s="80"/>
      <c r="K1293" s="77"/>
      <c r="L1293" s="77"/>
      <c r="M1293" s="71" t="str">
        <f>HYPERLINK("[#]DatatypeListedValues!A7011:H7011","&lt;values&gt;")</f>
        <v>&lt;values&gt;</v>
      </c>
      <c r="N1293" s="82" t="b">
        <v>0</v>
      </c>
      <c r="O1293" s="25">
        <v>101448</v>
      </c>
      <c r="P1293" s="304" t="str">
        <f>CONCATENATE([1]Cover!$D$6,"fdd/view?i=",O1293)</f>
        <v>https://www.dgiwg.org/FAD/fdd/view?i=101448</v>
      </c>
      <c r="Q1293" s="8" t="s">
        <v>10964</v>
      </c>
      <c r="R1293" s="38" t="s">
        <v>151</v>
      </c>
    </row>
    <row r="1294" spans="1:18" ht="25.5">
      <c r="A1294" s="302" t="str">
        <f t="shared" si="37"/>
        <v>vegetationDensityEval</v>
      </c>
      <c r="B1294" s="6" t="s">
        <v>10970</v>
      </c>
      <c r="C1294" s="17" t="s">
        <v>10971</v>
      </c>
      <c r="D1294" s="10" t="s">
        <v>10972</v>
      </c>
      <c r="E1294" s="55"/>
      <c r="F1294" s="55"/>
      <c r="G1294" s="12" t="s">
        <v>4643</v>
      </c>
      <c r="H1294" s="74"/>
      <c r="I1294" s="147" t="str">
        <f>HYPERLINK("[#]Datatypes!B1416:L1416","TextLexUnconstrained")</f>
        <v>TextLexUnconstrained</v>
      </c>
      <c r="J1294" s="80"/>
      <c r="K1294" s="77"/>
      <c r="L1294" s="77"/>
      <c r="M1294" s="78"/>
      <c r="N1294" s="74"/>
      <c r="O1294" s="25">
        <v>119211</v>
      </c>
      <c r="P1294" s="304" t="str">
        <f>CONCATENATE([1]Cover!$D$6,"fdd/view?i=",O1294)</f>
        <v>https://www.dgiwg.org/FAD/fdd/view?i=119211</v>
      </c>
      <c r="Q1294" s="8" t="s">
        <v>10969</v>
      </c>
      <c r="R1294" s="38" t="s">
        <v>151</v>
      </c>
    </row>
    <row r="1295" spans="1:18" ht="38.25">
      <c r="A1295" s="302" t="str">
        <f t="shared" si="37"/>
        <v>vegetationPresent</v>
      </c>
      <c r="B1295" s="6" t="s">
        <v>10974</v>
      </c>
      <c r="C1295" s="17" t="s">
        <v>10975</v>
      </c>
      <c r="D1295" s="10" t="s">
        <v>10976</v>
      </c>
      <c r="E1295" s="10" t="s">
        <v>10977</v>
      </c>
      <c r="F1295" s="55"/>
      <c r="G1295" s="12" t="s">
        <v>4643</v>
      </c>
      <c r="H1295" s="74"/>
      <c r="I1295" s="147" t="str">
        <f>HYPERLINK("[#]Datatypes!B230:L230","Boolean")</f>
        <v>Boolean</v>
      </c>
      <c r="J1295" s="80"/>
      <c r="K1295" s="77"/>
      <c r="L1295" s="77"/>
      <c r="M1295" s="78"/>
      <c r="N1295" s="74"/>
      <c r="O1295" s="25">
        <v>117800</v>
      </c>
      <c r="P1295" s="304" t="str">
        <f>CONCATENATE([1]Cover!$D$6,"fdd/view?i=",O1295)</f>
        <v>https://www.dgiwg.org/FAD/fdd/view?i=117800</v>
      </c>
      <c r="Q1295" s="8" t="s">
        <v>10973</v>
      </c>
      <c r="R1295" s="38" t="s">
        <v>151</v>
      </c>
    </row>
    <row r="1296" spans="1:18">
      <c r="A1296" s="302" t="str">
        <f t="shared" si="37"/>
        <v>vegetationSpecies</v>
      </c>
      <c r="B1296" s="6" t="s">
        <v>10979</v>
      </c>
      <c r="C1296" s="17" t="s">
        <v>10980</v>
      </c>
      <c r="D1296" s="10" t="s">
        <v>10981</v>
      </c>
      <c r="E1296" s="55"/>
      <c r="F1296" s="55"/>
      <c r="G1296" s="12" t="s">
        <v>4643</v>
      </c>
      <c r="H1296" s="74"/>
      <c r="I1296" s="147" t="str">
        <f>HYPERLINK("[#]Datatypes!B1492:L1492","VegetationSpeciesCode")</f>
        <v>VegetationSpeciesCode</v>
      </c>
      <c r="J1296" s="80"/>
      <c r="K1296" s="77"/>
      <c r="L1296" s="77"/>
      <c r="M1296" s="71" t="str">
        <f>HYPERLINK("[#]DatatypeListedValues!A7020:H7020","&lt;values&gt;")</f>
        <v>&lt;values&gt;</v>
      </c>
      <c r="N1296" s="82" t="b">
        <v>0</v>
      </c>
      <c r="O1296" s="25">
        <v>109994</v>
      </c>
      <c r="P1296" s="304" t="str">
        <f>CONCATENATE([1]Cover!$D$6,"fdd/view?i=",O1296)</f>
        <v>https://www.dgiwg.org/FAD/fdd/view?i=109994</v>
      </c>
      <c r="Q1296" s="8" t="s">
        <v>10978</v>
      </c>
      <c r="R1296" s="38" t="s">
        <v>151</v>
      </c>
    </row>
    <row r="1297" spans="1:18" ht="38.25">
      <c r="A1297" s="302" t="str">
        <f t="shared" si="37"/>
        <v>vegetationTrafficImpact</v>
      </c>
      <c r="B1297" s="6" t="s">
        <v>10984</v>
      </c>
      <c r="C1297" s="17" t="s">
        <v>10985</v>
      </c>
      <c r="D1297" s="10" t="s">
        <v>10986</v>
      </c>
      <c r="E1297" s="10" t="s">
        <v>10987</v>
      </c>
      <c r="F1297" s="55"/>
      <c r="G1297" s="12" t="s">
        <v>4643</v>
      </c>
      <c r="H1297" s="74"/>
      <c r="I1297" s="147" t="str">
        <f>HYPERLINK("[#]Datatypes!B1110:L1110","RealNonNegInterval100")</f>
        <v>RealNonNegInterval100</v>
      </c>
      <c r="J1297" s="76" t="str">
        <f>HYPERLINK("[#]PhysicalQuantities!A39:N39","Pure Number")</f>
        <v>Pure Number</v>
      </c>
      <c r="K1297" s="75" t="str">
        <f>HYPERLINK("[#]UnitsOfMeasure!D215:G215","Percent")</f>
        <v>Percent</v>
      </c>
      <c r="L1297" s="77"/>
      <c r="M1297" s="78"/>
      <c r="N1297" s="74"/>
      <c r="O1297" s="25">
        <v>109995</v>
      </c>
      <c r="P1297" s="304" t="str">
        <f>CONCATENATE([1]Cover!$D$6,"fdd/view?i=",O1297)</f>
        <v>https://www.dgiwg.org/FAD/fdd/view?i=109995</v>
      </c>
      <c r="Q1297" s="8" t="s">
        <v>10983</v>
      </c>
      <c r="R1297" s="38" t="s">
        <v>151</v>
      </c>
    </row>
    <row r="1298" spans="1:18">
      <c r="A1298" s="302" t="str">
        <f t="shared" si="37"/>
        <v>vehicleCapacity</v>
      </c>
      <c r="B1298" s="6" t="s">
        <v>10989</v>
      </c>
      <c r="C1298" s="17" t="s">
        <v>10990</v>
      </c>
      <c r="D1298" s="10" t="s">
        <v>10991</v>
      </c>
      <c r="E1298" s="55"/>
      <c r="F1298" s="55"/>
      <c r="G1298" s="12" t="s">
        <v>4643</v>
      </c>
      <c r="H1298" s="74"/>
      <c r="I1298" s="147" t="str">
        <f>HYPERLINK("[#]Datatypes!B366:L366","Count")</f>
        <v>Count</v>
      </c>
      <c r="J1298" s="80"/>
      <c r="K1298" s="77"/>
      <c r="L1298" s="77"/>
      <c r="M1298" s="78"/>
      <c r="N1298" s="74"/>
      <c r="O1298" s="25">
        <v>101447</v>
      </c>
      <c r="P1298" s="304" t="str">
        <f>CONCATENATE([1]Cover!$D$6,"fdd/view?i=",O1298)</f>
        <v>https://www.dgiwg.org/FAD/fdd/view?i=101447</v>
      </c>
      <c r="Q1298" s="8" t="s">
        <v>10988</v>
      </c>
      <c r="R1298" s="38" t="s">
        <v>151</v>
      </c>
    </row>
    <row r="1299" spans="1:18">
      <c r="A1299" s="302" t="str">
        <f t="shared" si="37"/>
        <v>vehicleMakeModel</v>
      </c>
      <c r="B1299" s="6" t="s">
        <v>10993</v>
      </c>
      <c r="C1299" s="17" t="s">
        <v>10994</v>
      </c>
      <c r="D1299" s="10" t="s">
        <v>10995</v>
      </c>
      <c r="E1299" s="55"/>
      <c r="F1299" s="55"/>
      <c r="G1299" s="12" t="s">
        <v>4643</v>
      </c>
      <c r="H1299" s="74"/>
      <c r="I1299" s="147" t="str">
        <f>HYPERLINK("[#]Datatypes!B1416:L1416","TextLexUnconstrained")</f>
        <v>TextLexUnconstrained</v>
      </c>
      <c r="J1299" s="80"/>
      <c r="K1299" s="77"/>
      <c r="L1299" s="77"/>
      <c r="M1299" s="78"/>
      <c r="N1299" s="74"/>
      <c r="O1299" s="25">
        <v>207682</v>
      </c>
      <c r="P1299" s="304" t="str">
        <f>CONCATENATE([1]Cover!$D$6,"fdd/view?i=",O1299)</f>
        <v>https://www.dgiwg.org/FAD/fdd/view?i=207682</v>
      </c>
      <c r="Q1299" s="8" t="s">
        <v>10992</v>
      </c>
      <c r="R1299" s="38" t="s">
        <v>1295</v>
      </c>
    </row>
    <row r="1300" spans="1:18" ht="51">
      <c r="A1300" s="302" t="str">
        <f t="shared" si="37"/>
        <v>vehicleScaleCount</v>
      </c>
      <c r="B1300" s="6" t="s">
        <v>10997</v>
      </c>
      <c r="C1300" s="17" t="s">
        <v>10998</v>
      </c>
      <c r="D1300" s="10" t="s">
        <v>10999</v>
      </c>
      <c r="E1300" s="10" t="s">
        <v>11000</v>
      </c>
      <c r="F1300" s="55"/>
      <c r="G1300" s="12" t="s">
        <v>4643</v>
      </c>
      <c r="H1300" s="74"/>
      <c r="I1300" s="147" t="str">
        <f>HYPERLINK("[#]Datatypes!B366:L366","Count")</f>
        <v>Count</v>
      </c>
      <c r="J1300" s="80"/>
      <c r="K1300" s="77"/>
      <c r="L1300" s="77"/>
      <c r="M1300" s="78"/>
      <c r="N1300" s="74"/>
      <c r="O1300" s="25">
        <v>117801</v>
      </c>
      <c r="P1300" s="304" t="str">
        <f>CONCATENATE([1]Cover!$D$6,"fdd/view?i=",O1300)</f>
        <v>https://www.dgiwg.org/FAD/fdd/view?i=117801</v>
      </c>
      <c r="Q1300" s="8" t="s">
        <v>10996</v>
      </c>
      <c r="R1300" s="38" t="s">
        <v>151</v>
      </c>
    </row>
    <row r="1301" spans="1:18">
      <c r="A1301" s="302" t="str">
        <f t="shared" si="37"/>
        <v>vehicleType</v>
      </c>
      <c r="B1301" s="6" t="s">
        <v>11002</v>
      </c>
      <c r="C1301" s="17" t="s">
        <v>11003</v>
      </c>
      <c r="D1301" s="10" t="s">
        <v>11004</v>
      </c>
      <c r="E1301" s="55"/>
      <c r="F1301" s="55"/>
      <c r="G1301" s="12" t="s">
        <v>4643</v>
      </c>
      <c r="H1301" s="74"/>
      <c r="I1301" s="147" t="str">
        <f>HYPERLINK("[#]Datatypes!B1494:L1494","VehicleTypeCode")</f>
        <v>VehicleTypeCode</v>
      </c>
      <c r="J1301" s="80"/>
      <c r="K1301" s="77"/>
      <c r="L1301" s="77"/>
      <c r="M1301" s="71" t="str">
        <f>HYPERLINK("[#]DatatypeListedValues!A7033:H7033","&lt;values&gt;")</f>
        <v>&lt;values&gt;</v>
      </c>
      <c r="N1301" s="82" t="b">
        <v>0</v>
      </c>
      <c r="O1301" s="25">
        <v>103065</v>
      </c>
      <c r="P1301" s="304" t="str">
        <f>CONCATENATE([1]Cover!$D$6,"fdd/view?i=",O1301)</f>
        <v>https://www.dgiwg.org/FAD/fdd/view?i=103065</v>
      </c>
      <c r="Q1301" s="8" t="s">
        <v>11001</v>
      </c>
      <c r="R1301" s="38" t="s">
        <v>151</v>
      </c>
    </row>
    <row r="1302" spans="1:18" ht="51">
      <c r="A1302" s="302" t="str">
        <f t="shared" si="37"/>
        <v>verticalAlarmLimit</v>
      </c>
      <c r="B1302" s="6" t="s">
        <v>11007</v>
      </c>
      <c r="C1302" s="17" t="s">
        <v>11008</v>
      </c>
      <c r="D1302" s="10" t="s">
        <v>11009</v>
      </c>
      <c r="E1302" s="10" t="s">
        <v>7510</v>
      </c>
      <c r="F1302" s="55"/>
      <c r="G1302" s="12" t="s">
        <v>4643</v>
      </c>
      <c r="H1302" s="74"/>
      <c r="I1302" s="147" t="str">
        <f>HYPERLINK("[#]Datatypes!B958:L958","RealNonNegative")</f>
        <v>RealNonNegative</v>
      </c>
      <c r="J1302" s="76" t="str">
        <f>HYPERLINK("[#]PhysicalQuantities!A20:N20","Length")</f>
        <v>Length</v>
      </c>
      <c r="K1302" s="75" t="str">
        <f>HYPERLINK("[#]UnitsOfMeasure!D80:G80","Metre")</f>
        <v>Metre</v>
      </c>
      <c r="L1302" s="77"/>
      <c r="M1302" s="78"/>
      <c r="N1302" s="74"/>
      <c r="O1302" s="25">
        <v>119611</v>
      </c>
      <c r="P1302" s="304" t="str">
        <f>CONCATENATE([1]Cover!$D$6,"fdd/view?i=",O1302)</f>
        <v>https://www.dgiwg.org/FAD/fdd/view?i=119611</v>
      </c>
      <c r="Q1302" s="8" t="s">
        <v>11006</v>
      </c>
      <c r="R1302" s="38" t="s">
        <v>151</v>
      </c>
    </row>
    <row r="1303" spans="1:18" ht="25.5">
      <c r="A1303" s="302" t="str">
        <f t="shared" si="37"/>
        <v>verticalClearanceRef</v>
      </c>
      <c r="B1303" s="6" t="s">
        <v>11011</v>
      </c>
      <c r="C1303" s="17" t="s">
        <v>11012</v>
      </c>
      <c r="D1303" s="10" t="s">
        <v>11013</v>
      </c>
      <c r="E1303" s="55"/>
      <c r="F1303" s="55"/>
      <c r="G1303" s="12" t="s">
        <v>4643</v>
      </c>
      <c r="H1303" s="74"/>
      <c r="I1303" s="147" t="str">
        <f>HYPERLINK("[#]Datatypes!B1496:L1496","VertClearRefCode")</f>
        <v>VertClearRefCode</v>
      </c>
      <c r="J1303" s="80"/>
      <c r="K1303" s="77"/>
      <c r="L1303" s="77"/>
      <c r="M1303" s="71" t="str">
        <f>HYPERLINK("[#]DatatypeListedValues!A7043:H7043","&lt;values&gt;")</f>
        <v>&lt;values&gt;</v>
      </c>
      <c r="N1303" s="82" t="b">
        <v>0</v>
      </c>
      <c r="O1303" s="25">
        <v>101438</v>
      </c>
      <c r="P1303" s="304" t="str">
        <f>CONCATENATE([1]Cover!$D$6,"fdd/view?i=",O1303)</f>
        <v>https://www.dgiwg.org/FAD/fdd/view?i=101438</v>
      </c>
      <c r="Q1303" s="8" t="s">
        <v>11010</v>
      </c>
      <c r="R1303" s="38" t="s">
        <v>151</v>
      </c>
    </row>
    <row r="1304" spans="1:18" ht="25.5">
      <c r="A1304" s="302" t="str">
        <f t="shared" si="37"/>
        <v>verticalClearanceRemark</v>
      </c>
      <c r="B1304" s="6" t="s">
        <v>11016</v>
      </c>
      <c r="C1304" s="17" t="s">
        <v>11017</v>
      </c>
      <c r="D1304" s="10" t="s">
        <v>11018</v>
      </c>
      <c r="E1304" s="10" t="s">
        <v>11019</v>
      </c>
      <c r="F1304" s="55"/>
      <c r="G1304" s="12" t="s">
        <v>4643</v>
      </c>
      <c r="H1304" s="74"/>
      <c r="I1304" s="147" t="str">
        <f>HYPERLINK("[#]Datatypes!B768:L768","KeyNonLex40")</f>
        <v>KeyNonLex40</v>
      </c>
      <c r="J1304" s="80"/>
      <c r="K1304" s="77"/>
      <c r="L1304" s="77"/>
      <c r="M1304" s="78"/>
      <c r="N1304" s="74"/>
      <c r="O1304" s="25">
        <v>101441</v>
      </c>
      <c r="P1304" s="304" t="str">
        <f>CONCATENATE([1]Cover!$D$6,"fdd/view?i=",O1304)</f>
        <v>https://www.dgiwg.org/FAD/fdd/view?i=101441</v>
      </c>
      <c r="Q1304" s="8" t="s">
        <v>11015</v>
      </c>
      <c r="R1304" s="38" t="s">
        <v>151</v>
      </c>
    </row>
    <row r="1305" spans="1:18" ht="25.5">
      <c r="A1305" s="302" t="str">
        <f t="shared" si="37"/>
        <v>verticalClearanceSafe</v>
      </c>
      <c r="B1305" s="6" t="s">
        <v>11021</v>
      </c>
      <c r="C1305" s="17" t="s">
        <v>11022</v>
      </c>
      <c r="D1305" s="10" t="s">
        <v>11023</v>
      </c>
      <c r="E1305" s="55"/>
      <c r="F1305" s="55"/>
      <c r="G1305" s="12" t="s">
        <v>4643</v>
      </c>
      <c r="H1305" s="74"/>
      <c r="I1305" s="147" t="str">
        <f>HYPERLINK("[#]Datatypes!B1097:L1097","Real")</f>
        <v>Real</v>
      </c>
      <c r="J1305" s="76" t="str">
        <f>HYPERLINK("[#]PhysicalQuantities!A20:N20","Length")</f>
        <v>Length</v>
      </c>
      <c r="K1305" s="75" t="str">
        <f>HYPERLINK("[#]UnitsOfMeasure!D80:G80","Metre")</f>
        <v>Metre</v>
      </c>
      <c r="L1305" s="77"/>
      <c r="M1305" s="78"/>
      <c r="N1305" s="74"/>
      <c r="O1305" s="25">
        <v>101443</v>
      </c>
      <c r="P1305" s="304" t="str">
        <f>CONCATENATE([1]Cover!$D$6,"fdd/view?i=",O1305)</f>
        <v>https://www.dgiwg.org/FAD/fdd/view?i=101443</v>
      </c>
      <c r="Q1305" s="8" t="s">
        <v>11020</v>
      </c>
      <c r="R1305" s="38" t="s">
        <v>151</v>
      </c>
    </row>
    <row r="1306" spans="1:18" ht="38.25">
      <c r="A1306" s="302" t="str">
        <f t="shared" si="37"/>
        <v>verticalConstMaterial</v>
      </c>
      <c r="B1306" s="6" t="s">
        <v>11025</v>
      </c>
      <c r="C1306" s="17" t="s">
        <v>11026</v>
      </c>
      <c r="D1306" s="10" t="s">
        <v>11027</v>
      </c>
      <c r="E1306" s="55"/>
      <c r="F1306" s="55"/>
      <c r="G1306" s="12" t="s">
        <v>4643</v>
      </c>
      <c r="H1306" s="12" t="s">
        <v>4700</v>
      </c>
      <c r="I1306" s="147" t="str">
        <f>HYPERLINK("[#]Datatypes!B1498:L1498","VerticalConstMaterialCode")</f>
        <v>VerticalConstMaterialCode</v>
      </c>
      <c r="J1306" s="80"/>
      <c r="K1306" s="77"/>
      <c r="L1306" s="77"/>
      <c r="M1306" s="71" t="str">
        <f>HYPERLINK("[#]DatatypeListedValues!A7050:H7050","&lt;values&gt;")</f>
        <v>&lt;values&gt;</v>
      </c>
      <c r="N1306" s="82" t="b">
        <v>0</v>
      </c>
      <c r="O1306" s="25">
        <v>202745</v>
      </c>
      <c r="P1306" s="304" t="str">
        <f>CONCATENATE([1]Cover!$D$6,"fdd/view?i=",O1306)</f>
        <v>https://www.dgiwg.org/FAD/fdd/view?i=202745</v>
      </c>
      <c r="Q1306" s="8" t="s">
        <v>11024</v>
      </c>
      <c r="R1306" s="38" t="s">
        <v>1295</v>
      </c>
    </row>
    <row r="1307" spans="1:18" ht="25.5">
      <c r="A1307" s="302" t="str">
        <f t="shared" si="37"/>
        <v>verticalDatum</v>
      </c>
      <c r="B1307" s="6" t="s">
        <v>11031</v>
      </c>
      <c r="C1307" s="17" t="s">
        <v>11032</v>
      </c>
      <c r="D1307" s="10" t="s">
        <v>11033</v>
      </c>
      <c r="E1307" s="10" t="s">
        <v>11034</v>
      </c>
      <c r="F1307" s="55"/>
      <c r="G1307" s="12" t="s">
        <v>4643</v>
      </c>
      <c r="H1307" s="74"/>
      <c r="I1307" s="147" t="str">
        <f>HYPERLINK("[#]Datatypes!B1502:L1502","VerticalDatumCodeList")</f>
        <v>VerticalDatumCodeList</v>
      </c>
      <c r="J1307" s="80"/>
      <c r="K1307" s="77"/>
      <c r="L1307" s="77"/>
      <c r="M1307" s="78"/>
      <c r="N1307" s="74"/>
      <c r="O1307" s="25">
        <v>111742</v>
      </c>
      <c r="P1307" s="304" t="str">
        <f>CONCATENATE([1]Cover!$D$6,"fdd/view?i=",O1307)</f>
        <v>https://www.dgiwg.org/FAD/fdd/view?i=111742</v>
      </c>
      <c r="Q1307" s="8" t="s">
        <v>11029</v>
      </c>
      <c r="R1307" s="38" t="s">
        <v>151</v>
      </c>
    </row>
    <row r="1308" spans="1:18" ht="63.75">
      <c r="A1308" s="302" t="str">
        <f t="shared" si="37"/>
        <v>verticalDatumName</v>
      </c>
      <c r="B1308" s="6" t="s">
        <v>11037</v>
      </c>
      <c r="C1308" s="17" t="s">
        <v>11038</v>
      </c>
      <c r="D1308" s="10" t="s">
        <v>11039</v>
      </c>
      <c r="E1308" s="10" t="s">
        <v>11040</v>
      </c>
      <c r="F1308" s="55"/>
      <c r="G1308" s="12" t="s">
        <v>4643</v>
      </c>
      <c r="H1308" s="74"/>
      <c r="I1308" s="147" t="str">
        <f>HYPERLINK("[#]Datatypes!B1442:L1442","TextNonLexUnconstrained")</f>
        <v>TextNonLexUnconstrained</v>
      </c>
      <c r="J1308" s="80"/>
      <c r="K1308" s="77"/>
      <c r="L1308" s="77"/>
      <c r="M1308" s="78"/>
      <c r="N1308" s="74"/>
      <c r="O1308" s="25">
        <v>117737</v>
      </c>
      <c r="P1308" s="304" t="str">
        <f>CONCATENATE([1]Cover!$D$6,"fdd/view?i=",O1308)</f>
        <v>https://www.dgiwg.org/FAD/fdd/view?i=117737</v>
      </c>
      <c r="Q1308" s="8" t="s">
        <v>11036</v>
      </c>
      <c r="R1308" s="38" t="s">
        <v>151</v>
      </c>
    </row>
    <row r="1309" spans="1:18" ht="25.5">
      <c r="A1309" s="302" t="str">
        <f t="shared" si="37"/>
        <v>verticalDistanceReference</v>
      </c>
      <c r="B1309" s="6" t="s">
        <v>11042</v>
      </c>
      <c r="C1309" s="17" t="s">
        <v>11043</v>
      </c>
      <c r="D1309" s="10" t="s">
        <v>11044</v>
      </c>
      <c r="E1309" s="10" t="s">
        <v>11045</v>
      </c>
      <c r="F1309" s="55"/>
      <c r="G1309" s="12" t="s">
        <v>4643</v>
      </c>
      <c r="H1309" s="74"/>
      <c r="I1309" s="147" t="str">
        <f>HYPERLINK("[#]Datatypes!B1504:L1504","VerticalDistanceReferenceCode")</f>
        <v>VerticalDistanceReferenceCode</v>
      </c>
      <c r="J1309" s="80"/>
      <c r="K1309" s="77"/>
      <c r="L1309" s="77"/>
      <c r="M1309" s="71" t="str">
        <f>HYPERLINK("[#]DatatypeListedValues!A7075:H7075","&lt;values&gt;")</f>
        <v>&lt;values&gt;</v>
      </c>
      <c r="N1309" s="82" t="b">
        <v>0</v>
      </c>
      <c r="O1309" s="25">
        <v>117559</v>
      </c>
      <c r="P1309" s="304" t="str">
        <f>CONCATENATE([1]Cover!$D$6,"fdd/view?i=",O1309)</f>
        <v>https://www.dgiwg.org/FAD/fdd/view?i=117559</v>
      </c>
      <c r="Q1309" s="8" t="s">
        <v>11041</v>
      </c>
      <c r="R1309" s="38" t="s">
        <v>151</v>
      </c>
    </row>
    <row r="1310" spans="1:18">
      <c r="A1310" s="302" t="str">
        <f t="shared" si="37"/>
        <v>maximumValue</v>
      </c>
      <c r="B1310" s="6" t="s">
        <v>11048</v>
      </c>
      <c r="C1310" s="17" t="s">
        <v>11049</v>
      </c>
      <c r="D1310" s="10" t="s">
        <v>11050</v>
      </c>
      <c r="E1310" s="55"/>
      <c r="F1310" s="55"/>
      <c r="G1310" s="12" t="s">
        <v>4643</v>
      </c>
      <c r="H1310" s="74"/>
      <c r="I1310" s="147" t="str">
        <f>HYPERLINK("[#]Datatypes!B1097:L1097","Real")</f>
        <v>Real</v>
      </c>
      <c r="J1310" s="76" t="str">
        <f>HYPERLINK("[#]PhysicalQuantities!A20:N20","Length")</f>
        <v>Length</v>
      </c>
      <c r="K1310" s="75" t="str">
        <f>HYPERLINK("[#]UnitsOfMeasure!D80:G80","Metre")</f>
        <v>Metre</v>
      </c>
      <c r="L1310" s="77"/>
      <c r="M1310" s="78"/>
      <c r="N1310" s="74"/>
      <c r="O1310" s="25">
        <v>207204</v>
      </c>
      <c r="P1310" s="304" t="str">
        <f>CONCATENATE([1]Cover!$D$6,"fdd/view?i=",O1310)</f>
        <v>https://www.dgiwg.org/FAD/fdd/view?i=207204</v>
      </c>
      <c r="Q1310" s="8" t="s">
        <v>11047</v>
      </c>
      <c r="R1310" s="38" t="s">
        <v>1295</v>
      </c>
    </row>
    <row r="1311" spans="1:18">
      <c r="A1311" s="302" t="str">
        <f t="shared" si="37"/>
        <v>minimumValue</v>
      </c>
      <c r="B1311" s="6" t="s">
        <v>11052</v>
      </c>
      <c r="C1311" s="17" t="s">
        <v>11053</v>
      </c>
      <c r="D1311" s="10" t="s">
        <v>11054</v>
      </c>
      <c r="E1311" s="55"/>
      <c r="F1311" s="55"/>
      <c r="G1311" s="12" t="s">
        <v>4643</v>
      </c>
      <c r="H1311" s="74"/>
      <c r="I1311" s="147" t="str">
        <f>HYPERLINK("[#]Datatypes!B1097:L1097","Real")</f>
        <v>Real</v>
      </c>
      <c r="J1311" s="76" t="str">
        <f>HYPERLINK("[#]PhysicalQuantities!A20:N20","Length")</f>
        <v>Length</v>
      </c>
      <c r="K1311" s="75" t="str">
        <f>HYPERLINK("[#]UnitsOfMeasure!D80:G80","Metre")</f>
        <v>Metre</v>
      </c>
      <c r="L1311" s="77"/>
      <c r="M1311" s="78"/>
      <c r="N1311" s="74"/>
      <c r="O1311" s="25">
        <v>207203</v>
      </c>
      <c r="P1311" s="304" t="str">
        <f>CONCATENATE([1]Cover!$D$6,"fdd/view?i=",O1311)</f>
        <v>https://www.dgiwg.org/FAD/fdd/view?i=207203</v>
      </c>
      <c r="Q1311" s="8" t="s">
        <v>11051</v>
      </c>
      <c r="R1311" s="38" t="s">
        <v>1295</v>
      </c>
    </row>
    <row r="1312" spans="1:18" ht="25.5">
      <c r="A1312" s="302" t="str">
        <f t="shared" si="37"/>
        <v>verticalLowerLimit</v>
      </c>
      <c r="B1312" s="6" t="s">
        <v>11056</v>
      </c>
      <c r="C1312" s="17" t="s">
        <v>11057</v>
      </c>
      <c r="D1312" s="10" t="s">
        <v>11058</v>
      </c>
      <c r="E1312" s="55"/>
      <c r="F1312" s="55"/>
      <c r="G1312" s="12" t="s">
        <v>4643</v>
      </c>
      <c r="H1312" s="74"/>
      <c r="I1312" s="147" t="str">
        <f>HYPERLINK("[#]Datatypes!B1097:L1097","Real")</f>
        <v>Real</v>
      </c>
      <c r="J1312" s="76" t="str">
        <f>HYPERLINK("[#]PhysicalQuantities!A20:N20","Length")</f>
        <v>Length</v>
      </c>
      <c r="K1312" s="75" t="str">
        <f>HYPERLINK("[#]UnitsOfMeasure!D80:G80","Metre")</f>
        <v>Metre</v>
      </c>
      <c r="L1312" s="77"/>
      <c r="M1312" s="78"/>
      <c r="N1312" s="74"/>
      <c r="O1312" s="25">
        <v>117738</v>
      </c>
      <c r="P1312" s="304" t="str">
        <f>CONCATENATE([1]Cover!$D$6,"fdd/view?i=",O1312)</f>
        <v>https://www.dgiwg.org/FAD/fdd/view?i=117738</v>
      </c>
      <c r="Q1312" s="8" t="s">
        <v>11055</v>
      </c>
      <c r="R1312" s="38" t="s">
        <v>151</v>
      </c>
    </row>
    <row r="1313" spans="1:18" ht="25.5">
      <c r="A1313" s="302" t="str">
        <f t="shared" si="37"/>
        <v>verticalObstructionIdent</v>
      </c>
      <c r="B1313" s="6" t="s">
        <v>11060</v>
      </c>
      <c r="C1313" s="17" t="s">
        <v>11061</v>
      </c>
      <c r="D1313" s="10" t="s">
        <v>11062</v>
      </c>
      <c r="E1313" s="10" t="s">
        <v>11063</v>
      </c>
      <c r="F1313" s="55"/>
      <c r="G1313" s="12" t="s">
        <v>4643</v>
      </c>
      <c r="H1313" s="74"/>
      <c r="I1313" s="147" t="str">
        <f>HYPERLINK("[#]Datatypes!B1506:L1506","VerticalObstructionIdentStrucText")</f>
        <v>VerticalObstructionIdentStrucText</v>
      </c>
      <c r="J1313" s="80"/>
      <c r="K1313" s="77"/>
      <c r="L1313" s="77"/>
      <c r="M1313" s="78"/>
      <c r="N1313" s="74"/>
      <c r="O1313" s="25">
        <v>101455</v>
      </c>
      <c r="P1313" s="304" t="str">
        <f>CONCATENATE([1]Cover!$D$6,"fdd/view?i=",O1313)</f>
        <v>https://www.dgiwg.org/FAD/fdd/view?i=101455</v>
      </c>
      <c r="Q1313" s="8" t="s">
        <v>11059</v>
      </c>
      <c r="R1313" s="38" t="s">
        <v>151</v>
      </c>
    </row>
    <row r="1314" spans="1:18" ht="25.5">
      <c r="A1314" s="302" t="str">
        <f t="shared" si="37"/>
        <v>verticalOverrideLimit</v>
      </c>
      <c r="B1314" s="6" t="s">
        <v>11066</v>
      </c>
      <c r="C1314" s="17" t="s">
        <v>11067</v>
      </c>
      <c r="D1314" s="10" t="s">
        <v>11068</v>
      </c>
      <c r="E1314" s="55"/>
      <c r="F1314" s="55"/>
      <c r="G1314" s="12" t="s">
        <v>4643</v>
      </c>
      <c r="H1314" s="74"/>
      <c r="I1314" s="147" t="str">
        <f>HYPERLINK("[#]Datatypes!B1097:L1097","Real")</f>
        <v>Real</v>
      </c>
      <c r="J1314" s="76" t="str">
        <f>HYPERLINK("[#]PhysicalQuantities!A20:N20","Length")</f>
        <v>Length</v>
      </c>
      <c r="K1314" s="75" t="str">
        <f>HYPERLINK("[#]UnitsOfMeasure!D80:G80","Metre")</f>
        <v>Metre</v>
      </c>
      <c r="L1314" s="77"/>
      <c r="M1314" s="78"/>
      <c r="N1314" s="74"/>
      <c r="O1314" s="25">
        <v>117739</v>
      </c>
      <c r="P1314" s="304" t="str">
        <f>CONCATENATE([1]Cover!$D$6,"fdd/view?i=",O1314)</f>
        <v>https://www.dgiwg.org/FAD/fdd/view?i=117739</v>
      </c>
      <c r="Q1314" s="8" t="s">
        <v>11065</v>
      </c>
      <c r="R1314" s="38" t="s">
        <v>151</v>
      </c>
    </row>
    <row r="1315" spans="1:18" ht="25.5">
      <c r="A1315" s="302" t="str">
        <f t="shared" si="37"/>
        <v>verticalRelativeLocation</v>
      </c>
      <c r="B1315" s="6" t="s">
        <v>11070</v>
      </c>
      <c r="C1315" s="17" t="s">
        <v>11071</v>
      </c>
      <c r="D1315" s="10" t="s">
        <v>11072</v>
      </c>
      <c r="E1315" s="55"/>
      <c r="F1315" s="55"/>
      <c r="G1315" s="12" t="s">
        <v>4643</v>
      </c>
      <c r="H1315" s="74"/>
      <c r="I1315" s="147" t="str">
        <f>HYPERLINK("[#]Datatypes!B1514:L1514","VerticalRelativeLocationCode")</f>
        <v>VerticalRelativeLocationCode</v>
      </c>
      <c r="J1315" s="80"/>
      <c r="K1315" s="77"/>
      <c r="L1315" s="77"/>
      <c r="M1315" s="71" t="str">
        <f>HYPERLINK("[#]DatatypeListedValues!A7079:H7079","&lt;values&gt;")</f>
        <v>&lt;values&gt;</v>
      </c>
      <c r="N1315" s="12" t="b">
        <v>1</v>
      </c>
      <c r="O1315" s="25">
        <v>101005</v>
      </c>
      <c r="P1315" s="304" t="str">
        <f>CONCATENATE([1]Cover!$D$6,"fdd/view?i=",O1315)</f>
        <v>https://www.dgiwg.org/FAD/fdd/view?i=101005</v>
      </c>
      <c r="Q1315" s="8" t="s">
        <v>11069</v>
      </c>
      <c r="R1315" s="38" t="s">
        <v>151</v>
      </c>
    </row>
    <row r="1316" spans="1:18" ht="38.25">
      <c r="A1316" s="302" t="str">
        <f t="shared" si="37"/>
        <v>verticalSourceCategory</v>
      </c>
      <c r="B1316" s="6" t="s">
        <v>11075</v>
      </c>
      <c r="C1316" s="17" t="s">
        <v>11076</v>
      </c>
      <c r="D1316" s="10" t="s">
        <v>11077</v>
      </c>
      <c r="E1316" s="55"/>
      <c r="F1316" s="55"/>
      <c r="G1316" s="12" t="s">
        <v>4643</v>
      </c>
      <c r="H1316" s="74"/>
      <c r="I1316" s="147" t="str">
        <f>HYPERLINK("[#]Datatypes!B1516:L1516","VerticalSourceCategoryCodeList")</f>
        <v>VerticalSourceCategoryCodeList</v>
      </c>
      <c r="J1316" s="80"/>
      <c r="K1316" s="77"/>
      <c r="L1316" s="77"/>
      <c r="M1316" s="78"/>
      <c r="N1316" s="74"/>
      <c r="O1316" s="25">
        <v>109993</v>
      </c>
      <c r="P1316" s="304" t="str">
        <f>CONCATENATE([1]Cover!$D$6,"fdd/view?i=",O1316)</f>
        <v>https://www.dgiwg.org/FAD/fdd/view?i=109993</v>
      </c>
      <c r="Q1316" s="8" t="s">
        <v>11074</v>
      </c>
      <c r="R1316" s="38" t="s">
        <v>151</v>
      </c>
    </row>
    <row r="1317" spans="1:18" ht="38.25">
      <c r="A1317" s="302" t="str">
        <f t="shared" si="37"/>
        <v>verticalSourceDateTime</v>
      </c>
      <c r="B1317" s="6" t="s">
        <v>11080</v>
      </c>
      <c r="C1317" s="17" t="s">
        <v>11081</v>
      </c>
      <c r="D1317" s="10" t="s">
        <v>11082</v>
      </c>
      <c r="E1317" s="10" t="s">
        <v>6206</v>
      </c>
      <c r="F1317" s="55"/>
      <c r="G1317" s="12" t="s">
        <v>4643</v>
      </c>
      <c r="H1317" s="74"/>
      <c r="I1317" s="147" t="str">
        <f>HYPERLINK("[#]Datatypes!B1518:L1518","VertSourceDateTimeStrucText")</f>
        <v>VertSourceDateTimeStrucText</v>
      </c>
      <c r="J1317" s="80"/>
      <c r="K1317" s="77"/>
      <c r="L1317" s="77"/>
      <c r="M1317" s="78"/>
      <c r="N1317" s="74"/>
      <c r="O1317" s="25">
        <v>203843</v>
      </c>
      <c r="P1317" s="304" t="str">
        <f>CONCATENATE([1]Cover!$D$6,"fdd/view?i=",O1317)</f>
        <v>https://www.dgiwg.org/FAD/fdd/view?i=203843</v>
      </c>
      <c r="Q1317" s="8" t="s">
        <v>11079</v>
      </c>
      <c r="R1317" s="38" t="s">
        <v>1295</v>
      </c>
    </row>
    <row r="1318" spans="1:18" ht="38.25">
      <c r="A1318" s="302" t="str">
        <f t="shared" si="37"/>
        <v>verticalSourceDesc</v>
      </c>
      <c r="B1318" s="6" t="s">
        <v>11085</v>
      </c>
      <c r="C1318" s="17" t="s">
        <v>11086</v>
      </c>
      <c r="D1318" s="10" t="s">
        <v>11087</v>
      </c>
      <c r="E1318" s="55"/>
      <c r="F1318" s="55"/>
      <c r="G1318" s="12" t="s">
        <v>4643</v>
      </c>
      <c r="H1318" s="74"/>
      <c r="I1318" s="147" t="str">
        <f>HYPERLINK("[#]Datatypes!B1416:L1416","TextLexUnconstrained")</f>
        <v>TextLexUnconstrained</v>
      </c>
      <c r="J1318" s="80"/>
      <c r="K1318" s="77"/>
      <c r="L1318" s="77"/>
      <c r="M1318" s="78"/>
      <c r="N1318" s="74"/>
      <c r="O1318" s="25">
        <v>203844</v>
      </c>
      <c r="P1318" s="304" t="str">
        <f>CONCATENATE([1]Cover!$D$6,"fdd/view?i=",O1318)</f>
        <v>https://www.dgiwg.org/FAD/fdd/view?i=203844</v>
      </c>
      <c r="Q1318" s="8" t="s">
        <v>11084</v>
      </c>
      <c r="R1318" s="38" t="s">
        <v>1295</v>
      </c>
    </row>
    <row r="1319" spans="1:18" ht="25.5">
      <c r="A1319" s="302" t="str">
        <f t="shared" si="37"/>
        <v>verticalUpperLimit</v>
      </c>
      <c r="B1319" s="6" t="s">
        <v>11089</v>
      </c>
      <c r="C1319" s="17" t="s">
        <v>11090</v>
      </c>
      <c r="D1319" s="10" t="s">
        <v>11091</v>
      </c>
      <c r="E1319" s="55"/>
      <c r="F1319" s="55"/>
      <c r="G1319" s="12" t="s">
        <v>4643</v>
      </c>
      <c r="H1319" s="74"/>
      <c r="I1319" s="147" t="str">
        <f>HYPERLINK("[#]Datatypes!B1097:L1097","Real")</f>
        <v>Real</v>
      </c>
      <c r="J1319" s="76" t="str">
        <f>HYPERLINK("[#]PhysicalQuantities!A20:N20","Length")</f>
        <v>Length</v>
      </c>
      <c r="K1319" s="75" t="str">
        <f>HYPERLINK("[#]UnitsOfMeasure!D80:G80","Metre")</f>
        <v>Metre</v>
      </c>
      <c r="L1319" s="77"/>
      <c r="M1319" s="78"/>
      <c r="N1319" s="74"/>
      <c r="O1319" s="25">
        <v>117740</v>
      </c>
      <c r="P1319" s="304" t="str">
        <f>CONCATENATE([1]Cover!$D$6,"fdd/view?i=",O1319)</f>
        <v>https://www.dgiwg.org/FAD/fdd/view?i=117740</v>
      </c>
      <c r="Q1319" s="8" t="s">
        <v>11088</v>
      </c>
      <c r="R1319" s="38" t="s">
        <v>151</v>
      </c>
    </row>
    <row r="1320" spans="1:18">
      <c r="A1320" s="302" t="str">
        <f t="shared" si="37"/>
        <v>vesselBoardingMethod</v>
      </c>
      <c r="B1320" s="6" t="s">
        <v>11093</v>
      </c>
      <c r="C1320" s="17" t="s">
        <v>11094</v>
      </c>
      <c r="D1320" s="10" t="s">
        <v>11095</v>
      </c>
      <c r="E1320" s="55"/>
      <c r="F1320" s="55"/>
      <c r="G1320" s="12" t="s">
        <v>4643</v>
      </c>
      <c r="H1320" s="74"/>
      <c r="I1320" s="147" t="str">
        <f>HYPERLINK("[#]Datatypes!B1520:L1520","VesselBoardingMethodCode")</f>
        <v>VesselBoardingMethodCode</v>
      </c>
      <c r="J1320" s="80"/>
      <c r="K1320" s="77"/>
      <c r="L1320" s="77"/>
      <c r="M1320" s="71" t="str">
        <f>HYPERLINK("[#]DatatypeListedValues!A7086:H7086","&lt;values&gt;")</f>
        <v>&lt;values&gt;</v>
      </c>
      <c r="N1320" s="82" t="b">
        <v>0</v>
      </c>
      <c r="O1320" s="25">
        <v>114243</v>
      </c>
      <c r="P1320" s="304" t="str">
        <f>CONCATENATE([1]Cover!$D$6,"fdd/view?i=",O1320)</f>
        <v>https://www.dgiwg.org/FAD/fdd/view?i=114243</v>
      </c>
      <c r="Q1320" s="8" t="s">
        <v>11092</v>
      </c>
      <c r="R1320" s="38" t="s">
        <v>151</v>
      </c>
    </row>
    <row r="1321" spans="1:18">
      <c r="A1321" s="302" t="str">
        <f t="shared" si="37"/>
        <v>vesselBoardingPoint</v>
      </c>
      <c r="B1321" s="6" t="s">
        <v>11098</v>
      </c>
      <c r="C1321" s="17" t="s">
        <v>11099</v>
      </c>
      <c r="D1321" s="10" t="s">
        <v>11100</v>
      </c>
      <c r="E1321" s="55"/>
      <c r="F1321" s="55"/>
      <c r="G1321" s="12" t="s">
        <v>4643</v>
      </c>
      <c r="H1321" s="74"/>
      <c r="I1321" s="147" t="str">
        <f>HYPERLINK("[#]Datatypes!B1522:L1522","VesselBoardingPointCode")</f>
        <v>VesselBoardingPointCode</v>
      </c>
      <c r="J1321" s="80"/>
      <c r="K1321" s="77"/>
      <c r="L1321" s="77"/>
      <c r="M1321" s="71" t="str">
        <f>HYPERLINK("[#]DatatypeListedValues!A7090:H7090","&lt;values&gt;")</f>
        <v>&lt;values&gt;</v>
      </c>
      <c r="N1321" s="82" t="b">
        <v>0</v>
      </c>
      <c r="O1321" s="25">
        <v>114244</v>
      </c>
      <c r="P1321" s="304" t="str">
        <f>CONCATENATE([1]Cover!$D$6,"fdd/view?i=",O1321)</f>
        <v>https://www.dgiwg.org/FAD/fdd/view?i=114244</v>
      </c>
      <c r="Q1321" s="8" t="s">
        <v>11097</v>
      </c>
      <c r="R1321" s="38" t="s">
        <v>151</v>
      </c>
    </row>
    <row r="1322" spans="1:18">
      <c r="A1322" s="302" t="str">
        <f t="shared" si="37"/>
        <v>vesselDraftCorrection</v>
      </c>
      <c r="B1322" s="6" t="s">
        <v>11103</v>
      </c>
      <c r="C1322" s="17" t="s">
        <v>11104</v>
      </c>
      <c r="D1322" s="10" t="s">
        <v>11105</v>
      </c>
      <c r="E1322" s="55"/>
      <c r="F1322" s="55"/>
      <c r="G1322" s="12" t="s">
        <v>4643</v>
      </c>
      <c r="H1322" s="74"/>
      <c r="I1322" s="147" t="str">
        <f>HYPERLINK("[#]Datatypes!B230:L230","Boolean")</f>
        <v>Boolean</v>
      </c>
      <c r="J1322" s="80"/>
      <c r="K1322" s="77"/>
      <c r="L1322" s="77"/>
      <c r="M1322" s="78"/>
      <c r="N1322" s="74"/>
      <c r="O1322" s="25">
        <v>100803</v>
      </c>
      <c r="P1322" s="304" t="str">
        <f>CONCATENATE([1]Cover!$D$6,"fdd/view?i=",O1322)</f>
        <v>https://www.dgiwg.org/FAD/fdd/view?i=100803</v>
      </c>
      <c r="Q1322" s="8" t="s">
        <v>11102</v>
      </c>
      <c r="R1322" s="38" t="s">
        <v>151</v>
      </c>
    </row>
    <row r="1323" spans="1:18" ht="38.25">
      <c r="A1323" s="302" t="str">
        <f t="shared" si="37"/>
        <v>vesselType</v>
      </c>
      <c r="B1323" s="6" t="s">
        <v>11107</v>
      </c>
      <c r="C1323" s="17" t="s">
        <v>11108</v>
      </c>
      <c r="D1323" s="10" t="s">
        <v>11109</v>
      </c>
      <c r="E1323" s="10" t="s">
        <v>11110</v>
      </c>
      <c r="F1323" s="55"/>
      <c r="G1323" s="12" t="s">
        <v>4643</v>
      </c>
      <c r="H1323" s="74"/>
      <c r="I1323" s="147" t="str">
        <f>HYPERLINK("[#]Datatypes!B1524:L1524","VesselTypeCode")</f>
        <v>VesselTypeCode</v>
      </c>
      <c r="J1323" s="80"/>
      <c r="K1323" s="77"/>
      <c r="L1323" s="77"/>
      <c r="M1323" s="71" t="str">
        <f>HYPERLINK("[#]DatatypeListedValues!A7095:H7095","&lt;values&gt;")</f>
        <v>&lt;values&gt;</v>
      </c>
      <c r="N1323" s="82" t="b">
        <v>0</v>
      </c>
      <c r="O1323" s="25">
        <v>101494</v>
      </c>
      <c r="P1323" s="304" t="str">
        <f>CONCATENATE([1]Cover!$D$6,"fdd/view?i=",O1323)</f>
        <v>https://www.dgiwg.org/FAD/fdd/view?i=101494</v>
      </c>
      <c r="Q1323" s="8" t="s">
        <v>11106</v>
      </c>
      <c r="R1323" s="38" t="s">
        <v>151</v>
      </c>
    </row>
    <row r="1324" spans="1:18" ht="25.5">
      <c r="A1324" s="302" t="str">
        <f t="shared" si="37"/>
        <v>vorBeaconType</v>
      </c>
      <c r="B1324" s="6" t="s">
        <v>11113</v>
      </c>
      <c r="C1324" s="17" t="s">
        <v>11114</v>
      </c>
      <c r="D1324" s="10" t="s">
        <v>11115</v>
      </c>
      <c r="E1324" s="10" t="s">
        <v>11116</v>
      </c>
      <c r="F1324" s="55"/>
      <c r="G1324" s="12" t="s">
        <v>4643</v>
      </c>
      <c r="H1324" s="74"/>
      <c r="I1324" s="147" t="str">
        <f>HYPERLINK("[#]Datatypes!B1526:L1526","VorBeaconTypeCode")</f>
        <v>VorBeaconTypeCode</v>
      </c>
      <c r="J1324" s="80"/>
      <c r="K1324" s="77"/>
      <c r="L1324" s="77"/>
      <c r="M1324" s="71" t="str">
        <f>HYPERLINK("[#]DatatypeListedValues!A7218:H7218","&lt;values&gt;")</f>
        <v>&lt;values&gt;</v>
      </c>
      <c r="N1324" s="82" t="b">
        <v>0</v>
      </c>
      <c r="O1324" s="25">
        <v>117744</v>
      </c>
      <c r="P1324" s="304" t="str">
        <f>CONCATENATE([1]Cover!$D$6,"fdd/view?i=",O1324)</f>
        <v>https://www.dgiwg.org/FAD/fdd/view?i=117744</v>
      </c>
      <c r="Q1324" s="8" t="s">
        <v>11112</v>
      </c>
      <c r="R1324" s="38" t="s">
        <v>151</v>
      </c>
    </row>
    <row r="1325" spans="1:18" ht="25.5">
      <c r="A1325" s="302" t="str">
        <f t="shared" si="37"/>
        <v>victimAbducteeCount</v>
      </c>
      <c r="B1325" s="6" t="s">
        <v>11119</v>
      </c>
      <c r="C1325" s="17" t="s">
        <v>11120</v>
      </c>
      <c r="D1325" s="10" t="s">
        <v>11121</v>
      </c>
      <c r="E1325" s="55"/>
      <c r="F1325" s="55"/>
      <c r="G1325" s="12" t="s">
        <v>4643</v>
      </c>
      <c r="H1325" s="74"/>
      <c r="I1325" s="147" t="str">
        <f>HYPERLINK("[#]Datatypes!B366:L366","Count")</f>
        <v>Count</v>
      </c>
      <c r="J1325" s="80"/>
      <c r="K1325" s="77"/>
      <c r="L1325" s="77"/>
      <c r="M1325" s="78"/>
      <c r="N1325" s="74"/>
      <c r="O1325" s="25">
        <v>111745</v>
      </c>
      <c r="P1325" s="304" t="str">
        <f>CONCATENATE([1]Cover!$D$6,"fdd/view?i=",O1325)</f>
        <v>https://www.dgiwg.org/FAD/fdd/view?i=111745</v>
      </c>
      <c r="Q1325" s="8" t="s">
        <v>11118</v>
      </c>
      <c r="R1325" s="38" t="s">
        <v>151</v>
      </c>
    </row>
    <row r="1326" spans="1:18" ht="25.5">
      <c r="A1326" s="302" t="str">
        <f t="shared" si="37"/>
        <v>victimFatalityCount</v>
      </c>
      <c r="B1326" s="6" t="s">
        <v>11123</v>
      </c>
      <c r="C1326" s="17" t="s">
        <v>11124</v>
      </c>
      <c r="D1326" s="10" t="s">
        <v>11125</v>
      </c>
      <c r="E1326" s="55"/>
      <c r="F1326" s="55"/>
      <c r="G1326" s="12" t="s">
        <v>4643</v>
      </c>
      <c r="H1326" s="74"/>
      <c r="I1326" s="147" t="str">
        <f>HYPERLINK("[#]Datatypes!B366:L366","Count")</f>
        <v>Count</v>
      </c>
      <c r="J1326" s="80"/>
      <c r="K1326" s="77"/>
      <c r="L1326" s="77"/>
      <c r="M1326" s="78"/>
      <c r="N1326" s="74"/>
      <c r="O1326" s="25">
        <v>111746</v>
      </c>
      <c r="P1326" s="304" t="str">
        <f>CONCATENATE([1]Cover!$D$6,"fdd/view?i=",O1326)</f>
        <v>https://www.dgiwg.org/FAD/fdd/view?i=111746</v>
      </c>
      <c r="Q1326" s="8" t="s">
        <v>11122</v>
      </c>
      <c r="R1326" s="38" t="s">
        <v>151</v>
      </c>
    </row>
    <row r="1327" spans="1:18">
      <c r="A1327" s="302" t="str">
        <f t="shared" si="37"/>
        <v>victimVesselName</v>
      </c>
      <c r="B1327" s="6" t="s">
        <v>11127</v>
      </c>
      <c r="C1327" s="17" t="s">
        <v>11128</v>
      </c>
      <c r="D1327" s="10" t="s">
        <v>11129</v>
      </c>
      <c r="E1327" s="55"/>
      <c r="F1327" s="55"/>
      <c r="G1327" s="12" t="s">
        <v>4643</v>
      </c>
      <c r="H1327" s="74"/>
      <c r="I1327" s="147" t="str">
        <f>HYPERLINK("[#]Datatypes!B1416:L1416","TextLexUnconstrained")</f>
        <v>TextLexUnconstrained</v>
      </c>
      <c r="J1327" s="80"/>
      <c r="K1327" s="77"/>
      <c r="L1327" s="77"/>
      <c r="M1327" s="78"/>
      <c r="N1327" s="74"/>
      <c r="O1327" s="25">
        <v>111751</v>
      </c>
      <c r="P1327" s="304" t="str">
        <f>CONCATENATE([1]Cover!$D$6,"fdd/view?i=",O1327)</f>
        <v>https://www.dgiwg.org/FAD/fdd/view?i=111751</v>
      </c>
      <c r="Q1327" s="8" t="s">
        <v>11126</v>
      </c>
      <c r="R1327" s="38" t="s">
        <v>151</v>
      </c>
    </row>
    <row r="1328" spans="1:18" ht="25.5">
      <c r="A1328" s="302" t="str">
        <f t="shared" si="37"/>
        <v>victimVesselOutcome</v>
      </c>
      <c r="B1328" s="6" t="s">
        <v>11131</v>
      </c>
      <c r="C1328" s="17" t="s">
        <v>11132</v>
      </c>
      <c r="D1328" s="10" t="s">
        <v>11133</v>
      </c>
      <c r="E1328" s="55"/>
      <c r="F1328" s="55"/>
      <c r="G1328" s="12" t="s">
        <v>4643</v>
      </c>
      <c r="H1328" s="74"/>
      <c r="I1328" s="147" t="str">
        <f>HYPERLINK("[#]Datatypes!B1528:L1528","VictimVesselOutcomeCode")</f>
        <v>VictimVesselOutcomeCode</v>
      </c>
      <c r="J1328" s="80"/>
      <c r="K1328" s="77"/>
      <c r="L1328" s="77"/>
      <c r="M1328" s="71" t="str">
        <f>HYPERLINK("[#]DatatypeListedValues!A7221:H7221","&lt;values&gt;")</f>
        <v>&lt;values&gt;</v>
      </c>
      <c r="N1328" s="12" t="b">
        <v>1</v>
      </c>
      <c r="O1328" s="25">
        <v>111752</v>
      </c>
      <c r="P1328" s="304" t="str">
        <f>CONCATENATE([1]Cover!$D$6,"fdd/view?i=",O1328)</f>
        <v>https://www.dgiwg.org/FAD/fdd/view?i=111752</v>
      </c>
      <c r="Q1328" s="8" t="s">
        <v>11130</v>
      </c>
      <c r="R1328" s="38" t="s">
        <v>151</v>
      </c>
    </row>
    <row r="1329" spans="1:18" ht="25.5">
      <c r="A1329" s="302" t="str">
        <f t="shared" si="37"/>
        <v>victimVesselStatus</v>
      </c>
      <c r="B1329" s="6" t="s">
        <v>11136</v>
      </c>
      <c r="C1329" s="17" t="s">
        <v>11137</v>
      </c>
      <c r="D1329" s="10" t="s">
        <v>11138</v>
      </c>
      <c r="E1329" s="55"/>
      <c r="F1329" s="55"/>
      <c r="G1329" s="12" t="s">
        <v>4643</v>
      </c>
      <c r="H1329" s="74"/>
      <c r="I1329" s="147" t="str">
        <f>HYPERLINK("[#]Datatypes!B1530:L1530","VictimVesselStatusCode")</f>
        <v>VictimVesselStatusCode</v>
      </c>
      <c r="J1329" s="80"/>
      <c r="K1329" s="77"/>
      <c r="L1329" s="77"/>
      <c r="M1329" s="71" t="str">
        <f>HYPERLINK("[#]DatatypeListedValues!A7228:H7228","&lt;values&gt;")</f>
        <v>&lt;values&gt;</v>
      </c>
      <c r="N1329" s="82" t="b">
        <v>0</v>
      </c>
      <c r="O1329" s="25">
        <v>111753</v>
      </c>
      <c r="P1329" s="304" t="str">
        <f>CONCATENATE([1]Cover!$D$6,"fdd/view?i=",O1329)</f>
        <v>https://www.dgiwg.org/FAD/fdd/view?i=111753</v>
      </c>
      <c r="Q1329" s="8" t="s">
        <v>11135</v>
      </c>
      <c r="R1329" s="38" t="s">
        <v>151</v>
      </c>
    </row>
    <row r="1330" spans="1:18" ht="25.5">
      <c r="A1330" s="302" t="str">
        <f t="shared" si="37"/>
        <v>victimVesselType</v>
      </c>
      <c r="B1330" s="6" t="s">
        <v>11141</v>
      </c>
      <c r="C1330" s="17" t="s">
        <v>11142</v>
      </c>
      <c r="D1330" s="10" t="s">
        <v>11143</v>
      </c>
      <c r="E1330" s="55"/>
      <c r="F1330" s="55"/>
      <c r="G1330" s="12" t="s">
        <v>4643</v>
      </c>
      <c r="H1330" s="74"/>
      <c r="I1330" s="147" t="str">
        <f>HYPERLINK("[#]Datatypes!B1532:L1532","VictimVesselTypeCode")</f>
        <v>VictimVesselTypeCode</v>
      </c>
      <c r="J1330" s="80"/>
      <c r="K1330" s="77"/>
      <c r="L1330" s="77"/>
      <c r="M1330" s="71" t="str">
        <f>HYPERLINK("[#]DatatypeListedValues!A7231:H7231","&lt;values&gt;")</f>
        <v>&lt;values&gt;</v>
      </c>
      <c r="N1330" s="82" t="b">
        <v>0</v>
      </c>
      <c r="O1330" s="25">
        <v>119213</v>
      </c>
      <c r="P1330" s="304" t="str">
        <f>CONCATENATE([1]Cover!$D$6,"fdd/view?i=",O1330)</f>
        <v>https://www.dgiwg.org/FAD/fdd/view?i=119213</v>
      </c>
      <c r="Q1330" s="8" t="s">
        <v>11140</v>
      </c>
      <c r="R1330" s="38" t="s">
        <v>151</v>
      </c>
    </row>
    <row r="1331" spans="1:18" ht="25.5">
      <c r="A1331" s="302" t="str">
        <f t="shared" si="37"/>
        <v>vasisApproachSlope</v>
      </c>
      <c r="B1331" s="6" t="s">
        <v>11146</v>
      </c>
      <c r="C1331" s="17" t="s">
        <v>11147</v>
      </c>
      <c r="D1331" s="10" t="s">
        <v>11148</v>
      </c>
      <c r="E1331" s="55"/>
      <c r="F1331" s="55"/>
      <c r="G1331" s="12" t="s">
        <v>4643</v>
      </c>
      <c r="H1331" s="74"/>
      <c r="I1331" s="147" t="str">
        <f>HYPERLINK("[#]Datatypes!B1097:L1097","Real")</f>
        <v>Real</v>
      </c>
      <c r="J1331" s="76" t="str">
        <f>HYPERLINK("[#]PhysicalQuantities!A34:N34","Plane Angle")</f>
        <v>Plane Angle</v>
      </c>
      <c r="K1331" s="75" t="str">
        <f>HYPERLINK("[#]UnitsOfMeasure!D159:G159","Arc Degree")</f>
        <v>Arc Degree</v>
      </c>
      <c r="L1331" s="77"/>
      <c r="M1331" s="78"/>
      <c r="N1331" s="74"/>
      <c r="O1331" s="25">
        <v>117742</v>
      </c>
      <c r="P1331" s="304" t="str">
        <f>CONCATENATE([1]Cover!$D$6,"fdd/view?i=",O1331)</f>
        <v>https://www.dgiwg.org/FAD/fdd/view?i=117742</v>
      </c>
      <c r="Q1331" s="8" t="s">
        <v>11145</v>
      </c>
      <c r="R1331" s="38" t="s">
        <v>151</v>
      </c>
    </row>
    <row r="1332" spans="1:18" ht="25.5">
      <c r="A1332" s="302" t="str">
        <f t="shared" si="37"/>
        <v>vasisNumberUnits</v>
      </c>
      <c r="B1332" s="6" t="s">
        <v>11150</v>
      </c>
      <c r="C1332" s="17" t="s">
        <v>11151</v>
      </c>
      <c r="D1332" s="10" t="s">
        <v>11152</v>
      </c>
      <c r="E1332" s="55"/>
      <c r="F1332" s="55"/>
      <c r="G1332" s="12" t="s">
        <v>4643</v>
      </c>
      <c r="H1332" s="74"/>
      <c r="I1332" s="147" t="str">
        <f>HYPERLINK("[#]Datatypes!B366:L366","Count")</f>
        <v>Count</v>
      </c>
      <c r="J1332" s="80"/>
      <c r="K1332" s="77"/>
      <c r="L1332" s="77"/>
      <c r="M1332" s="78"/>
      <c r="N1332" s="74"/>
      <c r="O1332" s="25">
        <v>117743</v>
      </c>
      <c r="P1332" s="304" t="str">
        <f>CONCATENATE([1]Cover!$D$6,"fdd/view?i=",O1332)</f>
        <v>https://www.dgiwg.org/FAD/fdd/view?i=117743</v>
      </c>
      <c r="Q1332" s="8" t="s">
        <v>11149</v>
      </c>
      <c r="R1332" s="38" t="s">
        <v>151</v>
      </c>
    </row>
    <row r="1333" spans="1:18" ht="25.5">
      <c r="A1333" s="302" t="str">
        <f t="shared" si="37"/>
        <v>vasisType</v>
      </c>
      <c r="B1333" s="6" t="s">
        <v>11154</v>
      </c>
      <c r="C1333" s="17" t="s">
        <v>11155</v>
      </c>
      <c r="D1333" s="10" t="s">
        <v>11156</v>
      </c>
      <c r="E1333" s="55"/>
      <c r="F1333" s="55"/>
      <c r="G1333" s="12" t="s">
        <v>4643</v>
      </c>
      <c r="H1333" s="74"/>
      <c r="I1333" s="147" t="str">
        <f>HYPERLINK("[#]Datatypes!B1534:L1534","VasisTypeCode")</f>
        <v>VasisTypeCode</v>
      </c>
      <c r="J1333" s="80"/>
      <c r="K1333" s="77"/>
      <c r="L1333" s="77"/>
      <c r="M1333" s="71" t="str">
        <f>HYPERLINK("[#]DatatypeListedValues!A7242:H7242","&lt;values&gt;")</f>
        <v>&lt;values&gt;</v>
      </c>
      <c r="N1333" s="82" t="b">
        <v>0</v>
      </c>
      <c r="O1333" s="25">
        <v>117741</v>
      </c>
      <c r="P1333" s="304" t="str">
        <f>CONCATENATE([1]Cover!$D$6,"fdd/view?i=",O1333)</f>
        <v>https://www.dgiwg.org/FAD/fdd/view?i=117741</v>
      </c>
      <c r="Q1333" s="8" t="s">
        <v>11153</v>
      </c>
      <c r="R1333" s="38" t="s">
        <v>151</v>
      </c>
    </row>
    <row r="1334" spans="1:18">
      <c r="A1334" s="302" t="str">
        <f t="shared" si="37"/>
        <v>voidCollectionReason</v>
      </c>
      <c r="B1334" s="6" t="s">
        <v>11159</v>
      </c>
      <c r="C1334" s="17" t="s">
        <v>11160</v>
      </c>
      <c r="D1334" s="10" t="s">
        <v>11161</v>
      </c>
      <c r="E1334" s="55"/>
      <c r="F1334" s="55"/>
      <c r="G1334" s="12" t="s">
        <v>4643</v>
      </c>
      <c r="H1334" s="12" t="s">
        <v>4700</v>
      </c>
      <c r="I1334" s="147" t="str">
        <f>HYPERLINK("[#]Datatypes!B1536:L1536","VoidCollectionReasonCode")</f>
        <v>VoidCollectionReasonCode</v>
      </c>
      <c r="J1334" s="80"/>
      <c r="K1334" s="77"/>
      <c r="L1334" s="77"/>
      <c r="M1334" s="71" t="str">
        <f>HYPERLINK("[#]DatatypeListedValues!A7257:H7257","&lt;values&gt;")</f>
        <v>&lt;values&gt;</v>
      </c>
      <c r="N1334" s="82" t="b">
        <v>0</v>
      </c>
      <c r="O1334" s="25">
        <v>101435</v>
      </c>
      <c r="P1334" s="304" t="str">
        <f>CONCATENATE([1]Cover!$D$6,"fdd/view?i=",O1334)</f>
        <v>https://www.dgiwg.org/FAD/fdd/view?i=101435</v>
      </c>
      <c r="Q1334" s="8" t="s">
        <v>11158</v>
      </c>
      <c r="R1334" s="38" t="s">
        <v>151</v>
      </c>
    </row>
    <row r="1335" spans="1:18">
      <c r="A1335" s="302" t="str">
        <f t="shared" si="37"/>
        <v>voidCollectionType</v>
      </c>
      <c r="B1335" s="6" t="s">
        <v>11164</v>
      </c>
      <c r="C1335" s="17" t="s">
        <v>11165</v>
      </c>
      <c r="D1335" s="10" t="s">
        <v>11166</v>
      </c>
      <c r="E1335" s="55"/>
      <c r="F1335" s="55"/>
      <c r="G1335" s="12" t="s">
        <v>4643</v>
      </c>
      <c r="H1335" s="12" t="s">
        <v>4700</v>
      </c>
      <c r="I1335" s="147" t="str">
        <f>HYPERLINK("[#]Datatypes!B1538:L1538","VoidCollectionTypeCode")</f>
        <v>VoidCollectionTypeCode</v>
      </c>
      <c r="J1335" s="80"/>
      <c r="K1335" s="77"/>
      <c r="L1335" s="77"/>
      <c r="M1335" s="71" t="str">
        <f>HYPERLINK("[#]DatatypeListedValues!A7269:H7269","&lt;values&gt;")</f>
        <v>&lt;values&gt;</v>
      </c>
      <c r="N1335" s="82" t="b">
        <v>0</v>
      </c>
      <c r="O1335" s="25">
        <v>101444</v>
      </c>
      <c r="P1335" s="304" t="str">
        <f>CONCATENATE([1]Cover!$D$6,"fdd/view?i=",O1335)</f>
        <v>https://www.dgiwg.org/FAD/fdd/view?i=101444</v>
      </c>
      <c r="Q1335" s="8" t="s">
        <v>11163</v>
      </c>
      <c r="R1335" s="38" t="s">
        <v>151</v>
      </c>
    </row>
    <row r="1336" spans="1:18">
      <c r="A1336" s="302" t="str">
        <f t="shared" si="37"/>
        <v>volcanicActivity</v>
      </c>
      <c r="B1336" s="6" t="s">
        <v>11169</v>
      </c>
      <c r="C1336" s="17" t="s">
        <v>11170</v>
      </c>
      <c r="D1336" s="10" t="s">
        <v>11171</v>
      </c>
      <c r="E1336" s="55"/>
      <c r="F1336" s="55"/>
      <c r="G1336" s="12" t="s">
        <v>4643</v>
      </c>
      <c r="H1336" s="74"/>
      <c r="I1336" s="147" t="str">
        <f>HYPERLINK("[#]Datatypes!B1548:L1548","VolcanicActivityCode")</f>
        <v>VolcanicActivityCode</v>
      </c>
      <c r="J1336" s="80"/>
      <c r="K1336" s="77"/>
      <c r="L1336" s="77"/>
      <c r="M1336" s="71" t="str">
        <f>HYPERLINK("[#]DatatypeListedValues!A7283:H7283","&lt;values&gt;")</f>
        <v>&lt;values&gt;</v>
      </c>
      <c r="N1336" s="12" t="b">
        <v>1</v>
      </c>
      <c r="O1336" s="25">
        <v>111749</v>
      </c>
      <c r="P1336" s="304" t="str">
        <f>CONCATENATE([1]Cover!$D$6,"fdd/view?i=",O1336)</f>
        <v>https://www.dgiwg.org/FAD/fdd/view?i=111749</v>
      </c>
      <c r="Q1336" s="8" t="s">
        <v>11168</v>
      </c>
      <c r="R1336" s="38" t="s">
        <v>151</v>
      </c>
    </row>
    <row r="1337" spans="1:18" ht="25.5">
      <c r="A1337" s="302" t="str">
        <f t="shared" si="37"/>
        <v>volcanicEruptionFrequency</v>
      </c>
      <c r="B1337" s="6" t="s">
        <v>11174</v>
      </c>
      <c r="C1337" s="17" t="s">
        <v>11175</v>
      </c>
      <c r="D1337" s="10" t="s">
        <v>11176</v>
      </c>
      <c r="E1337" s="55"/>
      <c r="F1337" s="55"/>
      <c r="G1337" s="12" t="s">
        <v>4643</v>
      </c>
      <c r="H1337" s="74"/>
      <c r="I1337" s="147" t="str">
        <f>HYPERLINK("[#]Datatypes!B710:L710","Integer")</f>
        <v>Integer</v>
      </c>
      <c r="J1337" s="76" t="str">
        <f>HYPERLINK("[#]PhysicalQuantities!A51:N51","Time")</f>
        <v>Time</v>
      </c>
      <c r="K1337" s="75" t="str">
        <f>HYPERLINK("[#]UnitsOfMeasure!D264:G264","Tropical Year")</f>
        <v>Tropical Year</v>
      </c>
      <c r="L1337" s="77"/>
      <c r="M1337" s="78"/>
      <c r="N1337" s="74"/>
      <c r="O1337" s="25">
        <v>111563</v>
      </c>
      <c r="P1337" s="304" t="str">
        <f>CONCATENATE([1]Cover!$D$6,"fdd/view?i=",O1337)</f>
        <v>https://www.dgiwg.org/FAD/fdd/view?i=111563</v>
      </c>
      <c r="Q1337" s="8" t="s">
        <v>11173</v>
      </c>
      <c r="R1337" s="38" t="s">
        <v>151</v>
      </c>
    </row>
    <row r="1338" spans="1:18" ht="63.75">
      <c r="A1338" s="302" t="str">
        <f t="shared" si="37"/>
        <v>volcanicExplosivityIndex</v>
      </c>
      <c r="B1338" s="6" t="s">
        <v>11178</v>
      </c>
      <c r="C1338" s="17" t="s">
        <v>11179</v>
      </c>
      <c r="D1338" s="10" t="s">
        <v>11180</v>
      </c>
      <c r="E1338" s="10" t="s">
        <v>11181</v>
      </c>
      <c r="F1338" s="55"/>
      <c r="G1338" s="12" t="s">
        <v>4643</v>
      </c>
      <c r="H1338" s="74"/>
      <c r="I1338" s="147" t="str">
        <f>HYPERLINK("[#]Datatypes!B1550:L1550","VolcanicExplosivityIndexCode")</f>
        <v>VolcanicExplosivityIndexCode</v>
      </c>
      <c r="J1338" s="80"/>
      <c r="K1338" s="77"/>
      <c r="L1338" s="77"/>
      <c r="M1338" s="71" t="str">
        <f>HYPERLINK("[#]DatatypeListedValues!A7286:H7286","&lt;values&gt;")</f>
        <v>&lt;values&gt;</v>
      </c>
      <c r="N1338" s="82" t="b">
        <v>0</v>
      </c>
      <c r="O1338" s="25">
        <v>119212</v>
      </c>
      <c r="P1338" s="304" t="str">
        <f>CONCATENATE([1]Cover!$D$6,"fdd/view?i=",O1338)</f>
        <v>https://www.dgiwg.org/FAD/fdd/view?i=119212</v>
      </c>
      <c r="Q1338" s="8" t="s">
        <v>11177</v>
      </c>
      <c r="R1338" s="38" t="s">
        <v>151</v>
      </c>
    </row>
    <row r="1339" spans="1:18">
      <c r="A1339" s="302" t="str">
        <f t="shared" si="37"/>
        <v>volcanoShape</v>
      </c>
      <c r="B1339" s="6" t="s">
        <v>11184</v>
      </c>
      <c r="C1339" s="17" t="s">
        <v>11185</v>
      </c>
      <c r="D1339" s="10" t="s">
        <v>11186</v>
      </c>
      <c r="E1339" s="55"/>
      <c r="F1339" s="55"/>
      <c r="G1339" s="12" t="s">
        <v>4643</v>
      </c>
      <c r="H1339" s="74"/>
      <c r="I1339" s="147" t="str">
        <f>HYPERLINK("[#]Datatypes!B1552:L1552","VolcanoShapeCode")</f>
        <v>VolcanoShapeCode</v>
      </c>
      <c r="J1339" s="80"/>
      <c r="K1339" s="77"/>
      <c r="L1339" s="77"/>
      <c r="M1339" s="71" t="str">
        <f>HYPERLINK("[#]DatatypeListedValues!A7295:H7295","&lt;values&gt;")</f>
        <v>&lt;values&gt;</v>
      </c>
      <c r="N1339" s="12" t="b">
        <v>1</v>
      </c>
      <c r="O1339" s="25">
        <v>101450</v>
      </c>
      <c r="P1339" s="304" t="str">
        <f>CONCATENATE([1]Cover!$D$6,"fdd/view?i=",O1339)</f>
        <v>https://www.dgiwg.org/FAD/fdd/view?i=101450</v>
      </c>
      <c r="Q1339" s="8" t="s">
        <v>11183</v>
      </c>
      <c r="R1339" s="38" t="s">
        <v>151</v>
      </c>
    </row>
    <row r="1340" spans="1:18">
      <c r="A1340" s="302" t="str">
        <f t="shared" si="37"/>
        <v>volume</v>
      </c>
      <c r="B1340" s="6" t="s">
        <v>303</v>
      </c>
      <c r="C1340" s="17" t="s">
        <v>304</v>
      </c>
      <c r="D1340" s="10" t="s">
        <v>11189</v>
      </c>
      <c r="E1340" s="10" t="s">
        <v>11190</v>
      </c>
      <c r="F1340" s="55"/>
      <c r="G1340" s="12" t="s">
        <v>4643</v>
      </c>
      <c r="H1340" s="74"/>
      <c r="I1340" s="147" t="str">
        <f>HYPERLINK("[#]Datatypes!B1099:L1099","RealInterval")</f>
        <v>RealInterval</v>
      </c>
      <c r="J1340" s="76" t="str">
        <f>HYPERLINK("[#]PhysicalQuantities!A52:N52","Volume")</f>
        <v>Volume</v>
      </c>
      <c r="K1340" s="75" t="str">
        <f>HYPERLINK("[#]UnitsOfMeasure!D272:G272","Cubic Metre")</f>
        <v>Cubic Metre</v>
      </c>
      <c r="L1340" s="77"/>
      <c r="M1340" s="78"/>
      <c r="N1340" s="74"/>
      <c r="O1340" s="25">
        <v>109992</v>
      </c>
      <c r="P1340" s="304" t="str">
        <f>CONCATENATE([1]Cover!$D$6,"fdd/view?i=",O1340)</f>
        <v>https://www.dgiwg.org/FAD/fdd/view?i=109992</v>
      </c>
      <c r="Q1340" s="8" t="s">
        <v>11188</v>
      </c>
      <c r="R1340" s="38" t="s">
        <v>151</v>
      </c>
    </row>
    <row r="1341" spans="1:18">
      <c r="A1341" s="302" t="str">
        <f t="shared" si="37"/>
        <v>wallType</v>
      </c>
      <c r="B1341" s="6" t="s">
        <v>11192</v>
      </c>
      <c r="C1341" s="17" t="s">
        <v>11193</v>
      </c>
      <c r="D1341" s="10" t="s">
        <v>11194</v>
      </c>
      <c r="E1341" s="55"/>
      <c r="F1341" s="55"/>
      <c r="G1341" s="12" t="s">
        <v>4643</v>
      </c>
      <c r="H1341" s="74"/>
      <c r="I1341" s="147" t="str">
        <f>HYPERLINK("[#]Datatypes!B1554:L1554","WallTypeCode")</f>
        <v>WallTypeCode</v>
      </c>
      <c r="J1341" s="80"/>
      <c r="K1341" s="77"/>
      <c r="L1341" s="77"/>
      <c r="M1341" s="71" t="str">
        <f>HYPERLINK("[#]DatatypeListedValues!A7300:H7300","&lt;values&gt;")</f>
        <v>&lt;values&gt;</v>
      </c>
      <c r="N1341" s="82" t="b">
        <v>0</v>
      </c>
      <c r="O1341" s="25">
        <v>101510</v>
      </c>
      <c r="P1341" s="304" t="str">
        <f>CONCATENATE([1]Cover!$D$6,"fdd/view?i=",O1341)</f>
        <v>https://www.dgiwg.org/FAD/fdd/view?i=101510</v>
      </c>
      <c r="Q1341" s="8" t="s">
        <v>11191</v>
      </c>
      <c r="R1341" s="38" t="s">
        <v>151</v>
      </c>
    </row>
    <row r="1342" spans="1:18" ht="25.5">
      <c r="A1342" s="302" t="str">
        <f t="shared" si="37"/>
        <v>waterConductivity</v>
      </c>
      <c r="B1342" s="6" t="s">
        <v>11197</v>
      </c>
      <c r="C1342" s="17" t="s">
        <v>11198</v>
      </c>
      <c r="D1342" s="10" t="s">
        <v>11199</v>
      </c>
      <c r="E1342" s="10" t="s">
        <v>11200</v>
      </c>
      <c r="F1342" s="55"/>
      <c r="G1342" s="12" t="s">
        <v>4643</v>
      </c>
      <c r="H1342" s="74"/>
      <c r="I1342" s="147" t="str">
        <f>HYPERLINK("[#]Datatypes!B1097:L1097","Real")</f>
        <v>Real</v>
      </c>
      <c r="J1342" s="76" t="str">
        <f>HYPERLINK("[#]PhysicalQuantities!A8:N8","Electric Conductivity")</f>
        <v>Electric Conductivity</v>
      </c>
      <c r="K1342" s="75" t="str">
        <f>HYPERLINK("[#]UnitsOfMeasure!D32:G32","Microsiemens per Centimetre")</f>
        <v>Microsiemens per Centimetre</v>
      </c>
      <c r="L1342" s="77"/>
      <c r="M1342" s="78"/>
      <c r="N1342" s="74"/>
      <c r="O1342" s="25">
        <v>119410</v>
      </c>
      <c r="P1342" s="304" t="str">
        <f>CONCATENATE([1]Cover!$D$6,"fdd/view?i=",O1342)</f>
        <v>https://www.dgiwg.org/FAD/fdd/view?i=119410</v>
      </c>
      <c r="Q1342" s="8" t="s">
        <v>11196</v>
      </c>
      <c r="R1342" s="38" t="s">
        <v>151</v>
      </c>
    </row>
    <row r="1343" spans="1:18" ht="25.5">
      <c r="A1343" s="302" t="str">
        <f t="shared" si="37"/>
        <v>waterCurrentSpeed</v>
      </c>
      <c r="B1343" s="6" t="s">
        <v>11202</v>
      </c>
      <c r="C1343" s="17" t="s">
        <v>11203</v>
      </c>
      <c r="D1343" s="10" t="s">
        <v>11204</v>
      </c>
      <c r="E1343" s="55"/>
      <c r="F1343" s="55"/>
      <c r="G1343" s="12" t="s">
        <v>4643</v>
      </c>
      <c r="H1343" s="74"/>
      <c r="I1343" s="147" t="str">
        <f>HYPERLINK("[#]Datatypes!B1099:L1099","RealInterval")</f>
        <v>RealInterval</v>
      </c>
      <c r="J1343" s="76" t="str">
        <f>HYPERLINK("[#]PhysicalQuantities!A48:N48","Speed")</f>
        <v>Speed</v>
      </c>
      <c r="K1343" s="75" t="str">
        <f>HYPERLINK("[#]UnitsOfMeasure!D246:G246","Metre per Second")</f>
        <v>Metre per Second</v>
      </c>
      <c r="L1343" s="77"/>
      <c r="M1343" s="78"/>
      <c r="N1343" s="74"/>
      <c r="O1343" s="25">
        <v>111754</v>
      </c>
      <c r="P1343" s="304" t="str">
        <f>CONCATENATE([1]Cover!$D$6,"fdd/view?i=",O1343)</f>
        <v>https://www.dgiwg.org/FAD/fdd/view?i=111754</v>
      </c>
      <c r="Q1343" s="8" t="s">
        <v>11201</v>
      </c>
      <c r="R1343" s="38" t="s">
        <v>151</v>
      </c>
    </row>
    <row r="1344" spans="1:18" ht="38.25">
      <c r="A1344" s="302" t="str">
        <f t="shared" si="37"/>
        <v>waterHardness</v>
      </c>
      <c r="B1344" s="6" t="s">
        <v>11206</v>
      </c>
      <c r="C1344" s="17" t="s">
        <v>11207</v>
      </c>
      <c r="D1344" s="10" t="s">
        <v>11208</v>
      </c>
      <c r="E1344" s="10" t="s">
        <v>11209</v>
      </c>
      <c r="F1344" s="55"/>
      <c r="G1344" s="12" t="s">
        <v>4643</v>
      </c>
      <c r="H1344" s="74"/>
      <c r="I1344" s="147" t="str">
        <f>HYPERLINK("[#]Datatypes!B1097:L1097","Real")</f>
        <v>Real</v>
      </c>
      <c r="J1344" s="76" t="str">
        <f>HYPERLINK("[#]PhysicalQuantities!A29:N29","Mass Density")</f>
        <v>Mass Density</v>
      </c>
      <c r="K1344" s="75" t="str">
        <f>HYPERLINK("[#]UnitsOfMeasure!D140:G140","Gram per cubic Metre")</f>
        <v>Gram per cubic Metre</v>
      </c>
      <c r="L1344" s="77"/>
      <c r="M1344" s="78"/>
      <c r="N1344" s="74"/>
      <c r="O1344" s="25">
        <v>119402</v>
      </c>
      <c r="P1344" s="304" t="str">
        <f>CONCATENATE([1]Cover!$D$6,"fdd/view?i=",O1344)</f>
        <v>https://www.dgiwg.org/FAD/fdd/view?i=119402</v>
      </c>
      <c r="Q1344" s="8" t="s">
        <v>11205</v>
      </c>
      <c r="R1344" s="38" t="s">
        <v>151</v>
      </c>
    </row>
    <row r="1345" spans="1:18" ht="25.5">
      <c r="A1345" s="302" t="str">
        <f t="shared" si="37"/>
        <v>waterLevelEffect</v>
      </c>
      <c r="B1345" s="6" t="s">
        <v>11211</v>
      </c>
      <c r="C1345" s="17" t="s">
        <v>11212</v>
      </c>
      <c r="D1345" s="10" t="s">
        <v>11213</v>
      </c>
      <c r="E1345" s="55"/>
      <c r="F1345" s="55"/>
      <c r="G1345" s="12" t="s">
        <v>4643</v>
      </c>
      <c r="H1345" s="74"/>
      <c r="I1345" s="147" t="str">
        <f>HYPERLINK("[#]Datatypes!B1556:L1556","WaterLevelEffectCode")</f>
        <v>WaterLevelEffectCode</v>
      </c>
      <c r="J1345" s="80"/>
      <c r="K1345" s="77"/>
      <c r="L1345" s="77"/>
      <c r="M1345" s="71" t="str">
        <f>HYPERLINK("[#]DatatypeListedValues!A7302:H7302","&lt;values&gt;")</f>
        <v>&lt;values&gt;</v>
      </c>
      <c r="N1345" s="82" t="b">
        <v>0</v>
      </c>
      <c r="O1345" s="25">
        <v>101495</v>
      </c>
      <c r="P1345" s="304" t="str">
        <f>CONCATENATE([1]Cover!$D$6,"fdd/view?i=",O1345)</f>
        <v>https://www.dgiwg.org/FAD/fdd/view?i=101495</v>
      </c>
      <c r="Q1345" s="8" t="s">
        <v>11210</v>
      </c>
      <c r="R1345" s="38" t="s">
        <v>151</v>
      </c>
    </row>
    <row r="1346" spans="1:18" ht="25.5">
      <c r="A1346" s="302" t="str">
        <f t="shared" si="37"/>
        <v>waterPotability</v>
      </c>
      <c r="B1346" s="6" t="s">
        <v>11216</v>
      </c>
      <c r="C1346" s="17" t="s">
        <v>11217</v>
      </c>
      <c r="D1346" s="10" t="s">
        <v>11218</v>
      </c>
      <c r="E1346" s="55"/>
      <c r="F1346" s="55"/>
      <c r="G1346" s="12" t="s">
        <v>4643</v>
      </c>
      <c r="H1346" s="74"/>
      <c r="I1346" s="147" t="str">
        <f>HYPERLINK("[#]Datatypes!B1558:L1558","WaterPotabilityCode")</f>
        <v>WaterPotabilityCode</v>
      </c>
      <c r="J1346" s="80"/>
      <c r="K1346" s="77"/>
      <c r="L1346" s="77"/>
      <c r="M1346" s="71" t="str">
        <f>HYPERLINK("[#]DatatypeListedValues!A7308:H7308","&lt;values&gt;")</f>
        <v>&lt;values&gt;</v>
      </c>
      <c r="N1346" s="82" t="b">
        <v>0</v>
      </c>
      <c r="O1346" s="25">
        <v>101525</v>
      </c>
      <c r="P1346" s="304" t="str">
        <f>CONCATENATE([1]Cover!$D$6,"fdd/view?i=",O1346)</f>
        <v>https://www.dgiwg.org/FAD/fdd/view?i=101525</v>
      </c>
      <c r="Q1346" s="8" t="s">
        <v>11215</v>
      </c>
      <c r="R1346" s="38" t="s">
        <v>151</v>
      </c>
    </row>
    <row r="1347" spans="1:18" ht="25.5">
      <c r="A1347" s="302" t="str">
        <f t="shared" si="37"/>
        <v>waterRaceType</v>
      </c>
      <c r="B1347" s="6" t="s">
        <v>11221</v>
      </c>
      <c r="C1347" s="17" t="s">
        <v>11222</v>
      </c>
      <c r="D1347" s="10" t="s">
        <v>11223</v>
      </c>
      <c r="E1347" s="55"/>
      <c r="F1347" s="55"/>
      <c r="G1347" s="12" t="s">
        <v>4643</v>
      </c>
      <c r="H1347" s="74"/>
      <c r="I1347" s="147" t="str">
        <f>HYPERLINK("[#]Datatypes!B1560:L1560","WaterRaceTypeCode")</f>
        <v>WaterRaceTypeCode</v>
      </c>
      <c r="J1347" s="80"/>
      <c r="K1347" s="77"/>
      <c r="L1347" s="77"/>
      <c r="M1347" s="71" t="str">
        <f>HYPERLINK("[#]DatatypeListedValues!A7312:H7312","&lt;values&gt;")</f>
        <v>&lt;values&gt;</v>
      </c>
      <c r="N1347" s="82" t="b">
        <v>0</v>
      </c>
      <c r="O1347" s="25">
        <v>117802</v>
      </c>
      <c r="P1347" s="304" t="str">
        <f>CONCATENATE([1]Cover!$D$6,"fdd/view?i=",O1347)</f>
        <v>https://www.dgiwg.org/FAD/fdd/view?i=117802</v>
      </c>
      <c r="Q1347" s="8" t="s">
        <v>11220</v>
      </c>
      <c r="R1347" s="38" t="s">
        <v>151</v>
      </c>
    </row>
    <row r="1348" spans="1:18" ht="25.5">
      <c r="A1348" s="302" t="str">
        <f t="shared" ref="A1348:A1385" si="38">HYPERLINK(P1348,B1348)</f>
        <v>waterTableDepth</v>
      </c>
      <c r="B1348" s="6" t="s">
        <v>11226</v>
      </c>
      <c r="C1348" s="17" t="s">
        <v>11227</v>
      </c>
      <c r="D1348" s="10" t="s">
        <v>11228</v>
      </c>
      <c r="E1348" s="55"/>
      <c r="F1348" s="55"/>
      <c r="G1348" s="12" t="s">
        <v>4643</v>
      </c>
      <c r="H1348" s="74"/>
      <c r="I1348" s="147" t="str">
        <f>HYPERLINK("[#]Datatypes!B1099:L1099","RealInterval")</f>
        <v>RealInterval</v>
      </c>
      <c r="J1348" s="76" t="str">
        <f>HYPERLINK("[#]PhysicalQuantities!A20:N20","Length")</f>
        <v>Length</v>
      </c>
      <c r="K1348" s="75" t="str">
        <f>HYPERLINK("[#]UnitsOfMeasure!D80:G80","Metre")</f>
        <v>Metre</v>
      </c>
      <c r="L1348" s="77"/>
      <c r="M1348" s="78"/>
      <c r="N1348" s="74"/>
      <c r="O1348" s="25">
        <v>109999</v>
      </c>
      <c r="P1348" s="304" t="str">
        <f>CONCATENATE([1]Cover!$D$6,"fdd/view?i=",O1348)</f>
        <v>https://www.dgiwg.org/FAD/fdd/view?i=109999</v>
      </c>
      <c r="Q1348" s="8" t="s">
        <v>11225</v>
      </c>
      <c r="R1348" s="38" t="s">
        <v>151</v>
      </c>
    </row>
    <row r="1349" spans="1:18" ht="38.25">
      <c r="A1349" s="302" t="str">
        <f t="shared" si="38"/>
        <v>waterTurbulenceType</v>
      </c>
      <c r="B1349" s="6" t="s">
        <v>11230</v>
      </c>
      <c r="C1349" s="17" t="s">
        <v>11231</v>
      </c>
      <c r="D1349" s="10" t="s">
        <v>11232</v>
      </c>
      <c r="E1349" s="10" t="s">
        <v>11233</v>
      </c>
      <c r="F1349" s="55"/>
      <c r="G1349" s="12" t="s">
        <v>4643</v>
      </c>
      <c r="H1349" s="74"/>
      <c r="I1349" s="147" t="str">
        <f>HYPERLINK("[#]Datatypes!B1562:L1562","WaterTurbulenceTypeCode")</f>
        <v>WaterTurbulenceTypeCode</v>
      </c>
      <c r="J1349" s="80"/>
      <c r="K1349" s="77"/>
      <c r="L1349" s="77"/>
      <c r="M1349" s="71" t="str">
        <f>HYPERLINK("[#]DatatypeListedValues!A7316:H7316","&lt;values&gt;")</f>
        <v>&lt;values&gt;</v>
      </c>
      <c r="N1349" s="82" t="b">
        <v>0</v>
      </c>
      <c r="O1349" s="25">
        <v>103059</v>
      </c>
      <c r="P1349" s="304" t="str">
        <f>CONCATENATE([1]Cover!$D$6,"fdd/view?i=",O1349)</f>
        <v>https://www.dgiwg.org/FAD/fdd/view?i=103059</v>
      </c>
      <c r="Q1349" s="8" t="s">
        <v>11229</v>
      </c>
      <c r="R1349" s="38" t="s">
        <v>151</v>
      </c>
    </row>
    <row r="1350" spans="1:18">
      <c r="A1350" s="302" t="str">
        <f t="shared" si="38"/>
        <v>waterType</v>
      </c>
      <c r="B1350" s="6" t="s">
        <v>11236</v>
      </c>
      <c r="C1350" s="17" t="s">
        <v>11237</v>
      </c>
      <c r="D1350" s="10" t="s">
        <v>11238</v>
      </c>
      <c r="E1350" s="55"/>
      <c r="F1350" s="55"/>
      <c r="G1350" s="12" t="s">
        <v>4643</v>
      </c>
      <c r="H1350" s="74"/>
      <c r="I1350" s="147" t="str">
        <f>HYPERLINK("[#]Datatypes!B1564:L1564","WaterTypeCode")</f>
        <v>WaterTypeCode</v>
      </c>
      <c r="J1350" s="80"/>
      <c r="K1350" s="77"/>
      <c r="L1350" s="77"/>
      <c r="M1350" s="71" t="str">
        <f>HYPERLINK("[#]DatatypeListedValues!A7325:H7325","&lt;values&gt;")</f>
        <v>&lt;values&gt;</v>
      </c>
      <c r="N1350" s="82" t="b">
        <v>0</v>
      </c>
      <c r="O1350" s="25">
        <v>101268</v>
      </c>
      <c r="P1350" s="304" t="str">
        <f>CONCATENATE([1]Cover!$D$6,"fdd/view?i=",O1350)</f>
        <v>https://www.dgiwg.org/FAD/fdd/view?i=101268</v>
      </c>
      <c r="Q1350" s="8" t="s">
        <v>11235</v>
      </c>
      <c r="R1350" s="38" t="s">
        <v>151</v>
      </c>
    </row>
    <row r="1351" spans="1:18" ht="25.5">
      <c r="A1351" s="302" t="str">
        <f t="shared" si="38"/>
        <v>waterUse</v>
      </c>
      <c r="B1351" s="6" t="s">
        <v>11241</v>
      </c>
      <c r="C1351" s="17" t="s">
        <v>11242</v>
      </c>
      <c r="D1351" s="10" t="s">
        <v>11243</v>
      </c>
      <c r="E1351" s="10" t="s">
        <v>11244</v>
      </c>
      <c r="F1351" s="55"/>
      <c r="G1351" s="12" t="s">
        <v>4643</v>
      </c>
      <c r="H1351" s="12" t="s">
        <v>4700</v>
      </c>
      <c r="I1351" s="147" t="str">
        <f>HYPERLINK("[#]Datatypes!B1566:L1566","WaterUseCode")</f>
        <v>WaterUseCode</v>
      </c>
      <c r="J1351" s="80"/>
      <c r="K1351" s="77"/>
      <c r="L1351" s="77"/>
      <c r="M1351" s="71" t="str">
        <f>HYPERLINK("[#]DatatypeListedValues!A7332:H7332","&lt;values&gt;")</f>
        <v>&lt;values&gt;</v>
      </c>
      <c r="N1351" s="82" t="b">
        <v>0</v>
      </c>
      <c r="O1351" s="25">
        <v>119412</v>
      </c>
      <c r="P1351" s="304" t="str">
        <f>CONCATENATE([1]Cover!$D$6,"fdd/view?i=",O1351)</f>
        <v>https://www.dgiwg.org/FAD/fdd/view?i=119412</v>
      </c>
      <c r="Q1351" s="8" t="s">
        <v>11240</v>
      </c>
      <c r="R1351" s="38" t="s">
        <v>151</v>
      </c>
    </row>
    <row r="1352" spans="1:18" ht="114.75">
      <c r="A1352" s="302" t="str">
        <f t="shared" si="38"/>
        <v>waterWellConstructionDesc</v>
      </c>
      <c r="B1352" s="6" t="s">
        <v>11247</v>
      </c>
      <c r="C1352" s="17" t="s">
        <v>11248</v>
      </c>
      <c r="D1352" s="10" t="s">
        <v>11249</v>
      </c>
      <c r="E1352" s="10" t="s">
        <v>11250</v>
      </c>
      <c r="F1352" s="55"/>
      <c r="G1352" s="12" t="s">
        <v>4643</v>
      </c>
      <c r="H1352" s="74"/>
      <c r="I1352" s="147" t="str">
        <f>HYPERLINK("[#]Datatypes!B1416:L1416","TextLexUnconstrained")</f>
        <v>TextLexUnconstrained</v>
      </c>
      <c r="J1352" s="80"/>
      <c r="K1352" s="77"/>
      <c r="L1352" s="77"/>
      <c r="M1352" s="78"/>
      <c r="N1352" s="74"/>
      <c r="O1352" s="25">
        <v>119411</v>
      </c>
      <c r="P1352" s="304" t="str">
        <f>CONCATENATE([1]Cover!$D$6,"fdd/view?i=",O1352)</f>
        <v>https://www.dgiwg.org/FAD/fdd/view?i=119411</v>
      </c>
      <c r="Q1352" s="8" t="s">
        <v>11246</v>
      </c>
      <c r="R1352" s="38" t="s">
        <v>151</v>
      </c>
    </row>
    <row r="1353" spans="1:18">
      <c r="A1353" s="302" t="str">
        <f t="shared" si="38"/>
        <v>waterbodyBankHeight</v>
      </c>
      <c r="B1353" s="6" t="s">
        <v>11252</v>
      </c>
      <c r="C1353" s="17" t="s">
        <v>11253</v>
      </c>
      <c r="D1353" s="10" t="s">
        <v>11254</v>
      </c>
      <c r="E1353" s="55"/>
      <c r="F1353" s="55"/>
      <c r="G1353" s="12" t="s">
        <v>4643</v>
      </c>
      <c r="H1353" s="74"/>
      <c r="I1353" s="147" t="str">
        <f>HYPERLINK("[#]Datatypes!B1099:L1099","RealInterval")</f>
        <v>RealInterval</v>
      </c>
      <c r="J1353" s="76" t="str">
        <f>HYPERLINK("[#]PhysicalQuantities!A20:N20","Length")</f>
        <v>Length</v>
      </c>
      <c r="K1353" s="75" t="str">
        <f>HYPERLINK("[#]UnitsOfMeasure!D80:G80","Metre")</f>
        <v>Metre</v>
      </c>
      <c r="L1353" s="77"/>
      <c r="M1353" s="78"/>
      <c r="N1353" s="74"/>
      <c r="O1353" s="25">
        <v>114354</v>
      </c>
      <c r="P1353" s="304" t="str">
        <f>CONCATENATE([1]Cover!$D$6,"fdd/view?i=",O1353)</f>
        <v>https://www.dgiwg.org/FAD/fdd/view?i=114354</v>
      </c>
      <c r="Q1353" s="8" t="s">
        <v>11251</v>
      </c>
      <c r="R1353" s="38" t="s">
        <v>151</v>
      </c>
    </row>
    <row r="1354" spans="1:18" ht="25.5">
      <c r="A1354" s="302" t="str">
        <f t="shared" si="38"/>
        <v>waterbodyBankVegCover</v>
      </c>
      <c r="B1354" s="6" t="s">
        <v>11256</v>
      </c>
      <c r="C1354" s="17" t="s">
        <v>11257</v>
      </c>
      <c r="D1354" s="10" t="s">
        <v>11258</v>
      </c>
      <c r="E1354" s="55"/>
      <c r="F1354" s="55"/>
      <c r="G1354" s="12" t="s">
        <v>4643</v>
      </c>
      <c r="H1354" s="74"/>
      <c r="I1354" s="147" t="str">
        <f>HYPERLINK("[#]Datatypes!B1110:L1110","RealNonNegInterval100")</f>
        <v>RealNonNegInterval100</v>
      </c>
      <c r="J1354" s="76" t="str">
        <f>HYPERLINK("[#]PhysicalQuantities!A39:N39","Pure Number")</f>
        <v>Pure Number</v>
      </c>
      <c r="K1354" s="75" t="str">
        <f>HYPERLINK("[#]UnitsOfMeasure!D215:G215","Percent")</f>
        <v>Percent</v>
      </c>
      <c r="L1354" s="77"/>
      <c r="M1354" s="78"/>
      <c r="N1354" s="74"/>
      <c r="O1354" s="25">
        <v>114355</v>
      </c>
      <c r="P1354" s="304" t="str">
        <f>CONCATENATE([1]Cover!$D$6,"fdd/view?i=",O1354)</f>
        <v>https://www.dgiwg.org/FAD/fdd/view?i=114355</v>
      </c>
      <c r="Q1354" s="8" t="s">
        <v>11255</v>
      </c>
      <c r="R1354" s="38" t="s">
        <v>151</v>
      </c>
    </row>
    <row r="1355" spans="1:18" ht="25.5">
      <c r="A1355" s="302" t="str">
        <f t="shared" si="38"/>
        <v>waterbodyBottomCharacter</v>
      </c>
      <c r="B1355" s="6" t="s">
        <v>11260</v>
      </c>
      <c r="C1355" s="17" t="s">
        <v>11261</v>
      </c>
      <c r="D1355" s="10" t="s">
        <v>11262</v>
      </c>
      <c r="E1355" s="55"/>
      <c r="F1355" s="55"/>
      <c r="G1355" s="12" t="s">
        <v>4643</v>
      </c>
      <c r="H1355" s="74"/>
      <c r="I1355" s="147" t="str">
        <f>HYPERLINK("[#]Datatypes!B1568:L1568","WaterbodyBottomCharacterCode")</f>
        <v>WaterbodyBottomCharacterCode</v>
      </c>
      <c r="J1355" s="80"/>
      <c r="K1355" s="77"/>
      <c r="L1355" s="77"/>
      <c r="M1355" s="71" t="str">
        <f>HYPERLINK("[#]DatatypeListedValues!A7342:H7342","&lt;values&gt;")</f>
        <v>&lt;values&gt;</v>
      </c>
      <c r="N1355" s="82" t="b">
        <v>0</v>
      </c>
      <c r="O1355" s="25">
        <v>200232</v>
      </c>
      <c r="P1355" s="304" t="str">
        <f>CONCATENATE([1]Cover!$D$6,"fdd/view?i=",O1355)</f>
        <v>https://www.dgiwg.org/FAD/fdd/view?i=200232</v>
      </c>
      <c r="Q1355" s="8" t="s">
        <v>11259</v>
      </c>
      <c r="R1355" s="38" t="s">
        <v>1295</v>
      </c>
    </row>
    <row r="1356" spans="1:18" ht="25.5">
      <c r="A1356" s="302" t="str">
        <f t="shared" si="38"/>
        <v>waterbodyBottomMorphDesc</v>
      </c>
      <c r="B1356" s="6" t="s">
        <v>11265</v>
      </c>
      <c r="C1356" s="17" t="s">
        <v>11266</v>
      </c>
      <c r="D1356" s="10" t="s">
        <v>11267</v>
      </c>
      <c r="E1356" s="55"/>
      <c r="F1356" s="55"/>
      <c r="G1356" s="12" t="s">
        <v>4643</v>
      </c>
      <c r="H1356" s="74"/>
      <c r="I1356" s="147" t="str">
        <f>HYPERLINK("[#]Datatypes!B1430:L1430","TextNonLex255")</f>
        <v>TextNonLex255</v>
      </c>
      <c r="J1356" s="80"/>
      <c r="K1356" s="77"/>
      <c r="L1356" s="77"/>
      <c r="M1356" s="78"/>
      <c r="N1356" s="74"/>
      <c r="O1356" s="25">
        <v>200231</v>
      </c>
      <c r="P1356" s="304" t="str">
        <f>CONCATENATE([1]Cover!$D$6,"fdd/view?i=",O1356)</f>
        <v>https://www.dgiwg.org/FAD/fdd/view?i=200231</v>
      </c>
      <c r="Q1356" s="8" t="s">
        <v>11264</v>
      </c>
      <c r="R1356" s="38" t="s">
        <v>1295</v>
      </c>
    </row>
    <row r="1357" spans="1:18" ht="25.5">
      <c r="A1357" s="302" t="str">
        <f t="shared" si="38"/>
        <v>waterbodyDepth</v>
      </c>
      <c r="B1357" s="6" t="s">
        <v>11269</v>
      </c>
      <c r="C1357" s="17" t="s">
        <v>11270</v>
      </c>
      <c r="D1357" s="10" t="s">
        <v>11271</v>
      </c>
      <c r="E1357" s="55"/>
      <c r="F1357" s="55"/>
      <c r="G1357" s="12" t="s">
        <v>4643</v>
      </c>
      <c r="H1357" s="74"/>
      <c r="I1357" s="147" t="str">
        <f>HYPERLINK("[#]Datatypes!B1097:L1097","Real")</f>
        <v>Real</v>
      </c>
      <c r="J1357" s="76" t="str">
        <f>HYPERLINK("[#]PhysicalQuantities!A20:N20","Length")</f>
        <v>Length</v>
      </c>
      <c r="K1357" s="75" t="str">
        <f>HYPERLINK("[#]UnitsOfMeasure!D80:G80","Metre")</f>
        <v>Metre</v>
      </c>
      <c r="L1357" s="77"/>
      <c r="M1357" s="78"/>
      <c r="N1357" s="74"/>
      <c r="O1357" s="25">
        <v>114353</v>
      </c>
      <c r="P1357" s="304" t="str">
        <f>CONCATENATE([1]Cover!$D$6,"fdd/view?i=",O1357)</f>
        <v>https://www.dgiwg.org/FAD/fdd/view?i=114353</v>
      </c>
      <c r="Q1357" s="8" t="s">
        <v>11268</v>
      </c>
      <c r="R1357" s="38" t="s">
        <v>151</v>
      </c>
    </row>
    <row r="1358" spans="1:18" ht="38.25">
      <c r="A1358" s="302" t="str">
        <f t="shared" si="38"/>
        <v>waterbodyMorphology</v>
      </c>
      <c r="B1358" s="6" t="s">
        <v>11273</v>
      </c>
      <c r="C1358" s="17" t="s">
        <v>11274</v>
      </c>
      <c r="D1358" s="10" t="s">
        <v>11275</v>
      </c>
      <c r="E1358" s="10" t="s">
        <v>11276</v>
      </c>
      <c r="F1358" s="55"/>
      <c r="G1358" s="12" t="s">
        <v>4643</v>
      </c>
      <c r="H1358" s="74"/>
      <c r="I1358" s="147" t="str">
        <f>HYPERLINK("[#]Datatypes!B1570:L1570","WaterbodyMorphologyCode")</f>
        <v>WaterbodyMorphologyCode</v>
      </c>
      <c r="J1358" s="80"/>
      <c r="K1358" s="77"/>
      <c r="L1358" s="77"/>
      <c r="M1358" s="71" t="str">
        <f>HYPERLINK("[#]DatatypeListedValues!A7353:H7353","&lt;values&gt;")</f>
        <v>&lt;values&gt;</v>
      </c>
      <c r="N1358" s="82" t="b">
        <v>0</v>
      </c>
      <c r="O1358" s="25">
        <v>101281</v>
      </c>
      <c r="P1358" s="304" t="str">
        <f>CONCATENATE([1]Cover!$D$6,"fdd/view?i=",O1358)</f>
        <v>https://www.dgiwg.org/FAD/fdd/view?i=101281</v>
      </c>
      <c r="Q1358" s="8" t="s">
        <v>11272</v>
      </c>
      <c r="R1358" s="38" t="s">
        <v>151</v>
      </c>
    </row>
    <row r="1359" spans="1:18" ht="25.5">
      <c r="A1359" s="302" t="str">
        <f t="shared" si="38"/>
        <v>waterbodyOverheadObstruct</v>
      </c>
      <c r="B1359" s="6" t="s">
        <v>11279</v>
      </c>
      <c r="C1359" s="17" t="s">
        <v>11280</v>
      </c>
      <c r="D1359" s="10" t="s">
        <v>11281</v>
      </c>
      <c r="E1359" s="55"/>
      <c r="F1359" s="55"/>
      <c r="G1359" s="12" t="s">
        <v>4643</v>
      </c>
      <c r="H1359" s="74"/>
      <c r="I1359" s="147" t="str">
        <f>HYPERLINK("[#]Datatypes!B230:L230","Boolean")</f>
        <v>Boolean</v>
      </c>
      <c r="J1359" s="80"/>
      <c r="K1359" s="77"/>
      <c r="L1359" s="77"/>
      <c r="M1359" s="78"/>
      <c r="N1359" s="74"/>
      <c r="O1359" s="25">
        <v>101139</v>
      </c>
      <c r="P1359" s="304" t="str">
        <f>CONCATENATE([1]Cover!$D$6,"fdd/view?i=",O1359)</f>
        <v>https://www.dgiwg.org/FAD/fdd/view?i=101139</v>
      </c>
      <c r="Q1359" s="8" t="s">
        <v>11278</v>
      </c>
      <c r="R1359" s="38" t="s">
        <v>151</v>
      </c>
    </row>
    <row r="1360" spans="1:18" ht="25.5">
      <c r="A1360" s="302" t="str">
        <f t="shared" si="38"/>
        <v>watercourseChannelType</v>
      </c>
      <c r="B1360" s="6" t="s">
        <v>11283</v>
      </c>
      <c r="C1360" s="17" t="s">
        <v>11284</v>
      </c>
      <c r="D1360" s="10" t="s">
        <v>11285</v>
      </c>
      <c r="E1360" s="55"/>
      <c r="F1360" s="55"/>
      <c r="G1360" s="12" t="s">
        <v>4643</v>
      </c>
      <c r="H1360" s="74"/>
      <c r="I1360" s="147" t="str">
        <f>HYPERLINK("[#]Datatypes!B1572:L1572","WatercourseChannelTypeCode")</f>
        <v>WatercourseChannelTypeCode</v>
      </c>
      <c r="J1360" s="80"/>
      <c r="K1360" s="77"/>
      <c r="L1360" s="77"/>
      <c r="M1360" s="71" t="str">
        <f>HYPERLINK("[#]DatatypeListedValues!A7457:H7457","&lt;values&gt;")</f>
        <v>&lt;values&gt;</v>
      </c>
      <c r="N1360" s="82" t="b">
        <v>0</v>
      </c>
      <c r="O1360" s="25">
        <v>101469</v>
      </c>
      <c r="P1360" s="304" t="str">
        <f>CONCATENATE([1]Cover!$D$6,"fdd/view?i=",O1360)</f>
        <v>https://www.dgiwg.org/FAD/fdd/view?i=101469</v>
      </c>
      <c r="Q1360" s="8" t="s">
        <v>11282</v>
      </c>
      <c r="R1360" s="38" t="s">
        <v>151</v>
      </c>
    </row>
    <row r="1361" spans="1:18">
      <c r="A1361" s="302" t="str">
        <f t="shared" si="38"/>
        <v>watercourseMorphology</v>
      </c>
      <c r="B1361" s="6" t="s">
        <v>11288</v>
      </c>
      <c r="C1361" s="17" t="s">
        <v>11289</v>
      </c>
      <c r="D1361" s="10" t="s">
        <v>11290</v>
      </c>
      <c r="E1361" s="55"/>
      <c r="F1361" s="55"/>
      <c r="G1361" s="12" t="s">
        <v>4643</v>
      </c>
      <c r="H1361" s="74"/>
      <c r="I1361" s="147" t="str">
        <f>HYPERLINK("[#]Datatypes!B1574:L1574","WatercourseMorphologyCode")</f>
        <v>WatercourseMorphologyCode</v>
      </c>
      <c r="J1361" s="80"/>
      <c r="K1361" s="77"/>
      <c r="L1361" s="77"/>
      <c r="M1361" s="71" t="str">
        <f>HYPERLINK("[#]DatatypeListedValues!A7462:H7462","&lt;values&gt;")</f>
        <v>&lt;values&gt;</v>
      </c>
      <c r="N1361" s="82" t="b">
        <v>0</v>
      </c>
      <c r="O1361" s="25">
        <v>111762</v>
      </c>
      <c r="P1361" s="304" t="str">
        <f>CONCATENATE([1]Cover!$D$6,"fdd/view?i=",O1361)</f>
        <v>https://www.dgiwg.org/FAD/fdd/view?i=111762</v>
      </c>
      <c r="Q1361" s="8" t="s">
        <v>11287</v>
      </c>
      <c r="R1361" s="38" t="s">
        <v>151</v>
      </c>
    </row>
    <row r="1362" spans="1:18">
      <c r="A1362" s="302" t="str">
        <f t="shared" si="38"/>
        <v>watercourseSinkType</v>
      </c>
      <c r="B1362" s="6" t="s">
        <v>11293</v>
      </c>
      <c r="C1362" s="17" t="s">
        <v>11294</v>
      </c>
      <c r="D1362" s="10" t="s">
        <v>11295</v>
      </c>
      <c r="E1362" s="55"/>
      <c r="F1362" s="55"/>
      <c r="G1362" s="12" t="s">
        <v>4643</v>
      </c>
      <c r="H1362" s="74"/>
      <c r="I1362" s="147" t="str">
        <f>HYPERLINK("[#]Datatypes!B1576:L1576","WatercourseSinkTypeCode")</f>
        <v>WatercourseSinkTypeCode</v>
      </c>
      <c r="J1362" s="80"/>
      <c r="K1362" s="77"/>
      <c r="L1362" s="77"/>
      <c r="M1362" s="71" t="str">
        <f>HYPERLINK("[#]DatatypeListedValues!A7476:H7476","&lt;values&gt;")</f>
        <v>&lt;values&gt;</v>
      </c>
      <c r="N1362" s="82" t="b">
        <v>0</v>
      </c>
      <c r="O1362" s="25">
        <v>101507</v>
      </c>
      <c r="P1362" s="304" t="str">
        <f>CONCATENATE([1]Cover!$D$6,"fdd/view?i=",O1362)</f>
        <v>https://www.dgiwg.org/FAD/fdd/view?i=101507</v>
      </c>
      <c r="Q1362" s="8" t="s">
        <v>11292</v>
      </c>
      <c r="R1362" s="38" t="s">
        <v>151</v>
      </c>
    </row>
    <row r="1363" spans="1:18" ht="38.25">
      <c r="A1363" s="302" t="str">
        <f t="shared" si="38"/>
        <v>wayPointClass</v>
      </c>
      <c r="B1363" s="6" t="s">
        <v>11298</v>
      </c>
      <c r="C1363" s="17" t="s">
        <v>11299</v>
      </c>
      <c r="D1363" s="10" t="s">
        <v>11300</v>
      </c>
      <c r="E1363" s="10" t="s">
        <v>11301</v>
      </c>
      <c r="F1363" s="55"/>
      <c r="G1363" s="12" t="s">
        <v>4643</v>
      </c>
      <c r="H1363" s="74"/>
      <c r="I1363" s="147" t="str">
        <f>HYPERLINK("[#]Datatypes!B1578:L1578","WayPointClassCode")</f>
        <v>WayPointClassCode</v>
      </c>
      <c r="J1363" s="80"/>
      <c r="K1363" s="77"/>
      <c r="L1363" s="77"/>
      <c r="M1363" s="71" t="str">
        <f>HYPERLINK("[#]DatatypeListedValues!A7480:H7480","&lt;values&gt;")</f>
        <v>&lt;values&gt;</v>
      </c>
      <c r="N1363" s="82" t="b">
        <v>0</v>
      </c>
      <c r="O1363" s="25">
        <v>119651</v>
      </c>
      <c r="P1363" s="304" t="str">
        <f>CONCATENATE([1]Cover!$D$6,"fdd/view?i=",O1363)</f>
        <v>https://www.dgiwg.org/FAD/fdd/view?i=119651</v>
      </c>
      <c r="Q1363" s="8" t="s">
        <v>11297</v>
      </c>
      <c r="R1363" s="38" t="s">
        <v>151</v>
      </c>
    </row>
    <row r="1364" spans="1:18" ht="25.5">
      <c r="A1364" s="302" t="str">
        <f t="shared" si="38"/>
        <v>wayPointType</v>
      </c>
      <c r="B1364" s="6" t="s">
        <v>11303</v>
      </c>
      <c r="C1364" s="17" t="s">
        <v>11304</v>
      </c>
      <c r="D1364" s="10" t="s">
        <v>11305</v>
      </c>
      <c r="E1364" s="55"/>
      <c r="F1364" s="55"/>
      <c r="G1364" s="12" t="s">
        <v>4643</v>
      </c>
      <c r="H1364" s="74"/>
      <c r="I1364" s="147" t="str">
        <f>HYPERLINK("[#]Datatypes!B1580:L1580","WayPointTypeCode")</f>
        <v>WayPointTypeCode</v>
      </c>
      <c r="J1364" s="80"/>
      <c r="K1364" s="77"/>
      <c r="L1364" s="77"/>
      <c r="M1364" s="71" t="str">
        <f>HYPERLINK("[#]DatatypeListedValues!A7482:H7482","&lt;values&gt;")</f>
        <v>&lt;values&gt;</v>
      </c>
      <c r="N1364" s="82" t="b">
        <v>0</v>
      </c>
      <c r="O1364" s="25">
        <v>117746</v>
      </c>
      <c r="P1364" s="304" t="str">
        <f>CONCATENATE([1]Cover!$D$6,"fdd/view?i=",O1364)</f>
        <v>https://www.dgiwg.org/FAD/fdd/view?i=117746</v>
      </c>
      <c r="Q1364" s="8" t="s">
        <v>4583</v>
      </c>
      <c r="R1364" s="38" t="s">
        <v>151</v>
      </c>
    </row>
    <row r="1365" spans="1:18" ht="25.5">
      <c r="A1365" s="302" t="str">
        <f t="shared" si="38"/>
        <v>wayPointUsage</v>
      </c>
      <c r="B1365" s="6" t="s">
        <v>11308</v>
      </c>
      <c r="C1365" s="17" t="s">
        <v>11309</v>
      </c>
      <c r="D1365" s="10" t="s">
        <v>11310</v>
      </c>
      <c r="E1365" s="10" t="s">
        <v>11311</v>
      </c>
      <c r="F1365" s="55"/>
      <c r="G1365" s="12" t="s">
        <v>4643</v>
      </c>
      <c r="H1365" s="74"/>
      <c r="I1365" s="147" t="str">
        <f>HYPERLINK("[#]Datatypes!B1582:L1582","WayPointUsageCode")</f>
        <v>WayPointUsageCode</v>
      </c>
      <c r="J1365" s="80"/>
      <c r="K1365" s="77"/>
      <c r="L1365" s="77"/>
      <c r="M1365" s="71" t="str">
        <f>HYPERLINK("[#]DatatypeListedValues!A7484:H7484","&lt;values&gt;")</f>
        <v>&lt;values&gt;</v>
      </c>
      <c r="N1365" s="82" t="b">
        <v>0</v>
      </c>
      <c r="O1365" s="25">
        <v>119652</v>
      </c>
      <c r="P1365" s="304" t="str">
        <f>CONCATENATE([1]Cover!$D$6,"fdd/view?i=",O1365)</f>
        <v>https://www.dgiwg.org/FAD/fdd/view?i=119652</v>
      </c>
      <c r="Q1365" s="8" t="s">
        <v>11307</v>
      </c>
      <c r="R1365" s="38" t="s">
        <v>151</v>
      </c>
    </row>
    <row r="1366" spans="1:18">
      <c r="A1366" s="302" t="str">
        <f t="shared" si="38"/>
        <v>weaponsRangeType</v>
      </c>
      <c r="B1366" s="6" t="s">
        <v>11314</v>
      </c>
      <c r="C1366" s="17" t="s">
        <v>11315</v>
      </c>
      <c r="D1366" s="10" t="s">
        <v>11316</v>
      </c>
      <c r="E1366" s="55"/>
      <c r="F1366" s="55"/>
      <c r="G1366" s="12" t="s">
        <v>4643</v>
      </c>
      <c r="H1366" s="12" t="s">
        <v>4700</v>
      </c>
      <c r="I1366" s="147" t="str">
        <f>HYPERLINK("[#]Datatypes!B1584:L1584","WeaponsRangeTypeCode")</f>
        <v>WeaponsRangeTypeCode</v>
      </c>
      <c r="J1366" s="80"/>
      <c r="K1366" s="77"/>
      <c r="L1366" s="77"/>
      <c r="M1366" s="71" t="str">
        <f>HYPERLINK("[#]DatatypeListedValues!A7488:H7488","&lt;values&gt;")</f>
        <v>&lt;values&gt;</v>
      </c>
      <c r="N1366" s="82" t="b">
        <v>0</v>
      </c>
      <c r="O1366" s="25">
        <v>100899</v>
      </c>
      <c r="P1366" s="304" t="str">
        <f>CONCATENATE([1]Cover!$D$6,"fdd/view?i=",O1366)</f>
        <v>https://www.dgiwg.org/FAD/fdd/view?i=100899</v>
      </c>
      <c r="Q1366" s="8" t="s">
        <v>11313</v>
      </c>
      <c r="R1366" s="38" t="s">
        <v>151</v>
      </c>
    </row>
    <row r="1367" spans="1:18">
      <c r="A1367" s="302" t="str">
        <f t="shared" si="38"/>
        <v>wellEquipment</v>
      </c>
      <c r="B1367" s="6" t="s">
        <v>11319</v>
      </c>
      <c r="C1367" s="17" t="s">
        <v>11320</v>
      </c>
      <c r="D1367" s="10" t="s">
        <v>11321</v>
      </c>
      <c r="E1367" s="10" t="s">
        <v>11322</v>
      </c>
      <c r="F1367" s="55"/>
      <c r="G1367" s="12" t="s">
        <v>4643</v>
      </c>
      <c r="H1367" s="12" t="s">
        <v>4700</v>
      </c>
      <c r="I1367" s="147" t="str">
        <f>HYPERLINK("[#]Datatypes!B1586:L1586","WellEquipmentCode")</f>
        <v>WellEquipmentCode</v>
      </c>
      <c r="J1367" s="80"/>
      <c r="K1367" s="77"/>
      <c r="L1367" s="77"/>
      <c r="M1367" s="71" t="str">
        <f>HYPERLINK("[#]DatatypeListedValues!A7494:H7494","&lt;values&gt;")</f>
        <v>&lt;values&gt;</v>
      </c>
      <c r="N1367" s="82" t="b">
        <v>0</v>
      </c>
      <c r="O1367" s="25">
        <v>111755</v>
      </c>
      <c r="P1367" s="304" t="str">
        <f>CONCATENATE([1]Cover!$D$6,"fdd/view?i=",O1367)</f>
        <v>https://www.dgiwg.org/FAD/fdd/view?i=111755</v>
      </c>
      <c r="Q1367" s="8" t="s">
        <v>11318</v>
      </c>
      <c r="R1367" s="38" t="s">
        <v>151</v>
      </c>
    </row>
    <row r="1368" spans="1:18">
      <c r="A1368" s="302" t="str">
        <f t="shared" si="38"/>
        <v>wellType</v>
      </c>
      <c r="B1368" s="6" t="s">
        <v>11325</v>
      </c>
      <c r="C1368" s="17" t="s">
        <v>11326</v>
      </c>
      <c r="D1368" s="10" t="s">
        <v>11327</v>
      </c>
      <c r="E1368" s="55"/>
      <c r="F1368" s="55"/>
      <c r="G1368" s="12" t="s">
        <v>4643</v>
      </c>
      <c r="H1368" s="74"/>
      <c r="I1368" s="147" t="str">
        <f>HYPERLINK("[#]Datatypes!B1588:L1588","WellTypeCode")</f>
        <v>WellTypeCode</v>
      </c>
      <c r="J1368" s="80"/>
      <c r="K1368" s="77"/>
      <c r="L1368" s="77"/>
      <c r="M1368" s="71" t="str">
        <f>HYPERLINK("[#]DatatypeListedValues!A7504:H7504","&lt;values&gt;")</f>
        <v>&lt;values&gt;</v>
      </c>
      <c r="N1368" s="82" t="b">
        <v>0</v>
      </c>
      <c r="O1368" s="25">
        <v>101488</v>
      </c>
      <c r="P1368" s="304" t="str">
        <f>CONCATENATE([1]Cover!$D$6,"fdd/view?i=",O1368)</f>
        <v>https://www.dgiwg.org/FAD/fdd/view?i=101488</v>
      </c>
      <c r="Q1368" s="8" t="s">
        <v>11324</v>
      </c>
      <c r="R1368" s="38" t="s">
        <v>151</v>
      </c>
    </row>
    <row r="1369" spans="1:18" ht="25.5">
      <c r="A1369" s="302" t="str">
        <f t="shared" si="38"/>
        <v>wellUseType</v>
      </c>
      <c r="B1369" s="6" t="s">
        <v>11330</v>
      </c>
      <c r="C1369" s="17" t="s">
        <v>11331</v>
      </c>
      <c r="D1369" s="10" t="s">
        <v>11332</v>
      </c>
      <c r="E1369" s="55"/>
      <c r="F1369" s="55"/>
      <c r="G1369" s="12" t="s">
        <v>4643</v>
      </c>
      <c r="H1369" s="74"/>
      <c r="I1369" s="147" t="str">
        <f>HYPERLINK("[#]Datatypes!B1590:L1590","WellUseTypeCode")</f>
        <v>WellUseTypeCode</v>
      </c>
      <c r="J1369" s="80"/>
      <c r="K1369" s="77"/>
      <c r="L1369" s="77"/>
      <c r="M1369" s="71" t="str">
        <f>HYPERLINK("[#]DatatypeListedValues!A7509:H7509","&lt;values&gt;")</f>
        <v>&lt;values&gt;</v>
      </c>
      <c r="N1369" s="82" t="b">
        <v>0</v>
      </c>
      <c r="O1369" s="25">
        <v>206042</v>
      </c>
      <c r="P1369" s="304" t="str">
        <f>CONCATENATE([1]Cover!$D$6,"fdd/view?i=",O1369)</f>
        <v>https://www.dgiwg.org/FAD/fdd/view?i=206042</v>
      </c>
      <c r="Q1369" s="8" t="s">
        <v>11329</v>
      </c>
      <c r="R1369" s="38" t="s">
        <v>1295</v>
      </c>
    </row>
    <row r="1370" spans="1:18" ht="76.5">
      <c r="A1370" s="302" t="str">
        <f t="shared" si="38"/>
        <v>wellboreInjectionMaterial</v>
      </c>
      <c r="B1370" s="6" t="s">
        <v>11335</v>
      </c>
      <c r="C1370" s="17" t="s">
        <v>11336</v>
      </c>
      <c r="D1370" s="10" t="s">
        <v>11337</v>
      </c>
      <c r="E1370" s="10" t="s">
        <v>11338</v>
      </c>
      <c r="F1370" s="55"/>
      <c r="G1370" s="12" t="s">
        <v>4643</v>
      </c>
      <c r="H1370" s="12" t="s">
        <v>4700</v>
      </c>
      <c r="I1370" s="147" t="str">
        <f>HYPERLINK("[#]Datatypes!B1592:L1592","WellboreInjectionMaterialCode")</f>
        <v>WellboreInjectionMaterialCode</v>
      </c>
      <c r="J1370" s="80"/>
      <c r="K1370" s="77"/>
      <c r="L1370" s="77"/>
      <c r="M1370" s="71" t="str">
        <f>HYPERLINK("[#]DatatypeListedValues!A7511:H7511","&lt;values&gt;")</f>
        <v>&lt;values&gt;</v>
      </c>
      <c r="N1370" s="82" t="b">
        <v>0</v>
      </c>
      <c r="O1370" s="25">
        <v>119216</v>
      </c>
      <c r="P1370" s="304" t="str">
        <f>CONCATENATE([1]Cover!$D$6,"fdd/view?i=",O1370)</f>
        <v>https://www.dgiwg.org/FAD/fdd/view?i=119216</v>
      </c>
      <c r="Q1370" s="8" t="s">
        <v>11334</v>
      </c>
      <c r="R1370" s="38" t="s">
        <v>151</v>
      </c>
    </row>
    <row r="1371" spans="1:18">
      <c r="A1371" s="302" t="str">
        <f t="shared" si="38"/>
        <v>wellboreStatus</v>
      </c>
      <c r="B1371" s="6" t="s">
        <v>11341</v>
      </c>
      <c r="C1371" s="17" t="s">
        <v>11342</v>
      </c>
      <c r="D1371" s="10" t="s">
        <v>11343</v>
      </c>
      <c r="E1371" s="10" t="s">
        <v>11344</v>
      </c>
      <c r="F1371" s="55"/>
      <c r="G1371" s="12" t="s">
        <v>4643</v>
      </c>
      <c r="H1371" s="12" t="s">
        <v>4700</v>
      </c>
      <c r="I1371" s="147" t="str">
        <f>HYPERLINK("[#]Datatypes!B1594:L1594","WellboreStatusCode")</f>
        <v>WellboreStatusCode</v>
      </c>
      <c r="J1371" s="80"/>
      <c r="K1371" s="77"/>
      <c r="L1371" s="77"/>
      <c r="M1371" s="71" t="str">
        <f>HYPERLINK("[#]DatatypeListedValues!A7525:H7525","&lt;values&gt;")</f>
        <v>&lt;values&gt;</v>
      </c>
      <c r="N1371" s="82" t="b">
        <v>0</v>
      </c>
      <c r="O1371" s="25">
        <v>119215</v>
      </c>
      <c r="P1371" s="304" t="str">
        <f>CONCATENATE([1]Cover!$D$6,"fdd/view?i=",O1371)</f>
        <v>https://www.dgiwg.org/FAD/fdd/view?i=119215</v>
      </c>
      <c r="Q1371" s="8" t="s">
        <v>11340</v>
      </c>
      <c r="R1371" s="38" t="s">
        <v>151</v>
      </c>
    </row>
    <row r="1372" spans="1:18">
      <c r="A1372" s="302" t="str">
        <f t="shared" si="38"/>
        <v>westBoundLongitude</v>
      </c>
      <c r="B1372" s="6" t="s">
        <v>11347</v>
      </c>
      <c r="C1372" s="17" t="s">
        <v>11348</v>
      </c>
      <c r="D1372" s="10" t="s">
        <v>11349</v>
      </c>
      <c r="E1372" s="55"/>
      <c r="F1372" s="55"/>
      <c r="G1372" s="12" t="s">
        <v>4643</v>
      </c>
      <c r="H1372" s="74"/>
      <c r="I1372" s="147" t="str">
        <f>HYPERLINK("[#]Datatypes!B1097:L1097","Real")</f>
        <v>Real</v>
      </c>
      <c r="J1372" s="76" t="str">
        <f>HYPERLINK("[#]PhysicalQuantities!A34:N34","Plane Angle")</f>
        <v>Plane Angle</v>
      </c>
      <c r="K1372" s="75" t="str">
        <f>HYPERLINK("[#]UnitsOfMeasure!D159:G159","Arc Degree")</f>
        <v>Arc Degree</v>
      </c>
      <c r="L1372" s="77"/>
      <c r="M1372" s="78"/>
      <c r="N1372" s="74"/>
      <c r="O1372" s="25">
        <v>207200</v>
      </c>
      <c r="P1372" s="304" t="str">
        <f>CONCATENATE([1]Cover!$D$6,"fdd/view?i=",O1372)</f>
        <v>https://www.dgiwg.org/FAD/fdd/view?i=207200</v>
      </c>
      <c r="Q1372" s="8" t="s">
        <v>11346</v>
      </c>
      <c r="R1372" s="38" t="s">
        <v>1295</v>
      </c>
    </row>
    <row r="1373" spans="1:18" ht="25.5">
      <c r="A1373" s="302" t="str">
        <f t="shared" si="38"/>
        <v>wetlandType</v>
      </c>
      <c r="B1373" s="6" t="s">
        <v>11351</v>
      </c>
      <c r="C1373" s="17" t="s">
        <v>11352</v>
      </c>
      <c r="D1373" s="10" t="s">
        <v>11353</v>
      </c>
      <c r="E1373" s="55"/>
      <c r="F1373" s="55"/>
      <c r="G1373" s="12" t="s">
        <v>4643</v>
      </c>
      <c r="H1373" s="74"/>
      <c r="I1373" s="147" t="str">
        <f>HYPERLINK("[#]Datatypes!B1596:L1596","WetlandTypeCode")</f>
        <v>WetlandTypeCode</v>
      </c>
      <c r="J1373" s="80"/>
      <c r="K1373" s="77"/>
      <c r="L1373" s="77"/>
      <c r="M1373" s="71" t="str">
        <f>HYPERLINK("[#]DatatypeListedValues!A7539:H7539","&lt;values&gt;")</f>
        <v>&lt;values&gt;</v>
      </c>
      <c r="N1373" s="82" t="b">
        <v>0</v>
      </c>
      <c r="O1373" s="25">
        <v>111764</v>
      </c>
      <c r="P1373" s="304" t="str">
        <f>CONCATENATE([1]Cover!$D$6,"fdd/view?i=",O1373)</f>
        <v>https://www.dgiwg.org/FAD/fdd/view?i=111764</v>
      </c>
      <c r="Q1373" s="8" t="s">
        <v>11350</v>
      </c>
      <c r="R1373" s="38" t="s">
        <v>151</v>
      </c>
    </row>
    <row r="1374" spans="1:18" ht="38.25">
      <c r="A1374" s="302" t="str">
        <f t="shared" si="38"/>
        <v>wideBerth</v>
      </c>
      <c r="B1374" s="6" t="s">
        <v>11356</v>
      </c>
      <c r="C1374" s="17" t="s">
        <v>11357</v>
      </c>
      <c r="D1374" s="10" t="s">
        <v>11358</v>
      </c>
      <c r="E1374" s="10" t="s">
        <v>11359</v>
      </c>
      <c r="F1374" s="55"/>
      <c r="G1374" s="12" t="s">
        <v>4643</v>
      </c>
      <c r="H1374" s="74"/>
      <c r="I1374" s="147" t="str">
        <f>HYPERLINK("[#]Datatypes!B230:L230","Boolean")</f>
        <v>Boolean</v>
      </c>
      <c r="J1374" s="80"/>
      <c r="K1374" s="77"/>
      <c r="L1374" s="77"/>
      <c r="M1374" s="78"/>
      <c r="N1374" s="74"/>
      <c r="O1374" s="25">
        <v>111761</v>
      </c>
      <c r="P1374" s="304" t="str">
        <f>CONCATENATE([1]Cover!$D$6,"fdd/view?i=",O1374)</f>
        <v>https://www.dgiwg.org/FAD/fdd/view?i=111761</v>
      </c>
      <c r="Q1374" s="8" t="s">
        <v>11355</v>
      </c>
      <c r="R1374" s="38" t="s">
        <v>151</v>
      </c>
    </row>
    <row r="1375" spans="1:18" ht="153">
      <c r="A1375" s="302" t="str">
        <f t="shared" si="38"/>
        <v>width</v>
      </c>
      <c r="B1375" s="6" t="s">
        <v>11361</v>
      </c>
      <c r="C1375" s="17" t="s">
        <v>11362</v>
      </c>
      <c r="D1375" s="10" t="s">
        <v>11363</v>
      </c>
      <c r="E1375" s="10" t="s">
        <v>11364</v>
      </c>
      <c r="F1375" s="55"/>
      <c r="G1375" s="12" t="s">
        <v>4643</v>
      </c>
      <c r="H1375" s="74"/>
      <c r="I1375" s="147" t="str">
        <f>HYPERLINK("[#]Datatypes!B1099:L1099","RealInterval")</f>
        <v>RealInterval</v>
      </c>
      <c r="J1375" s="76" t="str">
        <f>HYPERLINK("[#]PhysicalQuantities!A20:N20","Length")</f>
        <v>Length</v>
      </c>
      <c r="K1375" s="75" t="str">
        <f>HYPERLINK("[#]UnitsOfMeasure!D80:G80","Metre")</f>
        <v>Metre</v>
      </c>
      <c r="L1375" s="77"/>
      <c r="M1375" s="78"/>
      <c r="N1375" s="74"/>
      <c r="O1375" s="25">
        <v>101492</v>
      </c>
      <c r="P1375" s="304" t="str">
        <f>CONCATENATE([1]Cover!$D$6,"fdd/view?i=",O1375)</f>
        <v>https://www.dgiwg.org/FAD/fdd/view?i=101492</v>
      </c>
      <c r="Q1375" s="8" t="s">
        <v>11360</v>
      </c>
      <c r="R1375" s="38" t="s">
        <v>151</v>
      </c>
    </row>
    <row r="1376" spans="1:18">
      <c r="A1376" s="302" t="str">
        <f t="shared" si="38"/>
        <v>widthAtTop</v>
      </c>
      <c r="B1376" s="6" t="s">
        <v>11366</v>
      </c>
      <c r="C1376" s="17" t="s">
        <v>11367</v>
      </c>
      <c r="D1376" s="10" t="s">
        <v>11368</v>
      </c>
      <c r="E1376" s="55"/>
      <c r="F1376" s="55"/>
      <c r="G1376" s="12" t="s">
        <v>4643</v>
      </c>
      <c r="H1376" s="74"/>
      <c r="I1376" s="147" t="str">
        <f>HYPERLINK("[#]Datatypes!B1099:L1099","RealInterval")</f>
        <v>RealInterval</v>
      </c>
      <c r="J1376" s="76" t="str">
        <f>HYPERLINK("[#]PhysicalQuantities!A20:N20","Length")</f>
        <v>Length</v>
      </c>
      <c r="K1376" s="75" t="str">
        <f>HYPERLINK("[#]UnitsOfMeasure!D80:G80","Metre")</f>
        <v>Metre</v>
      </c>
      <c r="L1376" s="77"/>
      <c r="M1376" s="78"/>
      <c r="N1376" s="74"/>
      <c r="O1376" s="25">
        <v>110732</v>
      </c>
      <c r="P1376" s="304" t="str">
        <f>CONCATENATE([1]Cover!$D$6,"fdd/view?i=",O1376)</f>
        <v>https://www.dgiwg.org/FAD/fdd/view?i=110732</v>
      </c>
      <c r="Q1376" s="8" t="s">
        <v>11365</v>
      </c>
      <c r="R1376" s="38" t="s">
        <v>151</v>
      </c>
    </row>
    <row r="1377" spans="1:23" ht="25.5">
      <c r="A1377" s="302" t="str">
        <f t="shared" si="38"/>
        <v>widthOfSecondTravelledWay</v>
      </c>
      <c r="B1377" s="6" t="s">
        <v>11370</v>
      </c>
      <c r="C1377" s="17" t="s">
        <v>11371</v>
      </c>
      <c r="D1377" s="10" t="s">
        <v>11372</v>
      </c>
      <c r="E1377" s="55"/>
      <c r="F1377" s="55"/>
      <c r="G1377" s="12" t="s">
        <v>4643</v>
      </c>
      <c r="H1377" s="74"/>
      <c r="I1377" s="147" t="str">
        <f>HYPERLINK("[#]Datatypes!B1099:L1099","RealInterval")</f>
        <v>RealInterval</v>
      </c>
      <c r="J1377" s="76" t="str">
        <f>HYPERLINK("[#]PhysicalQuantities!A20:N20","Length")</f>
        <v>Length</v>
      </c>
      <c r="K1377" s="75" t="str">
        <f>HYPERLINK("[#]UnitsOfMeasure!D80:G80","Metre")</f>
        <v>Metre</v>
      </c>
      <c r="L1377" s="77"/>
      <c r="M1377" s="78"/>
      <c r="N1377" s="74"/>
      <c r="O1377" s="25">
        <v>110735</v>
      </c>
      <c r="P1377" s="304" t="str">
        <f>CONCATENATE([1]Cover!$D$6,"fdd/view?i=",O1377)</f>
        <v>https://www.dgiwg.org/FAD/fdd/view?i=110735</v>
      </c>
      <c r="Q1377" s="8" t="s">
        <v>11369</v>
      </c>
      <c r="R1377" s="38" t="s">
        <v>151</v>
      </c>
    </row>
    <row r="1378" spans="1:23" ht="25.5">
      <c r="A1378" s="302" t="str">
        <f t="shared" si="38"/>
        <v>windDirectIndicatorType</v>
      </c>
      <c r="B1378" s="6" t="s">
        <v>11374</v>
      </c>
      <c r="C1378" s="17" t="s">
        <v>11375</v>
      </c>
      <c r="D1378" s="10" t="s">
        <v>11376</v>
      </c>
      <c r="E1378" s="55"/>
      <c r="F1378" s="55"/>
      <c r="G1378" s="12" t="s">
        <v>4643</v>
      </c>
      <c r="H1378" s="74"/>
      <c r="I1378" s="147" t="str">
        <f>HYPERLINK("[#]Datatypes!B1598:L1598","WindDirectIndicatorTypeCode")</f>
        <v>WindDirectIndicatorTypeCode</v>
      </c>
      <c r="J1378" s="80"/>
      <c r="K1378" s="77"/>
      <c r="L1378" s="77"/>
      <c r="M1378" s="71" t="str">
        <f>HYPERLINK("[#]DatatypeListedValues!A7542:H7542","&lt;values&gt;")</f>
        <v>&lt;values&gt;</v>
      </c>
      <c r="N1378" s="82" t="b">
        <v>0</v>
      </c>
      <c r="O1378" s="25">
        <v>117745</v>
      </c>
      <c r="P1378" s="304" t="str">
        <f>CONCATENATE([1]Cover!$D$6,"fdd/view?i=",O1378)</f>
        <v>https://www.dgiwg.org/FAD/fdd/view?i=117745</v>
      </c>
      <c r="Q1378" s="8" t="s">
        <v>11373</v>
      </c>
      <c r="R1378" s="38" t="s">
        <v>151</v>
      </c>
    </row>
    <row r="1379" spans="1:23" ht="25.5">
      <c r="A1379" s="302" t="str">
        <f t="shared" si="38"/>
        <v>winterCanopyCover</v>
      </c>
      <c r="B1379" s="6" t="s">
        <v>11379</v>
      </c>
      <c r="C1379" s="17" t="s">
        <v>11380</v>
      </c>
      <c r="D1379" s="10" t="s">
        <v>11381</v>
      </c>
      <c r="E1379" s="10" t="s">
        <v>5880</v>
      </c>
      <c r="F1379" s="55"/>
      <c r="G1379" s="12" t="s">
        <v>4643</v>
      </c>
      <c r="H1379" s="74"/>
      <c r="I1379" s="147" t="str">
        <f>HYPERLINK("[#]Datatypes!B1110:L1110","RealNonNegInterval100")</f>
        <v>RealNonNegInterval100</v>
      </c>
      <c r="J1379" s="76" t="str">
        <f>HYPERLINK("[#]PhysicalQuantities!A39:N39","Pure Number")</f>
        <v>Pure Number</v>
      </c>
      <c r="K1379" s="75" t="str">
        <f>HYPERLINK("[#]UnitsOfMeasure!D215:G215","Percent")</f>
        <v>Percent</v>
      </c>
      <c r="L1379" s="77"/>
      <c r="M1379" s="78"/>
      <c r="N1379" s="74"/>
      <c r="O1379" s="25">
        <v>109996</v>
      </c>
      <c r="P1379" s="304" t="str">
        <f>CONCATENATE([1]Cover!$D$6,"fdd/view?i=",O1379)</f>
        <v>https://www.dgiwg.org/FAD/fdd/view?i=109996</v>
      </c>
      <c r="Q1379" s="8" t="s">
        <v>11378</v>
      </c>
      <c r="R1379" s="38" t="s">
        <v>151</v>
      </c>
    </row>
    <row r="1380" spans="1:23" ht="38.25">
      <c r="A1380" s="302" t="str">
        <f t="shared" si="38"/>
        <v>wirelessTelecomType</v>
      </c>
      <c r="B1380" s="6" t="s">
        <v>11383</v>
      </c>
      <c r="C1380" s="17" t="s">
        <v>11384</v>
      </c>
      <c r="D1380" s="10" t="s">
        <v>11385</v>
      </c>
      <c r="E1380" s="10" t="s">
        <v>11386</v>
      </c>
      <c r="F1380" s="55"/>
      <c r="G1380" s="12" t="s">
        <v>4643</v>
      </c>
      <c r="H1380" s="74"/>
      <c r="I1380" s="147" t="str">
        <f>HYPERLINK("[#]Datatypes!B1600:L1600","WirelessTelecomTypeCode")</f>
        <v>WirelessTelecomTypeCode</v>
      </c>
      <c r="J1380" s="80"/>
      <c r="K1380" s="77"/>
      <c r="L1380" s="77"/>
      <c r="M1380" s="71" t="str">
        <f>HYPERLINK("[#]DatatypeListedValues!A7545:H7545","&lt;values&gt;")</f>
        <v>&lt;values&gt;</v>
      </c>
      <c r="N1380" s="82" t="b">
        <v>0</v>
      </c>
      <c r="O1380" s="25">
        <v>114245</v>
      </c>
      <c r="P1380" s="304" t="str">
        <f>CONCATENATE([1]Cover!$D$6,"fdd/view?i=",O1380)</f>
        <v>https://www.dgiwg.org/FAD/fdd/view?i=114245</v>
      </c>
      <c r="Q1380" s="8" t="s">
        <v>11382</v>
      </c>
      <c r="R1380" s="38" t="s">
        <v>151</v>
      </c>
    </row>
    <row r="1381" spans="1:23" ht="38.25">
      <c r="A1381" s="302" t="str">
        <f t="shared" si="38"/>
        <v>worldAeroChartIdentifier</v>
      </c>
      <c r="B1381" s="6" t="s">
        <v>11389</v>
      </c>
      <c r="C1381" s="17" t="s">
        <v>11390</v>
      </c>
      <c r="D1381" s="10" t="s">
        <v>11391</v>
      </c>
      <c r="E1381" s="55"/>
      <c r="F1381" s="55"/>
      <c r="G1381" s="12" t="s">
        <v>4643</v>
      </c>
      <c r="H1381" s="74"/>
      <c r="I1381" s="147" t="str">
        <f>HYPERLINK("[#]Datatypes!B1602:L1602","WorldAeroChartIdentifierStrucText")</f>
        <v>WorldAeroChartIdentifierStrucText</v>
      </c>
      <c r="J1381" s="80"/>
      <c r="K1381" s="77"/>
      <c r="L1381" s="77"/>
      <c r="M1381" s="78"/>
      <c r="N1381" s="74"/>
      <c r="O1381" s="25">
        <v>119214</v>
      </c>
      <c r="P1381" s="304" t="str">
        <f>CONCATENATE([1]Cover!$D$6,"fdd/view?i=",O1381)</f>
        <v>https://www.dgiwg.org/FAD/fdd/view?i=119214</v>
      </c>
      <c r="Q1381" s="8" t="s">
        <v>11388</v>
      </c>
      <c r="R1381" s="38" t="s">
        <v>151</v>
      </c>
    </row>
    <row r="1382" spans="1:23">
      <c r="A1382" s="302" t="str">
        <f t="shared" si="38"/>
        <v>worldPort</v>
      </c>
      <c r="B1382" s="6" t="s">
        <v>11394</v>
      </c>
      <c r="C1382" s="17" t="s">
        <v>11395</v>
      </c>
      <c r="D1382" s="10" t="s">
        <v>11396</v>
      </c>
      <c r="E1382" s="55"/>
      <c r="F1382" s="55"/>
      <c r="G1382" s="12" t="s">
        <v>4643</v>
      </c>
      <c r="H1382" s="74"/>
      <c r="I1382" s="147" t="str">
        <f>HYPERLINK("[#]Datatypes!B230:L230","Boolean")</f>
        <v>Boolean</v>
      </c>
      <c r="J1382" s="80"/>
      <c r="K1382" s="77"/>
      <c r="L1382" s="77"/>
      <c r="M1382" s="78"/>
      <c r="N1382" s="74"/>
      <c r="O1382" s="25">
        <v>101167</v>
      </c>
      <c r="P1382" s="304" t="str">
        <f>CONCATENATE([1]Cover!$D$6,"fdd/view?i=",O1382)</f>
        <v>https://www.dgiwg.org/FAD/fdd/view?i=101167</v>
      </c>
      <c r="Q1382" s="8" t="s">
        <v>11393</v>
      </c>
      <c r="R1382" s="38" t="s">
        <v>151</v>
      </c>
    </row>
    <row r="1383" spans="1:23" ht="51">
      <c r="A1383" s="302" t="str">
        <f t="shared" si="38"/>
        <v>worldPortIndexIdentifier</v>
      </c>
      <c r="B1383" s="6" t="s">
        <v>11398</v>
      </c>
      <c r="C1383" s="17" t="s">
        <v>11399</v>
      </c>
      <c r="D1383" s="10" t="s">
        <v>11400</v>
      </c>
      <c r="E1383" s="10" t="s">
        <v>11401</v>
      </c>
      <c r="F1383" s="55"/>
      <c r="G1383" s="12" t="s">
        <v>4643</v>
      </c>
      <c r="H1383" s="74"/>
      <c r="I1383" s="147" t="str">
        <f>HYPERLINK("[#]Datatypes!B770:L770","KeyNonLex5")</f>
        <v>KeyNonLex5</v>
      </c>
      <c r="J1383" s="80"/>
      <c r="K1383" s="77"/>
      <c r="L1383" s="77"/>
      <c r="M1383" s="78"/>
      <c r="N1383" s="74"/>
      <c r="O1383" s="25">
        <v>101501</v>
      </c>
      <c r="P1383" s="304" t="str">
        <f>CONCATENATE([1]Cover!$D$6,"fdd/view?i=",O1383)</f>
        <v>https://www.dgiwg.org/FAD/fdd/view?i=101501</v>
      </c>
      <c r="Q1383" s="8" t="s">
        <v>11397</v>
      </c>
      <c r="R1383" s="38" t="s">
        <v>151</v>
      </c>
    </row>
    <row r="1384" spans="1:23">
      <c r="A1384" s="302" t="str">
        <f t="shared" si="38"/>
        <v>wreckName</v>
      </c>
      <c r="B1384" s="6" t="s">
        <v>11404</v>
      </c>
      <c r="C1384" s="17" t="s">
        <v>11405</v>
      </c>
      <c r="D1384" s="10" t="s">
        <v>11406</v>
      </c>
      <c r="E1384" s="55"/>
      <c r="F1384" s="55"/>
      <c r="G1384" s="12" t="s">
        <v>4643</v>
      </c>
      <c r="H1384" s="74"/>
      <c r="I1384" s="147" t="str">
        <f>HYPERLINK("[#]Datatypes!B1416:L1416","TextLexUnconstrained")</f>
        <v>TextLexUnconstrained</v>
      </c>
      <c r="J1384" s="80"/>
      <c r="K1384" s="77"/>
      <c r="L1384" s="77"/>
      <c r="M1384" s="78"/>
      <c r="N1384" s="74"/>
      <c r="O1384" s="25">
        <v>118159</v>
      </c>
      <c r="P1384" s="304" t="str">
        <f>CONCATENATE([1]Cover!$D$6,"fdd/view?i=",O1384)</f>
        <v>https://www.dgiwg.org/FAD/fdd/view?i=118159</v>
      </c>
      <c r="Q1384" s="8" t="s">
        <v>11403</v>
      </c>
      <c r="R1384" s="38" t="s">
        <v>151</v>
      </c>
    </row>
    <row r="1385" spans="1:23" ht="25.5">
      <c r="A1385" s="302" t="str">
        <f t="shared" si="38"/>
        <v>wreckHulkExposure</v>
      </c>
      <c r="B1385" s="57" t="s">
        <v>11408</v>
      </c>
      <c r="C1385" s="58" t="s">
        <v>11409</v>
      </c>
      <c r="D1385" s="59" t="s">
        <v>11410</v>
      </c>
      <c r="E1385" s="60"/>
      <c r="F1385" s="60"/>
      <c r="G1385" s="83" t="s">
        <v>4643</v>
      </c>
      <c r="H1385" s="84"/>
      <c r="I1385" s="148" t="str">
        <f>HYPERLINK("[#]Datatypes!B1604:L1604","WreckHulkExposureCode")</f>
        <v>WreckHulkExposureCode</v>
      </c>
      <c r="J1385" s="85"/>
      <c r="K1385" s="86"/>
      <c r="L1385" s="86"/>
      <c r="M1385" s="72" t="str">
        <f>HYPERLINK("[#]DatatypeListedValues!A7552:H7552","&lt;values&gt;")</f>
        <v>&lt;values&gt;</v>
      </c>
      <c r="N1385" s="83" t="b">
        <v>1</v>
      </c>
      <c r="O1385" s="61">
        <v>101496</v>
      </c>
      <c r="P1385" s="301" t="str">
        <f>CONCATENATE([1]Cover!$D$6,"fdd/view?i=",O1385)</f>
        <v>https://www.dgiwg.org/FAD/fdd/view?i=101496</v>
      </c>
      <c r="Q1385" s="59" t="s">
        <v>11407</v>
      </c>
      <c r="R1385" s="73" t="s">
        <v>151</v>
      </c>
      <c r="S1385" s="59"/>
      <c r="T1385" s="59"/>
      <c r="U1385" s="59"/>
      <c r="V1385" s="59"/>
      <c r="W1385" s="59"/>
    </row>
    <row r="1386" spans="1:23">
      <c r="A1386" s="31"/>
    </row>
  </sheetData>
  <phoneticPr fontId="10" type="noConversion"/>
  <pageMargins left="0.63" right="0.62" top="0.51" bottom="0.57999999999999996" header="0.35" footer="0.4"/>
  <pageSetup scale="65" orientation="landscape" copies="0" r:id="rId1"/>
  <headerFooter alignWithMargins="0">
    <oddHeader>&amp;A</oddHeader>
    <oddFooter>Page &amp;P of &amp;N</oddFooter>
  </headerFooter>
</worksheet>
</file>

<file path=xl/worksheets/sheet4.xml><?xml version="1.0" encoding="utf-8"?>
<worksheet xmlns="http://schemas.openxmlformats.org/spreadsheetml/2006/main" xmlns:r="http://schemas.openxmlformats.org/officeDocument/2006/relationships">
  <sheetPr codeName="Sheet6" enableFormatConditionsCalculation="0">
    <tabColor indexed="31"/>
  </sheetPr>
  <dimension ref="A1:V1606"/>
  <sheetViews>
    <sheetView zoomScale="80" workbookViewId="0">
      <pane xSplit="5" ySplit="1" topLeftCell="F2" activePane="bottomRight" state="frozen"/>
      <selection activeCell="B1" sqref="B1"/>
      <selection pane="topRight" activeCell="F1" sqref="F1"/>
      <selection pane="bottomLeft" activeCell="B2" sqref="B2"/>
      <selection pane="bottomRight" activeCell="C1" sqref="C1"/>
    </sheetView>
  </sheetViews>
  <sheetFormatPr baseColWidth="10" defaultColWidth="11.42578125" defaultRowHeight="12.75"/>
  <cols>
    <col min="1" max="1" width="30.7109375" style="20" customWidth="1"/>
    <col min="2" max="2" width="22.7109375" style="18" customWidth="1"/>
    <col min="3" max="3" width="30.7109375" style="9" customWidth="1"/>
    <col min="4" max="4" width="22.7109375" style="18" customWidth="1"/>
    <col min="5" max="5" width="23.140625" style="9" customWidth="1"/>
    <col min="6" max="6" width="60.7109375" style="10" customWidth="1"/>
    <col min="7" max="7" width="50.7109375" style="10" customWidth="1"/>
    <col min="8" max="8" width="25.5703125" style="10" customWidth="1"/>
    <col min="9" max="9" width="9.42578125" style="14" customWidth="1"/>
    <col min="10" max="10" width="10.7109375" style="12" customWidth="1"/>
    <col min="11" max="11" width="27.140625" style="15" customWidth="1"/>
    <col min="12" max="12" width="31.85546875" style="13" customWidth="1"/>
    <col min="13" max="13" width="10" style="10" customWidth="1"/>
    <col min="14" max="15" width="9.140625" style="10"/>
    <col min="16" max="16" width="73.28515625" style="10" customWidth="1"/>
    <col min="17" max="18" width="10.85546875" style="16" customWidth="1"/>
    <col min="19" max="19" width="9.85546875" style="16" customWidth="1"/>
    <col min="20" max="20" width="42.7109375" style="300" customWidth="1"/>
    <col min="21" max="21" width="6.85546875" style="165" customWidth="1"/>
    <col min="22" max="22" width="7.85546875" style="179" customWidth="1"/>
    <col min="23" max="24" width="9.140625" style="10"/>
    <col min="25" max="16384" width="11.42578125" style="10"/>
  </cols>
  <sheetData>
    <row r="1" spans="1:22" s="26" customFormat="1" ht="30" customHeight="1">
      <c r="A1" s="265" t="s">
        <v>83</v>
      </c>
      <c r="B1" s="266" t="s">
        <v>82</v>
      </c>
      <c r="C1" s="266" t="s">
        <v>46</v>
      </c>
      <c r="D1" s="293" t="s">
        <v>33731</v>
      </c>
      <c r="E1" s="293" t="s">
        <v>33732</v>
      </c>
      <c r="F1" s="267" t="s">
        <v>39</v>
      </c>
      <c r="G1" s="267" t="s">
        <v>37</v>
      </c>
      <c r="H1" s="267" t="s">
        <v>44</v>
      </c>
      <c r="I1" s="266" t="s">
        <v>33742</v>
      </c>
      <c r="J1" s="266" t="s">
        <v>33744</v>
      </c>
      <c r="K1" s="268" t="s">
        <v>33735</v>
      </c>
      <c r="L1" s="266" t="s">
        <v>33733</v>
      </c>
      <c r="M1" s="269" t="s">
        <v>74</v>
      </c>
      <c r="N1" s="270" t="s">
        <v>40</v>
      </c>
      <c r="O1" s="270" t="s">
        <v>47</v>
      </c>
      <c r="P1" s="270" t="s">
        <v>48</v>
      </c>
      <c r="Q1" s="271" t="s">
        <v>49</v>
      </c>
      <c r="R1" s="272" t="s">
        <v>50</v>
      </c>
      <c r="S1" s="273" t="s">
        <v>33749</v>
      </c>
      <c r="T1" s="299"/>
      <c r="U1" s="36" t="s">
        <v>1241</v>
      </c>
      <c r="V1" s="178" t="s">
        <v>112</v>
      </c>
    </row>
    <row r="2" spans="1:22" ht="25.5">
      <c r="A2" s="67" t="s">
        <v>4661</v>
      </c>
      <c r="B2" s="87" t="s">
        <v>4661</v>
      </c>
      <c r="C2" s="88" t="s">
        <v>11412</v>
      </c>
      <c r="D2" s="89"/>
      <c r="E2" s="90"/>
      <c r="F2" s="91" t="s">
        <v>11413</v>
      </c>
      <c r="G2" s="90"/>
      <c r="H2" s="90"/>
      <c r="I2" s="92"/>
      <c r="J2" s="93"/>
      <c r="K2" s="94"/>
      <c r="L2" s="149" t="str">
        <f>HYPERLINK("[#]DatatypeListedValues!B2:H2","Enumeration")</f>
        <v>Enumeration</v>
      </c>
      <c r="M2" s="91" t="b">
        <v>1</v>
      </c>
      <c r="N2" s="90"/>
      <c r="O2" s="95"/>
      <c r="P2" s="90"/>
      <c r="Q2" s="96"/>
      <c r="R2" s="97"/>
      <c r="S2" s="169"/>
      <c r="T2" s="300" t="str">
        <f>CONCATENATE([1]Cover!$D$6,"fdd/view?i=",S2)</f>
        <v>https://www.dgiwg.org/FAD/fdd/view?i=</v>
      </c>
      <c r="U2" s="202"/>
    </row>
    <row r="3" spans="1:22" ht="2.1" customHeight="1">
      <c r="A3" s="98"/>
      <c r="B3" s="87"/>
      <c r="C3" s="99"/>
      <c r="D3" s="87"/>
      <c r="E3" s="99"/>
      <c r="F3" s="100"/>
      <c r="G3" s="100"/>
      <c r="H3" s="100"/>
      <c r="I3" s="101"/>
      <c r="J3" s="102"/>
      <c r="K3" s="103"/>
      <c r="L3" s="104"/>
      <c r="M3" s="100"/>
      <c r="N3" s="100"/>
      <c r="O3" s="100"/>
      <c r="P3" s="100"/>
      <c r="Q3" s="105"/>
      <c r="R3" s="105"/>
      <c r="S3" s="169"/>
      <c r="U3" s="188"/>
    </row>
    <row r="4" spans="1:22" ht="25.5">
      <c r="A4" s="67" t="s">
        <v>4685</v>
      </c>
      <c r="B4" s="87" t="s">
        <v>4685</v>
      </c>
      <c r="C4" s="88" t="s">
        <v>11415</v>
      </c>
      <c r="D4" s="89"/>
      <c r="E4" s="90"/>
      <c r="F4" s="91" t="s">
        <v>11416</v>
      </c>
      <c r="G4" s="90"/>
      <c r="H4" s="90"/>
      <c r="I4" s="92"/>
      <c r="J4" s="93"/>
      <c r="K4" s="94"/>
      <c r="L4" s="149" t="str">
        <f>HYPERLINK("[#]DatatypeListedValues!B25:H25","Enumeration")</f>
        <v>Enumeration</v>
      </c>
      <c r="M4" s="91" t="b">
        <v>1</v>
      </c>
      <c r="N4" s="90"/>
      <c r="O4" s="95"/>
      <c r="P4" s="90"/>
      <c r="Q4" s="96"/>
      <c r="R4" s="97"/>
      <c r="S4" s="169"/>
      <c r="T4" s="300" t="str">
        <f>CONCATENATE([1]Cover!$D$6,"fdd/view?i=",S4)</f>
        <v>https://www.dgiwg.org/FAD/fdd/view?i=</v>
      </c>
      <c r="U4" s="188"/>
    </row>
    <row r="5" spans="1:22" ht="2.1" customHeight="1">
      <c r="A5" s="98"/>
      <c r="B5" s="87"/>
      <c r="C5" s="99"/>
      <c r="D5" s="87"/>
      <c r="E5" s="99"/>
      <c r="F5" s="100"/>
      <c r="G5" s="100"/>
      <c r="H5" s="100"/>
      <c r="I5" s="101"/>
      <c r="J5" s="106"/>
      <c r="K5" s="103"/>
      <c r="L5" s="104"/>
      <c r="M5" s="100"/>
      <c r="N5" s="100"/>
      <c r="O5" s="100"/>
      <c r="P5" s="100"/>
      <c r="Q5" s="105"/>
      <c r="R5" s="105"/>
      <c r="S5" s="169"/>
      <c r="U5" s="188"/>
    </row>
    <row r="6" spans="1:22">
      <c r="A6" s="67" t="s">
        <v>4695</v>
      </c>
      <c r="B6" s="87" t="s">
        <v>4695</v>
      </c>
      <c r="C6" s="88" t="s">
        <v>11417</v>
      </c>
      <c r="D6" s="89"/>
      <c r="E6" s="90"/>
      <c r="F6" s="91" t="s">
        <v>11418</v>
      </c>
      <c r="G6" s="90"/>
      <c r="H6" s="90"/>
      <c r="I6" s="92"/>
      <c r="J6" s="93"/>
      <c r="K6" s="94"/>
      <c r="L6" s="149" t="str">
        <f>HYPERLINK("[#]DatatypeListedValues!B48:H48","Enumeration")</f>
        <v>Enumeration</v>
      </c>
      <c r="M6" s="91" t="b">
        <v>1</v>
      </c>
      <c r="N6" s="90"/>
      <c r="O6" s="95"/>
      <c r="P6" s="90"/>
      <c r="Q6" s="96"/>
      <c r="R6" s="97"/>
      <c r="S6" s="169"/>
      <c r="T6" s="300" t="str">
        <f>CONCATENATE([1]Cover!$D$6,"fdd/view?i=",S6)</f>
        <v>https://www.dgiwg.org/FAD/fdd/view?i=</v>
      </c>
      <c r="U6" s="188"/>
    </row>
    <row r="7" spans="1:22" ht="2.1" customHeight="1">
      <c r="A7" s="98"/>
      <c r="B7" s="87"/>
      <c r="C7" s="99"/>
      <c r="D7" s="87"/>
      <c r="E7" s="99"/>
      <c r="F7" s="100"/>
      <c r="G7" s="100"/>
      <c r="H7" s="100"/>
      <c r="I7" s="101"/>
      <c r="J7" s="106"/>
      <c r="K7" s="103"/>
      <c r="L7" s="104"/>
      <c r="M7" s="100"/>
      <c r="N7" s="100"/>
      <c r="O7" s="100"/>
      <c r="P7" s="100"/>
      <c r="Q7" s="105"/>
      <c r="R7" s="105"/>
      <c r="S7" s="169"/>
      <c r="U7" s="188"/>
    </row>
    <row r="8" spans="1:22" ht="25.5">
      <c r="A8" s="67" t="s">
        <v>4701</v>
      </c>
      <c r="B8" s="87" t="s">
        <v>4701</v>
      </c>
      <c r="C8" s="88" t="s">
        <v>11419</v>
      </c>
      <c r="D8" s="89"/>
      <c r="E8" s="90"/>
      <c r="F8" s="91" t="s">
        <v>11420</v>
      </c>
      <c r="G8" s="90"/>
      <c r="H8" s="90"/>
      <c r="I8" s="92"/>
      <c r="J8" s="93"/>
      <c r="K8" s="94"/>
      <c r="L8" s="149" t="str">
        <f>HYPERLINK("[#]DatatypeListedValues!B55:H55","Enumeration")</f>
        <v>Enumeration</v>
      </c>
      <c r="M8" s="107" t="b">
        <v>0</v>
      </c>
      <c r="N8" s="90"/>
      <c r="O8" s="95"/>
      <c r="P8" s="90"/>
      <c r="Q8" s="96"/>
      <c r="R8" s="97"/>
      <c r="S8" s="169"/>
      <c r="T8" s="300" t="str">
        <f>CONCATENATE([1]Cover!$D$6,"fdd/view?i=",S8)</f>
        <v>https://www.dgiwg.org/FAD/fdd/view?i=</v>
      </c>
      <c r="U8" s="188"/>
    </row>
    <row r="9" spans="1:22" ht="2.1" customHeight="1">
      <c r="A9" s="98"/>
      <c r="B9" s="87"/>
      <c r="C9" s="99"/>
      <c r="D9" s="87"/>
      <c r="E9" s="99"/>
      <c r="F9" s="100"/>
      <c r="G9" s="100"/>
      <c r="H9" s="100"/>
      <c r="I9" s="101"/>
      <c r="J9" s="106"/>
      <c r="K9" s="103"/>
      <c r="L9" s="104"/>
      <c r="M9" s="100"/>
      <c r="N9" s="100"/>
      <c r="O9" s="100"/>
      <c r="P9" s="100"/>
      <c r="Q9" s="105"/>
      <c r="R9" s="105"/>
      <c r="S9" s="169"/>
      <c r="U9" s="188"/>
    </row>
    <row r="10" spans="1:22" ht="25.5">
      <c r="A10" s="67" t="s">
        <v>4706</v>
      </c>
      <c r="B10" s="87" t="s">
        <v>4706</v>
      </c>
      <c r="C10" s="88" t="s">
        <v>11421</v>
      </c>
      <c r="D10" s="89"/>
      <c r="E10" s="90"/>
      <c r="F10" s="91" t="s">
        <v>11422</v>
      </c>
      <c r="G10" s="90"/>
      <c r="H10" s="90"/>
      <c r="I10" s="92"/>
      <c r="J10" s="93"/>
      <c r="K10" s="94"/>
      <c r="L10" s="149" t="str">
        <f>HYPERLINK("[#]DatatypeListedValues!B68:H68","Enumeration")</f>
        <v>Enumeration</v>
      </c>
      <c r="M10" s="107" t="b">
        <v>0</v>
      </c>
      <c r="N10" s="90"/>
      <c r="O10" s="95"/>
      <c r="P10" s="90"/>
      <c r="Q10" s="96"/>
      <c r="R10" s="97"/>
      <c r="S10" s="169"/>
      <c r="T10" s="300" t="str">
        <f>CONCATENATE([1]Cover!$D$6,"fdd/view?i=",S10)</f>
        <v>https://www.dgiwg.org/FAD/fdd/view?i=</v>
      </c>
      <c r="U10" s="188"/>
    </row>
    <row r="11" spans="1:22" ht="2.1" customHeight="1">
      <c r="A11" s="98"/>
      <c r="B11" s="87"/>
      <c r="C11" s="99"/>
      <c r="D11" s="87"/>
      <c r="E11" s="99"/>
      <c r="F11" s="100"/>
      <c r="G11" s="100"/>
      <c r="H11" s="100"/>
      <c r="I11" s="101"/>
      <c r="J11" s="106"/>
      <c r="K11" s="103"/>
      <c r="L11" s="104"/>
      <c r="M11" s="100"/>
      <c r="N11" s="100"/>
      <c r="O11" s="100"/>
      <c r="P11" s="100"/>
      <c r="Q11" s="105"/>
      <c r="R11" s="105"/>
      <c r="S11" s="169"/>
      <c r="U11" s="188"/>
    </row>
    <row r="12" spans="1:22" ht="51">
      <c r="A12" s="67" t="s">
        <v>4712</v>
      </c>
      <c r="B12" s="87" t="s">
        <v>4712</v>
      </c>
      <c r="C12" s="88" t="s">
        <v>11423</v>
      </c>
      <c r="D12" s="89"/>
      <c r="E12" s="90"/>
      <c r="F12" s="91" t="s">
        <v>11424</v>
      </c>
      <c r="G12" s="90"/>
      <c r="H12" s="91" t="s">
        <v>11426</v>
      </c>
      <c r="I12" s="92"/>
      <c r="J12" s="93"/>
      <c r="K12" s="94"/>
      <c r="L12" s="91" t="s">
        <v>11425</v>
      </c>
      <c r="M12" s="90"/>
      <c r="N12" s="91">
        <v>20</v>
      </c>
      <c r="O12" s="108" t="b">
        <v>0</v>
      </c>
      <c r="P12" s="91" t="s">
        <v>11427</v>
      </c>
      <c r="Q12" s="96"/>
      <c r="R12" s="97"/>
      <c r="S12" s="169"/>
      <c r="T12" s="300" t="str">
        <f>CONCATENATE([1]Cover!$D$6,"fdd/view?i=",S12)</f>
        <v>https://www.dgiwg.org/FAD/fdd/view?i=</v>
      </c>
      <c r="U12" s="188"/>
    </row>
    <row r="13" spans="1:22" ht="2.1" customHeight="1">
      <c r="A13" s="98"/>
      <c r="B13" s="87"/>
      <c r="C13" s="99"/>
      <c r="D13" s="87"/>
      <c r="E13" s="99"/>
      <c r="F13" s="100"/>
      <c r="G13" s="100"/>
      <c r="H13" s="100"/>
      <c r="I13" s="101"/>
      <c r="J13" s="106"/>
      <c r="K13" s="103"/>
      <c r="L13" s="104"/>
      <c r="M13" s="100"/>
      <c r="N13" s="100"/>
      <c r="O13" s="100"/>
      <c r="P13" s="100"/>
      <c r="Q13" s="105"/>
      <c r="R13" s="105"/>
      <c r="S13" s="169"/>
      <c r="U13" s="188"/>
    </row>
    <row r="14" spans="1:22">
      <c r="A14" s="63" t="s">
        <v>4723</v>
      </c>
      <c r="B14" s="262" t="s">
        <v>4723</v>
      </c>
      <c r="C14" s="326" t="s">
        <v>4721</v>
      </c>
      <c r="D14" s="109"/>
      <c r="E14" s="110"/>
      <c r="F14" s="111" t="s">
        <v>11428</v>
      </c>
      <c r="G14" s="110"/>
      <c r="H14" s="110"/>
      <c r="I14" s="112"/>
      <c r="J14" s="113"/>
      <c r="K14" s="114"/>
      <c r="L14" s="115" t="s">
        <v>11429</v>
      </c>
      <c r="M14" s="110"/>
      <c r="N14" s="110"/>
      <c r="O14" s="116"/>
      <c r="P14" s="110"/>
      <c r="Q14" s="117"/>
      <c r="R14" s="118"/>
      <c r="S14" s="169"/>
      <c r="T14" s="300" t="str">
        <f>CONCATENATE([1]Cover!$D$6,"fdd/view?i=",S14)</f>
        <v>https://www.dgiwg.org/FAD/fdd/view?i=</v>
      </c>
      <c r="U14" s="188"/>
    </row>
    <row r="15" spans="1:22">
      <c r="A15" s="64" t="s">
        <v>33679</v>
      </c>
      <c r="B15" s="263"/>
      <c r="C15" s="327"/>
      <c r="D15" s="132" t="s">
        <v>11430</v>
      </c>
      <c r="E15" s="138" t="s">
        <v>11431</v>
      </c>
      <c r="F15" s="70" t="s">
        <v>11432</v>
      </c>
      <c r="G15" s="70" t="s">
        <v>11433</v>
      </c>
      <c r="H15" s="68"/>
      <c r="I15" s="133" t="s">
        <v>4643</v>
      </c>
      <c r="J15" s="134" t="s">
        <v>11434</v>
      </c>
      <c r="K15" s="135" t="s">
        <v>6543</v>
      </c>
      <c r="L15" s="150" t="str">
        <f t="shared" ref="L15:L20" si="0">HYPERLINK("[#]Datatypes!B1396:L1396","Text")</f>
        <v>Text</v>
      </c>
      <c r="M15" s="122"/>
      <c r="N15" s="122"/>
      <c r="O15" s="122"/>
      <c r="P15" s="122"/>
      <c r="Q15" s="123"/>
      <c r="R15" s="124"/>
      <c r="S15" s="169"/>
      <c r="U15" s="188"/>
    </row>
    <row r="16" spans="1:22">
      <c r="A16" s="64" t="s">
        <v>33680</v>
      </c>
      <c r="B16" s="263"/>
      <c r="C16" s="327"/>
      <c r="D16" s="136" t="s">
        <v>11435</v>
      </c>
      <c r="E16" s="139" t="s">
        <v>11436</v>
      </c>
      <c r="F16" s="8" t="s">
        <v>11437</v>
      </c>
      <c r="G16" s="54"/>
      <c r="H16" s="54"/>
      <c r="I16" s="119" t="s">
        <v>11438</v>
      </c>
      <c r="J16" s="125"/>
      <c r="K16" s="121" t="s">
        <v>6543</v>
      </c>
      <c r="L16" s="151" t="str">
        <f t="shared" si="0"/>
        <v>Text</v>
      </c>
      <c r="M16" s="122"/>
      <c r="N16" s="122"/>
      <c r="O16" s="122"/>
      <c r="P16" s="122"/>
      <c r="Q16" s="123"/>
      <c r="R16" s="124"/>
      <c r="S16" s="169"/>
      <c r="T16" s="300" t="str">
        <f>CONCATENATE([1]Cover!$D$6,"fdd/view?i=",S16)</f>
        <v>https://www.dgiwg.org/FAD/fdd/view?i=</v>
      </c>
      <c r="U16" s="188"/>
    </row>
    <row r="17" spans="1:21">
      <c r="A17" s="64" t="s">
        <v>33681</v>
      </c>
      <c r="B17" s="263"/>
      <c r="C17" s="327"/>
      <c r="D17" s="136" t="s">
        <v>11439</v>
      </c>
      <c r="E17" s="139" t="s">
        <v>11440</v>
      </c>
      <c r="F17" s="8" t="s">
        <v>11441</v>
      </c>
      <c r="G17" s="54"/>
      <c r="H17" s="54"/>
      <c r="I17" s="119" t="s">
        <v>11438</v>
      </c>
      <c r="J17" s="125"/>
      <c r="K17" s="121" t="s">
        <v>6543</v>
      </c>
      <c r="L17" s="151" t="str">
        <f t="shared" si="0"/>
        <v>Text</v>
      </c>
      <c r="M17" s="122"/>
      <c r="N17" s="122"/>
      <c r="O17" s="122"/>
      <c r="P17" s="122"/>
      <c r="Q17" s="123"/>
      <c r="R17" s="124"/>
      <c r="S17" s="169"/>
      <c r="U17" s="188"/>
    </row>
    <row r="18" spans="1:21">
      <c r="A18" s="64" t="s">
        <v>33682</v>
      </c>
      <c r="B18" s="263"/>
      <c r="C18" s="327"/>
      <c r="D18" s="136" t="s">
        <v>11442</v>
      </c>
      <c r="E18" s="139" t="s">
        <v>11443</v>
      </c>
      <c r="F18" s="8" t="s">
        <v>11444</v>
      </c>
      <c r="G18" s="54"/>
      <c r="H18" s="54"/>
      <c r="I18" s="119" t="s">
        <v>11438</v>
      </c>
      <c r="J18" s="125"/>
      <c r="K18" s="121" t="s">
        <v>6543</v>
      </c>
      <c r="L18" s="151" t="str">
        <f t="shared" si="0"/>
        <v>Text</v>
      </c>
      <c r="M18" s="122"/>
      <c r="N18" s="122"/>
      <c r="O18" s="122"/>
      <c r="P18" s="122"/>
      <c r="Q18" s="123"/>
      <c r="R18" s="124"/>
      <c r="S18" s="169"/>
      <c r="T18" s="300" t="str">
        <f>CONCATENATE([1]Cover!$D$6,"fdd/view?i=",S18)</f>
        <v>https://www.dgiwg.org/FAD/fdd/view?i=</v>
      </c>
      <c r="U18" s="188"/>
    </row>
    <row r="19" spans="1:21">
      <c r="A19" s="64" t="s">
        <v>33683</v>
      </c>
      <c r="B19" s="263"/>
      <c r="C19" s="327"/>
      <c r="D19" s="136" t="s">
        <v>8006</v>
      </c>
      <c r="E19" s="139" t="s">
        <v>11445</v>
      </c>
      <c r="F19" s="8" t="s">
        <v>11446</v>
      </c>
      <c r="G19" s="8" t="s">
        <v>11447</v>
      </c>
      <c r="H19" s="54"/>
      <c r="I19" s="119" t="s">
        <v>11438</v>
      </c>
      <c r="J19" s="125"/>
      <c r="K19" s="121" t="s">
        <v>6543</v>
      </c>
      <c r="L19" s="151" t="str">
        <f t="shared" si="0"/>
        <v>Text</v>
      </c>
      <c r="M19" s="122"/>
      <c r="N19" s="122"/>
      <c r="O19" s="122"/>
      <c r="P19" s="122"/>
      <c r="Q19" s="123"/>
      <c r="R19" s="124"/>
      <c r="S19" s="169"/>
      <c r="U19" s="188"/>
    </row>
    <row r="20" spans="1:21" ht="25.5">
      <c r="A20" s="65" t="s">
        <v>33684</v>
      </c>
      <c r="B20" s="264"/>
      <c r="C20" s="328"/>
      <c r="D20" s="137" t="s">
        <v>11448</v>
      </c>
      <c r="E20" s="140" t="s">
        <v>11449</v>
      </c>
      <c r="F20" s="66" t="s">
        <v>11450</v>
      </c>
      <c r="G20" s="69"/>
      <c r="H20" s="69"/>
      <c r="I20" s="126" t="s">
        <v>4643</v>
      </c>
      <c r="J20" s="127" t="s">
        <v>11451</v>
      </c>
      <c r="K20" s="128" t="s">
        <v>6543</v>
      </c>
      <c r="L20" s="152" t="str">
        <f t="shared" si="0"/>
        <v>Text</v>
      </c>
      <c r="M20" s="129"/>
      <c r="N20" s="129"/>
      <c r="O20" s="129"/>
      <c r="P20" s="129"/>
      <c r="Q20" s="130"/>
      <c r="R20" s="131"/>
      <c r="S20" s="169"/>
      <c r="T20" s="300" t="str">
        <f>CONCATENATE([1]Cover!$D$6,"fdd/view?i=",S20)</f>
        <v>https://www.dgiwg.org/FAD/fdd/view?i=</v>
      </c>
      <c r="U20" s="188"/>
    </row>
    <row r="21" spans="1:21" ht="2.1" customHeight="1">
      <c r="A21" s="98"/>
      <c r="B21" s="87"/>
      <c r="C21" s="99"/>
      <c r="D21" s="87"/>
      <c r="E21" s="99"/>
      <c r="F21" s="100"/>
      <c r="G21" s="100"/>
      <c r="H21" s="100"/>
      <c r="I21" s="101"/>
      <c r="J21" s="106"/>
      <c r="K21" s="103"/>
      <c r="L21" s="104"/>
      <c r="M21" s="100"/>
      <c r="N21" s="100"/>
      <c r="O21" s="100"/>
      <c r="P21" s="100"/>
      <c r="Q21" s="105"/>
      <c r="R21" s="105"/>
      <c r="S21" s="169"/>
      <c r="U21" s="188"/>
    </row>
    <row r="22" spans="1:21">
      <c r="A22" s="67" t="s">
        <v>4727</v>
      </c>
      <c r="B22" s="87" t="s">
        <v>4727</v>
      </c>
      <c r="C22" s="88" t="s">
        <v>11452</v>
      </c>
      <c r="D22" s="89"/>
      <c r="E22" s="90"/>
      <c r="F22" s="91" t="s">
        <v>11453</v>
      </c>
      <c r="G22" s="90"/>
      <c r="H22" s="90"/>
      <c r="I22" s="92"/>
      <c r="J22" s="93"/>
      <c r="K22" s="94"/>
      <c r="L22" s="149" t="str">
        <f>HYPERLINK("[#]DatatypeListedValues!B70:H70","Enumeration")</f>
        <v>Enumeration</v>
      </c>
      <c r="M22" s="107" t="b">
        <v>0</v>
      </c>
      <c r="N22" s="90"/>
      <c r="O22" s="95"/>
      <c r="P22" s="90"/>
      <c r="Q22" s="96"/>
      <c r="R22" s="97"/>
      <c r="S22" s="169"/>
      <c r="T22" s="300" t="str">
        <f>CONCATENATE([1]Cover!$D$6,"fdd/view?i=",S22)</f>
        <v>https://www.dgiwg.org/FAD/fdd/view?i=</v>
      </c>
      <c r="U22" s="188"/>
    </row>
    <row r="23" spans="1:21" ht="2.1" customHeight="1">
      <c r="A23" s="98"/>
      <c r="B23" s="87"/>
      <c r="C23" s="99"/>
      <c r="D23" s="87"/>
      <c r="E23" s="99"/>
      <c r="F23" s="100"/>
      <c r="G23" s="100"/>
      <c r="H23" s="100"/>
      <c r="I23" s="101"/>
      <c r="J23" s="106"/>
      <c r="K23" s="103"/>
      <c r="L23" s="104"/>
      <c r="M23" s="100"/>
      <c r="N23" s="100"/>
      <c r="O23" s="100"/>
      <c r="P23" s="100"/>
      <c r="Q23" s="105"/>
      <c r="R23" s="105"/>
      <c r="S23" s="169"/>
      <c r="U23" s="188"/>
    </row>
    <row r="24" spans="1:21" ht="25.5">
      <c r="A24" s="67" t="s">
        <v>4755</v>
      </c>
      <c r="B24" s="87" t="s">
        <v>4755</v>
      </c>
      <c r="C24" s="88" t="s">
        <v>11454</v>
      </c>
      <c r="D24" s="89"/>
      <c r="E24" s="90"/>
      <c r="F24" s="91" t="s">
        <v>11455</v>
      </c>
      <c r="G24" s="90"/>
      <c r="H24" s="90"/>
      <c r="I24" s="92"/>
      <c r="J24" s="93"/>
      <c r="K24" s="94"/>
      <c r="L24" s="149" t="str">
        <f>HYPERLINK("[#]DatatypeListedValues!B76:H76","Enumeration")</f>
        <v>Enumeration</v>
      </c>
      <c r="M24" s="91" t="b">
        <v>1</v>
      </c>
      <c r="N24" s="90"/>
      <c r="O24" s="95"/>
      <c r="P24" s="90"/>
      <c r="Q24" s="96"/>
      <c r="R24" s="97"/>
      <c r="S24" s="169"/>
      <c r="T24" s="300" t="str">
        <f>CONCATENATE([1]Cover!$D$6,"fdd/view?i=",S24)</f>
        <v>https://www.dgiwg.org/FAD/fdd/view?i=</v>
      </c>
      <c r="U24" s="188"/>
    </row>
    <row r="25" spans="1:21" ht="2.1" customHeight="1">
      <c r="A25" s="98"/>
      <c r="B25" s="87"/>
      <c r="C25" s="99"/>
      <c r="D25" s="87"/>
      <c r="E25" s="99"/>
      <c r="F25" s="100"/>
      <c r="G25" s="100"/>
      <c r="H25" s="100"/>
      <c r="I25" s="101"/>
      <c r="J25" s="106"/>
      <c r="K25" s="103"/>
      <c r="L25" s="104"/>
      <c r="M25" s="100"/>
      <c r="N25" s="100"/>
      <c r="O25" s="100"/>
      <c r="P25" s="100"/>
      <c r="Q25" s="105"/>
      <c r="R25" s="105"/>
      <c r="S25" s="169"/>
      <c r="U25" s="188"/>
    </row>
    <row r="26" spans="1:21" ht="25.5">
      <c r="A26" s="67" t="s">
        <v>4760</v>
      </c>
      <c r="B26" s="87" t="s">
        <v>4760</v>
      </c>
      <c r="C26" s="88" t="s">
        <v>11456</v>
      </c>
      <c r="D26" s="89"/>
      <c r="E26" s="90"/>
      <c r="F26" s="91" t="s">
        <v>11457</v>
      </c>
      <c r="G26" s="90"/>
      <c r="H26" s="90"/>
      <c r="I26" s="92"/>
      <c r="J26" s="93"/>
      <c r="K26" s="94"/>
      <c r="L26" s="149" t="str">
        <f>HYPERLINK("[#]DatatypeListedValues!B428:H428","Enumeration")</f>
        <v>Enumeration</v>
      </c>
      <c r="M26" s="91" t="b">
        <v>1</v>
      </c>
      <c r="N26" s="90"/>
      <c r="O26" s="95"/>
      <c r="P26" s="90"/>
      <c r="Q26" s="96"/>
      <c r="R26" s="97"/>
      <c r="S26" s="169"/>
      <c r="T26" s="300" t="str">
        <f>CONCATENATE([1]Cover!$D$6,"fdd/view?i=",S26)</f>
        <v>https://www.dgiwg.org/FAD/fdd/view?i=</v>
      </c>
      <c r="U26" s="188"/>
    </row>
    <row r="27" spans="1:21" ht="2.1" customHeight="1">
      <c r="A27" s="98"/>
      <c r="B27" s="87"/>
      <c r="C27" s="99"/>
      <c r="D27" s="87"/>
      <c r="E27" s="99"/>
      <c r="F27" s="100"/>
      <c r="G27" s="100"/>
      <c r="H27" s="100"/>
      <c r="I27" s="101"/>
      <c r="J27" s="106"/>
      <c r="K27" s="103"/>
      <c r="L27" s="104"/>
      <c r="M27" s="100"/>
      <c r="N27" s="100"/>
      <c r="O27" s="100"/>
      <c r="P27" s="100"/>
      <c r="Q27" s="105"/>
      <c r="R27" s="105"/>
      <c r="S27" s="169"/>
      <c r="U27" s="188"/>
    </row>
    <row r="28" spans="1:21" ht="25.5">
      <c r="A28" s="67" t="s">
        <v>4771</v>
      </c>
      <c r="B28" s="87" t="s">
        <v>4771</v>
      </c>
      <c r="C28" s="88" t="s">
        <v>11458</v>
      </c>
      <c r="D28" s="89"/>
      <c r="E28" s="90"/>
      <c r="F28" s="91" t="s">
        <v>11459</v>
      </c>
      <c r="G28" s="90"/>
      <c r="H28" s="90"/>
      <c r="I28" s="92"/>
      <c r="J28" s="93"/>
      <c r="K28" s="94"/>
      <c r="L28" s="149" t="str">
        <f>HYPERLINK("[#]DatatypeListedValues!B780:H780","Enumeration")</f>
        <v>Enumeration</v>
      </c>
      <c r="M28" s="107" t="b">
        <v>0</v>
      </c>
      <c r="N28" s="90"/>
      <c r="O28" s="95"/>
      <c r="P28" s="90"/>
      <c r="Q28" s="96"/>
      <c r="R28" s="97"/>
      <c r="S28" s="169"/>
      <c r="T28" s="300" t="str">
        <f>CONCATENATE([1]Cover!$D$6,"fdd/view?i=",S28)</f>
        <v>https://www.dgiwg.org/FAD/fdd/view?i=</v>
      </c>
      <c r="U28" s="188"/>
    </row>
    <row r="29" spans="1:21" ht="2.1" customHeight="1">
      <c r="A29" s="98"/>
      <c r="B29" s="87"/>
      <c r="C29" s="99"/>
      <c r="D29" s="87"/>
      <c r="E29" s="99"/>
      <c r="F29" s="100"/>
      <c r="G29" s="100"/>
      <c r="H29" s="100"/>
      <c r="I29" s="101"/>
      <c r="J29" s="106"/>
      <c r="K29" s="103"/>
      <c r="L29" s="104"/>
      <c r="M29" s="100"/>
      <c r="N29" s="100"/>
      <c r="O29" s="100"/>
      <c r="P29" s="100"/>
      <c r="Q29" s="105"/>
      <c r="R29" s="105"/>
      <c r="S29" s="169"/>
      <c r="U29" s="188"/>
    </row>
    <row r="30" spans="1:21" ht="38.25">
      <c r="A30" s="67" t="s">
        <v>4780</v>
      </c>
      <c r="B30" s="87" t="s">
        <v>4780</v>
      </c>
      <c r="C30" s="88" t="s">
        <v>11460</v>
      </c>
      <c r="D30" s="89"/>
      <c r="E30" s="90"/>
      <c r="F30" s="91" t="s">
        <v>11461</v>
      </c>
      <c r="G30" s="90"/>
      <c r="H30" s="91" t="s">
        <v>11426</v>
      </c>
      <c r="I30" s="92"/>
      <c r="J30" s="93"/>
      <c r="K30" s="94"/>
      <c r="L30" s="91" t="s">
        <v>11425</v>
      </c>
      <c r="M30" s="90"/>
      <c r="N30" s="91">
        <v>4</v>
      </c>
      <c r="O30" s="108" t="b">
        <v>0</v>
      </c>
      <c r="P30" s="91" t="s">
        <v>11462</v>
      </c>
      <c r="Q30" s="96"/>
      <c r="R30" s="97"/>
      <c r="S30" s="169"/>
      <c r="T30" s="300" t="str">
        <f>CONCATENATE([1]Cover!$D$6,"fdd/view?i=",S30)</f>
        <v>https://www.dgiwg.org/FAD/fdd/view?i=</v>
      </c>
      <c r="U30" s="188"/>
    </row>
    <row r="31" spans="1:21" ht="2.1" customHeight="1">
      <c r="A31" s="98"/>
      <c r="B31" s="87"/>
      <c r="C31" s="99"/>
      <c r="D31" s="87"/>
      <c r="E31" s="99"/>
      <c r="F31" s="100"/>
      <c r="G31" s="100"/>
      <c r="H31" s="100"/>
      <c r="I31" s="101"/>
      <c r="J31" s="106"/>
      <c r="K31" s="103"/>
      <c r="L31" s="104"/>
      <c r="M31" s="100"/>
      <c r="N31" s="100"/>
      <c r="O31" s="100"/>
      <c r="P31" s="100"/>
      <c r="Q31" s="105"/>
      <c r="R31" s="105"/>
      <c r="S31" s="169"/>
      <c r="U31" s="188"/>
    </row>
    <row r="32" spans="1:21" ht="25.5">
      <c r="A32" s="67" t="s">
        <v>4785</v>
      </c>
      <c r="B32" s="87" t="s">
        <v>4785</v>
      </c>
      <c r="C32" s="88" t="s">
        <v>11463</v>
      </c>
      <c r="D32" s="89"/>
      <c r="E32" s="90"/>
      <c r="F32" s="91" t="s">
        <v>11464</v>
      </c>
      <c r="G32" s="90"/>
      <c r="H32" s="90"/>
      <c r="I32" s="92"/>
      <c r="J32" s="93"/>
      <c r="K32" s="94"/>
      <c r="L32" s="149" t="str">
        <f>HYPERLINK("[#]DatatypeListedValues!B803:H803","Enumeration")</f>
        <v>Enumeration</v>
      </c>
      <c r="M32" s="107" t="b">
        <v>0</v>
      </c>
      <c r="N32" s="90"/>
      <c r="O32" s="95"/>
      <c r="P32" s="90"/>
      <c r="Q32" s="96"/>
      <c r="R32" s="97"/>
      <c r="S32" s="169"/>
      <c r="T32" s="300" t="str">
        <f>CONCATENATE([1]Cover!$D$6,"fdd/view?i=",S32)</f>
        <v>https://www.dgiwg.org/FAD/fdd/view?i=</v>
      </c>
      <c r="U32" s="188"/>
    </row>
    <row r="33" spans="1:21" ht="2.1" customHeight="1">
      <c r="A33" s="98"/>
      <c r="B33" s="87"/>
      <c r="C33" s="99"/>
      <c r="D33" s="87"/>
      <c r="E33" s="99"/>
      <c r="F33" s="100"/>
      <c r="G33" s="100"/>
      <c r="H33" s="100"/>
      <c r="I33" s="101"/>
      <c r="J33" s="106"/>
      <c r="K33" s="103"/>
      <c r="L33" s="104"/>
      <c r="M33" s="100"/>
      <c r="N33" s="100"/>
      <c r="O33" s="100"/>
      <c r="P33" s="100"/>
      <c r="Q33" s="105"/>
      <c r="R33" s="105"/>
      <c r="S33" s="169"/>
      <c r="U33" s="188"/>
    </row>
    <row r="34" spans="1:21" ht="25.5">
      <c r="A34" s="67" t="s">
        <v>4804</v>
      </c>
      <c r="B34" s="87" t="s">
        <v>4804</v>
      </c>
      <c r="C34" s="88" t="s">
        <v>11465</v>
      </c>
      <c r="D34" s="89"/>
      <c r="E34" s="90"/>
      <c r="F34" s="91" t="s">
        <v>11466</v>
      </c>
      <c r="G34" s="90"/>
      <c r="H34" s="90"/>
      <c r="I34" s="92"/>
      <c r="J34" s="93"/>
      <c r="K34" s="94"/>
      <c r="L34" s="149" t="str">
        <f>HYPERLINK("[#]DatatypeListedValues!B805:H805","Enumeration")</f>
        <v>Enumeration</v>
      </c>
      <c r="M34" s="107" t="b">
        <v>0</v>
      </c>
      <c r="N34" s="90"/>
      <c r="O34" s="95"/>
      <c r="P34" s="90"/>
      <c r="Q34" s="96"/>
      <c r="R34" s="97"/>
      <c r="S34" s="169"/>
      <c r="T34" s="300" t="str">
        <f>CONCATENATE([1]Cover!$D$6,"fdd/view?i=",S34)</f>
        <v>https://www.dgiwg.org/FAD/fdd/view?i=</v>
      </c>
      <c r="U34" s="188"/>
    </row>
    <row r="35" spans="1:21" ht="2.1" customHeight="1">
      <c r="A35" s="98"/>
      <c r="B35" s="87"/>
      <c r="C35" s="99"/>
      <c r="D35" s="87"/>
      <c r="E35" s="99"/>
      <c r="F35" s="100"/>
      <c r="G35" s="100"/>
      <c r="H35" s="100"/>
      <c r="I35" s="101"/>
      <c r="J35" s="106"/>
      <c r="K35" s="103"/>
      <c r="L35" s="104"/>
      <c r="M35" s="100"/>
      <c r="N35" s="100"/>
      <c r="O35" s="100"/>
      <c r="P35" s="100"/>
      <c r="Q35" s="105"/>
      <c r="R35" s="105"/>
      <c r="S35" s="169"/>
      <c r="U35" s="188"/>
    </row>
    <row r="36" spans="1:21" ht="38.25">
      <c r="A36" s="67" t="s">
        <v>4809</v>
      </c>
      <c r="B36" s="87" t="s">
        <v>4809</v>
      </c>
      <c r="C36" s="88" t="s">
        <v>11467</v>
      </c>
      <c r="D36" s="89"/>
      <c r="E36" s="90"/>
      <c r="F36" s="91" t="s">
        <v>11468</v>
      </c>
      <c r="G36" s="90"/>
      <c r="H36" s="91" t="s">
        <v>11426</v>
      </c>
      <c r="I36" s="92"/>
      <c r="J36" s="93"/>
      <c r="K36" s="94"/>
      <c r="L36" s="91" t="s">
        <v>11425</v>
      </c>
      <c r="M36" s="90"/>
      <c r="N36" s="91">
        <v>5</v>
      </c>
      <c r="O36" s="108" t="b">
        <v>0</v>
      </c>
      <c r="P36" s="91" t="s">
        <v>11469</v>
      </c>
      <c r="Q36" s="96"/>
      <c r="R36" s="97"/>
      <c r="S36" s="169"/>
      <c r="T36" s="300" t="str">
        <f>CONCATENATE([1]Cover!$D$6,"fdd/view?i=",S36)</f>
        <v>https://www.dgiwg.org/FAD/fdd/view?i=</v>
      </c>
      <c r="U36" s="188"/>
    </row>
    <row r="37" spans="1:21" ht="2.1" customHeight="1">
      <c r="A37" s="98"/>
      <c r="B37" s="87"/>
      <c r="C37" s="99"/>
      <c r="D37" s="87"/>
      <c r="E37" s="99"/>
      <c r="F37" s="100"/>
      <c r="G37" s="100"/>
      <c r="H37" s="100"/>
      <c r="I37" s="101"/>
      <c r="J37" s="106"/>
      <c r="K37" s="103"/>
      <c r="L37" s="104"/>
      <c r="M37" s="100"/>
      <c r="N37" s="100"/>
      <c r="O37" s="100"/>
      <c r="P37" s="100"/>
      <c r="Q37" s="105"/>
      <c r="R37" s="105"/>
      <c r="S37" s="169"/>
      <c r="U37" s="188"/>
    </row>
    <row r="38" spans="1:21" ht="51">
      <c r="A38" s="67" t="s">
        <v>4820</v>
      </c>
      <c r="B38" s="87" t="s">
        <v>4820</v>
      </c>
      <c r="C38" s="88" t="s">
        <v>11470</v>
      </c>
      <c r="D38" s="89"/>
      <c r="E38" s="90"/>
      <c r="F38" s="91" t="s">
        <v>11471</v>
      </c>
      <c r="G38" s="90"/>
      <c r="H38" s="91" t="s">
        <v>11473</v>
      </c>
      <c r="I38" s="92"/>
      <c r="J38" s="93"/>
      <c r="K38" s="94"/>
      <c r="L38" s="91" t="s">
        <v>11472</v>
      </c>
      <c r="M38" s="90"/>
      <c r="N38" s="91">
        <v>7</v>
      </c>
      <c r="O38" s="108" t="b">
        <v>0</v>
      </c>
      <c r="P38" s="91" t="s">
        <v>11474</v>
      </c>
      <c r="Q38" s="96"/>
      <c r="R38" s="97"/>
      <c r="S38" s="169"/>
      <c r="T38" s="300" t="str">
        <f>CONCATENATE([1]Cover!$D$6,"fdd/view?i=",S38)</f>
        <v>https://www.dgiwg.org/FAD/fdd/view?i=</v>
      </c>
      <c r="U38" s="188"/>
    </row>
    <row r="39" spans="1:21" ht="2.1" customHeight="1">
      <c r="A39" s="98"/>
      <c r="B39" s="87"/>
      <c r="C39" s="99"/>
      <c r="D39" s="87"/>
      <c r="E39" s="99"/>
      <c r="F39" s="100"/>
      <c r="G39" s="100"/>
      <c r="H39" s="100"/>
      <c r="I39" s="101"/>
      <c r="J39" s="106"/>
      <c r="K39" s="103"/>
      <c r="L39" s="104"/>
      <c r="M39" s="100"/>
      <c r="N39" s="100"/>
      <c r="O39" s="100"/>
      <c r="P39" s="100"/>
      <c r="Q39" s="105"/>
      <c r="R39" s="105"/>
      <c r="S39" s="169"/>
      <c r="U39" s="188"/>
    </row>
    <row r="40" spans="1:21" ht="25.5">
      <c r="A40" s="67" t="s">
        <v>4838</v>
      </c>
      <c r="B40" s="87" t="s">
        <v>4838</v>
      </c>
      <c r="C40" s="88" t="s">
        <v>11475</v>
      </c>
      <c r="D40" s="89"/>
      <c r="E40" s="90"/>
      <c r="F40" s="91" t="s">
        <v>11476</v>
      </c>
      <c r="G40" s="90"/>
      <c r="H40" s="90"/>
      <c r="I40" s="92"/>
      <c r="J40" s="93"/>
      <c r="K40" s="94"/>
      <c r="L40" s="149" t="str">
        <f>HYPERLINK("[#]DatatypeListedValues!B818:H818","Enumeration")</f>
        <v>Enumeration</v>
      </c>
      <c r="M40" s="107" t="b">
        <v>0</v>
      </c>
      <c r="N40" s="90"/>
      <c r="O40" s="95"/>
      <c r="P40" s="90"/>
      <c r="Q40" s="96"/>
      <c r="R40" s="97"/>
      <c r="S40" s="169"/>
      <c r="T40" s="300" t="str">
        <f>CONCATENATE([1]Cover!$D$6,"fdd/view?i=",S40)</f>
        <v>https://www.dgiwg.org/FAD/fdd/view?i=</v>
      </c>
      <c r="U40" s="188"/>
    </row>
    <row r="41" spans="1:21" ht="2.1" customHeight="1">
      <c r="A41" s="98"/>
      <c r="B41" s="87"/>
      <c r="C41" s="99"/>
      <c r="D41" s="87"/>
      <c r="E41" s="99"/>
      <c r="F41" s="100"/>
      <c r="G41" s="100"/>
      <c r="H41" s="100"/>
      <c r="I41" s="101"/>
      <c r="J41" s="106"/>
      <c r="K41" s="103"/>
      <c r="L41" s="104"/>
      <c r="M41" s="100"/>
      <c r="N41" s="100"/>
      <c r="O41" s="100"/>
      <c r="P41" s="100"/>
      <c r="Q41" s="105"/>
      <c r="R41" s="105"/>
      <c r="S41" s="169"/>
      <c r="U41" s="188"/>
    </row>
    <row r="42" spans="1:21" ht="25.5">
      <c r="A42" s="67" t="s">
        <v>4844</v>
      </c>
      <c r="B42" s="87" t="s">
        <v>4844</v>
      </c>
      <c r="C42" s="88" t="s">
        <v>11477</v>
      </c>
      <c r="D42" s="89"/>
      <c r="E42" s="90"/>
      <c r="F42" s="91" t="s">
        <v>11478</v>
      </c>
      <c r="G42" s="90"/>
      <c r="H42" s="90"/>
      <c r="I42" s="92"/>
      <c r="J42" s="93"/>
      <c r="K42" s="94"/>
      <c r="L42" s="149" t="str">
        <f>HYPERLINK("[#]DatatypeListedValues!B841:H841","Enumeration")</f>
        <v>Enumeration</v>
      </c>
      <c r="M42" s="107" t="b">
        <v>0</v>
      </c>
      <c r="N42" s="90"/>
      <c r="O42" s="95"/>
      <c r="P42" s="90"/>
      <c r="Q42" s="96"/>
      <c r="R42" s="97"/>
      <c r="S42" s="169"/>
      <c r="T42" s="300" t="str">
        <f>CONCATENATE([1]Cover!$D$6,"fdd/view?i=",S42)</f>
        <v>https://www.dgiwg.org/FAD/fdd/view?i=</v>
      </c>
      <c r="U42" s="188"/>
    </row>
    <row r="43" spans="1:21" ht="2.1" customHeight="1">
      <c r="A43" s="98"/>
      <c r="B43" s="87"/>
      <c r="C43" s="99"/>
      <c r="D43" s="87"/>
      <c r="E43" s="99"/>
      <c r="F43" s="100"/>
      <c r="G43" s="100"/>
      <c r="H43" s="100"/>
      <c r="I43" s="101"/>
      <c r="J43" s="106"/>
      <c r="K43" s="103"/>
      <c r="L43" s="104"/>
      <c r="M43" s="100"/>
      <c r="N43" s="100"/>
      <c r="O43" s="100"/>
      <c r="P43" s="100"/>
      <c r="Q43" s="105"/>
      <c r="R43" s="105"/>
      <c r="S43" s="169"/>
      <c r="U43" s="188"/>
    </row>
    <row r="44" spans="1:21" ht="25.5">
      <c r="A44" s="67" t="s">
        <v>4850</v>
      </c>
      <c r="B44" s="87" t="s">
        <v>4850</v>
      </c>
      <c r="C44" s="88" t="s">
        <v>11479</v>
      </c>
      <c r="D44" s="89"/>
      <c r="E44" s="90"/>
      <c r="F44" s="91" t="s">
        <v>11480</v>
      </c>
      <c r="G44" s="90"/>
      <c r="H44" s="90"/>
      <c r="I44" s="92"/>
      <c r="J44" s="93"/>
      <c r="K44" s="94"/>
      <c r="L44" s="149" t="str">
        <f>HYPERLINK("[#]DatatypeListedValues!B848:H848","Enumeration")</f>
        <v>Enumeration</v>
      </c>
      <c r="M44" s="107" t="b">
        <v>0</v>
      </c>
      <c r="N44" s="90"/>
      <c r="O44" s="95"/>
      <c r="P44" s="90"/>
      <c r="Q44" s="96"/>
      <c r="R44" s="97"/>
      <c r="S44" s="169"/>
      <c r="T44" s="300" t="str">
        <f>CONCATENATE([1]Cover!$D$6,"fdd/view?i=",S44)</f>
        <v>https://www.dgiwg.org/FAD/fdd/view?i=</v>
      </c>
      <c r="U44" s="188"/>
    </row>
    <row r="45" spans="1:21" ht="2.1" customHeight="1">
      <c r="A45" s="98"/>
      <c r="B45" s="87"/>
      <c r="C45" s="99"/>
      <c r="D45" s="87"/>
      <c r="E45" s="99"/>
      <c r="F45" s="100"/>
      <c r="G45" s="100"/>
      <c r="H45" s="100"/>
      <c r="I45" s="101"/>
      <c r="J45" s="106"/>
      <c r="K45" s="103"/>
      <c r="L45" s="104"/>
      <c r="M45" s="100"/>
      <c r="N45" s="100"/>
      <c r="O45" s="100"/>
      <c r="P45" s="100"/>
      <c r="Q45" s="105"/>
      <c r="R45" s="105"/>
      <c r="S45" s="169"/>
      <c r="U45" s="188"/>
    </row>
    <row r="46" spans="1:21" ht="25.5">
      <c r="A46" s="67" t="s">
        <v>4856</v>
      </c>
      <c r="B46" s="87" t="s">
        <v>4856</v>
      </c>
      <c r="C46" s="88" t="s">
        <v>11481</v>
      </c>
      <c r="D46" s="89"/>
      <c r="E46" s="90"/>
      <c r="F46" s="91" t="s">
        <v>11482</v>
      </c>
      <c r="G46" s="90"/>
      <c r="H46" s="90"/>
      <c r="I46" s="92"/>
      <c r="J46" s="93"/>
      <c r="K46" s="94"/>
      <c r="L46" s="149" t="str">
        <f>HYPERLINK("[#]DatatypeListedValues!B853:H853","Enumeration")</f>
        <v>Enumeration</v>
      </c>
      <c r="M46" s="107" t="b">
        <v>0</v>
      </c>
      <c r="N46" s="90"/>
      <c r="O46" s="95"/>
      <c r="P46" s="90"/>
      <c r="Q46" s="96"/>
      <c r="R46" s="97"/>
      <c r="S46" s="169"/>
      <c r="T46" s="300" t="str">
        <f>CONCATENATE([1]Cover!$D$6,"fdd/view?i=",S46)</f>
        <v>https://www.dgiwg.org/FAD/fdd/view?i=</v>
      </c>
      <c r="U46" s="188"/>
    </row>
    <row r="47" spans="1:21" ht="2.1" customHeight="1">
      <c r="A47" s="98"/>
      <c r="B47" s="87"/>
      <c r="C47" s="99"/>
      <c r="D47" s="87"/>
      <c r="E47" s="99"/>
      <c r="F47" s="100"/>
      <c r="G47" s="100"/>
      <c r="H47" s="100"/>
      <c r="I47" s="101"/>
      <c r="J47" s="106"/>
      <c r="K47" s="103"/>
      <c r="L47" s="104"/>
      <c r="M47" s="100"/>
      <c r="N47" s="100"/>
      <c r="O47" s="100"/>
      <c r="P47" s="100"/>
      <c r="Q47" s="105"/>
      <c r="R47" s="105"/>
      <c r="S47" s="169"/>
      <c r="U47" s="188"/>
    </row>
    <row r="48" spans="1:21" ht="38.25">
      <c r="A48" s="67" t="s">
        <v>4861</v>
      </c>
      <c r="B48" s="87" t="s">
        <v>4861</v>
      </c>
      <c r="C48" s="88" t="s">
        <v>11483</v>
      </c>
      <c r="D48" s="89"/>
      <c r="E48" s="90"/>
      <c r="F48" s="91" t="s">
        <v>11484</v>
      </c>
      <c r="G48" s="90"/>
      <c r="H48" s="90"/>
      <c r="I48" s="92"/>
      <c r="J48" s="93"/>
      <c r="K48" s="94"/>
      <c r="L48" s="149" t="str">
        <f>HYPERLINK("[#]DatatypeListedValues!B874:H874","Enumeration")</f>
        <v>Enumeration</v>
      </c>
      <c r="M48" s="107" t="b">
        <v>0</v>
      </c>
      <c r="N48" s="90"/>
      <c r="O48" s="95"/>
      <c r="P48" s="90"/>
      <c r="Q48" s="96"/>
      <c r="R48" s="97"/>
      <c r="S48" s="169"/>
      <c r="T48" s="300" t="str">
        <f>CONCATENATE([1]Cover!$D$6,"fdd/view?i=",S48)</f>
        <v>https://www.dgiwg.org/FAD/fdd/view?i=</v>
      </c>
      <c r="U48" s="188"/>
    </row>
    <row r="49" spans="1:21" ht="2.1" customHeight="1">
      <c r="A49" s="98"/>
      <c r="B49" s="87"/>
      <c r="C49" s="99"/>
      <c r="D49" s="87"/>
      <c r="E49" s="99"/>
      <c r="F49" s="100"/>
      <c r="G49" s="100"/>
      <c r="H49" s="100"/>
      <c r="I49" s="101"/>
      <c r="J49" s="106"/>
      <c r="K49" s="103"/>
      <c r="L49" s="104"/>
      <c r="M49" s="100"/>
      <c r="N49" s="100"/>
      <c r="O49" s="100"/>
      <c r="P49" s="100"/>
      <c r="Q49" s="105"/>
      <c r="R49" s="105"/>
      <c r="S49" s="169"/>
      <c r="U49" s="188"/>
    </row>
    <row r="50" spans="1:21" ht="25.5">
      <c r="A50" s="67" t="s">
        <v>4866</v>
      </c>
      <c r="B50" s="87" t="s">
        <v>4866</v>
      </c>
      <c r="C50" s="88" t="s">
        <v>11485</v>
      </c>
      <c r="D50" s="89"/>
      <c r="E50" s="90"/>
      <c r="F50" s="91" t="s">
        <v>11486</v>
      </c>
      <c r="G50" s="90"/>
      <c r="H50" s="90"/>
      <c r="I50" s="92"/>
      <c r="J50" s="93"/>
      <c r="K50" s="94"/>
      <c r="L50" s="149" t="str">
        <f>HYPERLINK("[#]DatatypeListedValues!B882:H882","Enumeration")</f>
        <v>Enumeration</v>
      </c>
      <c r="M50" s="107" t="b">
        <v>0</v>
      </c>
      <c r="N50" s="90"/>
      <c r="O50" s="95"/>
      <c r="P50" s="90"/>
      <c r="Q50" s="96"/>
      <c r="R50" s="97"/>
      <c r="S50" s="169"/>
      <c r="T50" s="300" t="str">
        <f>CONCATENATE([1]Cover!$D$6,"fdd/view?i=",S50)</f>
        <v>https://www.dgiwg.org/FAD/fdd/view?i=</v>
      </c>
      <c r="U50" s="188"/>
    </row>
    <row r="51" spans="1:21" ht="2.1" customHeight="1">
      <c r="A51" s="98"/>
      <c r="B51" s="87"/>
      <c r="C51" s="99"/>
      <c r="D51" s="87"/>
      <c r="E51" s="99"/>
      <c r="F51" s="100"/>
      <c r="G51" s="100"/>
      <c r="H51" s="100"/>
      <c r="I51" s="101"/>
      <c r="J51" s="106"/>
      <c r="K51" s="103"/>
      <c r="L51" s="104"/>
      <c r="M51" s="100"/>
      <c r="N51" s="100"/>
      <c r="O51" s="100"/>
      <c r="P51" s="100"/>
      <c r="Q51" s="105"/>
      <c r="R51" s="105"/>
      <c r="S51" s="169"/>
      <c r="U51" s="188"/>
    </row>
    <row r="52" spans="1:21" ht="25.5">
      <c r="A52" s="67" t="s">
        <v>4876</v>
      </c>
      <c r="B52" s="87" t="s">
        <v>4876</v>
      </c>
      <c r="C52" s="88" t="s">
        <v>11487</v>
      </c>
      <c r="D52" s="89"/>
      <c r="E52" s="90"/>
      <c r="F52" s="91" t="s">
        <v>11488</v>
      </c>
      <c r="G52" s="90"/>
      <c r="H52" s="90"/>
      <c r="I52" s="92"/>
      <c r="J52" s="93"/>
      <c r="K52" s="94"/>
      <c r="L52" s="149" t="str">
        <f>HYPERLINK("[#]DatatypeListedValues!B892:H892","Enumeration")</f>
        <v>Enumeration</v>
      </c>
      <c r="M52" s="91" t="b">
        <v>1</v>
      </c>
      <c r="N52" s="90"/>
      <c r="O52" s="95"/>
      <c r="P52" s="90"/>
      <c r="Q52" s="96"/>
      <c r="R52" s="97"/>
      <c r="S52" s="169"/>
      <c r="T52" s="300" t="str">
        <f>CONCATENATE([1]Cover!$D$6,"fdd/view?i=",S52)</f>
        <v>https://www.dgiwg.org/FAD/fdd/view?i=</v>
      </c>
      <c r="U52" s="188"/>
    </row>
    <row r="53" spans="1:21" ht="2.1" customHeight="1">
      <c r="A53" s="98"/>
      <c r="B53" s="87"/>
      <c r="C53" s="99"/>
      <c r="D53" s="87"/>
      <c r="E53" s="99"/>
      <c r="F53" s="100"/>
      <c r="G53" s="100"/>
      <c r="H53" s="100"/>
      <c r="I53" s="101"/>
      <c r="J53" s="106"/>
      <c r="K53" s="103"/>
      <c r="L53" s="104"/>
      <c r="M53" s="100"/>
      <c r="N53" s="100"/>
      <c r="O53" s="100"/>
      <c r="P53" s="100"/>
      <c r="Q53" s="105"/>
      <c r="R53" s="105"/>
      <c r="S53" s="169"/>
      <c r="U53" s="188"/>
    </row>
    <row r="54" spans="1:21" ht="25.5">
      <c r="A54" s="67" t="s">
        <v>4892</v>
      </c>
      <c r="B54" s="87" t="s">
        <v>4892</v>
      </c>
      <c r="C54" s="88" t="s">
        <v>11489</v>
      </c>
      <c r="D54" s="89"/>
      <c r="E54" s="90"/>
      <c r="F54" s="91" t="s">
        <v>11490</v>
      </c>
      <c r="G54" s="90"/>
      <c r="H54" s="90"/>
      <c r="I54" s="92"/>
      <c r="J54" s="93"/>
      <c r="K54" s="94"/>
      <c r="L54" s="149" t="str">
        <f>HYPERLINK("[#]DatatypeListedValues!B901:H901","Enumeration")</f>
        <v>Enumeration</v>
      </c>
      <c r="M54" s="107" t="b">
        <v>0</v>
      </c>
      <c r="N54" s="90"/>
      <c r="O54" s="95"/>
      <c r="P54" s="90"/>
      <c r="Q54" s="96"/>
      <c r="R54" s="97"/>
      <c r="S54" s="169"/>
      <c r="T54" s="300" t="str">
        <f>CONCATENATE([1]Cover!$D$6,"fdd/view?i=",S54)</f>
        <v>https://www.dgiwg.org/FAD/fdd/view?i=</v>
      </c>
      <c r="U54" s="188"/>
    </row>
    <row r="55" spans="1:21" ht="2.1" customHeight="1">
      <c r="A55" s="98"/>
      <c r="B55" s="87"/>
      <c r="C55" s="99"/>
      <c r="D55" s="87"/>
      <c r="E55" s="99"/>
      <c r="F55" s="100"/>
      <c r="G55" s="100"/>
      <c r="H55" s="100"/>
      <c r="I55" s="101"/>
      <c r="J55" s="106"/>
      <c r="K55" s="103"/>
      <c r="L55" s="104"/>
      <c r="M55" s="100"/>
      <c r="N55" s="100"/>
      <c r="O55" s="100"/>
      <c r="P55" s="100"/>
      <c r="Q55" s="105"/>
      <c r="R55" s="105"/>
      <c r="S55" s="169"/>
      <c r="U55" s="188"/>
    </row>
    <row r="56" spans="1:21">
      <c r="A56" s="67" t="s">
        <v>4902</v>
      </c>
      <c r="B56" s="87" t="s">
        <v>4902</v>
      </c>
      <c r="C56" s="88" t="s">
        <v>11491</v>
      </c>
      <c r="D56" s="89"/>
      <c r="E56" s="90"/>
      <c r="F56" s="91" t="s">
        <v>11492</v>
      </c>
      <c r="G56" s="90"/>
      <c r="H56" s="90"/>
      <c r="I56" s="92"/>
      <c r="J56" s="93"/>
      <c r="K56" s="94"/>
      <c r="L56" s="149" t="str">
        <f>HYPERLINK("[#]DatatypeListedValues!B905:H905","Enumeration")</f>
        <v>Enumeration</v>
      </c>
      <c r="M56" s="107" t="b">
        <v>0</v>
      </c>
      <c r="N56" s="90"/>
      <c r="O56" s="95"/>
      <c r="P56" s="90"/>
      <c r="Q56" s="96"/>
      <c r="R56" s="97"/>
      <c r="S56" s="169"/>
      <c r="T56" s="300" t="str">
        <f>CONCATENATE([1]Cover!$D$6,"fdd/view?i=",S56)</f>
        <v>https://www.dgiwg.org/FAD/fdd/view?i=</v>
      </c>
      <c r="U56" s="188"/>
    </row>
    <row r="57" spans="1:21" ht="2.1" customHeight="1">
      <c r="A57" s="98"/>
      <c r="B57" s="87"/>
      <c r="C57" s="99"/>
      <c r="D57" s="87"/>
      <c r="E57" s="99"/>
      <c r="F57" s="100"/>
      <c r="G57" s="100"/>
      <c r="H57" s="100"/>
      <c r="I57" s="101"/>
      <c r="J57" s="106"/>
      <c r="K57" s="103"/>
      <c r="L57" s="104"/>
      <c r="M57" s="100"/>
      <c r="N57" s="100"/>
      <c r="O57" s="100"/>
      <c r="P57" s="100"/>
      <c r="Q57" s="105"/>
      <c r="R57" s="105"/>
      <c r="S57" s="169"/>
      <c r="U57" s="188"/>
    </row>
    <row r="58" spans="1:21" ht="25.5">
      <c r="A58" s="67" t="s">
        <v>4907</v>
      </c>
      <c r="B58" s="87" t="s">
        <v>4907</v>
      </c>
      <c r="C58" s="88" t="s">
        <v>11493</v>
      </c>
      <c r="D58" s="89"/>
      <c r="E58" s="90"/>
      <c r="F58" s="91" t="s">
        <v>11494</v>
      </c>
      <c r="G58" s="90"/>
      <c r="H58" s="90"/>
      <c r="I58" s="92"/>
      <c r="J58" s="93"/>
      <c r="K58" s="94"/>
      <c r="L58" s="149" t="str">
        <f>HYPERLINK("[#]DatatypeListedValues!B908:H908","Enumeration")</f>
        <v>Enumeration</v>
      </c>
      <c r="M58" s="107" t="b">
        <v>0</v>
      </c>
      <c r="N58" s="90"/>
      <c r="O58" s="95"/>
      <c r="P58" s="90"/>
      <c r="Q58" s="96"/>
      <c r="R58" s="97"/>
      <c r="S58" s="169"/>
      <c r="T58" s="300" t="str">
        <f>CONCATENATE([1]Cover!$D$6,"fdd/view?i=",S58)</f>
        <v>https://www.dgiwg.org/FAD/fdd/view?i=</v>
      </c>
      <c r="U58" s="188"/>
    </row>
    <row r="59" spans="1:21" ht="2.1" customHeight="1">
      <c r="A59" s="98"/>
      <c r="B59" s="87"/>
      <c r="C59" s="99"/>
      <c r="D59" s="87"/>
      <c r="E59" s="99"/>
      <c r="F59" s="100"/>
      <c r="G59" s="100"/>
      <c r="H59" s="100"/>
      <c r="I59" s="101"/>
      <c r="J59" s="106"/>
      <c r="K59" s="103"/>
      <c r="L59" s="104"/>
      <c r="M59" s="100"/>
      <c r="N59" s="100"/>
      <c r="O59" s="100"/>
      <c r="P59" s="100"/>
      <c r="Q59" s="105"/>
      <c r="R59" s="105"/>
      <c r="S59" s="169"/>
      <c r="U59" s="188"/>
    </row>
    <row r="60" spans="1:21">
      <c r="A60" s="67" t="s">
        <v>4913</v>
      </c>
      <c r="B60" s="87" t="s">
        <v>4913</v>
      </c>
      <c r="C60" s="88" t="s">
        <v>11495</v>
      </c>
      <c r="D60" s="89"/>
      <c r="E60" s="90"/>
      <c r="F60" s="91" t="s">
        <v>11496</v>
      </c>
      <c r="G60" s="90"/>
      <c r="H60" s="90"/>
      <c r="I60" s="92"/>
      <c r="J60" s="93"/>
      <c r="K60" s="94"/>
      <c r="L60" s="149" t="str">
        <f>HYPERLINK("[#]DatatypeListedValues!B929:H929","Enumeration")</f>
        <v>Enumeration</v>
      </c>
      <c r="M60" s="107" t="b">
        <v>0</v>
      </c>
      <c r="N60" s="90"/>
      <c r="O60" s="95"/>
      <c r="P60" s="90"/>
      <c r="Q60" s="96"/>
      <c r="R60" s="97"/>
      <c r="S60" s="169"/>
      <c r="T60" s="300" t="str">
        <f>CONCATENATE([1]Cover!$D$6,"fdd/view?i=",S60)</f>
        <v>https://www.dgiwg.org/FAD/fdd/view?i=</v>
      </c>
      <c r="U60" s="188"/>
    </row>
    <row r="61" spans="1:21" ht="2.1" customHeight="1">
      <c r="A61" s="98"/>
      <c r="B61" s="87"/>
      <c r="C61" s="99"/>
      <c r="D61" s="87"/>
      <c r="E61" s="99"/>
      <c r="F61" s="100"/>
      <c r="G61" s="100"/>
      <c r="H61" s="100"/>
      <c r="I61" s="101"/>
      <c r="J61" s="106"/>
      <c r="K61" s="103"/>
      <c r="L61" s="104"/>
      <c r="M61" s="100"/>
      <c r="N61" s="100"/>
      <c r="O61" s="100"/>
      <c r="P61" s="100"/>
      <c r="Q61" s="105"/>
      <c r="R61" s="105"/>
      <c r="S61" s="169"/>
      <c r="U61" s="188"/>
    </row>
    <row r="62" spans="1:21" ht="25.5">
      <c r="A62" s="67" t="s">
        <v>4918</v>
      </c>
      <c r="B62" s="87" t="s">
        <v>4918</v>
      </c>
      <c r="C62" s="88" t="s">
        <v>11497</v>
      </c>
      <c r="D62" s="89"/>
      <c r="E62" s="90"/>
      <c r="F62" s="91" t="s">
        <v>11498</v>
      </c>
      <c r="G62" s="90"/>
      <c r="H62" s="90"/>
      <c r="I62" s="92"/>
      <c r="J62" s="93"/>
      <c r="K62" s="94"/>
      <c r="L62" s="149" t="str">
        <f>HYPERLINK("[#]DatatypeListedValues!B939:H939","Enumeration")</f>
        <v>Enumeration</v>
      </c>
      <c r="M62" s="107" t="b">
        <v>0</v>
      </c>
      <c r="N62" s="90"/>
      <c r="O62" s="95"/>
      <c r="P62" s="90"/>
      <c r="Q62" s="96"/>
      <c r="R62" s="97"/>
      <c r="S62" s="169"/>
      <c r="T62" s="300" t="str">
        <f>CONCATENATE([1]Cover!$D$6,"fdd/view?i=",S62)</f>
        <v>https://www.dgiwg.org/FAD/fdd/view?i=</v>
      </c>
      <c r="U62" s="188"/>
    </row>
    <row r="63" spans="1:21" ht="2.1" customHeight="1">
      <c r="A63" s="98"/>
      <c r="B63" s="87"/>
      <c r="C63" s="99"/>
      <c r="D63" s="87"/>
      <c r="E63" s="99"/>
      <c r="F63" s="100"/>
      <c r="G63" s="100"/>
      <c r="H63" s="100"/>
      <c r="I63" s="101"/>
      <c r="J63" s="106"/>
      <c r="K63" s="103"/>
      <c r="L63" s="104"/>
      <c r="M63" s="100"/>
      <c r="N63" s="100"/>
      <c r="O63" s="100"/>
      <c r="P63" s="100"/>
      <c r="Q63" s="105"/>
      <c r="R63" s="105"/>
      <c r="S63" s="169"/>
      <c r="U63" s="188"/>
    </row>
    <row r="64" spans="1:21" ht="38.25">
      <c r="A64" s="67" t="s">
        <v>4934</v>
      </c>
      <c r="B64" s="87" t="s">
        <v>4934</v>
      </c>
      <c r="C64" s="88" t="s">
        <v>11499</v>
      </c>
      <c r="D64" s="89"/>
      <c r="E64" s="90"/>
      <c r="F64" s="91" t="s">
        <v>11500</v>
      </c>
      <c r="G64" s="90"/>
      <c r="H64" s="91" t="s">
        <v>11426</v>
      </c>
      <c r="I64" s="92"/>
      <c r="J64" s="93"/>
      <c r="K64" s="94"/>
      <c r="L64" s="91" t="s">
        <v>11425</v>
      </c>
      <c r="M64" s="90"/>
      <c r="N64" s="91">
        <v>4</v>
      </c>
      <c r="O64" s="108" t="b">
        <v>0</v>
      </c>
      <c r="P64" s="91" t="s">
        <v>11501</v>
      </c>
      <c r="Q64" s="96"/>
      <c r="R64" s="97"/>
      <c r="S64" s="169"/>
      <c r="T64" s="300" t="str">
        <f>CONCATENATE([1]Cover!$D$6,"fdd/view?i=",S64)</f>
        <v>https://www.dgiwg.org/FAD/fdd/view?i=</v>
      </c>
      <c r="U64" s="188"/>
    </row>
    <row r="65" spans="1:21" ht="2.1" customHeight="1">
      <c r="A65" s="98"/>
      <c r="B65" s="87"/>
      <c r="C65" s="99"/>
      <c r="D65" s="87"/>
      <c r="E65" s="99"/>
      <c r="F65" s="100"/>
      <c r="G65" s="100"/>
      <c r="H65" s="100"/>
      <c r="I65" s="101"/>
      <c r="J65" s="106"/>
      <c r="K65" s="103"/>
      <c r="L65" s="104"/>
      <c r="M65" s="100"/>
      <c r="N65" s="100"/>
      <c r="O65" s="100"/>
      <c r="P65" s="100"/>
      <c r="Q65" s="105"/>
      <c r="R65" s="105"/>
      <c r="S65" s="169"/>
      <c r="U65" s="188"/>
    </row>
    <row r="66" spans="1:21" ht="25.5">
      <c r="A66" s="67" t="s">
        <v>4949</v>
      </c>
      <c r="B66" s="87" t="s">
        <v>4949</v>
      </c>
      <c r="C66" s="88" t="s">
        <v>11502</v>
      </c>
      <c r="D66" s="89"/>
      <c r="E66" s="90"/>
      <c r="F66" s="91" t="s">
        <v>11503</v>
      </c>
      <c r="G66" s="90"/>
      <c r="H66" s="90"/>
      <c r="I66" s="92"/>
      <c r="J66" s="93"/>
      <c r="K66" s="94"/>
      <c r="L66" s="149" t="str">
        <f>HYPERLINK("[#]DatatypeListedValues!B950:H950","Enumeration")</f>
        <v>Enumeration</v>
      </c>
      <c r="M66" s="107" t="b">
        <v>0</v>
      </c>
      <c r="N66" s="90"/>
      <c r="O66" s="95"/>
      <c r="P66" s="90"/>
      <c r="Q66" s="96"/>
      <c r="R66" s="97"/>
      <c r="S66" s="169"/>
      <c r="T66" s="300" t="str">
        <f>CONCATENATE([1]Cover!$D$6,"fdd/view?i=",S66)</f>
        <v>https://www.dgiwg.org/FAD/fdd/view?i=</v>
      </c>
      <c r="U66" s="188"/>
    </row>
    <row r="67" spans="1:21" ht="2.1" customHeight="1">
      <c r="A67" s="98"/>
      <c r="B67" s="87"/>
      <c r="C67" s="99"/>
      <c r="D67" s="87"/>
      <c r="E67" s="99"/>
      <c r="F67" s="100"/>
      <c r="G67" s="100"/>
      <c r="H67" s="100"/>
      <c r="I67" s="101"/>
      <c r="J67" s="106"/>
      <c r="K67" s="103"/>
      <c r="L67" s="104"/>
      <c r="M67" s="100"/>
      <c r="N67" s="100"/>
      <c r="O67" s="100"/>
      <c r="P67" s="100"/>
      <c r="Q67" s="105"/>
      <c r="R67" s="105"/>
      <c r="S67" s="169"/>
      <c r="U67" s="188"/>
    </row>
    <row r="68" spans="1:21" ht="25.5">
      <c r="A68" s="67" t="s">
        <v>4954</v>
      </c>
      <c r="B68" s="87" t="s">
        <v>4954</v>
      </c>
      <c r="C68" s="88" t="s">
        <v>11504</v>
      </c>
      <c r="D68" s="89"/>
      <c r="E68" s="90"/>
      <c r="F68" s="91" t="s">
        <v>11505</v>
      </c>
      <c r="G68" s="90"/>
      <c r="H68" s="90"/>
      <c r="I68" s="92"/>
      <c r="J68" s="93"/>
      <c r="K68" s="94"/>
      <c r="L68" s="149" t="str">
        <f>HYPERLINK("[#]DatatypeListedValues!B954:H954","Enumeration")</f>
        <v>Enumeration</v>
      </c>
      <c r="M68" s="91" t="b">
        <v>1</v>
      </c>
      <c r="N68" s="90"/>
      <c r="O68" s="95"/>
      <c r="P68" s="90"/>
      <c r="Q68" s="96"/>
      <c r="R68" s="97"/>
      <c r="S68" s="169"/>
      <c r="T68" s="300" t="str">
        <f>CONCATENATE([1]Cover!$D$6,"fdd/view?i=",S68)</f>
        <v>https://www.dgiwg.org/FAD/fdd/view?i=</v>
      </c>
      <c r="U68" s="188"/>
    </row>
    <row r="69" spans="1:21" ht="2.1" customHeight="1">
      <c r="A69" s="98"/>
      <c r="B69" s="87"/>
      <c r="C69" s="99"/>
      <c r="D69" s="87"/>
      <c r="E69" s="99"/>
      <c r="F69" s="100"/>
      <c r="G69" s="100"/>
      <c r="H69" s="100"/>
      <c r="I69" s="101"/>
      <c r="J69" s="106"/>
      <c r="K69" s="103"/>
      <c r="L69" s="104"/>
      <c r="M69" s="100"/>
      <c r="N69" s="100"/>
      <c r="O69" s="100"/>
      <c r="P69" s="100"/>
      <c r="Q69" s="105"/>
      <c r="R69" s="105"/>
      <c r="S69" s="169"/>
      <c r="U69" s="188"/>
    </row>
    <row r="70" spans="1:21" ht="25.5">
      <c r="A70" s="67" t="s">
        <v>4963</v>
      </c>
      <c r="B70" s="87" t="s">
        <v>4963</v>
      </c>
      <c r="C70" s="88" t="s">
        <v>11506</v>
      </c>
      <c r="D70" s="89"/>
      <c r="E70" s="90"/>
      <c r="F70" s="91" t="s">
        <v>11507</v>
      </c>
      <c r="G70" s="90"/>
      <c r="H70" s="90"/>
      <c r="I70" s="92"/>
      <c r="J70" s="93"/>
      <c r="K70" s="94"/>
      <c r="L70" s="149" t="str">
        <f>HYPERLINK("[#]DatatypeListedValues!B957:H957","Enumeration")</f>
        <v>Enumeration</v>
      </c>
      <c r="M70" s="91" t="b">
        <v>1</v>
      </c>
      <c r="N70" s="90"/>
      <c r="O70" s="95"/>
      <c r="P70" s="90"/>
      <c r="Q70" s="96"/>
      <c r="R70" s="97"/>
      <c r="S70" s="169"/>
      <c r="T70" s="300" t="str">
        <f>CONCATENATE([1]Cover!$D$6,"fdd/view?i=",S70)</f>
        <v>https://www.dgiwg.org/FAD/fdd/view?i=</v>
      </c>
      <c r="U70" s="188"/>
    </row>
    <row r="71" spans="1:21" ht="2.1" customHeight="1">
      <c r="A71" s="98"/>
      <c r="B71" s="87"/>
      <c r="C71" s="99"/>
      <c r="D71" s="87"/>
      <c r="E71" s="99"/>
      <c r="F71" s="100"/>
      <c r="G71" s="100"/>
      <c r="H71" s="100"/>
      <c r="I71" s="101"/>
      <c r="J71" s="106"/>
      <c r="K71" s="103"/>
      <c r="L71" s="104"/>
      <c r="M71" s="100"/>
      <c r="N71" s="100"/>
      <c r="O71" s="100"/>
      <c r="P71" s="100"/>
      <c r="Q71" s="105"/>
      <c r="R71" s="105"/>
      <c r="S71" s="169"/>
      <c r="U71" s="188"/>
    </row>
    <row r="72" spans="1:21" ht="25.5">
      <c r="A72" s="67" t="s">
        <v>4969</v>
      </c>
      <c r="B72" s="87" t="s">
        <v>4969</v>
      </c>
      <c r="C72" s="88" t="s">
        <v>11508</v>
      </c>
      <c r="D72" s="89"/>
      <c r="E72" s="90"/>
      <c r="F72" s="91" t="s">
        <v>11509</v>
      </c>
      <c r="G72" s="90"/>
      <c r="H72" s="90"/>
      <c r="I72" s="92"/>
      <c r="J72" s="93"/>
      <c r="K72" s="94"/>
      <c r="L72" s="149" t="str">
        <f>HYPERLINK("[#]DatatypeListedValues!B972:H972","Enumeration")</f>
        <v>Enumeration</v>
      </c>
      <c r="M72" s="107" t="b">
        <v>0</v>
      </c>
      <c r="N72" s="90"/>
      <c r="O72" s="95"/>
      <c r="P72" s="90"/>
      <c r="Q72" s="96"/>
      <c r="R72" s="97"/>
      <c r="S72" s="169"/>
      <c r="T72" s="300" t="str">
        <f>CONCATENATE([1]Cover!$D$6,"fdd/view?i=",S72)</f>
        <v>https://www.dgiwg.org/FAD/fdd/view?i=</v>
      </c>
      <c r="U72" s="188"/>
    </row>
    <row r="73" spans="1:21" ht="2.1" customHeight="1">
      <c r="A73" s="98"/>
      <c r="B73" s="87"/>
      <c r="C73" s="99"/>
      <c r="D73" s="87"/>
      <c r="E73" s="99"/>
      <c r="F73" s="100"/>
      <c r="G73" s="100"/>
      <c r="H73" s="100"/>
      <c r="I73" s="101"/>
      <c r="J73" s="106"/>
      <c r="K73" s="103"/>
      <c r="L73" s="104"/>
      <c r="M73" s="100"/>
      <c r="N73" s="100"/>
      <c r="O73" s="100"/>
      <c r="P73" s="100"/>
      <c r="Q73" s="105"/>
      <c r="R73" s="105"/>
      <c r="S73" s="169"/>
      <c r="U73" s="188"/>
    </row>
    <row r="74" spans="1:21" ht="25.5">
      <c r="A74" s="67" t="s">
        <v>4984</v>
      </c>
      <c r="B74" s="87" t="s">
        <v>4984</v>
      </c>
      <c r="C74" s="88" t="s">
        <v>11510</v>
      </c>
      <c r="D74" s="89"/>
      <c r="E74" s="90"/>
      <c r="F74" s="91" t="s">
        <v>11511</v>
      </c>
      <c r="G74" s="90"/>
      <c r="H74" s="90"/>
      <c r="I74" s="92"/>
      <c r="J74" s="93"/>
      <c r="K74" s="94"/>
      <c r="L74" s="149" t="str">
        <f>HYPERLINK("[#]DatatypeListedValues!B977:H977","Enumeration")</f>
        <v>Enumeration</v>
      </c>
      <c r="M74" s="107" t="b">
        <v>0</v>
      </c>
      <c r="N74" s="90"/>
      <c r="O74" s="95"/>
      <c r="P74" s="90"/>
      <c r="Q74" s="96"/>
      <c r="R74" s="97"/>
      <c r="S74" s="169"/>
      <c r="T74" s="300" t="str">
        <f>CONCATENATE([1]Cover!$D$6,"fdd/view?i=",S74)</f>
        <v>https://www.dgiwg.org/FAD/fdd/view?i=</v>
      </c>
      <c r="U74" s="188"/>
    </row>
    <row r="75" spans="1:21" ht="2.1" customHeight="1">
      <c r="A75" s="98"/>
      <c r="B75" s="87"/>
      <c r="C75" s="99"/>
      <c r="D75" s="87"/>
      <c r="E75" s="99"/>
      <c r="F75" s="100"/>
      <c r="G75" s="100"/>
      <c r="H75" s="100"/>
      <c r="I75" s="101"/>
      <c r="J75" s="106"/>
      <c r="K75" s="103"/>
      <c r="L75" s="104"/>
      <c r="M75" s="100"/>
      <c r="N75" s="100"/>
      <c r="O75" s="100"/>
      <c r="P75" s="100"/>
      <c r="Q75" s="105"/>
      <c r="R75" s="105"/>
      <c r="S75" s="169"/>
      <c r="U75" s="188"/>
    </row>
    <row r="76" spans="1:21" ht="38.25">
      <c r="A76" s="67" t="s">
        <v>5000</v>
      </c>
      <c r="B76" s="87" t="s">
        <v>5000</v>
      </c>
      <c r="C76" s="88" t="s">
        <v>11512</v>
      </c>
      <c r="D76" s="89"/>
      <c r="E76" s="90"/>
      <c r="F76" s="91" t="s">
        <v>4998</v>
      </c>
      <c r="G76" s="90"/>
      <c r="H76" s="91" t="s">
        <v>11513</v>
      </c>
      <c r="I76" s="92"/>
      <c r="J76" s="93"/>
      <c r="K76" s="94"/>
      <c r="L76" s="104" t="s">
        <v>11429</v>
      </c>
      <c r="M76" s="90"/>
      <c r="N76" s="90"/>
      <c r="O76" s="95"/>
      <c r="P76" s="90"/>
      <c r="Q76" s="96"/>
      <c r="R76" s="97"/>
      <c r="S76" s="169"/>
      <c r="T76" s="300" t="str">
        <f>CONCATENATE([1]Cover!$D$6,"fdd/view?i=",S76)</f>
        <v>https://www.dgiwg.org/FAD/fdd/view?i=</v>
      </c>
      <c r="U76" s="188"/>
    </row>
    <row r="77" spans="1:21" ht="2.1" customHeight="1">
      <c r="A77" s="98"/>
      <c r="B77" s="87"/>
      <c r="C77" s="99"/>
      <c r="D77" s="87"/>
      <c r="E77" s="99"/>
      <c r="F77" s="100"/>
      <c r="G77" s="100"/>
      <c r="H77" s="100"/>
      <c r="I77" s="101"/>
      <c r="J77" s="106"/>
      <c r="K77" s="103"/>
      <c r="L77" s="104"/>
      <c r="M77" s="100"/>
      <c r="N77" s="100"/>
      <c r="O77" s="100"/>
      <c r="P77" s="100"/>
      <c r="Q77" s="105"/>
      <c r="R77" s="105"/>
      <c r="S77" s="169"/>
      <c r="U77" s="188"/>
    </row>
    <row r="78" spans="1:21" ht="25.5">
      <c r="A78" s="67" t="s">
        <v>5010</v>
      </c>
      <c r="B78" s="87" t="s">
        <v>5010</v>
      </c>
      <c r="C78" s="88" t="s">
        <v>11514</v>
      </c>
      <c r="D78" s="89"/>
      <c r="E78" s="90"/>
      <c r="F78" s="91" t="s">
        <v>11515</v>
      </c>
      <c r="G78" s="90"/>
      <c r="H78" s="90"/>
      <c r="I78" s="92"/>
      <c r="J78" s="93"/>
      <c r="K78" s="94"/>
      <c r="L78" s="149" t="str">
        <f>HYPERLINK("[#]DatatypeListedValues!B1014:H1014","Enumeration")</f>
        <v>Enumeration</v>
      </c>
      <c r="M78" s="107" t="b">
        <v>0</v>
      </c>
      <c r="N78" s="90"/>
      <c r="O78" s="95"/>
      <c r="P78" s="90"/>
      <c r="Q78" s="96"/>
      <c r="R78" s="97"/>
      <c r="S78" s="169"/>
      <c r="T78" s="300" t="str">
        <f>CONCATENATE([1]Cover!$D$6,"fdd/view?i=",S78)</f>
        <v>https://www.dgiwg.org/FAD/fdd/view?i=</v>
      </c>
      <c r="U78" s="188"/>
    </row>
    <row r="79" spans="1:21" ht="2.1" customHeight="1">
      <c r="A79" s="98"/>
      <c r="B79" s="87"/>
      <c r="C79" s="99"/>
      <c r="D79" s="87"/>
      <c r="E79" s="99"/>
      <c r="F79" s="100"/>
      <c r="G79" s="100"/>
      <c r="H79" s="100"/>
      <c r="I79" s="101"/>
      <c r="J79" s="106"/>
      <c r="K79" s="103"/>
      <c r="L79" s="104"/>
      <c r="M79" s="100"/>
      <c r="N79" s="100"/>
      <c r="O79" s="100"/>
      <c r="P79" s="100"/>
      <c r="Q79" s="105"/>
      <c r="R79" s="105"/>
      <c r="S79" s="169"/>
      <c r="U79" s="188"/>
    </row>
    <row r="80" spans="1:21" ht="25.5">
      <c r="A80" s="67" t="s">
        <v>5019</v>
      </c>
      <c r="B80" s="87" t="s">
        <v>5019</v>
      </c>
      <c r="C80" s="88" t="s">
        <v>11516</v>
      </c>
      <c r="D80" s="89"/>
      <c r="E80" s="90"/>
      <c r="F80" s="91" t="s">
        <v>11517</v>
      </c>
      <c r="G80" s="90"/>
      <c r="H80" s="90"/>
      <c r="I80" s="92"/>
      <c r="J80" s="93"/>
      <c r="K80" s="94"/>
      <c r="L80" s="149" t="str">
        <f>HYPERLINK("[#]DatatypeListedValues!B1017:H1017","Enumeration")</f>
        <v>Enumeration</v>
      </c>
      <c r="M80" s="107" t="b">
        <v>0</v>
      </c>
      <c r="N80" s="90"/>
      <c r="O80" s="95"/>
      <c r="P80" s="90"/>
      <c r="Q80" s="96"/>
      <c r="R80" s="97"/>
      <c r="S80" s="169"/>
      <c r="T80" s="300" t="str">
        <f>CONCATENATE([1]Cover!$D$6,"fdd/view?i=",S80)</f>
        <v>https://www.dgiwg.org/FAD/fdd/view?i=</v>
      </c>
      <c r="U80" s="188"/>
    </row>
    <row r="81" spans="1:21" ht="2.1" customHeight="1">
      <c r="A81" s="98"/>
      <c r="B81" s="87"/>
      <c r="C81" s="99"/>
      <c r="D81" s="87"/>
      <c r="E81" s="99"/>
      <c r="F81" s="100"/>
      <c r="G81" s="100"/>
      <c r="H81" s="100"/>
      <c r="I81" s="101"/>
      <c r="J81" s="106"/>
      <c r="K81" s="103"/>
      <c r="L81" s="104"/>
      <c r="M81" s="100"/>
      <c r="N81" s="100"/>
      <c r="O81" s="100"/>
      <c r="P81" s="100"/>
      <c r="Q81" s="105"/>
      <c r="R81" s="105"/>
      <c r="S81" s="169"/>
      <c r="U81" s="188"/>
    </row>
    <row r="82" spans="1:21" ht="25.5">
      <c r="A82" s="67" t="s">
        <v>5029</v>
      </c>
      <c r="B82" s="87" t="s">
        <v>5029</v>
      </c>
      <c r="C82" s="88" t="s">
        <v>11518</v>
      </c>
      <c r="D82" s="89"/>
      <c r="E82" s="90"/>
      <c r="F82" s="91" t="s">
        <v>11519</v>
      </c>
      <c r="G82" s="90"/>
      <c r="H82" s="90"/>
      <c r="I82" s="92"/>
      <c r="J82" s="93"/>
      <c r="K82" s="94"/>
      <c r="L82" s="149" t="str">
        <f>HYPERLINK("[#]DatatypeListedValues!B1027:H1027","Enumeration")</f>
        <v>Enumeration</v>
      </c>
      <c r="M82" s="107" t="b">
        <v>0</v>
      </c>
      <c r="N82" s="90"/>
      <c r="O82" s="95"/>
      <c r="P82" s="90"/>
      <c r="Q82" s="96"/>
      <c r="R82" s="97"/>
      <c r="S82" s="169"/>
      <c r="T82" s="300" t="str">
        <f>CONCATENATE([1]Cover!$D$6,"fdd/view?i=",S82)</f>
        <v>https://www.dgiwg.org/FAD/fdd/view?i=</v>
      </c>
      <c r="U82" s="188"/>
    </row>
    <row r="83" spans="1:21" ht="2.1" customHeight="1">
      <c r="A83" s="98"/>
      <c r="B83" s="87"/>
      <c r="C83" s="99"/>
      <c r="D83" s="87"/>
      <c r="E83" s="99"/>
      <c r="F83" s="100"/>
      <c r="G83" s="100"/>
      <c r="H83" s="100"/>
      <c r="I83" s="101"/>
      <c r="J83" s="106"/>
      <c r="K83" s="103"/>
      <c r="L83" s="104"/>
      <c r="M83" s="100"/>
      <c r="N83" s="100"/>
      <c r="O83" s="100"/>
      <c r="P83" s="100"/>
      <c r="Q83" s="105"/>
      <c r="R83" s="105"/>
      <c r="S83" s="169"/>
      <c r="U83" s="188"/>
    </row>
    <row r="84" spans="1:21" ht="25.5">
      <c r="A84" s="67" t="s">
        <v>5034</v>
      </c>
      <c r="B84" s="87" t="s">
        <v>5034</v>
      </c>
      <c r="C84" s="88" t="s">
        <v>11520</v>
      </c>
      <c r="D84" s="89"/>
      <c r="E84" s="90"/>
      <c r="F84" s="91" t="s">
        <v>11521</v>
      </c>
      <c r="G84" s="90"/>
      <c r="H84" s="90"/>
      <c r="I84" s="92"/>
      <c r="J84" s="93"/>
      <c r="K84" s="94"/>
      <c r="L84" s="149" t="str">
        <f>HYPERLINK("[#]DatatypeListedValues!B1035:H1035","Enumeration")</f>
        <v>Enumeration</v>
      </c>
      <c r="M84" s="107" t="b">
        <v>0</v>
      </c>
      <c r="N84" s="90"/>
      <c r="O84" s="95"/>
      <c r="P84" s="90"/>
      <c r="Q84" s="96"/>
      <c r="R84" s="97"/>
      <c r="S84" s="169"/>
      <c r="T84" s="300" t="str">
        <f>CONCATENATE([1]Cover!$D$6,"fdd/view?i=",S84)</f>
        <v>https://www.dgiwg.org/FAD/fdd/view?i=</v>
      </c>
      <c r="U84" s="188"/>
    </row>
    <row r="85" spans="1:21" ht="2.1" customHeight="1">
      <c r="A85" s="98"/>
      <c r="B85" s="87"/>
      <c r="C85" s="99"/>
      <c r="D85" s="87"/>
      <c r="E85" s="99"/>
      <c r="F85" s="100"/>
      <c r="G85" s="100"/>
      <c r="H85" s="100"/>
      <c r="I85" s="101"/>
      <c r="J85" s="106"/>
      <c r="K85" s="103"/>
      <c r="L85" s="104"/>
      <c r="M85" s="100"/>
      <c r="N85" s="100"/>
      <c r="O85" s="100"/>
      <c r="P85" s="100"/>
      <c r="Q85" s="105"/>
      <c r="R85" s="105"/>
      <c r="S85" s="169"/>
      <c r="U85" s="188"/>
    </row>
    <row r="86" spans="1:21" ht="25.5">
      <c r="A86" s="67" t="s">
        <v>5044</v>
      </c>
      <c r="B86" s="87" t="s">
        <v>5044</v>
      </c>
      <c r="C86" s="88" t="s">
        <v>11522</v>
      </c>
      <c r="D86" s="89"/>
      <c r="E86" s="90"/>
      <c r="F86" s="91" t="s">
        <v>11523</v>
      </c>
      <c r="G86" s="90"/>
      <c r="H86" s="90"/>
      <c r="I86" s="92"/>
      <c r="J86" s="93"/>
      <c r="K86" s="94"/>
      <c r="L86" s="149" t="str">
        <f>HYPERLINK("[#]DatatypeListedValues!B1038:H1038","Enumeration")</f>
        <v>Enumeration</v>
      </c>
      <c r="M86" s="107" t="b">
        <v>0</v>
      </c>
      <c r="N86" s="90"/>
      <c r="O86" s="95"/>
      <c r="P86" s="90"/>
      <c r="Q86" s="96"/>
      <c r="R86" s="97"/>
      <c r="S86" s="169"/>
      <c r="T86" s="300" t="str">
        <f>CONCATENATE([1]Cover!$D$6,"fdd/view?i=",S86)</f>
        <v>https://www.dgiwg.org/FAD/fdd/view?i=</v>
      </c>
      <c r="U86" s="188"/>
    </row>
    <row r="87" spans="1:21" ht="2.1" customHeight="1">
      <c r="A87" s="98"/>
      <c r="B87" s="87"/>
      <c r="C87" s="99"/>
      <c r="D87" s="87"/>
      <c r="E87" s="99"/>
      <c r="F87" s="100"/>
      <c r="G87" s="100"/>
      <c r="H87" s="100"/>
      <c r="I87" s="101"/>
      <c r="J87" s="106"/>
      <c r="K87" s="103"/>
      <c r="L87" s="104"/>
      <c r="M87" s="100"/>
      <c r="N87" s="100"/>
      <c r="O87" s="100"/>
      <c r="P87" s="100"/>
      <c r="Q87" s="105"/>
      <c r="R87" s="105"/>
      <c r="S87" s="169"/>
      <c r="U87" s="188"/>
    </row>
    <row r="88" spans="1:21" ht="25.5">
      <c r="A88" s="67" t="s">
        <v>5049</v>
      </c>
      <c r="B88" s="87" t="s">
        <v>5049</v>
      </c>
      <c r="C88" s="88" t="s">
        <v>11524</v>
      </c>
      <c r="D88" s="89"/>
      <c r="E88" s="90"/>
      <c r="F88" s="91" t="s">
        <v>11525</v>
      </c>
      <c r="G88" s="90"/>
      <c r="H88" s="90"/>
      <c r="I88" s="92"/>
      <c r="J88" s="93"/>
      <c r="K88" s="94"/>
      <c r="L88" s="149" t="str">
        <f>HYPERLINK("[#]DatatypeListedValues!B1041:H1041","Enumeration")</f>
        <v>Enumeration</v>
      </c>
      <c r="M88" s="107" t="b">
        <v>0</v>
      </c>
      <c r="N88" s="90"/>
      <c r="O88" s="95"/>
      <c r="P88" s="90"/>
      <c r="Q88" s="96"/>
      <c r="R88" s="97"/>
      <c r="S88" s="169"/>
      <c r="T88" s="300" t="str">
        <f>CONCATENATE([1]Cover!$D$6,"fdd/view?i=",S88)</f>
        <v>https://www.dgiwg.org/FAD/fdd/view?i=</v>
      </c>
      <c r="U88" s="188"/>
    </row>
    <row r="89" spans="1:21" ht="2.1" customHeight="1">
      <c r="A89" s="98"/>
      <c r="B89" s="87"/>
      <c r="C89" s="99"/>
      <c r="D89" s="87"/>
      <c r="E89" s="99"/>
      <c r="F89" s="100"/>
      <c r="G89" s="100"/>
      <c r="H89" s="100"/>
      <c r="I89" s="101"/>
      <c r="J89" s="106"/>
      <c r="K89" s="103"/>
      <c r="L89" s="104"/>
      <c r="M89" s="100"/>
      <c r="N89" s="100"/>
      <c r="O89" s="100"/>
      <c r="P89" s="100"/>
      <c r="Q89" s="105"/>
      <c r="R89" s="105"/>
      <c r="S89" s="169"/>
      <c r="U89" s="188"/>
    </row>
    <row r="90" spans="1:21" ht="25.5">
      <c r="A90" s="67" t="s">
        <v>5054</v>
      </c>
      <c r="B90" s="87" t="s">
        <v>5054</v>
      </c>
      <c r="C90" s="88" t="s">
        <v>11526</v>
      </c>
      <c r="D90" s="89"/>
      <c r="E90" s="90"/>
      <c r="F90" s="91" t="s">
        <v>11527</v>
      </c>
      <c r="G90" s="90"/>
      <c r="H90" s="90"/>
      <c r="I90" s="92"/>
      <c r="J90" s="93"/>
      <c r="K90" s="94"/>
      <c r="L90" s="149" t="str">
        <f>HYPERLINK("[#]DatatypeListedValues!B1056:H1056","Enumeration")</f>
        <v>Enumeration</v>
      </c>
      <c r="M90" s="107" t="b">
        <v>0</v>
      </c>
      <c r="N90" s="90"/>
      <c r="O90" s="95"/>
      <c r="P90" s="90"/>
      <c r="Q90" s="96"/>
      <c r="R90" s="97"/>
      <c r="S90" s="169"/>
      <c r="T90" s="300" t="str">
        <f>CONCATENATE([1]Cover!$D$6,"fdd/view?i=",S90)</f>
        <v>https://www.dgiwg.org/FAD/fdd/view?i=</v>
      </c>
      <c r="U90" s="188"/>
    </row>
    <row r="91" spans="1:21" ht="2.1" customHeight="1">
      <c r="A91" s="98"/>
      <c r="B91" s="87"/>
      <c r="C91" s="99"/>
      <c r="D91" s="87"/>
      <c r="E91" s="99"/>
      <c r="F91" s="100"/>
      <c r="G91" s="100"/>
      <c r="H91" s="100"/>
      <c r="I91" s="101"/>
      <c r="J91" s="106"/>
      <c r="K91" s="103"/>
      <c r="L91" s="104"/>
      <c r="M91" s="100"/>
      <c r="N91" s="100"/>
      <c r="O91" s="100"/>
      <c r="P91" s="100"/>
      <c r="Q91" s="105"/>
      <c r="R91" s="105"/>
      <c r="S91" s="169"/>
      <c r="U91" s="188"/>
    </row>
    <row r="92" spans="1:21" ht="25.5">
      <c r="A92" s="67" t="s">
        <v>5060</v>
      </c>
      <c r="B92" s="87" t="s">
        <v>5060</v>
      </c>
      <c r="C92" s="88" t="s">
        <v>11528</v>
      </c>
      <c r="D92" s="89"/>
      <c r="E92" s="90"/>
      <c r="F92" s="91" t="s">
        <v>11529</v>
      </c>
      <c r="G92" s="90"/>
      <c r="H92" s="90"/>
      <c r="I92" s="92"/>
      <c r="J92" s="93"/>
      <c r="K92" s="94"/>
      <c r="L92" s="149" t="str">
        <f>HYPERLINK("[#]DatatypeListedValues!B1061:H1061","Enumeration")</f>
        <v>Enumeration</v>
      </c>
      <c r="M92" s="107" t="b">
        <v>0</v>
      </c>
      <c r="N92" s="90"/>
      <c r="O92" s="95"/>
      <c r="P92" s="90"/>
      <c r="Q92" s="96"/>
      <c r="R92" s="97"/>
      <c r="S92" s="169"/>
      <c r="T92" s="300" t="str">
        <f>CONCATENATE([1]Cover!$D$6,"fdd/view?i=",S92)</f>
        <v>https://www.dgiwg.org/FAD/fdd/view?i=</v>
      </c>
      <c r="U92" s="188"/>
    </row>
    <row r="93" spans="1:21" ht="2.1" customHeight="1">
      <c r="A93" s="98"/>
      <c r="B93" s="87"/>
      <c r="C93" s="99"/>
      <c r="D93" s="87"/>
      <c r="E93" s="99"/>
      <c r="F93" s="100"/>
      <c r="G93" s="100"/>
      <c r="H93" s="100"/>
      <c r="I93" s="101"/>
      <c r="J93" s="106"/>
      <c r="K93" s="103"/>
      <c r="L93" s="104"/>
      <c r="M93" s="100"/>
      <c r="N93" s="100"/>
      <c r="O93" s="100"/>
      <c r="P93" s="100"/>
      <c r="Q93" s="105"/>
      <c r="R93" s="105"/>
      <c r="S93" s="169"/>
      <c r="U93" s="188"/>
    </row>
    <row r="94" spans="1:21" ht="25.5">
      <c r="A94" s="67" t="s">
        <v>5071</v>
      </c>
      <c r="B94" s="87" t="s">
        <v>5071</v>
      </c>
      <c r="C94" s="88" t="s">
        <v>11530</v>
      </c>
      <c r="D94" s="89"/>
      <c r="E94" s="90"/>
      <c r="F94" s="91" t="s">
        <v>11531</v>
      </c>
      <c r="G94" s="90"/>
      <c r="H94" s="90"/>
      <c r="I94" s="92"/>
      <c r="J94" s="93"/>
      <c r="K94" s="94"/>
      <c r="L94" s="149" t="str">
        <f>HYPERLINK("[#]DatatypeListedValues!B1070:H1070","Enumeration")</f>
        <v>Enumeration</v>
      </c>
      <c r="M94" s="107" t="b">
        <v>0</v>
      </c>
      <c r="N94" s="90"/>
      <c r="O94" s="95"/>
      <c r="P94" s="90"/>
      <c r="Q94" s="96"/>
      <c r="R94" s="97"/>
      <c r="S94" s="169"/>
      <c r="T94" s="300" t="str">
        <f>CONCATENATE([1]Cover!$D$6,"fdd/view?i=",S94)</f>
        <v>https://www.dgiwg.org/FAD/fdd/view?i=</v>
      </c>
      <c r="U94" s="188"/>
    </row>
    <row r="95" spans="1:21" ht="2.1" customHeight="1">
      <c r="A95" s="98"/>
      <c r="B95" s="87"/>
      <c r="C95" s="99"/>
      <c r="D95" s="87"/>
      <c r="E95" s="99"/>
      <c r="F95" s="100"/>
      <c r="G95" s="100"/>
      <c r="H95" s="100"/>
      <c r="I95" s="101"/>
      <c r="J95" s="106"/>
      <c r="K95" s="103"/>
      <c r="L95" s="104"/>
      <c r="M95" s="100"/>
      <c r="N95" s="100"/>
      <c r="O95" s="100"/>
      <c r="P95" s="100"/>
      <c r="Q95" s="105"/>
      <c r="R95" s="105"/>
      <c r="S95" s="169"/>
      <c r="U95" s="188"/>
    </row>
    <row r="96" spans="1:21" ht="38.25">
      <c r="A96" s="67" t="s">
        <v>5080</v>
      </c>
      <c r="B96" s="87" t="s">
        <v>5080</v>
      </c>
      <c r="C96" s="88" t="s">
        <v>11532</v>
      </c>
      <c r="D96" s="89"/>
      <c r="E96" s="90"/>
      <c r="F96" s="91" t="s">
        <v>11533</v>
      </c>
      <c r="G96" s="90"/>
      <c r="H96" s="91" t="s">
        <v>11426</v>
      </c>
      <c r="I96" s="92"/>
      <c r="J96" s="93"/>
      <c r="K96" s="94"/>
      <c r="L96" s="91" t="s">
        <v>11425</v>
      </c>
      <c r="M96" s="90"/>
      <c r="N96" s="91">
        <v>5</v>
      </c>
      <c r="O96" s="108" t="b">
        <v>0</v>
      </c>
      <c r="P96" s="91" t="s">
        <v>11534</v>
      </c>
      <c r="Q96" s="96"/>
      <c r="R96" s="97"/>
      <c r="S96" s="169"/>
      <c r="T96" s="300" t="str">
        <f>CONCATENATE([1]Cover!$D$6,"fdd/view?i=",S96)</f>
        <v>https://www.dgiwg.org/FAD/fdd/view?i=</v>
      </c>
      <c r="U96" s="188"/>
    </row>
    <row r="97" spans="1:21" ht="2.1" customHeight="1">
      <c r="A97" s="98"/>
      <c r="B97" s="87"/>
      <c r="C97" s="99"/>
      <c r="D97" s="87"/>
      <c r="E97" s="99"/>
      <c r="F97" s="100"/>
      <c r="G97" s="100"/>
      <c r="H97" s="100"/>
      <c r="I97" s="101"/>
      <c r="J97" s="106"/>
      <c r="K97" s="103"/>
      <c r="L97" s="104"/>
      <c r="M97" s="100"/>
      <c r="N97" s="100"/>
      <c r="O97" s="100"/>
      <c r="P97" s="100"/>
      <c r="Q97" s="105"/>
      <c r="R97" s="105"/>
      <c r="S97" s="169"/>
      <c r="U97" s="188"/>
    </row>
    <row r="98" spans="1:21" ht="25.5">
      <c r="A98" s="67" t="s">
        <v>5087</v>
      </c>
      <c r="B98" s="87" t="s">
        <v>5087</v>
      </c>
      <c r="C98" s="88" t="s">
        <v>11535</v>
      </c>
      <c r="D98" s="89"/>
      <c r="E98" s="90"/>
      <c r="F98" s="91" t="s">
        <v>11536</v>
      </c>
      <c r="G98" s="90"/>
      <c r="H98" s="90"/>
      <c r="I98" s="92"/>
      <c r="J98" s="93"/>
      <c r="K98" s="94"/>
      <c r="L98" s="149" t="str">
        <f>HYPERLINK("[#]DatatypeListedValues!B1074:H1074","Enumeration")</f>
        <v>Enumeration</v>
      </c>
      <c r="M98" s="107" t="b">
        <v>0</v>
      </c>
      <c r="N98" s="90"/>
      <c r="O98" s="95"/>
      <c r="P98" s="90"/>
      <c r="Q98" s="96"/>
      <c r="R98" s="97"/>
      <c r="S98" s="169"/>
      <c r="T98" s="300" t="str">
        <f>CONCATENATE([1]Cover!$D$6,"fdd/view?i=",S98)</f>
        <v>https://www.dgiwg.org/FAD/fdd/view?i=</v>
      </c>
      <c r="U98" s="188"/>
    </row>
    <row r="99" spans="1:21" ht="2.1" customHeight="1">
      <c r="A99" s="98"/>
      <c r="B99" s="87"/>
      <c r="C99" s="99"/>
      <c r="D99" s="87"/>
      <c r="E99" s="99"/>
      <c r="F99" s="100"/>
      <c r="G99" s="100"/>
      <c r="H99" s="100"/>
      <c r="I99" s="101"/>
      <c r="J99" s="106"/>
      <c r="K99" s="103"/>
      <c r="L99" s="104"/>
      <c r="M99" s="100"/>
      <c r="N99" s="100"/>
      <c r="O99" s="100"/>
      <c r="P99" s="100"/>
      <c r="Q99" s="105"/>
      <c r="R99" s="105"/>
      <c r="S99" s="169"/>
      <c r="U99" s="188"/>
    </row>
    <row r="100" spans="1:21" ht="25.5">
      <c r="A100" s="67" t="s">
        <v>5099</v>
      </c>
      <c r="B100" s="87" t="s">
        <v>5099</v>
      </c>
      <c r="C100" s="88" t="s">
        <v>11537</v>
      </c>
      <c r="D100" s="89"/>
      <c r="E100" s="90"/>
      <c r="F100" s="91" t="s">
        <v>11538</v>
      </c>
      <c r="G100" s="90"/>
      <c r="H100" s="90"/>
      <c r="I100" s="92"/>
      <c r="J100" s="93"/>
      <c r="K100" s="94"/>
      <c r="L100" s="149" t="str">
        <f>HYPERLINK("[#]DatatypeListedValues!B1083:H1083","Enumeration")</f>
        <v>Enumeration</v>
      </c>
      <c r="M100" s="107" t="b">
        <v>0</v>
      </c>
      <c r="N100" s="90"/>
      <c r="O100" s="95"/>
      <c r="P100" s="90"/>
      <c r="Q100" s="96"/>
      <c r="R100" s="97"/>
      <c r="S100" s="169"/>
      <c r="T100" s="300" t="str">
        <f>CONCATENATE([1]Cover!$D$6,"fdd/view?i=",S100)</f>
        <v>https://www.dgiwg.org/FAD/fdd/view?i=</v>
      </c>
      <c r="U100" s="188"/>
    </row>
    <row r="101" spans="1:21" ht="2.1" customHeight="1">
      <c r="A101" s="98"/>
      <c r="B101" s="87"/>
      <c r="C101" s="99"/>
      <c r="D101" s="87"/>
      <c r="E101" s="99"/>
      <c r="F101" s="100"/>
      <c r="G101" s="100"/>
      <c r="H101" s="100"/>
      <c r="I101" s="101"/>
      <c r="J101" s="106"/>
      <c r="K101" s="103"/>
      <c r="L101" s="104"/>
      <c r="M101" s="100"/>
      <c r="N101" s="100"/>
      <c r="O101" s="100"/>
      <c r="P101" s="100"/>
      <c r="Q101" s="105"/>
      <c r="R101" s="105"/>
      <c r="S101" s="169"/>
      <c r="U101" s="188"/>
    </row>
    <row r="102" spans="1:21" ht="25.5">
      <c r="A102" s="67" t="s">
        <v>5105</v>
      </c>
      <c r="B102" s="87" t="s">
        <v>5105</v>
      </c>
      <c r="C102" s="88" t="s">
        <v>11539</v>
      </c>
      <c r="D102" s="89"/>
      <c r="E102" s="90"/>
      <c r="F102" s="91" t="s">
        <v>11540</v>
      </c>
      <c r="G102" s="90"/>
      <c r="H102" s="90"/>
      <c r="I102" s="92"/>
      <c r="J102" s="93"/>
      <c r="K102" s="94"/>
      <c r="L102" s="149" t="str">
        <f>HYPERLINK("[#]DatatypeListedValues!B1090:H1090","Enumeration")</f>
        <v>Enumeration</v>
      </c>
      <c r="M102" s="107" t="b">
        <v>0</v>
      </c>
      <c r="N102" s="90"/>
      <c r="O102" s="95"/>
      <c r="P102" s="90"/>
      <c r="Q102" s="96"/>
      <c r="R102" s="97"/>
      <c r="S102" s="169"/>
      <c r="T102" s="300" t="str">
        <f>CONCATENATE([1]Cover!$D$6,"fdd/view?i=",S102)</f>
        <v>https://www.dgiwg.org/FAD/fdd/view?i=</v>
      </c>
      <c r="U102" s="188"/>
    </row>
    <row r="103" spans="1:21" ht="2.1" customHeight="1">
      <c r="A103" s="98"/>
      <c r="B103" s="87"/>
      <c r="C103" s="99"/>
      <c r="D103" s="87"/>
      <c r="E103" s="99"/>
      <c r="F103" s="100"/>
      <c r="G103" s="100"/>
      <c r="H103" s="100"/>
      <c r="I103" s="101"/>
      <c r="J103" s="106"/>
      <c r="K103" s="103"/>
      <c r="L103" s="104"/>
      <c r="M103" s="100"/>
      <c r="N103" s="100"/>
      <c r="O103" s="100"/>
      <c r="P103" s="100"/>
      <c r="Q103" s="105"/>
      <c r="R103" s="105"/>
      <c r="S103" s="169"/>
      <c r="U103" s="188"/>
    </row>
    <row r="104" spans="1:21" ht="25.5">
      <c r="A104" s="67" t="s">
        <v>5115</v>
      </c>
      <c r="B104" s="87" t="s">
        <v>5115</v>
      </c>
      <c r="C104" s="88" t="s">
        <v>11541</v>
      </c>
      <c r="D104" s="89"/>
      <c r="E104" s="90"/>
      <c r="F104" s="91" t="s">
        <v>11542</v>
      </c>
      <c r="G104" s="90"/>
      <c r="H104" s="90"/>
      <c r="I104" s="92"/>
      <c r="J104" s="93"/>
      <c r="K104" s="94"/>
      <c r="L104" s="149" t="str">
        <f>HYPERLINK("[#]DatatypeListedValues!B1093:H1093","Enumeration")</f>
        <v>Enumeration</v>
      </c>
      <c r="M104" s="107" t="b">
        <v>0</v>
      </c>
      <c r="N104" s="90"/>
      <c r="O104" s="95"/>
      <c r="P104" s="90"/>
      <c r="Q104" s="96"/>
      <c r="R104" s="97"/>
      <c r="S104" s="169"/>
      <c r="T104" s="300" t="str">
        <f>CONCATENATE([1]Cover!$D$6,"fdd/view?i=",S104)</f>
        <v>https://www.dgiwg.org/FAD/fdd/view?i=</v>
      </c>
      <c r="U104" s="188"/>
    </row>
    <row r="105" spans="1:21" ht="2.1" customHeight="1">
      <c r="A105" s="98"/>
      <c r="B105" s="87"/>
      <c r="C105" s="99"/>
      <c r="D105" s="87"/>
      <c r="E105" s="99"/>
      <c r="F105" s="100"/>
      <c r="G105" s="100"/>
      <c r="H105" s="100"/>
      <c r="I105" s="101"/>
      <c r="J105" s="106"/>
      <c r="K105" s="103"/>
      <c r="L105" s="104"/>
      <c r="M105" s="100"/>
      <c r="N105" s="100"/>
      <c r="O105" s="100"/>
      <c r="P105" s="100"/>
      <c r="Q105" s="105"/>
      <c r="R105" s="105"/>
      <c r="S105" s="169"/>
      <c r="U105" s="188"/>
    </row>
    <row r="106" spans="1:21" ht="38.25">
      <c r="A106" s="67" t="s">
        <v>5121</v>
      </c>
      <c r="B106" s="87" t="s">
        <v>5121</v>
      </c>
      <c r="C106" s="88" t="s">
        <v>11543</v>
      </c>
      <c r="D106" s="89"/>
      <c r="E106" s="90"/>
      <c r="F106" s="91" t="s">
        <v>11544</v>
      </c>
      <c r="G106" s="90"/>
      <c r="H106" s="91" t="s">
        <v>11426</v>
      </c>
      <c r="I106" s="92"/>
      <c r="J106" s="93"/>
      <c r="K106" s="94"/>
      <c r="L106" s="91" t="s">
        <v>11425</v>
      </c>
      <c r="M106" s="90"/>
      <c r="N106" s="91">
        <v>2</v>
      </c>
      <c r="O106" s="108" t="b">
        <v>0</v>
      </c>
      <c r="P106" s="91" t="s">
        <v>11545</v>
      </c>
      <c r="Q106" s="96"/>
      <c r="R106" s="97"/>
      <c r="S106" s="169"/>
      <c r="T106" s="300" t="str">
        <f>CONCATENATE([1]Cover!$D$6,"fdd/view?i=",S106)</f>
        <v>https://www.dgiwg.org/FAD/fdd/view?i=</v>
      </c>
      <c r="U106" s="188"/>
    </row>
    <row r="107" spans="1:21" ht="2.1" customHeight="1">
      <c r="A107" s="98"/>
      <c r="B107" s="87"/>
      <c r="C107" s="99"/>
      <c r="D107" s="87"/>
      <c r="E107" s="99"/>
      <c r="F107" s="100"/>
      <c r="G107" s="100"/>
      <c r="H107" s="100"/>
      <c r="I107" s="101"/>
      <c r="J107" s="106"/>
      <c r="K107" s="103"/>
      <c r="L107" s="104"/>
      <c r="M107" s="100"/>
      <c r="N107" s="100"/>
      <c r="O107" s="100"/>
      <c r="P107" s="100"/>
      <c r="Q107" s="105"/>
      <c r="R107" s="105"/>
      <c r="S107" s="169"/>
      <c r="U107" s="188"/>
    </row>
    <row r="108" spans="1:21" ht="38.25">
      <c r="A108" s="67" t="s">
        <v>5127</v>
      </c>
      <c r="B108" s="87" t="s">
        <v>5127</v>
      </c>
      <c r="C108" s="88" t="s">
        <v>11546</v>
      </c>
      <c r="D108" s="89"/>
      <c r="E108" s="90"/>
      <c r="F108" s="91" t="s">
        <v>11547</v>
      </c>
      <c r="G108" s="90"/>
      <c r="H108" s="91" t="s">
        <v>11426</v>
      </c>
      <c r="I108" s="92"/>
      <c r="J108" s="93"/>
      <c r="K108" s="94"/>
      <c r="L108" s="91" t="s">
        <v>11425</v>
      </c>
      <c r="M108" s="90"/>
      <c r="N108" s="91">
        <v>3</v>
      </c>
      <c r="O108" s="108" t="b">
        <v>0</v>
      </c>
      <c r="P108" s="91" t="s">
        <v>11548</v>
      </c>
      <c r="Q108" s="96"/>
      <c r="R108" s="97"/>
      <c r="S108" s="169"/>
      <c r="T108" s="300" t="str">
        <f>CONCATENATE([1]Cover!$D$6,"fdd/view?i=",S108)</f>
        <v>https://www.dgiwg.org/FAD/fdd/view?i=</v>
      </c>
      <c r="U108" s="188"/>
    </row>
    <row r="109" spans="1:21" ht="2.1" customHeight="1">
      <c r="A109" s="98"/>
      <c r="B109" s="87"/>
      <c r="C109" s="99"/>
      <c r="D109" s="87"/>
      <c r="E109" s="99"/>
      <c r="F109" s="100"/>
      <c r="G109" s="100"/>
      <c r="H109" s="100"/>
      <c r="I109" s="101"/>
      <c r="J109" s="106"/>
      <c r="K109" s="103"/>
      <c r="L109" s="104"/>
      <c r="M109" s="100"/>
      <c r="N109" s="100"/>
      <c r="O109" s="100"/>
      <c r="P109" s="100"/>
      <c r="Q109" s="105"/>
      <c r="R109" s="105"/>
      <c r="S109" s="169"/>
      <c r="U109" s="188"/>
    </row>
    <row r="110" spans="1:21" ht="25.5">
      <c r="A110" s="67" t="s">
        <v>5133</v>
      </c>
      <c r="B110" s="87" t="s">
        <v>5133</v>
      </c>
      <c r="C110" s="88" t="s">
        <v>11549</v>
      </c>
      <c r="D110" s="89"/>
      <c r="E110" s="90"/>
      <c r="F110" s="91" t="s">
        <v>11550</v>
      </c>
      <c r="G110" s="90"/>
      <c r="H110" s="90"/>
      <c r="I110" s="92"/>
      <c r="J110" s="93"/>
      <c r="K110" s="94"/>
      <c r="L110" s="149" t="str">
        <f>HYPERLINK("[#]DatatypeListedValues!B1101:H1101","Enumeration")</f>
        <v>Enumeration</v>
      </c>
      <c r="M110" s="107" t="b">
        <v>0</v>
      </c>
      <c r="N110" s="90"/>
      <c r="O110" s="95"/>
      <c r="P110" s="90"/>
      <c r="Q110" s="96"/>
      <c r="R110" s="97"/>
      <c r="S110" s="169"/>
      <c r="T110" s="300" t="str">
        <f>CONCATENATE([1]Cover!$D$6,"fdd/view?i=",S110)</f>
        <v>https://www.dgiwg.org/FAD/fdd/view?i=</v>
      </c>
      <c r="U110" s="188"/>
    </row>
    <row r="111" spans="1:21" ht="2.1" customHeight="1">
      <c r="A111" s="98"/>
      <c r="B111" s="87"/>
      <c r="C111" s="99"/>
      <c r="D111" s="87"/>
      <c r="E111" s="99"/>
      <c r="F111" s="100"/>
      <c r="G111" s="100"/>
      <c r="H111" s="100"/>
      <c r="I111" s="101"/>
      <c r="J111" s="106"/>
      <c r="K111" s="103"/>
      <c r="L111" s="104"/>
      <c r="M111" s="100"/>
      <c r="N111" s="100"/>
      <c r="O111" s="100"/>
      <c r="P111" s="100"/>
      <c r="Q111" s="105"/>
      <c r="R111" s="105"/>
      <c r="S111" s="169"/>
      <c r="U111" s="188"/>
    </row>
    <row r="112" spans="1:21" ht="25.5">
      <c r="A112" s="67" t="s">
        <v>5146</v>
      </c>
      <c r="B112" s="87" t="s">
        <v>5146</v>
      </c>
      <c r="C112" s="88" t="s">
        <v>11551</v>
      </c>
      <c r="D112" s="89"/>
      <c r="E112" s="90"/>
      <c r="F112" s="91" t="s">
        <v>11552</v>
      </c>
      <c r="G112" s="90"/>
      <c r="H112" s="90"/>
      <c r="I112" s="92"/>
      <c r="J112" s="93"/>
      <c r="K112" s="94"/>
      <c r="L112" s="149" t="str">
        <f>HYPERLINK("[#]DatatypeListedValues!B1107:H1107","Enumeration")</f>
        <v>Enumeration</v>
      </c>
      <c r="M112" s="107" t="b">
        <v>0</v>
      </c>
      <c r="N112" s="90"/>
      <c r="O112" s="95"/>
      <c r="P112" s="90"/>
      <c r="Q112" s="96"/>
      <c r="R112" s="97"/>
      <c r="S112" s="169"/>
      <c r="T112" s="300" t="str">
        <f>CONCATENATE([1]Cover!$D$6,"fdd/view?i=",S112)</f>
        <v>https://www.dgiwg.org/FAD/fdd/view?i=</v>
      </c>
      <c r="U112" s="188"/>
    </row>
    <row r="113" spans="1:21" ht="2.1" customHeight="1">
      <c r="A113" s="98"/>
      <c r="B113" s="87"/>
      <c r="C113" s="99"/>
      <c r="D113" s="87"/>
      <c r="E113" s="99"/>
      <c r="F113" s="100"/>
      <c r="G113" s="100"/>
      <c r="H113" s="100"/>
      <c r="I113" s="101"/>
      <c r="J113" s="106"/>
      <c r="K113" s="103"/>
      <c r="L113" s="104"/>
      <c r="M113" s="100"/>
      <c r="N113" s="100"/>
      <c r="O113" s="100"/>
      <c r="P113" s="100"/>
      <c r="Q113" s="105"/>
      <c r="R113" s="105"/>
      <c r="S113" s="169"/>
      <c r="U113" s="188"/>
    </row>
    <row r="114" spans="1:21" ht="25.5">
      <c r="A114" s="67" t="s">
        <v>5155</v>
      </c>
      <c r="B114" s="87" t="s">
        <v>5155</v>
      </c>
      <c r="C114" s="88" t="s">
        <v>11553</v>
      </c>
      <c r="D114" s="89"/>
      <c r="E114" s="90"/>
      <c r="F114" s="91" t="s">
        <v>11554</v>
      </c>
      <c r="G114" s="90"/>
      <c r="H114" s="90"/>
      <c r="I114" s="92"/>
      <c r="J114" s="93"/>
      <c r="K114" s="94"/>
      <c r="L114" s="149" t="str">
        <f>HYPERLINK("[#]DatatypeListedValues!B1114:H1114","Enumeration")</f>
        <v>Enumeration</v>
      </c>
      <c r="M114" s="107" t="b">
        <v>0</v>
      </c>
      <c r="N114" s="90"/>
      <c r="O114" s="95"/>
      <c r="P114" s="90"/>
      <c r="Q114" s="96"/>
      <c r="R114" s="97"/>
      <c r="S114" s="169"/>
      <c r="T114" s="300" t="str">
        <f>CONCATENATE([1]Cover!$D$6,"fdd/view?i=",S114)</f>
        <v>https://www.dgiwg.org/FAD/fdd/view?i=</v>
      </c>
      <c r="U114" s="188"/>
    </row>
    <row r="115" spans="1:21" ht="2.1" customHeight="1">
      <c r="A115" s="98"/>
      <c r="B115" s="87"/>
      <c r="C115" s="99"/>
      <c r="D115" s="87"/>
      <c r="E115" s="99"/>
      <c r="F115" s="100"/>
      <c r="G115" s="100"/>
      <c r="H115" s="100"/>
      <c r="I115" s="101"/>
      <c r="J115" s="106"/>
      <c r="K115" s="103"/>
      <c r="L115" s="104"/>
      <c r="M115" s="100"/>
      <c r="N115" s="100"/>
      <c r="O115" s="100"/>
      <c r="P115" s="100"/>
      <c r="Q115" s="105"/>
      <c r="R115" s="105"/>
      <c r="S115" s="169"/>
      <c r="U115" s="188"/>
    </row>
    <row r="116" spans="1:21" ht="25.5">
      <c r="A116" s="67" t="s">
        <v>5160</v>
      </c>
      <c r="B116" s="87" t="s">
        <v>5160</v>
      </c>
      <c r="C116" s="88" t="s">
        <v>11555</v>
      </c>
      <c r="D116" s="89"/>
      <c r="E116" s="90"/>
      <c r="F116" s="91" t="s">
        <v>11556</v>
      </c>
      <c r="G116" s="90"/>
      <c r="H116" s="90"/>
      <c r="I116" s="92"/>
      <c r="J116" s="93"/>
      <c r="K116" s="94"/>
      <c r="L116" s="149" t="str">
        <f>HYPERLINK("[#]DatatypeListedValues!B1117:H1117","Enumeration")</f>
        <v>Enumeration</v>
      </c>
      <c r="M116" s="107" t="b">
        <v>0</v>
      </c>
      <c r="N116" s="90"/>
      <c r="O116" s="95"/>
      <c r="P116" s="90"/>
      <c r="Q116" s="96"/>
      <c r="R116" s="97"/>
      <c r="S116" s="169"/>
      <c r="T116" s="300" t="str">
        <f>CONCATENATE([1]Cover!$D$6,"fdd/view?i=",S116)</f>
        <v>https://www.dgiwg.org/FAD/fdd/view?i=</v>
      </c>
      <c r="U116" s="188"/>
    </row>
    <row r="117" spans="1:21" ht="2.1" customHeight="1">
      <c r="A117" s="98"/>
      <c r="B117" s="87"/>
      <c r="C117" s="99"/>
      <c r="D117" s="87"/>
      <c r="E117" s="99"/>
      <c r="F117" s="100"/>
      <c r="G117" s="100"/>
      <c r="H117" s="100"/>
      <c r="I117" s="101"/>
      <c r="J117" s="106"/>
      <c r="K117" s="103"/>
      <c r="L117" s="104"/>
      <c r="M117" s="100"/>
      <c r="N117" s="100"/>
      <c r="O117" s="100"/>
      <c r="P117" s="100"/>
      <c r="Q117" s="105"/>
      <c r="R117" s="105"/>
      <c r="S117" s="169"/>
      <c r="U117" s="188"/>
    </row>
    <row r="118" spans="1:21" ht="25.5">
      <c r="A118" s="67" t="s">
        <v>5170</v>
      </c>
      <c r="B118" s="87" t="s">
        <v>5170</v>
      </c>
      <c r="C118" s="88" t="s">
        <v>11557</v>
      </c>
      <c r="D118" s="89"/>
      <c r="E118" s="90"/>
      <c r="F118" s="91" t="s">
        <v>11558</v>
      </c>
      <c r="G118" s="90"/>
      <c r="H118" s="90"/>
      <c r="I118" s="92"/>
      <c r="J118" s="93"/>
      <c r="K118" s="94"/>
      <c r="L118" s="149" t="str">
        <f>HYPERLINK("[#]DatatypeListedValues!B1120:H1120","Enumeration")</f>
        <v>Enumeration</v>
      </c>
      <c r="M118" s="107" t="b">
        <v>0</v>
      </c>
      <c r="N118" s="90"/>
      <c r="O118" s="95"/>
      <c r="P118" s="90"/>
      <c r="Q118" s="96"/>
      <c r="R118" s="97"/>
      <c r="S118" s="169"/>
      <c r="T118" s="300" t="str">
        <f>CONCATENATE([1]Cover!$D$6,"fdd/view?i=",S118)</f>
        <v>https://www.dgiwg.org/FAD/fdd/view?i=</v>
      </c>
      <c r="U118" s="188"/>
    </row>
    <row r="119" spans="1:21" ht="2.1" customHeight="1">
      <c r="A119" s="98"/>
      <c r="B119" s="87"/>
      <c r="C119" s="99"/>
      <c r="D119" s="87"/>
      <c r="E119" s="99"/>
      <c r="F119" s="100"/>
      <c r="G119" s="100"/>
      <c r="H119" s="100"/>
      <c r="I119" s="101"/>
      <c r="J119" s="106"/>
      <c r="K119" s="103"/>
      <c r="L119" s="104"/>
      <c r="M119" s="100"/>
      <c r="N119" s="100"/>
      <c r="O119" s="100"/>
      <c r="P119" s="100"/>
      <c r="Q119" s="105"/>
      <c r="R119" s="105"/>
      <c r="S119" s="169"/>
      <c r="U119" s="188"/>
    </row>
    <row r="120" spans="1:21" ht="25.5">
      <c r="A120" s="67" t="s">
        <v>5186</v>
      </c>
      <c r="B120" s="87" t="s">
        <v>5186</v>
      </c>
      <c r="C120" s="88" t="s">
        <v>11559</v>
      </c>
      <c r="D120" s="89"/>
      <c r="E120" s="90"/>
      <c r="F120" s="91" t="s">
        <v>11560</v>
      </c>
      <c r="G120" s="90"/>
      <c r="H120" s="90"/>
      <c r="I120" s="92"/>
      <c r="J120" s="93"/>
      <c r="K120" s="94"/>
      <c r="L120" s="149" t="str">
        <f>HYPERLINK("[#]DatatypeListedValues!B1128:H1128","Enumeration")</f>
        <v>Enumeration</v>
      </c>
      <c r="M120" s="107" t="b">
        <v>0</v>
      </c>
      <c r="N120" s="90"/>
      <c r="O120" s="95"/>
      <c r="P120" s="90"/>
      <c r="Q120" s="96"/>
      <c r="R120" s="97"/>
      <c r="S120" s="169"/>
      <c r="T120" s="300" t="str">
        <f>CONCATENATE([1]Cover!$D$6,"fdd/view?i=",S120)</f>
        <v>https://www.dgiwg.org/FAD/fdd/view?i=</v>
      </c>
      <c r="U120" s="188"/>
    </row>
    <row r="121" spans="1:21" ht="2.1" customHeight="1">
      <c r="A121" s="98"/>
      <c r="B121" s="87"/>
      <c r="C121" s="99"/>
      <c r="D121" s="87"/>
      <c r="E121" s="99"/>
      <c r="F121" s="100"/>
      <c r="G121" s="100"/>
      <c r="H121" s="100"/>
      <c r="I121" s="101"/>
      <c r="J121" s="106"/>
      <c r="K121" s="103"/>
      <c r="L121" s="104"/>
      <c r="M121" s="100"/>
      <c r="N121" s="100"/>
      <c r="O121" s="100"/>
      <c r="P121" s="100"/>
      <c r="Q121" s="105"/>
      <c r="R121" s="105"/>
      <c r="S121" s="169"/>
      <c r="U121" s="188"/>
    </row>
    <row r="122" spans="1:21">
      <c r="A122" s="67" t="s">
        <v>5197</v>
      </c>
      <c r="B122" s="87" t="s">
        <v>5197</v>
      </c>
      <c r="C122" s="88" t="s">
        <v>11561</v>
      </c>
      <c r="D122" s="89"/>
      <c r="E122" s="90"/>
      <c r="F122" s="91" t="s">
        <v>11562</v>
      </c>
      <c r="G122" s="90"/>
      <c r="H122" s="90"/>
      <c r="I122" s="92"/>
      <c r="J122" s="93"/>
      <c r="K122" s="94"/>
      <c r="L122" s="149" t="str">
        <f>HYPERLINK("[#]DatatypeListedValues!B1133:H1133","Enumeration")</f>
        <v>Enumeration</v>
      </c>
      <c r="M122" s="107" t="b">
        <v>0</v>
      </c>
      <c r="N122" s="90"/>
      <c r="O122" s="95"/>
      <c r="P122" s="90"/>
      <c r="Q122" s="96"/>
      <c r="R122" s="97"/>
      <c r="S122" s="169"/>
      <c r="T122" s="300" t="str">
        <f>CONCATENATE([1]Cover!$D$6,"fdd/view?i=",S122)</f>
        <v>https://www.dgiwg.org/FAD/fdd/view?i=</v>
      </c>
      <c r="U122" s="188"/>
    </row>
    <row r="123" spans="1:21" ht="2.1" customHeight="1">
      <c r="A123" s="98"/>
      <c r="B123" s="87"/>
      <c r="C123" s="99"/>
      <c r="D123" s="87"/>
      <c r="E123" s="99"/>
      <c r="F123" s="100"/>
      <c r="G123" s="100"/>
      <c r="H123" s="100"/>
      <c r="I123" s="101"/>
      <c r="J123" s="106"/>
      <c r="K123" s="103"/>
      <c r="L123" s="104"/>
      <c r="M123" s="100"/>
      <c r="N123" s="100"/>
      <c r="O123" s="100"/>
      <c r="P123" s="100"/>
      <c r="Q123" s="105"/>
      <c r="R123" s="105"/>
      <c r="S123" s="169"/>
      <c r="U123" s="188"/>
    </row>
    <row r="124" spans="1:21" ht="25.5">
      <c r="A124" s="67" t="s">
        <v>5202</v>
      </c>
      <c r="B124" s="87" t="s">
        <v>5202</v>
      </c>
      <c r="C124" s="88" t="s">
        <v>11563</v>
      </c>
      <c r="D124" s="89"/>
      <c r="E124" s="90"/>
      <c r="F124" s="91" t="s">
        <v>11564</v>
      </c>
      <c r="G124" s="90"/>
      <c r="H124" s="90"/>
      <c r="I124" s="92"/>
      <c r="J124" s="93"/>
      <c r="K124" s="94"/>
      <c r="L124" s="149" t="str">
        <f>HYPERLINK("[#]DatatypeListedValues!B1139:H1139","Enumeration")</f>
        <v>Enumeration</v>
      </c>
      <c r="M124" s="91" t="b">
        <v>1</v>
      </c>
      <c r="N124" s="90"/>
      <c r="O124" s="95"/>
      <c r="P124" s="90"/>
      <c r="Q124" s="96"/>
      <c r="R124" s="97"/>
      <c r="S124" s="169"/>
      <c r="T124" s="300" t="str">
        <f>CONCATENATE([1]Cover!$D$6,"fdd/view?i=",S124)</f>
        <v>https://www.dgiwg.org/FAD/fdd/view?i=</v>
      </c>
      <c r="U124" s="188"/>
    </row>
    <row r="125" spans="1:21" ht="2.1" customHeight="1">
      <c r="A125" s="98"/>
      <c r="B125" s="87"/>
      <c r="C125" s="99"/>
      <c r="D125" s="87"/>
      <c r="E125" s="99"/>
      <c r="F125" s="100"/>
      <c r="G125" s="100"/>
      <c r="H125" s="100"/>
      <c r="I125" s="101"/>
      <c r="J125" s="106"/>
      <c r="K125" s="103"/>
      <c r="L125" s="104"/>
      <c r="M125" s="100"/>
      <c r="N125" s="100"/>
      <c r="O125" s="100"/>
      <c r="P125" s="100"/>
      <c r="Q125" s="105"/>
      <c r="R125" s="105"/>
      <c r="S125" s="169"/>
      <c r="U125" s="188"/>
    </row>
    <row r="126" spans="1:21">
      <c r="A126" s="67" t="s">
        <v>5207</v>
      </c>
      <c r="B126" s="87" t="s">
        <v>5207</v>
      </c>
      <c r="C126" s="88" t="s">
        <v>11565</v>
      </c>
      <c r="D126" s="89"/>
      <c r="E126" s="90"/>
      <c r="F126" s="91" t="s">
        <v>11566</v>
      </c>
      <c r="G126" s="90"/>
      <c r="H126" s="90"/>
      <c r="I126" s="92"/>
      <c r="J126" s="93"/>
      <c r="K126" s="94"/>
      <c r="L126" s="149" t="str">
        <f>HYPERLINK("[#]DatatypeListedValues!B1152:H1152","Enumeration")</f>
        <v>Enumeration</v>
      </c>
      <c r="M126" s="107" t="b">
        <v>0</v>
      </c>
      <c r="N126" s="90"/>
      <c r="O126" s="95"/>
      <c r="P126" s="90"/>
      <c r="Q126" s="96"/>
      <c r="R126" s="97"/>
      <c r="S126" s="169"/>
      <c r="T126" s="300" t="str">
        <f>CONCATENATE([1]Cover!$D$6,"fdd/view?i=",S126)</f>
        <v>https://www.dgiwg.org/FAD/fdd/view?i=</v>
      </c>
      <c r="U126" s="188"/>
    </row>
    <row r="127" spans="1:21" ht="2.1" customHeight="1">
      <c r="A127" s="98"/>
      <c r="B127" s="87"/>
      <c r="C127" s="99"/>
      <c r="D127" s="87"/>
      <c r="E127" s="99"/>
      <c r="F127" s="100"/>
      <c r="G127" s="100"/>
      <c r="H127" s="100"/>
      <c r="I127" s="101"/>
      <c r="J127" s="106"/>
      <c r="K127" s="103"/>
      <c r="L127" s="104"/>
      <c r="M127" s="100"/>
      <c r="N127" s="100"/>
      <c r="O127" s="100"/>
      <c r="P127" s="100"/>
      <c r="Q127" s="105"/>
      <c r="R127" s="105"/>
      <c r="S127" s="169"/>
      <c r="U127" s="188"/>
    </row>
    <row r="128" spans="1:21">
      <c r="A128" s="67" t="s">
        <v>5212</v>
      </c>
      <c r="B128" s="87" t="s">
        <v>5212</v>
      </c>
      <c r="C128" s="88" t="s">
        <v>11567</v>
      </c>
      <c r="D128" s="89"/>
      <c r="E128" s="90"/>
      <c r="F128" s="91" t="s">
        <v>11568</v>
      </c>
      <c r="G128" s="90"/>
      <c r="H128" s="90"/>
      <c r="I128" s="92"/>
      <c r="J128" s="93"/>
      <c r="K128" s="94"/>
      <c r="L128" s="149" t="str">
        <f>HYPERLINK("[#]DatatypeListedValues!B1156:H1156","Enumeration")</f>
        <v>Enumeration</v>
      </c>
      <c r="M128" s="91" t="b">
        <v>1</v>
      </c>
      <c r="N128" s="90"/>
      <c r="O128" s="95"/>
      <c r="P128" s="90"/>
      <c r="Q128" s="96"/>
      <c r="R128" s="97"/>
      <c r="S128" s="169"/>
      <c r="T128" s="300" t="str">
        <f>CONCATENATE([1]Cover!$D$6,"fdd/view?i=",S128)</f>
        <v>https://www.dgiwg.org/FAD/fdd/view?i=</v>
      </c>
      <c r="U128" s="188"/>
    </row>
    <row r="129" spans="1:21" ht="2.1" customHeight="1">
      <c r="A129" s="98"/>
      <c r="B129" s="87"/>
      <c r="C129" s="99"/>
      <c r="D129" s="87"/>
      <c r="E129" s="99"/>
      <c r="F129" s="100"/>
      <c r="G129" s="100"/>
      <c r="H129" s="100"/>
      <c r="I129" s="101"/>
      <c r="J129" s="106"/>
      <c r="K129" s="103"/>
      <c r="L129" s="104"/>
      <c r="M129" s="100"/>
      <c r="N129" s="100"/>
      <c r="O129" s="100"/>
      <c r="P129" s="100"/>
      <c r="Q129" s="105"/>
      <c r="R129" s="105"/>
      <c r="S129" s="169"/>
      <c r="U129" s="188"/>
    </row>
    <row r="130" spans="1:21" ht="25.5">
      <c r="A130" s="67" t="s">
        <v>5217</v>
      </c>
      <c r="B130" s="87" t="s">
        <v>5217</v>
      </c>
      <c r="C130" s="88" t="s">
        <v>11569</v>
      </c>
      <c r="D130" s="89"/>
      <c r="E130" s="90"/>
      <c r="F130" s="91" t="s">
        <v>11570</v>
      </c>
      <c r="G130" s="90"/>
      <c r="H130" s="90"/>
      <c r="I130" s="92"/>
      <c r="J130" s="93"/>
      <c r="K130" s="94"/>
      <c r="L130" s="149" t="str">
        <f>HYPERLINK("[#]DatatypeListedValues!B1166:H1166","Enumeration")</f>
        <v>Enumeration</v>
      </c>
      <c r="M130" s="91" t="b">
        <v>1</v>
      </c>
      <c r="N130" s="90"/>
      <c r="O130" s="95"/>
      <c r="P130" s="90"/>
      <c r="Q130" s="96"/>
      <c r="R130" s="97"/>
      <c r="S130" s="169"/>
      <c r="T130" s="300" t="str">
        <f>CONCATENATE([1]Cover!$D$6,"fdd/view?i=",S130)</f>
        <v>https://www.dgiwg.org/FAD/fdd/view?i=</v>
      </c>
      <c r="U130" s="188"/>
    </row>
    <row r="131" spans="1:21" ht="2.1" customHeight="1">
      <c r="A131" s="98"/>
      <c r="B131" s="87"/>
      <c r="C131" s="99"/>
      <c r="D131" s="87"/>
      <c r="E131" s="99"/>
      <c r="F131" s="100"/>
      <c r="G131" s="100"/>
      <c r="H131" s="100"/>
      <c r="I131" s="101"/>
      <c r="J131" s="106"/>
      <c r="K131" s="103"/>
      <c r="L131" s="104"/>
      <c r="M131" s="100"/>
      <c r="N131" s="100"/>
      <c r="O131" s="100"/>
      <c r="P131" s="100"/>
      <c r="Q131" s="105"/>
      <c r="R131" s="105"/>
      <c r="S131" s="169"/>
      <c r="U131" s="188"/>
    </row>
    <row r="132" spans="1:21">
      <c r="A132" s="67" t="s">
        <v>5224</v>
      </c>
      <c r="B132" s="87" t="s">
        <v>5224</v>
      </c>
      <c r="C132" s="88" t="s">
        <v>11571</v>
      </c>
      <c r="D132" s="89"/>
      <c r="E132" s="90"/>
      <c r="F132" s="91" t="s">
        <v>11572</v>
      </c>
      <c r="G132" s="90"/>
      <c r="H132" s="90"/>
      <c r="I132" s="92"/>
      <c r="J132" s="93"/>
      <c r="K132" s="94"/>
      <c r="L132" s="149" t="str">
        <f>HYPERLINK("[#]DatatypeListedValues!B1169:H1169","Enumeration")</f>
        <v>Enumeration</v>
      </c>
      <c r="M132" s="107" t="b">
        <v>0</v>
      </c>
      <c r="N132" s="90"/>
      <c r="O132" s="95"/>
      <c r="P132" s="90"/>
      <c r="Q132" s="96"/>
      <c r="R132" s="97"/>
      <c r="S132" s="169"/>
      <c r="T132" s="300" t="str">
        <f>CONCATENATE([1]Cover!$D$6,"fdd/view?i=",S132)</f>
        <v>https://www.dgiwg.org/FAD/fdd/view?i=</v>
      </c>
      <c r="U132" s="188"/>
    </row>
    <row r="133" spans="1:21" ht="2.1" customHeight="1">
      <c r="A133" s="98"/>
      <c r="B133" s="87"/>
      <c r="C133" s="99"/>
      <c r="D133" s="87"/>
      <c r="E133" s="99"/>
      <c r="F133" s="100"/>
      <c r="G133" s="100"/>
      <c r="H133" s="100"/>
      <c r="I133" s="101"/>
      <c r="J133" s="106"/>
      <c r="K133" s="103"/>
      <c r="L133" s="104"/>
      <c r="M133" s="100"/>
      <c r="N133" s="100"/>
      <c r="O133" s="100"/>
      <c r="P133" s="100"/>
      <c r="Q133" s="105"/>
      <c r="R133" s="105"/>
      <c r="S133" s="169"/>
      <c r="U133" s="188"/>
    </row>
    <row r="134" spans="1:21">
      <c r="A134" s="67" t="s">
        <v>5229</v>
      </c>
      <c r="B134" s="87" t="s">
        <v>5229</v>
      </c>
      <c r="C134" s="88" t="s">
        <v>11573</v>
      </c>
      <c r="D134" s="89"/>
      <c r="E134" s="90"/>
      <c r="F134" s="91" t="s">
        <v>11574</v>
      </c>
      <c r="G134" s="90"/>
      <c r="H134" s="90"/>
      <c r="I134" s="92"/>
      <c r="J134" s="93"/>
      <c r="K134" s="94"/>
      <c r="L134" s="149" t="str">
        <f>HYPERLINK("[#]DatatypeListedValues!B1227:H1227","Enumeration")</f>
        <v>Enumeration</v>
      </c>
      <c r="M134" s="107" t="b">
        <v>0</v>
      </c>
      <c r="N134" s="90"/>
      <c r="O134" s="95"/>
      <c r="P134" s="90"/>
      <c r="Q134" s="96"/>
      <c r="R134" s="97"/>
      <c r="S134" s="169"/>
      <c r="T134" s="300" t="str">
        <f>CONCATENATE([1]Cover!$D$6,"fdd/view?i=",S134)</f>
        <v>https://www.dgiwg.org/FAD/fdd/view?i=</v>
      </c>
      <c r="U134" s="188"/>
    </row>
    <row r="135" spans="1:21" ht="2.1" customHeight="1">
      <c r="A135" s="98"/>
      <c r="B135" s="87"/>
      <c r="C135" s="99"/>
      <c r="D135" s="87"/>
      <c r="E135" s="99"/>
      <c r="F135" s="100"/>
      <c r="G135" s="100"/>
      <c r="H135" s="100"/>
      <c r="I135" s="101"/>
      <c r="J135" s="106"/>
      <c r="K135" s="103"/>
      <c r="L135" s="104"/>
      <c r="M135" s="100"/>
      <c r="N135" s="100"/>
      <c r="O135" s="100"/>
      <c r="P135" s="100"/>
      <c r="Q135" s="105"/>
      <c r="R135" s="105"/>
      <c r="S135" s="169"/>
      <c r="U135" s="188"/>
    </row>
    <row r="136" spans="1:21">
      <c r="A136" s="67" t="s">
        <v>5235</v>
      </c>
      <c r="B136" s="87" t="s">
        <v>5235</v>
      </c>
      <c r="C136" s="88" t="s">
        <v>11575</v>
      </c>
      <c r="D136" s="89"/>
      <c r="E136" s="90"/>
      <c r="F136" s="91" t="s">
        <v>11576</v>
      </c>
      <c r="G136" s="90"/>
      <c r="H136" s="90"/>
      <c r="I136" s="92"/>
      <c r="J136" s="93"/>
      <c r="K136" s="94"/>
      <c r="L136" s="149" t="str">
        <f>HYPERLINK("[#]DatatypeListedValues!B1234:H1234","Enumeration")</f>
        <v>Enumeration</v>
      </c>
      <c r="M136" s="107" t="b">
        <v>0</v>
      </c>
      <c r="N136" s="90"/>
      <c r="O136" s="95"/>
      <c r="P136" s="90"/>
      <c r="Q136" s="96"/>
      <c r="R136" s="97"/>
      <c r="S136" s="169"/>
      <c r="T136" s="300" t="str">
        <f>CONCATENATE([1]Cover!$D$6,"fdd/view?i=",S136)</f>
        <v>https://www.dgiwg.org/FAD/fdd/view?i=</v>
      </c>
      <c r="U136" s="188"/>
    </row>
    <row r="137" spans="1:21" ht="2.1" customHeight="1">
      <c r="A137" s="98"/>
      <c r="B137" s="87"/>
      <c r="C137" s="99"/>
      <c r="D137" s="87"/>
      <c r="E137" s="99"/>
      <c r="F137" s="100"/>
      <c r="G137" s="100"/>
      <c r="H137" s="100"/>
      <c r="I137" s="101"/>
      <c r="J137" s="106"/>
      <c r="K137" s="103"/>
      <c r="L137" s="104"/>
      <c r="M137" s="100"/>
      <c r="N137" s="100"/>
      <c r="O137" s="100"/>
      <c r="P137" s="100"/>
      <c r="Q137" s="105"/>
      <c r="R137" s="105"/>
      <c r="S137" s="169"/>
      <c r="U137" s="188"/>
    </row>
    <row r="138" spans="1:21">
      <c r="A138" s="67" t="s">
        <v>5250</v>
      </c>
      <c r="B138" s="87" t="s">
        <v>5250</v>
      </c>
      <c r="C138" s="88" t="s">
        <v>11577</v>
      </c>
      <c r="D138" s="89"/>
      <c r="E138" s="90"/>
      <c r="F138" s="91" t="s">
        <v>11578</v>
      </c>
      <c r="G138" s="90"/>
      <c r="H138" s="90"/>
      <c r="I138" s="92"/>
      <c r="J138" s="93"/>
      <c r="K138" s="94"/>
      <c r="L138" s="149" t="str">
        <f>HYPERLINK("[#]DatatypeListedValues!B1237:H1237","Enumeration")</f>
        <v>Enumeration</v>
      </c>
      <c r="M138" s="107" t="b">
        <v>0</v>
      </c>
      <c r="N138" s="90"/>
      <c r="O138" s="95"/>
      <c r="P138" s="90"/>
      <c r="Q138" s="96"/>
      <c r="R138" s="97"/>
      <c r="S138" s="169"/>
      <c r="T138" s="300" t="str">
        <f>CONCATENATE([1]Cover!$D$6,"fdd/view?i=",S138)</f>
        <v>https://www.dgiwg.org/FAD/fdd/view?i=</v>
      </c>
      <c r="U138" s="188"/>
    </row>
    <row r="139" spans="1:21" ht="2.1" customHeight="1">
      <c r="A139" s="98"/>
      <c r="B139" s="87"/>
      <c r="C139" s="99"/>
      <c r="D139" s="87"/>
      <c r="E139" s="99"/>
      <c r="F139" s="100"/>
      <c r="G139" s="100"/>
      <c r="H139" s="100"/>
      <c r="I139" s="101"/>
      <c r="J139" s="106"/>
      <c r="K139" s="103"/>
      <c r="L139" s="104"/>
      <c r="M139" s="100"/>
      <c r="N139" s="100"/>
      <c r="O139" s="100"/>
      <c r="P139" s="100"/>
      <c r="Q139" s="105"/>
      <c r="R139" s="105"/>
      <c r="S139" s="169"/>
      <c r="U139" s="188"/>
    </row>
    <row r="140" spans="1:21" ht="25.5">
      <c r="A140" s="67" t="s">
        <v>5260</v>
      </c>
      <c r="B140" s="87" t="s">
        <v>5260</v>
      </c>
      <c r="C140" s="88" t="s">
        <v>11579</v>
      </c>
      <c r="D140" s="89"/>
      <c r="E140" s="90"/>
      <c r="F140" s="91" t="s">
        <v>11580</v>
      </c>
      <c r="G140" s="90"/>
      <c r="H140" s="90"/>
      <c r="I140" s="92"/>
      <c r="J140" s="93"/>
      <c r="K140" s="94"/>
      <c r="L140" s="149" t="str">
        <f>HYPERLINK("[#]DatatypeListedValues!B1274:H1274","Enumeration")</f>
        <v>Enumeration</v>
      </c>
      <c r="M140" s="107" t="b">
        <v>0</v>
      </c>
      <c r="N140" s="90"/>
      <c r="O140" s="95"/>
      <c r="P140" s="90"/>
      <c r="Q140" s="96"/>
      <c r="R140" s="97"/>
      <c r="S140" s="169"/>
      <c r="T140" s="300" t="str">
        <f>CONCATENATE([1]Cover!$D$6,"fdd/view?i=",S140)</f>
        <v>https://www.dgiwg.org/FAD/fdd/view?i=</v>
      </c>
      <c r="U140" s="188"/>
    </row>
    <row r="141" spans="1:21" ht="2.1" customHeight="1">
      <c r="A141" s="98"/>
      <c r="B141" s="87"/>
      <c r="C141" s="99"/>
      <c r="D141" s="87"/>
      <c r="E141" s="99"/>
      <c r="F141" s="100"/>
      <c r="G141" s="100"/>
      <c r="H141" s="100"/>
      <c r="I141" s="101"/>
      <c r="J141" s="106"/>
      <c r="K141" s="103"/>
      <c r="L141" s="104"/>
      <c r="M141" s="100"/>
      <c r="N141" s="100"/>
      <c r="O141" s="100"/>
      <c r="P141" s="100"/>
      <c r="Q141" s="105"/>
      <c r="R141" s="105"/>
      <c r="S141" s="169"/>
      <c r="U141" s="188"/>
    </row>
    <row r="142" spans="1:21" ht="25.5">
      <c r="A142" s="67" t="s">
        <v>5270</v>
      </c>
      <c r="B142" s="87" t="s">
        <v>5270</v>
      </c>
      <c r="C142" s="88" t="s">
        <v>11581</v>
      </c>
      <c r="D142" s="89"/>
      <c r="E142" s="90"/>
      <c r="F142" s="91" t="s">
        <v>11582</v>
      </c>
      <c r="G142" s="90"/>
      <c r="H142" s="90"/>
      <c r="I142" s="92"/>
      <c r="J142" s="93"/>
      <c r="K142" s="94"/>
      <c r="L142" s="149" t="str">
        <f>HYPERLINK("[#]DatatypeListedValues!B1280:H1280","Enumeration")</f>
        <v>Enumeration</v>
      </c>
      <c r="M142" s="107" t="b">
        <v>0</v>
      </c>
      <c r="N142" s="90"/>
      <c r="O142" s="95"/>
      <c r="P142" s="90"/>
      <c r="Q142" s="96"/>
      <c r="R142" s="97"/>
      <c r="S142" s="169"/>
      <c r="T142" s="300" t="str">
        <f>CONCATENATE([1]Cover!$D$6,"fdd/view?i=",S142)</f>
        <v>https://www.dgiwg.org/FAD/fdd/view?i=</v>
      </c>
      <c r="U142" s="188"/>
    </row>
    <row r="143" spans="1:21" ht="2.1" customHeight="1">
      <c r="A143" s="98"/>
      <c r="B143" s="87"/>
      <c r="C143" s="99"/>
      <c r="D143" s="87"/>
      <c r="E143" s="99"/>
      <c r="F143" s="100"/>
      <c r="G143" s="100"/>
      <c r="H143" s="100"/>
      <c r="I143" s="101"/>
      <c r="J143" s="106"/>
      <c r="K143" s="103"/>
      <c r="L143" s="104"/>
      <c r="M143" s="100"/>
      <c r="N143" s="100"/>
      <c r="O143" s="100"/>
      <c r="P143" s="100"/>
      <c r="Q143" s="105"/>
      <c r="R143" s="105"/>
      <c r="S143" s="169"/>
      <c r="U143" s="188"/>
    </row>
    <row r="144" spans="1:21" ht="25.5">
      <c r="A144" s="67" t="s">
        <v>5275</v>
      </c>
      <c r="B144" s="87" t="s">
        <v>5275</v>
      </c>
      <c r="C144" s="88" t="s">
        <v>11583</v>
      </c>
      <c r="D144" s="89"/>
      <c r="E144" s="90"/>
      <c r="F144" s="91" t="s">
        <v>11584</v>
      </c>
      <c r="G144" s="90"/>
      <c r="H144" s="90"/>
      <c r="I144" s="92"/>
      <c r="J144" s="93"/>
      <c r="K144" s="94"/>
      <c r="L144" s="149" t="str">
        <f>HYPERLINK("[#]DatatypeListedValues!B1287:H1287","Enumeration")</f>
        <v>Enumeration</v>
      </c>
      <c r="M144" s="107" t="b">
        <v>0</v>
      </c>
      <c r="N144" s="90"/>
      <c r="O144" s="95"/>
      <c r="P144" s="90"/>
      <c r="Q144" s="96"/>
      <c r="R144" s="97"/>
      <c r="S144" s="169"/>
      <c r="T144" s="300" t="str">
        <f>CONCATENATE([1]Cover!$D$6,"fdd/view?i=",S144)</f>
        <v>https://www.dgiwg.org/FAD/fdd/view?i=</v>
      </c>
      <c r="U144" s="188"/>
    </row>
    <row r="145" spans="1:21" ht="2.1" customHeight="1">
      <c r="A145" s="98"/>
      <c r="B145" s="87"/>
      <c r="C145" s="99"/>
      <c r="D145" s="87"/>
      <c r="E145" s="99"/>
      <c r="F145" s="100"/>
      <c r="G145" s="100"/>
      <c r="H145" s="100"/>
      <c r="I145" s="101"/>
      <c r="J145" s="106"/>
      <c r="K145" s="103"/>
      <c r="L145" s="104"/>
      <c r="M145" s="100"/>
      <c r="N145" s="100"/>
      <c r="O145" s="100"/>
      <c r="P145" s="100"/>
      <c r="Q145" s="105"/>
      <c r="R145" s="105"/>
      <c r="S145" s="169"/>
      <c r="U145" s="188"/>
    </row>
    <row r="146" spans="1:21">
      <c r="A146" s="67" t="s">
        <v>5280</v>
      </c>
      <c r="B146" s="87" t="s">
        <v>5280</v>
      </c>
      <c r="C146" s="88" t="s">
        <v>11585</v>
      </c>
      <c r="D146" s="89"/>
      <c r="E146" s="90"/>
      <c r="F146" s="91" t="s">
        <v>11586</v>
      </c>
      <c r="G146" s="90"/>
      <c r="H146" s="90"/>
      <c r="I146" s="92"/>
      <c r="J146" s="93"/>
      <c r="K146" s="94"/>
      <c r="L146" s="149" t="str">
        <f>HYPERLINK("[#]DatatypeListedValues!B1293:H1293","Enumeration")</f>
        <v>Enumeration</v>
      </c>
      <c r="M146" s="107" t="b">
        <v>0</v>
      </c>
      <c r="N146" s="90"/>
      <c r="O146" s="95"/>
      <c r="P146" s="90"/>
      <c r="Q146" s="96"/>
      <c r="R146" s="97"/>
      <c r="S146" s="169"/>
      <c r="T146" s="300" t="str">
        <f>CONCATENATE([1]Cover!$D$6,"fdd/view?i=",S146)</f>
        <v>https://www.dgiwg.org/FAD/fdd/view?i=</v>
      </c>
      <c r="U146" s="188"/>
    </row>
    <row r="147" spans="1:21" ht="2.1" customHeight="1">
      <c r="A147" s="98"/>
      <c r="B147" s="87"/>
      <c r="C147" s="99"/>
      <c r="D147" s="87"/>
      <c r="E147" s="99"/>
      <c r="F147" s="100"/>
      <c r="G147" s="100"/>
      <c r="H147" s="100"/>
      <c r="I147" s="101"/>
      <c r="J147" s="106"/>
      <c r="K147" s="103"/>
      <c r="L147" s="104"/>
      <c r="M147" s="100"/>
      <c r="N147" s="100"/>
      <c r="O147" s="100"/>
      <c r="P147" s="100"/>
      <c r="Q147" s="105"/>
      <c r="R147" s="105"/>
      <c r="S147" s="169"/>
      <c r="U147" s="188"/>
    </row>
    <row r="148" spans="1:21" ht="25.5">
      <c r="A148" s="67" t="s">
        <v>5332</v>
      </c>
      <c r="B148" s="87" t="s">
        <v>5332</v>
      </c>
      <c r="C148" s="88" t="s">
        <v>11587</v>
      </c>
      <c r="D148" s="89"/>
      <c r="E148" s="90"/>
      <c r="F148" s="91" t="s">
        <v>11588</v>
      </c>
      <c r="G148" s="90"/>
      <c r="H148" s="90"/>
      <c r="I148" s="92"/>
      <c r="J148" s="93"/>
      <c r="K148" s="94"/>
      <c r="L148" s="149" t="str">
        <f>HYPERLINK("[#]DatatypeListedValues!B1306:H1306","Enumeration")</f>
        <v>Enumeration</v>
      </c>
      <c r="M148" s="107" t="b">
        <v>0</v>
      </c>
      <c r="N148" s="90"/>
      <c r="O148" s="95"/>
      <c r="P148" s="90"/>
      <c r="Q148" s="96"/>
      <c r="R148" s="97"/>
      <c r="S148" s="169"/>
      <c r="T148" s="300" t="str">
        <f>CONCATENATE([1]Cover!$D$6,"fdd/view?i=",S148)</f>
        <v>https://www.dgiwg.org/FAD/fdd/view?i=</v>
      </c>
      <c r="U148" s="188"/>
    </row>
    <row r="149" spans="1:21" ht="2.1" customHeight="1">
      <c r="A149" s="98"/>
      <c r="B149" s="87"/>
      <c r="C149" s="99"/>
      <c r="D149" s="87"/>
      <c r="E149" s="99"/>
      <c r="F149" s="100"/>
      <c r="G149" s="100"/>
      <c r="H149" s="100"/>
      <c r="I149" s="101"/>
      <c r="J149" s="106"/>
      <c r="K149" s="103"/>
      <c r="L149" s="104"/>
      <c r="M149" s="100"/>
      <c r="N149" s="100"/>
      <c r="O149" s="100"/>
      <c r="P149" s="100"/>
      <c r="Q149" s="105"/>
      <c r="R149" s="105"/>
      <c r="S149" s="169"/>
      <c r="U149" s="188"/>
    </row>
    <row r="150" spans="1:21" ht="38.25">
      <c r="A150" s="67" t="s">
        <v>5343</v>
      </c>
      <c r="B150" s="87" t="s">
        <v>5343</v>
      </c>
      <c r="C150" s="88" t="s">
        <v>11589</v>
      </c>
      <c r="D150" s="89"/>
      <c r="E150" s="90"/>
      <c r="F150" s="91" t="s">
        <v>11590</v>
      </c>
      <c r="G150" s="90"/>
      <c r="H150" s="91" t="s">
        <v>11426</v>
      </c>
      <c r="I150" s="92"/>
      <c r="J150" s="93"/>
      <c r="K150" s="94"/>
      <c r="L150" s="91" t="s">
        <v>11425</v>
      </c>
      <c r="M150" s="90"/>
      <c r="N150" s="91">
        <v>1</v>
      </c>
      <c r="O150" s="108" t="b">
        <v>0</v>
      </c>
      <c r="P150" s="91" t="s">
        <v>11591</v>
      </c>
      <c r="Q150" s="96"/>
      <c r="R150" s="97"/>
      <c r="S150" s="169"/>
      <c r="T150" s="300" t="str">
        <f>CONCATENATE([1]Cover!$D$6,"fdd/view?i=",S150)</f>
        <v>https://www.dgiwg.org/FAD/fdd/view?i=</v>
      </c>
      <c r="U150" s="188"/>
    </row>
    <row r="151" spans="1:21" ht="2.1" customHeight="1">
      <c r="A151" s="98"/>
      <c r="B151" s="87"/>
      <c r="C151" s="99"/>
      <c r="D151" s="87"/>
      <c r="E151" s="99"/>
      <c r="F151" s="100"/>
      <c r="G151" s="100"/>
      <c r="H151" s="100"/>
      <c r="I151" s="101"/>
      <c r="J151" s="106"/>
      <c r="K151" s="103"/>
      <c r="L151" s="104"/>
      <c r="M151" s="100"/>
      <c r="N151" s="100"/>
      <c r="O151" s="100"/>
      <c r="P151" s="100"/>
      <c r="Q151" s="105"/>
      <c r="R151" s="105"/>
      <c r="S151" s="169"/>
      <c r="U151" s="188"/>
    </row>
    <row r="152" spans="1:21">
      <c r="A152" s="67" t="s">
        <v>5348</v>
      </c>
      <c r="B152" s="87" t="s">
        <v>5348</v>
      </c>
      <c r="C152" s="88" t="s">
        <v>11592</v>
      </c>
      <c r="D152" s="89"/>
      <c r="E152" s="90"/>
      <c r="F152" s="91" t="s">
        <v>11593</v>
      </c>
      <c r="G152" s="90"/>
      <c r="H152" s="90"/>
      <c r="I152" s="92"/>
      <c r="J152" s="93"/>
      <c r="K152" s="94"/>
      <c r="L152" s="149" t="str">
        <f>HYPERLINK("[#]DatatypeListedValues!B1309:H1309","Enumeration")</f>
        <v>Enumeration</v>
      </c>
      <c r="M152" s="107" t="b">
        <v>0</v>
      </c>
      <c r="N152" s="90"/>
      <c r="O152" s="95"/>
      <c r="P152" s="90"/>
      <c r="Q152" s="96"/>
      <c r="R152" s="97"/>
      <c r="S152" s="169"/>
      <c r="T152" s="300" t="str">
        <f>CONCATENATE([1]Cover!$D$6,"fdd/view?i=",S152)</f>
        <v>https://www.dgiwg.org/FAD/fdd/view?i=</v>
      </c>
      <c r="U152" s="188"/>
    </row>
    <row r="153" spans="1:21" ht="2.1" customHeight="1">
      <c r="A153" s="98"/>
      <c r="B153" s="87"/>
      <c r="C153" s="99"/>
      <c r="D153" s="87"/>
      <c r="E153" s="99"/>
      <c r="F153" s="100"/>
      <c r="G153" s="100"/>
      <c r="H153" s="100"/>
      <c r="I153" s="101"/>
      <c r="J153" s="106"/>
      <c r="K153" s="103"/>
      <c r="L153" s="104"/>
      <c r="M153" s="100"/>
      <c r="N153" s="100"/>
      <c r="O153" s="100"/>
      <c r="P153" s="100"/>
      <c r="Q153" s="105"/>
      <c r="R153" s="105"/>
      <c r="S153" s="169"/>
      <c r="U153" s="188"/>
    </row>
    <row r="154" spans="1:21">
      <c r="A154" s="67" t="s">
        <v>5354</v>
      </c>
      <c r="B154" s="87" t="s">
        <v>5354</v>
      </c>
      <c r="C154" s="88" t="s">
        <v>11594</v>
      </c>
      <c r="D154" s="89"/>
      <c r="E154" s="90"/>
      <c r="F154" s="91" t="s">
        <v>11595</v>
      </c>
      <c r="G154" s="90"/>
      <c r="H154" s="90"/>
      <c r="I154" s="92"/>
      <c r="J154" s="93"/>
      <c r="K154" s="94"/>
      <c r="L154" s="149" t="str">
        <f>HYPERLINK("[#]DatatypeListedValues!B1312:H1312","Enumeration")</f>
        <v>Enumeration</v>
      </c>
      <c r="M154" s="107" t="b">
        <v>0</v>
      </c>
      <c r="N154" s="90"/>
      <c r="O154" s="95"/>
      <c r="P154" s="90"/>
      <c r="Q154" s="96"/>
      <c r="R154" s="97"/>
      <c r="S154" s="169"/>
      <c r="T154" s="300" t="str">
        <f>CONCATENATE([1]Cover!$D$6,"fdd/view?i=",S154)</f>
        <v>https://www.dgiwg.org/FAD/fdd/view?i=</v>
      </c>
      <c r="U154" s="188"/>
    </row>
    <row r="155" spans="1:21" ht="2.1" customHeight="1">
      <c r="A155" s="98"/>
      <c r="B155" s="87"/>
      <c r="C155" s="99"/>
      <c r="D155" s="87"/>
      <c r="E155" s="99"/>
      <c r="F155" s="100"/>
      <c r="G155" s="100"/>
      <c r="H155" s="100"/>
      <c r="I155" s="101"/>
      <c r="J155" s="106"/>
      <c r="K155" s="103"/>
      <c r="L155" s="104"/>
      <c r="M155" s="100"/>
      <c r="N155" s="100"/>
      <c r="O155" s="100"/>
      <c r="P155" s="100"/>
      <c r="Q155" s="105"/>
      <c r="R155" s="105"/>
      <c r="S155" s="169"/>
      <c r="U155" s="188"/>
    </row>
    <row r="156" spans="1:21">
      <c r="A156" s="67" t="s">
        <v>5364</v>
      </c>
      <c r="B156" s="87" t="s">
        <v>5364</v>
      </c>
      <c r="C156" s="88" t="s">
        <v>11596</v>
      </c>
      <c r="D156" s="89"/>
      <c r="E156" s="90"/>
      <c r="F156" s="91" t="s">
        <v>11597</v>
      </c>
      <c r="G156" s="90"/>
      <c r="H156" s="90"/>
      <c r="I156" s="92"/>
      <c r="J156" s="93"/>
      <c r="K156" s="94"/>
      <c r="L156" s="149" t="str">
        <f>HYPERLINK("[#]DatatypeListedValues!B1346:H1346","Enumeration")</f>
        <v>Enumeration</v>
      </c>
      <c r="M156" s="107" t="b">
        <v>0</v>
      </c>
      <c r="N156" s="90"/>
      <c r="O156" s="95"/>
      <c r="P156" s="90"/>
      <c r="Q156" s="96"/>
      <c r="R156" s="97"/>
      <c r="S156" s="169"/>
      <c r="T156" s="300" t="str">
        <f>CONCATENATE([1]Cover!$D$6,"fdd/view?i=",S156)</f>
        <v>https://www.dgiwg.org/FAD/fdd/view?i=</v>
      </c>
      <c r="U156" s="188"/>
    </row>
    <row r="157" spans="1:21" ht="2.1" customHeight="1">
      <c r="A157" s="98"/>
      <c r="B157" s="87"/>
      <c r="C157" s="99"/>
      <c r="D157" s="87"/>
      <c r="E157" s="99"/>
      <c r="F157" s="100"/>
      <c r="G157" s="100"/>
      <c r="H157" s="100"/>
      <c r="I157" s="101"/>
      <c r="J157" s="106"/>
      <c r="K157" s="103"/>
      <c r="L157" s="104"/>
      <c r="M157" s="100"/>
      <c r="N157" s="100"/>
      <c r="O157" s="100"/>
      <c r="P157" s="100"/>
      <c r="Q157" s="105"/>
      <c r="R157" s="105"/>
      <c r="S157" s="169"/>
      <c r="U157" s="188"/>
    </row>
    <row r="158" spans="1:21">
      <c r="A158" s="67" t="s">
        <v>5369</v>
      </c>
      <c r="B158" s="87" t="s">
        <v>5369</v>
      </c>
      <c r="C158" s="88" t="s">
        <v>11598</v>
      </c>
      <c r="D158" s="89"/>
      <c r="E158" s="90"/>
      <c r="F158" s="91" t="s">
        <v>11599</v>
      </c>
      <c r="G158" s="90"/>
      <c r="H158" s="90"/>
      <c r="I158" s="92"/>
      <c r="J158" s="93"/>
      <c r="K158" s="94"/>
      <c r="L158" s="149" t="str">
        <f>HYPERLINK("[#]DatatypeListedValues!B1354:H1354","Enumeration")</f>
        <v>Enumeration</v>
      </c>
      <c r="M158" s="107" t="b">
        <v>0</v>
      </c>
      <c r="N158" s="90"/>
      <c r="O158" s="95"/>
      <c r="P158" s="90"/>
      <c r="Q158" s="96"/>
      <c r="R158" s="97"/>
      <c r="S158" s="169"/>
      <c r="T158" s="300" t="str">
        <f>CONCATENATE([1]Cover!$D$6,"fdd/view?i=",S158)</f>
        <v>https://www.dgiwg.org/FAD/fdd/view?i=</v>
      </c>
      <c r="U158" s="188"/>
    </row>
    <row r="159" spans="1:21" ht="2.1" customHeight="1">
      <c r="A159" s="98"/>
      <c r="B159" s="87"/>
      <c r="C159" s="99"/>
      <c r="D159" s="87"/>
      <c r="E159" s="99"/>
      <c r="F159" s="100"/>
      <c r="G159" s="100"/>
      <c r="H159" s="100"/>
      <c r="I159" s="101"/>
      <c r="J159" s="106"/>
      <c r="K159" s="103"/>
      <c r="L159" s="104"/>
      <c r="M159" s="100"/>
      <c r="N159" s="100"/>
      <c r="O159" s="100"/>
      <c r="P159" s="100"/>
      <c r="Q159" s="105"/>
      <c r="R159" s="105"/>
      <c r="S159" s="169"/>
      <c r="U159" s="188"/>
    </row>
    <row r="160" spans="1:21" ht="25.5">
      <c r="A160" s="67" t="s">
        <v>5374</v>
      </c>
      <c r="B160" s="87" t="s">
        <v>5374</v>
      </c>
      <c r="C160" s="88" t="s">
        <v>11600</v>
      </c>
      <c r="D160" s="89"/>
      <c r="E160" s="90"/>
      <c r="F160" s="91" t="s">
        <v>11601</v>
      </c>
      <c r="G160" s="90"/>
      <c r="H160" s="90"/>
      <c r="I160" s="92"/>
      <c r="J160" s="93"/>
      <c r="K160" s="94"/>
      <c r="L160" s="149" t="str">
        <f>HYPERLINK("[#]DatatypeListedValues!B1368:H1368","Enumeration")</f>
        <v>Enumeration</v>
      </c>
      <c r="M160" s="107" t="b">
        <v>0</v>
      </c>
      <c r="N160" s="90"/>
      <c r="O160" s="95"/>
      <c r="P160" s="90"/>
      <c r="Q160" s="96"/>
      <c r="R160" s="97"/>
      <c r="S160" s="169"/>
      <c r="T160" s="300" t="str">
        <f>CONCATENATE([1]Cover!$D$6,"fdd/view?i=",S160)</f>
        <v>https://www.dgiwg.org/FAD/fdd/view?i=</v>
      </c>
      <c r="U160" s="188"/>
    </row>
    <row r="161" spans="1:21" ht="2.1" customHeight="1">
      <c r="A161" s="98"/>
      <c r="B161" s="87"/>
      <c r="C161" s="99"/>
      <c r="D161" s="87"/>
      <c r="E161" s="99"/>
      <c r="F161" s="100"/>
      <c r="G161" s="100"/>
      <c r="H161" s="100"/>
      <c r="I161" s="101"/>
      <c r="J161" s="106"/>
      <c r="K161" s="103"/>
      <c r="L161" s="104"/>
      <c r="M161" s="100"/>
      <c r="N161" s="100"/>
      <c r="O161" s="100"/>
      <c r="P161" s="100"/>
      <c r="Q161" s="105"/>
      <c r="R161" s="105"/>
      <c r="S161" s="169"/>
      <c r="U161" s="188"/>
    </row>
    <row r="162" spans="1:21" ht="25.5">
      <c r="A162" s="67" t="s">
        <v>5384</v>
      </c>
      <c r="B162" s="87" t="s">
        <v>5384</v>
      </c>
      <c r="C162" s="88" t="s">
        <v>11602</v>
      </c>
      <c r="D162" s="89"/>
      <c r="E162" s="90"/>
      <c r="F162" s="91" t="s">
        <v>11603</v>
      </c>
      <c r="G162" s="90"/>
      <c r="H162" s="90"/>
      <c r="I162" s="92"/>
      <c r="J162" s="93"/>
      <c r="K162" s="94"/>
      <c r="L162" s="149" t="str">
        <f>HYPERLINK("[#]DatatypeListedValues!B1375:H1375","Enumeration")</f>
        <v>Enumeration</v>
      </c>
      <c r="M162" s="107" t="b">
        <v>0</v>
      </c>
      <c r="N162" s="90"/>
      <c r="O162" s="95"/>
      <c r="P162" s="90"/>
      <c r="Q162" s="96"/>
      <c r="R162" s="97"/>
      <c r="S162" s="169"/>
      <c r="T162" s="300" t="str">
        <f>CONCATENATE([1]Cover!$D$6,"fdd/view?i=",S162)</f>
        <v>https://www.dgiwg.org/FAD/fdd/view?i=</v>
      </c>
      <c r="U162" s="188"/>
    </row>
    <row r="163" spans="1:21" ht="2.1" customHeight="1">
      <c r="A163" s="98"/>
      <c r="B163" s="87"/>
      <c r="C163" s="99"/>
      <c r="D163" s="87"/>
      <c r="E163" s="99"/>
      <c r="F163" s="100"/>
      <c r="G163" s="100"/>
      <c r="H163" s="100"/>
      <c r="I163" s="101"/>
      <c r="J163" s="106"/>
      <c r="K163" s="103"/>
      <c r="L163" s="104"/>
      <c r="M163" s="100"/>
      <c r="N163" s="100"/>
      <c r="O163" s="100"/>
      <c r="P163" s="100"/>
      <c r="Q163" s="105"/>
      <c r="R163" s="105"/>
      <c r="S163" s="169"/>
      <c r="U163" s="188"/>
    </row>
    <row r="164" spans="1:21">
      <c r="A164" s="67" t="s">
        <v>5389</v>
      </c>
      <c r="B164" s="87" t="s">
        <v>5389</v>
      </c>
      <c r="C164" s="88" t="s">
        <v>11604</v>
      </c>
      <c r="D164" s="89"/>
      <c r="E164" s="90"/>
      <c r="F164" s="91" t="s">
        <v>11605</v>
      </c>
      <c r="G164" s="90"/>
      <c r="H164" s="90"/>
      <c r="I164" s="92"/>
      <c r="J164" s="93"/>
      <c r="K164" s="94"/>
      <c r="L164" s="149" t="str">
        <f>HYPERLINK("[#]DatatypeListedValues!B1379:H1379","Enumeration")</f>
        <v>Enumeration</v>
      </c>
      <c r="M164" s="107" t="b">
        <v>0</v>
      </c>
      <c r="N164" s="90"/>
      <c r="O164" s="95"/>
      <c r="P164" s="90"/>
      <c r="Q164" s="96"/>
      <c r="R164" s="97"/>
      <c r="S164" s="169"/>
      <c r="T164" s="300" t="str">
        <f>CONCATENATE([1]Cover!$D$6,"fdd/view?i=",S164)</f>
        <v>https://www.dgiwg.org/FAD/fdd/view?i=</v>
      </c>
      <c r="U164" s="188"/>
    </row>
    <row r="165" spans="1:21" ht="2.1" customHeight="1">
      <c r="A165" s="98"/>
      <c r="B165" s="87"/>
      <c r="C165" s="99"/>
      <c r="D165" s="87"/>
      <c r="E165" s="99"/>
      <c r="F165" s="100"/>
      <c r="G165" s="100"/>
      <c r="H165" s="100"/>
      <c r="I165" s="101"/>
      <c r="J165" s="106"/>
      <c r="K165" s="103"/>
      <c r="L165" s="104"/>
      <c r="M165" s="100"/>
      <c r="N165" s="100"/>
      <c r="O165" s="100"/>
      <c r="P165" s="100"/>
      <c r="Q165" s="105"/>
      <c r="R165" s="105"/>
      <c r="S165" s="169"/>
      <c r="U165" s="188"/>
    </row>
    <row r="166" spans="1:21" ht="25.5">
      <c r="A166" s="67" t="s">
        <v>5395</v>
      </c>
      <c r="B166" s="87" t="s">
        <v>5395</v>
      </c>
      <c r="C166" s="88" t="s">
        <v>11606</v>
      </c>
      <c r="D166" s="89"/>
      <c r="E166" s="90"/>
      <c r="F166" s="91" t="s">
        <v>11607</v>
      </c>
      <c r="G166" s="90"/>
      <c r="H166" s="90"/>
      <c r="I166" s="92"/>
      <c r="J166" s="93"/>
      <c r="K166" s="94"/>
      <c r="L166" s="149" t="str">
        <f>HYPERLINK("[#]DatatypeListedValues!B1383:H1383","Enumeration")</f>
        <v>Enumeration</v>
      </c>
      <c r="M166" s="107" t="b">
        <v>0</v>
      </c>
      <c r="N166" s="90"/>
      <c r="O166" s="95"/>
      <c r="P166" s="90"/>
      <c r="Q166" s="96"/>
      <c r="R166" s="97"/>
      <c r="S166" s="169"/>
      <c r="T166" s="300" t="str">
        <f>CONCATENATE([1]Cover!$D$6,"fdd/view?i=",S166)</f>
        <v>https://www.dgiwg.org/FAD/fdd/view?i=</v>
      </c>
      <c r="U166" s="188"/>
    </row>
    <row r="167" spans="1:21" ht="2.1" customHeight="1">
      <c r="A167" s="98"/>
      <c r="B167" s="87"/>
      <c r="C167" s="99"/>
      <c r="D167" s="87"/>
      <c r="E167" s="99"/>
      <c r="F167" s="100"/>
      <c r="G167" s="100"/>
      <c r="H167" s="100"/>
      <c r="I167" s="101"/>
      <c r="J167" s="106"/>
      <c r="K167" s="103"/>
      <c r="L167" s="104"/>
      <c r="M167" s="100"/>
      <c r="N167" s="100"/>
      <c r="O167" s="100"/>
      <c r="P167" s="100"/>
      <c r="Q167" s="105"/>
      <c r="R167" s="105"/>
      <c r="S167" s="169"/>
      <c r="U167" s="188"/>
    </row>
    <row r="168" spans="1:21" ht="25.5">
      <c r="A168" s="67" t="s">
        <v>5408</v>
      </c>
      <c r="B168" s="87" t="s">
        <v>5408</v>
      </c>
      <c r="C168" s="88" t="s">
        <v>11608</v>
      </c>
      <c r="D168" s="89"/>
      <c r="E168" s="90"/>
      <c r="F168" s="91" t="s">
        <v>11609</v>
      </c>
      <c r="G168" s="90"/>
      <c r="H168" s="90"/>
      <c r="I168" s="92"/>
      <c r="J168" s="93"/>
      <c r="K168" s="94"/>
      <c r="L168" s="149" t="str">
        <f>HYPERLINK("[#]DatatypeListedValues!B1401:H1401","Enumeration")</f>
        <v>Enumeration</v>
      </c>
      <c r="M168" s="107" t="b">
        <v>0</v>
      </c>
      <c r="N168" s="90"/>
      <c r="O168" s="95"/>
      <c r="P168" s="90"/>
      <c r="Q168" s="96"/>
      <c r="R168" s="97"/>
      <c r="S168" s="169"/>
      <c r="T168" s="300" t="str">
        <f>CONCATENATE([1]Cover!$D$6,"fdd/view?i=",S168)</f>
        <v>https://www.dgiwg.org/FAD/fdd/view?i=</v>
      </c>
      <c r="U168" s="188"/>
    </row>
    <row r="169" spans="1:21" ht="2.1" customHeight="1">
      <c r="A169" s="98"/>
      <c r="B169" s="87"/>
      <c r="C169" s="99"/>
      <c r="D169" s="87"/>
      <c r="E169" s="99"/>
      <c r="F169" s="100"/>
      <c r="G169" s="100"/>
      <c r="H169" s="100"/>
      <c r="I169" s="101"/>
      <c r="J169" s="106"/>
      <c r="K169" s="103"/>
      <c r="L169" s="104"/>
      <c r="M169" s="100"/>
      <c r="N169" s="100"/>
      <c r="O169" s="100"/>
      <c r="P169" s="100"/>
      <c r="Q169" s="105"/>
      <c r="R169" s="105"/>
      <c r="S169" s="169"/>
      <c r="U169" s="188"/>
    </row>
    <row r="170" spans="1:21" ht="38.25">
      <c r="A170" s="67" t="s">
        <v>5423</v>
      </c>
      <c r="B170" s="87" t="s">
        <v>5423</v>
      </c>
      <c r="C170" s="88" t="s">
        <v>11610</v>
      </c>
      <c r="D170" s="89"/>
      <c r="E170" s="90"/>
      <c r="F170" s="91" t="s">
        <v>11611</v>
      </c>
      <c r="G170" s="90"/>
      <c r="H170" s="91" t="s">
        <v>11513</v>
      </c>
      <c r="I170" s="92"/>
      <c r="J170" s="93"/>
      <c r="K170" s="94"/>
      <c r="L170" s="104" t="s">
        <v>11429</v>
      </c>
      <c r="M170" s="90"/>
      <c r="N170" s="90"/>
      <c r="O170" s="95"/>
      <c r="P170" s="90"/>
      <c r="Q170" s="96"/>
      <c r="R170" s="97"/>
      <c r="S170" s="169"/>
      <c r="T170" s="300" t="str">
        <f>CONCATENATE([1]Cover!$D$6,"fdd/view?i=",S170)</f>
        <v>https://www.dgiwg.org/FAD/fdd/view?i=</v>
      </c>
      <c r="U170" s="188"/>
    </row>
    <row r="171" spans="1:21" ht="2.1" customHeight="1">
      <c r="A171" s="98"/>
      <c r="B171" s="87"/>
      <c r="C171" s="99"/>
      <c r="D171" s="87"/>
      <c r="E171" s="99"/>
      <c r="F171" s="100"/>
      <c r="G171" s="100"/>
      <c r="H171" s="100"/>
      <c r="I171" s="101"/>
      <c r="J171" s="106"/>
      <c r="K171" s="103"/>
      <c r="L171" s="104"/>
      <c r="M171" s="100"/>
      <c r="N171" s="100"/>
      <c r="O171" s="100"/>
      <c r="P171" s="100"/>
      <c r="Q171" s="105"/>
      <c r="R171" s="105"/>
      <c r="S171" s="169"/>
      <c r="U171" s="188"/>
    </row>
    <row r="172" spans="1:21" ht="38.25">
      <c r="A172" s="67" t="s">
        <v>5429</v>
      </c>
      <c r="B172" s="87" t="s">
        <v>5429</v>
      </c>
      <c r="C172" s="88" t="s">
        <v>11612</v>
      </c>
      <c r="D172" s="89"/>
      <c r="E172" s="90"/>
      <c r="F172" s="91" t="s">
        <v>11613</v>
      </c>
      <c r="G172" s="90"/>
      <c r="H172" s="91" t="s">
        <v>11513</v>
      </c>
      <c r="I172" s="92"/>
      <c r="J172" s="93"/>
      <c r="K172" s="94"/>
      <c r="L172" s="104" t="s">
        <v>11429</v>
      </c>
      <c r="M172" s="90"/>
      <c r="N172" s="90"/>
      <c r="O172" s="95"/>
      <c r="P172" s="90"/>
      <c r="Q172" s="96"/>
      <c r="R172" s="97"/>
      <c r="S172" s="169"/>
      <c r="T172" s="300" t="str">
        <f>CONCATENATE([1]Cover!$D$6,"fdd/view?i=",S172)</f>
        <v>https://www.dgiwg.org/FAD/fdd/view?i=</v>
      </c>
      <c r="U172" s="188"/>
    </row>
    <row r="173" spans="1:21" ht="2.1" customHeight="1">
      <c r="A173" s="98"/>
      <c r="B173" s="87"/>
      <c r="C173" s="99"/>
      <c r="D173" s="87"/>
      <c r="E173" s="99"/>
      <c r="F173" s="100"/>
      <c r="G173" s="100"/>
      <c r="H173" s="100"/>
      <c r="I173" s="101"/>
      <c r="J173" s="106"/>
      <c r="K173" s="103"/>
      <c r="L173" s="104"/>
      <c r="M173" s="100"/>
      <c r="N173" s="100"/>
      <c r="O173" s="100"/>
      <c r="P173" s="100"/>
      <c r="Q173" s="105"/>
      <c r="R173" s="105"/>
      <c r="S173" s="169"/>
      <c r="U173" s="188"/>
    </row>
    <row r="174" spans="1:21" ht="25.5">
      <c r="A174" s="67" t="s">
        <v>5458</v>
      </c>
      <c r="B174" s="87" t="s">
        <v>5458</v>
      </c>
      <c r="C174" s="88" t="s">
        <v>11614</v>
      </c>
      <c r="D174" s="89"/>
      <c r="E174" s="90"/>
      <c r="F174" s="91" t="s">
        <v>11615</v>
      </c>
      <c r="G174" s="90"/>
      <c r="H174" s="90"/>
      <c r="I174" s="92"/>
      <c r="J174" s="93"/>
      <c r="K174" s="94"/>
      <c r="L174" s="149" t="str">
        <f>HYPERLINK("[#]DatatypeListedValues!B1419:H1419","Enumeration")</f>
        <v>Enumeration</v>
      </c>
      <c r="M174" s="107" t="b">
        <v>0</v>
      </c>
      <c r="N174" s="90"/>
      <c r="O174" s="95"/>
      <c r="P174" s="90"/>
      <c r="Q174" s="96"/>
      <c r="R174" s="97"/>
      <c r="S174" s="169"/>
      <c r="T174" s="300" t="str">
        <f>CONCATENATE([1]Cover!$D$6,"fdd/view?i=",S174)</f>
        <v>https://www.dgiwg.org/FAD/fdd/view?i=</v>
      </c>
      <c r="U174" s="188"/>
    </row>
    <row r="175" spans="1:21" ht="2.1" customHeight="1">
      <c r="A175" s="98"/>
      <c r="B175" s="87"/>
      <c r="C175" s="99"/>
      <c r="D175" s="87"/>
      <c r="E175" s="99"/>
      <c r="F175" s="100"/>
      <c r="G175" s="100"/>
      <c r="H175" s="100"/>
      <c r="I175" s="101"/>
      <c r="J175" s="106"/>
      <c r="K175" s="103"/>
      <c r="L175" s="104"/>
      <c r="M175" s="100"/>
      <c r="N175" s="100"/>
      <c r="O175" s="100"/>
      <c r="P175" s="100"/>
      <c r="Q175" s="105"/>
      <c r="R175" s="105"/>
      <c r="S175" s="169"/>
      <c r="U175" s="188"/>
    </row>
    <row r="176" spans="1:21" ht="25.5">
      <c r="A176" s="67" t="s">
        <v>5465</v>
      </c>
      <c r="B176" s="87" t="s">
        <v>5465</v>
      </c>
      <c r="C176" s="88" t="s">
        <v>11616</v>
      </c>
      <c r="D176" s="89"/>
      <c r="E176" s="90"/>
      <c r="F176" s="91" t="s">
        <v>11617</v>
      </c>
      <c r="G176" s="90"/>
      <c r="H176" s="90"/>
      <c r="I176" s="92"/>
      <c r="J176" s="93"/>
      <c r="K176" s="94"/>
      <c r="L176" s="149" t="str">
        <f>HYPERLINK("[#]DatatypeListedValues!B1488:H1488","Enumeration")</f>
        <v>Enumeration</v>
      </c>
      <c r="M176" s="107" t="b">
        <v>0</v>
      </c>
      <c r="N176" s="90"/>
      <c r="O176" s="95"/>
      <c r="P176" s="90"/>
      <c r="Q176" s="96"/>
      <c r="R176" s="97"/>
      <c r="S176" s="169"/>
      <c r="T176" s="300" t="str">
        <f>CONCATENATE([1]Cover!$D$6,"fdd/view?i=",S176)</f>
        <v>https://www.dgiwg.org/FAD/fdd/view?i=</v>
      </c>
      <c r="U176" s="188"/>
    </row>
    <row r="177" spans="1:21" ht="2.1" customHeight="1">
      <c r="A177" s="98"/>
      <c r="B177" s="87"/>
      <c r="C177" s="99"/>
      <c r="D177" s="87"/>
      <c r="E177" s="99"/>
      <c r="F177" s="100"/>
      <c r="G177" s="100"/>
      <c r="H177" s="100"/>
      <c r="I177" s="101"/>
      <c r="J177" s="106"/>
      <c r="K177" s="103"/>
      <c r="L177" s="104"/>
      <c r="M177" s="100"/>
      <c r="N177" s="100"/>
      <c r="O177" s="100"/>
      <c r="P177" s="100"/>
      <c r="Q177" s="105"/>
      <c r="R177" s="105"/>
      <c r="S177" s="169"/>
      <c r="U177" s="188"/>
    </row>
    <row r="178" spans="1:21" ht="25.5">
      <c r="A178" s="67" t="s">
        <v>5472</v>
      </c>
      <c r="B178" s="87" t="s">
        <v>5472</v>
      </c>
      <c r="C178" s="88" t="s">
        <v>11618</v>
      </c>
      <c r="D178" s="89"/>
      <c r="E178" s="90"/>
      <c r="F178" s="91" t="s">
        <v>11619</v>
      </c>
      <c r="G178" s="90"/>
      <c r="H178" s="90"/>
      <c r="I178" s="92"/>
      <c r="J178" s="93"/>
      <c r="K178" s="94"/>
      <c r="L178" s="149" t="str">
        <f>HYPERLINK("[#]DatatypeListedValues!B1562:H1562","Enumeration")</f>
        <v>Enumeration</v>
      </c>
      <c r="M178" s="107" t="b">
        <v>0</v>
      </c>
      <c r="N178" s="90"/>
      <c r="O178" s="95"/>
      <c r="P178" s="90"/>
      <c r="Q178" s="96"/>
      <c r="R178" s="97"/>
      <c r="S178" s="169"/>
      <c r="T178" s="300" t="str">
        <f>CONCATENATE([1]Cover!$D$6,"fdd/view?i=",S178)</f>
        <v>https://www.dgiwg.org/FAD/fdd/view?i=</v>
      </c>
      <c r="U178" s="188"/>
    </row>
    <row r="179" spans="1:21" ht="2.1" customHeight="1">
      <c r="A179" s="98"/>
      <c r="B179" s="87"/>
      <c r="C179" s="99"/>
      <c r="D179" s="87"/>
      <c r="E179" s="99"/>
      <c r="F179" s="100"/>
      <c r="G179" s="100"/>
      <c r="H179" s="100"/>
      <c r="I179" s="101"/>
      <c r="J179" s="106"/>
      <c r="K179" s="103"/>
      <c r="L179" s="104"/>
      <c r="M179" s="100"/>
      <c r="N179" s="100"/>
      <c r="O179" s="100"/>
      <c r="P179" s="100"/>
      <c r="Q179" s="105"/>
      <c r="R179" s="105"/>
      <c r="S179" s="169"/>
      <c r="U179" s="188"/>
    </row>
    <row r="180" spans="1:21" ht="25.5">
      <c r="A180" s="67" t="s">
        <v>5478</v>
      </c>
      <c r="B180" s="87" t="s">
        <v>5478</v>
      </c>
      <c r="C180" s="88" t="s">
        <v>11620</v>
      </c>
      <c r="D180" s="89"/>
      <c r="E180" s="90"/>
      <c r="F180" s="91" t="s">
        <v>11621</v>
      </c>
      <c r="G180" s="90"/>
      <c r="H180" s="90"/>
      <c r="I180" s="92"/>
      <c r="J180" s="93"/>
      <c r="K180" s="94"/>
      <c r="L180" s="149" t="str">
        <f>HYPERLINK("[#]DatatypeListedValues!B1580:H1580","Enumeration")</f>
        <v>Enumeration</v>
      </c>
      <c r="M180" s="91" t="b">
        <v>1</v>
      </c>
      <c r="N180" s="90"/>
      <c r="O180" s="95"/>
      <c r="P180" s="90"/>
      <c r="Q180" s="96"/>
      <c r="R180" s="97"/>
      <c r="S180" s="169"/>
      <c r="T180" s="300" t="str">
        <f>CONCATENATE([1]Cover!$D$6,"fdd/view?i=",S180)</f>
        <v>https://www.dgiwg.org/FAD/fdd/view?i=</v>
      </c>
      <c r="U180" s="188"/>
    </row>
    <row r="181" spans="1:21" ht="2.1" customHeight="1">
      <c r="A181" s="98"/>
      <c r="B181" s="87"/>
      <c r="C181" s="99"/>
      <c r="D181" s="87"/>
      <c r="E181" s="99"/>
      <c r="F181" s="100"/>
      <c r="G181" s="100"/>
      <c r="H181" s="100"/>
      <c r="I181" s="101"/>
      <c r="J181" s="106"/>
      <c r="K181" s="103"/>
      <c r="L181" s="104"/>
      <c r="M181" s="100"/>
      <c r="N181" s="100"/>
      <c r="O181" s="100"/>
      <c r="P181" s="100"/>
      <c r="Q181" s="105"/>
      <c r="R181" s="105"/>
      <c r="S181" s="169"/>
      <c r="U181" s="188"/>
    </row>
    <row r="182" spans="1:21" ht="25.5">
      <c r="A182" s="67" t="s">
        <v>5521</v>
      </c>
      <c r="B182" s="87" t="s">
        <v>5521</v>
      </c>
      <c r="C182" s="88" t="s">
        <v>11622</v>
      </c>
      <c r="D182" s="89"/>
      <c r="E182" s="90"/>
      <c r="F182" s="91" t="s">
        <v>11623</v>
      </c>
      <c r="G182" s="90"/>
      <c r="H182" s="90"/>
      <c r="I182" s="92"/>
      <c r="J182" s="93"/>
      <c r="K182" s="94"/>
      <c r="L182" s="149" t="str">
        <f>HYPERLINK("[#]DatatypeListedValues!B1583:H1583","Enumeration")</f>
        <v>Enumeration</v>
      </c>
      <c r="M182" s="107" t="b">
        <v>0</v>
      </c>
      <c r="N182" s="90"/>
      <c r="O182" s="95"/>
      <c r="P182" s="90"/>
      <c r="Q182" s="96"/>
      <c r="R182" s="97"/>
      <c r="S182" s="169"/>
      <c r="T182" s="300" t="str">
        <f>CONCATENATE([1]Cover!$D$6,"fdd/view?i=",S182)</f>
        <v>https://www.dgiwg.org/FAD/fdd/view?i=</v>
      </c>
      <c r="U182" s="188"/>
    </row>
    <row r="183" spans="1:21" ht="2.1" customHeight="1">
      <c r="A183" s="98"/>
      <c r="B183" s="87"/>
      <c r="C183" s="99"/>
      <c r="D183" s="87"/>
      <c r="E183" s="99"/>
      <c r="F183" s="100"/>
      <c r="G183" s="100"/>
      <c r="H183" s="100"/>
      <c r="I183" s="101"/>
      <c r="J183" s="106"/>
      <c r="K183" s="103"/>
      <c r="L183" s="104"/>
      <c r="M183" s="100"/>
      <c r="N183" s="100"/>
      <c r="O183" s="100"/>
      <c r="P183" s="100"/>
      <c r="Q183" s="105"/>
      <c r="R183" s="105"/>
      <c r="S183" s="169"/>
      <c r="U183" s="188"/>
    </row>
    <row r="184" spans="1:21" ht="25.5">
      <c r="A184" s="67" t="s">
        <v>5526</v>
      </c>
      <c r="B184" s="87" t="s">
        <v>5526</v>
      </c>
      <c r="C184" s="88" t="s">
        <v>11624</v>
      </c>
      <c r="D184" s="89"/>
      <c r="E184" s="90"/>
      <c r="F184" s="91" t="s">
        <v>11625</v>
      </c>
      <c r="G184" s="90"/>
      <c r="H184" s="90"/>
      <c r="I184" s="92"/>
      <c r="J184" s="93"/>
      <c r="K184" s="94"/>
      <c r="L184" s="149" t="str">
        <f>HYPERLINK("[#]DatatypeListedValues!B1584:H1584","Enumeration")</f>
        <v>Enumeration</v>
      </c>
      <c r="M184" s="107" t="b">
        <v>0</v>
      </c>
      <c r="N184" s="90"/>
      <c r="O184" s="95"/>
      <c r="P184" s="90"/>
      <c r="Q184" s="96"/>
      <c r="R184" s="97"/>
      <c r="S184" s="169"/>
      <c r="T184" s="300" t="str">
        <f>CONCATENATE([1]Cover!$D$6,"fdd/view?i=",S184)</f>
        <v>https://www.dgiwg.org/FAD/fdd/view?i=</v>
      </c>
      <c r="U184" s="188"/>
    </row>
    <row r="185" spans="1:21" ht="2.1" customHeight="1">
      <c r="A185" s="98"/>
      <c r="B185" s="87"/>
      <c r="C185" s="99"/>
      <c r="D185" s="87"/>
      <c r="E185" s="99"/>
      <c r="F185" s="100"/>
      <c r="G185" s="100"/>
      <c r="H185" s="100"/>
      <c r="I185" s="101"/>
      <c r="J185" s="106"/>
      <c r="K185" s="103"/>
      <c r="L185" s="104"/>
      <c r="M185" s="100"/>
      <c r="N185" s="100"/>
      <c r="O185" s="100"/>
      <c r="P185" s="100"/>
      <c r="Q185" s="105"/>
      <c r="R185" s="105"/>
      <c r="S185" s="169"/>
      <c r="U185" s="188"/>
    </row>
    <row r="186" spans="1:21">
      <c r="A186" s="67" t="s">
        <v>5532</v>
      </c>
      <c r="B186" s="87" t="s">
        <v>5532</v>
      </c>
      <c r="C186" s="88" t="s">
        <v>11626</v>
      </c>
      <c r="D186" s="89"/>
      <c r="E186" s="90"/>
      <c r="F186" s="91" t="s">
        <v>11627</v>
      </c>
      <c r="G186" s="90"/>
      <c r="H186" s="90"/>
      <c r="I186" s="92"/>
      <c r="J186" s="93"/>
      <c r="K186" s="94"/>
      <c r="L186" s="149" t="str">
        <f>HYPERLINK("[#]DatatypeListedValues!B1587:H1587","Enumeration")</f>
        <v>Enumeration</v>
      </c>
      <c r="M186" s="107" t="b">
        <v>0</v>
      </c>
      <c r="N186" s="90"/>
      <c r="O186" s="95"/>
      <c r="P186" s="90"/>
      <c r="Q186" s="96"/>
      <c r="R186" s="97"/>
      <c r="S186" s="169"/>
      <c r="T186" s="300" t="str">
        <f>CONCATENATE([1]Cover!$D$6,"fdd/view?i=",S186)</f>
        <v>https://www.dgiwg.org/FAD/fdd/view?i=</v>
      </c>
      <c r="U186" s="188"/>
    </row>
    <row r="187" spans="1:21" ht="2.1" customHeight="1">
      <c r="A187" s="98"/>
      <c r="B187" s="87"/>
      <c r="C187" s="99"/>
      <c r="D187" s="87"/>
      <c r="E187" s="99"/>
      <c r="F187" s="100"/>
      <c r="G187" s="100"/>
      <c r="H187" s="100"/>
      <c r="I187" s="101"/>
      <c r="J187" s="106"/>
      <c r="K187" s="103"/>
      <c r="L187" s="104"/>
      <c r="M187" s="100"/>
      <c r="N187" s="100"/>
      <c r="O187" s="100"/>
      <c r="P187" s="100"/>
      <c r="Q187" s="105"/>
      <c r="R187" s="105"/>
      <c r="S187" s="169"/>
      <c r="U187" s="188"/>
    </row>
    <row r="188" spans="1:21" ht="25.5">
      <c r="A188" s="67" t="s">
        <v>5537</v>
      </c>
      <c r="B188" s="87" t="s">
        <v>5537</v>
      </c>
      <c r="C188" s="88" t="s">
        <v>11628</v>
      </c>
      <c r="D188" s="89"/>
      <c r="E188" s="90"/>
      <c r="F188" s="91" t="s">
        <v>11629</v>
      </c>
      <c r="G188" s="90"/>
      <c r="H188" s="90"/>
      <c r="I188" s="92"/>
      <c r="J188" s="93"/>
      <c r="K188" s="94"/>
      <c r="L188" s="149" t="str">
        <f>HYPERLINK("[#]DatatypeListedValues!B1609:H1609","Enumeration")</f>
        <v>Enumeration</v>
      </c>
      <c r="M188" s="107" t="b">
        <v>0</v>
      </c>
      <c r="N188" s="90"/>
      <c r="O188" s="95"/>
      <c r="P188" s="90"/>
      <c r="Q188" s="96"/>
      <c r="R188" s="97"/>
      <c r="S188" s="169"/>
      <c r="T188" s="300" t="str">
        <f>CONCATENATE([1]Cover!$D$6,"fdd/view?i=",S188)</f>
        <v>https://www.dgiwg.org/FAD/fdd/view?i=</v>
      </c>
      <c r="U188" s="188"/>
    </row>
    <row r="189" spans="1:21" ht="2.1" customHeight="1">
      <c r="A189" s="98"/>
      <c r="B189" s="87"/>
      <c r="C189" s="99"/>
      <c r="D189" s="87"/>
      <c r="E189" s="99"/>
      <c r="F189" s="100"/>
      <c r="G189" s="100"/>
      <c r="H189" s="100"/>
      <c r="I189" s="101"/>
      <c r="J189" s="106"/>
      <c r="K189" s="103"/>
      <c r="L189" s="104"/>
      <c r="M189" s="100"/>
      <c r="N189" s="100"/>
      <c r="O189" s="100"/>
      <c r="P189" s="100"/>
      <c r="Q189" s="105"/>
      <c r="R189" s="105"/>
      <c r="S189" s="169"/>
      <c r="U189" s="188"/>
    </row>
    <row r="190" spans="1:21">
      <c r="A190" s="67" t="s">
        <v>5553</v>
      </c>
      <c r="B190" s="87" t="s">
        <v>5553</v>
      </c>
      <c r="C190" s="88" t="s">
        <v>11630</v>
      </c>
      <c r="D190" s="89"/>
      <c r="E190" s="90"/>
      <c r="F190" s="91" t="s">
        <v>11631</v>
      </c>
      <c r="G190" s="90"/>
      <c r="H190" s="90"/>
      <c r="I190" s="92"/>
      <c r="J190" s="93"/>
      <c r="K190" s="94"/>
      <c r="L190" s="149" t="str">
        <f>HYPERLINK("[#]DatatypeListedValues!B1643:H1643","Enumeration")</f>
        <v>Enumeration</v>
      </c>
      <c r="M190" s="107" t="b">
        <v>0</v>
      </c>
      <c r="N190" s="90"/>
      <c r="O190" s="95"/>
      <c r="P190" s="90"/>
      <c r="Q190" s="96"/>
      <c r="R190" s="97"/>
      <c r="S190" s="169"/>
      <c r="T190" s="300" t="str">
        <f>CONCATENATE([1]Cover!$D$6,"fdd/view?i=",S190)</f>
        <v>https://www.dgiwg.org/FAD/fdd/view?i=</v>
      </c>
      <c r="U190" s="188"/>
    </row>
    <row r="191" spans="1:21" ht="2.1" customHeight="1">
      <c r="A191" s="98"/>
      <c r="B191" s="87"/>
      <c r="C191" s="99"/>
      <c r="D191" s="87"/>
      <c r="E191" s="99"/>
      <c r="F191" s="100"/>
      <c r="G191" s="100"/>
      <c r="H191" s="100"/>
      <c r="I191" s="101"/>
      <c r="J191" s="106"/>
      <c r="K191" s="103"/>
      <c r="L191" s="104"/>
      <c r="M191" s="100"/>
      <c r="N191" s="100"/>
      <c r="O191" s="100"/>
      <c r="P191" s="100"/>
      <c r="Q191" s="105"/>
      <c r="R191" s="105"/>
      <c r="S191" s="169"/>
      <c r="U191" s="188"/>
    </row>
    <row r="192" spans="1:21" ht="25.5">
      <c r="A192" s="67" t="s">
        <v>5558</v>
      </c>
      <c r="B192" s="87" t="s">
        <v>5558</v>
      </c>
      <c r="C192" s="88" t="s">
        <v>11632</v>
      </c>
      <c r="D192" s="89"/>
      <c r="E192" s="90"/>
      <c r="F192" s="91" t="s">
        <v>11633</v>
      </c>
      <c r="G192" s="90"/>
      <c r="H192" s="90"/>
      <c r="I192" s="92"/>
      <c r="J192" s="93"/>
      <c r="K192" s="94"/>
      <c r="L192" s="149" t="str">
        <f>HYPERLINK("[#]DatatypeListedValues!B1675:H1675","Enumeration")</f>
        <v>Enumeration</v>
      </c>
      <c r="M192" s="107" t="b">
        <v>0</v>
      </c>
      <c r="N192" s="90"/>
      <c r="O192" s="95"/>
      <c r="P192" s="90"/>
      <c r="Q192" s="96"/>
      <c r="R192" s="97"/>
      <c r="S192" s="169"/>
      <c r="T192" s="300" t="str">
        <f>CONCATENATE([1]Cover!$D$6,"fdd/view?i=",S192)</f>
        <v>https://www.dgiwg.org/FAD/fdd/view?i=</v>
      </c>
      <c r="U192" s="188"/>
    </row>
    <row r="193" spans="1:21" ht="2.1" customHeight="1">
      <c r="A193" s="98"/>
      <c r="B193" s="87"/>
      <c r="C193" s="99"/>
      <c r="D193" s="87"/>
      <c r="E193" s="99"/>
      <c r="F193" s="100"/>
      <c r="G193" s="100"/>
      <c r="H193" s="100"/>
      <c r="I193" s="101"/>
      <c r="J193" s="106"/>
      <c r="K193" s="103"/>
      <c r="L193" s="104"/>
      <c r="M193" s="100"/>
      <c r="N193" s="100"/>
      <c r="O193" s="100"/>
      <c r="P193" s="100"/>
      <c r="Q193" s="105"/>
      <c r="R193" s="105"/>
      <c r="S193" s="169"/>
      <c r="U193" s="188"/>
    </row>
    <row r="194" spans="1:21" ht="25.5">
      <c r="A194" s="67" t="s">
        <v>5563</v>
      </c>
      <c r="B194" s="87" t="s">
        <v>5563</v>
      </c>
      <c r="C194" s="88" t="s">
        <v>11634</v>
      </c>
      <c r="D194" s="89"/>
      <c r="E194" s="90"/>
      <c r="F194" s="91" t="s">
        <v>11635</v>
      </c>
      <c r="G194" s="90"/>
      <c r="H194" s="90"/>
      <c r="I194" s="92"/>
      <c r="J194" s="93"/>
      <c r="K194" s="94"/>
      <c r="L194" s="149" t="str">
        <f>HYPERLINK("[#]DatatypeListedValues!B1682:H1682","Enumeration")</f>
        <v>Enumeration</v>
      </c>
      <c r="M194" s="107" t="b">
        <v>0</v>
      </c>
      <c r="N194" s="90"/>
      <c r="O194" s="95"/>
      <c r="P194" s="90"/>
      <c r="Q194" s="96"/>
      <c r="R194" s="97"/>
      <c r="S194" s="169"/>
      <c r="T194" s="300" t="str">
        <f>CONCATENATE([1]Cover!$D$6,"fdd/view?i=",S194)</f>
        <v>https://www.dgiwg.org/FAD/fdd/view?i=</v>
      </c>
      <c r="U194" s="188"/>
    </row>
    <row r="195" spans="1:21" ht="2.1" customHeight="1">
      <c r="A195" s="98"/>
      <c r="B195" s="87"/>
      <c r="C195" s="99"/>
      <c r="D195" s="87"/>
      <c r="E195" s="99"/>
      <c r="F195" s="100"/>
      <c r="G195" s="100"/>
      <c r="H195" s="100"/>
      <c r="I195" s="101"/>
      <c r="J195" s="106"/>
      <c r="K195" s="103"/>
      <c r="L195" s="104"/>
      <c r="M195" s="100"/>
      <c r="N195" s="100"/>
      <c r="O195" s="100"/>
      <c r="P195" s="100"/>
      <c r="Q195" s="105"/>
      <c r="R195" s="105"/>
      <c r="S195" s="169"/>
      <c r="U195" s="188"/>
    </row>
    <row r="196" spans="1:21">
      <c r="A196" s="67" t="s">
        <v>5568</v>
      </c>
      <c r="B196" s="87" t="s">
        <v>5568</v>
      </c>
      <c r="C196" s="88" t="s">
        <v>11636</v>
      </c>
      <c r="D196" s="89"/>
      <c r="E196" s="90"/>
      <c r="F196" s="91" t="s">
        <v>11637</v>
      </c>
      <c r="G196" s="90"/>
      <c r="H196" s="90"/>
      <c r="I196" s="92"/>
      <c r="J196" s="93"/>
      <c r="K196" s="94"/>
      <c r="L196" s="149" t="str">
        <f>HYPERLINK("[#]DatatypeListedValues!B1690:H1690","Enumeration")</f>
        <v>Enumeration</v>
      </c>
      <c r="M196" s="107" t="b">
        <v>0</v>
      </c>
      <c r="N196" s="90"/>
      <c r="O196" s="95"/>
      <c r="P196" s="90"/>
      <c r="Q196" s="96"/>
      <c r="R196" s="97"/>
      <c r="S196" s="169"/>
      <c r="T196" s="300" t="str">
        <f>CONCATENATE([1]Cover!$D$6,"fdd/view?i=",S196)</f>
        <v>https://www.dgiwg.org/FAD/fdd/view?i=</v>
      </c>
      <c r="U196" s="188"/>
    </row>
    <row r="197" spans="1:21" ht="2.1" customHeight="1">
      <c r="A197" s="98"/>
      <c r="B197" s="87"/>
      <c r="C197" s="99"/>
      <c r="D197" s="87"/>
      <c r="E197" s="99"/>
      <c r="F197" s="100"/>
      <c r="G197" s="100"/>
      <c r="H197" s="100"/>
      <c r="I197" s="101"/>
      <c r="J197" s="106"/>
      <c r="K197" s="103"/>
      <c r="L197" s="104"/>
      <c r="M197" s="100"/>
      <c r="N197" s="100"/>
      <c r="O197" s="100"/>
      <c r="P197" s="100"/>
      <c r="Q197" s="105"/>
      <c r="R197" s="105"/>
      <c r="S197" s="169"/>
      <c r="U197" s="188"/>
    </row>
    <row r="198" spans="1:21" ht="25.5">
      <c r="A198" s="67" t="s">
        <v>5573</v>
      </c>
      <c r="B198" s="87" t="s">
        <v>5573</v>
      </c>
      <c r="C198" s="88" t="s">
        <v>11638</v>
      </c>
      <c r="D198" s="89"/>
      <c r="E198" s="90"/>
      <c r="F198" s="91" t="s">
        <v>11639</v>
      </c>
      <c r="G198" s="90"/>
      <c r="H198" s="90"/>
      <c r="I198" s="92"/>
      <c r="J198" s="93"/>
      <c r="K198" s="94"/>
      <c r="L198" s="149" t="str">
        <f>HYPERLINK("[#]DatatypeListedValues!B1708:H1708","Enumeration")</f>
        <v>Enumeration</v>
      </c>
      <c r="M198" s="107" t="b">
        <v>0</v>
      </c>
      <c r="N198" s="90"/>
      <c r="O198" s="95"/>
      <c r="P198" s="90"/>
      <c r="Q198" s="96"/>
      <c r="R198" s="97"/>
      <c r="S198" s="169"/>
      <c r="T198" s="300" t="str">
        <f>CONCATENATE([1]Cover!$D$6,"fdd/view?i=",S198)</f>
        <v>https://www.dgiwg.org/FAD/fdd/view?i=</v>
      </c>
      <c r="U198" s="188"/>
    </row>
    <row r="199" spans="1:21" ht="2.1" customHeight="1">
      <c r="A199" s="98"/>
      <c r="B199" s="87"/>
      <c r="C199" s="99"/>
      <c r="D199" s="87"/>
      <c r="E199" s="99"/>
      <c r="F199" s="100"/>
      <c r="G199" s="100"/>
      <c r="H199" s="100"/>
      <c r="I199" s="101"/>
      <c r="J199" s="106"/>
      <c r="K199" s="103"/>
      <c r="L199" s="104"/>
      <c r="M199" s="100"/>
      <c r="N199" s="100"/>
      <c r="O199" s="100"/>
      <c r="P199" s="100"/>
      <c r="Q199" s="105"/>
      <c r="R199" s="105"/>
      <c r="S199" s="169"/>
      <c r="U199" s="188"/>
    </row>
    <row r="200" spans="1:21" ht="25.5">
      <c r="A200" s="67" t="s">
        <v>5579</v>
      </c>
      <c r="B200" s="87" t="s">
        <v>5579</v>
      </c>
      <c r="C200" s="88" t="s">
        <v>11640</v>
      </c>
      <c r="D200" s="89"/>
      <c r="E200" s="90"/>
      <c r="F200" s="91" t="s">
        <v>11641</v>
      </c>
      <c r="G200" s="90"/>
      <c r="H200" s="90"/>
      <c r="I200" s="92"/>
      <c r="J200" s="93"/>
      <c r="K200" s="94"/>
      <c r="L200" s="149" t="str">
        <f>HYPERLINK("[#]DatatypeListedValues!B1716:H1716","Enumeration")</f>
        <v>Enumeration</v>
      </c>
      <c r="M200" s="107" t="b">
        <v>0</v>
      </c>
      <c r="N200" s="90"/>
      <c r="O200" s="95"/>
      <c r="P200" s="90"/>
      <c r="Q200" s="96"/>
      <c r="R200" s="97"/>
      <c r="S200" s="169"/>
      <c r="T200" s="300" t="str">
        <f>CONCATENATE([1]Cover!$D$6,"fdd/view?i=",S200)</f>
        <v>https://www.dgiwg.org/FAD/fdd/view?i=</v>
      </c>
      <c r="U200" s="188"/>
    </row>
    <row r="201" spans="1:21" ht="2.1" customHeight="1">
      <c r="A201" s="98"/>
      <c r="B201" s="87"/>
      <c r="C201" s="99"/>
      <c r="D201" s="87"/>
      <c r="E201" s="99"/>
      <c r="F201" s="100"/>
      <c r="G201" s="100"/>
      <c r="H201" s="100"/>
      <c r="I201" s="101"/>
      <c r="J201" s="106"/>
      <c r="K201" s="103"/>
      <c r="L201" s="104"/>
      <c r="M201" s="100"/>
      <c r="N201" s="100"/>
      <c r="O201" s="100"/>
      <c r="P201" s="100"/>
      <c r="Q201" s="105"/>
      <c r="R201" s="105"/>
      <c r="S201" s="169"/>
      <c r="U201" s="188"/>
    </row>
    <row r="202" spans="1:21" ht="25.5">
      <c r="A202" s="67" t="s">
        <v>5584</v>
      </c>
      <c r="B202" s="87" t="s">
        <v>5584</v>
      </c>
      <c r="C202" s="88" t="s">
        <v>11642</v>
      </c>
      <c r="D202" s="89"/>
      <c r="E202" s="90"/>
      <c r="F202" s="91" t="s">
        <v>11643</v>
      </c>
      <c r="G202" s="90"/>
      <c r="H202" s="90"/>
      <c r="I202" s="92"/>
      <c r="J202" s="93"/>
      <c r="K202" s="94"/>
      <c r="L202" s="149" t="str">
        <f>HYPERLINK("[#]DatatypeListedValues!B1723:H1723","Enumeration")</f>
        <v>Enumeration</v>
      </c>
      <c r="M202" s="107" t="b">
        <v>0</v>
      </c>
      <c r="N202" s="90"/>
      <c r="O202" s="95"/>
      <c r="P202" s="90"/>
      <c r="Q202" s="96"/>
      <c r="R202" s="97"/>
      <c r="S202" s="169"/>
      <c r="T202" s="300" t="str">
        <f>CONCATENATE([1]Cover!$D$6,"fdd/view?i=",S202)</f>
        <v>https://www.dgiwg.org/FAD/fdd/view?i=</v>
      </c>
      <c r="U202" s="188"/>
    </row>
    <row r="203" spans="1:21" ht="2.1" customHeight="1">
      <c r="A203" s="98"/>
      <c r="B203" s="87"/>
      <c r="C203" s="99"/>
      <c r="D203" s="87"/>
      <c r="E203" s="99"/>
      <c r="F203" s="100"/>
      <c r="G203" s="100"/>
      <c r="H203" s="100"/>
      <c r="I203" s="101"/>
      <c r="J203" s="106"/>
      <c r="K203" s="103"/>
      <c r="L203" s="104"/>
      <c r="M203" s="100"/>
      <c r="N203" s="100"/>
      <c r="O203" s="100"/>
      <c r="P203" s="100"/>
      <c r="Q203" s="105"/>
      <c r="R203" s="105"/>
      <c r="S203" s="169"/>
      <c r="U203" s="188"/>
    </row>
    <row r="204" spans="1:21">
      <c r="A204" s="67" t="s">
        <v>5589</v>
      </c>
      <c r="B204" s="87" t="s">
        <v>5589</v>
      </c>
      <c r="C204" s="88" t="s">
        <v>11644</v>
      </c>
      <c r="D204" s="89"/>
      <c r="E204" s="90"/>
      <c r="F204" s="91" t="s">
        <v>11645</v>
      </c>
      <c r="G204" s="90"/>
      <c r="H204" s="90"/>
      <c r="I204" s="92"/>
      <c r="J204" s="93"/>
      <c r="K204" s="94"/>
      <c r="L204" s="149" t="str">
        <f>HYPERLINK("[#]DatatypeListedValues!B1726:H1726","Enumeration")</f>
        <v>Enumeration</v>
      </c>
      <c r="M204" s="107" t="b">
        <v>0</v>
      </c>
      <c r="N204" s="90"/>
      <c r="O204" s="95"/>
      <c r="P204" s="90"/>
      <c r="Q204" s="96"/>
      <c r="R204" s="97"/>
      <c r="S204" s="169"/>
      <c r="T204" s="300" t="str">
        <f>CONCATENATE([1]Cover!$D$6,"fdd/view?i=",S204)</f>
        <v>https://www.dgiwg.org/FAD/fdd/view?i=</v>
      </c>
      <c r="U204" s="188"/>
    </row>
    <row r="205" spans="1:21" ht="2.1" customHeight="1">
      <c r="A205" s="98"/>
      <c r="B205" s="87"/>
      <c r="C205" s="99"/>
      <c r="D205" s="87"/>
      <c r="E205" s="99"/>
      <c r="F205" s="100"/>
      <c r="G205" s="100"/>
      <c r="H205" s="100"/>
      <c r="I205" s="101"/>
      <c r="J205" s="106"/>
      <c r="K205" s="103"/>
      <c r="L205" s="104"/>
      <c r="M205" s="100"/>
      <c r="N205" s="100"/>
      <c r="O205" s="100"/>
      <c r="P205" s="100"/>
      <c r="Q205" s="105"/>
      <c r="R205" s="105"/>
      <c r="S205" s="169"/>
      <c r="U205" s="188"/>
    </row>
    <row r="206" spans="1:21" ht="25.5">
      <c r="A206" s="67" t="s">
        <v>5594</v>
      </c>
      <c r="B206" s="87" t="s">
        <v>5594</v>
      </c>
      <c r="C206" s="88" t="s">
        <v>11646</v>
      </c>
      <c r="D206" s="89"/>
      <c r="E206" s="90"/>
      <c r="F206" s="91" t="s">
        <v>11647</v>
      </c>
      <c r="G206" s="90"/>
      <c r="H206" s="90"/>
      <c r="I206" s="92"/>
      <c r="J206" s="93"/>
      <c r="K206" s="94"/>
      <c r="L206" s="149" t="str">
        <f>HYPERLINK("[#]DatatypeListedValues!B1730:H1730","Enumeration")</f>
        <v>Enumeration</v>
      </c>
      <c r="M206" s="107" t="b">
        <v>0</v>
      </c>
      <c r="N206" s="90"/>
      <c r="O206" s="95"/>
      <c r="P206" s="90"/>
      <c r="Q206" s="96"/>
      <c r="R206" s="97"/>
      <c r="S206" s="169"/>
      <c r="T206" s="300" t="str">
        <f>CONCATENATE([1]Cover!$D$6,"fdd/view?i=",S206)</f>
        <v>https://www.dgiwg.org/FAD/fdd/view?i=</v>
      </c>
      <c r="U206" s="188"/>
    </row>
    <row r="207" spans="1:21" ht="2.1" customHeight="1">
      <c r="A207" s="98"/>
      <c r="B207" s="87"/>
      <c r="C207" s="99"/>
      <c r="D207" s="87"/>
      <c r="E207" s="99"/>
      <c r="F207" s="100"/>
      <c r="G207" s="100"/>
      <c r="H207" s="100"/>
      <c r="I207" s="101"/>
      <c r="J207" s="106"/>
      <c r="K207" s="103"/>
      <c r="L207" s="104"/>
      <c r="M207" s="100"/>
      <c r="N207" s="100"/>
      <c r="O207" s="100"/>
      <c r="P207" s="100"/>
      <c r="Q207" s="105"/>
      <c r="R207" s="105"/>
      <c r="S207" s="169"/>
      <c r="U207" s="188"/>
    </row>
    <row r="208" spans="1:21">
      <c r="A208" s="67" t="s">
        <v>5599</v>
      </c>
      <c r="B208" s="87" t="s">
        <v>5599</v>
      </c>
      <c r="C208" s="88" t="s">
        <v>11648</v>
      </c>
      <c r="D208" s="89"/>
      <c r="E208" s="90"/>
      <c r="F208" s="91" t="s">
        <v>11649</v>
      </c>
      <c r="G208" s="90"/>
      <c r="H208" s="90"/>
      <c r="I208" s="92"/>
      <c r="J208" s="93"/>
      <c r="K208" s="94"/>
      <c r="L208" s="149" t="str">
        <f>HYPERLINK("[#]DatatypeListedValues!B1743:H1743","Enumeration")</f>
        <v>Enumeration</v>
      </c>
      <c r="M208" s="107" t="b">
        <v>0</v>
      </c>
      <c r="N208" s="90"/>
      <c r="O208" s="95"/>
      <c r="P208" s="90"/>
      <c r="Q208" s="96"/>
      <c r="R208" s="97"/>
      <c r="S208" s="169"/>
      <c r="T208" s="300" t="str">
        <f>CONCATENATE([1]Cover!$D$6,"fdd/view?i=",S208)</f>
        <v>https://www.dgiwg.org/FAD/fdd/view?i=</v>
      </c>
      <c r="U208" s="188"/>
    </row>
    <row r="209" spans="1:21" ht="2.1" customHeight="1">
      <c r="A209" s="98"/>
      <c r="B209" s="87"/>
      <c r="C209" s="99"/>
      <c r="D209" s="87"/>
      <c r="E209" s="99"/>
      <c r="F209" s="100"/>
      <c r="G209" s="100"/>
      <c r="H209" s="100"/>
      <c r="I209" s="101"/>
      <c r="J209" s="106"/>
      <c r="K209" s="103"/>
      <c r="L209" s="104"/>
      <c r="M209" s="100"/>
      <c r="N209" s="100"/>
      <c r="O209" s="100"/>
      <c r="P209" s="100"/>
      <c r="Q209" s="105"/>
      <c r="R209" s="105"/>
      <c r="S209" s="169"/>
      <c r="U209" s="188"/>
    </row>
    <row r="210" spans="1:21" ht="178.5">
      <c r="A210" s="67" t="s">
        <v>5611</v>
      </c>
      <c r="B210" s="87" t="s">
        <v>5611</v>
      </c>
      <c r="C210" s="88" t="s">
        <v>11650</v>
      </c>
      <c r="D210" s="89"/>
      <c r="E210" s="90"/>
      <c r="F210" s="91" t="s">
        <v>11651</v>
      </c>
      <c r="G210" s="90"/>
      <c r="H210" s="91" t="s">
        <v>11473</v>
      </c>
      <c r="I210" s="92"/>
      <c r="J210" s="93"/>
      <c r="K210" s="94"/>
      <c r="L210" s="91" t="s">
        <v>11472</v>
      </c>
      <c r="M210" s="90"/>
      <c r="N210" s="91">
        <v>15</v>
      </c>
      <c r="O210" s="108" t="b">
        <v>0</v>
      </c>
      <c r="P210" s="91" t="s">
        <v>11652</v>
      </c>
      <c r="Q210" s="96"/>
      <c r="R210" s="97"/>
      <c r="S210" s="169"/>
      <c r="T210" s="300" t="str">
        <f>CONCATENATE([1]Cover!$D$6,"fdd/view?i=",S210)</f>
        <v>https://www.dgiwg.org/FAD/fdd/view?i=</v>
      </c>
      <c r="U210" s="188"/>
    </row>
    <row r="211" spans="1:21" ht="2.1" customHeight="1">
      <c r="A211" s="98"/>
      <c r="B211" s="87"/>
      <c r="C211" s="99"/>
      <c r="D211" s="87"/>
      <c r="E211" s="99"/>
      <c r="F211" s="100"/>
      <c r="G211" s="100"/>
      <c r="H211" s="100"/>
      <c r="I211" s="101"/>
      <c r="J211" s="106"/>
      <c r="K211" s="103"/>
      <c r="L211" s="104"/>
      <c r="M211" s="100"/>
      <c r="N211" s="100"/>
      <c r="O211" s="100"/>
      <c r="P211" s="100"/>
      <c r="Q211" s="105"/>
      <c r="R211" s="105"/>
      <c r="S211" s="169"/>
      <c r="U211" s="188"/>
    </row>
    <row r="212" spans="1:21">
      <c r="A212" s="67" t="s">
        <v>5616</v>
      </c>
      <c r="B212" s="87" t="s">
        <v>5616</v>
      </c>
      <c r="C212" s="88" t="s">
        <v>11653</v>
      </c>
      <c r="D212" s="89"/>
      <c r="E212" s="90"/>
      <c r="F212" s="91" t="s">
        <v>11654</v>
      </c>
      <c r="G212" s="90"/>
      <c r="H212" s="90"/>
      <c r="I212" s="92"/>
      <c r="J212" s="93"/>
      <c r="K212" s="94"/>
      <c r="L212" s="149" t="str">
        <f>HYPERLINK("[#]DatatypeListedValues!B1748:H1748","Enumeration")</f>
        <v>Enumeration</v>
      </c>
      <c r="M212" s="107" t="b">
        <v>0</v>
      </c>
      <c r="N212" s="90"/>
      <c r="O212" s="95"/>
      <c r="P212" s="90"/>
      <c r="Q212" s="96"/>
      <c r="R212" s="97"/>
      <c r="S212" s="169"/>
      <c r="T212" s="300" t="str">
        <f>CONCATENATE([1]Cover!$D$6,"fdd/view?i=",S212)</f>
        <v>https://www.dgiwg.org/FAD/fdd/view?i=</v>
      </c>
      <c r="U212" s="188"/>
    </row>
    <row r="213" spans="1:21" ht="2.1" customHeight="1">
      <c r="A213" s="98"/>
      <c r="B213" s="87"/>
      <c r="C213" s="99"/>
      <c r="D213" s="87"/>
      <c r="E213" s="99"/>
      <c r="F213" s="100"/>
      <c r="G213" s="100"/>
      <c r="H213" s="100"/>
      <c r="I213" s="101"/>
      <c r="J213" s="106"/>
      <c r="K213" s="103"/>
      <c r="L213" s="104"/>
      <c r="M213" s="100"/>
      <c r="N213" s="100"/>
      <c r="O213" s="100"/>
      <c r="P213" s="100"/>
      <c r="Q213" s="105"/>
      <c r="R213" s="105"/>
      <c r="S213" s="169"/>
      <c r="U213" s="188"/>
    </row>
    <row r="214" spans="1:21" ht="25.5">
      <c r="A214" s="67" t="s">
        <v>5622</v>
      </c>
      <c r="B214" s="87" t="s">
        <v>5622</v>
      </c>
      <c r="C214" s="88" t="s">
        <v>11655</v>
      </c>
      <c r="D214" s="89"/>
      <c r="E214" s="90"/>
      <c r="F214" s="91" t="s">
        <v>11656</v>
      </c>
      <c r="G214" s="90"/>
      <c r="H214" s="90"/>
      <c r="I214" s="92"/>
      <c r="J214" s="93"/>
      <c r="K214" s="94"/>
      <c r="L214" s="149" t="str">
        <f>HYPERLINK("[#]DatatypeListedValues!B1751:H1751","Enumeration")</f>
        <v>Enumeration</v>
      </c>
      <c r="M214" s="107" t="b">
        <v>0</v>
      </c>
      <c r="N214" s="90"/>
      <c r="O214" s="95"/>
      <c r="P214" s="90"/>
      <c r="Q214" s="96"/>
      <c r="R214" s="97"/>
      <c r="S214" s="169"/>
      <c r="T214" s="300" t="str">
        <f>CONCATENATE([1]Cover!$D$6,"fdd/view?i=",S214)</f>
        <v>https://www.dgiwg.org/FAD/fdd/view?i=</v>
      </c>
      <c r="U214" s="188"/>
    </row>
    <row r="215" spans="1:21" ht="2.1" customHeight="1">
      <c r="A215" s="98"/>
      <c r="B215" s="87"/>
      <c r="C215" s="99"/>
      <c r="D215" s="87"/>
      <c r="E215" s="99"/>
      <c r="F215" s="100"/>
      <c r="G215" s="100"/>
      <c r="H215" s="100"/>
      <c r="I215" s="101"/>
      <c r="J215" s="106"/>
      <c r="K215" s="103"/>
      <c r="L215" s="104"/>
      <c r="M215" s="100"/>
      <c r="N215" s="100"/>
      <c r="O215" s="100"/>
      <c r="P215" s="100"/>
      <c r="Q215" s="105"/>
      <c r="R215" s="105"/>
      <c r="S215" s="169"/>
      <c r="U215" s="188"/>
    </row>
    <row r="216" spans="1:21" ht="25.5">
      <c r="A216" s="67" t="s">
        <v>5627</v>
      </c>
      <c r="B216" s="87" t="s">
        <v>5627</v>
      </c>
      <c r="C216" s="88" t="s">
        <v>11657</v>
      </c>
      <c r="D216" s="89"/>
      <c r="E216" s="90"/>
      <c r="F216" s="91" t="s">
        <v>11658</v>
      </c>
      <c r="G216" s="90"/>
      <c r="H216" s="90"/>
      <c r="I216" s="92"/>
      <c r="J216" s="93"/>
      <c r="K216" s="94"/>
      <c r="L216" s="149" t="str">
        <f>HYPERLINK("[#]DatatypeListedValues!B1762:H1762","Enumeration")</f>
        <v>Enumeration</v>
      </c>
      <c r="M216" s="107" t="b">
        <v>0</v>
      </c>
      <c r="N216" s="90"/>
      <c r="O216" s="95"/>
      <c r="P216" s="90"/>
      <c r="Q216" s="96"/>
      <c r="R216" s="97"/>
      <c r="S216" s="169"/>
      <c r="T216" s="300" t="str">
        <f>CONCATENATE([1]Cover!$D$6,"fdd/view?i=",S216)</f>
        <v>https://www.dgiwg.org/FAD/fdd/view?i=</v>
      </c>
      <c r="U216" s="188"/>
    </row>
    <row r="217" spans="1:21" ht="2.1" customHeight="1">
      <c r="A217" s="98"/>
      <c r="B217" s="87"/>
      <c r="C217" s="99"/>
      <c r="D217" s="87"/>
      <c r="E217" s="99"/>
      <c r="F217" s="100"/>
      <c r="G217" s="100"/>
      <c r="H217" s="100"/>
      <c r="I217" s="101"/>
      <c r="J217" s="106"/>
      <c r="K217" s="103"/>
      <c r="L217" s="104"/>
      <c r="M217" s="100"/>
      <c r="N217" s="100"/>
      <c r="O217" s="100"/>
      <c r="P217" s="100"/>
      <c r="Q217" s="105"/>
      <c r="R217" s="105"/>
      <c r="S217" s="169"/>
      <c r="U217" s="188"/>
    </row>
    <row r="218" spans="1:21" ht="25.5">
      <c r="A218" s="67" t="s">
        <v>5637</v>
      </c>
      <c r="B218" s="87" t="s">
        <v>5637</v>
      </c>
      <c r="C218" s="88" t="s">
        <v>11659</v>
      </c>
      <c r="D218" s="89"/>
      <c r="E218" s="90"/>
      <c r="F218" s="91" t="s">
        <v>11660</v>
      </c>
      <c r="G218" s="90"/>
      <c r="H218" s="90"/>
      <c r="I218" s="92"/>
      <c r="J218" s="93"/>
      <c r="K218" s="94"/>
      <c r="L218" s="149" t="str">
        <f>HYPERLINK("[#]DatatypeListedValues!B1778:H1778","Enumeration")</f>
        <v>Enumeration</v>
      </c>
      <c r="M218" s="91" t="b">
        <v>1</v>
      </c>
      <c r="N218" s="90"/>
      <c r="O218" s="95"/>
      <c r="P218" s="90"/>
      <c r="Q218" s="96"/>
      <c r="R218" s="97"/>
      <c r="S218" s="169"/>
      <c r="T218" s="300" t="str">
        <f>CONCATENATE([1]Cover!$D$6,"fdd/view?i=",S218)</f>
        <v>https://www.dgiwg.org/FAD/fdd/view?i=</v>
      </c>
      <c r="U218" s="188"/>
    </row>
    <row r="219" spans="1:21" ht="2.1" customHeight="1">
      <c r="A219" s="98"/>
      <c r="B219" s="87"/>
      <c r="C219" s="99"/>
      <c r="D219" s="87"/>
      <c r="E219" s="99"/>
      <c r="F219" s="100"/>
      <c r="G219" s="100"/>
      <c r="H219" s="100"/>
      <c r="I219" s="101"/>
      <c r="J219" s="106"/>
      <c r="K219" s="103"/>
      <c r="L219" s="104"/>
      <c r="M219" s="100"/>
      <c r="N219" s="100"/>
      <c r="O219" s="100"/>
      <c r="P219" s="100"/>
      <c r="Q219" s="105"/>
      <c r="R219" s="105"/>
      <c r="S219" s="169"/>
      <c r="U219" s="188"/>
    </row>
    <row r="220" spans="1:21">
      <c r="A220" s="67" t="s">
        <v>5642</v>
      </c>
      <c r="B220" s="87" t="s">
        <v>5642</v>
      </c>
      <c r="C220" s="88" t="s">
        <v>11661</v>
      </c>
      <c r="D220" s="89"/>
      <c r="E220" s="90"/>
      <c r="F220" s="91" t="s">
        <v>11662</v>
      </c>
      <c r="G220" s="90"/>
      <c r="H220" s="90"/>
      <c r="I220" s="92"/>
      <c r="J220" s="93"/>
      <c r="K220" s="94"/>
      <c r="L220" s="149" t="str">
        <f>HYPERLINK("[#]DatatypeListedValues!B1782:H1782","Enumeration")</f>
        <v>Enumeration</v>
      </c>
      <c r="M220" s="107" t="b">
        <v>0</v>
      </c>
      <c r="N220" s="90"/>
      <c r="O220" s="95"/>
      <c r="P220" s="90"/>
      <c r="Q220" s="96"/>
      <c r="R220" s="97"/>
      <c r="S220" s="169"/>
      <c r="T220" s="300" t="str">
        <f>CONCATENATE([1]Cover!$D$6,"fdd/view?i=",S220)</f>
        <v>https://www.dgiwg.org/FAD/fdd/view?i=</v>
      </c>
      <c r="U220" s="188"/>
    </row>
    <row r="221" spans="1:21" ht="2.1" customHeight="1">
      <c r="A221" s="98"/>
      <c r="B221" s="87"/>
      <c r="C221" s="99"/>
      <c r="D221" s="87"/>
      <c r="E221" s="99"/>
      <c r="F221" s="100"/>
      <c r="G221" s="100"/>
      <c r="H221" s="100"/>
      <c r="I221" s="101"/>
      <c r="J221" s="106"/>
      <c r="K221" s="103"/>
      <c r="L221" s="104"/>
      <c r="M221" s="100"/>
      <c r="N221" s="100"/>
      <c r="O221" s="100"/>
      <c r="P221" s="100"/>
      <c r="Q221" s="105"/>
      <c r="R221" s="105"/>
      <c r="S221" s="169"/>
      <c r="U221" s="188"/>
    </row>
    <row r="222" spans="1:21" ht="38.25">
      <c r="A222" s="67" t="s">
        <v>5652</v>
      </c>
      <c r="B222" s="87" t="s">
        <v>5652</v>
      </c>
      <c r="C222" s="88" t="s">
        <v>11663</v>
      </c>
      <c r="D222" s="89"/>
      <c r="E222" s="90"/>
      <c r="F222" s="91" t="s">
        <v>11664</v>
      </c>
      <c r="G222" s="90"/>
      <c r="H222" s="91" t="s">
        <v>11426</v>
      </c>
      <c r="I222" s="92"/>
      <c r="J222" s="93"/>
      <c r="K222" s="94"/>
      <c r="L222" s="91" t="s">
        <v>11425</v>
      </c>
      <c r="M222" s="90"/>
      <c r="N222" s="91">
        <v>11</v>
      </c>
      <c r="O222" s="108" t="b">
        <v>0</v>
      </c>
      <c r="P222" s="91" t="s">
        <v>11665</v>
      </c>
      <c r="Q222" s="96"/>
      <c r="R222" s="97"/>
      <c r="S222" s="169"/>
      <c r="T222" s="300" t="str">
        <f>CONCATENATE([1]Cover!$D$6,"fdd/view?i=",S222)</f>
        <v>https://www.dgiwg.org/FAD/fdd/view?i=</v>
      </c>
      <c r="U222" s="188"/>
    </row>
    <row r="223" spans="1:21" ht="2.1" customHeight="1">
      <c r="A223" s="98"/>
      <c r="B223" s="87"/>
      <c r="C223" s="99"/>
      <c r="D223" s="87"/>
      <c r="E223" s="99"/>
      <c r="F223" s="100"/>
      <c r="G223" s="100"/>
      <c r="H223" s="100"/>
      <c r="I223" s="101"/>
      <c r="J223" s="106"/>
      <c r="K223" s="103"/>
      <c r="L223" s="104"/>
      <c r="M223" s="100"/>
      <c r="N223" s="100"/>
      <c r="O223" s="100"/>
      <c r="P223" s="100"/>
      <c r="Q223" s="105"/>
      <c r="R223" s="105"/>
      <c r="S223" s="169"/>
      <c r="U223" s="188"/>
    </row>
    <row r="224" spans="1:21">
      <c r="A224" s="67" t="s">
        <v>5682</v>
      </c>
      <c r="B224" s="87" t="s">
        <v>5682</v>
      </c>
      <c r="C224" s="88" t="s">
        <v>11666</v>
      </c>
      <c r="D224" s="89"/>
      <c r="E224" s="90"/>
      <c r="F224" s="91" t="s">
        <v>11667</v>
      </c>
      <c r="G224" s="90"/>
      <c r="H224" s="90"/>
      <c r="I224" s="92"/>
      <c r="J224" s="93"/>
      <c r="K224" s="94"/>
      <c r="L224" s="149" t="str">
        <f>HYPERLINK("[#]DatatypeListedValues!B1783:H1783","Enumeration")</f>
        <v>Enumeration</v>
      </c>
      <c r="M224" s="107" t="b">
        <v>0</v>
      </c>
      <c r="N224" s="90"/>
      <c r="O224" s="95"/>
      <c r="P224" s="90"/>
      <c r="Q224" s="96"/>
      <c r="R224" s="97"/>
      <c r="S224" s="169"/>
      <c r="T224" s="300" t="str">
        <f>CONCATENATE([1]Cover!$D$6,"fdd/view?i=",S224)</f>
        <v>https://www.dgiwg.org/FAD/fdd/view?i=</v>
      </c>
      <c r="U224" s="188"/>
    </row>
    <row r="225" spans="1:21" ht="2.1" customHeight="1">
      <c r="A225" s="98"/>
      <c r="B225" s="87"/>
      <c r="C225" s="99"/>
      <c r="D225" s="87"/>
      <c r="E225" s="99"/>
      <c r="F225" s="100"/>
      <c r="G225" s="100"/>
      <c r="H225" s="100"/>
      <c r="I225" s="101"/>
      <c r="J225" s="106"/>
      <c r="K225" s="103"/>
      <c r="L225" s="104"/>
      <c r="M225" s="100"/>
      <c r="N225" s="100"/>
      <c r="O225" s="100"/>
      <c r="P225" s="100"/>
      <c r="Q225" s="105"/>
      <c r="R225" s="105"/>
      <c r="S225" s="169"/>
      <c r="U225" s="188"/>
    </row>
    <row r="226" spans="1:21">
      <c r="A226" s="67" t="s">
        <v>5697</v>
      </c>
      <c r="B226" s="87" t="s">
        <v>5697</v>
      </c>
      <c r="C226" s="88" t="s">
        <v>11668</v>
      </c>
      <c r="D226" s="89"/>
      <c r="E226" s="90"/>
      <c r="F226" s="91" t="s">
        <v>11669</v>
      </c>
      <c r="G226" s="90"/>
      <c r="H226" s="90"/>
      <c r="I226" s="92"/>
      <c r="J226" s="93"/>
      <c r="K226" s="94"/>
      <c r="L226" s="149" t="str">
        <f>HYPERLINK("[#]DatatypeListedValues!B1788:H1788","Enumeration")</f>
        <v>Enumeration</v>
      </c>
      <c r="M226" s="107" t="b">
        <v>0</v>
      </c>
      <c r="N226" s="90"/>
      <c r="O226" s="95"/>
      <c r="P226" s="90"/>
      <c r="Q226" s="96"/>
      <c r="R226" s="97"/>
      <c r="S226" s="169"/>
      <c r="T226" s="300" t="str">
        <f>CONCATENATE([1]Cover!$D$6,"fdd/view?i=",S226)</f>
        <v>https://www.dgiwg.org/FAD/fdd/view?i=</v>
      </c>
      <c r="U226" s="188"/>
    </row>
    <row r="227" spans="1:21" ht="2.1" customHeight="1">
      <c r="A227" s="98"/>
      <c r="B227" s="87"/>
      <c r="C227" s="99"/>
      <c r="D227" s="87"/>
      <c r="E227" s="99"/>
      <c r="F227" s="100"/>
      <c r="G227" s="100"/>
      <c r="H227" s="100"/>
      <c r="I227" s="101"/>
      <c r="J227" s="106"/>
      <c r="K227" s="103"/>
      <c r="L227" s="104"/>
      <c r="M227" s="100"/>
      <c r="N227" s="100"/>
      <c r="O227" s="100"/>
      <c r="P227" s="100"/>
      <c r="Q227" s="105"/>
      <c r="R227" s="105"/>
      <c r="S227" s="169"/>
      <c r="U227" s="188"/>
    </row>
    <row r="228" spans="1:21">
      <c r="A228" s="67" t="s">
        <v>5707</v>
      </c>
      <c r="B228" s="87" t="s">
        <v>5707</v>
      </c>
      <c r="C228" s="88" t="s">
        <v>11670</v>
      </c>
      <c r="D228" s="89"/>
      <c r="E228" s="90"/>
      <c r="F228" s="91" t="s">
        <v>11671</v>
      </c>
      <c r="G228" s="90"/>
      <c r="H228" s="90"/>
      <c r="I228" s="92"/>
      <c r="J228" s="93"/>
      <c r="K228" s="94"/>
      <c r="L228" s="149" t="str">
        <f>HYPERLINK("[#]DatatypeListedValues!B1807:H1807","Enumeration")</f>
        <v>Enumeration</v>
      </c>
      <c r="M228" s="107" t="b">
        <v>0</v>
      </c>
      <c r="N228" s="90"/>
      <c r="O228" s="95"/>
      <c r="P228" s="90"/>
      <c r="Q228" s="96"/>
      <c r="R228" s="97"/>
      <c r="S228" s="169"/>
      <c r="T228" s="300" t="str">
        <f>CONCATENATE([1]Cover!$D$6,"fdd/view?i=",S228)</f>
        <v>https://www.dgiwg.org/FAD/fdd/view?i=</v>
      </c>
      <c r="U228" s="188"/>
    </row>
    <row r="229" spans="1:21" ht="2.1" customHeight="1">
      <c r="A229" s="98"/>
      <c r="B229" s="87"/>
      <c r="C229" s="99"/>
      <c r="D229" s="87"/>
      <c r="E229" s="99"/>
      <c r="F229" s="100"/>
      <c r="G229" s="100"/>
      <c r="H229" s="100"/>
      <c r="I229" s="101"/>
      <c r="J229" s="106"/>
      <c r="K229" s="103"/>
      <c r="L229" s="104"/>
      <c r="M229" s="100"/>
      <c r="N229" s="100"/>
      <c r="O229" s="100"/>
      <c r="P229" s="100"/>
      <c r="Q229" s="105"/>
      <c r="R229" s="105"/>
      <c r="S229" s="169"/>
      <c r="U229" s="188"/>
    </row>
    <row r="230" spans="1:21" ht="38.25">
      <c r="A230" s="67" t="s">
        <v>4718</v>
      </c>
      <c r="B230" s="87" t="s">
        <v>4718</v>
      </c>
      <c r="C230" s="88" t="s">
        <v>4718</v>
      </c>
      <c r="D230" s="89"/>
      <c r="E230" s="90"/>
      <c r="F230" s="91" t="s">
        <v>11672</v>
      </c>
      <c r="G230" s="91" t="s">
        <v>11673</v>
      </c>
      <c r="H230" s="91" t="s">
        <v>11674</v>
      </c>
      <c r="I230" s="92"/>
      <c r="J230" s="93"/>
      <c r="K230" s="94"/>
      <c r="L230" s="91" t="s">
        <v>4718</v>
      </c>
      <c r="M230" s="90"/>
      <c r="N230" s="90"/>
      <c r="O230" s="95"/>
      <c r="P230" s="90"/>
      <c r="Q230" s="96"/>
      <c r="R230" s="97"/>
      <c r="S230" s="169"/>
      <c r="T230" s="300" t="str">
        <f>CONCATENATE([1]Cover!$D$6,"fdd/view?i=",S230)</f>
        <v>https://www.dgiwg.org/FAD/fdd/view?i=</v>
      </c>
      <c r="U230" s="188"/>
    </row>
    <row r="231" spans="1:21" ht="2.1" customHeight="1">
      <c r="A231" s="98"/>
      <c r="B231" s="87"/>
      <c r="C231" s="99"/>
      <c r="D231" s="87"/>
      <c r="E231" s="99"/>
      <c r="F231" s="100"/>
      <c r="G231" s="100"/>
      <c r="H231" s="100"/>
      <c r="I231" s="101"/>
      <c r="J231" s="106"/>
      <c r="K231" s="103"/>
      <c r="L231" s="104"/>
      <c r="M231" s="100"/>
      <c r="N231" s="100"/>
      <c r="O231" s="100"/>
      <c r="P231" s="100"/>
      <c r="Q231" s="105"/>
      <c r="R231" s="105"/>
      <c r="S231" s="169"/>
      <c r="U231" s="188"/>
    </row>
    <row r="232" spans="1:21" ht="38.25">
      <c r="A232" s="63" t="s">
        <v>11675</v>
      </c>
      <c r="B232" s="262" t="s">
        <v>11675</v>
      </c>
      <c r="C232" s="326" t="s">
        <v>11676</v>
      </c>
      <c r="D232" s="109"/>
      <c r="E232" s="110"/>
      <c r="F232" s="111" t="s">
        <v>11677</v>
      </c>
      <c r="G232" s="111" t="s">
        <v>11673</v>
      </c>
      <c r="H232" s="111" t="s">
        <v>11513</v>
      </c>
      <c r="I232" s="112"/>
      <c r="J232" s="113"/>
      <c r="K232" s="114"/>
      <c r="L232" s="115" t="s">
        <v>11429</v>
      </c>
      <c r="M232" s="110"/>
      <c r="N232" s="110"/>
      <c r="O232" s="116"/>
      <c r="P232" s="110"/>
      <c r="Q232" s="117"/>
      <c r="R232" s="118"/>
      <c r="S232" s="169"/>
      <c r="T232" s="300" t="str">
        <f>CONCATENATE([1]Cover!$D$6,"fdd/view?i=",S232)</f>
        <v>https://www.dgiwg.org/FAD/fdd/view?i=</v>
      </c>
      <c r="U232" s="188"/>
    </row>
    <row r="233" spans="1:21">
      <c r="A233" s="64" t="s">
        <v>33685</v>
      </c>
      <c r="B233" s="263"/>
      <c r="C233" s="327"/>
      <c r="D233" s="132" t="s">
        <v>11678</v>
      </c>
      <c r="E233" s="138" t="s">
        <v>11679</v>
      </c>
      <c r="F233" s="70" t="s">
        <v>11680</v>
      </c>
      <c r="G233" s="70" t="s">
        <v>11681</v>
      </c>
      <c r="H233" s="68"/>
      <c r="I233" s="133" t="s">
        <v>4643</v>
      </c>
      <c r="J233" s="142"/>
      <c r="K233" s="135" t="s">
        <v>4718</v>
      </c>
      <c r="L233" s="150" t="str">
        <f>HYPERLINK("[#]Datatypes!B230:L230","Boolean")</f>
        <v>Boolean</v>
      </c>
      <c r="M233" s="122"/>
      <c r="N233" s="122"/>
      <c r="O233" s="122"/>
      <c r="P233" s="122"/>
      <c r="Q233" s="123"/>
      <c r="R233" s="124"/>
      <c r="S233" s="169"/>
      <c r="U233" s="188"/>
    </row>
    <row r="234" spans="1:21" ht="38.25">
      <c r="A234" s="65" t="s">
        <v>33686</v>
      </c>
      <c r="B234" s="264"/>
      <c r="C234" s="328"/>
      <c r="D234" s="137" t="s">
        <v>11682</v>
      </c>
      <c r="E234" s="140" t="s">
        <v>11683</v>
      </c>
      <c r="F234" s="66" t="s">
        <v>11684</v>
      </c>
      <c r="G234" s="66" t="s">
        <v>11685</v>
      </c>
      <c r="H234" s="69"/>
      <c r="I234" s="126" t="s">
        <v>4643</v>
      </c>
      <c r="J234" s="141"/>
      <c r="K234" s="128" t="s">
        <v>11686</v>
      </c>
      <c r="L234" s="152" t="str">
        <f>HYPERLINK("[#]Datatypes!B1544:L1544","Void Value Reason Code")</f>
        <v>Void Value Reason Code</v>
      </c>
      <c r="M234" s="129"/>
      <c r="N234" s="129"/>
      <c r="O234" s="129"/>
      <c r="P234" s="129"/>
      <c r="Q234" s="130"/>
      <c r="R234" s="131"/>
      <c r="S234" s="169"/>
      <c r="T234" s="300" t="str">
        <f>CONCATENATE([1]Cover!$D$6,"fdd/view?i=",S234)</f>
        <v>https://www.dgiwg.org/FAD/fdd/view?i=</v>
      </c>
      <c r="U234" s="188"/>
    </row>
    <row r="235" spans="1:21" ht="2.1" customHeight="1">
      <c r="A235" s="98"/>
      <c r="B235" s="87"/>
      <c r="C235" s="99"/>
      <c r="D235" s="87"/>
      <c r="E235" s="99"/>
      <c r="F235" s="100"/>
      <c r="G235" s="100"/>
      <c r="H235" s="100"/>
      <c r="I235" s="101"/>
      <c r="J235" s="106"/>
      <c r="K235" s="103"/>
      <c r="L235" s="104"/>
      <c r="M235" s="100"/>
      <c r="N235" s="100"/>
      <c r="O235" s="100"/>
      <c r="P235" s="100"/>
      <c r="Q235" s="105"/>
      <c r="R235" s="105"/>
      <c r="S235" s="169"/>
      <c r="U235" s="188"/>
    </row>
    <row r="236" spans="1:21" ht="25.5">
      <c r="A236" s="67" t="s">
        <v>5712</v>
      </c>
      <c r="B236" s="87" t="s">
        <v>5712</v>
      </c>
      <c r="C236" s="88" t="s">
        <v>11688</v>
      </c>
      <c r="D236" s="89"/>
      <c r="E236" s="90"/>
      <c r="F236" s="91" t="s">
        <v>11689</v>
      </c>
      <c r="G236" s="90"/>
      <c r="H236" s="90"/>
      <c r="I236" s="92"/>
      <c r="J236" s="93"/>
      <c r="K236" s="94"/>
      <c r="L236" s="149" t="str">
        <f>HYPERLINK("[#]DatatypeListedValues!B1809:H1809","Enumeration")</f>
        <v>Enumeration</v>
      </c>
      <c r="M236" s="107" t="b">
        <v>0</v>
      </c>
      <c r="N236" s="90"/>
      <c r="O236" s="95"/>
      <c r="P236" s="90"/>
      <c r="Q236" s="96"/>
      <c r="R236" s="97"/>
      <c r="S236" s="169"/>
      <c r="T236" s="300" t="str">
        <f>CONCATENATE([1]Cover!$D$6,"fdd/view?i=",S236)</f>
        <v>https://www.dgiwg.org/FAD/fdd/view?i=</v>
      </c>
      <c r="U236" s="188"/>
    </row>
    <row r="237" spans="1:21" ht="2.1" customHeight="1">
      <c r="A237" s="98"/>
      <c r="B237" s="87"/>
      <c r="C237" s="99"/>
      <c r="D237" s="87"/>
      <c r="E237" s="99"/>
      <c r="F237" s="100"/>
      <c r="G237" s="100"/>
      <c r="H237" s="100"/>
      <c r="I237" s="101"/>
      <c r="J237" s="106"/>
      <c r="K237" s="103"/>
      <c r="L237" s="104"/>
      <c r="M237" s="100"/>
      <c r="N237" s="100"/>
      <c r="O237" s="100"/>
      <c r="P237" s="100"/>
      <c r="Q237" s="105"/>
      <c r="R237" s="105"/>
      <c r="S237" s="169"/>
      <c r="U237" s="188"/>
    </row>
    <row r="238" spans="1:21">
      <c r="A238" s="67" t="s">
        <v>5717</v>
      </c>
      <c r="B238" s="87" t="s">
        <v>5717</v>
      </c>
      <c r="C238" s="88" t="s">
        <v>11690</v>
      </c>
      <c r="D238" s="89"/>
      <c r="E238" s="90"/>
      <c r="F238" s="91" t="s">
        <v>11691</v>
      </c>
      <c r="G238" s="90"/>
      <c r="H238" s="90"/>
      <c r="I238" s="92"/>
      <c r="J238" s="93"/>
      <c r="K238" s="94"/>
      <c r="L238" s="149" t="str">
        <f>HYPERLINK("[#]DatatypeListedValues!B1814:H1814","Enumeration")</f>
        <v>Enumeration</v>
      </c>
      <c r="M238" s="107" t="b">
        <v>0</v>
      </c>
      <c r="N238" s="90"/>
      <c r="O238" s="95"/>
      <c r="P238" s="90"/>
      <c r="Q238" s="96"/>
      <c r="R238" s="97"/>
      <c r="S238" s="169"/>
      <c r="T238" s="300" t="str">
        <f>CONCATENATE([1]Cover!$D$6,"fdd/view?i=",S238)</f>
        <v>https://www.dgiwg.org/FAD/fdd/view?i=</v>
      </c>
      <c r="U238" s="188"/>
    </row>
    <row r="239" spans="1:21" ht="2.1" customHeight="1">
      <c r="A239" s="98"/>
      <c r="B239" s="87"/>
      <c r="C239" s="99"/>
      <c r="D239" s="87"/>
      <c r="E239" s="99"/>
      <c r="F239" s="100"/>
      <c r="G239" s="100"/>
      <c r="H239" s="100"/>
      <c r="I239" s="101"/>
      <c r="J239" s="106"/>
      <c r="K239" s="103"/>
      <c r="L239" s="104"/>
      <c r="M239" s="100"/>
      <c r="N239" s="100"/>
      <c r="O239" s="100"/>
      <c r="P239" s="100"/>
      <c r="Q239" s="105"/>
      <c r="R239" s="105"/>
      <c r="S239" s="169"/>
      <c r="U239" s="188"/>
    </row>
    <row r="240" spans="1:21" ht="25.5">
      <c r="A240" s="67" t="s">
        <v>5722</v>
      </c>
      <c r="B240" s="87" t="s">
        <v>5722</v>
      </c>
      <c r="C240" s="88" t="s">
        <v>11692</v>
      </c>
      <c r="D240" s="89"/>
      <c r="E240" s="90"/>
      <c r="F240" s="91" t="s">
        <v>11693</v>
      </c>
      <c r="G240" s="90"/>
      <c r="H240" s="90"/>
      <c r="I240" s="92"/>
      <c r="J240" s="93"/>
      <c r="K240" s="94"/>
      <c r="L240" s="149" t="str">
        <f>HYPERLINK("[#]DatatypeListedValues!B1824:H1824","Enumeration")</f>
        <v>Enumeration</v>
      </c>
      <c r="M240" s="107" t="b">
        <v>0</v>
      </c>
      <c r="N240" s="90"/>
      <c r="O240" s="95"/>
      <c r="P240" s="90"/>
      <c r="Q240" s="96"/>
      <c r="R240" s="97"/>
      <c r="S240" s="169"/>
      <c r="T240" s="300" t="str">
        <f>CONCATENATE([1]Cover!$D$6,"fdd/view?i=",S240)</f>
        <v>https://www.dgiwg.org/FAD/fdd/view?i=</v>
      </c>
      <c r="U240" s="188"/>
    </row>
    <row r="241" spans="1:21" ht="2.1" customHeight="1">
      <c r="A241" s="98"/>
      <c r="B241" s="87"/>
      <c r="C241" s="99"/>
      <c r="D241" s="87"/>
      <c r="E241" s="99"/>
      <c r="F241" s="100"/>
      <c r="G241" s="100"/>
      <c r="H241" s="100"/>
      <c r="I241" s="101"/>
      <c r="J241" s="106"/>
      <c r="K241" s="103"/>
      <c r="L241" s="104"/>
      <c r="M241" s="100"/>
      <c r="N241" s="100"/>
      <c r="O241" s="100"/>
      <c r="P241" s="100"/>
      <c r="Q241" s="105"/>
      <c r="R241" s="105"/>
      <c r="S241" s="169"/>
      <c r="U241" s="188"/>
    </row>
    <row r="242" spans="1:21" ht="25.5">
      <c r="A242" s="67" t="s">
        <v>5727</v>
      </c>
      <c r="B242" s="87" t="s">
        <v>5727</v>
      </c>
      <c r="C242" s="88" t="s">
        <v>11694</v>
      </c>
      <c r="D242" s="89"/>
      <c r="E242" s="90"/>
      <c r="F242" s="91" t="s">
        <v>11695</v>
      </c>
      <c r="G242" s="90"/>
      <c r="H242" s="90"/>
      <c r="I242" s="92"/>
      <c r="J242" s="93"/>
      <c r="K242" s="94"/>
      <c r="L242" s="149" t="str">
        <f>HYPERLINK("[#]DatatypeListedValues!B1827:H1827","Enumeration")</f>
        <v>Enumeration</v>
      </c>
      <c r="M242" s="107" t="b">
        <v>0</v>
      </c>
      <c r="N242" s="90"/>
      <c r="O242" s="95"/>
      <c r="P242" s="90"/>
      <c r="Q242" s="96"/>
      <c r="R242" s="97"/>
      <c r="S242" s="169"/>
      <c r="T242" s="300" t="str">
        <f>CONCATENATE([1]Cover!$D$6,"fdd/view?i=",S242)</f>
        <v>https://www.dgiwg.org/FAD/fdd/view?i=</v>
      </c>
      <c r="U242" s="188"/>
    </row>
    <row r="243" spans="1:21" ht="2.1" customHeight="1">
      <c r="A243" s="98"/>
      <c r="B243" s="87"/>
      <c r="C243" s="99"/>
      <c r="D243" s="87"/>
      <c r="E243" s="99"/>
      <c r="F243" s="100"/>
      <c r="G243" s="100"/>
      <c r="H243" s="100"/>
      <c r="I243" s="101"/>
      <c r="J243" s="106"/>
      <c r="K243" s="103"/>
      <c r="L243" s="104"/>
      <c r="M243" s="100"/>
      <c r="N243" s="100"/>
      <c r="O243" s="100"/>
      <c r="P243" s="100"/>
      <c r="Q243" s="105"/>
      <c r="R243" s="105"/>
      <c r="S243" s="169"/>
      <c r="U243" s="188"/>
    </row>
    <row r="244" spans="1:21">
      <c r="A244" s="67" t="s">
        <v>5733</v>
      </c>
      <c r="B244" s="87" t="s">
        <v>5733</v>
      </c>
      <c r="C244" s="88" t="s">
        <v>11696</v>
      </c>
      <c r="D244" s="89"/>
      <c r="E244" s="90"/>
      <c r="F244" s="91" t="s">
        <v>11697</v>
      </c>
      <c r="G244" s="90"/>
      <c r="H244" s="90"/>
      <c r="I244" s="92"/>
      <c r="J244" s="93"/>
      <c r="K244" s="94"/>
      <c r="L244" s="149" t="str">
        <f>HYPERLINK("[#]DatatypeListedValues!B1842:H1842","Enumeration")</f>
        <v>Enumeration</v>
      </c>
      <c r="M244" s="107" t="b">
        <v>0</v>
      </c>
      <c r="N244" s="90"/>
      <c r="O244" s="95"/>
      <c r="P244" s="90"/>
      <c r="Q244" s="96"/>
      <c r="R244" s="97"/>
      <c r="S244" s="169"/>
      <c r="T244" s="300" t="str">
        <f>CONCATENATE([1]Cover!$D$6,"fdd/view?i=",S244)</f>
        <v>https://www.dgiwg.org/FAD/fdd/view?i=</v>
      </c>
      <c r="U244" s="188"/>
    </row>
    <row r="245" spans="1:21" ht="2.1" customHeight="1">
      <c r="A245" s="98"/>
      <c r="B245" s="87"/>
      <c r="C245" s="99"/>
      <c r="D245" s="87"/>
      <c r="E245" s="99"/>
      <c r="F245" s="100"/>
      <c r="G245" s="100"/>
      <c r="H245" s="100"/>
      <c r="I245" s="101"/>
      <c r="J245" s="106"/>
      <c r="K245" s="103"/>
      <c r="L245" s="104"/>
      <c r="M245" s="100"/>
      <c r="N245" s="100"/>
      <c r="O245" s="100"/>
      <c r="P245" s="100"/>
      <c r="Q245" s="105"/>
      <c r="R245" s="105"/>
      <c r="S245" s="169"/>
      <c r="U245" s="188"/>
    </row>
    <row r="246" spans="1:21" ht="25.5">
      <c r="A246" s="67" t="s">
        <v>5743</v>
      </c>
      <c r="B246" s="87" t="s">
        <v>5743</v>
      </c>
      <c r="C246" s="88" t="s">
        <v>11698</v>
      </c>
      <c r="D246" s="89"/>
      <c r="E246" s="90"/>
      <c r="F246" s="91" t="s">
        <v>11699</v>
      </c>
      <c r="G246" s="90"/>
      <c r="H246" s="90"/>
      <c r="I246" s="92"/>
      <c r="J246" s="93"/>
      <c r="K246" s="94"/>
      <c r="L246" s="149" t="str">
        <f>HYPERLINK("[#]DatatypeListedValues!B1849:H1849","Enumeration")</f>
        <v>Enumeration</v>
      </c>
      <c r="M246" s="107" t="b">
        <v>0</v>
      </c>
      <c r="N246" s="90"/>
      <c r="O246" s="95"/>
      <c r="P246" s="90"/>
      <c r="Q246" s="96"/>
      <c r="R246" s="97"/>
      <c r="S246" s="169"/>
      <c r="T246" s="300" t="str">
        <f>CONCATENATE([1]Cover!$D$6,"fdd/view?i=",S246)</f>
        <v>https://www.dgiwg.org/FAD/fdd/view?i=</v>
      </c>
      <c r="U246" s="188"/>
    </row>
    <row r="247" spans="1:21" ht="2.1" customHeight="1">
      <c r="A247" s="98"/>
      <c r="B247" s="87"/>
      <c r="C247" s="99"/>
      <c r="D247" s="87"/>
      <c r="E247" s="99"/>
      <c r="F247" s="100"/>
      <c r="G247" s="100"/>
      <c r="H247" s="100"/>
      <c r="I247" s="101"/>
      <c r="J247" s="106"/>
      <c r="K247" s="103"/>
      <c r="L247" s="104"/>
      <c r="M247" s="100"/>
      <c r="N247" s="100"/>
      <c r="O247" s="100"/>
      <c r="P247" s="100"/>
      <c r="Q247" s="105"/>
      <c r="R247" s="105"/>
      <c r="S247" s="169"/>
      <c r="U247" s="188"/>
    </row>
    <row r="248" spans="1:21" ht="25.5">
      <c r="A248" s="67" t="s">
        <v>5748</v>
      </c>
      <c r="B248" s="87" t="s">
        <v>5748</v>
      </c>
      <c r="C248" s="88" t="s">
        <v>11700</v>
      </c>
      <c r="D248" s="89"/>
      <c r="E248" s="90"/>
      <c r="F248" s="91" t="s">
        <v>11701</v>
      </c>
      <c r="G248" s="90"/>
      <c r="H248" s="90"/>
      <c r="I248" s="92"/>
      <c r="J248" s="93"/>
      <c r="K248" s="94"/>
      <c r="L248" s="149" t="str">
        <f>HYPERLINK("[#]DatatypeListedValues!B1880:H1880","Enumeration")</f>
        <v>Enumeration</v>
      </c>
      <c r="M248" s="91" t="b">
        <v>1</v>
      </c>
      <c r="N248" s="90"/>
      <c r="O248" s="95"/>
      <c r="P248" s="90"/>
      <c r="Q248" s="96"/>
      <c r="R248" s="97"/>
      <c r="S248" s="169"/>
      <c r="T248" s="300" t="str">
        <f>CONCATENATE([1]Cover!$D$6,"fdd/view?i=",S248)</f>
        <v>https://www.dgiwg.org/FAD/fdd/view?i=</v>
      </c>
      <c r="U248" s="188"/>
    </row>
    <row r="249" spans="1:21" ht="2.1" customHeight="1">
      <c r="A249" s="98"/>
      <c r="B249" s="87"/>
      <c r="C249" s="99"/>
      <c r="D249" s="87"/>
      <c r="E249" s="99"/>
      <c r="F249" s="100"/>
      <c r="G249" s="100"/>
      <c r="H249" s="100"/>
      <c r="I249" s="101"/>
      <c r="J249" s="106"/>
      <c r="K249" s="103"/>
      <c r="L249" s="104"/>
      <c r="M249" s="100"/>
      <c r="N249" s="100"/>
      <c r="O249" s="100"/>
      <c r="P249" s="100"/>
      <c r="Q249" s="105"/>
      <c r="R249" s="105"/>
      <c r="S249" s="169"/>
      <c r="U249" s="188"/>
    </row>
    <row r="250" spans="1:21" ht="25.5">
      <c r="A250" s="67" t="s">
        <v>5757</v>
      </c>
      <c r="B250" s="87" t="s">
        <v>5757</v>
      </c>
      <c r="C250" s="88" t="s">
        <v>11702</v>
      </c>
      <c r="D250" s="89"/>
      <c r="E250" s="90"/>
      <c r="F250" s="91" t="s">
        <v>11703</v>
      </c>
      <c r="G250" s="90"/>
      <c r="H250" s="90"/>
      <c r="I250" s="92"/>
      <c r="J250" s="93"/>
      <c r="K250" s="94"/>
      <c r="L250" s="149" t="str">
        <f>HYPERLINK("[#]DatatypeListedValues!B1884:H1884","Enumeration")</f>
        <v>Enumeration</v>
      </c>
      <c r="M250" s="107" t="b">
        <v>0</v>
      </c>
      <c r="N250" s="90"/>
      <c r="O250" s="95"/>
      <c r="P250" s="90"/>
      <c r="Q250" s="96"/>
      <c r="R250" s="97"/>
      <c r="S250" s="169"/>
      <c r="T250" s="300" t="str">
        <f>CONCATENATE([1]Cover!$D$6,"fdd/view?i=",S250)</f>
        <v>https://www.dgiwg.org/FAD/fdd/view?i=</v>
      </c>
      <c r="U250" s="188"/>
    </row>
    <row r="251" spans="1:21" ht="2.1" customHeight="1">
      <c r="A251" s="98"/>
      <c r="B251" s="87"/>
      <c r="C251" s="99"/>
      <c r="D251" s="87"/>
      <c r="E251" s="99"/>
      <c r="F251" s="100"/>
      <c r="G251" s="100"/>
      <c r="H251" s="100"/>
      <c r="I251" s="101"/>
      <c r="J251" s="106"/>
      <c r="K251" s="103"/>
      <c r="L251" s="104"/>
      <c r="M251" s="100"/>
      <c r="N251" s="100"/>
      <c r="O251" s="100"/>
      <c r="P251" s="100"/>
      <c r="Q251" s="105"/>
      <c r="R251" s="105"/>
      <c r="S251" s="169"/>
      <c r="U251" s="188"/>
    </row>
    <row r="252" spans="1:21">
      <c r="A252" s="67" t="s">
        <v>5762</v>
      </c>
      <c r="B252" s="87" t="s">
        <v>5762</v>
      </c>
      <c r="C252" s="88" t="s">
        <v>11704</v>
      </c>
      <c r="D252" s="89"/>
      <c r="E252" s="90"/>
      <c r="F252" s="91" t="s">
        <v>11705</v>
      </c>
      <c r="G252" s="90"/>
      <c r="H252" s="90"/>
      <c r="I252" s="92"/>
      <c r="J252" s="93"/>
      <c r="K252" s="94"/>
      <c r="L252" s="149" t="str">
        <f>HYPERLINK("[#]DatatypeListedValues!B1889:H1889","Enumeration")</f>
        <v>Enumeration</v>
      </c>
      <c r="M252" s="91" t="b">
        <v>1</v>
      </c>
      <c r="N252" s="90"/>
      <c r="O252" s="95"/>
      <c r="P252" s="90"/>
      <c r="Q252" s="96"/>
      <c r="R252" s="97"/>
      <c r="S252" s="169"/>
      <c r="T252" s="300" t="str">
        <f>CONCATENATE([1]Cover!$D$6,"fdd/view?i=",S252)</f>
        <v>https://www.dgiwg.org/FAD/fdd/view?i=</v>
      </c>
      <c r="U252" s="188"/>
    </row>
    <row r="253" spans="1:21" ht="2.1" customHeight="1">
      <c r="A253" s="98"/>
      <c r="B253" s="87"/>
      <c r="C253" s="99"/>
      <c r="D253" s="87"/>
      <c r="E253" s="99"/>
      <c r="F253" s="100"/>
      <c r="G253" s="100"/>
      <c r="H253" s="100"/>
      <c r="I253" s="101"/>
      <c r="J253" s="106"/>
      <c r="K253" s="103"/>
      <c r="L253" s="104"/>
      <c r="M253" s="100"/>
      <c r="N253" s="100"/>
      <c r="O253" s="100"/>
      <c r="P253" s="100"/>
      <c r="Q253" s="105"/>
      <c r="R253" s="105"/>
      <c r="S253" s="169"/>
      <c r="U253" s="188"/>
    </row>
    <row r="254" spans="1:21" ht="25.5">
      <c r="A254" s="67" t="s">
        <v>5767</v>
      </c>
      <c r="B254" s="87" t="s">
        <v>5767</v>
      </c>
      <c r="C254" s="88" t="s">
        <v>11706</v>
      </c>
      <c r="D254" s="89"/>
      <c r="E254" s="90"/>
      <c r="F254" s="91" t="s">
        <v>11707</v>
      </c>
      <c r="G254" s="90"/>
      <c r="H254" s="90"/>
      <c r="I254" s="92"/>
      <c r="J254" s="93"/>
      <c r="K254" s="94"/>
      <c r="L254" s="149" t="str">
        <f>HYPERLINK("[#]DatatypeListedValues!B1893:H1893","Enumeration")</f>
        <v>Enumeration</v>
      </c>
      <c r="M254" s="107" t="b">
        <v>0</v>
      </c>
      <c r="N254" s="90"/>
      <c r="O254" s="95"/>
      <c r="P254" s="90"/>
      <c r="Q254" s="96"/>
      <c r="R254" s="97"/>
      <c r="S254" s="169"/>
      <c r="T254" s="300" t="str">
        <f>CONCATENATE([1]Cover!$D$6,"fdd/view?i=",S254)</f>
        <v>https://www.dgiwg.org/FAD/fdd/view?i=</v>
      </c>
      <c r="U254" s="188"/>
    </row>
    <row r="255" spans="1:21" ht="2.1" customHeight="1">
      <c r="A255" s="98"/>
      <c r="B255" s="87"/>
      <c r="C255" s="99"/>
      <c r="D255" s="87"/>
      <c r="E255" s="99"/>
      <c r="F255" s="100"/>
      <c r="G255" s="100"/>
      <c r="H255" s="100"/>
      <c r="I255" s="101"/>
      <c r="J255" s="106"/>
      <c r="K255" s="103"/>
      <c r="L255" s="104"/>
      <c r="M255" s="100"/>
      <c r="N255" s="100"/>
      <c r="O255" s="100"/>
      <c r="P255" s="100"/>
      <c r="Q255" s="105"/>
      <c r="R255" s="105"/>
      <c r="S255" s="169"/>
      <c r="U255" s="188"/>
    </row>
    <row r="256" spans="1:21" ht="25.5">
      <c r="A256" s="67" t="s">
        <v>5772</v>
      </c>
      <c r="B256" s="87" t="s">
        <v>5772</v>
      </c>
      <c r="C256" s="88" t="s">
        <v>11708</v>
      </c>
      <c r="D256" s="89"/>
      <c r="E256" s="90"/>
      <c r="F256" s="91" t="s">
        <v>11709</v>
      </c>
      <c r="G256" s="90"/>
      <c r="H256" s="90"/>
      <c r="I256" s="92"/>
      <c r="J256" s="93"/>
      <c r="K256" s="94"/>
      <c r="L256" s="149" t="str">
        <f>HYPERLINK("[#]DatatypeListedValues!B1896:H1896","Enumeration")</f>
        <v>Enumeration</v>
      </c>
      <c r="M256" s="91" t="b">
        <v>1</v>
      </c>
      <c r="N256" s="90"/>
      <c r="O256" s="95"/>
      <c r="P256" s="90"/>
      <c r="Q256" s="96"/>
      <c r="R256" s="97"/>
      <c r="S256" s="169"/>
      <c r="T256" s="300" t="str">
        <f>CONCATENATE([1]Cover!$D$6,"fdd/view?i=",S256)</f>
        <v>https://www.dgiwg.org/FAD/fdd/view?i=</v>
      </c>
      <c r="U256" s="188"/>
    </row>
    <row r="257" spans="1:21" ht="2.1" customHeight="1">
      <c r="A257" s="98"/>
      <c r="B257" s="87"/>
      <c r="C257" s="99"/>
      <c r="D257" s="87"/>
      <c r="E257" s="99"/>
      <c r="F257" s="100"/>
      <c r="G257" s="100"/>
      <c r="H257" s="100"/>
      <c r="I257" s="101"/>
      <c r="J257" s="106"/>
      <c r="K257" s="103"/>
      <c r="L257" s="104"/>
      <c r="M257" s="100"/>
      <c r="N257" s="100"/>
      <c r="O257" s="100"/>
      <c r="P257" s="100"/>
      <c r="Q257" s="105"/>
      <c r="R257" s="105"/>
      <c r="S257" s="169"/>
      <c r="U257" s="188"/>
    </row>
    <row r="258" spans="1:21" ht="25.5">
      <c r="A258" s="67" t="s">
        <v>5777</v>
      </c>
      <c r="B258" s="87" t="s">
        <v>5777</v>
      </c>
      <c r="C258" s="88" t="s">
        <v>11710</v>
      </c>
      <c r="D258" s="89"/>
      <c r="E258" s="90"/>
      <c r="F258" s="91" t="s">
        <v>11711</v>
      </c>
      <c r="G258" s="90"/>
      <c r="H258" s="90"/>
      <c r="I258" s="92"/>
      <c r="J258" s="93"/>
      <c r="K258" s="94"/>
      <c r="L258" s="149" t="str">
        <f>HYPERLINK("[#]DatatypeListedValues!B1898:H1898","Enumeration")</f>
        <v>Enumeration</v>
      </c>
      <c r="M258" s="107" t="b">
        <v>0</v>
      </c>
      <c r="N258" s="90"/>
      <c r="O258" s="95"/>
      <c r="P258" s="90"/>
      <c r="Q258" s="96"/>
      <c r="R258" s="97"/>
      <c r="S258" s="169"/>
      <c r="T258" s="300" t="str">
        <f>CONCATENATE([1]Cover!$D$6,"fdd/view?i=",S258)</f>
        <v>https://www.dgiwg.org/FAD/fdd/view?i=</v>
      </c>
      <c r="U258" s="188"/>
    </row>
    <row r="259" spans="1:21" ht="2.1" customHeight="1">
      <c r="A259" s="98"/>
      <c r="B259" s="87"/>
      <c r="C259" s="99"/>
      <c r="D259" s="87"/>
      <c r="E259" s="99"/>
      <c r="F259" s="100"/>
      <c r="G259" s="100"/>
      <c r="H259" s="100"/>
      <c r="I259" s="101"/>
      <c r="J259" s="106"/>
      <c r="K259" s="103"/>
      <c r="L259" s="104"/>
      <c r="M259" s="100"/>
      <c r="N259" s="100"/>
      <c r="O259" s="100"/>
      <c r="P259" s="100"/>
      <c r="Q259" s="105"/>
      <c r="R259" s="105"/>
      <c r="S259" s="169"/>
      <c r="U259" s="188"/>
    </row>
    <row r="260" spans="1:21" ht="25.5">
      <c r="A260" s="67" t="s">
        <v>5788</v>
      </c>
      <c r="B260" s="87" t="s">
        <v>5788</v>
      </c>
      <c r="C260" s="88" t="s">
        <v>11712</v>
      </c>
      <c r="D260" s="89"/>
      <c r="E260" s="90"/>
      <c r="F260" s="91" t="s">
        <v>11713</v>
      </c>
      <c r="G260" s="90"/>
      <c r="H260" s="90"/>
      <c r="I260" s="92"/>
      <c r="J260" s="93"/>
      <c r="K260" s="94"/>
      <c r="L260" s="149" t="str">
        <f>HYPERLINK("[#]DatatypeListedValues!B1906:H1906","Enumeration")</f>
        <v>Enumeration</v>
      </c>
      <c r="M260" s="107" t="b">
        <v>0</v>
      </c>
      <c r="N260" s="90"/>
      <c r="O260" s="95"/>
      <c r="P260" s="90"/>
      <c r="Q260" s="96"/>
      <c r="R260" s="97"/>
      <c r="S260" s="169"/>
      <c r="T260" s="300" t="str">
        <f>CONCATENATE([1]Cover!$D$6,"fdd/view?i=",S260)</f>
        <v>https://www.dgiwg.org/FAD/fdd/view?i=</v>
      </c>
      <c r="U260" s="188"/>
    </row>
    <row r="261" spans="1:21" ht="2.1" customHeight="1">
      <c r="A261" s="98"/>
      <c r="B261" s="87"/>
      <c r="C261" s="99"/>
      <c r="D261" s="87"/>
      <c r="E261" s="99"/>
      <c r="F261" s="100"/>
      <c r="G261" s="100"/>
      <c r="H261" s="100"/>
      <c r="I261" s="101"/>
      <c r="J261" s="106"/>
      <c r="K261" s="103"/>
      <c r="L261" s="104"/>
      <c r="M261" s="100"/>
      <c r="N261" s="100"/>
      <c r="O261" s="100"/>
      <c r="P261" s="100"/>
      <c r="Q261" s="105"/>
      <c r="R261" s="105"/>
      <c r="S261" s="169"/>
      <c r="U261" s="188"/>
    </row>
    <row r="262" spans="1:21" ht="25.5">
      <c r="A262" s="67" t="s">
        <v>5798</v>
      </c>
      <c r="B262" s="87" t="s">
        <v>5798</v>
      </c>
      <c r="C262" s="88" t="s">
        <v>11714</v>
      </c>
      <c r="D262" s="89"/>
      <c r="E262" s="90"/>
      <c r="F262" s="91" t="s">
        <v>11715</v>
      </c>
      <c r="G262" s="90"/>
      <c r="H262" s="90"/>
      <c r="I262" s="92"/>
      <c r="J262" s="93"/>
      <c r="K262" s="94"/>
      <c r="L262" s="149" t="str">
        <f>HYPERLINK("[#]DatatypeListedValues!B1924:H1924","Enumeration")</f>
        <v>Enumeration</v>
      </c>
      <c r="M262" s="107" t="b">
        <v>0</v>
      </c>
      <c r="N262" s="90"/>
      <c r="O262" s="95"/>
      <c r="P262" s="90"/>
      <c r="Q262" s="96"/>
      <c r="R262" s="97"/>
      <c r="S262" s="169"/>
      <c r="T262" s="300" t="str">
        <f>CONCATENATE([1]Cover!$D$6,"fdd/view?i=",S262)</f>
        <v>https://www.dgiwg.org/FAD/fdd/view?i=</v>
      </c>
      <c r="U262" s="188"/>
    </row>
    <row r="263" spans="1:21" ht="2.1" customHeight="1">
      <c r="A263" s="98"/>
      <c r="B263" s="87"/>
      <c r="C263" s="99"/>
      <c r="D263" s="87"/>
      <c r="E263" s="99"/>
      <c r="F263" s="100"/>
      <c r="G263" s="100"/>
      <c r="H263" s="100"/>
      <c r="I263" s="101"/>
      <c r="J263" s="106"/>
      <c r="K263" s="103"/>
      <c r="L263" s="104"/>
      <c r="M263" s="100"/>
      <c r="N263" s="100"/>
      <c r="O263" s="100"/>
      <c r="P263" s="100"/>
      <c r="Q263" s="105"/>
      <c r="R263" s="105"/>
      <c r="S263" s="169"/>
      <c r="U263" s="188"/>
    </row>
    <row r="264" spans="1:21">
      <c r="A264" s="67" t="s">
        <v>5803</v>
      </c>
      <c r="B264" s="87" t="s">
        <v>5803</v>
      </c>
      <c r="C264" s="88" t="s">
        <v>11716</v>
      </c>
      <c r="D264" s="89"/>
      <c r="E264" s="90"/>
      <c r="F264" s="91" t="s">
        <v>11717</v>
      </c>
      <c r="G264" s="90"/>
      <c r="H264" s="90"/>
      <c r="I264" s="92"/>
      <c r="J264" s="93"/>
      <c r="K264" s="94"/>
      <c r="L264" s="149" t="str">
        <f>HYPERLINK("[#]DatatypeListedValues!B1941:H1941","Enumeration")</f>
        <v>Enumeration</v>
      </c>
      <c r="M264" s="107" t="b">
        <v>0</v>
      </c>
      <c r="N264" s="90"/>
      <c r="O264" s="95"/>
      <c r="P264" s="90"/>
      <c r="Q264" s="96"/>
      <c r="R264" s="97"/>
      <c r="S264" s="169"/>
      <c r="T264" s="300" t="str">
        <f>CONCATENATE([1]Cover!$D$6,"fdd/view?i=",S264)</f>
        <v>https://www.dgiwg.org/FAD/fdd/view?i=</v>
      </c>
      <c r="U264" s="188"/>
    </row>
    <row r="265" spans="1:21" ht="2.1" customHeight="1">
      <c r="A265" s="98"/>
      <c r="B265" s="87"/>
      <c r="C265" s="99"/>
      <c r="D265" s="87"/>
      <c r="E265" s="99"/>
      <c r="F265" s="100"/>
      <c r="G265" s="100"/>
      <c r="H265" s="100"/>
      <c r="I265" s="101"/>
      <c r="J265" s="106"/>
      <c r="K265" s="103"/>
      <c r="L265" s="104"/>
      <c r="M265" s="100"/>
      <c r="N265" s="100"/>
      <c r="O265" s="100"/>
      <c r="P265" s="100"/>
      <c r="Q265" s="105"/>
      <c r="R265" s="105"/>
      <c r="S265" s="169"/>
      <c r="U265" s="188"/>
    </row>
    <row r="266" spans="1:21" ht="25.5">
      <c r="A266" s="67" t="s">
        <v>5808</v>
      </c>
      <c r="B266" s="87" t="s">
        <v>5808</v>
      </c>
      <c r="C266" s="88" t="s">
        <v>11718</v>
      </c>
      <c r="D266" s="89"/>
      <c r="E266" s="90"/>
      <c r="F266" s="91" t="s">
        <v>11719</v>
      </c>
      <c r="G266" s="90"/>
      <c r="H266" s="90"/>
      <c r="I266" s="92"/>
      <c r="J266" s="93"/>
      <c r="K266" s="94"/>
      <c r="L266" s="149" t="str">
        <f>HYPERLINK("[#]DatatypeListedValues!B1963:H1963","Enumeration")</f>
        <v>Enumeration</v>
      </c>
      <c r="M266" s="91" t="b">
        <v>1</v>
      </c>
      <c r="N266" s="90"/>
      <c r="O266" s="95"/>
      <c r="P266" s="90"/>
      <c r="Q266" s="96"/>
      <c r="R266" s="97"/>
      <c r="S266" s="169"/>
      <c r="T266" s="300" t="str">
        <f>CONCATENATE([1]Cover!$D$6,"fdd/view?i=",S266)</f>
        <v>https://www.dgiwg.org/FAD/fdd/view?i=</v>
      </c>
      <c r="U266" s="188"/>
    </row>
    <row r="267" spans="1:21" ht="2.1" customHeight="1">
      <c r="A267" s="98"/>
      <c r="B267" s="87"/>
      <c r="C267" s="99"/>
      <c r="D267" s="87"/>
      <c r="E267" s="99"/>
      <c r="F267" s="100"/>
      <c r="G267" s="100"/>
      <c r="H267" s="100"/>
      <c r="I267" s="101"/>
      <c r="J267" s="106"/>
      <c r="K267" s="103"/>
      <c r="L267" s="104"/>
      <c r="M267" s="100"/>
      <c r="N267" s="100"/>
      <c r="O267" s="100"/>
      <c r="P267" s="100"/>
      <c r="Q267" s="105"/>
      <c r="R267" s="105"/>
      <c r="S267" s="169"/>
      <c r="U267" s="188"/>
    </row>
    <row r="268" spans="1:21">
      <c r="A268" s="67" t="s">
        <v>5813</v>
      </c>
      <c r="B268" s="87" t="s">
        <v>5813</v>
      </c>
      <c r="C268" s="88" t="s">
        <v>11720</v>
      </c>
      <c r="D268" s="89"/>
      <c r="E268" s="90"/>
      <c r="F268" s="91" t="s">
        <v>11721</v>
      </c>
      <c r="G268" s="90"/>
      <c r="H268" s="90"/>
      <c r="I268" s="92"/>
      <c r="J268" s="93"/>
      <c r="K268" s="94"/>
      <c r="L268" s="149" t="str">
        <f>HYPERLINK("[#]DatatypeListedValues!B1966:H1966","Enumeration")</f>
        <v>Enumeration</v>
      </c>
      <c r="M268" s="91" t="b">
        <v>1</v>
      </c>
      <c r="N268" s="90"/>
      <c r="O268" s="95"/>
      <c r="P268" s="90"/>
      <c r="Q268" s="96"/>
      <c r="R268" s="97"/>
      <c r="S268" s="169"/>
      <c r="T268" s="300" t="str">
        <f>CONCATENATE([1]Cover!$D$6,"fdd/view?i=",S268)</f>
        <v>https://www.dgiwg.org/FAD/fdd/view?i=</v>
      </c>
      <c r="U268" s="188"/>
    </row>
    <row r="269" spans="1:21" ht="2.1" customHeight="1">
      <c r="A269" s="98"/>
      <c r="B269" s="87"/>
      <c r="C269" s="99"/>
      <c r="D269" s="87"/>
      <c r="E269" s="99"/>
      <c r="F269" s="100"/>
      <c r="G269" s="100"/>
      <c r="H269" s="100"/>
      <c r="I269" s="101"/>
      <c r="J269" s="106"/>
      <c r="K269" s="103"/>
      <c r="L269" s="104"/>
      <c r="M269" s="100"/>
      <c r="N269" s="100"/>
      <c r="O269" s="100"/>
      <c r="P269" s="100"/>
      <c r="Q269" s="105"/>
      <c r="R269" s="105"/>
      <c r="S269" s="169"/>
      <c r="U269" s="188"/>
    </row>
    <row r="270" spans="1:21">
      <c r="A270" s="67" t="s">
        <v>5818</v>
      </c>
      <c r="B270" s="87" t="s">
        <v>5818</v>
      </c>
      <c r="C270" s="88" t="s">
        <v>11722</v>
      </c>
      <c r="D270" s="89"/>
      <c r="E270" s="90"/>
      <c r="F270" s="91" t="s">
        <v>11723</v>
      </c>
      <c r="G270" s="90"/>
      <c r="H270" s="90"/>
      <c r="I270" s="92"/>
      <c r="J270" s="93"/>
      <c r="K270" s="94"/>
      <c r="L270" s="149" t="str">
        <f>HYPERLINK("[#]DatatypeListedValues!B1975:H1975","Enumeration")</f>
        <v>Enumeration</v>
      </c>
      <c r="M270" s="107" t="b">
        <v>0</v>
      </c>
      <c r="N270" s="90"/>
      <c r="O270" s="95"/>
      <c r="P270" s="90"/>
      <c r="Q270" s="96"/>
      <c r="R270" s="97"/>
      <c r="S270" s="169"/>
      <c r="T270" s="300" t="str">
        <f>CONCATENATE([1]Cover!$D$6,"fdd/view?i=",S270)</f>
        <v>https://www.dgiwg.org/FAD/fdd/view?i=</v>
      </c>
      <c r="U270" s="188"/>
    </row>
    <row r="271" spans="1:21" ht="2.1" customHeight="1">
      <c r="A271" s="98"/>
      <c r="B271" s="87"/>
      <c r="C271" s="99"/>
      <c r="D271" s="87"/>
      <c r="E271" s="99"/>
      <c r="F271" s="100"/>
      <c r="G271" s="100"/>
      <c r="H271" s="100"/>
      <c r="I271" s="101"/>
      <c r="J271" s="106"/>
      <c r="K271" s="103"/>
      <c r="L271" s="104"/>
      <c r="M271" s="100"/>
      <c r="N271" s="100"/>
      <c r="O271" s="100"/>
      <c r="P271" s="100"/>
      <c r="Q271" s="105"/>
      <c r="R271" s="105"/>
      <c r="S271" s="169"/>
      <c r="U271" s="188"/>
    </row>
    <row r="272" spans="1:21">
      <c r="A272" s="67" t="s">
        <v>5823</v>
      </c>
      <c r="B272" s="87" t="s">
        <v>5823</v>
      </c>
      <c r="C272" s="88" t="s">
        <v>11724</v>
      </c>
      <c r="D272" s="89"/>
      <c r="E272" s="90"/>
      <c r="F272" s="91" t="s">
        <v>11725</v>
      </c>
      <c r="G272" s="90"/>
      <c r="H272" s="90"/>
      <c r="I272" s="92"/>
      <c r="J272" s="93"/>
      <c r="K272" s="94"/>
      <c r="L272" s="149" t="str">
        <f>HYPERLINK("[#]DatatypeListedValues!B2064:H2064","Enumeration")</f>
        <v>Enumeration</v>
      </c>
      <c r="M272" s="107" t="b">
        <v>0</v>
      </c>
      <c r="N272" s="90"/>
      <c r="O272" s="95"/>
      <c r="P272" s="90"/>
      <c r="Q272" s="96"/>
      <c r="R272" s="97"/>
      <c r="S272" s="169"/>
      <c r="T272" s="300" t="str">
        <f>CONCATENATE([1]Cover!$D$6,"fdd/view?i=",S272)</f>
        <v>https://www.dgiwg.org/FAD/fdd/view?i=</v>
      </c>
      <c r="U272" s="188"/>
    </row>
    <row r="273" spans="1:21" ht="2.1" customHeight="1">
      <c r="A273" s="98"/>
      <c r="B273" s="87"/>
      <c r="C273" s="99"/>
      <c r="D273" s="87"/>
      <c r="E273" s="99"/>
      <c r="F273" s="100"/>
      <c r="G273" s="100"/>
      <c r="H273" s="100"/>
      <c r="I273" s="101"/>
      <c r="J273" s="106"/>
      <c r="K273" s="103"/>
      <c r="L273" s="104"/>
      <c r="M273" s="100"/>
      <c r="N273" s="100"/>
      <c r="O273" s="100"/>
      <c r="P273" s="100"/>
      <c r="Q273" s="105"/>
      <c r="R273" s="105"/>
      <c r="S273" s="169"/>
      <c r="U273" s="188"/>
    </row>
    <row r="274" spans="1:21">
      <c r="A274" s="67" t="s">
        <v>5829</v>
      </c>
      <c r="B274" s="87" t="s">
        <v>5829</v>
      </c>
      <c r="C274" s="88" t="s">
        <v>11726</v>
      </c>
      <c r="D274" s="89"/>
      <c r="E274" s="90"/>
      <c r="F274" s="91" t="s">
        <v>11727</v>
      </c>
      <c r="G274" s="90"/>
      <c r="H274" s="90"/>
      <c r="I274" s="92"/>
      <c r="J274" s="93"/>
      <c r="K274" s="94"/>
      <c r="L274" s="149" t="str">
        <f>HYPERLINK("[#]DatatypeListedValues!B2070:H2070","Enumeration")</f>
        <v>Enumeration</v>
      </c>
      <c r="M274" s="91" t="b">
        <v>1</v>
      </c>
      <c r="N274" s="90"/>
      <c r="O274" s="95"/>
      <c r="P274" s="90"/>
      <c r="Q274" s="96"/>
      <c r="R274" s="97"/>
      <c r="S274" s="169"/>
      <c r="T274" s="300" t="str">
        <f>CONCATENATE([1]Cover!$D$6,"fdd/view?i=",S274)</f>
        <v>https://www.dgiwg.org/FAD/fdd/view?i=</v>
      </c>
      <c r="U274" s="188"/>
    </row>
    <row r="275" spans="1:21" ht="2.1" customHeight="1">
      <c r="A275" s="98"/>
      <c r="B275" s="87"/>
      <c r="C275" s="99"/>
      <c r="D275" s="87"/>
      <c r="E275" s="99"/>
      <c r="F275" s="100"/>
      <c r="G275" s="100"/>
      <c r="H275" s="100"/>
      <c r="I275" s="101"/>
      <c r="J275" s="106"/>
      <c r="K275" s="103"/>
      <c r="L275" s="104"/>
      <c r="M275" s="100"/>
      <c r="N275" s="100"/>
      <c r="O275" s="100"/>
      <c r="P275" s="100"/>
      <c r="Q275" s="105"/>
      <c r="R275" s="105"/>
      <c r="S275" s="169"/>
      <c r="U275" s="188"/>
    </row>
    <row r="276" spans="1:21">
      <c r="A276" s="67" t="s">
        <v>5835</v>
      </c>
      <c r="B276" s="87" t="s">
        <v>5835</v>
      </c>
      <c r="C276" s="88" t="s">
        <v>11728</v>
      </c>
      <c r="D276" s="89"/>
      <c r="E276" s="90"/>
      <c r="F276" s="91" t="s">
        <v>11729</v>
      </c>
      <c r="G276" s="90"/>
      <c r="H276" s="90"/>
      <c r="I276" s="92"/>
      <c r="J276" s="93"/>
      <c r="K276" s="94"/>
      <c r="L276" s="149" t="str">
        <f>HYPERLINK("[#]DatatypeListedValues!B2073:H2073","Enumeration")</f>
        <v>Enumeration</v>
      </c>
      <c r="M276" s="107" t="b">
        <v>0</v>
      </c>
      <c r="N276" s="90"/>
      <c r="O276" s="95"/>
      <c r="P276" s="90"/>
      <c r="Q276" s="96"/>
      <c r="R276" s="97"/>
      <c r="S276" s="169"/>
      <c r="T276" s="300" t="str">
        <f>CONCATENATE([1]Cover!$D$6,"fdd/view?i=",S276)</f>
        <v>https://www.dgiwg.org/FAD/fdd/view?i=</v>
      </c>
      <c r="U276" s="188"/>
    </row>
    <row r="277" spans="1:21" ht="2.1" customHeight="1">
      <c r="A277" s="98"/>
      <c r="B277" s="87"/>
      <c r="C277" s="99"/>
      <c r="D277" s="87"/>
      <c r="E277" s="99"/>
      <c r="F277" s="100"/>
      <c r="G277" s="100"/>
      <c r="H277" s="100"/>
      <c r="I277" s="101"/>
      <c r="J277" s="106"/>
      <c r="K277" s="103"/>
      <c r="L277" s="104"/>
      <c r="M277" s="100"/>
      <c r="N277" s="100"/>
      <c r="O277" s="100"/>
      <c r="P277" s="100"/>
      <c r="Q277" s="105"/>
      <c r="R277" s="105"/>
      <c r="S277" s="169"/>
      <c r="U277" s="188"/>
    </row>
    <row r="278" spans="1:21" ht="25.5">
      <c r="A278" s="67" t="s">
        <v>5840</v>
      </c>
      <c r="B278" s="87" t="s">
        <v>5840</v>
      </c>
      <c r="C278" s="88" t="s">
        <v>11730</v>
      </c>
      <c r="D278" s="89"/>
      <c r="E278" s="90"/>
      <c r="F278" s="91" t="s">
        <v>11731</v>
      </c>
      <c r="G278" s="90"/>
      <c r="H278" s="90"/>
      <c r="I278" s="92"/>
      <c r="J278" s="93"/>
      <c r="K278" s="94"/>
      <c r="L278" s="149" t="str">
        <f>HYPERLINK("[#]DatatypeListedValues!B2083:H2083","Enumeration")</f>
        <v>Enumeration</v>
      </c>
      <c r="M278" s="107" t="b">
        <v>0</v>
      </c>
      <c r="N278" s="90"/>
      <c r="O278" s="95"/>
      <c r="P278" s="90"/>
      <c r="Q278" s="96"/>
      <c r="R278" s="97"/>
      <c r="S278" s="169"/>
      <c r="T278" s="300" t="str">
        <f>CONCATENATE([1]Cover!$D$6,"fdd/view?i=",S278)</f>
        <v>https://www.dgiwg.org/FAD/fdd/view?i=</v>
      </c>
      <c r="U278" s="188"/>
    </row>
    <row r="279" spans="1:21" ht="2.1" customHeight="1">
      <c r="A279" s="98"/>
      <c r="B279" s="87"/>
      <c r="C279" s="99"/>
      <c r="D279" s="87"/>
      <c r="E279" s="99"/>
      <c r="F279" s="100"/>
      <c r="G279" s="100"/>
      <c r="H279" s="100"/>
      <c r="I279" s="101"/>
      <c r="J279" s="106"/>
      <c r="K279" s="103"/>
      <c r="L279" s="104"/>
      <c r="M279" s="100"/>
      <c r="N279" s="100"/>
      <c r="O279" s="100"/>
      <c r="P279" s="100"/>
      <c r="Q279" s="105"/>
      <c r="R279" s="105"/>
      <c r="S279" s="169"/>
      <c r="U279" s="188"/>
    </row>
    <row r="280" spans="1:21">
      <c r="A280" s="67" t="s">
        <v>5845</v>
      </c>
      <c r="B280" s="87" t="s">
        <v>5845</v>
      </c>
      <c r="C280" s="88" t="s">
        <v>11732</v>
      </c>
      <c r="D280" s="89"/>
      <c r="E280" s="90"/>
      <c r="F280" s="91" t="s">
        <v>11733</v>
      </c>
      <c r="G280" s="90"/>
      <c r="H280" s="90"/>
      <c r="I280" s="92"/>
      <c r="J280" s="93"/>
      <c r="K280" s="94"/>
      <c r="L280" s="149" t="str">
        <f>HYPERLINK("[#]DatatypeListedValues!B2086:H2086","Enumeration")</f>
        <v>Enumeration</v>
      </c>
      <c r="M280" s="107" t="b">
        <v>0</v>
      </c>
      <c r="N280" s="90"/>
      <c r="O280" s="95"/>
      <c r="P280" s="90"/>
      <c r="Q280" s="96"/>
      <c r="R280" s="97"/>
      <c r="S280" s="169"/>
      <c r="T280" s="300" t="str">
        <f>CONCATENATE([1]Cover!$D$6,"fdd/view?i=",S280)</f>
        <v>https://www.dgiwg.org/FAD/fdd/view?i=</v>
      </c>
      <c r="U280" s="188"/>
    </row>
    <row r="281" spans="1:21" ht="2.1" customHeight="1">
      <c r="A281" s="98"/>
      <c r="B281" s="87"/>
      <c r="C281" s="99"/>
      <c r="D281" s="87"/>
      <c r="E281" s="99"/>
      <c r="F281" s="100"/>
      <c r="G281" s="100"/>
      <c r="H281" s="100"/>
      <c r="I281" s="101"/>
      <c r="J281" s="106"/>
      <c r="K281" s="103"/>
      <c r="L281" s="104"/>
      <c r="M281" s="100"/>
      <c r="N281" s="100"/>
      <c r="O281" s="100"/>
      <c r="P281" s="100"/>
      <c r="Q281" s="105"/>
      <c r="R281" s="105"/>
      <c r="S281" s="169"/>
      <c r="U281" s="188"/>
    </row>
    <row r="282" spans="1:21">
      <c r="A282" s="67" t="s">
        <v>5850</v>
      </c>
      <c r="B282" s="87" t="s">
        <v>5850</v>
      </c>
      <c r="C282" s="88" t="s">
        <v>11734</v>
      </c>
      <c r="D282" s="89"/>
      <c r="E282" s="90"/>
      <c r="F282" s="91" t="s">
        <v>11735</v>
      </c>
      <c r="G282" s="90"/>
      <c r="H282" s="90"/>
      <c r="I282" s="92"/>
      <c r="J282" s="93"/>
      <c r="K282" s="94"/>
      <c r="L282" s="149" t="str">
        <f>HYPERLINK("[#]DatatypeListedValues!B2100:H2100","Enumeration")</f>
        <v>Enumeration</v>
      </c>
      <c r="M282" s="107" t="b">
        <v>0</v>
      </c>
      <c r="N282" s="90"/>
      <c r="O282" s="95"/>
      <c r="P282" s="90"/>
      <c r="Q282" s="96"/>
      <c r="R282" s="97"/>
      <c r="S282" s="169"/>
      <c r="T282" s="300" t="str">
        <f>CONCATENATE([1]Cover!$D$6,"fdd/view?i=",S282)</f>
        <v>https://www.dgiwg.org/FAD/fdd/view?i=</v>
      </c>
      <c r="U282" s="188"/>
    </row>
    <row r="283" spans="1:21" ht="2.1" customHeight="1">
      <c r="A283" s="98"/>
      <c r="B283" s="87"/>
      <c r="C283" s="99"/>
      <c r="D283" s="87"/>
      <c r="E283" s="99"/>
      <c r="F283" s="100"/>
      <c r="G283" s="100"/>
      <c r="H283" s="100"/>
      <c r="I283" s="101"/>
      <c r="J283" s="106"/>
      <c r="K283" s="103"/>
      <c r="L283" s="104"/>
      <c r="M283" s="100"/>
      <c r="N283" s="100"/>
      <c r="O283" s="100"/>
      <c r="P283" s="100"/>
      <c r="Q283" s="105"/>
      <c r="R283" s="105"/>
      <c r="S283" s="169"/>
      <c r="U283" s="188"/>
    </row>
    <row r="284" spans="1:21" ht="25.5">
      <c r="A284" s="67" t="s">
        <v>5869</v>
      </c>
      <c r="B284" s="87" t="s">
        <v>5869</v>
      </c>
      <c r="C284" s="88" t="s">
        <v>11736</v>
      </c>
      <c r="D284" s="89"/>
      <c r="E284" s="90"/>
      <c r="F284" s="91" t="s">
        <v>11737</v>
      </c>
      <c r="G284" s="90"/>
      <c r="H284" s="90"/>
      <c r="I284" s="92"/>
      <c r="J284" s="93"/>
      <c r="K284" s="94"/>
      <c r="L284" s="149" t="str">
        <f>HYPERLINK("[#]DatatypeListedValues!B2107:H2107","Enumeration")</f>
        <v>Enumeration</v>
      </c>
      <c r="M284" s="107" t="b">
        <v>0</v>
      </c>
      <c r="N284" s="90"/>
      <c r="O284" s="95"/>
      <c r="P284" s="90"/>
      <c r="Q284" s="96"/>
      <c r="R284" s="97"/>
      <c r="S284" s="169"/>
      <c r="T284" s="300" t="str">
        <f>CONCATENATE([1]Cover!$D$6,"fdd/view?i=",S284)</f>
        <v>https://www.dgiwg.org/FAD/fdd/view?i=</v>
      </c>
      <c r="U284" s="188"/>
    </row>
    <row r="285" spans="1:21" ht="2.1" customHeight="1">
      <c r="A285" s="98"/>
      <c r="B285" s="87"/>
      <c r="C285" s="99"/>
      <c r="D285" s="87"/>
      <c r="E285" s="99"/>
      <c r="F285" s="100"/>
      <c r="G285" s="100"/>
      <c r="H285" s="100"/>
      <c r="I285" s="101"/>
      <c r="J285" s="106"/>
      <c r="K285" s="103"/>
      <c r="L285" s="104"/>
      <c r="M285" s="100"/>
      <c r="N285" s="100"/>
      <c r="O285" s="100"/>
      <c r="P285" s="100"/>
      <c r="Q285" s="105"/>
      <c r="R285" s="105"/>
      <c r="S285" s="169"/>
      <c r="U285" s="188"/>
    </row>
    <row r="286" spans="1:21" ht="25.5">
      <c r="A286" s="67" t="s">
        <v>5875</v>
      </c>
      <c r="B286" s="87" t="s">
        <v>5875</v>
      </c>
      <c r="C286" s="88" t="s">
        <v>11738</v>
      </c>
      <c r="D286" s="89"/>
      <c r="E286" s="90"/>
      <c r="F286" s="91" t="s">
        <v>11739</v>
      </c>
      <c r="G286" s="90"/>
      <c r="H286" s="90"/>
      <c r="I286" s="92"/>
      <c r="J286" s="93"/>
      <c r="K286" s="94"/>
      <c r="L286" s="149" t="str">
        <f>HYPERLINK("[#]DatatypeListedValues!B2121:H2121","Enumeration")</f>
        <v>Enumeration</v>
      </c>
      <c r="M286" s="107" t="b">
        <v>0</v>
      </c>
      <c r="N286" s="90"/>
      <c r="O286" s="95"/>
      <c r="P286" s="90"/>
      <c r="Q286" s="96"/>
      <c r="R286" s="97"/>
      <c r="S286" s="169"/>
      <c r="T286" s="300" t="str">
        <f>CONCATENATE([1]Cover!$D$6,"fdd/view?i=",S286)</f>
        <v>https://www.dgiwg.org/FAD/fdd/view?i=</v>
      </c>
      <c r="U286" s="188"/>
    </row>
    <row r="287" spans="1:21" ht="2.1" customHeight="1">
      <c r="A287" s="98"/>
      <c r="B287" s="87"/>
      <c r="C287" s="99"/>
      <c r="D287" s="87"/>
      <c r="E287" s="99"/>
      <c r="F287" s="100"/>
      <c r="G287" s="100"/>
      <c r="H287" s="100"/>
      <c r="I287" s="101"/>
      <c r="J287" s="106"/>
      <c r="K287" s="103"/>
      <c r="L287" s="104"/>
      <c r="M287" s="100"/>
      <c r="N287" s="100"/>
      <c r="O287" s="100"/>
      <c r="P287" s="100"/>
      <c r="Q287" s="105"/>
      <c r="R287" s="105"/>
      <c r="S287" s="169"/>
      <c r="U287" s="188"/>
    </row>
    <row r="288" spans="1:21">
      <c r="A288" s="67" t="s">
        <v>5891</v>
      </c>
      <c r="B288" s="87" t="s">
        <v>5891</v>
      </c>
      <c r="C288" s="88" t="s">
        <v>11740</v>
      </c>
      <c r="D288" s="89"/>
      <c r="E288" s="90"/>
      <c r="F288" s="91" t="s">
        <v>11741</v>
      </c>
      <c r="G288" s="90"/>
      <c r="H288" s="90"/>
      <c r="I288" s="92"/>
      <c r="J288" s="93"/>
      <c r="K288" s="94"/>
      <c r="L288" s="149" t="str">
        <f>HYPERLINK("[#]DatatypeListedValues!B2123:H2123","Enumeration")</f>
        <v>Enumeration</v>
      </c>
      <c r="M288" s="107" t="b">
        <v>0</v>
      </c>
      <c r="N288" s="90"/>
      <c r="O288" s="95"/>
      <c r="P288" s="90"/>
      <c r="Q288" s="96"/>
      <c r="R288" s="97"/>
      <c r="S288" s="169"/>
      <c r="T288" s="300" t="str">
        <f>CONCATENATE([1]Cover!$D$6,"fdd/view?i=",S288)</f>
        <v>https://www.dgiwg.org/FAD/fdd/view?i=</v>
      </c>
      <c r="U288" s="188"/>
    </row>
    <row r="289" spans="1:21" ht="2.1" customHeight="1">
      <c r="A289" s="98"/>
      <c r="B289" s="87"/>
      <c r="C289" s="99"/>
      <c r="D289" s="87"/>
      <c r="E289" s="99"/>
      <c r="F289" s="100"/>
      <c r="G289" s="100"/>
      <c r="H289" s="100"/>
      <c r="I289" s="101"/>
      <c r="J289" s="106"/>
      <c r="K289" s="103"/>
      <c r="L289" s="104"/>
      <c r="M289" s="100"/>
      <c r="N289" s="100"/>
      <c r="O289" s="100"/>
      <c r="P289" s="100"/>
      <c r="Q289" s="105"/>
      <c r="R289" s="105"/>
      <c r="S289" s="169"/>
      <c r="U289" s="188"/>
    </row>
    <row r="290" spans="1:21" ht="38.25">
      <c r="A290" s="67" t="s">
        <v>5903</v>
      </c>
      <c r="B290" s="87" t="s">
        <v>5903</v>
      </c>
      <c r="C290" s="88" t="s">
        <v>11742</v>
      </c>
      <c r="D290" s="89"/>
      <c r="E290" s="90"/>
      <c r="F290" s="91" t="s">
        <v>11743</v>
      </c>
      <c r="G290" s="90"/>
      <c r="H290" s="91" t="s">
        <v>11744</v>
      </c>
      <c r="I290" s="92"/>
      <c r="J290" s="93"/>
      <c r="K290" s="94"/>
      <c r="L290" s="153" t="s">
        <v>11414</v>
      </c>
      <c r="M290" s="91" t="b">
        <v>1</v>
      </c>
      <c r="N290" s="91">
        <v>30</v>
      </c>
      <c r="O290" s="95"/>
      <c r="P290" s="91" t="s">
        <v>11745</v>
      </c>
      <c r="Q290" s="96"/>
      <c r="R290" s="97"/>
      <c r="S290" s="169"/>
      <c r="T290" s="300" t="str">
        <f>CONCATENATE([1]Cover!$D$6,"fdd/view?i=",S290)</f>
        <v>https://www.dgiwg.org/FAD/fdd/view?i=</v>
      </c>
      <c r="U290" s="188"/>
    </row>
    <row r="291" spans="1:21" ht="2.1" customHeight="1">
      <c r="A291" s="98"/>
      <c r="B291" s="87"/>
      <c r="C291" s="99"/>
      <c r="D291" s="87"/>
      <c r="E291" s="99"/>
      <c r="F291" s="100"/>
      <c r="G291" s="100"/>
      <c r="H291" s="100"/>
      <c r="I291" s="101"/>
      <c r="J291" s="106"/>
      <c r="K291" s="103"/>
      <c r="L291" s="104"/>
      <c r="M291" s="100"/>
      <c r="N291" s="100"/>
      <c r="O291" s="100"/>
      <c r="P291" s="100"/>
      <c r="Q291" s="105"/>
      <c r="R291" s="105"/>
      <c r="S291" s="169"/>
      <c r="U291" s="188"/>
    </row>
    <row r="292" spans="1:21">
      <c r="A292" s="67" t="s">
        <v>5922</v>
      </c>
      <c r="B292" s="87" t="s">
        <v>5922</v>
      </c>
      <c r="C292" s="88" t="s">
        <v>11746</v>
      </c>
      <c r="D292" s="89"/>
      <c r="E292" s="90"/>
      <c r="F292" s="91" t="s">
        <v>11747</v>
      </c>
      <c r="G292" s="90"/>
      <c r="H292" s="90"/>
      <c r="I292" s="92"/>
      <c r="J292" s="93"/>
      <c r="K292" s="94"/>
      <c r="L292" s="149" t="str">
        <f>HYPERLINK("[#]DatatypeListedValues!B2130:H2130","Enumeration")</f>
        <v>Enumeration</v>
      </c>
      <c r="M292" s="107" t="b">
        <v>0</v>
      </c>
      <c r="N292" s="90"/>
      <c r="O292" s="95"/>
      <c r="P292" s="90"/>
      <c r="Q292" s="96"/>
      <c r="R292" s="97"/>
      <c r="S292" s="169"/>
      <c r="T292" s="300" t="str">
        <f>CONCATENATE([1]Cover!$D$6,"fdd/view?i=",S292)</f>
        <v>https://www.dgiwg.org/FAD/fdd/view?i=</v>
      </c>
      <c r="U292" s="188"/>
    </row>
    <row r="293" spans="1:21" ht="2.1" customHeight="1">
      <c r="A293" s="98"/>
      <c r="B293" s="87"/>
      <c r="C293" s="99"/>
      <c r="D293" s="87"/>
      <c r="E293" s="99"/>
      <c r="F293" s="100"/>
      <c r="G293" s="100"/>
      <c r="H293" s="100"/>
      <c r="I293" s="101"/>
      <c r="J293" s="106"/>
      <c r="K293" s="103"/>
      <c r="L293" s="104"/>
      <c r="M293" s="100"/>
      <c r="N293" s="100"/>
      <c r="O293" s="100"/>
      <c r="P293" s="100"/>
      <c r="Q293" s="105"/>
      <c r="R293" s="105"/>
      <c r="S293" s="169"/>
      <c r="U293" s="188"/>
    </row>
    <row r="294" spans="1:21" ht="38.25">
      <c r="A294" s="67" t="s">
        <v>5928</v>
      </c>
      <c r="B294" s="87" t="s">
        <v>5928</v>
      </c>
      <c r="C294" s="88" t="s">
        <v>11748</v>
      </c>
      <c r="D294" s="89"/>
      <c r="E294" s="90"/>
      <c r="F294" s="91" t="s">
        <v>11749</v>
      </c>
      <c r="G294" s="90"/>
      <c r="H294" s="91" t="s">
        <v>11426</v>
      </c>
      <c r="I294" s="92"/>
      <c r="J294" s="93"/>
      <c r="K294" s="94"/>
      <c r="L294" s="91" t="s">
        <v>11425</v>
      </c>
      <c r="M294" s="90"/>
      <c r="N294" s="91">
        <v>80</v>
      </c>
      <c r="O294" s="108" t="b">
        <v>0</v>
      </c>
      <c r="P294" s="91" t="s">
        <v>11750</v>
      </c>
      <c r="Q294" s="96"/>
      <c r="R294" s="97"/>
      <c r="S294" s="169"/>
      <c r="T294" s="300" t="str">
        <f>CONCATENATE([1]Cover!$D$6,"fdd/view?i=",S294)</f>
        <v>https://www.dgiwg.org/FAD/fdd/view?i=</v>
      </c>
      <c r="U294" s="188"/>
    </row>
    <row r="295" spans="1:21" ht="2.1" customHeight="1">
      <c r="A295" s="98"/>
      <c r="B295" s="87"/>
      <c r="C295" s="99"/>
      <c r="D295" s="87"/>
      <c r="E295" s="99"/>
      <c r="F295" s="100"/>
      <c r="G295" s="100"/>
      <c r="H295" s="100"/>
      <c r="I295" s="101"/>
      <c r="J295" s="106"/>
      <c r="K295" s="103"/>
      <c r="L295" s="104"/>
      <c r="M295" s="100"/>
      <c r="N295" s="100"/>
      <c r="O295" s="100"/>
      <c r="P295" s="100"/>
      <c r="Q295" s="105"/>
      <c r="R295" s="105"/>
      <c r="S295" s="169"/>
      <c r="U295" s="188"/>
    </row>
    <row r="296" spans="1:21" ht="38.25">
      <c r="A296" s="67" t="s">
        <v>5933</v>
      </c>
      <c r="B296" s="87" t="s">
        <v>5933</v>
      </c>
      <c r="C296" s="88" t="s">
        <v>11751</v>
      </c>
      <c r="D296" s="89"/>
      <c r="E296" s="90"/>
      <c r="F296" s="91" t="s">
        <v>11752</v>
      </c>
      <c r="G296" s="90"/>
      <c r="H296" s="91" t="s">
        <v>11744</v>
      </c>
      <c r="I296" s="92"/>
      <c r="J296" s="93"/>
      <c r="K296" s="94"/>
      <c r="L296" s="153" t="s">
        <v>11414</v>
      </c>
      <c r="M296" s="91" t="b">
        <v>1</v>
      </c>
      <c r="N296" s="90"/>
      <c r="O296" s="95"/>
      <c r="P296" s="91" t="s">
        <v>11753</v>
      </c>
      <c r="Q296" s="96"/>
      <c r="R296" s="97"/>
      <c r="S296" s="169"/>
      <c r="T296" s="300" t="str">
        <f>CONCATENATE([1]Cover!$D$6,"fdd/view?i=",S296)</f>
        <v>https://www.dgiwg.org/FAD/fdd/view?i=</v>
      </c>
      <c r="U296" s="188"/>
    </row>
    <row r="297" spans="1:21" ht="2.1" customHeight="1">
      <c r="A297" s="98"/>
      <c r="B297" s="87"/>
      <c r="C297" s="99"/>
      <c r="D297" s="87"/>
      <c r="E297" s="99"/>
      <c r="F297" s="100"/>
      <c r="G297" s="100"/>
      <c r="H297" s="100"/>
      <c r="I297" s="101"/>
      <c r="J297" s="106"/>
      <c r="K297" s="103"/>
      <c r="L297" s="104"/>
      <c r="M297" s="100"/>
      <c r="N297" s="100"/>
      <c r="O297" s="100"/>
      <c r="P297" s="100"/>
      <c r="Q297" s="105"/>
      <c r="R297" s="105"/>
      <c r="S297" s="169"/>
      <c r="U297" s="188"/>
    </row>
    <row r="298" spans="1:21" ht="38.25">
      <c r="A298" s="67" t="s">
        <v>5950</v>
      </c>
      <c r="B298" s="87" t="s">
        <v>5950</v>
      </c>
      <c r="C298" s="88" t="s">
        <v>11754</v>
      </c>
      <c r="D298" s="89"/>
      <c r="E298" s="90"/>
      <c r="F298" s="91" t="s">
        <v>11755</v>
      </c>
      <c r="G298" s="90"/>
      <c r="H298" s="91" t="s">
        <v>11426</v>
      </c>
      <c r="I298" s="92"/>
      <c r="J298" s="93"/>
      <c r="K298" s="94"/>
      <c r="L298" s="91" t="s">
        <v>11425</v>
      </c>
      <c r="M298" s="90"/>
      <c r="N298" s="91">
        <v>10</v>
      </c>
      <c r="O298" s="108" t="b">
        <v>0</v>
      </c>
      <c r="P298" s="91" t="s">
        <v>11756</v>
      </c>
      <c r="Q298" s="96"/>
      <c r="R298" s="97"/>
      <c r="S298" s="169"/>
      <c r="T298" s="300" t="str">
        <f>CONCATENATE([1]Cover!$D$6,"fdd/view?i=",S298)</f>
        <v>https://www.dgiwg.org/FAD/fdd/view?i=</v>
      </c>
      <c r="U298" s="188"/>
    </row>
    <row r="299" spans="1:21" ht="2.1" customHeight="1">
      <c r="A299" s="98"/>
      <c r="B299" s="87"/>
      <c r="C299" s="99"/>
      <c r="D299" s="87"/>
      <c r="E299" s="99"/>
      <c r="F299" s="100"/>
      <c r="G299" s="100"/>
      <c r="H299" s="100"/>
      <c r="I299" s="101"/>
      <c r="J299" s="106"/>
      <c r="K299" s="103"/>
      <c r="L299" s="104"/>
      <c r="M299" s="100"/>
      <c r="N299" s="100"/>
      <c r="O299" s="100"/>
      <c r="P299" s="100"/>
      <c r="Q299" s="105"/>
      <c r="R299" s="105"/>
      <c r="S299" s="169"/>
      <c r="U299" s="188"/>
    </row>
    <row r="300" spans="1:21">
      <c r="A300" s="63" t="s">
        <v>6420</v>
      </c>
      <c r="B300" s="329" t="s">
        <v>6420</v>
      </c>
      <c r="C300" s="326" t="s">
        <v>11757</v>
      </c>
      <c r="D300" s="109"/>
      <c r="E300" s="110"/>
      <c r="F300" s="111" t="s">
        <v>11758</v>
      </c>
      <c r="G300" s="110"/>
      <c r="H300" s="110"/>
      <c r="I300" s="112"/>
      <c r="J300" s="113"/>
      <c r="K300" s="114"/>
      <c r="L300" s="115" t="s">
        <v>11429</v>
      </c>
      <c r="M300" s="110"/>
      <c r="N300" s="110"/>
      <c r="O300" s="116"/>
      <c r="P300" s="110"/>
      <c r="Q300" s="117"/>
      <c r="R300" s="118"/>
      <c r="S300" s="169"/>
      <c r="T300" s="300" t="str">
        <f>CONCATENATE([1]Cover!$D$6,"fdd/view?i=",S300)</f>
        <v>https://www.dgiwg.org/FAD/fdd/view?i=</v>
      </c>
      <c r="U300" s="188"/>
    </row>
    <row r="301" spans="1:21">
      <c r="A301" s="64" t="s">
        <v>33687</v>
      </c>
      <c r="B301" s="330"/>
      <c r="C301" s="327"/>
      <c r="D301" s="132" t="s">
        <v>11759</v>
      </c>
      <c r="E301" s="138" t="s">
        <v>11760</v>
      </c>
      <c r="F301" s="70" t="s">
        <v>11761</v>
      </c>
      <c r="G301" s="70" t="s">
        <v>11762</v>
      </c>
      <c r="H301" s="68"/>
      <c r="I301" s="133" t="s">
        <v>4643</v>
      </c>
      <c r="J301" s="142"/>
      <c r="K301" s="135" t="s">
        <v>6543</v>
      </c>
      <c r="L301" s="150" t="str">
        <f>HYPERLINK("[#]Datatypes!B1396:L1396","Text")</f>
        <v>Text</v>
      </c>
      <c r="M301" s="122"/>
      <c r="N301" s="122"/>
      <c r="O301" s="122"/>
      <c r="P301" s="122"/>
      <c r="Q301" s="123"/>
      <c r="R301" s="124"/>
      <c r="S301" s="169"/>
      <c r="U301" s="188"/>
    </row>
    <row r="302" spans="1:21" ht="25.5">
      <c r="A302" s="64" t="s">
        <v>33688</v>
      </c>
      <c r="B302" s="330"/>
      <c r="C302" s="327"/>
      <c r="D302" s="136" t="s">
        <v>11763</v>
      </c>
      <c r="E302" s="139" t="s">
        <v>11764</v>
      </c>
      <c r="F302" s="8" t="s">
        <v>11765</v>
      </c>
      <c r="G302" s="8" t="s">
        <v>11766</v>
      </c>
      <c r="H302" s="54"/>
      <c r="I302" s="119" t="s">
        <v>4643</v>
      </c>
      <c r="J302" s="120" t="s">
        <v>11451</v>
      </c>
      <c r="K302" s="121" t="s">
        <v>6543</v>
      </c>
      <c r="L302" s="151" t="str">
        <f>HYPERLINK("[#]Datatypes!B1396:L1396","Text")</f>
        <v>Text</v>
      </c>
      <c r="M302" s="122"/>
      <c r="N302" s="122"/>
      <c r="O302" s="122"/>
      <c r="P302" s="122"/>
      <c r="Q302" s="123"/>
      <c r="R302" s="124"/>
      <c r="S302" s="169"/>
      <c r="T302" s="300" t="str">
        <f>CONCATENATE([1]Cover!$D$6,"fdd/view?i=",S302)</f>
        <v>https://www.dgiwg.org/FAD/fdd/view?i=</v>
      </c>
      <c r="U302" s="188"/>
    </row>
    <row r="303" spans="1:21">
      <c r="A303" s="64" t="s">
        <v>33689</v>
      </c>
      <c r="B303" s="330"/>
      <c r="C303" s="327"/>
      <c r="D303" s="136" t="s">
        <v>11767</v>
      </c>
      <c r="E303" s="139" t="s">
        <v>11768</v>
      </c>
      <c r="F303" s="8" t="s">
        <v>11769</v>
      </c>
      <c r="G303" s="8" t="s">
        <v>11770</v>
      </c>
      <c r="H303" s="54"/>
      <c r="I303" s="119" t="s">
        <v>4643</v>
      </c>
      <c r="J303" s="120" t="s">
        <v>11451</v>
      </c>
      <c r="K303" s="121" t="s">
        <v>11771</v>
      </c>
      <c r="L303" s="151" t="str">
        <f>HYPERLINK("[#]Datatypes!B432:L432","Date and Type")</f>
        <v>Date and Type</v>
      </c>
      <c r="M303" s="122"/>
      <c r="N303" s="122"/>
      <c r="O303" s="122"/>
      <c r="P303" s="122"/>
      <c r="Q303" s="123"/>
      <c r="R303" s="124"/>
      <c r="S303" s="169"/>
      <c r="U303" s="188"/>
    </row>
    <row r="304" spans="1:21">
      <c r="A304" s="64" t="s">
        <v>33690</v>
      </c>
      <c r="B304" s="330"/>
      <c r="C304" s="327"/>
      <c r="D304" s="136" t="s">
        <v>11773</v>
      </c>
      <c r="E304" s="139" t="s">
        <v>11774</v>
      </c>
      <c r="F304" s="8" t="s">
        <v>11775</v>
      </c>
      <c r="G304" s="54"/>
      <c r="H304" s="54"/>
      <c r="I304" s="119" t="s">
        <v>11438</v>
      </c>
      <c r="J304" s="125"/>
      <c r="K304" s="121" t="s">
        <v>6543</v>
      </c>
      <c r="L304" s="151" t="str">
        <f>HYPERLINK("[#]Datatypes!B1396:L1396","Text")</f>
        <v>Text</v>
      </c>
      <c r="M304" s="122"/>
      <c r="N304" s="122"/>
      <c r="O304" s="122"/>
      <c r="P304" s="122"/>
      <c r="Q304" s="123"/>
      <c r="R304" s="124"/>
      <c r="S304" s="169"/>
      <c r="T304" s="300" t="str">
        <f>CONCATENATE([1]Cover!$D$6,"fdd/view?i=",S304)</f>
        <v>https://www.dgiwg.org/FAD/fdd/view?i=</v>
      </c>
      <c r="U304" s="188"/>
    </row>
    <row r="305" spans="1:21">
      <c r="A305" s="64" t="s">
        <v>33691</v>
      </c>
      <c r="B305" s="330"/>
      <c r="C305" s="327"/>
      <c r="D305" s="136" t="s">
        <v>11776</v>
      </c>
      <c r="E305" s="139" t="s">
        <v>11777</v>
      </c>
      <c r="F305" s="8" t="s">
        <v>11778</v>
      </c>
      <c r="G305" s="54"/>
      <c r="H305" s="54"/>
      <c r="I305" s="119" t="s">
        <v>11438</v>
      </c>
      <c r="J305" s="125"/>
      <c r="K305" s="121" t="s">
        <v>11771</v>
      </c>
      <c r="L305" s="151" t="str">
        <f>HYPERLINK("[#]Datatypes!B432:L432","Date and Type")</f>
        <v>Date and Type</v>
      </c>
      <c r="M305" s="122"/>
      <c r="N305" s="122"/>
      <c r="O305" s="122"/>
      <c r="P305" s="122"/>
      <c r="Q305" s="123"/>
      <c r="R305" s="124"/>
      <c r="S305" s="169"/>
      <c r="U305" s="188"/>
    </row>
    <row r="306" spans="1:21">
      <c r="A306" s="64" t="s">
        <v>33692</v>
      </c>
      <c r="B306" s="330"/>
      <c r="C306" s="327"/>
      <c r="D306" s="136" t="s">
        <v>8873</v>
      </c>
      <c r="E306" s="139" t="s">
        <v>11779</v>
      </c>
      <c r="F306" s="8" t="s">
        <v>11780</v>
      </c>
      <c r="G306" s="54"/>
      <c r="H306" s="54"/>
      <c r="I306" s="119" t="s">
        <v>4643</v>
      </c>
      <c r="J306" s="120" t="s">
        <v>11451</v>
      </c>
      <c r="K306" s="121" t="s">
        <v>11781</v>
      </c>
      <c r="L306" s="151" t="str">
        <f>HYPERLINK("[#]Datatypes!B684:L684","Identifier")</f>
        <v>Identifier</v>
      </c>
      <c r="M306" s="122"/>
      <c r="N306" s="122"/>
      <c r="O306" s="122"/>
      <c r="P306" s="122"/>
      <c r="Q306" s="123"/>
      <c r="R306" s="124"/>
      <c r="S306" s="169"/>
      <c r="T306" s="300" t="str">
        <f>CONCATENATE([1]Cover!$D$6,"fdd/view?i=",S306)</f>
        <v>https://www.dgiwg.org/FAD/fdd/view?i=</v>
      </c>
      <c r="U306" s="188"/>
    </row>
    <row r="307" spans="1:21" ht="25.5">
      <c r="A307" s="64" t="s">
        <v>33693</v>
      </c>
      <c r="B307" s="330"/>
      <c r="C307" s="327"/>
      <c r="D307" s="136" t="s">
        <v>11782</v>
      </c>
      <c r="E307" s="139" t="s">
        <v>11783</v>
      </c>
      <c r="F307" s="8" t="s">
        <v>11784</v>
      </c>
      <c r="G307" s="54"/>
      <c r="H307" s="54"/>
      <c r="I307" s="119" t="s">
        <v>4643</v>
      </c>
      <c r="J307" s="120" t="s">
        <v>11451</v>
      </c>
      <c r="K307" s="121" t="s">
        <v>9336</v>
      </c>
      <c r="L307" s="151" t="str">
        <f>HYPERLINK("[#]Datatypes!B1204:L1204","Responsible Party")</f>
        <v>Responsible Party</v>
      </c>
      <c r="M307" s="122"/>
      <c r="N307" s="122"/>
      <c r="O307" s="122"/>
      <c r="P307" s="122"/>
      <c r="Q307" s="123"/>
      <c r="R307" s="124"/>
      <c r="S307" s="169"/>
      <c r="U307" s="188"/>
    </row>
    <row r="308" spans="1:21" ht="25.5">
      <c r="A308" s="64" t="s">
        <v>33694</v>
      </c>
      <c r="B308" s="330"/>
      <c r="C308" s="327"/>
      <c r="D308" s="136" t="s">
        <v>11786</v>
      </c>
      <c r="E308" s="139" t="s">
        <v>11787</v>
      </c>
      <c r="F308" s="8" t="s">
        <v>11788</v>
      </c>
      <c r="G308" s="54"/>
      <c r="H308" s="54"/>
      <c r="I308" s="119" t="s">
        <v>11438</v>
      </c>
      <c r="J308" s="125"/>
      <c r="K308" s="121" t="s">
        <v>11789</v>
      </c>
      <c r="L308" s="151" t="str">
        <f>HYPERLINK("[#]Datatypes!B1168:L1168","Resource Data Presentation Form Code")</f>
        <v>Resource Data Presentation Form Code</v>
      </c>
      <c r="M308" s="122"/>
      <c r="N308" s="122"/>
      <c r="O308" s="122"/>
      <c r="P308" s="122"/>
      <c r="Q308" s="123"/>
      <c r="R308" s="124"/>
      <c r="S308" s="169"/>
      <c r="T308" s="300" t="str">
        <f>CONCATENATE([1]Cover!$D$6,"fdd/view?i=",S308)</f>
        <v>https://www.dgiwg.org/FAD/fdd/view?i=</v>
      </c>
      <c r="U308" s="188"/>
    </row>
    <row r="309" spans="1:21" ht="25.5">
      <c r="A309" s="64" t="s">
        <v>33695</v>
      </c>
      <c r="B309" s="330"/>
      <c r="C309" s="327"/>
      <c r="D309" s="136" t="s">
        <v>11791</v>
      </c>
      <c r="E309" s="139" t="s">
        <v>3815</v>
      </c>
      <c r="F309" s="8" t="s">
        <v>11792</v>
      </c>
      <c r="G309" s="54"/>
      <c r="H309" s="54"/>
      <c r="I309" s="119" t="s">
        <v>11438</v>
      </c>
      <c r="J309" s="125"/>
      <c r="K309" s="121" t="s">
        <v>11793</v>
      </c>
      <c r="L309" s="151" t="str">
        <f>HYPERLINK("[#]Datatypes!B1269:L1269","Series Specification")</f>
        <v>Series Specification</v>
      </c>
      <c r="M309" s="122"/>
      <c r="N309" s="122"/>
      <c r="O309" s="122"/>
      <c r="P309" s="122"/>
      <c r="Q309" s="123"/>
      <c r="R309" s="124"/>
      <c r="S309" s="169"/>
      <c r="U309" s="188"/>
    </row>
    <row r="310" spans="1:21" ht="25.5">
      <c r="A310" s="64" t="s">
        <v>33696</v>
      </c>
      <c r="B310" s="330"/>
      <c r="C310" s="327"/>
      <c r="D310" s="136" t="s">
        <v>11795</v>
      </c>
      <c r="E310" s="139" t="s">
        <v>11796</v>
      </c>
      <c r="F310" s="8" t="s">
        <v>11797</v>
      </c>
      <c r="G310" s="54"/>
      <c r="H310" s="54"/>
      <c r="I310" s="119" t="s">
        <v>11438</v>
      </c>
      <c r="J310" s="125"/>
      <c r="K310" s="121" t="s">
        <v>6543</v>
      </c>
      <c r="L310" s="151" t="str">
        <f>HYPERLINK("[#]Datatypes!B1396:L1396","Text")</f>
        <v>Text</v>
      </c>
      <c r="M310" s="122"/>
      <c r="N310" s="122"/>
      <c r="O310" s="122"/>
      <c r="P310" s="122"/>
      <c r="Q310" s="123"/>
      <c r="R310" s="124"/>
      <c r="S310" s="169"/>
      <c r="T310" s="300" t="str">
        <f>CONCATENATE([1]Cover!$D$6,"fdd/view?i=",S310)</f>
        <v>https://www.dgiwg.org/FAD/fdd/view?i=</v>
      </c>
      <c r="U310" s="188"/>
    </row>
    <row r="311" spans="1:21" ht="38.25">
      <c r="A311" s="64" t="s">
        <v>33697</v>
      </c>
      <c r="B311" s="330"/>
      <c r="C311" s="327"/>
      <c r="D311" s="136" t="s">
        <v>11798</v>
      </c>
      <c r="E311" s="139" t="s">
        <v>11799</v>
      </c>
      <c r="F311" s="8" t="s">
        <v>11800</v>
      </c>
      <c r="G311" s="8" t="s">
        <v>11801</v>
      </c>
      <c r="H311" s="54"/>
      <c r="I311" s="119" t="s">
        <v>11438</v>
      </c>
      <c r="J311" s="125"/>
      <c r="K311" s="121" t="s">
        <v>6543</v>
      </c>
      <c r="L311" s="151" t="str">
        <f>HYPERLINK("[#]Datatypes!B1396:L1396","Text")</f>
        <v>Text</v>
      </c>
      <c r="M311" s="122"/>
      <c r="N311" s="122"/>
      <c r="O311" s="122"/>
      <c r="P311" s="122"/>
      <c r="Q311" s="123"/>
      <c r="R311" s="124"/>
      <c r="S311" s="169"/>
      <c r="U311" s="188"/>
    </row>
    <row r="312" spans="1:21">
      <c r="A312" s="64" t="s">
        <v>33698</v>
      </c>
      <c r="B312" s="330"/>
      <c r="C312" s="327"/>
      <c r="D312" s="136" t="s">
        <v>11802</v>
      </c>
      <c r="E312" s="139" t="s">
        <v>11803</v>
      </c>
      <c r="F312" s="8" t="s">
        <v>11804</v>
      </c>
      <c r="G312" s="54"/>
      <c r="H312" s="54"/>
      <c r="I312" s="119" t="s">
        <v>11438</v>
      </c>
      <c r="J312" s="125"/>
      <c r="K312" s="121" t="s">
        <v>6543</v>
      </c>
      <c r="L312" s="151" t="str">
        <f>HYPERLINK("[#]Datatypes!B1396:L1396","Text")</f>
        <v>Text</v>
      </c>
      <c r="M312" s="122"/>
      <c r="N312" s="122"/>
      <c r="O312" s="122"/>
      <c r="P312" s="122"/>
      <c r="Q312" s="123"/>
      <c r="R312" s="124"/>
      <c r="S312" s="169"/>
      <c r="T312" s="300" t="str">
        <f>CONCATENATE([1]Cover!$D$6,"fdd/view?i=",S312)</f>
        <v>https://www.dgiwg.org/FAD/fdd/view?i=</v>
      </c>
      <c r="U312" s="188"/>
    </row>
    <row r="313" spans="1:21">
      <c r="A313" s="65" t="s">
        <v>33699</v>
      </c>
      <c r="B313" s="331"/>
      <c r="C313" s="328"/>
      <c r="D313" s="137" t="s">
        <v>11805</v>
      </c>
      <c r="E313" s="140" t="s">
        <v>11806</v>
      </c>
      <c r="F313" s="66" t="s">
        <v>11807</v>
      </c>
      <c r="G313" s="69"/>
      <c r="H313" s="69"/>
      <c r="I313" s="126" t="s">
        <v>11438</v>
      </c>
      <c r="J313" s="141"/>
      <c r="K313" s="128" t="s">
        <v>6543</v>
      </c>
      <c r="L313" s="152" t="str">
        <f>HYPERLINK("[#]Datatypes!B1396:L1396","Text")</f>
        <v>Text</v>
      </c>
      <c r="M313" s="129"/>
      <c r="N313" s="129"/>
      <c r="O313" s="129"/>
      <c r="P313" s="129"/>
      <c r="Q313" s="130"/>
      <c r="R313" s="131"/>
      <c r="S313" s="169"/>
      <c r="U313" s="188"/>
    </row>
    <row r="314" spans="1:21" ht="2.1" customHeight="1">
      <c r="A314" s="98"/>
      <c r="B314" s="87"/>
      <c r="C314" s="99"/>
      <c r="D314" s="87"/>
      <c r="E314" s="99"/>
      <c r="F314" s="100"/>
      <c r="G314" s="100"/>
      <c r="H314" s="100"/>
      <c r="I314" s="101"/>
      <c r="J314" s="106"/>
      <c r="K314" s="103"/>
      <c r="L314" s="104"/>
      <c r="M314" s="100"/>
      <c r="N314" s="100"/>
      <c r="O314" s="100"/>
      <c r="P314" s="100"/>
      <c r="Q314" s="105"/>
      <c r="R314" s="105"/>
      <c r="S314" s="169"/>
      <c r="T314" s="300" t="str">
        <f>CONCATENATE([1]Cover!$D$6,"fdd/view?i=",S314)</f>
        <v>https://www.dgiwg.org/FAD/fdd/view?i=</v>
      </c>
      <c r="U314" s="188"/>
    </row>
    <row r="315" spans="1:21" ht="38.25">
      <c r="A315" s="67" t="s">
        <v>4994</v>
      </c>
      <c r="B315" s="87" t="s">
        <v>4994</v>
      </c>
      <c r="C315" s="88" t="s">
        <v>11808</v>
      </c>
      <c r="D315" s="89"/>
      <c r="E315" s="90"/>
      <c r="F315" s="91" t="s">
        <v>11809</v>
      </c>
      <c r="G315" s="90"/>
      <c r="H315" s="91" t="s">
        <v>11426</v>
      </c>
      <c r="I315" s="92"/>
      <c r="J315" s="93"/>
      <c r="K315" s="94"/>
      <c r="L315" s="91" t="s">
        <v>11425</v>
      </c>
      <c r="M315" s="90"/>
      <c r="N315" s="108" t="s">
        <v>11810</v>
      </c>
      <c r="O315" s="91" t="b">
        <v>1</v>
      </c>
      <c r="P315" s="91" t="s">
        <v>11811</v>
      </c>
      <c r="Q315" s="96"/>
      <c r="R315" s="97"/>
      <c r="S315" s="169"/>
      <c r="U315" s="188"/>
    </row>
    <row r="316" spans="1:21" ht="2.1" customHeight="1">
      <c r="A316" s="98"/>
      <c r="B316" s="87"/>
      <c r="C316" s="99"/>
      <c r="D316" s="87"/>
      <c r="E316" s="99"/>
      <c r="F316" s="100"/>
      <c r="G316" s="100"/>
      <c r="H316" s="100"/>
      <c r="I316" s="101"/>
      <c r="J316" s="106"/>
      <c r="K316" s="103"/>
      <c r="L316" s="104"/>
      <c r="M316" s="100"/>
      <c r="N316" s="100"/>
      <c r="O316" s="100"/>
      <c r="P316" s="100"/>
      <c r="Q316" s="105"/>
      <c r="R316" s="105"/>
      <c r="S316" s="169"/>
      <c r="T316" s="300" t="str">
        <f>CONCATENATE([1]Cover!$D$6,"fdd/view?i=",S316)</f>
        <v>https://www.dgiwg.org/FAD/fdd/view?i=</v>
      </c>
      <c r="U316" s="188"/>
    </row>
    <row r="317" spans="1:21" ht="38.25">
      <c r="A317" s="67" t="s">
        <v>9733</v>
      </c>
      <c r="B317" s="87" t="s">
        <v>9733</v>
      </c>
      <c r="C317" s="88" t="s">
        <v>11812</v>
      </c>
      <c r="D317" s="89"/>
      <c r="E317" s="90"/>
      <c r="F317" s="91" t="s">
        <v>11813</v>
      </c>
      <c r="G317" s="90"/>
      <c r="H317" s="91" t="s">
        <v>11744</v>
      </c>
      <c r="I317" s="92"/>
      <c r="J317" s="93"/>
      <c r="K317" s="94"/>
      <c r="L317" s="153" t="s">
        <v>11414</v>
      </c>
      <c r="M317" s="91" t="b">
        <v>1</v>
      </c>
      <c r="N317" s="90"/>
      <c r="O317" s="95"/>
      <c r="P317" s="91" t="s">
        <v>11753</v>
      </c>
      <c r="Q317" s="96"/>
      <c r="R317" s="97"/>
      <c r="S317" s="169"/>
      <c r="U317" s="188"/>
    </row>
    <row r="318" spans="1:21" ht="2.1" customHeight="1">
      <c r="A318" s="98"/>
      <c r="B318" s="87"/>
      <c r="C318" s="99"/>
      <c r="D318" s="87"/>
      <c r="E318" s="99"/>
      <c r="F318" s="100"/>
      <c r="G318" s="100"/>
      <c r="H318" s="100"/>
      <c r="I318" s="101"/>
      <c r="J318" s="106"/>
      <c r="K318" s="103"/>
      <c r="L318" s="104"/>
      <c r="M318" s="100"/>
      <c r="N318" s="100"/>
      <c r="O318" s="100"/>
      <c r="P318" s="100"/>
      <c r="Q318" s="105"/>
      <c r="R318" s="105"/>
      <c r="S318" s="169"/>
      <c r="T318" s="300" t="str">
        <f>CONCATENATE([1]Cover!$D$6,"fdd/view?i=",S318)</f>
        <v>https://www.dgiwg.org/FAD/fdd/view?i=</v>
      </c>
      <c r="U318" s="188"/>
    </row>
    <row r="319" spans="1:21">
      <c r="A319" s="67" t="s">
        <v>5959</v>
      </c>
      <c r="B319" s="87" t="s">
        <v>5959</v>
      </c>
      <c r="C319" s="88" t="s">
        <v>11814</v>
      </c>
      <c r="D319" s="89"/>
      <c r="E319" s="90"/>
      <c r="F319" s="91" t="s">
        <v>11815</v>
      </c>
      <c r="G319" s="90"/>
      <c r="H319" s="90"/>
      <c r="I319" s="92"/>
      <c r="J319" s="93"/>
      <c r="K319" s="94"/>
      <c r="L319" s="149" t="str">
        <f>HYPERLINK("[#]DatatypeListedValues!B2134:H2134","Enumeration")</f>
        <v>Enumeration</v>
      </c>
      <c r="M319" s="107" t="b">
        <v>0</v>
      </c>
      <c r="N319" s="90"/>
      <c r="O319" s="95"/>
      <c r="P319" s="90"/>
      <c r="Q319" s="96"/>
      <c r="R319" s="97"/>
      <c r="S319" s="169"/>
      <c r="U319" s="188"/>
    </row>
    <row r="320" spans="1:21" ht="2.1" customHeight="1">
      <c r="A320" s="98"/>
      <c r="B320" s="87"/>
      <c r="C320" s="99"/>
      <c r="D320" s="87"/>
      <c r="E320" s="99"/>
      <c r="F320" s="100"/>
      <c r="G320" s="100"/>
      <c r="H320" s="100"/>
      <c r="I320" s="101"/>
      <c r="J320" s="106"/>
      <c r="K320" s="103"/>
      <c r="L320" s="104"/>
      <c r="M320" s="100"/>
      <c r="N320" s="100"/>
      <c r="O320" s="100"/>
      <c r="P320" s="100"/>
      <c r="Q320" s="105"/>
      <c r="R320" s="105"/>
      <c r="S320" s="169"/>
      <c r="T320" s="300" t="str">
        <f>CONCATENATE([1]Cover!$D$6,"fdd/view?i=",S320)</f>
        <v>https://www.dgiwg.org/FAD/fdd/view?i=</v>
      </c>
      <c r="U320" s="188"/>
    </row>
    <row r="321" spans="1:21">
      <c r="A321" s="67" t="s">
        <v>5964</v>
      </c>
      <c r="B321" s="87" t="s">
        <v>5964</v>
      </c>
      <c r="C321" s="88" t="s">
        <v>11816</v>
      </c>
      <c r="D321" s="89"/>
      <c r="E321" s="90"/>
      <c r="F321" s="91" t="s">
        <v>11817</v>
      </c>
      <c r="G321" s="90"/>
      <c r="H321" s="90"/>
      <c r="I321" s="92"/>
      <c r="J321" s="93"/>
      <c r="K321" s="94"/>
      <c r="L321" s="149" t="str">
        <f>HYPERLINK("[#]DatatypeListedValues!B2139:H2139","Enumeration")</f>
        <v>Enumeration</v>
      </c>
      <c r="M321" s="107" t="b">
        <v>0</v>
      </c>
      <c r="N321" s="90"/>
      <c r="O321" s="95"/>
      <c r="P321" s="90"/>
      <c r="Q321" s="96"/>
      <c r="R321" s="97"/>
      <c r="S321" s="169"/>
      <c r="U321" s="188"/>
    </row>
    <row r="322" spans="1:21" ht="2.1" customHeight="1">
      <c r="A322" s="98"/>
      <c r="B322" s="87"/>
      <c r="C322" s="99"/>
      <c r="D322" s="87"/>
      <c r="E322" s="99"/>
      <c r="F322" s="100"/>
      <c r="G322" s="100"/>
      <c r="H322" s="100"/>
      <c r="I322" s="101"/>
      <c r="J322" s="106"/>
      <c r="K322" s="103"/>
      <c r="L322" s="104"/>
      <c r="M322" s="100"/>
      <c r="N322" s="100"/>
      <c r="O322" s="100"/>
      <c r="P322" s="100"/>
      <c r="Q322" s="105"/>
      <c r="R322" s="105"/>
      <c r="S322" s="169"/>
      <c r="T322" s="300" t="str">
        <f>CONCATENATE([1]Cover!$D$6,"fdd/view?i=",S322)</f>
        <v>https://www.dgiwg.org/FAD/fdd/view?i=</v>
      </c>
      <c r="U322" s="188"/>
    </row>
    <row r="323" spans="1:21">
      <c r="A323" s="67" t="s">
        <v>6004</v>
      </c>
      <c r="B323" s="87" t="s">
        <v>6004</v>
      </c>
      <c r="C323" s="88" t="s">
        <v>11818</v>
      </c>
      <c r="D323" s="89"/>
      <c r="E323" s="90"/>
      <c r="F323" s="91" t="s">
        <v>11819</v>
      </c>
      <c r="G323" s="90"/>
      <c r="H323" s="90"/>
      <c r="I323" s="92"/>
      <c r="J323" s="93"/>
      <c r="K323" s="94"/>
      <c r="L323" s="149" t="str">
        <f>HYPERLINK("[#]DatatypeListedValues!B2141:H2141","Enumeration")</f>
        <v>Enumeration</v>
      </c>
      <c r="M323" s="107" t="b">
        <v>0</v>
      </c>
      <c r="N323" s="90"/>
      <c r="O323" s="95"/>
      <c r="P323" s="90"/>
      <c r="Q323" s="96"/>
      <c r="R323" s="97"/>
      <c r="S323" s="169"/>
      <c r="U323" s="188"/>
    </row>
    <row r="324" spans="1:21" ht="2.1" customHeight="1">
      <c r="A324" s="98"/>
      <c r="B324" s="87"/>
      <c r="C324" s="99"/>
      <c r="D324" s="87"/>
      <c r="E324" s="99"/>
      <c r="F324" s="100"/>
      <c r="G324" s="100"/>
      <c r="H324" s="100"/>
      <c r="I324" s="101"/>
      <c r="J324" s="106"/>
      <c r="K324" s="103"/>
      <c r="L324" s="104"/>
      <c r="M324" s="100"/>
      <c r="N324" s="100"/>
      <c r="O324" s="100"/>
      <c r="P324" s="100"/>
      <c r="Q324" s="105"/>
      <c r="R324" s="105"/>
      <c r="S324" s="169"/>
      <c r="T324" s="300" t="str">
        <f>CONCATENATE([1]Cover!$D$6,"fdd/view?i=",S324)</f>
        <v>https://www.dgiwg.org/FAD/fdd/view?i=</v>
      </c>
      <c r="U324" s="188"/>
    </row>
    <row r="325" spans="1:21" ht="25.5">
      <c r="A325" s="67" t="s">
        <v>6020</v>
      </c>
      <c r="B325" s="87" t="s">
        <v>6020</v>
      </c>
      <c r="C325" s="88" t="s">
        <v>11820</v>
      </c>
      <c r="D325" s="89"/>
      <c r="E325" s="90"/>
      <c r="F325" s="91" t="s">
        <v>11821</v>
      </c>
      <c r="G325" s="90"/>
      <c r="H325" s="90"/>
      <c r="I325" s="92"/>
      <c r="J325" s="93"/>
      <c r="K325" s="94"/>
      <c r="L325" s="149" t="str">
        <f>HYPERLINK("[#]DatatypeListedValues!B2148:H2148","Enumeration")</f>
        <v>Enumeration</v>
      </c>
      <c r="M325" s="91" t="b">
        <v>1</v>
      </c>
      <c r="N325" s="90"/>
      <c r="O325" s="95"/>
      <c r="P325" s="90"/>
      <c r="Q325" s="96"/>
      <c r="R325" s="97"/>
      <c r="S325" s="169"/>
      <c r="U325" s="188"/>
    </row>
    <row r="326" spans="1:21" ht="2.1" customHeight="1">
      <c r="A326" s="98"/>
      <c r="B326" s="87"/>
      <c r="C326" s="99"/>
      <c r="D326" s="87"/>
      <c r="E326" s="99"/>
      <c r="F326" s="100"/>
      <c r="G326" s="100"/>
      <c r="H326" s="100"/>
      <c r="I326" s="101"/>
      <c r="J326" s="106"/>
      <c r="K326" s="103"/>
      <c r="L326" s="104"/>
      <c r="M326" s="100"/>
      <c r="N326" s="100"/>
      <c r="O326" s="100"/>
      <c r="P326" s="100"/>
      <c r="Q326" s="105"/>
      <c r="R326" s="105"/>
      <c r="S326" s="169"/>
      <c r="T326" s="300" t="str">
        <f>CONCATENATE([1]Cover!$D$6,"fdd/view?i=",S326)</f>
        <v>https://www.dgiwg.org/FAD/fdd/view?i=</v>
      </c>
      <c r="U326" s="188"/>
    </row>
    <row r="327" spans="1:21" ht="25.5">
      <c r="A327" s="67" t="s">
        <v>6025</v>
      </c>
      <c r="B327" s="87" t="s">
        <v>6025</v>
      </c>
      <c r="C327" s="88" t="s">
        <v>11822</v>
      </c>
      <c r="D327" s="89"/>
      <c r="E327" s="90"/>
      <c r="F327" s="91" t="s">
        <v>11823</v>
      </c>
      <c r="G327" s="90"/>
      <c r="H327" s="90"/>
      <c r="I327" s="92"/>
      <c r="J327" s="93"/>
      <c r="K327" s="94"/>
      <c r="L327" s="149" t="str">
        <f>HYPERLINK("[#]DatatypeListedValues!B2153:H2153","Enumeration")</f>
        <v>Enumeration</v>
      </c>
      <c r="M327" s="91" t="b">
        <v>1</v>
      </c>
      <c r="N327" s="90"/>
      <c r="O327" s="95"/>
      <c r="P327" s="90"/>
      <c r="Q327" s="96"/>
      <c r="R327" s="97"/>
      <c r="S327" s="169"/>
      <c r="U327" s="188"/>
    </row>
    <row r="328" spans="1:21" ht="2.1" customHeight="1">
      <c r="A328" s="98"/>
      <c r="B328" s="87"/>
      <c r="C328" s="99"/>
      <c r="D328" s="87"/>
      <c r="E328" s="99"/>
      <c r="F328" s="100"/>
      <c r="G328" s="100"/>
      <c r="H328" s="100"/>
      <c r="I328" s="101"/>
      <c r="J328" s="106"/>
      <c r="K328" s="103"/>
      <c r="L328" s="104"/>
      <c r="M328" s="100"/>
      <c r="N328" s="100"/>
      <c r="O328" s="100"/>
      <c r="P328" s="100"/>
      <c r="Q328" s="105"/>
      <c r="R328" s="105"/>
      <c r="S328" s="169"/>
      <c r="T328" s="300" t="str">
        <f>CONCATENATE([1]Cover!$D$6,"fdd/view?i=",S328)</f>
        <v>https://www.dgiwg.org/FAD/fdd/view?i=</v>
      </c>
      <c r="U328" s="188"/>
    </row>
    <row r="329" spans="1:21" ht="25.5">
      <c r="A329" s="67" t="s">
        <v>6035</v>
      </c>
      <c r="B329" s="87" t="s">
        <v>6035</v>
      </c>
      <c r="C329" s="88" t="s">
        <v>11824</v>
      </c>
      <c r="D329" s="89"/>
      <c r="E329" s="90"/>
      <c r="F329" s="91" t="s">
        <v>11825</v>
      </c>
      <c r="G329" s="90"/>
      <c r="H329" s="90"/>
      <c r="I329" s="92"/>
      <c r="J329" s="93"/>
      <c r="K329" s="94"/>
      <c r="L329" s="149" t="str">
        <f>HYPERLINK("[#]DatatypeListedValues!B2159:H2159","Enumeration")</f>
        <v>Enumeration</v>
      </c>
      <c r="M329" s="107" t="b">
        <v>0</v>
      </c>
      <c r="N329" s="90"/>
      <c r="O329" s="95"/>
      <c r="P329" s="90"/>
      <c r="Q329" s="96"/>
      <c r="R329" s="97"/>
      <c r="S329" s="169"/>
      <c r="U329" s="188"/>
    </row>
    <row r="330" spans="1:21" ht="2.1" customHeight="1">
      <c r="A330" s="98"/>
      <c r="B330" s="87"/>
      <c r="C330" s="99"/>
      <c r="D330" s="87"/>
      <c r="E330" s="99"/>
      <c r="F330" s="100"/>
      <c r="G330" s="100"/>
      <c r="H330" s="100"/>
      <c r="I330" s="101"/>
      <c r="J330" s="106"/>
      <c r="K330" s="103"/>
      <c r="L330" s="104"/>
      <c r="M330" s="100"/>
      <c r="N330" s="100"/>
      <c r="O330" s="100"/>
      <c r="P330" s="100"/>
      <c r="Q330" s="105"/>
      <c r="R330" s="105"/>
      <c r="S330" s="169"/>
      <c r="T330" s="300" t="str">
        <f>CONCATENATE([1]Cover!$D$6,"fdd/view?i=",S330)</f>
        <v>https://www.dgiwg.org/FAD/fdd/view?i=</v>
      </c>
      <c r="U330" s="188"/>
    </row>
    <row r="331" spans="1:21" ht="38.25">
      <c r="A331" s="67" t="s">
        <v>6041</v>
      </c>
      <c r="B331" s="87" t="s">
        <v>6041</v>
      </c>
      <c r="C331" s="88" t="s">
        <v>11429</v>
      </c>
      <c r="D331" s="89"/>
      <c r="E331" s="90"/>
      <c r="F331" s="91" t="s">
        <v>6039</v>
      </c>
      <c r="G331" s="90"/>
      <c r="H331" s="91" t="s">
        <v>11513</v>
      </c>
      <c r="I331" s="92"/>
      <c r="J331" s="93"/>
      <c r="K331" s="94"/>
      <c r="L331" s="104" t="s">
        <v>11429</v>
      </c>
      <c r="M331" s="90"/>
      <c r="N331" s="90"/>
      <c r="O331" s="95"/>
      <c r="P331" s="90"/>
      <c r="Q331" s="96"/>
      <c r="R331" s="97"/>
      <c r="S331" s="169"/>
      <c r="U331" s="188"/>
    </row>
    <row r="332" spans="1:21" ht="2.1" customHeight="1">
      <c r="A332" s="98"/>
      <c r="B332" s="87"/>
      <c r="C332" s="99"/>
      <c r="D332" s="87"/>
      <c r="E332" s="99"/>
      <c r="F332" s="100"/>
      <c r="G332" s="100"/>
      <c r="H332" s="100"/>
      <c r="I332" s="101"/>
      <c r="J332" s="106"/>
      <c r="K332" s="103"/>
      <c r="L332" s="104"/>
      <c r="M332" s="100"/>
      <c r="N332" s="100"/>
      <c r="O332" s="100"/>
      <c r="P332" s="100"/>
      <c r="Q332" s="105"/>
      <c r="R332" s="105"/>
      <c r="S332" s="169"/>
      <c r="T332" s="300" t="str">
        <f>CONCATENATE([1]Cover!$D$6,"fdd/view?i=",S332)</f>
        <v>https://www.dgiwg.org/FAD/fdd/view?i=</v>
      </c>
      <c r="U332" s="188"/>
    </row>
    <row r="333" spans="1:21" ht="38.25">
      <c r="A333" s="67" t="s">
        <v>6052</v>
      </c>
      <c r="B333" s="87" t="s">
        <v>6052</v>
      </c>
      <c r="C333" s="88" t="s">
        <v>11826</v>
      </c>
      <c r="D333" s="89"/>
      <c r="E333" s="90"/>
      <c r="F333" s="91" t="s">
        <v>11827</v>
      </c>
      <c r="G333" s="90"/>
      <c r="H333" s="91" t="s">
        <v>11513</v>
      </c>
      <c r="I333" s="92"/>
      <c r="J333" s="93"/>
      <c r="K333" s="94"/>
      <c r="L333" s="104" t="s">
        <v>11429</v>
      </c>
      <c r="M333" s="90"/>
      <c r="N333" s="90"/>
      <c r="O333" s="95"/>
      <c r="P333" s="90"/>
      <c r="Q333" s="96"/>
      <c r="R333" s="97"/>
      <c r="S333" s="169"/>
      <c r="U333" s="188"/>
    </row>
    <row r="334" spans="1:21" ht="2.1" customHeight="1">
      <c r="A334" s="98"/>
      <c r="B334" s="87"/>
      <c r="C334" s="99"/>
      <c r="D334" s="87"/>
      <c r="E334" s="99"/>
      <c r="F334" s="100"/>
      <c r="G334" s="100"/>
      <c r="H334" s="100"/>
      <c r="I334" s="101"/>
      <c r="J334" s="106"/>
      <c r="K334" s="103"/>
      <c r="L334" s="104"/>
      <c r="M334" s="100"/>
      <c r="N334" s="100"/>
      <c r="O334" s="100"/>
      <c r="P334" s="100"/>
      <c r="Q334" s="105"/>
      <c r="R334" s="105"/>
      <c r="S334" s="169"/>
      <c r="T334" s="300" t="str">
        <f>CONCATENATE([1]Cover!$D$6,"fdd/view?i=",S334)</f>
        <v>https://www.dgiwg.org/FAD/fdd/view?i=</v>
      </c>
      <c r="U334" s="188"/>
    </row>
    <row r="335" spans="1:21" ht="38.25">
      <c r="A335" s="67" t="s">
        <v>6057</v>
      </c>
      <c r="B335" s="87" t="s">
        <v>6057</v>
      </c>
      <c r="C335" s="88" t="s">
        <v>11828</v>
      </c>
      <c r="D335" s="89"/>
      <c r="E335" s="90"/>
      <c r="F335" s="91" t="s">
        <v>11829</v>
      </c>
      <c r="G335" s="90"/>
      <c r="H335" s="91" t="s">
        <v>11513</v>
      </c>
      <c r="I335" s="92"/>
      <c r="J335" s="93"/>
      <c r="K335" s="94"/>
      <c r="L335" s="104" t="s">
        <v>11429</v>
      </c>
      <c r="M335" s="90"/>
      <c r="N335" s="90"/>
      <c r="O335" s="95"/>
      <c r="P335" s="90"/>
      <c r="Q335" s="96"/>
      <c r="R335" s="97"/>
      <c r="S335" s="169"/>
      <c r="U335" s="188"/>
    </row>
    <row r="336" spans="1:21" ht="2.1" customHeight="1">
      <c r="A336" s="98"/>
      <c r="B336" s="87"/>
      <c r="C336" s="99"/>
      <c r="D336" s="87"/>
      <c r="E336" s="99"/>
      <c r="F336" s="100"/>
      <c r="G336" s="100"/>
      <c r="H336" s="100"/>
      <c r="I336" s="101"/>
      <c r="J336" s="106"/>
      <c r="K336" s="103"/>
      <c r="L336" s="104"/>
      <c r="M336" s="100"/>
      <c r="N336" s="100"/>
      <c r="O336" s="100"/>
      <c r="P336" s="100"/>
      <c r="Q336" s="105"/>
      <c r="R336" s="105"/>
      <c r="S336" s="169"/>
      <c r="T336" s="300" t="str">
        <f>CONCATENATE([1]Cover!$D$6,"fdd/view?i=",S336)</f>
        <v>https://www.dgiwg.org/FAD/fdd/view?i=</v>
      </c>
      <c r="U336" s="188"/>
    </row>
    <row r="337" spans="1:21" ht="38.25">
      <c r="A337" s="67" t="s">
        <v>6062</v>
      </c>
      <c r="B337" s="87" t="s">
        <v>6062</v>
      </c>
      <c r="C337" s="88" t="s">
        <v>11830</v>
      </c>
      <c r="D337" s="89"/>
      <c r="E337" s="90"/>
      <c r="F337" s="91" t="s">
        <v>11831</v>
      </c>
      <c r="G337" s="90"/>
      <c r="H337" s="91" t="s">
        <v>11513</v>
      </c>
      <c r="I337" s="92"/>
      <c r="J337" s="93"/>
      <c r="K337" s="94"/>
      <c r="L337" s="104" t="s">
        <v>11429</v>
      </c>
      <c r="M337" s="90"/>
      <c r="N337" s="90"/>
      <c r="O337" s="95"/>
      <c r="P337" s="90"/>
      <c r="Q337" s="96"/>
      <c r="R337" s="97"/>
      <c r="S337" s="169"/>
      <c r="U337" s="188"/>
    </row>
    <row r="338" spans="1:21" ht="2.1" customHeight="1">
      <c r="A338" s="98"/>
      <c r="B338" s="87"/>
      <c r="C338" s="99"/>
      <c r="D338" s="87"/>
      <c r="E338" s="99"/>
      <c r="F338" s="100"/>
      <c r="G338" s="100"/>
      <c r="H338" s="100"/>
      <c r="I338" s="101"/>
      <c r="J338" s="106"/>
      <c r="K338" s="103"/>
      <c r="L338" s="104"/>
      <c r="M338" s="100"/>
      <c r="N338" s="100"/>
      <c r="O338" s="100"/>
      <c r="P338" s="100"/>
      <c r="Q338" s="105"/>
      <c r="R338" s="105"/>
      <c r="S338" s="169"/>
      <c r="T338" s="300" t="str">
        <f>CONCATENATE([1]Cover!$D$6,"fdd/view?i=",S338)</f>
        <v>https://www.dgiwg.org/FAD/fdd/view?i=</v>
      </c>
      <c r="U338" s="188"/>
    </row>
    <row r="339" spans="1:21" ht="38.25">
      <c r="A339" s="67" t="s">
        <v>6067</v>
      </c>
      <c r="B339" s="87" t="s">
        <v>6067</v>
      </c>
      <c r="C339" s="88" t="s">
        <v>11832</v>
      </c>
      <c r="D339" s="89"/>
      <c r="E339" s="90"/>
      <c r="F339" s="91" t="s">
        <v>11833</v>
      </c>
      <c r="G339" s="90"/>
      <c r="H339" s="91" t="s">
        <v>11513</v>
      </c>
      <c r="I339" s="92"/>
      <c r="J339" s="93"/>
      <c r="K339" s="94"/>
      <c r="L339" s="104" t="s">
        <v>11429</v>
      </c>
      <c r="M339" s="90"/>
      <c r="N339" s="90"/>
      <c r="O339" s="95"/>
      <c r="P339" s="90"/>
      <c r="Q339" s="96"/>
      <c r="R339" s="97"/>
      <c r="S339" s="169"/>
      <c r="U339" s="188"/>
    </row>
    <row r="340" spans="1:21" ht="2.1" customHeight="1">
      <c r="A340" s="98"/>
      <c r="B340" s="87"/>
      <c r="C340" s="99"/>
      <c r="D340" s="87"/>
      <c r="E340" s="99"/>
      <c r="F340" s="100"/>
      <c r="G340" s="100"/>
      <c r="H340" s="100"/>
      <c r="I340" s="101"/>
      <c r="J340" s="106"/>
      <c r="K340" s="103"/>
      <c r="L340" s="104"/>
      <c r="M340" s="100"/>
      <c r="N340" s="100"/>
      <c r="O340" s="100"/>
      <c r="P340" s="100"/>
      <c r="Q340" s="105"/>
      <c r="R340" s="105"/>
      <c r="S340" s="169"/>
      <c r="T340" s="300" t="str">
        <f>CONCATENATE([1]Cover!$D$6,"fdd/view?i=",S340)</f>
        <v>https://www.dgiwg.org/FAD/fdd/view?i=</v>
      </c>
      <c r="U340" s="188"/>
    </row>
    <row r="341" spans="1:21" ht="25.5">
      <c r="A341" s="67" t="s">
        <v>6078</v>
      </c>
      <c r="B341" s="87" t="s">
        <v>6078</v>
      </c>
      <c r="C341" s="88" t="s">
        <v>11834</v>
      </c>
      <c r="D341" s="89"/>
      <c r="E341" s="90"/>
      <c r="F341" s="91" t="s">
        <v>11835</v>
      </c>
      <c r="G341" s="90"/>
      <c r="H341" s="90"/>
      <c r="I341" s="92"/>
      <c r="J341" s="93"/>
      <c r="K341" s="94"/>
      <c r="L341" s="149" t="str">
        <f>HYPERLINK("[#]DatatypeListedValues!B2208:H2208","Enumeration")</f>
        <v>Enumeration</v>
      </c>
      <c r="M341" s="107" t="b">
        <v>0</v>
      </c>
      <c r="N341" s="90"/>
      <c r="O341" s="95"/>
      <c r="P341" s="90"/>
      <c r="Q341" s="96"/>
      <c r="R341" s="97"/>
      <c r="S341" s="169"/>
      <c r="U341" s="188"/>
    </row>
    <row r="342" spans="1:21" ht="2.1" customHeight="1">
      <c r="A342" s="98"/>
      <c r="B342" s="87"/>
      <c r="C342" s="99"/>
      <c r="D342" s="87"/>
      <c r="E342" s="99"/>
      <c r="F342" s="100"/>
      <c r="G342" s="100"/>
      <c r="H342" s="100"/>
      <c r="I342" s="101"/>
      <c r="J342" s="106"/>
      <c r="K342" s="103"/>
      <c r="L342" s="104"/>
      <c r="M342" s="100"/>
      <c r="N342" s="100"/>
      <c r="O342" s="100"/>
      <c r="P342" s="100"/>
      <c r="Q342" s="105"/>
      <c r="R342" s="105"/>
      <c r="S342" s="169"/>
      <c r="T342" s="300" t="str">
        <f>CONCATENATE([1]Cover!$D$6,"fdd/view?i=",S342)</f>
        <v>https://www.dgiwg.org/FAD/fdd/view?i=</v>
      </c>
      <c r="U342" s="188"/>
    </row>
    <row r="343" spans="1:21" ht="25.5">
      <c r="A343" s="67" t="s">
        <v>6084</v>
      </c>
      <c r="B343" s="87" t="s">
        <v>6084</v>
      </c>
      <c r="C343" s="88" t="s">
        <v>11836</v>
      </c>
      <c r="D343" s="89"/>
      <c r="E343" s="90"/>
      <c r="F343" s="91" t="s">
        <v>11837</v>
      </c>
      <c r="G343" s="90"/>
      <c r="H343" s="90"/>
      <c r="I343" s="92"/>
      <c r="J343" s="93"/>
      <c r="K343" s="94"/>
      <c r="L343" s="149" t="str">
        <f>HYPERLINK("[#]DatatypeListedValues!B2219:H2219","Enumeration")</f>
        <v>Enumeration</v>
      </c>
      <c r="M343" s="91" t="b">
        <v>1</v>
      </c>
      <c r="N343" s="90"/>
      <c r="O343" s="95"/>
      <c r="P343" s="90"/>
      <c r="Q343" s="96"/>
      <c r="R343" s="97"/>
      <c r="S343" s="169"/>
      <c r="U343" s="188"/>
    </row>
    <row r="344" spans="1:21" ht="2.1" customHeight="1">
      <c r="A344" s="98"/>
      <c r="B344" s="87"/>
      <c r="C344" s="99"/>
      <c r="D344" s="87"/>
      <c r="E344" s="99"/>
      <c r="F344" s="100"/>
      <c r="G344" s="100"/>
      <c r="H344" s="100"/>
      <c r="I344" s="101"/>
      <c r="J344" s="106"/>
      <c r="K344" s="103"/>
      <c r="L344" s="104"/>
      <c r="M344" s="100"/>
      <c r="N344" s="100"/>
      <c r="O344" s="100"/>
      <c r="P344" s="100"/>
      <c r="Q344" s="105"/>
      <c r="R344" s="105"/>
      <c r="S344" s="169"/>
      <c r="T344" s="300" t="str">
        <f>CONCATENATE([1]Cover!$D$6,"fdd/view?i=",S344)</f>
        <v>https://www.dgiwg.org/FAD/fdd/view?i=</v>
      </c>
      <c r="U344" s="188"/>
    </row>
    <row r="345" spans="1:21" ht="25.5">
      <c r="A345" s="67" t="s">
        <v>6089</v>
      </c>
      <c r="B345" s="87" t="s">
        <v>6089</v>
      </c>
      <c r="C345" s="88" t="s">
        <v>11838</v>
      </c>
      <c r="D345" s="89"/>
      <c r="E345" s="90"/>
      <c r="F345" s="91" t="s">
        <v>11839</v>
      </c>
      <c r="G345" s="90"/>
      <c r="H345" s="90"/>
      <c r="I345" s="92"/>
      <c r="J345" s="93"/>
      <c r="K345" s="94"/>
      <c r="L345" s="149" t="str">
        <f>HYPERLINK("[#]DatatypeListedValues!B2223:H2223","Enumeration")</f>
        <v>Enumeration</v>
      </c>
      <c r="M345" s="91" t="b">
        <v>1</v>
      </c>
      <c r="N345" s="90"/>
      <c r="O345" s="95"/>
      <c r="P345" s="90"/>
      <c r="Q345" s="96"/>
      <c r="R345" s="97"/>
      <c r="S345" s="169"/>
      <c r="U345" s="188"/>
    </row>
    <row r="346" spans="1:21" ht="2.1" customHeight="1">
      <c r="A346" s="98"/>
      <c r="B346" s="87"/>
      <c r="C346" s="99"/>
      <c r="D346" s="87"/>
      <c r="E346" s="99"/>
      <c r="F346" s="100"/>
      <c r="G346" s="100"/>
      <c r="H346" s="100"/>
      <c r="I346" s="101"/>
      <c r="J346" s="106"/>
      <c r="K346" s="103"/>
      <c r="L346" s="104"/>
      <c r="M346" s="100"/>
      <c r="N346" s="100"/>
      <c r="O346" s="100"/>
      <c r="P346" s="100"/>
      <c r="Q346" s="105"/>
      <c r="R346" s="105"/>
      <c r="S346" s="169"/>
      <c r="T346" s="300" t="str">
        <f>CONCATENATE([1]Cover!$D$6,"fdd/view?i=",S346)</f>
        <v>https://www.dgiwg.org/FAD/fdd/view?i=</v>
      </c>
      <c r="U346" s="188"/>
    </row>
    <row r="347" spans="1:21" ht="25.5">
      <c r="A347" s="67" t="s">
        <v>6094</v>
      </c>
      <c r="B347" s="87" t="s">
        <v>6094</v>
      </c>
      <c r="C347" s="88" t="s">
        <v>11840</v>
      </c>
      <c r="D347" s="89"/>
      <c r="E347" s="90"/>
      <c r="F347" s="91" t="s">
        <v>11841</v>
      </c>
      <c r="G347" s="90"/>
      <c r="H347" s="90"/>
      <c r="I347" s="92"/>
      <c r="J347" s="93"/>
      <c r="K347" s="94"/>
      <c r="L347" s="149" t="str">
        <f>HYPERLINK("[#]DatatypeListedValues!B2227:H2227","Enumeration")</f>
        <v>Enumeration</v>
      </c>
      <c r="M347" s="91" t="b">
        <v>1</v>
      </c>
      <c r="N347" s="90"/>
      <c r="O347" s="95"/>
      <c r="P347" s="90"/>
      <c r="Q347" s="96"/>
      <c r="R347" s="97"/>
      <c r="S347" s="169"/>
      <c r="U347" s="188"/>
    </row>
    <row r="348" spans="1:21" ht="2.1" customHeight="1">
      <c r="A348" s="98"/>
      <c r="B348" s="87"/>
      <c r="C348" s="99"/>
      <c r="D348" s="87"/>
      <c r="E348" s="99"/>
      <c r="F348" s="100"/>
      <c r="G348" s="100"/>
      <c r="H348" s="100"/>
      <c r="I348" s="101"/>
      <c r="J348" s="106"/>
      <c r="K348" s="103"/>
      <c r="L348" s="104"/>
      <c r="M348" s="100"/>
      <c r="N348" s="100"/>
      <c r="O348" s="100"/>
      <c r="P348" s="100"/>
      <c r="Q348" s="105"/>
      <c r="R348" s="105"/>
      <c r="S348" s="169"/>
      <c r="T348" s="300" t="str">
        <f>CONCATENATE([1]Cover!$D$6,"fdd/view?i=",S348)</f>
        <v>https://www.dgiwg.org/FAD/fdd/view?i=</v>
      </c>
      <c r="U348" s="188"/>
    </row>
    <row r="349" spans="1:21" ht="25.5">
      <c r="A349" s="63" t="s">
        <v>6099</v>
      </c>
      <c r="B349" s="329" t="s">
        <v>6099</v>
      </c>
      <c r="C349" s="326" t="s">
        <v>11842</v>
      </c>
      <c r="D349" s="109"/>
      <c r="E349" s="110"/>
      <c r="F349" s="111" t="s">
        <v>11843</v>
      </c>
      <c r="G349" s="110"/>
      <c r="H349" s="110"/>
      <c r="I349" s="112"/>
      <c r="J349" s="113"/>
      <c r="K349" s="114"/>
      <c r="L349" s="115" t="s">
        <v>11429</v>
      </c>
      <c r="M349" s="110"/>
      <c r="N349" s="110"/>
      <c r="O349" s="116"/>
      <c r="P349" s="110"/>
      <c r="Q349" s="117"/>
      <c r="R349" s="118"/>
      <c r="S349" s="169"/>
      <c r="U349" s="188"/>
    </row>
    <row r="350" spans="1:21" ht="25.5">
      <c r="A350" s="64" t="s">
        <v>33700</v>
      </c>
      <c r="B350" s="330"/>
      <c r="C350" s="327"/>
      <c r="D350" s="132" t="s">
        <v>11844</v>
      </c>
      <c r="E350" s="138" t="s">
        <v>11845</v>
      </c>
      <c r="F350" s="70" t="s">
        <v>11846</v>
      </c>
      <c r="G350" s="68"/>
      <c r="H350" s="68"/>
      <c r="I350" s="133" t="s">
        <v>11438</v>
      </c>
      <c r="J350" s="142"/>
      <c r="K350" s="135" t="s">
        <v>11847</v>
      </c>
      <c r="L350" s="150" t="str">
        <f>HYPERLINK("[#]Datatypes!B1374:L1374","Telephone")</f>
        <v>Telephone</v>
      </c>
      <c r="M350" s="122"/>
      <c r="N350" s="122"/>
      <c r="O350" s="122"/>
      <c r="P350" s="122"/>
      <c r="Q350" s="123"/>
      <c r="R350" s="124"/>
      <c r="S350" s="169"/>
      <c r="T350" s="300" t="str">
        <f>CONCATENATE([1]Cover!$D$6,"fdd/view?i=",S350)</f>
        <v>https://www.dgiwg.org/FAD/fdd/view?i=</v>
      </c>
      <c r="U350" s="188"/>
    </row>
    <row r="351" spans="1:21" ht="25.5">
      <c r="A351" s="64" t="s">
        <v>33701</v>
      </c>
      <c r="B351" s="330"/>
      <c r="C351" s="327"/>
      <c r="D351" s="136" t="s">
        <v>4720</v>
      </c>
      <c r="E351" s="139" t="s">
        <v>4721</v>
      </c>
      <c r="F351" s="8" t="s">
        <v>11849</v>
      </c>
      <c r="G351" s="54"/>
      <c r="H351" s="54"/>
      <c r="I351" s="119" t="s">
        <v>11438</v>
      </c>
      <c r="J351" s="125"/>
      <c r="K351" s="121" t="s">
        <v>4723</v>
      </c>
      <c r="L351" s="151" t="str">
        <f>HYPERLINK("[#]Datatypes!B14:L14","Address")</f>
        <v>Address</v>
      </c>
      <c r="M351" s="122"/>
      <c r="N351" s="122"/>
      <c r="O351" s="122"/>
      <c r="P351" s="122"/>
      <c r="Q351" s="123"/>
      <c r="R351" s="124"/>
      <c r="S351" s="169"/>
      <c r="U351" s="188"/>
    </row>
    <row r="352" spans="1:21" ht="25.5">
      <c r="A352" s="64" t="s">
        <v>33702</v>
      </c>
      <c r="B352" s="330"/>
      <c r="C352" s="327"/>
      <c r="D352" s="136" t="s">
        <v>11850</v>
      </c>
      <c r="E352" s="139" t="s">
        <v>11851</v>
      </c>
      <c r="F352" s="8" t="s">
        <v>11852</v>
      </c>
      <c r="G352" s="54"/>
      <c r="H352" s="54"/>
      <c r="I352" s="119" t="s">
        <v>11438</v>
      </c>
      <c r="J352" s="125"/>
      <c r="K352" s="121" t="s">
        <v>11853</v>
      </c>
      <c r="L352" s="151" t="str">
        <f>HYPERLINK("[#]Datatypes!B987:L987","Online Resource")</f>
        <v>Online Resource</v>
      </c>
      <c r="M352" s="122"/>
      <c r="N352" s="122"/>
      <c r="O352" s="122"/>
      <c r="P352" s="122"/>
      <c r="Q352" s="123"/>
      <c r="R352" s="124"/>
      <c r="S352" s="169"/>
      <c r="T352" s="300" t="str">
        <f>CONCATENATE([1]Cover!$D$6,"fdd/view?i=",S352)</f>
        <v>https://www.dgiwg.org/FAD/fdd/view?i=</v>
      </c>
      <c r="U352" s="188"/>
    </row>
    <row r="353" spans="1:21" ht="25.5">
      <c r="A353" s="64" t="s">
        <v>33703</v>
      </c>
      <c r="B353" s="330"/>
      <c r="C353" s="327"/>
      <c r="D353" s="136" t="s">
        <v>11854</v>
      </c>
      <c r="E353" s="139" t="s">
        <v>11855</v>
      </c>
      <c r="F353" s="8" t="s">
        <v>11856</v>
      </c>
      <c r="G353" s="54"/>
      <c r="H353" s="54"/>
      <c r="I353" s="119" t="s">
        <v>11438</v>
      </c>
      <c r="J353" s="125"/>
      <c r="K353" s="121" t="s">
        <v>6543</v>
      </c>
      <c r="L353" s="151" t="str">
        <f>HYPERLINK("[#]Datatypes!B1396:L1396","Text")</f>
        <v>Text</v>
      </c>
      <c r="M353" s="122"/>
      <c r="N353" s="122"/>
      <c r="O353" s="122"/>
      <c r="P353" s="122"/>
      <c r="Q353" s="123"/>
      <c r="R353" s="124"/>
      <c r="S353" s="169"/>
      <c r="U353" s="188"/>
    </row>
    <row r="354" spans="1:21" ht="25.5">
      <c r="A354" s="65" t="s">
        <v>33704</v>
      </c>
      <c r="B354" s="331"/>
      <c r="C354" s="328"/>
      <c r="D354" s="137" t="s">
        <v>11857</v>
      </c>
      <c r="E354" s="140" t="s">
        <v>11858</v>
      </c>
      <c r="F354" s="66" t="s">
        <v>11859</v>
      </c>
      <c r="G354" s="69"/>
      <c r="H354" s="69"/>
      <c r="I354" s="126" t="s">
        <v>11438</v>
      </c>
      <c r="J354" s="141"/>
      <c r="K354" s="128" t="s">
        <v>6543</v>
      </c>
      <c r="L354" s="152" t="str">
        <f>HYPERLINK("[#]Datatypes!B1396:L1396","Text")</f>
        <v>Text</v>
      </c>
      <c r="M354" s="129"/>
      <c r="N354" s="129"/>
      <c r="O354" s="129"/>
      <c r="P354" s="129"/>
      <c r="Q354" s="130"/>
      <c r="R354" s="131"/>
      <c r="S354" s="169"/>
      <c r="T354" s="300" t="str">
        <f>CONCATENATE([1]Cover!$D$6,"fdd/view?i=",S354)</f>
        <v>https://www.dgiwg.org/FAD/fdd/view?i=</v>
      </c>
      <c r="U354" s="188"/>
    </row>
    <row r="355" spans="1:21" ht="2.1" customHeight="1">
      <c r="A355" s="98"/>
      <c r="B355" s="87"/>
      <c r="C355" s="99"/>
      <c r="D355" s="87"/>
      <c r="E355" s="99"/>
      <c r="F355" s="100"/>
      <c r="G355" s="100"/>
      <c r="H355" s="100"/>
      <c r="I355" s="101"/>
      <c r="J355" s="106"/>
      <c r="K355" s="103"/>
      <c r="L355" s="104"/>
      <c r="M355" s="100"/>
      <c r="N355" s="100"/>
      <c r="O355" s="100"/>
      <c r="P355" s="100"/>
      <c r="Q355" s="105"/>
      <c r="R355" s="105"/>
      <c r="S355" s="169"/>
      <c r="U355" s="188"/>
    </row>
    <row r="356" spans="1:21" ht="25.5">
      <c r="A356" s="67" t="s">
        <v>6104</v>
      </c>
      <c r="B356" s="87" t="s">
        <v>6104</v>
      </c>
      <c r="C356" s="88" t="s">
        <v>11860</v>
      </c>
      <c r="D356" s="89"/>
      <c r="E356" s="90"/>
      <c r="F356" s="91" t="s">
        <v>11861</v>
      </c>
      <c r="G356" s="90"/>
      <c r="H356" s="90"/>
      <c r="I356" s="92"/>
      <c r="J356" s="93"/>
      <c r="K356" s="94"/>
      <c r="L356" s="149" t="str">
        <f>HYPERLINK("[#]DatatypeListedValues!B2235:H2235","Enumeration")</f>
        <v>Enumeration</v>
      </c>
      <c r="M356" s="107" t="b">
        <v>0</v>
      </c>
      <c r="N356" s="90"/>
      <c r="O356" s="95"/>
      <c r="P356" s="90"/>
      <c r="Q356" s="96"/>
      <c r="R356" s="97"/>
      <c r="S356" s="169"/>
      <c r="T356" s="300" t="str">
        <f>CONCATENATE([1]Cover!$D$6,"fdd/view?i=",S356)</f>
        <v>https://www.dgiwg.org/FAD/fdd/view?i=</v>
      </c>
      <c r="U356" s="188"/>
    </row>
    <row r="357" spans="1:21" ht="2.1" customHeight="1">
      <c r="A357" s="98"/>
      <c r="B357" s="87"/>
      <c r="C357" s="99"/>
      <c r="D357" s="87"/>
      <c r="E357" s="99"/>
      <c r="F357" s="100"/>
      <c r="G357" s="100"/>
      <c r="H357" s="100"/>
      <c r="I357" s="101"/>
      <c r="J357" s="106"/>
      <c r="K357" s="103"/>
      <c r="L357" s="104"/>
      <c r="M357" s="100"/>
      <c r="N357" s="100"/>
      <c r="O357" s="100"/>
      <c r="P357" s="100"/>
      <c r="Q357" s="105"/>
      <c r="R357" s="105"/>
      <c r="S357" s="169"/>
      <c r="U357" s="188"/>
    </row>
    <row r="358" spans="1:21">
      <c r="A358" s="67" t="s">
        <v>6110</v>
      </c>
      <c r="B358" s="87" t="s">
        <v>6110</v>
      </c>
      <c r="C358" s="88" t="s">
        <v>11862</v>
      </c>
      <c r="D358" s="89"/>
      <c r="E358" s="90"/>
      <c r="F358" s="91" t="s">
        <v>11863</v>
      </c>
      <c r="G358" s="90"/>
      <c r="H358" s="90"/>
      <c r="I358" s="92"/>
      <c r="J358" s="93"/>
      <c r="K358" s="94"/>
      <c r="L358" s="149" t="str">
        <f>HYPERLINK("[#]DatatypeListedValues!B2238:H2238","Enumeration")</f>
        <v>Enumeration</v>
      </c>
      <c r="M358" s="107" t="b">
        <v>0</v>
      </c>
      <c r="N358" s="90"/>
      <c r="O358" s="95"/>
      <c r="P358" s="90"/>
      <c r="Q358" s="96"/>
      <c r="R358" s="97"/>
      <c r="S358" s="169"/>
      <c r="T358" s="300" t="str">
        <f>CONCATENATE([1]Cover!$D$6,"fdd/view?i=",S358)</f>
        <v>https://www.dgiwg.org/FAD/fdd/view?i=</v>
      </c>
      <c r="U358" s="188"/>
    </row>
    <row r="359" spans="1:21" ht="2.1" customHeight="1">
      <c r="A359" s="98"/>
      <c r="B359" s="87"/>
      <c r="C359" s="99"/>
      <c r="D359" s="87"/>
      <c r="E359" s="99"/>
      <c r="F359" s="100"/>
      <c r="G359" s="100"/>
      <c r="H359" s="100"/>
      <c r="I359" s="101"/>
      <c r="J359" s="106"/>
      <c r="K359" s="103"/>
      <c r="L359" s="104"/>
      <c r="M359" s="100"/>
      <c r="N359" s="100"/>
      <c r="O359" s="100"/>
      <c r="P359" s="100"/>
      <c r="Q359" s="105"/>
      <c r="R359" s="105"/>
      <c r="S359" s="169"/>
      <c r="U359" s="188"/>
    </row>
    <row r="360" spans="1:21" ht="25.5">
      <c r="A360" s="67" t="s">
        <v>8414</v>
      </c>
      <c r="B360" s="87" t="s">
        <v>8414</v>
      </c>
      <c r="C360" s="88" t="s">
        <v>11864</v>
      </c>
      <c r="D360" s="89"/>
      <c r="E360" s="90"/>
      <c r="F360" s="91" t="s">
        <v>11865</v>
      </c>
      <c r="G360" s="90"/>
      <c r="H360" s="90"/>
      <c r="I360" s="92"/>
      <c r="J360" s="93"/>
      <c r="K360" s="94"/>
      <c r="L360" s="149" t="str">
        <f>HYPERLINK("[#]DatatypeListedValues!B2244:H2244","Enumeration")</f>
        <v>Enumeration</v>
      </c>
      <c r="M360" s="107" t="b">
        <v>0</v>
      </c>
      <c r="N360" s="90"/>
      <c r="O360" s="95"/>
      <c r="P360" s="90"/>
      <c r="Q360" s="96"/>
      <c r="R360" s="97"/>
      <c r="S360" s="169"/>
      <c r="T360" s="300" t="str">
        <f>CONCATENATE([1]Cover!$D$6,"fdd/view?i=",S360)</f>
        <v>https://www.dgiwg.org/FAD/fdd/view?i=</v>
      </c>
      <c r="U360" s="188"/>
    </row>
    <row r="361" spans="1:21" ht="2.1" customHeight="1">
      <c r="A361" s="98"/>
      <c r="B361" s="87"/>
      <c r="C361" s="99"/>
      <c r="D361" s="87"/>
      <c r="E361" s="99"/>
      <c r="F361" s="100"/>
      <c r="G361" s="100"/>
      <c r="H361" s="100"/>
      <c r="I361" s="101"/>
      <c r="J361" s="106"/>
      <c r="K361" s="103"/>
      <c r="L361" s="104"/>
      <c r="M361" s="100"/>
      <c r="N361" s="100"/>
      <c r="O361" s="100"/>
      <c r="P361" s="100"/>
      <c r="Q361" s="105"/>
      <c r="R361" s="105"/>
      <c r="S361" s="169"/>
      <c r="U361" s="188"/>
    </row>
    <row r="362" spans="1:21" ht="25.5">
      <c r="A362" s="67" t="s">
        <v>6135</v>
      </c>
      <c r="B362" s="87" t="s">
        <v>6135</v>
      </c>
      <c r="C362" s="88" t="s">
        <v>11866</v>
      </c>
      <c r="D362" s="89"/>
      <c r="E362" s="90"/>
      <c r="F362" s="91" t="s">
        <v>11867</v>
      </c>
      <c r="G362" s="90"/>
      <c r="H362" s="90"/>
      <c r="I362" s="92"/>
      <c r="J362" s="93"/>
      <c r="K362" s="94"/>
      <c r="L362" s="149" t="str">
        <f>HYPERLINK("[#]DatatypeListedValues!B2248:H2248","Enumeration")</f>
        <v>Enumeration</v>
      </c>
      <c r="M362" s="107" t="b">
        <v>0</v>
      </c>
      <c r="N362" s="90"/>
      <c r="O362" s="95"/>
      <c r="P362" s="90"/>
      <c r="Q362" s="96"/>
      <c r="R362" s="97"/>
      <c r="S362" s="169"/>
      <c r="T362" s="300" t="str">
        <f>CONCATENATE([1]Cover!$D$6,"fdd/view?i=",S362)</f>
        <v>https://www.dgiwg.org/FAD/fdd/view?i=</v>
      </c>
      <c r="U362" s="188"/>
    </row>
    <row r="363" spans="1:21" ht="2.1" customHeight="1">
      <c r="A363" s="98"/>
      <c r="B363" s="87"/>
      <c r="C363" s="99"/>
      <c r="D363" s="87"/>
      <c r="E363" s="99"/>
      <c r="F363" s="100"/>
      <c r="G363" s="100"/>
      <c r="H363" s="100"/>
      <c r="I363" s="101"/>
      <c r="J363" s="106"/>
      <c r="K363" s="103"/>
      <c r="L363" s="104"/>
      <c r="M363" s="100"/>
      <c r="N363" s="100"/>
      <c r="O363" s="100"/>
      <c r="P363" s="100"/>
      <c r="Q363" s="105"/>
      <c r="R363" s="105"/>
      <c r="S363" s="169"/>
      <c r="U363" s="188"/>
    </row>
    <row r="364" spans="1:21" ht="25.5">
      <c r="A364" s="67" t="s">
        <v>6146</v>
      </c>
      <c r="B364" s="87" t="s">
        <v>6146</v>
      </c>
      <c r="C364" s="88" t="s">
        <v>11868</v>
      </c>
      <c r="D364" s="89"/>
      <c r="E364" s="90"/>
      <c r="F364" s="91" t="s">
        <v>11869</v>
      </c>
      <c r="G364" s="90"/>
      <c r="H364" s="90"/>
      <c r="I364" s="92"/>
      <c r="J364" s="93"/>
      <c r="K364" s="94"/>
      <c r="L364" s="149" t="str">
        <f>HYPERLINK("[#]DatatypeListedValues!B2256:H2256","Enumeration")</f>
        <v>Enumeration</v>
      </c>
      <c r="M364" s="107" t="b">
        <v>0</v>
      </c>
      <c r="N364" s="90"/>
      <c r="O364" s="95"/>
      <c r="P364" s="90"/>
      <c r="Q364" s="96"/>
      <c r="R364" s="97"/>
      <c r="S364" s="169"/>
      <c r="T364" s="300" t="str">
        <f>CONCATENATE([1]Cover!$D$6,"fdd/view?i=",S364)</f>
        <v>https://www.dgiwg.org/FAD/fdd/view?i=</v>
      </c>
      <c r="U364" s="188"/>
    </row>
    <row r="365" spans="1:21" ht="2.1" customHeight="1">
      <c r="A365" s="98"/>
      <c r="B365" s="87"/>
      <c r="C365" s="99"/>
      <c r="D365" s="87"/>
      <c r="E365" s="99"/>
      <c r="F365" s="100"/>
      <c r="G365" s="100"/>
      <c r="H365" s="100"/>
      <c r="I365" s="101"/>
      <c r="J365" s="106"/>
      <c r="K365" s="103"/>
      <c r="L365" s="104"/>
      <c r="M365" s="100"/>
      <c r="N365" s="100"/>
      <c r="O365" s="100"/>
      <c r="P365" s="100"/>
      <c r="Q365" s="105"/>
      <c r="R365" s="105"/>
      <c r="S365" s="169"/>
      <c r="U365" s="188"/>
    </row>
    <row r="366" spans="1:21" ht="38.25">
      <c r="A366" s="67" t="s">
        <v>4794</v>
      </c>
      <c r="B366" s="87" t="s">
        <v>4794</v>
      </c>
      <c r="C366" s="88" t="s">
        <v>4794</v>
      </c>
      <c r="D366" s="89"/>
      <c r="E366" s="90"/>
      <c r="F366" s="91" t="s">
        <v>11870</v>
      </c>
      <c r="G366" s="91" t="s">
        <v>11871</v>
      </c>
      <c r="H366" s="91" t="s">
        <v>11872</v>
      </c>
      <c r="I366" s="92"/>
      <c r="J366" s="93"/>
      <c r="K366" s="94"/>
      <c r="L366" s="91" t="s">
        <v>4794</v>
      </c>
      <c r="M366" s="90"/>
      <c r="N366" s="90"/>
      <c r="O366" s="95"/>
      <c r="P366" s="90"/>
      <c r="Q366" s="96"/>
      <c r="R366" s="97"/>
      <c r="S366" s="169"/>
      <c r="T366" s="300" t="str">
        <f>CONCATENATE([1]Cover!$D$6,"fdd/view?i=",S366)</f>
        <v>https://www.dgiwg.org/FAD/fdd/view?i=</v>
      </c>
      <c r="U366" s="188"/>
    </row>
    <row r="367" spans="1:21" ht="2.1" customHeight="1">
      <c r="A367" s="98"/>
      <c r="B367" s="87"/>
      <c r="C367" s="99"/>
      <c r="D367" s="87"/>
      <c r="E367" s="99"/>
      <c r="F367" s="100"/>
      <c r="G367" s="100"/>
      <c r="H367" s="100"/>
      <c r="I367" s="101"/>
      <c r="J367" s="106"/>
      <c r="K367" s="103"/>
      <c r="L367" s="104"/>
      <c r="M367" s="100"/>
      <c r="N367" s="100"/>
      <c r="O367" s="100"/>
      <c r="P367" s="100"/>
      <c r="Q367" s="105"/>
      <c r="R367" s="105"/>
      <c r="S367" s="169"/>
      <c r="U367" s="188"/>
    </row>
    <row r="368" spans="1:21" ht="38.25">
      <c r="A368" s="63" t="s">
        <v>11873</v>
      </c>
      <c r="B368" s="329" t="s">
        <v>11873</v>
      </c>
      <c r="C368" s="326" t="s">
        <v>11874</v>
      </c>
      <c r="D368" s="109"/>
      <c r="E368" s="110"/>
      <c r="F368" s="111" t="s">
        <v>11875</v>
      </c>
      <c r="G368" s="111" t="s">
        <v>11876</v>
      </c>
      <c r="H368" s="111" t="s">
        <v>11513</v>
      </c>
      <c r="I368" s="112"/>
      <c r="J368" s="113"/>
      <c r="K368" s="114"/>
      <c r="L368" s="115" t="s">
        <v>11429</v>
      </c>
      <c r="M368" s="110"/>
      <c r="N368" s="110"/>
      <c r="O368" s="116"/>
      <c r="P368" s="110"/>
      <c r="Q368" s="117"/>
      <c r="R368" s="118"/>
      <c r="S368" s="169"/>
      <c r="T368" s="300" t="str">
        <f>CONCATENATE([1]Cover!$D$6,"fdd/view?i=",S368)</f>
        <v>https://www.dgiwg.org/FAD/fdd/view?i=</v>
      </c>
      <c r="U368" s="188"/>
    </row>
    <row r="369" spans="1:21" ht="38.25">
      <c r="A369" s="64" t="s">
        <v>33705</v>
      </c>
      <c r="B369" s="330"/>
      <c r="C369" s="327"/>
      <c r="D369" s="132" t="s">
        <v>11877</v>
      </c>
      <c r="E369" s="138" t="s">
        <v>11878</v>
      </c>
      <c r="F369" s="70" t="s">
        <v>11879</v>
      </c>
      <c r="G369" s="70" t="s">
        <v>11880</v>
      </c>
      <c r="H369" s="68"/>
      <c r="I369" s="133" t="s">
        <v>4643</v>
      </c>
      <c r="J369" s="142"/>
      <c r="K369" s="135" t="s">
        <v>4794</v>
      </c>
      <c r="L369" s="150" t="str">
        <f>HYPERLINK("[#]Datatypes!B366:L366","Count")</f>
        <v>Count</v>
      </c>
      <c r="M369" s="122"/>
      <c r="N369" s="122"/>
      <c r="O369" s="122"/>
      <c r="P369" s="122"/>
      <c r="Q369" s="123"/>
      <c r="R369" s="124"/>
      <c r="S369" s="169"/>
      <c r="U369" s="188"/>
    </row>
    <row r="370" spans="1:21" ht="38.25">
      <c r="A370" s="64" t="s">
        <v>33706</v>
      </c>
      <c r="B370" s="330"/>
      <c r="C370" s="327"/>
      <c r="D370" s="136" t="s">
        <v>11881</v>
      </c>
      <c r="E370" s="139" t="s">
        <v>11882</v>
      </c>
      <c r="F370" s="8" t="s">
        <v>11883</v>
      </c>
      <c r="G370" s="8" t="s">
        <v>11884</v>
      </c>
      <c r="H370" s="54"/>
      <c r="I370" s="119" t="s">
        <v>4643</v>
      </c>
      <c r="J370" s="125"/>
      <c r="K370" s="121" t="s">
        <v>4794</v>
      </c>
      <c r="L370" s="151" t="str">
        <f>HYPERLINK("[#]Datatypes!B366:L366","Count")</f>
        <v>Count</v>
      </c>
      <c r="M370" s="122"/>
      <c r="N370" s="122"/>
      <c r="O370" s="122"/>
      <c r="P370" s="122"/>
      <c r="Q370" s="123"/>
      <c r="R370" s="124"/>
      <c r="S370" s="169"/>
      <c r="T370" s="300" t="str">
        <f>CONCATENATE([1]Cover!$D$6,"fdd/view?i=",S370)</f>
        <v>https://www.dgiwg.org/FAD/fdd/view?i=</v>
      </c>
      <c r="U370" s="188"/>
    </row>
    <row r="371" spans="1:21" ht="25.5">
      <c r="A371" s="64" t="s">
        <v>33707</v>
      </c>
      <c r="B371" s="330"/>
      <c r="C371" s="327"/>
      <c r="D371" s="136" t="s">
        <v>11885</v>
      </c>
      <c r="E371" s="139" t="s">
        <v>11886</v>
      </c>
      <c r="F371" s="8" t="s">
        <v>11887</v>
      </c>
      <c r="G371" s="8" t="s">
        <v>11888</v>
      </c>
      <c r="H371" s="54"/>
      <c r="I371" s="119" t="s">
        <v>4643</v>
      </c>
      <c r="J371" s="125"/>
      <c r="K371" s="121" t="s">
        <v>11889</v>
      </c>
      <c r="L371" s="151" t="str">
        <f>HYPERLINK("[#]Datatypes!B730:L730","Interval Closure Type Code")</f>
        <v>Interval Closure Type Code</v>
      </c>
      <c r="M371" s="122"/>
      <c r="N371" s="122"/>
      <c r="O371" s="122"/>
      <c r="P371" s="122"/>
      <c r="Q371" s="123"/>
      <c r="R371" s="124"/>
      <c r="S371" s="169"/>
      <c r="U371" s="188"/>
    </row>
    <row r="372" spans="1:21" ht="38.25">
      <c r="A372" s="65" t="s">
        <v>33686</v>
      </c>
      <c r="B372" s="331"/>
      <c r="C372" s="328"/>
      <c r="D372" s="137" t="s">
        <v>11682</v>
      </c>
      <c r="E372" s="140" t="s">
        <v>11683</v>
      </c>
      <c r="F372" s="66" t="s">
        <v>11684</v>
      </c>
      <c r="G372" s="66" t="s">
        <v>11685</v>
      </c>
      <c r="H372" s="69"/>
      <c r="I372" s="126" t="s">
        <v>4643</v>
      </c>
      <c r="J372" s="141"/>
      <c r="K372" s="128" t="s">
        <v>11686</v>
      </c>
      <c r="L372" s="152" t="str">
        <f>HYPERLINK("[#]Datatypes!B1544:L1544","Void Value Reason Code")</f>
        <v>Void Value Reason Code</v>
      </c>
      <c r="M372" s="129"/>
      <c r="N372" s="129"/>
      <c r="O372" s="129"/>
      <c r="P372" s="129"/>
      <c r="Q372" s="130"/>
      <c r="R372" s="131"/>
      <c r="S372" s="169"/>
      <c r="T372" s="300" t="str">
        <f>CONCATENATE([1]Cover!$D$6,"fdd/view?i=",S372)</f>
        <v>https://www.dgiwg.org/FAD/fdd/view?i=</v>
      </c>
      <c r="U372" s="188"/>
    </row>
    <row r="373" spans="1:21" ht="2.1" customHeight="1">
      <c r="A373" s="98"/>
      <c r="B373" s="87"/>
      <c r="C373" s="99"/>
      <c r="D373" s="87"/>
      <c r="E373" s="99"/>
      <c r="F373" s="100"/>
      <c r="G373" s="100"/>
      <c r="H373" s="100"/>
      <c r="I373" s="101"/>
      <c r="J373" s="106"/>
      <c r="K373" s="103"/>
      <c r="L373" s="104"/>
      <c r="M373" s="100"/>
      <c r="N373" s="100"/>
      <c r="O373" s="100"/>
      <c r="P373" s="100"/>
      <c r="Q373" s="105"/>
      <c r="R373" s="105"/>
      <c r="S373" s="169"/>
      <c r="U373" s="188"/>
    </row>
    <row r="374" spans="1:21" ht="38.25">
      <c r="A374" s="63" t="s">
        <v>11891</v>
      </c>
      <c r="B374" s="329" t="s">
        <v>11891</v>
      </c>
      <c r="C374" s="326" t="s">
        <v>11892</v>
      </c>
      <c r="D374" s="109"/>
      <c r="E374" s="110"/>
      <c r="F374" s="111" t="s">
        <v>11893</v>
      </c>
      <c r="G374" s="111" t="s">
        <v>11871</v>
      </c>
      <c r="H374" s="111" t="s">
        <v>11513</v>
      </c>
      <c r="I374" s="112"/>
      <c r="J374" s="113"/>
      <c r="K374" s="114"/>
      <c r="L374" s="115" t="s">
        <v>11429</v>
      </c>
      <c r="M374" s="110"/>
      <c r="N374" s="110"/>
      <c r="O374" s="116"/>
      <c r="P374" s="110"/>
      <c r="Q374" s="117"/>
      <c r="R374" s="118"/>
      <c r="S374" s="169"/>
      <c r="T374" s="300" t="str">
        <f>CONCATENATE([1]Cover!$D$6,"fdd/view?i=",S374)</f>
        <v>https://www.dgiwg.org/FAD/fdd/view?i=</v>
      </c>
      <c r="U374" s="188"/>
    </row>
    <row r="375" spans="1:21" ht="25.5">
      <c r="A375" s="64" t="s">
        <v>33685</v>
      </c>
      <c r="B375" s="330"/>
      <c r="C375" s="327"/>
      <c r="D375" s="132" t="s">
        <v>11678</v>
      </c>
      <c r="E375" s="138" t="s">
        <v>11894</v>
      </c>
      <c r="F375" s="70" t="s">
        <v>11895</v>
      </c>
      <c r="G375" s="70" t="s">
        <v>11896</v>
      </c>
      <c r="H375" s="68"/>
      <c r="I375" s="133" t="s">
        <v>4643</v>
      </c>
      <c r="J375" s="142"/>
      <c r="K375" s="135" t="s">
        <v>4794</v>
      </c>
      <c r="L375" s="150" t="str">
        <f>HYPERLINK("[#]Datatypes!B366:L366","Count")</f>
        <v>Count</v>
      </c>
      <c r="M375" s="122"/>
      <c r="N375" s="122"/>
      <c r="O375" s="122"/>
      <c r="P375" s="122"/>
      <c r="Q375" s="123"/>
      <c r="R375" s="124"/>
      <c r="S375" s="169"/>
      <c r="U375" s="188"/>
    </row>
    <row r="376" spans="1:21" ht="38.25">
      <c r="A376" s="65" t="s">
        <v>33686</v>
      </c>
      <c r="B376" s="331"/>
      <c r="C376" s="328"/>
      <c r="D376" s="137" t="s">
        <v>11682</v>
      </c>
      <c r="E376" s="140" t="s">
        <v>11683</v>
      </c>
      <c r="F376" s="66" t="s">
        <v>11684</v>
      </c>
      <c r="G376" s="66" t="s">
        <v>11685</v>
      </c>
      <c r="H376" s="69"/>
      <c r="I376" s="126" t="s">
        <v>4643</v>
      </c>
      <c r="J376" s="141"/>
      <c r="K376" s="128" t="s">
        <v>11686</v>
      </c>
      <c r="L376" s="152" t="str">
        <f>HYPERLINK("[#]Datatypes!B1544:L1544","Void Value Reason Code")</f>
        <v>Void Value Reason Code</v>
      </c>
      <c r="M376" s="129"/>
      <c r="N376" s="129"/>
      <c r="O376" s="129"/>
      <c r="P376" s="129"/>
      <c r="Q376" s="130"/>
      <c r="R376" s="131"/>
      <c r="S376" s="169"/>
      <c r="T376" s="300" t="str">
        <f>CONCATENATE([1]Cover!$D$6,"fdd/view?i=",S376)</f>
        <v>https://www.dgiwg.org/FAD/fdd/view?i=</v>
      </c>
      <c r="U376" s="188"/>
    </row>
    <row r="377" spans="1:21" ht="2.1" customHeight="1">
      <c r="A377" s="98"/>
      <c r="B377" s="87"/>
      <c r="C377" s="99"/>
      <c r="D377" s="87"/>
      <c r="E377" s="99"/>
      <c r="F377" s="100"/>
      <c r="G377" s="100"/>
      <c r="H377" s="100"/>
      <c r="I377" s="101"/>
      <c r="J377" s="106"/>
      <c r="K377" s="103"/>
      <c r="L377" s="104"/>
      <c r="M377" s="100"/>
      <c r="N377" s="100"/>
      <c r="O377" s="100"/>
      <c r="P377" s="100"/>
      <c r="Q377" s="105"/>
      <c r="R377" s="105"/>
      <c r="S377" s="169"/>
      <c r="U377" s="188"/>
    </row>
    <row r="378" spans="1:21" ht="38.25">
      <c r="A378" s="67" t="s">
        <v>8009</v>
      </c>
      <c r="B378" s="87" t="s">
        <v>8009</v>
      </c>
      <c r="C378" s="88" t="s">
        <v>11897</v>
      </c>
      <c r="D378" s="89"/>
      <c r="E378" s="90"/>
      <c r="F378" s="91" t="s">
        <v>11898</v>
      </c>
      <c r="G378" s="90"/>
      <c r="H378" s="91" t="s">
        <v>11744</v>
      </c>
      <c r="I378" s="92"/>
      <c r="J378" s="93"/>
      <c r="K378" s="94"/>
      <c r="L378" s="153" t="s">
        <v>11414</v>
      </c>
      <c r="M378" s="91" t="b">
        <v>1</v>
      </c>
      <c r="N378" s="90"/>
      <c r="O378" s="95"/>
      <c r="P378" s="91" t="s">
        <v>11753</v>
      </c>
      <c r="Q378" s="96"/>
      <c r="R378" s="97"/>
      <c r="S378" s="169"/>
      <c r="T378" s="300" t="str">
        <f>CONCATENATE([1]Cover!$D$6,"fdd/view?i=",S378)</f>
        <v>https://www.dgiwg.org/FAD/fdd/view?i=</v>
      </c>
      <c r="U378" s="188"/>
    </row>
    <row r="379" spans="1:21" ht="2.1" customHeight="1">
      <c r="A379" s="98"/>
      <c r="B379" s="87"/>
      <c r="C379" s="99"/>
      <c r="D379" s="87"/>
      <c r="E379" s="99"/>
      <c r="F379" s="100"/>
      <c r="G379" s="100"/>
      <c r="H379" s="100"/>
      <c r="I379" s="101"/>
      <c r="J379" s="106"/>
      <c r="K379" s="103"/>
      <c r="L379" s="104"/>
      <c r="M379" s="100"/>
      <c r="N379" s="100"/>
      <c r="O379" s="100"/>
      <c r="P379" s="100"/>
      <c r="Q379" s="105"/>
      <c r="R379" s="105"/>
      <c r="S379" s="169"/>
      <c r="U379" s="188"/>
    </row>
    <row r="380" spans="1:21">
      <c r="A380" s="67" t="s">
        <v>6170</v>
      </c>
      <c r="B380" s="87" t="s">
        <v>6170</v>
      </c>
      <c r="C380" s="88" t="s">
        <v>11899</v>
      </c>
      <c r="D380" s="89"/>
      <c r="E380" s="90"/>
      <c r="F380" s="91" t="s">
        <v>11900</v>
      </c>
      <c r="G380" s="90"/>
      <c r="H380" s="90"/>
      <c r="I380" s="92"/>
      <c r="J380" s="93"/>
      <c r="K380" s="94"/>
      <c r="L380" s="149" t="str">
        <f>HYPERLINK("[#]DatatypeListedValues!B2268:H2268","Enumeration")</f>
        <v>Enumeration</v>
      </c>
      <c r="M380" s="107" t="b">
        <v>0</v>
      </c>
      <c r="N380" s="90"/>
      <c r="O380" s="95"/>
      <c r="P380" s="90"/>
      <c r="Q380" s="96"/>
      <c r="R380" s="97"/>
      <c r="S380" s="169"/>
      <c r="T380" s="300" t="str">
        <f>CONCATENATE([1]Cover!$D$6,"fdd/view?i=",S380)</f>
        <v>https://www.dgiwg.org/FAD/fdd/view?i=</v>
      </c>
      <c r="U380" s="188"/>
    </row>
    <row r="381" spans="1:21" ht="2.1" customHeight="1">
      <c r="A381" s="98"/>
      <c r="B381" s="87"/>
      <c r="C381" s="99"/>
      <c r="D381" s="87"/>
      <c r="E381" s="99"/>
      <c r="F381" s="100"/>
      <c r="G381" s="100"/>
      <c r="H381" s="100"/>
      <c r="I381" s="101"/>
      <c r="J381" s="106"/>
      <c r="K381" s="103"/>
      <c r="L381" s="104"/>
      <c r="M381" s="100"/>
      <c r="N381" s="100"/>
      <c r="O381" s="100"/>
      <c r="P381" s="100"/>
      <c r="Q381" s="105"/>
      <c r="R381" s="105"/>
      <c r="S381" s="169"/>
      <c r="U381" s="188"/>
    </row>
    <row r="382" spans="1:21">
      <c r="A382" s="67" t="s">
        <v>6175</v>
      </c>
      <c r="B382" s="87" t="s">
        <v>6175</v>
      </c>
      <c r="C382" s="88" t="s">
        <v>11901</v>
      </c>
      <c r="D382" s="89"/>
      <c r="E382" s="90"/>
      <c r="F382" s="91" t="s">
        <v>11902</v>
      </c>
      <c r="G382" s="90"/>
      <c r="H382" s="90"/>
      <c r="I382" s="92"/>
      <c r="J382" s="93"/>
      <c r="K382" s="94"/>
      <c r="L382" s="149" t="str">
        <f>HYPERLINK("[#]DatatypeListedValues!B2274:H2274","Enumeration")</f>
        <v>Enumeration</v>
      </c>
      <c r="M382" s="91" t="b">
        <v>1</v>
      </c>
      <c r="N382" s="90"/>
      <c r="O382" s="95"/>
      <c r="P382" s="90"/>
      <c r="Q382" s="96"/>
      <c r="R382" s="97"/>
      <c r="S382" s="169"/>
      <c r="T382" s="300" t="str">
        <f>CONCATENATE([1]Cover!$D$6,"fdd/view?i=",S382)</f>
        <v>https://www.dgiwg.org/FAD/fdd/view?i=</v>
      </c>
      <c r="U382" s="188"/>
    </row>
    <row r="383" spans="1:21" ht="2.1" customHeight="1">
      <c r="A383" s="98"/>
      <c r="B383" s="87"/>
      <c r="C383" s="99"/>
      <c r="D383" s="87"/>
      <c r="E383" s="99"/>
      <c r="F383" s="100"/>
      <c r="G383" s="100"/>
      <c r="H383" s="100"/>
      <c r="I383" s="101"/>
      <c r="J383" s="106"/>
      <c r="K383" s="103"/>
      <c r="L383" s="104"/>
      <c r="M383" s="100"/>
      <c r="N383" s="100"/>
      <c r="O383" s="100"/>
      <c r="P383" s="100"/>
      <c r="Q383" s="105"/>
      <c r="R383" s="105"/>
      <c r="S383" s="169"/>
      <c r="U383" s="188"/>
    </row>
    <row r="384" spans="1:21" ht="25.5">
      <c r="A384" s="67" t="s">
        <v>6192</v>
      </c>
      <c r="B384" s="87" t="s">
        <v>6192</v>
      </c>
      <c r="C384" s="88" t="s">
        <v>11903</v>
      </c>
      <c r="D384" s="89"/>
      <c r="E384" s="90"/>
      <c r="F384" s="91" t="s">
        <v>11904</v>
      </c>
      <c r="G384" s="90"/>
      <c r="H384" s="90"/>
      <c r="I384" s="92"/>
      <c r="J384" s="93"/>
      <c r="K384" s="94"/>
      <c r="L384" s="149" t="str">
        <f>HYPERLINK("[#]DatatypeListedValues!B2278:H2278","Enumeration")</f>
        <v>Enumeration</v>
      </c>
      <c r="M384" s="107" t="b">
        <v>0</v>
      </c>
      <c r="N384" s="90"/>
      <c r="O384" s="95"/>
      <c r="P384" s="90"/>
      <c r="Q384" s="96"/>
      <c r="R384" s="97"/>
      <c r="S384" s="169"/>
      <c r="T384" s="300" t="str">
        <f>CONCATENATE([1]Cover!$D$6,"fdd/view?i=",S384)</f>
        <v>https://www.dgiwg.org/FAD/fdd/view?i=</v>
      </c>
      <c r="U384" s="188"/>
    </row>
    <row r="385" spans="1:21" ht="2.1" customHeight="1">
      <c r="A385" s="98"/>
      <c r="B385" s="87"/>
      <c r="C385" s="99"/>
      <c r="D385" s="87"/>
      <c r="E385" s="99"/>
      <c r="F385" s="100"/>
      <c r="G385" s="100"/>
      <c r="H385" s="100"/>
      <c r="I385" s="101"/>
      <c r="J385" s="106"/>
      <c r="K385" s="103"/>
      <c r="L385" s="104"/>
      <c r="M385" s="100"/>
      <c r="N385" s="100"/>
      <c r="O385" s="100"/>
      <c r="P385" s="100"/>
      <c r="Q385" s="105"/>
      <c r="R385" s="105"/>
      <c r="S385" s="169"/>
      <c r="U385" s="188"/>
    </row>
    <row r="386" spans="1:21">
      <c r="A386" s="67" t="s">
        <v>6201</v>
      </c>
      <c r="B386" s="87" t="s">
        <v>6201</v>
      </c>
      <c r="C386" s="88" t="s">
        <v>11905</v>
      </c>
      <c r="D386" s="89"/>
      <c r="E386" s="90"/>
      <c r="F386" s="91" t="s">
        <v>11906</v>
      </c>
      <c r="G386" s="90"/>
      <c r="H386" s="90"/>
      <c r="I386" s="92"/>
      <c r="J386" s="93"/>
      <c r="K386" s="94"/>
      <c r="L386" s="149" t="str">
        <f>HYPERLINK("[#]DatatypeListedValues!B2282:H2282","Enumeration")</f>
        <v>Enumeration</v>
      </c>
      <c r="M386" s="107" t="b">
        <v>0</v>
      </c>
      <c r="N386" s="90"/>
      <c r="O386" s="95"/>
      <c r="P386" s="90"/>
      <c r="Q386" s="96"/>
      <c r="R386" s="97"/>
      <c r="S386" s="169"/>
      <c r="T386" s="300" t="str">
        <f>CONCATENATE([1]Cover!$D$6,"fdd/view?i=",S386)</f>
        <v>https://www.dgiwg.org/FAD/fdd/view?i=</v>
      </c>
      <c r="U386" s="188"/>
    </row>
    <row r="387" spans="1:21" ht="2.1" customHeight="1">
      <c r="A387" s="98"/>
      <c r="B387" s="87"/>
      <c r="C387" s="99"/>
      <c r="D387" s="87"/>
      <c r="E387" s="99"/>
      <c r="F387" s="100"/>
      <c r="G387" s="100"/>
      <c r="H387" s="100"/>
      <c r="I387" s="101"/>
      <c r="J387" s="106"/>
      <c r="K387" s="103"/>
      <c r="L387" s="104"/>
      <c r="M387" s="100"/>
      <c r="N387" s="100"/>
      <c r="O387" s="100"/>
      <c r="P387" s="100"/>
      <c r="Q387" s="105"/>
      <c r="R387" s="105"/>
      <c r="S387" s="169"/>
      <c r="U387" s="188"/>
    </row>
    <row r="388" spans="1:21" ht="178.5">
      <c r="A388" s="67" t="s">
        <v>6207</v>
      </c>
      <c r="B388" s="87" t="s">
        <v>6207</v>
      </c>
      <c r="C388" s="88" t="s">
        <v>11907</v>
      </c>
      <c r="D388" s="89"/>
      <c r="E388" s="90"/>
      <c r="F388" s="91" t="s">
        <v>11908</v>
      </c>
      <c r="G388" s="90"/>
      <c r="H388" s="91" t="s">
        <v>11426</v>
      </c>
      <c r="I388" s="92"/>
      <c r="J388" s="93"/>
      <c r="K388" s="94"/>
      <c r="L388" s="91" t="s">
        <v>11425</v>
      </c>
      <c r="M388" s="90"/>
      <c r="N388" s="91">
        <v>20</v>
      </c>
      <c r="O388" s="108" t="b">
        <v>0</v>
      </c>
      <c r="P388" s="91" t="s">
        <v>11909</v>
      </c>
      <c r="Q388" s="96"/>
      <c r="R388" s="97"/>
      <c r="S388" s="169"/>
      <c r="T388" s="300" t="str">
        <f>CONCATENATE([1]Cover!$D$6,"fdd/view?i=",S388)</f>
        <v>https://www.dgiwg.org/FAD/fdd/view?i=</v>
      </c>
      <c r="U388" s="188"/>
    </row>
    <row r="389" spans="1:21" ht="2.1" customHeight="1">
      <c r="A389" s="98"/>
      <c r="B389" s="87"/>
      <c r="C389" s="99"/>
      <c r="D389" s="87"/>
      <c r="E389" s="99"/>
      <c r="F389" s="100"/>
      <c r="G389" s="100"/>
      <c r="H389" s="100"/>
      <c r="I389" s="101"/>
      <c r="J389" s="106"/>
      <c r="K389" s="103"/>
      <c r="L389" s="104"/>
      <c r="M389" s="100"/>
      <c r="N389" s="100"/>
      <c r="O389" s="100"/>
      <c r="P389" s="100"/>
      <c r="Q389" s="105"/>
      <c r="R389" s="105"/>
      <c r="S389" s="169"/>
      <c r="U389" s="188"/>
    </row>
    <row r="390" spans="1:21">
      <c r="A390" s="67" t="s">
        <v>6216</v>
      </c>
      <c r="B390" s="87" t="s">
        <v>6216</v>
      </c>
      <c r="C390" s="88" t="s">
        <v>11910</v>
      </c>
      <c r="D390" s="89"/>
      <c r="E390" s="90"/>
      <c r="F390" s="91" t="s">
        <v>11911</v>
      </c>
      <c r="G390" s="90"/>
      <c r="H390" s="90"/>
      <c r="I390" s="92"/>
      <c r="J390" s="93"/>
      <c r="K390" s="94"/>
      <c r="L390" s="149" t="str">
        <f>HYPERLINK("[#]DatatypeListedValues!B2286:H2286","Enumeration")</f>
        <v>Enumeration</v>
      </c>
      <c r="M390" s="107" t="b">
        <v>0</v>
      </c>
      <c r="N390" s="90"/>
      <c r="O390" s="95"/>
      <c r="P390" s="90"/>
      <c r="Q390" s="96"/>
      <c r="R390" s="97"/>
      <c r="S390" s="169"/>
      <c r="T390" s="300" t="str">
        <f>CONCATENATE([1]Cover!$D$6,"fdd/view?i=",S390)</f>
        <v>https://www.dgiwg.org/FAD/fdd/view?i=</v>
      </c>
      <c r="U390" s="188"/>
    </row>
    <row r="391" spans="1:21" ht="2.1" customHeight="1">
      <c r="A391" s="98"/>
      <c r="B391" s="87"/>
      <c r="C391" s="99"/>
      <c r="D391" s="87"/>
      <c r="E391" s="99"/>
      <c r="F391" s="100"/>
      <c r="G391" s="100"/>
      <c r="H391" s="100"/>
      <c r="I391" s="101"/>
      <c r="J391" s="106"/>
      <c r="K391" s="103"/>
      <c r="L391" s="104"/>
      <c r="M391" s="100"/>
      <c r="N391" s="100"/>
      <c r="O391" s="100"/>
      <c r="P391" s="100"/>
      <c r="Q391" s="105"/>
      <c r="R391" s="105"/>
      <c r="S391" s="169"/>
      <c r="U391" s="188"/>
    </row>
    <row r="392" spans="1:21">
      <c r="A392" s="67" t="s">
        <v>6221</v>
      </c>
      <c r="B392" s="87" t="s">
        <v>6221</v>
      </c>
      <c r="C392" s="88" t="s">
        <v>11912</v>
      </c>
      <c r="D392" s="89"/>
      <c r="E392" s="90"/>
      <c r="F392" s="91" t="s">
        <v>11913</v>
      </c>
      <c r="G392" s="90"/>
      <c r="H392" s="90"/>
      <c r="I392" s="92"/>
      <c r="J392" s="93"/>
      <c r="K392" s="94"/>
      <c r="L392" s="149" t="str">
        <f>HYPERLINK("[#]DatatypeListedValues!B2290:H2290","Enumeration")</f>
        <v>Enumeration</v>
      </c>
      <c r="M392" s="107" t="b">
        <v>0</v>
      </c>
      <c r="N392" s="90"/>
      <c r="O392" s="95"/>
      <c r="P392" s="90"/>
      <c r="Q392" s="96"/>
      <c r="R392" s="97"/>
      <c r="S392" s="169"/>
      <c r="T392" s="300" t="str">
        <f>CONCATENATE([1]Cover!$D$6,"fdd/view?i=",S392)</f>
        <v>https://www.dgiwg.org/FAD/fdd/view?i=</v>
      </c>
      <c r="U392" s="188"/>
    </row>
    <row r="393" spans="1:21" ht="2.1" customHeight="1">
      <c r="A393" s="98"/>
      <c r="B393" s="87"/>
      <c r="C393" s="99"/>
      <c r="D393" s="87"/>
      <c r="E393" s="99"/>
      <c r="F393" s="100"/>
      <c r="G393" s="100"/>
      <c r="H393" s="100"/>
      <c r="I393" s="101"/>
      <c r="J393" s="106"/>
      <c r="K393" s="103"/>
      <c r="L393" s="104"/>
      <c r="M393" s="100"/>
      <c r="N393" s="100"/>
      <c r="O393" s="100"/>
      <c r="P393" s="100"/>
      <c r="Q393" s="105"/>
      <c r="R393" s="105"/>
      <c r="S393" s="169"/>
      <c r="U393" s="188"/>
    </row>
    <row r="394" spans="1:21" ht="25.5">
      <c r="A394" s="67" t="s">
        <v>6226</v>
      </c>
      <c r="B394" s="87" t="s">
        <v>6226</v>
      </c>
      <c r="C394" s="88" t="s">
        <v>11914</v>
      </c>
      <c r="D394" s="89"/>
      <c r="E394" s="90"/>
      <c r="F394" s="91" t="s">
        <v>11915</v>
      </c>
      <c r="G394" s="90"/>
      <c r="H394" s="90"/>
      <c r="I394" s="92"/>
      <c r="J394" s="93"/>
      <c r="K394" s="94"/>
      <c r="L394" s="149" t="str">
        <f>HYPERLINK("[#]DatatypeListedValues!B2340:H2340","Enumeration")</f>
        <v>Enumeration</v>
      </c>
      <c r="M394" s="107" t="b">
        <v>0</v>
      </c>
      <c r="N394" s="90"/>
      <c r="O394" s="95"/>
      <c r="P394" s="90"/>
      <c r="Q394" s="96"/>
      <c r="R394" s="97"/>
      <c r="S394" s="169"/>
      <c r="T394" s="300" t="str">
        <f>CONCATENATE([1]Cover!$D$6,"fdd/view?i=",S394)</f>
        <v>https://www.dgiwg.org/FAD/fdd/view?i=</v>
      </c>
      <c r="U394" s="188"/>
    </row>
    <row r="395" spans="1:21" ht="2.1" customHeight="1">
      <c r="A395" s="98"/>
      <c r="B395" s="87"/>
      <c r="C395" s="99"/>
      <c r="D395" s="87"/>
      <c r="E395" s="99"/>
      <c r="F395" s="100"/>
      <c r="G395" s="100"/>
      <c r="H395" s="100"/>
      <c r="I395" s="101"/>
      <c r="J395" s="106"/>
      <c r="K395" s="103"/>
      <c r="L395" s="104"/>
      <c r="M395" s="100"/>
      <c r="N395" s="100"/>
      <c r="O395" s="100"/>
      <c r="P395" s="100"/>
      <c r="Q395" s="105"/>
      <c r="R395" s="105"/>
      <c r="S395" s="169"/>
      <c r="U395" s="188"/>
    </row>
    <row r="396" spans="1:21" ht="25.5">
      <c r="A396" s="67" t="s">
        <v>6231</v>
      </c>
      <c r="B396" s="87" t="s">
        <v>6231</v>
      </c>
      <c r="C396" s="88" t="s">
        <v>11916</v>
      </c>
      <c r="D396" s="89"/>
      <c r="E396" s="90"/>
      <c r="F396" s="91" t="s">
        <v>11917</v>
      </c>
      <c r="G396" s="90"/>
      <c r="H396" s="90"/>
      <c r="I396" s="92"/>
      <c r="J396" s="93"/>
      <c r="K396" s="94"/>
      <c r="L396" s="149" t="str">
        <f>HYPERLINK("[#]DatatypeListedValues!B2343:H2343","Enumeration")</f>
        <v>Enumeration</v>
      </c>
      <c r="M396" s="107" t="b">
        <v>0</v>
      </c>
      <c r="N396" s="90"/>
      <c r="O396" s="95"/>
      <c r="P396" s="90"/>
      <c r="Q396" s="96"/>
      <c r="R396" s="97"/>
      <c r="S396" s="169"/>
      <c r="T396" s="300" t="str">
        <f>CONCATENATE([1]Cover!$D$6,"fdd/view?i=",S396)</f>
        <v>https://www.dgiwg.org/FAD/fdd/view?i=</v>
      </c>
      <c r="U396" s="188"/>
    </row>
    <row r="397" spans="1:21" ht="2.1" customHeight="1">
      <c r="A397" s="98"/>
      <c r="B397" s="87"/>
      <c r="C397" s="99"/>
      <c r="D397" s="87"/>
      <c r="E397" s="99"/>
      <c r="F397" s="100"/>
      <c r="G397" s="100"/>
      <c r="H397" s="100"/>
      <c r="I397" s="101"/>
      <c r="J397" s="106"/>
      <c r="K397" s="103"/>
      <c r="L397" s="104"/>
      <c r="M397" s="100"/>
      <c r="N397" s="100"/>
      <c r="O397" s="100"/>
      <c r="P397" s="100"/>
      <c r="Q397" s="105"/>
      <c r="R397" s="105"/>
      <c r="S397" s="169"/>
      <c r="U397" s="188"/>
    </row>
    <row r="398" spans="1:21" ht="25.5">
      <c r="A398" s="67" t="s">
        <v>6246</v>
      </c>
      <c r="B398" s="87" t="s">
        <v>6246</v>
      </c>
      <c r="C398" s="88" t="s">
        <v>6243</v>
      </c>
      <c r="D398" s="89"/>
      <c r="E398" s="90"/>
      <c r="F398" s="91" t="s">
        <v>11918</v>
      </c>
      <c r="G398" s="90"/>
      <c r="H398" s="90"/>
      <c r="I398" s="92"/>
      <c r="J398" s="93"/>
      <c r="K398" s="94"/>
      <c r="L398" s="149" t="str">
        <f>HYPERLINK("[#]DatatypeListedValues!B2353:H2353","Enumeration")</f>
        <v>Enumeration</v>
      </c>
      <c r="M398" s="91" t="b">
        <v>1</v>
      </c>
      <c r="N398" s="90"/>
      <c r="O398" s="95"/>
      <c r="P398" s="90"/>
      <c r="Q398" s="96"/>
      <c r="R398" s="97"/>
      <c r="S398" s="169"/>
      <c r="T398" s="300" t="str">
        <f>CONCATENATE([1]Cover!$D$6,"fdd/view?i=",S398)</f>
        <v>https://www.dgiwg.org/FAD/fdd/view?i=</v>
      </c>
      <c r="U398" s="188"/>
    </row>
    <row r="399" spans="1:21" ht="2.1" customHeight="1">
      <c r="A399" s="98"/>
      <c r="B399" s="87"/>
      <c r="C399" s="99"/>
      <c r="D399" s="87"/>
      <c r="E399" s="99"/>
      <c r="F399" s="100"/>
      <c r="G399" s="100"/>
      <c r="H399" s="100"/>
      <c r="I399" s="101"/>
      <c r="J399" s="106"/>
      <c r="K399" s="103"/>
      <c r="L399" s="104"/>
      <c r="M399" s="100"/>
      <c r="N399" s="100"/>
      <c r="O399" s="100"/>
      <c r="P399" s="100"/>
      <c r="Q399" s="105"/>
      <c r="R399" s="105"/>
      <c r="S399" s="169"/>
      <c r="U399" s="188"/>
    </row>
    <row r="400" spans="1:21" ht="25.5">
      <c r="A400" s="67" t="s">
        <v>6251</v>
      </c>
      <c r="B400" s="87" t="s">
        <v>6251</v>
      </c>
      <c r="C400" s="88" t="s">
        <v>11919</v>
      </c>
      <c r="D400" s="89"/>
      <c r="E400" s="90"/>
      <c r="F400" s="91" t="s">
        <v>11920</v>
      </c>
      <c r="G400" s="90"/>
      <c r="H400" s="90"/>
      <c r="I400" s="92"/>
      <c r="J400" s="93"/>
      <c r="K400" s="94"/>
      <c r="L400" s="149" t="str">
        <f>HYPERLINK("[#]DatatypeListedValues!B2355:H2355","Enumeration")</f>
        <v>Enumeration</v>
      </c>
      <c r="M400" s="107" t="b">
        <v>0</v>
      </c>
      <c r="N400" s="90"/>
      <c r="O400" s="95"/>
      <c r="P400" s="90"/>
      <c r="Q400" s="96"/>
      <c r="R400" s="97"/>
      <c r="S400" s="169"/>
      <c r="T400" s="300" t="str">
        <f>CONCATENATE([1]Cover!$D$6,"fdd/view?i=",S400)</f>
        <v>https://www.dgiwg.org/FAD/fdd/view?i=</v>
      </c>
      <c r="U400" s="188"/>
    </row>
    <row r="401" spans="1:21" ht="2.1" customHeight="1">
      <c r="A401" s="98"/>
      <c r="B401" s="87"/>
      <c r="C401" s="99"/>
      <c r="D401" s="87"/>
      <c r="E401" s="99"/>
      <c r="F401" s="100"/>
      <c r="G401" s="100"/>
      <c r="H401" s="100"/>
      <c r="I401" s="101"/>
      <c r="J401" s="106"/>
      <c r="K401" s="103"/>
      <c r="L401" s="104"/>
      <c r="M401" s="100"/>
      <c r="N401" s="100"/>
      <c r="O401" s="100"/>
      <c r="P401" s="100"/>
      <c r="Q401" s="105"/>
      <c r="R401" s="105"/>
      <c r="S401" s="169"/>
      <c r="U401" s="188"/>
    </row>
    <row r="402" spans="1:21" ht="25.5">
      <c r="A402" s="67" t="s">
        <v>6260</v>
      </c>
      <c r="B402" s="87" t="s">
        <v>6260</v>
      </c>
      <c r="C402" s="88" t="s">
        <v>11921</v>
      </c>
      <c r="D402" s="89"/>
      <c r="E402" s="90"/>
      <c r="F402" s="91" t="s">
        <v>11922</v>
      </c>
      <c r="G402" s="90"/>
      <c r="H402" s="90"/>
      <c r="I402" s="92"/>
      <c r="J402" s="93"/>
      <c r="K402" s="94"/>
      <c r="L402" s="149" t="str">
        <f>HYPERLINK("[#]DatatypeListedValues!B2361:H2361","Enumeration")</f>
        <v>Enumeration</v>
      </c>
      <c r="M402" s="91" t="b">
        <v>1</v>
      </c>
      <c r="N402" s="90"/>
      <c r="O402" s="95"/>
      <c r="P402" s="90"/>
      <c r="Q402" s="96"/>
      <c r="R402" s="97"/>
      <c r="S402" s="169"/>
      <c r="T402" s="300" t="str">
        <f>CONCATENATE([1]Cover!$D$6,"fdd/view?i=",S402)</f>
        <v>https://www.dgiwg.org/FAD/fdd/view?i=</v>
      </c>
      <c r="U402" s="188"/>
    </row>
    <row r="403" spans="1:21" ht="2.1" customHeight="1">
      <c r="A403" s="98"/>
      <c r="B403" s="87"/>
      <c r="C403" s="99"/>
      <c r="D403" s="87"/>
      <c r="E403" s="99"/>
      <c r="F403" s="100"/>
      <c r="G403" s="100"/>
      <c r="H403" s="100"/>
      <c r="I403" s="101"/>
      <c r="J403" s="106"/>
      <c r="K403" s="103"/>
      <c r="L403" s="104"/>
      <c r="M403" s="100"/>
      <c r="N403" s="100"/>
      <c r="O403" s="100"/>
      <c r="P403" s="100"/>
      <c r="Q403" s="105"/>
      <c r="R403" s="105"/>
      <c r="S403" s="169"/>
      <c r="U403" s="188"/>
    </row>
    <row r="404" spans="1:21">
      <c r="A404" s="67" t="s">
        <v>6265</v>
      </c>
      <c r="B404" s="87" t="s">
        <v>6265</v>
      </c>
      <c r="C404" s="88" t="s">
        <v>11923</v>
      </c>
      <c r="D404" s="89"/>
      <c r="E404" s="90"/>
      <c r="F404" s="91" t="s">
        <v>11924</v>
      </c>
      <c r="G404" s="90"/>
      <c r="H404" s="90"/>
      <c r="I404" s="92"/>
      <c r="J404" s="93"/>
      <c r="K404" s="94"/>
      <c r="L404" s="149" t="str">
        <f>HYPERLINK("[#]DatatypeListedValues!B2366:H2366","Enumeration")</f>
        <v>Enumeration</v>
      </c>
      <c r="M404" s="107" t="b">
        <v>0</v>
      </c>
      <c r="N404" s="90"/>
      <c r="O404" s="95"/>
      <c r="P404" s="90"/>
      <c r="Q404" s="96"/>
      <c r="R404" s="97"/>
      <c r="S404" s="169"/>
      <c r="T404" s="300" t="str">
        <f>CONCATENATE([1]Cover!$D$6,"fdd/view?i=",S404)</f>
        <v>https://www.dgiwg.org/FAD/fdd/view?i=</v>
      </c>
      <c r="U404" s="188"/>
    </row>
    <row r="405" spans="1:21" ht="2.1" customHeight="1">
      <c r="A405" s="98"/>
      <c r="B405" s="87"/>
      <c r="C405" s="99"/>
      <c r="D405" s="87"/>
      <c r="E405" s="99"/>
      <c r="F405" s="100"/>
      <c r="G405" s="100"/>
      <c r="H405" s="100"/>
      <c r="I405" s="101"/>
      <c r="J405" s="106"/>
      <c r="K405" s="103"/>
      <c r="L405" s="104"/>
      <c r="M405" s="100"/>
      <c r="N405" s="100"/>
      <c r="O405" s="100"/>
      <c r="P405" s="100"/>
      <c r="Q405" s="105"/>
      <c r="R405" s="105"/>
      <c r="S405" s="169"/>
      <c r="U405" s="188"/>
    </row>
    <row r="406" spans="1:21" ht="178.5">
      <c r="A406" s="67" t="s">
        <v>6275</v>
      </c>
      <c r="B406" s="87" t="s">
        <v>6275</v>
      </c>
      <c r="C406" s="88" t="s">
        <v>11925</v>
      </c>
      <c r="D406" s="89"/>
      <c r="E406" s="90"/>
      <c r="F406" s="91" t="s">
        <v>11926</v>
      </c>
      <c r="G406" s="90"/>
      <c r="H406" s="91" t="s">
        <v>11426</v>
      </c>
      <c r="I406" s="92"/>
      <c r="J406" s="93"/>
      <c r="K406" s="94"/>
      <c r="L406" s="91" t="s">
        <v>11425</v>
      </c>
      <c r="M406" s="90"/>
      <c r="N406" s="91">
        <v>20</v>
      </c>
      <c r="O406" s="108" t="b">
        <v>0</v>
      </c>
      <c r="P406" s="91" t="s">
        <v>11909</v>
      </c>
      <c r="Q406" s="96"/>
      <c r="R406" s="97"/>
      <c r="S406" s="169"/>
      <c r="T406" s="300" t="str">
        <f>CONCATENATE([1]Cover!$D$6,"fdd/view?i=",S406)</f>
        <v>https://www.dgiwg.org/FAD/fdd/view?i=</v>
      </c>
      <c r="U406" s="188"/>
    </row>
    <row r="407" spans="1:21" ht="2.1" customHeight="1">
      <c r="A407" s="98"/>
      <c r="B407" s="87"/>
      <c r="C407" s="99"/>
      <c r="D407" s="87"/>
      <c r="E407" s="99"/>
      <c r="F407" s="100"/>
      <c r="G407" s="100"/>
      <c r="H407" s="100"/>
      <c r="I407" s="101"/>
      <c r="J407" s="106"/>
      <c r="K407" s="103"/>
      <c r="L407" s="104"/>
      <c r="M407" s="100"/>
      <c r="N407" s="100"/>
      <c r="O407" s="100"/>
      <c r="P407" s="100"/>
      <c r="Q407" s="105"/>
      <c r="R407" s="105"/>
      <c r="S407" s="169"/>
      <c r="U407" s="188"/>
    </row>
    <row r="408" spans="1:21" ht="25.5">
      <c r="A408" s="67" t="s">
        <v>6292</v>
      </c>
      <c r="B408" s="87" t="s">
        <v>6292</v>
      </c>
      <c r="C408" s="88" t="s">
        <v>11927</v>
      </c>
      <c r="D408" s="89"/>
      <c r="E408" s="90"/>
      <c r="F408" s="91" t="s">
        <v>11928</v>
      </c>
      <c r="G408" s="90"/>
      <c r="H408" s="90"/>
      <c r="I408" s="92"/>
      <c r="J408" s="93"/>
      <c r="K408" s="94"/>
      <c r="L408" s="149" t="str">
        <f>HYPERLINK("[#]DatatypeListedValues!B2369:H2369","Enumeration")</f>
        <v>Enumeration</v>
      </c>
      <c r="M408" s="107" t="b">
        <v>0</v>
      </c>
      <c r="N408" s="90"/>
      <c r="O408" s="95"/>
      <c r="P408" s="90"/>
      <c r="Q408" s="96"/>
      <c r="R408" s="97"/>
      <c r="S408" s="169"/>
      <c r="T408" s="300" t="str">
        <f>CONCATENATE([1]Cover!$D$6,"fdd/view?i=",S408)</f>
        <v>https://www.dgiwg.org/FAD/fdd/view?i=</v>
      </c>
      <c r="U408" s="188"/>
    </row>
    <row r="409" spans="1:21" ht="2.1" customHeight="1">
      <c r="A409" s="98"/>
      <c r="B409" s="87"/>
      <c r="C409" s="99"/>
      <c r="D409" s="87"/>
      <c r="E409" s="99"/>
      <c r="F409" s="100"/>
      <c r="G409" s="100"/>
      <c r="H409" s="100"/>
      <c r="I409" s="101"/>
      <c r="J409" s="106"/>
      <c r="K409" s="103"/>
      <c r="L409" s="104"/>
      <c r="M409" s="100"/>
      <c r="N409" s="100"/>
      <c r="O409" s="100"/>
      <c r="P409" s="100"/>
      <c r="Q409" s="105"/>
      <c r="R409" s="105"/>
      <c r="S409" s="169"/>
      <c r="U409" s="188"/>
    </row>
    <row r="410" spans="1:21" ht="38.25">
      <c r="A410" s="67" t="s">
        <v>6298</v>
      </c>
      <c r="B410" s="87" t="s">
        <v>6298</v>
      </c>
      <c r="C410" s="88" t="s">
        <v>11929</v>
      </c>
      <c r="D410" s="89"/>
      <c r="E410" s="90"/>
      <c r="F410" s="91" t="s">
        <v>6296</v>
      </c>
      <c r="G410" s="90"/>
      <c r="H410" s="91" t="s">
        <v>11513</v>
      </c>
      <c r="I410" s="92"/>
      <c r="J410" s="93"/>
      <c r="K410" s="94"/>
      <c r="L410" s="104" t="s">
        <v>11429</v>
      </c>
      <c r="M410" s="90"/>
      <c r="N410" s="90"/>
      <c r="O410" s="95"/>
      <c r="P410" s="90"/>
      <c r="Q410" s="96"/>
      <c r="R410" s="97"/>
      <c r="S410" s="169"/>
      <c r="T410" s="300" t="str">
        <f>CONCATENATE([1]Cover!$D$6,"fdd/view?i=",S410)</f>
        <v>https://www.dgiwg.org/FAD/fdd/view?i=</v>
      </c>
      <c r="U410" s="188"/>
    </row>
    <row r="411" spans="1:21" ht="2.1" customHeight="1">
      <c r="A411" s="98"/>
      <c r="B411" s="87"/>
      <c r="C411" s="99"/>
      <c r="D411" s="87"/>
      <c r="E411" s="99"/>
      <c r="F411" s="100"/>
      <c r="G411" s="100"/>
      <c r="H411" s="100"/>
      <c r="I411" s="101"/>
      <c r="J411" s="106"/>
      <c r="K411" s="103"/>
      <c r="L411" s="104"/>
      <c r="M411" s="100"/>
      <c r="N411" s="100"/>
      <c r="O411" s="100"/>
      <c r="P411" s="100"/>
      <c r="Q411" s="105"/>
      <c r="R411" s="105"/>
      <c r="S411" s="169"/>
      <c r="U411" s="188"/>
    </row>
    <row r="412" spans="1:21" ht="102">
      <c r="A412" s="67" t="s">
        <v>6314</v>
      </c>
      <c r="B412" s="87" t="s">
        <v>6314</v>
      </c>
      <c r="C412" s="88" t="s">
        <v>11930</v>
      </c>
      <c r="D412" s="89"/>
      <c r="E412" s="90"/>
      <c r="F412" s="91" t="s">
        <v>11931</v>
      </c>
      <c r="G412" s="90"/>
      <c r="H412" s="91" t="s">
        <v>11426</v>
      </c>
      <c r="I412" s="92"/>
      <c r="J412" s="93"/>
      <c r="K412" s="94"/>
      <c r="L412" s="91" t="s">
        <v>11425</v>
      </c>
      <c r="M412" s="90"/>
      <c r="N412" s="91">
        <v>8</v>
      </c>
      <c r="O412" s="108" t="b">
        <v>0</v>
      </c>
      <c r="P412" s="91" t="s">
        <v>11932</v>
      </c>
      <c r="Q412" s="96"/>
      <c r="R412" s="97"/>
      <c r="S412" s="169"/>
      <c r="T412" s="300" t="str">
        <f>CONCATENATE([1]Cover!$D$6,"fdd/view?i=",S412)</f>
        <v>https://www.dgiwg.org/FAD/fdd/view?i=</v>
      </c>
      <c r="U412" s="188"/>
    </row>
    <row r="413" spans="1:21" ht="2.1" customHeight="1">
      <c r="A413" s="98"/>
      <c r="B413" s="87"/>
      <c r="C413" s="99"/>
      <c r="D413" s="87"/>
      <c r="E413" s="99"/>
      <c r="F413" s="100"/>
      <c r="G413" s="100"/>
      <c r="H413" s="100"/>
      <c r="I413" s="101"/>
      <c r="J413" s="106"/>
      <c r="K413" s="103"/>
      <c r="L413" s="104"/>
      <c r="M413" s="100"/>
      <c r="N413" s="100"/>
      <c r="O413" s="100"/>
      <c r="P413" s="100"/>
      <c r="Q413" s="105"/>
      <c r="R413" s="105"/>
      <c r="S413" s="169"/>
      <c r="U413" s="188"/>
    </row>
    <row r="414" spans="1:21">
      <c r="A414" s="67" t="s">
        <v>6324</v>
      </c>
      <c r="B414" s="87" t="s">
        <v>6324</v>
      </c>
      <c r="C414" s="88" t="s">
        <v>11933</v>
      </c>
      <c r="D414" s="89"/>
      <c r="E414" s="90"/>
      <c r="F414" s="91" t="s">
        <v>11934</v>
      </c>
      <c r="G414" s="90"/>
      <c r="H414" s="90"/>
      <c r="I414" s="92"/>
      <c r="J414" s="93"/>
      <c r="K414" s="94"/>
      <c r="L414" s="149" t="str">
        <f>HYPERLINK("[#]DatatypeListedValues!B2377:H2377","Enumeration")</f>
        <v>Enumeration</v>
      </c>
      <c r="M414" s="91" t="b">
        <v>1</v>
      </c>
      <c r="N414" s="90"/>
      <c r="O414" s="95"/>
      <c r="P414" s="90"/>
      <c r="Q414" s="96"/>
      <c r="R414" s="97"/>
      <c r="S414" s="169"/>
      <c r="T414" s="300" t="str">
        <f>CONCATENATE([1]Cover!$D$6,"fdd/view?i=",S414)</f>
        <v>https://www.dgiwg.org/FAD/fdd/view?i=</v>
      </c>
      <c r="U414" s="188"/>
    </row>
    <row r="415" spans="1:21" ht="2.1" customHeight="1">
      <c r="A415" s="98"/>
      <c r="B415" s="87"/>
      <c r="C415" s="99"/>
      <c r="D415" s="87"/>
      <c r="E415" s="99"/>
      <c r="F415" s="100"/>
      <c r="G415" s="100"/>
      <c r="H415" s="100"/>
      <c r="I415" s="101"/>
      <c r="J415" s="106"/>
      <c r="K415" s="103"/>
      <c r="L415" s="104"/>
      <c r="M415" s="100"/>
      <c r="N415" s="100"/>
      <c r="O415" s="100"/>
      <c r="P415" s="100"/>
      <c r="Q415" s="105"/>
      <c r="R415" s="105"/>
      <c r="S415" s="169"/>
      <c r="U415" s="188"/>
    </row>
    <row r="416" spans="1:21">
      <c r="A416" s="67" t="s">
        <v>6330</v>
      </c>
      <c r="B416" s="87" t="s">
        <v>6330</v>
      </c>
      <c r="C416" s="88" t="s">
        <v>11935</v>
      </c>
      <c r="D416" s="89"/>
      <c r="E416" s="90"/>
      <c r="F416" s="91" t="s">
        <v>11936</v>
      </c>
      <c r="G416" s="90"/>
      <c r="H416" s="90"/>
      <c r="I416" s="92"/>
      <c r="J416" s="93"/>
      <c r="K416" s="94"/>
      <c r="L416" s="149" t="str">
        <f>HYPERLINK("[#]DatatypeListedValues!B2379:H2379","Enumeration")</f>
        <v>Enumeration</v>
      </c>
      <c r="M416" s="107" t="b">
        <v>0</v>
      </c>
      <c r="N416" s="90"/>
      <c r="O416" s="95"/>
      <c r="P416" s="90"/>
      <c r="Q416" s="96"/>
      <c r="R416" s="97"/>
      <c r="S416" s="169"/>
      <c r="T416" s="300" t="str">
        <f>CONCATENATE([1]Cover!$D$6,"fdd/view?i=",S416)</f>
        <v>https://www.dgiwg.org/FAD/fdd/view?i=</v>
      </c>
      <c r="U416" s="188"/>
    </row>
    <row r="417" spans="1:21" ht="2.1" customHeight="1">
      <c r="A417" s="98"/>
      <c r="B417" s="87"/>
      <c r="C417" s="99"/>
      <c r="D417" s="87"/>
      <c r="E417" s="99"/>
      <c r="F417" s="100"/>
      <c r="G417" s="100"/>
      <c r="H417" s="100"/>
      <c r="I417" s="101"/>
      <c r="J417" s="106"/>
      <c r="K417" s="103"/>
      <c r="L417" s="104"/>
      <c r="M417" s="100"/>
      <c r="N417" s="100"/>
      <c r="O417" s="100"/>
      <c r="P417" s="100"/>
      <c r="Q417" s="105"/>
      <c r="R417" s="105"/>
      <c r="S417" s="169"/>
      <c r="U417" s="188"/>
    </row>
    <row r="418" spans="1:21" ht="38.25">
      <c r="A418" s="67" t="s">
        <v>6384</v>
      </c>
      <c r="B418" s="87" t="s">
        <v>6384</v>
      </c>
      <c r="C418" s="88" t="s">
        <v>11937</v>
      </c>
      <c r="D418" s="89"/>
      <c r="E418" s="90"/>
      <c r="F418" s="91" t="s">
        <v>11938</v>
      </c>
      <c r="G418" s="90"/>
      <c r="H418" s="91" t="s">
        <v>11744</v>
      </c>
      <c r="I418" s="92"/>
      <c r="J418" s="93"/>
      <c r="K418" s="94"/>
      <c r="L418" s="153" t="s">
        <v>11414</v>
      </c>
      <c r="M418" s="91" t="b">
        <v>1</v>
      </c>
      <c r="N418" s="90"/>
      <c r="O418" s="95"/>
      <c r="P418" s="91" t="s">
        <v>11753</v>
      </c>
      <c r="Q418" s="96"/>
      <c r="R418" s="97"/>
      <c r="S418" s="169"/>
      <c r="T418" s="300" t="str">
        <f>CONCATENATE([1]Cover!$D$6,"fdd/view?i=",S418)</f>
        <v>https://www.dgiwg.org/FAD/fdd/view?i=</v>
      </c>
      <c r="U418" s="188"/>
    </row>
    <row r="419" spans="1:21" ht="2.1" customHeight="1">
      <c r="A419" s="98"/>
      <c r="B419" s="87"/>
      <c r="C419" s="99"/>
      <c r="D419" s="87"/>
      <c r="E419" s="99"/>
      <c r="F419" s="100"/>
      <c r="G419" s="100"/>
      <c r="H419" s="100"/>
      <c r="I419" s="101"/>
      <c r="J419" s="106"/>
      <c r="K419" s="103"/>
      <c r="L419" s="104"/>
      <c r="M419" s="100"/>
      <c r="N419" s="100"/>
      <c r="O419" s="100"/>
      <c r="P419" s="100"/>
      <c r="Q419" s="105"/>
      <c r="R419" s="105"/>
      <c r="S419" s="169"/>
      <c r="U419" s="188"/>
    </row>
    <row r="420" spans="1:21" ht="38.25">
      <c r="A420" s="67" t="s">
        <v>6388</v>
      </c>
      <c r="B420" s="87" t="s">
        <v>6388</v>
      </c>
      <c r="C420" s="88" t="s">
        <v>11939</v>
      </c>
      <c r="D420" s="89"/>
      <c r="E420" s="90"/>
      <c r="F420" s="91" t="s">
        <v>11940</v>
      </c>
      <c r="G420" s="90"/>
      <c r="H420" s="91" t="s">
        <v>11744</v>
      </c>
      <c r="I420" s="92"/>
      <c r="J420" s="93"/>
      <c r="K420" s="94"/>
      <c r="L420" s="153" t="s">
        <v>11414</v>
      </c>
      <c r="M420" s="91" t="b">
        <v>1</v>
      </c>
      <c r="N420" s="90"/>
      <c r="O420" s="95"/>
      <c r="P420" s="91" t="s">
        <v>11753</v>
      </c>
      <c r="Q420" s="96"/>
      <c r="R420" s="97"/>
      <c r="S420" s="169"/>
      <c r="T420" s="300" t="str">
        <f>CONCATENATE([1]Cover!$D$6,"fdd/view?i=",S420)</f>
        <v>https://www.dgiwg.org/FAD/fdd/view?i=</v>
      </c>
      <c r="U420" s="188"/>
    </row>
    <row r="421" spans="1:21" ht="2.1" customHeight="1">
      <c r="A421" s="98"/>
      <c r="B421" s="87"/>
      <c r="C421" s="99"/>
      <c r="D421" s="87"/>
      <c r="E421" s="99"/>
      <c r="F421" s="100"/>
      <c r="G421" s="100"/>
      <c r="H421" s="100"/>
      <c r="I421" s="101"/>
      <c r="J421" s="106"/>
      <c r="K421" s="103"/>
      <c r="L421" s="104"/>
      <c r="M421" s="100"/>
      <c r="N421" s="100"/>
      <c r="O421" s="100"/>
      <c r="P421" s="100"/>
      <c r="Q421" s="105"/>
      <c r="R421" s="105"/>
      <c r="S421" s="169"/>
      <c r="U421" s="188"/>
    </row>
    <row r="422" spans="1:21" ht="38.25">
      <c r="A422" s="67" t="s">
        <v>11789</v>
      </c>
      <c r="B422" s="87" t="s">
        <v>11789</v>
      </c>
      <c r="C422" s="88" t="s">
        <v>11941</v>
      </c>
      <c r="D422" s="89"/>
      <c r="E422" s="90"/>
      <c r="F422" s="91" t="s">
        <v>11942</v>
      </c>
      <c r="G422" s="90"/>
      <c r="H422" s="91" t="s">
        <v>11744</v>
      </c>
      <c r="I422" s="92"/>
      <c r="J422" s="93"/>
      <c r="K422" s="94"/>
      <c r="L422" s="153" t="s">
        <v>11414</v>
      </c>
      <c r="M422" s="91" t="b">
        <v>1</v>
      </c>
      <c r="N422" s="90"/>
      <c r="O422" s="95"/>
      <c r="P422" s="91" t="s">
        <v>11753</v>
      </c>
      <c r="Q422" s="96"/>
      <c r="R422" s="97"/>
      <c r="S422" s="169"/>
      <c r="T422" s="300" t="str">
        <f>CONCATENATE([1]Cover!$D$6,"fdd/view?i=",S422)</f>
        <v>https://www.dgiwg.org/FAD/fdd/view?i=</v>
      </c>
      <c r="U422" s="188"/>
    </row>
    <row r="423" spans="1:21" ht="2.1" customHeight="1">
      <c r="A423" s="98"/>
      <c r="B423" s="87"/>
      <c r="C423" s="99"/>
      <c r="D423" s="87"/>
      <c r="E423" s="99"/>
      <c r="F423" s="100"/>
      <c r="G423" s="100"/>
      <c r="H423" s="100"/>
      <c r="I423" s="101"/>
      <c r="J423" s="106"/>
      <c r="K423" s="103"/>
      <c r="L423" s="104"/>
      <c r="M423" s="100"/>
      <c r="N423" s="100"/>
      <c r="O423" s="100"/>
      <c r="P423" s="100"/>
      <c r="Q423" s="105"/>
      <c r="R423" s="105"/>
      <c r="S423" s="169"/>
      <c r="U423" s="188"/>
    </row>
    <row r="424" spans="1:21" ht="38.25">
      <c r="A424" s="67" t="s">
        <v>6410</v>
      </c>
      <c r="B424" s="87" t="s">
        <v>6410</v>
      </c>
      <c r="C424" s="88" t="s">
        <v>11943</v>
      </c>
      <c r="D424" s="89"/>
      <c r="E424" s="90"/>
      <c r="F424" s="91" t="s">
        <v>11944</v>
      </c>
      <c r="G424" s="90"/>
      <c r="H424" s="91" t="s">
        <v>11426</v>
      </c>
      <c r="I424" s="92"/>
      <c r="J424" s="93"/>
      <c r="K424" s="94"/>
      <c r="L424" s="91" t="s">
        <v>11425</v>
      </c>
      <c r="M424" s="90"/>
      <c r="N424" s="108" t="s">
        <v>11810</v>
      </c>
      <c r="O424" s="91" t="b">
        <v>1</v>
      </c>
      <c r="P424" s="91" t="s">
        <v>11945</v>
      </c>
      <c r="Q424" s="96"/>
      <c r="R424" s="97"/>
      <c r="S424" s="169"/>
      <c r="T424" s="300" t="str">
        <f>CONCATENATE([1]Cover!$D$6,"fdd/view?i=",S424)</f>
        <v>https://www.dgiwg.org/FAD/fdd/view?i=</v>
      </c>
      <c r="U424" s="188"/>
    </row>
    <row r="425" spans="1:21" ht="2.1" customHeight="1">
      <c r="A425" s="98"/>
      <c r="B425" s="87"/>
      <c r="C425" s="99"/>
      <c r="D425" s="87"/>
      <c r="E425" s="99"/>
      <c r="F425" s="100"/>
      <c r="G425" s="100"/>
      <c r="H425" s="100"/>
      <c r="I425" s="101"/>
      <c r="J425" s="106"/>
      <c r="K425" s="103"/>
      <c r="L425" s="104"/>
      <c r="M425" s="100"/>
      <c r="N425" s="100"/>
      <c r="O425" s="100"/>
      <c r="P425" s="100"/>
      <c r="Q425" s="105"/>
      <c r="R425" s="105"/>
      <c r="S425" s="169"/>
      <c r="U425" s="188"/>
    </row>
    <row r="426" spans="1:21" ht="38.25">
      <c r="A426" s="67" t="s">
        <v>6401</v>
      </c>
      <c r="B426" s="87" t="s">
        <v>6401</v>
      </c>
      <c r="C426" s="88" t="s">
        <v>11946</v>
      </c>
      <c r="D426" s="89"/>
      <c r="E426" s="90"/>
      <c r="F426" s="91" t="s">
        <v>11947</v>
      </c>
      <c r="G426" s="90"/>
      <c r="H426" s="91" t="s">
        <v>11426</v>
      </c>
      <c r="I426" s="92"/>
      <c r="J426" s="93"/>
      <c r="K426" s="94"/>
      <c r="L426" s="91" t="s">
        <v>11425</v>
      </c>
      <c r="M426" s="90"/>
      <c r="N426" s="108" t="s">
        <v>11810</v>
      </c>
      <c r="O426" s="91" t="b">
        <v>1</v>
      </c>
      <c r="P426" s="91" t="s">
        <v>11948</v>
      </c>
      <c r="Q426" s="96"/>
      <c r="R426" s="97"/>
      <c r="S426" s="169"/>
      <c r="T426" s="300" t="str">
        <f>CONCATENATE([1]Cover!$D$6,"fdd/view?i=",S426)</f>
        <v>https://www.dgiwg.org/FAD/fdd/view?i=</v>
      </c>
      <c r="U426" s="188"/>
    </row>
    <row r="427" spans="1:21" ht="2.1" customHeight="1">
      <c r="A427" s="98"/>
      <c r="B427" s="87"/>
      <c r="C427" s="99"/>
      <c r="D427" s="87"/>
      <c r="E427" s="99"/>
      <c r="F427" s="100"/>
      <c r="G427" s="100"/>
      <c r="H427" s="100"/>
      <c r="I427" s="101"/>
      <c r="J427" s="106"/>
      <c r="K427" s="103"/>
      <c r="L427" s="104"/>
      <c r="M427" s="100"/>
      <c r="N427" s="100"/>
      <c r="O427" s="100"/>
      <c r="P427" s="100"/>
      <c r="Q427" s="105"/>
      <c r="R427" s="105"/>
      <c r="S427" s="169"/>
      <c r="U427" s="188"/>
    </row>
    <row r="428" spans="1:21" ht="38.25">
      <c r="A428" s="67" t="s">
        <v>6437</v>
      </c>
      <c r="B428" s="87" t="s">
        <v>6437</v>
      </c>
      <c r="C428" s="88" t="s">
        <v>11949</v>
      </c>
      <c r="D428" s="89"/>
      <c r="E428" s="90"/>
      <c r="F428" s="91" t="s">
        <v>11950</v>
      </c>
      <c r="G428" s="90"/>
      <c r="H428" s="91" t="s">
        <v>11744</v>
      </c>
      <c r="I428" s="92"/>
      <c r="J428" s="93"/>
      <c r="K428" s="94"/>
      <c r="L428" s="153" t="s">
        <v>11414</v>
      </c>
      <c r="M428" s="91" t="b">
        <v>1</v>
      </c>
      <c r="N428" s="90"/>
      <c r="O428" s="95"/>
      <c r="P428" s="91" t="s">
        <v>11753</v>
      </c>
      <c r="Q428" s="96"/>
      <c r="R428" s="97"/>
      <c r="S428" s="169"/>
      <c r="T428" s="300" t="str">
        <f>CONCATENATE([1]Cover!$D$6,"fdd/view?i=",S428)</f>
        <v>https://www.dgiwg.org/FAD/fdd/view?i=</v>
      </c>
      <c r="U428" s="188"/>
    </row>
    <row r="429" spans="1:21" ht="2.1" customHeight="1">
      <c r="A429" s="98"/>
      <c r="B429" s="87"/>
      <c r="C429" s="99"/>
      <c r="D429" s="87"/>
      <c r="E429" s="99"/>
      <c r="F429" s="100"/>
      <c r="G429" s="100"/>
      <c r="H429" s="100"/>
      <c r="I429" s="101"/>
      <c r="J429" s="106"/>
      <c r="K429" s="103"/>
      <c r="L429" s="104"/>
      <c r="M429" s="100"/>
      <c r="N429" s="100"/>
      <c r="O429" s="100"/>
      <c r="P429" s="100"/>
      <c r="Q429" s="105"/>
      <c r="R429" s="105"/>
      <c r="S429" s="169"/>
      <c r="U429" s="188"/>
    </row>
    <row r="430" spans="1:21" ht="178.5">
      <c r="A430" s="67" t="s">
        <v>6450</v>
      </c>
      <c r="B430" s="87" t="s">
        <v>6450</v>
      </c>
      <c r="C430" s="88" t="s">
        <v>11951</v>
      </c>
      <c r="D430" s="89"/>
      <c r="E430" s="90"/>
      <c r="F430" s="91" t="s">
        <v>11952</v>
      </c>
      <c r="G430" s="90"/>
      <c r="H430" s="91" t="s">
        <v>11426</v>
      </c>
      <c r="I430" s="92"/>
      <c r="J430" s="93"/>
      <c r="K430" s="94"/>
      <c r="L430" s="91" t="s">
        <v>11425</v>
      </c>
      <c r="M430" s="90"/>
      <c r="N430" s="91">
        <v>20</v>
      </c>
      <c r="O430" s="108" t="b">
        <v>0</v>
      </c>
      <c r="P430" s="91" t="s">
        <v>11909</v>
      </c>
      <c r="Q430" s="96"/>
      <c r="R430" s="97"/>
      <c r="S430" s="169"/>
      <c r="T430" s="300" t="str">
        <f>CONCATENATE([1]Cover!$D$6,"fdd/view?i=",S430)</f>
        <v>https://www.dgiwg.org/FAD/fdd/view?i=</v>
      </c>
      <c r="U430" s="188"/>
    </row>
    <row r="431" spans="1:21" ht="2.1" customHeight="1">
      <c r="A431" s="98"/>
      <c r="B431" s="87"/>
      <c r="C431" s="99"/>
      <c r="D431" s="87"/>
      <c r="E431" s="99"/>
      <c r="F431" s="100"/>
      <c r="G431" s="100"/>
      <c r="H431" s="100"/>
      <c r="I431" s="101"/>
      <c r="J431" s="106"/>
      <c r="K431" s="103"/>
      <c r="L431" s="104"/>
      <c r="M431" s="100"/>
      <c r="N431" s="100"/>
      <c r="O431" s="100"/>
      <c r="P431" s="100"/>
      <c r="Q431" s="105"/>
      <c r="R431" s="105"/>
      <c r="S431" s="169"/>
      <c r="U431" s="188"/>
    </row>
    <row r="432" spans="1:21">
      <c r="A432" s="63" t="s">
        <v>11771</v>
      </c>
      <c r="B432" s="329" t="s">
        <v>11771</v>
      </c>
      <c r="C432" s="326" t="s">
        <v>11772</v>
      </c>
      <c r="D432" s="109"/>
      <c r="E432" s="110"/>
      <c r="F432" s="111" t="s">
        <v>11953</v>
      </c>
      <c r="G432" s="110"/>
      <c r="H432" s="110"/>
      <c r="I432" s="112"/>
      <c r="J432" s="113"/>
      <c r="K432" s="114"/>
      <c r="L432" s="115" t="s">
        <v>11429</v>
      </c>
      <c r="M432" s="110"/>
      <c r="N432" s="110"/>
      <c r="O432" s="116"/>
      <c r="P432" s="110"/>
      <c r="Q432" s="117"/>
      <c r="R432" s="118"/>
      <c r="S432" s="169"/>
      <c r="T432" s="300" t="str">
        <f>CONCATENATE([1]Cover!$D$6,"fdd/view?i=",S432)</f>
        <v>https://www.dgiwg.org/FAD/fdd/view?i=</v>
      </c>
      <c r="U432" s="188"/>
    </row>
    <row r="433" spans="1:21" ht="25.5">
      <c r="A433" s="64" t="s">
        <v>33689</v>
      </c>
      <c r="B433" s="330"/>
      <c r="C433" s="327"/>
      <c r="D433" s="132" t="s">
        <v>11767</v>
      </c>
      <c r="E433" s="138" t="s">
        <v>11768</v>
      </c>
      <c r="F433" s="70" t="s">
        <v>11954</v>
      </c>
      <c r="G433" s="70" t="s">
        <v>11955</v>
      </c>
      <c r="H433" s="68"/>
      <c r="I433" s="133" t="s">
        <v>4643</v>
      </c>
      <c r="J433" s="142"/>
      <c r="K433" s="135" t="s">
        <v>6543</v>
      </c>
      <c r="L433" s="150" t="str">
        <f>HYPERLINK("[#]Datatypes!B1396:L1396","Text")</f>
        <v>Text</v>
      </c>
      <c r="M433" s="122"/>
      <c r="N433" s="122"/>
      <c r="O433" s="122"/>
      <c r="P433" s="122"/>
      <c r="Q433" s="123"/>
      <c r="R433" s="124"/>
      <c r="S433" s="169"/>
      <c r="U433" s="188"/>
    </row>
    <row r="434" spans="1:21">
      <c r="A434" s="65" t="s">
        <v>33708</v>
      </c>
      <c r="B434" s="331"/>
      <c r="C434" s="328"/>
      <c r="D434" s="137" t="s">
        <v>11956</v>
      </c>
      <c r="E434" s="140" t="s">
        <v>11957</v>
      </c>
      <c r="F434" s="66" t="s">
        <v>11958</v>
      </c>
      <c r="G434" s="66" t="s">
        <v>11959</v>
      </c>
      <c r="H434" s="69"/>
      <c r="I434" s="126" t="s">
        <v>4643</v>
      </c>
      <c r="J434" s="141"/>
      <c r="K434" s="128" t="s">
        <v>11960</v>
      </c>
      <c r="L434" s="152" t="str">
        <f>HYPERLINK("[#]Datatypes!B438:L438","Date Type Code")</f>
        <v>Date Type Code</v>
      </c>
      <c r="M434" s="129"/>
      <c r="N434" s="129"/>
      <c r="O434" s="129"/>
      <c r="P434" s="129"/>
      <c r="Q434" s="130"/>
      <c r="R434" s="131"/>
      <c r="S434" s="169"/>
      <c r="T434" s="300" t="str">
        <f>CONCATENATE([1]Cover!$D$6,"fdd/view?i=",S434)</f>
        <v>https://www.dgiwg.org/FAD/fdd/view?i=</v>
      </c>
      <c r="U434" s="188"/>
    </row>
    <row r="435" spans="1:21" ht="2.1" customHeight="1">
      <c r="A435" s="98"/>
      <c r="B435" s="87"/>
      <c r="C435" s="99"/>
      <c r="D435" s="87"/>
      <c r="E435" s="99"/>
      <c r="F435" s="100"/>
      <c r="G435" s="100"/>
      <c r="H435" s="100"/>
      <c r="I435" s="101"/>
      <c r="J435" s="106"/>
      <c r="K435" s="103"/>
      <c r="L435" s="104"/>
      <c r="M435" s="100"/>
      <c r="N435" s="100"/>
      <c r="O435" s="100"/>
      <c r="P435" s="100"/>
      <c r="Q435" s="105"/>
      <c r="R435" s="105"/>
      <c r="S435" s="169"/>
      <c r="U435" s="188"/>
    </row>
    <row r="436" spans="1:21" ht="38.25">
      <c r="A436" s="67" t="s">
        <v>8340</v>
      </c>
      <c r="B436" s="87" t="s">
        <v>8340</v>
      </c>
      <c r="C436" s="88" t="s">
        <v>11962</v>
      </c>
      <c r="D436" s="89"/>
      <c r="E436" s="90"/>
      <c r="F436" s="91" t="s">
        <v>11963</v>
      </c>
      <c r="G436" s="90"/>
      <c r="H436" s="91" t="s">
        <v>11426</v>
      </c>
      <c r="I436" s="92"/>
      <c r="J436" s="93"/>
      <c r="K436" s="94"/>
      <c r="L436" s="91" t="s">
        <v>11425</v>
      </c>
      <c r="M436" s="90"/>
      <c r="N436" s="108" t="s">
        <v>11810</v>
      </c>
      <c r="O436" s="91" t="b">
        <v>1</v>
      </c>
      <c r="P436" s="91" t="s">
        <v>11964</v>
      </c>
      <c r="Q436" s="96"/>
      <c r="R436" s="97"/>
      <c r="S436" s="169"/>
      <c r="T436" s="300" t="str">
        <f>CONCATENATE([1]Cover!$D$6,"fdd/view?i=",S436)</f>
        <v>https://www.dgiwg.org/FAD/fdd/view?i=</v>
      </c>
      <c r="U436" s="188"/>
    </row>
    <row r="437" spans="1:21" ht="2.1" customHeight="1">
      <c r="A437" s="98"/>
      <c r="B437" s="87"/>
      <c r="C437" s="99"/>
      <c r="D437" s="87"/>
      <c r="E437" s="99"/>
      <c r="F437" s="100"/>
      <c r="G437" s="100"/>
      <c r="H437" s="100"/>
      <c r="I437" s="101"/>
      <c r="J437" s="106"/>
      <c r="K437" s="103"/>
      <c r="L437" s="104"/>
      <c r="M437" s="100"/>
      <c r="N437" s="100"/>
      <c r="O437" s="100"/>
      <c r="P437" s="100"/>
      <c r="Q437" s="105"/>
      <c r="R437" s="105"/>
      <c r="S437" s="169"/>
      <c r="U437" s="188"/>
    </row>
    <row r="438" spans="1:21">
      <c r="A438" s="67" t="s">
        <v>11960</v>
      </c>
      <c r="B438" s="87" t="s">
        <v>11960</v>
      </c>
      <c r="C438" s="88" t="s">
        <v>11961</v>
      </c>
      <c r="D438" s="89"/>
      <c r="E438" s="90"/>
      <c r="F438" s="91" t="s">
        <v>11965</v>
      </c>
      <c r="G438" s="90"/>
      <c r="H438" s="90"/>
      <c r="I438" s="92"/>
      <c r="J438" s="93"/>
      <c r="K438" s="94"/>
      <c r="L438" s="149" t="str">
        <f>HYPERLINK("[#]DatatypeListedValues!B2383:H2383","Enumeration")</f>
        <v>Enumeration</v>
      </c>
      <c r="M438" s="107" t="b">
        <v>0</v>
      </c>
      <c r="N438" s="90"/>
      <c r="O438" s="95"/>
      <c r="P438" s="90"/>
      <c r="Q438" s="96"/>
      <c r="R438" s="97"/>
      <c r="S438" s="169"/>
      <c r="T438" s="300" t="str">
        <f>CONCATENATE([1]Cover!$D$6,"fdd/view?i=",S438)</f>
        <v>https://www.dgiwg.org/FAD/fdd/view?i=</v>
      </c>
      <c r="U438" s="188"/>
    </row>
    <row r="439" spans="1:21" ht="2.1" customHeight="1">
      <c r="A439" s="98"/>
      <c r="B439" s="87"/>
      <c r="C439" s="99"/>
      <c r="D439" s="87"/>
      <c r="E439" s="99"/>
      <c r="F439" s="100"/>
      <c r="G439" s="100"/>
      <c r="H439" s="100"/>
      <c r="I439" s="101"/>
      <c r="J439" s="106"/>
      <c r="K439" s="103"/>
      <c r="L439" s="104"/>
      <c r="M439" s="100"/>
      <c r="N439" s="100"/>
      <c r="O439" s="100"/>
      <c r="P439" s="100"/>
      <c r="Q439" s="105"/>
      <c r="R439" s="105"/>
      <c r="S439" s="169"/>
      <c r="U439" s="188"/>
    </row>
    <row r="440" spans="1:21" ht="38.25">
      <c r="A440" s="67" t="s">
        <v>11960</v>
      </c>
      <c r="B440" s="87" t="s">
        <v>11960</v>
      </c>
      <c r="C440" s="88" t="s">
        <v>11966</v>
      </c>
      <c r="D440" s="89"/>
      <c r="E440" s="90"/>
      <c r="F440" s="91" t="s">
        <v>11967</v>
      </c>
      <c r="G440" s="90"/>
      <c r="H440" s="91" t="s">
        <v>11744</v>
      </c>
      <c r="I440" s="92"/>
      <c r="J440" s="93"/>
      <c r="K440" s="94"/>
      <c r="L440" s="153" t="s">
        <v>11414</v>
      </c>
      <c r="M440" s="91" t="b">
        <v>1</v>
      </c>
      <c r="N440" s="90"/>
      <c r="O440" s="95"/>
      <c r="P440" s="91" t="s">
        <v>11753</v>
      </c>
      <c r="Q440" s="96"/>
      <c r="R440" s="97"/>
      <c r="S440" s="169"/>
      <c r="T440" s="300" t="str">
        <f>CONCATENATE([1]Cover!$D$6,"fdd/view?i=",S440)</f>
        <v>https://www.dgiwg.org/FAD/fdd/view?i=</v>
      </c>
      <c r="U440" s="188"/>
    </row>
    <row r="441" spans="1:21" ht="2.1" customHeight="1">
      <c r="A441" s="98"/>
      <c r="B441" s="87"/>
      <c r="C441" s="99"/>
      <c r="D441" s="87"/>
      <c r="E441" s="99"/>
      <c r="F441" s="100"/>
      <c r="G441" s="100"/>
      <c r="H441" s="100"/>
      <c r="I441" s="101"/>
      <c r="J441" s="106"/>
      <c r="K441" s="103"/>
      <c r="L441" s="104"/>
      <c r="M441" s="100"/>
      <c r="N441" s="100"/>
      <c r="O441" s="100"/>
      <c r="P441" s="100"/>
      <c r="Q441" s="105"/>
      <c r="R441" s="105"/>
      <c r="S441" s="169"/>
      <c r="U441" s="188"/>
    </row>
    <row r="442" spans="1:21">
      <c r="A442" s="67" t="s">
        <v>6456</v>
      </c>
      <c r="B442" s="87" t="s">
        <v>6456</v>
      </c>
      <c r="C442" s="88" t="s">
        <v>11968</v>
      </c>
      <c r="D442" s="89"/>
      <c r="E442" s="90"/>
      <c r="F442" s="91" t="s">
        <v>11969</v>
      </c>
      <c r="G442" s="90"/>
      <c r="H442" s="90"/>
      <c r="I442" s="92"/>
      <c r="J442" s="93"/>
      <c r="K442" s="94"/>
      <c r="L442" s="149" t="str">
        <f>HYPERLINK("[#]DatatypeListedValues!B2390:H2390","Enumeration")</f>
        <v>Enumeration</v>
      </c>
      <c r="M442" s="107" t="b">
        <v>0</v>
      </c>
      <c r="N442" s="90"/>
      <c r="O442" s="95"/>
      <c r="P442" s="90"/>
      <c r="Q442" s="96"/>
      <c r="R442" s="97"/>
      <c r="S442" s="169"/>
      <c r="T442" s="300" t="str">
        <f>CONCATENATE([1]Cover!$D$6,"fdd/view?i=",S442)</f>
        <v>https://www.dgiwg.org/FAD/fdd/view?i=</v>
      </c>
      <c r="U442" s="188"/>
    </row>
    <row r="443" spans="1:21" ht="2.1" customHeight="1">
      <c r="A443" s="98"/>
      <c r="B443" s="87"/>
      <c r="C443" s="99"/>
      <c r="D443" s="87"/>
      <c r="E443" s="99"/>
      <c r="F443" s="100"/>
      <c r="G443" s="100"/>
      <c r="H443" s="100"/>
      <c r="I443" s="101"/>
      <c r="J443" s="106"/>
      <c r="K443" s="103"/>
      <c r="L443" s="104"/>
      <c r="M443" s="100"/>
      <c r="N443" s="100"/>
      <c r="O443" s="100"/>
      <c r="P443" s="100"/>
      <c r="Q443" s="105"/>
      <c r="R443" s="105"/>
      <c r="S443" s="169"/>
      <c r="U443" s="188"/>
    </row>
    <row r="444" spans="1:21" ht="38.25">
      <c r="A444" s="67" t="s">
        <v>6494</v>
      </c>
      <c r="B444" s="87" t="s">
        <v>6494</v>
      </c>
      <c r="C444" s="88" t="s">
        <v>11970</v>
      </c>
      <c r="D444" s="89"/>
      <c r="E444" s="90"/>
      <c r="F444" s="91" t="s">
        <v>11971</v>
      </c>
      <c r="G444" s="90"/>
      <c r="H444" s="91" t="s">
        <v>11426</v>
      </c>
      <c r="I444" s="92"/>
      <c r="J444" s="93"/>
      <c r="K444" s="94"/>
      <c r="L444" s="91" t="s">
        <v>11425</v>
      </c>
      <c r="M444" s="90"/>
      <c r="N444" s="91">
        <v>5</v>
      </c>
      <c r="O444" s="108" t="b">
        <v>0</v>
      </c>
      <c r="P444" s="91" t="s">
        <v>11972</v>
      </c>
      <c r="Q444" s="96"/>
      <c r="R444" s="97"/>
      <c r="S444" s="169"/>
      <c r="T444" s="300" t="str">
        <f>CONCATENATE([1]Cover!$D$6,"fdd/view?i=",S444)</f>
        <v>https://www.dgiwg.org/FAD/fdd/view?i=</v>
      </c>
      <c r="U444" s="188"/>
    </row>
    <row r="445" spans="1:21" ht="2.1" customHeight="1">
      <c r="A445" s="98"/>
      <c r="B445" s="87"/>
      <c r="C445" s="99"/>
      <c r="D445" s="87"/>
      <c r="E445" s="99"/>
      <c r="F445" s="100"/>
      <c r="G445" s="100"/>
      <c r="H445" s="100"/>
      <c r="I445" s="101"/>
      <c r="J445" s="106"/>
      <c r="K445" s="103"/>
      <c r="L445" s="104"/>
      <c r="M445" s="100"/>
      <c r="N445" s="100"/>
      <c r="O445" s="100"/>
      <c r="P445" s="100"/>
      <c r="Q445" s="105"/>
      <c r="R445" s="105"/>
      <c r="S445" s="169"/>
      <c r="U445" s="188"/>
    </row>
    <row r="446" spans="1:21">
      <c r="A446" s="67" t="s">
        <v>6503</v>
      </c>
      <c r="B446" s="87" t="s">
        <v>6503</v>
      </c>
      <c r="C446" s="88" t="s">
        <v>11973</v>
      </c>
      <c r="D446" s="89"/>
      <c r="E446" s="90"/>
      <c r="F446" s="91" t="s">
        <v>11974</v>
      </c>
      <c r="G446" s="90"/>
      <c r="H446" s="90"/>
      <c r="I446" s="92"/>
      <c r="J446" s="93"/>
      <c r="K446" s="94"/>
      <c r="L446" s="149" t="str">
        <f>HYPERLINK("[#]DatatypeListedValues!B2397:H2397","Enumeration")</f>
        <v>Enumeration</v>
      </c>
      <c r="M446" s="91" t="b">
        <v>1</v>
      </c>
      <c r="N446" s="90"/>
      <c r="O446" s="95"/>
      <c r="P446" s="90"/>
      <c r="Q446" s="96"/>
      <c r="R446" s="97"/>
      <c r="S446" s="169"/>
      <c r="T446" s="300" t="str">
        <f>CONCATENATE([1]Cover!$D$6,"fdd/view?i=",S446)</f>
        <v>https://www.dgiwg.org/FAD/fdd/view?i=</v>
      </c>
      <c r="U446" s="188"/>
    </row>
    <row r="447" spans="1:21" ht="2.1" customHeight="1">
      <c r="A447" s="98"/>
      <c r="B447" s="87"/>
      <c r="C447" s="99"/>
      <c r="D447" s="87"/>
      <c r="E447" s="99"/>
      <c r="F447" s="100"/>
      <c r="G447" s="100"/>
      <c r="H447" s="100"/>
      <c r="I447" s="101"/>
      <c r="J447" s="106"/>
      <c r="K447" s="103"/>
      <c r="L447" s="104"/>
      <c r="M447" s="100"/>
      <c r="N447" s="100"/>
      <c r="O447" s="100"/>
      <c r="P447" s="100"/>
      <c r="Q447" s="105"/>
      <c r="R447" s="105"/>
      <c r="S447" s="169"/>
      <c r="U447" s="188"/>
    </row>
    <row r="448" spans="1:21" ht="76.5">
      <c r="A448" s="67" t="s">
        <v>6518</v>
      </c>
      <c r="B448" s="87" t="s">
        <v>6518</v>
      </c>
      <c r="C448" s="88" t="s">
        <v>11975</v>
      </c>
      <c r="D448" s="89"/>
      <c r="E448" s="90"/>
      <c r="F448" s="91" t="s">
        <v>11976</v>
      </c>
      <c r="G448" s="90"/>
      <c r="H448" s="91" t="s">
        <v>11426</v>
      </c>
      <c r="I448" s="92"/>
      <c r="J448" s="93"/>
      <c r="K448" s="94"/>
      <c r="L448" s="91" t="s">
        <v>11425</v>
      </c>
      <c r="M448" s="90"/>
      <c r="N448" s="91">
        <v>4</v>
      </c>
      <c r="O448" s="108" t="b">
        <v>0</v>
      </c>
      <c r="P448" s="91" t="s">
        <v>11977</v>
      </c>
      <c r="Q448" s="96"/>
      <c r="R448" s="97"/>
      <c r="S448" s="169"/>
      <c r="T448" s="300" t="str">
        <f>CONCATENATE([1]Cover!$D$6,"fdd/view?i=",S448)</f>
        <v>https://www.dgiwg.org/FAD/fdd/view?i=</v>
      </c>
      <c r="U448" s="188"/>
    </row>
    <row r="449" spans="1:21" ht="2.1" customHeight="1">
      <c r="A449" s="98"/>
      <c r="B449" s="87"/>
      <c r="C449" s="99"/>
      <c r="D449" s="87"/>
      <c r="E449" s="99"/>
      <c r="F449" s="100"/>
      <c r="G449" s="100"/>
      <c r="H449" s="100"/>
      <c r="I449" s="101"/>
      <c r="J449" s="106"/>
      <c r="K449" s="103"/>
      <c r="L449" s="104"/>
      <c r="M449" s="100"/>
      <c r="N449" s="100"/>
      <c r="O449" s="100"/>
      <c r="P449" s="100"/>
      <c r="Q449" s="105"/>
      <c r="R449" s="105"/>
      <c r="S449" s="169"/>
      <c r="U449" s="188"/>
    </row>
    <row r="450" spans="1:21" ht="38.25">
      <c r="A450" s="67" t="s">
        <v>6532</v>
      </c>
      <c r="B450" s="87" t="s">
        <v>6532</v>
      </c>
      <c r="C450" s="88" t="s">
        <v>11978</v>
      </c>
      <c r="D450" s="89"/>
      <c r="E450" s="90"/>
      <c r="F450" s="91" t="s">
        <v>11979</v>
      </c>
      <c r="G450" s="90"/>
      <c r="H450" s="91" t="s">
        <v>11426</v>
      </c>
      <c r="I450" s="92"/>
      <c r="J450" s="93"/>
      <c r="K450" s="94"/>
      <c r="L450" s="91" t="s">
        <v>11425</v>
      </c>
      <c r="M450" s="90"/>
      <c r="N450" s="91">
        <v>5</v>
      </c>
      <c r="O450" s="108" t="b">
        <v>0</v>
      </c>
      <c r="P450" s="91" t="s">
        <v>11980</v>
      </c>
      <c r="Q450" s="96"/>
      <c r="R450" s="97"/>
      <c r="S450" s="169"/>
      <c r="T450" s="300" t="str">
        <f>CONCATENATE([1]Cover!$D$6,"fdd/view?i=",S450)</f>
        <v>https://www.dgiwg.org/FAD/fdd/view?i=</v>
      </c>
      <c r="U450" s="188"/>
    </row>
    <row r="451" spans="1:21" ht="2.1" customHeight="1">
      <c r="A451" s="98"/>
      <c r="B451" s="87"/>
      <c r="C451" s="99"/>
      <c r="D451" s="87"/>
      <c r="E451" s="99"/>
      <c r="F451" s="100"/>
      <c r="G451" s="100"/>
      <c r="H451" s="100"/>
      <c r="I451" s="101"/>
      <c r="J451" s="106"/>
      <c r="K451" s="103"/>
      <c r="L451" s="104"/>
      <c r="M451" s="100"/>
      <c r="N451" s="100"/>
      <c r="O451" s="100"/>
      <c r="P451" s="100"/>
      <c r="Q451" s="105"/>
      <c r="R451" s="105"/>
      <c r="S451" s="169"/>
      <c r="U451" s="188"/>
    </row>
    <row r="452" spans="1:21" ht="25.5">
      <c r="A452" s="67" t="s">
        <v>6537</v>
      </c>
      <c r="B452" s="87" t="s">
        <v>6537</v>
      </c>
      <c r="C452" s="88" t="s">
        <v>11981</v>
      </c>
      <c r="D452" s="89"/>
      <c r="E452" s="90"/>
      <c r="F452" s="91" t="s">
        <v>11982</v>
      </c>
      <c r="G452" s="90"/>
      <c r="H452" s="90"/>
      <c r="I452" s="92"/>
      <c r="J452" s="93"/>
      <c r="K452" s="94"/>
      <c r="L452" s="149" t="str">
        <f>HYPERLINK("[#]DatatypeListedValues!B2400:H2400","Enumeration")</f>
        <v>Enumeration</v>
      </c>
      <c r="M452" s="107" t="b">
        <v>0</v>
      </c>
      <c r="N452" s="90"/>
      <c r="O452" s="95"/>
      <c r="P452" s="90"/>
      <c r="Q452" s="96"/>
      <c r="R452" s="97"/>
      <c r="S452" s="169"/>
      <c r="T452" s="300" t="str">
        <f>CONCATENATE([1]Cover!$D$6,"fdd/view?i=",S452)</f>
        <v>https://www.dgiwg.org/FAD/fdd/view?i=</v>
      </c>
      <c r="U452" s="188"/>
    </row>
    <row r="453" spans="1:21" ht="2.1" customHeight="1">
      <c r="A453" s="98"/>
      <c r="B453" s="87"/>
      <c r="C453" s="99"/>
      <c r="D453" s="87"/>
      <c r="E453" s="99"/>
      <c r="F453" s="100"/>
      <c r="G453" s="100"/>
      <c r="H453" s="100"/>
      <c r="I453" s="101"/>
      <c r="J453" s="106"/>
      <c r="K453" s="103"/>
      <c r="L453" s="104"/>
      <c r="M453" s="100"/>
      <c r="N453" s="100"/>
      <c r="O453" s="100"/>
      <c r="P453" s="100"/>
      <c r="Q453" s="105"/>
      <c r="R453" s="105"/>
      <c r="S453" s="169"/>
      <c r="U453" s="188"/>
    </row>
    <row r="454" spans="1:21" ht="102">
      <c r="A454" s="67" t="s">
        <v>6549</v>
      </c>
      <c r="B454" s="87" t="s">
        <v>6549</v>
      </c>
      <c r="C454" s="88" t="s">
        <v>11983</v>
      </c>
      <c r="D454" s="89"/>
      <c r="E454" s="90"/>
      <c r="F454" s="91" t="s">
        <v>11984</v>
      </c>
      <c r="G454" s="90"/>
      <c r="H454" s="91" t="s">
        <v>11426</v>
      </c>
      <c r="I454" s="92"/>
      <c r="J454" s="93"/>
      <c r="K454" s="94"/>
      <c r="L454" s="91" t="s">
        <v>11425</v>
      </c>
      <c r="M454" s="90"/>
      <c r="N454" s="91">
        <v>5</v>
      </c>
      <c r="O454" s="108" t="b">
        <v>0</v>
      </c>
      <c r="P454" s="91" t="s">
        <v>11985</v>
      </c>
      <c r="Q454" s="96"/>
      <c r="R454" s="97"/>
      <c r="S454" s="169"/>
      <c r="T454" s="300" t="str">
        <f>CONCATENATE([1]Cover!$D$6,"fdd/view?i=",S454)</f>
        <v>https://www.dgiwg.org/FAD/fdd/view?i=</v>
      </c>
      <c r="U454" s="188"/>
    </row>
    <row r="455" spans="1:21" ht="2.1" customHeight="1">
      <c r="A455" s="98"/>
      <c r="B455" s="87"/>
      <c r="C455" s="99"/>
      <c r="D455" s="87"/>
      <c r="E455" s="99"/>
      <c r="F455" s="100"/>
      <c r="G455" s="100"/>
      <c r="H455" s="100"/>
      <c r="I455" s="101"/>
      <c r="J455" s="106"/>
      <c r="K455" s="103"/>
      <c r="L455" s="104"/>
      <c r="M455" s="100"/>
      <c r="N455" s="100"/>
      <c r="O455" s="100"/>
      <c r="P455" s="100"/>
      <c r="Q455" s="105"/>
      <c r="R455" s="105"/>
      <c r="S455" s="169"/>
      <c r="U455" s="188"/>
    </row>
    <row r="456" spans="1:21">
      <c r="A456" s="67" t="s">
        <v>6559</v>
      </c>
      <c r="B456" s="87" t="s">
        <v>6559</v>
      </c>
      <c r="C456" s="88" t="s">
        <v>11986</v>
      </c>
      <c r="D456" s="89"/>
      <c r="E456" s="90"/>
      <c r="F456" s="91" t="s">
        <v>11987</v>
      </c>
      <c r="G456" s="90"/>
      <c r="H456" s="90"/>
      <c r="I456" s="92"/>
      <c r="J456" s="93"/>
      <c r="K456" s="94"/>
      <c r="L456" s="149" t="str">
        <f>HYPERLINK("[#]DatatypeListedValues!B2403:H2403","Enumeration")</f>
        <v>Enumeration</v>
      </c>
      <c r="M456" s="107" t="b">
        <v>0</v>
      </c>
      <c r="N456" s="90"/>
      <c r="O456" s="95"/>
      <c r="P456" s="90"/>
      <c r="Q456" s="96"/>
      <c r="R456" s="97"/>
      <c r="S456" s="169"/>
      <c r="T456" s="300" t="str">
        <f>CONCATENATE([1]Cover!$D$6,"fdd/view?i=",S456)</f>
        <v>https://www.dgiwg.org/FAD/fdd/view?i=</v>
      </c>
      <c r="U456" s="188"/>
    </row>
    <row r="457" spans="1:21" ht="2.1" customHeight="1">
      <c r="A457" s="98"/>
      <c r="B457" s="87"/>
      <c r="C457" s="99"/>
      <c r="D457" s="87"/>
      <c r="E457" s="99"/>
      <c r="F457" s="100"/>
      <c r="G457" s="100"/>
      <c r="H457" s="100"/>
      <c r="I457" s="101"/>
      <c r="J457" s="106"/>
      <c r="K457" s="103"/>
      <c r="L457" s="104"/>
      <c r="M457" s="100"/>
      <c r="N457" s="100"/>
      <c r="O457" s="100"/>
      <c r="P457" s="100"/>
      <c r="Q457" s="105"/>
      <c r="R457" s="105"/>
      <c r="S457" s="169"/>
      <c r="U457" s="188"/>
    </row>
    <row r="458" spans="1:21">
      <c r="A458" s="67" t="s">
        <v>6586</v>
      </c>
      <c r="B458" s="87" t="s">
        <v>6586</v>
      </c>
      <c r="C458" s="88" t="s">
        <v>11988</v>
      </c>
      <c r="D458" s="89"/>
      <c r="E458" s="90"/>
      <c r="F458" s="91" t="s">
        <v>11989</v>
      </c>
      <c r="G458" s="90"/>
      <c r="H458" s="90"/>
      <c r="I458" s="92"/>
      <c r="J458" s="93"/>
      <c r="K458" s="94"/>
      <c r="L458" s="149" t="str">
        <f>HYPERLINK("[#]DatatypeListedValues!B2409:H2409","Enumeration")</f>
        <v>Enumeration</v>
      </c>
      <c r="M458" s="91" t="b">
        <v>1</v>
      </c>
      <c r="N458" s="90"/>
      <c r="O458" s="95"/>
      <c r="P458" s="90"/>
      <c r="Q458" s="96"/>
      <c r="R458" s="97"/>
      <c r="S458" s="169"/>
      <c r="T458" s="300" t="str">
        <f>CONCATENATE([1]Cover!$D$6,"fdd/view?i=",S458)</f>
        <v>https://www.dgiwg.org/FAD/fdd/view?i=</v>
      </c>
      <c r="U458" s="188"/>
    </row>
    <row r="459" spans="1:21" ht="2.1" customHeight="1">
      <c r="A459" s="98"/>
      <c r="B459" s="87"/>
      <c r="C459" s="99"/>
      <c r="D459" s="87"/>
      <c r="E459" s="99"/>
      <c r="F459" s="100"/>
      <c r="G459" s="100"/>
      <c r="H459" s="100"/>
      <c r="I459" s="101"/>
      <c r="J459" s="106"/>
      <c r="K459" s="103"/>
      <c r="L459" s="104"/>
      <c r="M459" s="100"/>
      <c r="N459" s="100"/>
      <c r="O459" s="100"/>
      <c r="P459" s="100"/>
      <c r="Q459" s="105"/>
      <c r="R459" s="105"/>
      <c r="S459" s="169"/>
      <c r="U459" s="188"/>
    </row>
    <row r="460" spans="1:21">
      <c r="A460" s="67" t="s">
        <v>6595</v>
      </c>
      <c r="B460" s="87" t="s">
        <v>6595</v>
      </c>
      <c r="C460" s="88" t="s">
        <v>11990</v>
      </c>
      <c r="D460" s="89"/>
      <c r="E460" s="90"/>
      <c r="F460" s="91" t="s">
        <v>11991</v>
      </c>
      <c r="G460" s="90"/>
      <c r="H460" s="90"/>
      <c r="I460" s="92"/>
      <c r="J460" s="93"/>
      <c r="K460" s="94"/>
      <c r="L460" s="149" t="str">
        <f>HYPERLINK("[#]DatatypeListedValues!B2414:H2414","Enumeration")</f>
        <v>Enumeration</v>
      </c>
      <c r="M460" s="107" t="b">
        <v>0</v>
      </c>
      <c r="N460" s="90"/>
      <c r="O460" s="95"/>
      <c r="P460" s="90"/>
      <c r="Q460" s="96"/>
      <c r="R460" s="97"/>
      <c r="S460" s="169"/>
      <c r="T460" s="300" t="str">
        <f>CONCATENATE([1]Cover!$D$6,"fdd/view?i=",S460)</f>
        <v>https://www.dgiwg.org/FAD/fdd/view?i=</v>
      </c>
      <c r="U460" s="188"/>
    </row>
    <row r="461" spans="1:21" ht="2.1" customHeight="1">
      <c r="A461" s="98"/>
      <c r="B461" s="87"/>
      <c r="C461" s="99"/>
      <c r="D461" s="87"/>
      <c r="E461" s="99"/>
      <c r="F461" s="100"/>
      <c r="G461" s="100"/>
      <c r="H461" s="100"/>
      <c r="I461" s="101"/>
      <c r="J461" s="106"/>
      <c r="K461" s="103"/>
      <c r="L461" s="104"/>
      <c r="M461" s="100"/>
      <c r="N461" s="100"/>
      <c r="O461" s="100"/>
      <c r="P461" s="100"/>
      <c r="Q461" s="105"/>
      <c r="R461" s="105"/>
      <c r="S461" s="169"/>
      <c r="U461" s="188"/>
    </row>
    <row r="462" spans="1:21" ht="25.5">
      <c r="A462" s="67" t="s">
        <v>6610</v>
      </c>
      <c r="B462" s="87" t="s">
        <v>6610</v>
      </c>
      <c r="C462" s="88" t="s">
        <v>11992</v>
      </c>
      <c r="D462" s="89"/>
      <c r="E462" s="90"/>
      <c r="F462" s="91" t="s">
        <v>11993</v>
      </c>
      <c r="G462" s="90"/>
      <c r="H462" s="90"/>
      <c r="I462" s="92"/>
      <c r="J462" s="93"/>
      <c r="K462" s="94"/>
      <c r="L462" s="149" t="str">
        <f>HYPERLINK("[#]DatatypeListedValues!B2416:H2416","Enumeration")</f>
        <v>Enumeration</v>
      </c>
      <c r="M462" s="91" t="b">
        <v>1</v>
      </c>
      <c r="N462" s="90"/>
      <c r="O462" s="95"/>
      <c r="P462" s="90"/>
      <c r="Q462" s="96"/>
      <c r="R462" s="97"/>
      <c r="S462" s="169"/>
      <c r="T462" s="300" t="str">
        <f>CONCATENATE([1]Cover!$D$6,"fdd/view?i=",S462)</f>
        <v>https://www.dgiwg.org/FAD/fdd/view?i=</v>
      </c>
      <c r="U462" s="188"/>
    </row>
    <row r="463" spans="1:21" ht="2.1" customHeight="1">
      <c r="A463" s="98"/>
      <c r="B463" s="87"/>
      <c r="C463" s="99"/>
      <c r="D463" s="87"/>
      <c r="E463" s="99"/>
      <c r="F463" s="100"/>
      <c r="G463" s="100"/>
      <c r="H463" s="100"/>
      <c r="I463" s="101"/>
      <c r="J463" s="106"/>
      <c r="K463" s="103"/>
      <c r="L463" s="104"/>
      <c r="M463" s="100"/>
      <c r="N463" s="100"/>
      <c r="O463" s="100"/>
      <c r="P463" s="100"/>
      <c r="Q463" s="105"/>
      <c r="R463" s="105"/>
      <c r="S463" s="169"/>
      <c r="U463" s="188"/>
    </row>
    <row r="464" spans="1:21" ht="25.5">
      <c r="A464" s="67" t="s">
        <v>6620</v>
      </c>
      <c r="B464" s="87" t="s">
        <v>6620</v>
      </c>
      <c r="C464" s="88" t="s">
        <v>11994</v>
      </c>
      <c r="D464" s="89"/>
      <c r="E464" s="90"/>
      <c r="F464" s="91" t="s">
        <v>11995</v>
      </c>
      <c r="G464" s="90"/>
      <c r="H464" s="90"/>
      <c r="I464" s="92"/>
      <c r="J464" s="93"/>
      <c r="K464" s="94"/>
      <c r="L464" s="149" t="str">
        <f>HYPERLINK("[#]DatatypeListedValues!B2768:H2768","Enumeration")</f>
        <v>Enumeration</v>
      </c>
      <c r="M464" s="107" t="b">
        <v>0</v>
      </c>
      <c r="N464" s="90"/>
      <c r="O464" s="95"/>
      <c r="P464" s="90"/>
      <c r="Q464" s="96"/>
      <c r="R464" s="97"/>
      <c r="S464" s="169"/>
      <c r="T464" s="300" t="str">
        <f>CONCATENATE([1]Cover!$D$6,"fdd/view?i=",S464)</f>
        <v>https://www.dgiwg.org/FAD/fdd/view?i=</v>
      </c>
      <c r="U464" s="188"/>
    </row>
    <row r="465" spans="1:21" ht="2.1" customHeight="1">
      <c r="A465" s="98"/>
      <c r="B465" s="87"/>
      <c r="C465" s="99"/>
      <c r="D465" s="87"/>
      <c r="E465" s="99"/>
      <c r="F465" s="100"/>
      <c r="G465" s="100"/>
      <c r="H465" s="100"/>
      <c r="I465" s="101"/>
      <c r="J465" s="106"/>
      <c r="K465" s="103"/>
      <c r="L465" s="104"/>
      <c r="M465" s="100"/>
      <c r="N465" s="100"/>
      <c r="O465" s="100"/>
      <c r="P465" s="100"/>
      <c r="Q465" s="105"/>
      <c r="R465" s="105"/>
      <c r="S465" s="169"/>
      <c r="U465" s="188"/>
    </row>
    <row r="466" spans="1:21">
      <c r="A466" s="67" t="s">
        <v>6625</v>
      </c>
      <c r="B466" s="87" t="s">
        <v>6625</v>
      </c>
      <c r="C466" s="88" t="s">
        <v>11996</v>
      </c>
      <c r="D466" s="89"/>
      <c r="E466" s="90"/>
      <c r="F466" s="91" t="s">
        <v>11997</v>
      </c>
      <c r="G466" s="90"/>
      <c r="H466" s="90"/>
      <c r="I466" s="92"/>
      <c r="J466" s="93"/>
      <c r="K466" s="94"/>
      <c r="L466" s="149" t="str">
        <f>HYPERLINK("[#]DatatypeListedValues!B2771:H2771","Enumeration")</f>
        <v>Enumeration</v>
      </c>
      <c r="M466" s="107" t="b">
        <v>0</v>
      </c>
      <c r="N466" s="90"/>
      <c r="O466" s="95"/>
      <c r="P466" s="90"/>
      <c r="Q466" s="96"/>
      <c r="R466" s="97"/>
      <c r="S466" s="169"/>
      <c r="T466" s="300" t="str">
        <f>CONCATENATE([1]Cover!$D$6,"fdd/view?i=",S466)</f>
        <v>https://www.dgiwg.org/FAD/fdd/view?i=</v>
      </c>
      <c r="U466" s="188"/>
    </row>
    <row r="467" spans="1:21" ht="2.1" customHeight="1">
      <c r="A467" s="98"/>
      <c r="B467" s="87"/>
      <c r="C467" s="99"/>
      <c r="D467" s="87"/>
      <c r="E467" s="99"/>
      <c r="F467" s="100"/>
      <c r="G467" s="100"/>
      <c r="H467" s="100"/>
      <c r="I467" s="101"/>
      <c r="J467" s="106"/>
      <c r="K467" s="103"/>
      <c r="L467" s="104"/>
      <c r="M467" s="100"/>
      <c r="N467" s="100"/>
      <c r="O467" s="100"/>
      <c r="P467" s="100"/>
      <c r="Q467" s="105"/>
      <c r="R467" s="105"/>
      <c r="S467" s="169"/>
      <c r="U467" s="188"/>
    </row>
    <row r="468" spans="1:21">
      <c r="A468" s="67" t="s">
        <v>6635</v>
      </c>
      <c r="B468" s="87" t="s">
        <v>6635</v>
      </c>
      <c r="C468" s="88" t="s">
        <v>11998</v>
      </c>
      <c r="D468" s="89"/>
      <c r="E468" s="90"/>
      <c r="F468" s="91" t="s">
        <v>11999</v>
      </c>
      <c r="G468" s="90"/>
      <c r="H468" s="90"/>
      <c r="I468" s="92"/>
      <c r="J468" s="93"/>
      <c r="K468" s="94"/>
      <c r="L468" s="149" t="str">
        <f>HYPERLINK("[#]DatatypeListedValues!B2774:H2774","Enumeration")</f>
        <v>Enumeration</v>
      </c>
      <c r="M468" s="107" t="b">
        <v>0</v>
      </c>
      <c r="N468" s="90"/>
      <c r="O468" s="95"/>
      <c r="P468" s="90"/>
      <c r="Q468" s="96"/>
      <c r="R468" s="97"/>
      <c r="S468" s="169"/>
      <c r="T468" s="300" t="str">
        <f>CONCATENATE([1]Cover!$D$6,"fdd/view?i=",S468)</f>
        <v>https://www.dgiwg.org/FAD/fdd/view?i=</v>
      </c>
      <c r="U468" s="188"/>
    </row>
    <row r="469" spans="1:21" ht="2.1" customHeight="1">
      <c r="A469" s="98"/>
      <c r="B469" s="87"/>
      <c r="C469" s="99"/>
      <c r="D469" s="87"/>
      <c r="E469" s="99"/>
      <c r="F469" s="100"/>
      <c r="G469" s="100"/>
      <c r="H469" s="100"/>
      <c r="I469" s="101"/>
      <c r="J469" s="106"/>
      <c r="K469" s="103"/>
      <c r="L469" s="104"/>
      <c r="M469" s="100"/>
      <c r="N469" s="100"/>
      <c r="O469" s="100"/>
      <c r="P469" s="100"/>
      <c r="Q469" s="105"/>
      <c r="R469" s="105"/>
      <c r="S469" s="169"/>
      <c r="U469" s="188"/>
    </row>
    <row r="470" spans="1:21">
      <c r="A470" s="67" t="s">
        <v>6640</v>
      </c>
      <c r="B470" s="87" t="s">
        <v>6640</v>
      </c>
      <c r="C470" s="88" t="s">
        <v>12000</v>
      </c>
      <c r="D470" s="89"/>
      <c r="E470" s="90"/>
      <c r="F470" s="91" t="s">
        <v>12001</v>
      </c>
      <c r="G470" s="90"/>
      <c r="H470" s="90"/>
      <c r="I470" s="92"/>
      <c r="J470" s="93"/>
      <c r="K470" s="94"/>
      <c r="L470" s="149" t="str">
        <f>HYPERLINK("[#]DatatypeListedValues!B2776:H2776","Enumeration")</f>
        <v>Enumeration</v>
      </c>
      <c r="M470" s="107" t="b">
        <v>0</v>
      </c>
      <c r="N470" s="90"/>
      <c r="O470" s="95"/>
      <c r="P470" s="90"/>
      <c r="Q470" s="96"/>
      <c r="R470" s="97"/>
      <c r="S470" s="169"/>
      <c r="T470" s="300" t="str">
        <f>CONCATENATE([1]Cover!$D$6,"fdd/view?i=",S470)</f>
        <v>https://www.dgiwg.org/FAD/fdd/view?i=</v>
      </c>
      <c r="U470" s="188"/>
    </row>
    <row r="471" spans="1:21" ht="2.1" customHeight="1">
      <c r="A471" s="98"/>
      <c r="B471" s="87"/>
      <c r="C471" s="99"/>
      <c r="D471" s="87"/>
      <c r="E471" s="99"/>
      <c r="F471" s="100"/>
      <c r="G471" s="100"/>
      <c r="H471" s="100"/>
      <c r="I471" s="101"/>
      <c r="J471" s="106"/>
      <c r="K471" s="103"/>
      <c r="L471" s="104"/>
      <c r="M471" s="100"/>
      <c r="N471" s="100"/>
      <c r="O471" s="100"/>
      <c r="P471" s="100"/>
      <c r="Q471" s="105"/>
      <c r="R471" s="105"/>
      <c r="S471" s="169"/>
      <c r="U471" s="188"/>
    </row>
    <row r="472" spans="1:21" ht="25.5">
      <c r="A472" s="67" t="s">
        <v>6659</v>
      </c>
      <c r="B472" s="87" t="s">
        <v>6659</v>
      </c>
      <c r="C472" s="88" t="s">
        <v>12002</v>
      </c>
      <c r="D472" s="89"/>
      <c r="E472" s="90"/>
      <c r="F472" s="91" t="s">
        <v>12003</v>
      </c>
      <c r="G472" s="90"/>
      <c r="H472" s="90"/>
      <c r="I472" s="92"/>
      <c r="J472" s="93"/>
      <c r="K472" s="94"/>
      <c r="L472" s="149" t="str">
        <f>HYPERLINK("[#]DatatypeListedValues!B2780:H2780","Enumeration")</f>
        <v>Enumeration</v>
      </c>
      <c r="M472" s="107" t="b">
        <v>0</v>
      </c>
      <c r="N472" s="90"/>
      <c r="O472" s="95"/>
      <c r="P472" s="90"/>
      <c r="Q472" s="96"/>
      <c r="R472" s="97"/>
      <c r="S472" s="169"/>
      <c r="T472" s="300" t="str">
        <f>CONCATENATE([1]Cover!$D$6,"fdd/view?i=",S472)</f>
        <v>https://www.dgiwg.org/FAD/fdd/view?i=</v>
      </c>
      <c r="U472" s="188"/>
    </row>
    <row r="473" spans="1:21" ht="2.1" customHeight="1">
      <c r="A473" s="98"/>
      <c r="B473" s="87"/>
      <c r="C473" s="99"/>
      <c r="D473" s="87"/>
      <c r="E473" s="99"/>
      <c r="F473" s="100"/>
      <c r="G473" s="100"/>
      <c r="H473" s="100"/>
      <c r="I473" s="101"/>
      <c r="J473" s="106"/>
      <c r="K473" s="103"/>
      <c r="L473" s="104"/>
      <c r="M473" s="100"/>
      <c r="N473" s="100"/>
      <c r="O473" s="100"/>
      <c r="P473" s="100"/>
      <c r="Q473" s="105"/>
      <c r="R473" s="105"/>
      <c r="S473" s="169"/>
      <c r="U473" s="188"/>
    </row>
    <row r="474" spans="1:21" ht="38.25">
      <c r="A474" s="67" t="s">
        <v>6666</v>
      </c>
      <c r="B474" s="87" t="s">
        <v>6666</v>
      </c>
      <c r="C474" s="88" t="s">
        <v>12004</v>
      </c>
      <c r="D474" s="89"/>
      <c r="E474" s="90"/>
      <c r="F474" s="91" t="s">
        <v>12005</v>
      </c>
      <c r="G474" s="90"/>
      <c r="H474" s="91" t="s">
        <v>11426</v>
      </c>
      <c r="I474" s="92"/>
      <c r="J474" s="93"/>
      <c r="K474" s="94"/>
      <c r="L474" s="91" t="s">
        <v>11425</v>
      </c>
      <c r="M474" s="90"/>
      <c r="N474" s="91">
        <v>10</v>
      </c>
      <c r="O474" s="108" t="b">
        <v>0</v>
      </c>
      <c r="P474" s="91" t="s">
        <v>11756</v>
      </c>
      <c r="Q474" s="96"/>
      <c r="R474" s="97"/>
      <c r="S474" s="169"/>
      <c r="T474" s="300" t="str">
        <f>CONCATENATE([1]Cover!$D$6,"fdd/view?i=",S474)</f>
        <v>https://www.dgiwg.org/FAD/fdd/view?i=</v>
      </c>
      <c r="U474" s="188"/>
    </row>
    <row r="475" spans="1:21" ht="2.1" customHeight="1">
      <c r="A475" s="98"/>
      <c r="B475" s="87"/>
      <c r="C475" s="99"/>
      <c r="D475" s="87"/>
      <c r="E475" s="99"/>
      <c r="F475" s="100"/>
      <c r="G475" s="100"/>
      <c r="H475" s="100"/>
      <c r="I475" s="101"/>
      <c r="J475" s="106"/>
      <c r="K475" s="103"/>
      <c r="L475" s="104"/>
      <c r="M475" s="100"/>
      <c r="N475" s="100"/>
      <c r="O475" s="100"/>
      <c r="P475" s="100"/>
      <c r="Q475" s="105"/>
      <c r="R475" s="105"/>
      <c r="S475" s="169"/>
      <c r="U475" s="188"/>
    </row>
    <row r="476" spans="1:21" ht="178.5">
      <c r="A476" s="67" t="s">
        <v>6677</v>
      </c>
      <c r="B476" s="87" t="s">
        <v>6677</v>
      </c>
      <c r="C476" s="88" t="s">
        <v>12006</v>
      </c>
      <c r="D476" s="89"/>
      <c r="E476" s="90"/>
      <c r="F476" s="91" t="s">
        <v>12007</v>
      </c>
      <c r="G476" s="90"/>
      <c r="H476" s="91" t="s">
        <v>11426</v>
      </c>
      <c r="I476" s="92"/>
      <c r="J476" s="93"/>
      <c r="K476" s="94"/>
      <c r="L476" s="91" t="s">
        <v>11425</v>
      </c>
      <c r="M476" s="90"/>
      <c r="N476" s="91">
        <v>20</v>
      </c>
      <c r="O476" s="108" t="b">
        <v>0</v>
      </c>
      <c r="P476" s="91" t="s">
        <v>11909</v>
      </c>
      <c r="Q476" s="96"/>
      <c r="R476" s="97"/>
      <c r="S476" s="169"/>
      <c r="T476" s="300" t="str">
        <f>CONCATENATE([1]Cover!$D$6,"fdd/view?i=",S476)</f>
        <v>https://www.dgiwg.org/FAD/fdd/view?i=</v>
      </c>
      <c r="U476" s="188"/>
    </row>
    <row r="477" spans="1:21" ht="2.1" customHeight="1">
      <c r="A477" s="98"/>
      <c r="B477" s="87"/>
      <c r="C477" s="99"/>
      <c r="D477" s="87"/>
      <c r="E477" s="99"/>
      <c r="F477" s="100"/>
      <c r="G477" s="100"/>
      <c r="H477" s="100"/>
      <c r="I477" s="101"/>
      <c r="J477" s="106"/>
      <c r="K477" s="103"/>
      <c r="L477" s="104"/>
      <c r="M477" s="100"/>
      <c r="N477" s="100"/>
      <c r="O477" s="100"/>
      <c r="P477" s="100"/>
      <c r="Q477" s="105"/>
      <c r="R477" s="105"/>
      <c r="S477" s="169"/>
      <c r="U477" s="188"/>
    </row>
    <row r="478" spans="1:21" ht="25.5">
      <c r="A478" s="67" t="s">
        <v>6691</v>
      </c>
      <c r="B478" s="87" t="s">
        <v>6691</v>
      </c>
      <c r="C478" s="88" t="s">
        <v>12008</v>
      </c>
      <c r="D478" s="89"/>
      <c r="E478" s="90"/>
      <c r="F478" s="91" t="s">
        <v>12009</v>
      </c>
      <c r="G478" s="90"/>
      <c r="H478" s="90"/>
      <c r="I478" s="92"/>
      <c r="J478" s="93"/>
      <c r="K478" s="94"/>
      <c r="L478" s="149" t="str">
        <f>HYPERLINK("[#]DatatypeListedValues!B2786:H2786","Enumeration")</f>
        <v>Enumeration</v>
      </c>
      <c r="M478" s="107" t="b">
        <v>0</v>
      </c>
      <c r="N478" s="90"/>
      <c r="O478" s="95"/>
      <c r="P478" s="90"/>
      <c r="Q478" s="96"/>
      <c r="R478" s="97"/>
      <c r="S478" s="169"/>
      <c r="T478" s="300" t="str">
        <f>CONCATENATE([1]Cover!$D$6,"fdd/view?i=",S478)</f>
        <v>https://www.dgiwg.org/FAD/fdd/view?i=</v>
      </c>
      <c r="U478" s="188"/>
    </row>
    <row r="479" spans="1:21" ht="2.1" customHeight="1">
      <c r="A479" s="98"/>
      <c r="B479" s="87"/>
      <c r="C479" s="99"/>
      <c r="D479" s="87"/>
      <c r="E479" s="99"/>
      <c r="F479" s="100"/>
      <c r="G479" s="100"/>
      <c r="H479" s="100"/>
      <c r="I479" s="101"/>
      <c r="J479" s="106"/>
      <c r="K479" s="103"/>
      <c r="L479" s="104"/>
      <c r="M479" s="100"/>
      <c r="N479" s="100"/>
      <c r="O479" s="100"/>
      <c r="P479" s="100"/>
      <c r="Q479" s="105"/>
      <c r="R479" s="105"/>
      <c r="S479" s="169"/>
      <c r="U479" s="188"/>
    </row>
    <row r="480" spans="1:21" ht="25.5">
      <c r="A480" s="67" t="s">
        <v>6696</v>
      </c>
      <c r="B480" s="87" t="s">
        <v>6696</v>
      </c>
      <c r="C480" s="88" t="s">
        <v>12010</v>
      </c>
      <c r="D480" s="89"/>
      <c r="E480" s="90"/>
      <c r="F480" s="91" t="s">
        <v>12011</v>
      </c>
      <c r="G480" s="90"/>
      <c r="H480" s="90"/>
      <c r="I480" s="92"/>
      <c r="J480" s="93"/>
      <c r="K480" s="94"/>
      <c r="L480" s="149" t="str">
        <f>HYPERLINK("[#]DatatypeListedValues!B2918:H2918","Enumeration")</f>
        <v>Enumeration</v>
      </c>
      <c r="M480" s="107" t="b">
        <v>0</v>
      </c>
      <c r="N480" s="90"/>
      <c r="O480" s="95"/>
      <c r="P480" s="90"/>
      <c r="Q480" s="96"/>
      <c r="R480" s="97"/>
      <c r="S480" s="169"/>
      <c r="T480" s="300" t="str">
        <f>CONCATENATE([1]Cover!$D$6,"fdd/view?i=",S480)</f>
        <v>https://www.dgiwg.org/FAD/fdd/view?i=</v>
      </c>
      <c r="U480" s="188"/>
    </row>
    <row r="481" spans="1:21" ht="2.1" customHeight="1">
      <c r="A481" s="98"/>
      <c r="B481" s="87"/>
      <c r="C481" s="99"/>
      <c r="D481" s="87"/>
      <c r="E481" s="99"/>
      <c r="F481" s="100"/>
      <c r="G481" s="100"/>
      <c r="H481" s="100"/>
      <c r="I481" s="101"/>
      <c r="J481" s="106"/>
      <c r="K481" s="103"/>
      <c r="L481" s="104"/>
      <c r="M481" s="100"/>
      <c r="N481" s="100"/>
      <c r="O481" s="100"/>
      <c r="P481" s="100"/>
      <c r="Q481" s="105"/>
      <c r="R481" s="105"/>
      <c r="S481" s="169"/>
      <c r="U481" s="188"/>
    </row>
    <row r="482" spans="1:21" ht="25.5">
      <c r="A482" s="67" t="s">
        <v>6706</v>
      </c>
      <c r="B482" s="87" t="s">
        <v>6706</v>
      </c>
      <c r="C482" s="88" t="s">
        <v>12012</v>
      </c>
      <c r="D482" s="89"/>
      <c r="E482" s="90"/>
      <c r="F482" s="91" t="s">
        <v>12013</v>
      </c>
      <c r="G482" s="90"/>
      <c r="H482" s="90"/>
      <c r="I482" s="92"/>
      <c r="J482" s="93"/>
      <c r="K482" s="94"/>
      <c r="L482" s="149" t="str">
        <f>HYPERLINK("[#]DatatypeListedValues!B2926:H2926","Enumeration")</f>
        <v>Enumeration</v>
      </c>
      <c r="M482" s="107" t="b">
        <v>0</v>
      </c>
      <c r="N482" s="90"/>
      <c r="O482" s="95"/>
      <c r="P482" s="90"/>
      <c r="Q482" s="96"/>
      <c r="R482" s="97"/>
      <c r="S482" s="169"/>
      <c r="T482" s="300" t="str">
        <f>CONCATENATE([1]Cover!$D$6,"fdd/view?i=",S482)</f>
        <v>https://www.dgiwg.org/FAD/fdd/view?i=</v>
      </c>
      <c r="U482" s="188"/>
    </row>
    <row r="483" spans="1:21" ht="2.1" customHeight="1">
      <c r="A483" s="98"/>
      <c r="B483" s="87"/>
      <c r="C483" s="99"/>
      <c r="D483" s="87"/>
      <c r="E483" s="99"/>
      <c r="F483" s="100"/>
      <c r="G483" s="100"/>
      <c r="H483" s="100"/>
      <c r="I483" s="101"/>
      <c r="J483" s="106"/>
      <c r="K483" s="103"/>
      <c r="L483" s="104"/>
      <c r="M483" s="100"/>
      <c r="N483" s="100"/>
      <c r="O483" s="100"/>
      <c r="P483" s="100"/>
      <c r="Q483" s="105"/>
      <c r="R483" s="105"/>
      <c r="S483" s="169"/>
      <c r="U483" s="188"/>
    </row>
    <row r="484" spans="1:21" ht="25.5">
      <c r="A484" s="67" t="s">
        <v>6711</v>
      </c>
      <c r="B484" s="87" t="s">
        <v>6711</v>
      </c>
      <c r="C484" s="88" t="s">
        <v>12014</v>
      </c>
      <c r="D484" s="89"/>
      <c r="E484" s="90"/>
      <c r="F484" s="91" t="s">
        <v>12015</v>
      </c>
      <c r="G484" s="90"/>
      <c r="H484" s="90"/>
      <c r="I484" s="92"/>
      <c r="J484" s="93"/>
      <c r="K484" s="94"/>
      <c r="L484" s="149" t="str">
        <f>HYPERLINK("[#]DatatypeListedValues!B2929:H2929","Enumeration")</f>
        <v>Enumeration</v>
      </c>
      <c r="M484" s="107" t="b">
        <v>0</v>
      </c>
      <c r="N484" s="90"/>
      <c r="O484" s="95"/>
      <c r="P484" s="90"/>
      <c r="Q484" s="96"/>
      <c r="R484" s="97"/>
      <c r="S484" s="169"/>
      <c r="T484" s="300" t="str">
        <f>CONCATENATE([1]Cover!$D$6,"fdd/view?i=",S484)</f>
        <v>https://www.dgiwg.org/FAD/fdd/view?i=</v>
      </c>
      <c r="U484" s="188"/>
    </row>
    <row r="485" spans="1:21" ht="2.1" customHeight="1">
      <c r="A485" s="98"/>
      <c r="B485" s="87"/>
      <c r="C485" s="99"/>
      <c r="D485" s="87"/>
      <c r="E485" s="99"/>
      <c r="F485" s="100"/>
      <c r="G485" s="100"/>
      <c r="H485" s="100"/>
      <c r="I485" s="101"/>
      <c r="J485" s="106"/>
      <c r="K485" s="103"/>
      <c r="L485" s="104"/>
      <c r="M485" s="100"/>
      <c r="N485" s="100"/>
      <c r="O485" s="100"/>
      <c r="P485" s="100"/>
      <c r="Q485" s="105"/>
      <c r="R485" s="105"/>
      <c r="S485" s="169"/>
      <c r="U485" s="188"/>
    </row>
    <row r="486" spans="1:21" ht="25.5">
      <c r="A486" s="67" t="s">
        <v>6728</v>
      </c>
      <c r="B486" s="87" t="s">
        <v>6728</v>
      </c>
      <c r="C486" s="88" t="s">
        <v>12016</v>
      </c>
      <c r="D486" s="89"/>
      <c r="E486" s="90"/>
      <c r="F486" s="91" t="s">
        <v>12017</v>
      </c>
      <c r="G486" s="90"/>
      <c r="H486" s="90"/>
      <c r="I486" s="92"/>
      <c r="J486" s="93"/>
      <c r="K486" s="94"/>
      <c r="L486" s="149" t="str">
        <f>HYPERLINK("[#]DatatypeListedValues!B2934:H2934","Enumeration")</f>
        <v>Enumeration</v>
      </c>
      <c r="M486" s="91" t="b">
        <v>1</v>
      </c>
      <c r="N486" s="90"/>
      <c r="O486" s="95"/>
      <c r="P486" s="90"/>
      <c r="Q486" s="96"/>
      <c r="R486" s="97"/>
      <c r="S486" s="169"/>
      <c r="T486" s="300" t="str">
        <f>CONCATENATE([1]Cover!$D$6,"fdd/view?i=",S486)</f>
        <v>https://www.dgiwg.org/FAD/fdd/view?i=</v>
      </c>
      <c r="U486" s="188"/>
    </row>
    <row r="487" spans="1:21" ht="2.1" customHeight="1">
      <c r="A487" s="98"/>
      <c r="B487" s="87"/>
      <c r="C487" s="99"/>
      <c r="D487" s="87"/>
      <c r="E487" s="99"/>
      <c r="F487" s="100"/>
      <c r="G487" s="100"/>
      <c r="H487" s="100"/>
      <c r="I487" s="101"/>
      <c r="J487" s="106"/>
      <c r="K487" s="103"/>
      <c r="L487" s="104"/>
      <c r="M487" s="100"/>
      <c r="N487" s="100"/>
      <c r="O487" s="100"/>
      <c r="P487" s="100"/>
      <c r="Q487" s="105"/>
      <c r="R487" s="105"/>
      <c r="S487" s="169"/>
      <c r="U487" s="188"/>
    </row>
    <row r="488" spans="1:21" ht="38.25">
      <c r="A488" s="63" t="s">
        <v>12018</v>
      </c>
      <c r="B488" s="329" t="s">
        <v>12018</v>
      </c>
      <c r="C488" s="326" t="s">
        <v>12019</v>
      </c>
      <c r="D488" s="109"/>
      <c r="E488" s="110"/>
      <c r="F488" s="111" t="s">
        <v>12020</v>
      </c>
      <c r="G488" s="111" t="s">
        <v>12021</v>
      </c>
      <c r="H488" s="110"/>
      <c r="I488" s="112"/>
      <c r="J488" s="113"/>
      <c r="K488" s="114"/>
      <c r="L488" s="115" t="s">
        <v>11429</v>
      </c>
      <c r="M488" s="110"/>
      <c r="N488" s="110"/>
      <c r="O488" s="116"/>
      <c r="P488" s="110"/>
      <c r="Q488" s="117"/>
      <c r="R488" s="118"/>
      <c r="S488" s="169"/>
      <c r="T488" s="300" t="str">
        <f>CONCATENATE([1]Cover!$D$6,"fdd/view?i=",S488)</f>
        <v>https://www.dgiwg.org/FAD/fdd/view?i=</v>
      </c>
      <c r="U488" s="188"/>
    </row>
    <row r="489" spans="1:21" ht="51">
      <c r="A489" s="64" t="s">
        <v>33705</v>
      </c>
      <c r="B489" s="330"/>
      <c r="C489" s="327"/>
      <c r="D489" s="132" t="s">
        <v>11877</v>
      </c>
      <c r="E489" s="138" t="s">
        <v>12022</v>
      </c>
      <c r="F489" s="70" t="s">
        <v>12023</v>
      </c>
      <c r="G489" s="70" t="s">
        <v>12024</v>
      </c>
      <c r="H489" s="68"/>
      <c r="I489" s="133" t="s">
        <v>4643</v>
      </c>
      <c r="J489" s="142"/>
      <c r="K489" s="135" t="s">
        <v>4650</v>
      </c>
      <c r="L489" s="150" t="str">
        <f>HYPERLINK("[#]Datatypes!B1097:L1097","Real")</f>
        <v>Real</v>
      </c>
      <c r="M489" s="122"/>
      <c r="N489" s="122"/>
      <c r="O489" s="122"/>
      <c r="P489" s="122"/>
      <c r="Q489" s="123"/>
      <c r="R489" s="124"/>
      <c r="S489" s="169"/>
      <c r="U489" s="188"/>
    </row>
    <row r="490" spans="1:21" ht="51">
      <c r="A490" s="64" t="s">
        <v>33706</v>
      </c>
      <c r="B490" s="330"/>
      <c r="C490" s="327"/>
      <c r="D490" s="136" t="s">
        <v>11881</v>
      </c>
      <c r="E490" s="139" t="s">
        <v>12025</v>
      </c>
      <c r="F490" s="8" t="s">
        <v>12026</v>
      </c>
      <c r="G490" s="8" t="s">
        <v>12027</v>
      </c>
      <c r="H490" s="54"/>
      <c r="I490" s="119" t="s">
        <v>4643</v>
      </c>
      <c r="J490" s="125"/>
      <c r="K490" s="121" t="s">
        <v>4650</v>
      </c>
      <c r="L490" s="151" t="str">
        <f>HYPERLINK("[#]Datatypes!B1097:L1097","Real")</f>
        <v>Real</v>
      </c>
      <c r="M490" s="122"/>
      <c r="N490" s="122"/>
      <c r="O490" s="122"/>
      <c r="P490" s="122"/>
      <c r="Q490" s="123"/>
      <c r="R490" s="124"/>
      <c r="S490" s="169"/>
      <c r="T490" s="300" t="str">
        <f>CONCATENATE([1]Cover!$D$6,"fdd/view?i=",S490)</f>
        <v>https://www.dgiwg.org/FAD/fdd/view?i=</v>
      </c>
      <c r="U490" s="188"/>
    </row>
    <row r="491" spans="1:21" ht="25.5">
      <c r="A491" s="64" t="s">
        <v>33707</v>
      </c>
      <c r="B491" s="330"/>
      <c r="C491" s="327"/>
      <c r="D491" s="136" t="s">
        <v>11885</v>
      </c>
      <c r="E491" s="139" t="s">
        <v>11886</v>
      </c>
      <c r="F491" s="8" t="s">
        <v>12028</v>
      </c>
      <c r="G491" s="8" t="s">
        <v>12029</v>
      </c>
      <c r="H491" s="54"/>
      <c r="I491" s="119" t="s">
        <v>4643</v>
      </c>
      <c r="J491" s="125"/>
      <c r="K491" s="121" t="s">
        <v>11889</v>
      </c>
      <c r="L491" s="151" t="str">
        <f>HYPERLINK("[#]Datatypes!B730:L730","Interval Closure Type Code")</f>
        <v>Interval Closure Type Code</v>
      </c>
      <c r="M491" s="122"/>
      <c r="N491" s="122"/>
      <c r="O491" s="122"/>
      <c r="P491" s="122"/>
      <c r="Q491" s="123"/>
      <c r="R491" s="124"/>
      <c r="S491" s="169"/>
      <c r="U491" s="188"/>
    </row>
    <row r="492" spans="1:21" ht="25.5">
      <c r="A492" s="64" t="s">
        <v>33709</v>
      </c>
      <c r="B492" s="330"/>
      <c r="C492" s="327"/>
      <c r="D492" s="136" t="s">
        <v>11030</v>
      </c>
      <c r="E492" s="139" t="s">
        <v>11032</v>
      </c>
      <c r="F492" s="8" t="s">
        <v>12030</v>
      </c>
      <c r="G492" s="54"/>
      <c r="H492" s="54"/>
      <c r="I492" s="119" t="s">
        <v>4643</v>
      </c>
      <c r="J492" s="125"/>
      <c r="K492" s="121" t="s">
        <v>12031</v>
      </c>
      <c r="L492" s="154" t="s">
        <v>12032</v>
      </c>
      <c r="M492" s="122"/>
      <c r="N492" s="122"/>
      <c r="O492" s="122"/>
      <c r="P492" s="122"/>
      <c r="Q492" s="123"/>
      <c r="R492" s="124"/>
      <c r="S492" s="169"/>
      <c r="T492" s="300" t="str">
        <f>CONCATENATE([1]Cover!$D$6,"fdd/view?i=",S492)</f>
        <v>https://www.dgiwg.org/FAD/fdd/view?i=</v>
      </c>
      <c r="U492" s="188"/>
    </row>
    <row r="493" spans="1:21" ht="38.25">
      <c r="A493" s="65" t="s">
        <v>33710</v>
      </c>
      <c r="B493" s="331"/>
      <c r="C493" s="328"/>
      <c r="D493" s="137" t="s">
        <v>12033</v>
      </c>
      <c r="E493" s="140" t="s">
        <v>12034</v>
      </c>
      <c r="F493" s="66" t="s">
        <v>4674</v>
      </c>
      <c r="G493" s="69"/>
      <c r="H493" s="69"/>
      <c r="I493" s="126" t="s">
        <v>11438</v>
      </c>
      <c r="J493" s="141"/>
      <c r="K493" s="128" t="s">
        <v>5165</v>
      </c>
      <c r="L493" s="152" t="str">
        <f>HYPERLINK("[#]Datatypes!B958:L958","Non-negative Real")</f>
        <v>Non-negative Real</v>
      </c>
      <c r="M493" s="129"/>
      <c r="N493" s="129"/>
      <c r="O493" s="129"/>
      <c r="P493" s="129"/>
      <c r="Q493" s="130"/>
      <c r="R493" s="131"/>
      <c r="S493" s="169"/>
      <c r="U493" s="188"/>
    </row>
    <row r="494" spans="1:21" ht="2.1" customHeight="1">
      <c r="A494" s="98"/>
      <c r="B494" s="87"/>
      <c r="C494" s="99"/>
      <c r="D494" s="87"/>
      <c r="E494" s="99"/>
      <c r="F494" s="100"/>
      <c r="G494" s="100"/>
      <c r="H494" s="100"/>
      <c r="I494" s="101"/>
      <c r="J494" s="106"/>
      <c r="K494" s="103"/>
      <c r="L494" s="104"/>
      <c r="M494" s="100"/>
      <c r="N494" s="100"/>
      <c r="O494" s="100"/>
      <c r="P494" s="100"/>
      <c r="Q494" s="105"/>
      <c r="R494" s="105"/>
      <c r="S494" s="169"/>
      <c r="T494" s="300" t="str">
        <f>CONCATENATE([1]Cover!$D$6,"fdd/view?i=",S494)</f>
        <v>https://www.dgiwg.org/FAD/fdd/view?i=</v>
      </c>
      <c r="U494" s="188"/>
    </row>
    <row r="495" spans="1:21" ht="25.5">
      <c r="A495" s="67" t="s">
        <v>6733</v>
      </c>
      <c r="B495" s="87" t="s">
        <v>6733</v>
      </c>
      <c r="C495" s="88" t="s">
        <v>12036</v>
      </c>
      <c r="D495" s="89"/>
      <c r="E495" s="90"/>
      <c r="F495" s="91" t="s">
        <v>12037</v>
      </c>
      <c r="G495" s="90"/>
      <c r="H495" s="90"/>
      <c r="I495" s="92"/>
      <c r="J495" s="93"/>
      <c r="K495" s="94"/>
      <c r="L495" s="149" t="str">
        <f>HYPERLINK("[#]DatatypeListedValues!B2936:H2936","Enumeration")</f>
        <v>Enumeration</v>
      </c>
      <c r="M495" s="91" t="b">
        <v>1</v>
      </c>
      <c r="N495" s="90"/>
      <c r="O495" s="95"/>
      <c r="P495" s="90"/>
      <c r="Q495" s="96"/>
      <c r="R495" s="97"/>
      <c r="S495" s="169"/>
      <c r="U495" s="188"/>
    </row>
    <row r="496" spans="1:21" ht="2.1" customHeight="1">
      <c r="A496" s="98"/>
      <c r="B496" s="87"/>
      <c r="C496" s="99"/>
      <c r="D496" s="87"/>
      <c r="E496" s="99"/>
      <c r="F496" s="100"/>
      <c r="G496" s="100"/>
      <c r="H496" s="100"/>
      <c r="I496" s="101"/>
      <c r="J496" s="106"/>
      <c r="K496" s="103"/>
      <c r="L496" s="104"/>
      <c r="M496" s="100"/>
      <c r="N496" s="100"/>
      <c r="O496" s="100"/>
      <c r="P496" s="100"/>
      <c r="Q496" s="105"/>
      <c r="R496" s="105"/>
      <c r="S496" s="169"/>
      <c r="T496" s="300" t="str">
        <f>CONCATENATE([1]Cover!$D$6,"fdd/view?i=",S496)</f>
        <v>https://www.dgiwg.org/FAD/fdd/view?i=</v>
      </c>
      <c r="U496" s="188"/>
    </row>
    <row r="497" spans="1:21" ht="25.5">
      <c r="A497" s="63" t="s">
        <v>12038</v>
      </c>
      <c r="B497" s="329" t="s">
        <v>12038</v>
      </c>
      <c r="C497" s="326" t="s">
        <v>12039</v>
      </c>
      <c r="D497" s="109"/>
      <c r="E497" s="110"/>
      <c r="F497" s="111" t="s">
        <v>12040</v>
      </c>
      <c r="G497" s="111" t="s">
        <v>12041</v>
      </c>
      <c r="H497" s="110"/>
      <c r="I497" s="112"/>
      <c r="J497" s="113"/>
      <c r="K497" s="114"/>
      <c r="L497" s="115" t="s">
        <v>11429</v>
      </c>
      <c r="M497" s="110"/>
      <c r="N497" s="110"/>
      <c r="O497" s="116"/>
      <c r="P497" s="110"/>
      <c r="Q497" s="117"/>
      <c r="R497" s="118"/>
      <c r="S497" s="169"/>
      <c r="U497" s="188"/>
    </row>
    <row r="498" spans="1:21" ht="51">
      <c r="A498" s="64" t="s">
        <v>33685</v>
      </c>
      <c r="B498" s="330"/>
      <c r="C498" s="327"/>
      <c r="D498" s="132" t="s">
        <v>11678</v>
      </c>
      <c r="E498" s="138" t="s">
        <v>12042</v>
      </c>
      <c r="F498" s="70" t="s">
        <v>12043</v>
      </c>
      <c r="G498" s="70" t="s">
        <v>12044</v>
      </c>
      <c r="H498" s="68"/>
      <c r="I498" s="133" t="s">
        <v>4643</v>
      </c>
      <c r="J498" s="142"/>
      <c r="K498" s="135" t="s">
        <v>4650</v>
      </c>
      <c r="L498" s="150" t="str">
        <f>HYPERLINK("[#]Datatypes!B1097:L1097","Real")</f>
        <v>Real</v>
      </c>
      <c r="M498" s="122"/>
      <c r="N498" s="122"/>
      <c r="O498" s="122"/>
      <c r="P498" s="122"/>
      <c r="Q498" s="123"/>
      <c r="R498" s="124"/>
      <c r="S498" s="169"/>
      <c r="T498" s="300" t="str">
        <f>CONCATENATE([1]Cover!$D$6,"fdd/view?i=",S498)</f>
        <v>https://www.dgiwg.org/FAD/fdd/view?i=</v>
      </c>
      <c r="U498" s="188"/>
    </row>
    <row r="499" spans="1:21" ht="25.5">
      <c r="A499" s="64" t="s">
        <v>33709</v>
      </c>
      <c r="B499" s="330"/>
      <c r="C499" s="327"/>
      <c r="D499" s="136" t="s">
        <v>11030</v>
      </c>
      <c r="E499" s="139" t="s">
        <v>11032</v>
      </c>
      <c r="F499" s="8" t="s">
        <v>12030</v>
      </c>
      <c r="G499" s="54"/>
      <c r="H499" s="54"/>
      <c r="I499" s="119" t="s">
        <v>4643</v>
      </c>
      <c r="J499" s="125"/>
      <c r="K499" s="121" t="s">
        <v>12031</v>
      </c>
      <c r="L499" s="154" t="s">
        <v>12032</v>
      </c>
      <c r="M499" s="122"/>
      <c r="N499" s="122"/>
      <c r="O499" s="122"/>
      <c r="P499" s="122"/>
      <c r="Q499" s="123"/>
      <c r="R499" s="124"/>
      <c r="S499" s="169"/>
      <c r="U499" s="188"/>
    </row>
    <row r="500" spans="1:21" ht="38.25">
      <c r="A500" s="65" t="s">
        <v>33710</v>
      </c>
      <c r="B500" s="331"/>
      <c r="C500" s="328"/>
      <c r="D500" s="137" t="s">
        <v>12033</v>
      </c>
      <c r="E500" s="140" t="s">
        <v>12034</v>
      </c>
      <c r="F500" s="66" t="s">
        <v>4674</v>
      </c>
      <c r="G500" s="69"/>
      <c r="H500" s="69"/>
      <c r="I500" s="126" t="s">
        <v>11438</v>
      </c>
      <c r="J500" s="141"/>
      <c r="K500" s="128" t="s">
        <v>5165</v>
      </c>
      <c r="L500" s="152" t="str">
        <f>HYPERLINK("[#]Datatypes!B958:L958","Non-negative Real")</f>
        <v>Non-negative Real</v>
      </c>
      <c r="M500" s="129"/>
      <c r="N500" s="129"/>
      <c r="O500" s="129"/>
      <c r="P500" s="129"/>
      <c r="Q500" s="130"/>
      <c r="R500" s="131"/>
      <c r="S500" s="169"/>
      <c r="T500" s="300" t="str">
        <f>CONCATENATE([1]Cover!$D$6,"fdd/view?i=",S500)</f>
        <v>https://www.dgiwg.org/FAD/fdd/view?i=</v>
      </c>
      <c r="U500" s="188"/>
    </row>
    <row r="501" spans="1:21" ht="2.1" customHeight="1">
      <c r="A501" s="98"/>
      <c r="B501" s="87"/>
      <c r="C501" s="99"/>
      <c r="D501" s="87"/>
      <c r="E501" s="99"/>
      <c r="F501" s="100"/>
      <c r="G501" s="100"/>
      <c r="H501" s="100"/>
      <c r="I501" s="101"/>
      <c r="J501" s="106"/>
      <c r="K501" s="103"/>
      <c r="L501" s="104"/>
      <c r="M501" s="100"/>
      <c r="N501" s="100"/>
      <c r="O501" s="100"/>
      <c r="P501" s="100"/>
      <c r="Q501" s="105"/>
      <c r="R501" s="105"/>
      <c r="S501" s="169"/>
      <c r="U501" s="188"/>
    </row>
    <row r="502" spans="1:21">
      <c r="A502" s="67" t="s">
        <v>6748</v>
      </c>
      <c r="B502" s="87" t="s">
        <v>6748</v>
      </c>
      <c r="C502" s="88" t="s">
        <v>12045</v>
      </c>
      <c r="D502" s="89"/>
      <c r="E502" s="90"/>
      <c r="F502" s="91" t="s">
        <v>12046</v>
      </c>
      <c r="G502" s="90"/>
      <c r="H502" s="90"/>
      <c r="I502" s="92"/>
      <c r="J502" s="93"/>
      <c r="K502" s="94"/>
      <c r="L502" s="149" t="str">
        <f>HYPERLINK("[#]DatatypeListedValues!B2941:H2941","Enumeration")</f>
        <v>Enumeration</v>
      </c>
      <c r="M502" s="107" t="b">
        <v>0</v>
      </c>
      <c r="N502" s="90"/>
      <c r="O502" s="95"/>
      <c r="P502" s="90"/>
      <c r="Q502" s="96"/>
      <c r="R502" s="97"/>
      <c r="S502" s="169"/>
      <c r="T502" s="300" t="str">
        <f>CONCATENATE([1]Cover!$D$6,"fdd/view?i=",S502)</f>
        <v>https://www.dgiwg.org/FAD/fdd/view?i=</v>
      </c>
      <c r="U502" s="188"/>
    </row>
    <row r="503" spans="1:21" ht="2.1" customHeight="1">
      <c r="A503" s="98"/>
      <c r="B503" s="87"/>
      <c r="C503" s="99"/>
      <c r="D503" s="87"/>
      <c r="E503" s="99"/>
      <c r="F503" s="100"/>
      <c r="G503" s="100"/>
      <c r="H503" s="100"/>
      <c r="I503" s="101"/>
      <c r="J503" s="106"/>
      <c r="K503" s="103"/>
      <c r="L503" s="104"/>
      <c r="M503" s="100"/>
      <c r="N503" s="100"/>
      <c r="O503" s="100"/>
      <c r="P503" s="100"/>
      <c r="Q503" s="105"/>
      <c r="R503" s="105"/>
      <c r="S503" s="169"/>
      <c r="U503" s="188"/>
    </row>
    <row r="504" spans="1:21" ht="25.5">
      <c r="A504" s="67" t="s">
        <v>6753</v>
      </c>
      <c r="B504" s="87" t="s">
        <v>6753</v>
      </c>
      <c r="C504" s="88" t="s">
        <v>12047</v>
      </c>
      <c r="D504" s="89"/>
      <c r="E504" s="90"/>
      <c r="F504" s="91" t="s">
        <v>12048</v>
      </c>
      <c r="G504" s="90"/>
      <c r="H504" s="90"/>
      <c r="I504" s="92"/>
      <c r="J504" s="93"/>
      <c r="K504" s="94"/>
      <c r="L504" s="149" t="str">
        <f>HYPERLINK("[#]DatatypeListedValues!B2946:H2946","Enumeration")</f>
        <v>Enumeration</v>
      </c>
      <c r="M504" s="107" t="b">
        <v>0</v>
      </c>
      <c r="N504" s="90"/>
      <c r="O504" s="95"/>
      <c r="P504" s="90"/>
      <c r="Q504" s="96"/>
      <c r="R504" s="97"/>
      <c r="S504" s="169"/>
      <c r="T504" s="300" t="str">
        <f>CONCATENATE([1]Cover!$D$6,"fdd/view?i=",S504)</f>
        <v>https://www.dgiwg.org/FAD/fdd/view?i=</v>
      </c>
      <c r="U504" s="188"/>
    </row>
    <row r="505" spans="1:21" ht="2.1" customHeight="1">
      <c r="A505" s="98"/>
      <c r="B505" s="87"/>
      <c r="C505" s="99"/>
      <c r="D505" s="87"/>
      <c r="E505" s="99"/>
      <c r="F505" s="100"/>
      <c r="G505" s="100"/>
      <c r="H505" s="100"/>
      <c r="I505" s="101"/>
      <c r="J505" s="106"/>
      <c r="K505" s="103"/>
      <c r="L505" s="104"/>
      <c r="M505" s="100"/>
      <c r="N505" s="100"/>
      <c r="O505" s="100"/>
      <c r="P505" s="100"/>
      <c r="Q505" s="105"/>
      <c r="R505" s="105"/>
      <c r="S505" s="169"/>
      <c r="U505" s="188"/>
    </row>
    <row r="506" spans="1:21" ht="25.5">
      <c r="A506" s="67" t="s">
        <v>6763</v>
      </c>
      <c r="B506" s="87" t="s">
        <v>6763</v>
      </c>
      <c r="C506" s="88" t="s">
        <v>12049</v>
      </c>
      <c r="D506" s="89"/>
      <c r="E506" s="90"/>
      <c r="F506" s="91" t="s">
        <v>12050</v>
      </c>
      <c r="G506" s="90"/>
      <c r="H506" s="90"/>
      <c r="I506" s="92"/>
      <c r="J506" s="93"/>
      <c r="K506" s="94"/>
      <c r="L506" s="149" t="str">
        <f>HYPERLINK("[#]DatatypeListedValues!B2948:H2948","Enumeration")</f>
        <v>Enumeration</v>
      </c>
      <c r="M506" s="107" t="b">
        <v>0</v>
      </c>
      <c r="N506" s="90"/>
      <c r="O506" s="95"/>
      <c r="P506" s="90"/>
      <c r="Q506" s="96"/>
      <c r="R506" s="97"/>
      <c r="S506" s="169"/>
      <c r="T506" s="300" t="str">
        <f>CONCATENATE([1]Cover!$D$6,"fdd/view?i=",S506)</f>
        <v>https://www.dgiwg.org/FAD/fdd/view?i=</v>
      </c>
      <c r="U506" s="188"/>
    </row>
    <row r="507" spans="1:21" ht="2.1" customHeight="1">
      <c r="A507" s="98"/>
      <c r="B507" s="87"/>
      <c r="C507" s="99"/>
      <c r="D507" s="87"/>
      <c r="E507" s="99"/>
      <c r="F507" s="100"/>
      <c r="G507" s="100"/>
      <c r="H507" s="100"/>
      <c r="I507" s="101"/>
      <c r="J507" s="106"/>
      <c r="K507" s="103"/>
      <c r="L507" s="104"/>
      <c r="M507" s="100"/>
      <c r="N507" s="100"/>
      <c r="O507" s="100"/>
      <c r="P507" s="100"/>
      <c r="Q507" s="105"/>
      <c r="R507" s="105"/>
      <c r="S507" s="169"/>
      <c r="U507" s="188"/>
    </row>
    <row r="508" spans="1:21" ht="25.5">
      <c r="A508" s="67" t="s">
        <v>6772</v>
      </c>
      <c r="B508" s="87" t="s">
        <v>6772</v>
      </c>
      <c r="C508" s="88" t="s">
        <v>12051</v>
      </c>
      <c r="D508" s="89"/>
      <c r="E508" s="90"/>
      <c r="F508" s="91" t="s">
        <v>12052</v>
      </c>
      <c r="G508" s="90"/>
      <c r="H508" s="90"/>
      <c r="I508" s="92"/>
      <c r="J508" s="93"/>
      <c r="K508" s="94"/>
      <c r="L508" s="149" t="str">
        <f>HYPERLINK("[#]DatatypeListedValues!B2957:H2957","Enumeration")</f>
        <v>Enumeration</v>
      </c>
      <c r="M508" s="107" t="b">
        <v>0</v>
      </c>
      <c r="N508" s="90"/>
      <c r="O508" s="95"/>
      <c r="P508" s="90"/>
      <c r="Q508" s="96"/>
      <c r="R508" s="97"/>
      <c r="S508" s="169"/>
      <c r="T508" s="300" t="str">
        <f>CONCATENATE([1]Cover!$D$6,"fdd/view?i=",S508)</f>
        <v>https://www.dgiwg.org/FAD/fdd/view?i=</v>
      </c>
      <c r="U508" s="188"/>
    </row>
    <row r="509" spans="1:21" ht="2.1" customHeight="1">
      <c r="A509" s="98"/>
      <c r="B509" s="87"/>
      <c r="C509" s="99"/>
      <c r="D509" s="87"/>
      <c r="E509" s="99"/>
      <c r="F509" s="100"/>
      <c r="G509" s="100"/>
      <c r="H509" s="100"/>
      <c r="I509" s="101"/>
      <c r="J509" s="106"/>
      <c r="K509" s="103"/>
      <c r="L509" s="104"/>
      <c r="M509" s="100"/>
      <c r="N509" s="100"/>
      <c r="O509" s="100"/>
      <c r="P509" s="100"/>
      <c r="Q509" s="105"/>
      <c r="R509" s="105"/>
      <c r="S509" s="169"/>
      <c r="U509" s="188"/>
    </row>
    <row r="510" spans="1:21" ht="25.5">
      <c r="A510" s="67" t="s">
        <v>6777</v>
      </c>
      <c r="B510" s="87" t="s">
        <v>6777</v>
      </c>
      <c r="C510" s="88" t="s">
        <v>12053</v>
      </c>
      <c r="D510" s="89"/>
      <c r="E510" s="90"/>
      <c r="F510" s="91" t="s">
        <v>12054</v>
      </c>
      <c r="G510" s="90"/>
      <c r="H510" s="90"/>
      <c r="I510" s="92"/>
      <c r="J510" s="93"/>
      <c r="K510" s="94"/>
      <c r="L510" s="149" t="str">
        <f>HYPERLINK("[#]DatatypeListedValues!B2961:H2961","Enumeration")</f>
        <v>Enumeration</v>
      </c>
      <c r="M510" s="107" t="b">
        <v>0</v>
      </c>
      <c r="N510" s="90"/>
      <c r="O510" s="95"/>
      <c r="P510" s="90"/>
      <c r="Q510" s="96"/>
      <c r="R510" s="97"/>
      <c r="S510" s="169"/>
      <c r="T510" s="300" t="str">
        <f>CONCATENATE([1]Cover!$D$6,"fdd/view?i=",S510)</f>
        <v>https://www.dgiwg.org/FAD/fdd/view?i=</v>
      </c>
      <c r="U510" s="188"/>
    </row>
    <row r="511" spans="1:21" ht="2.1" customHeight="1">
      <c r="A511" s="98"/>
      <c r="B511" s="87"/>
      <c r="C511" s="99"/>
      <c r="D511" s="87"/>
      <c r="E511" s="99"/>
      <c r="F511" s="100"/>
      <c r="G511" s="100"/>
      <c r="H511" s="100"/>
      <c r="I511" s="101"/>
      <c r="J511" s="106"/>
      <c r="K511" s="103"/>
      <c r="L511" s="104"/>
      <c r="M511" s="100"/>
      <c r="N511" s="100"/>
      <c r="O511" s="100"/>
      <c r="P511" s="100"/>
      <c r="Q511" s="105"/>
      <c r="R511" s="105"/>
      <c r="S511" s="169"/>
      <c r="U511" s="188"/>
    </row>
    <row r="512" spans="1:21" ht="25.5">
      <c r="A512" s="67" t="s">
        <v>6783</v>
      </c>
      <c r="B512" s="87" t="s">
        <v>6783</v>
      </c>
      <c r="C512" s="88" t="s">
        <v>12055</v>
      </c>
      <c r="D512" s="89"/>
      <c r="E512" s="90"/>
      <c r="F512" s="91" t="s">
        <v>12056</v>
      </c>
      <c r="G512" s="90"/>
      <c r="H512" s="90"/>
      <c r="I512" s="92"/>
      <c r="J512" s="93"/>
      <c r="K512" s="94"/>
      <c r="L512" s="149" t="str">
        <f>HYPERLINK("[#]DatatypeListedValues!B2966:H2966","Enumeration")</f>
        <v>Enumeration</v>
      </c>
      <c r="M512" s="107" t="b">
        <v>0</v>
      </c>
      <c r="N512" s="90"/>
      <c r="O512" s="95"/>
      <c r="P512" s="90"/>
      <c r="Q512" s="96"/>
      <c r="R512" s="97"/>
      <c r="S512" s="169"/>
      <c r="T512" s="300" t="str">
        <f>CONCATENATE([1]Cover!$D$6,"fdd/view?i=",S512)</f>
        <v>https://www.dgiwg.org/FAD/fdd/view?i=</v>
      </c>
      <c r="U512" s="188"/>
    </row>
    <row r="513" spans="1:21" ht="2.1" customHeight="1">
      <c r="A513" s="98"/>
      <c r="B513" s="87"/>
      <c r="C513" s="99"/>
      <c r="D513" s="87"/>
      <c r="E513" s="99"/>
      <c r="F513" s="100"/>
      <c r="G513" s="100"/>
      <c r="H513" s="100"/>
      <c r="I513" s="101"/>
      <c r="J513" s="106"/>
      <c r="K513" s="103"/>
      <c r="L513" s="104"/>
      <c r="M513" s="100"/>
      <c r="N513" s="100"/>
      <c r="O513" s="100"/>
      <c r="P513" s="100"/>
      <c r="Q513" s="105"/>
      <c r="R513" s="105"/>
      <c r="S513" s="169"/>
      <c r="U513" s="188"/>
    </row>
    <row r="514" spans="1:21" ht="25.5">
      <c r="A514" s="67" t="s">
        <v>6789</v>
      </c>
      <c r="B514" s="87" t="s">
        <v>6789</v>
      </c>
      <c r="C514" s="88" t="s">
        <v>12057</v>
      </c>
      <c r="D514" s="89"/>
      <c r="E514" s="90"/>
      <c r="F514" s="91" t="s">
        <v>12058</v>
      </c>
      <c r="G514" s="90"/>
      <c r="H514" s="90"/>
      <c r="I514" s="92"/>
      <c r="J514" s="93"/>
      <c r="K514" s="94"/>
      <c r="L514" s="149" t="str">
        <f>HYPERLINK("[#]DatatypeListedValues!B2972:H2972","Enumeration")</f>
        <v>Enumeration</v>
      </c>
      <c r="M514" s="107" t="b">
        <v>0</v>
      </c>
      <c r="N514" s="90"/>
      <c r="O514" s="95"/>
      <c r="P514" s="90"/>
      <c r="Q514" s="96"/>
      <c r="R514" s="97"/>
      <c r="S514" s="169"/>
      <c r="T514" s="300" t="str">
        <f>CONCATENATE([1]Cover!$D$6,"fdd/view?i=",S514)</f>
        <v>https://www.dgiwg.org/FAD/fdd/view?i=</v>
      </c>
      <c r="U514" s="188"/>
    </row>
    <row r="515" spans="1:21" ht="2.1" customHeight="1">
      <c r="A515" s="98"/>
      <c r="B515" s="87"/>
      <c r="C515" s="99"/>
      <c r="D515" s="87"/>
      <c r="E515" s="99"/>
      <c r="F515" s="100"/>
      <c r="G515" s="100"/>
      <c r="H515" s="100"/>
      <c r="I515" s="101"/>
      <c r="J515" s="106"/>
      <c r="K515" s="103"/>
      <c r="L515" s="104"/>
      <c r="M515" s="100"/>
      <c r="N515" s="100"/>
      <c r="O515" s="100"/>
      <c r="P515" s="100"/>
      <c r="Q515" s="105"/>
      <c r="R515" s="105"/>
      <c r="S515" s="169"/>
      <c r="U515" s="188"/>
    </row>
    <row r="516" spans="1:21" ht="25.5">
      <c r="A516" s="67" t="s">
        <v>6794</v>
      </c>
      <c r="B516" s="87" t="s">
        <v>6794</v>
      </c>
      <c r="C516" s="88" t="s">
        <v>12059</v>
      </c>
      <c r="D516" s="89"/>
      <c r="E516" s="90"/>
      <c r="F516" s="91" t="s">
        <v>12060</v>
      </c>
      <c r="G516" s="90"/>
      <c r="H516" s="90"/>
      <c r="I516" s="92"/>
      <c r="J516" s="93"/>
      <c r="K516" s="94"/>
      <c r="L516" s="149" t="str">
        <f>HYPERLINK("[#]DatatypeListedValues!B2976:H2976","Enumeration")</f>
        <v>Enumeration</v>
      </c>
      <c r="M516" s="107" t="b">
        <v>0</v>
      </c>
      <c r="N516" s="90"/>
      <c r="O516" s="95"/>
      <c r="P516" s="90"/>
      <c r="Q516" s="96"/>
      <c r="R516" s="97"/>
      <c r="S516" s="169"/>
      <c r="T516" s="300" t="str">
        <f>CONCATENATE([1]Cover!$D$6,"fdd/view?i=",S516)</f>
        <v>https://www.dgiwg.org/FAD/fdd/view?i=</v>
      </c>
      <c r="U516" s="188"/>
    </row>
    <row r="517" spans="1:21" ht="2.1" customHeight="1">
      <c r="A517" s="98"/>
      <c r="B517" s="87"/>
      <c r="C517" s="99"/>
      <c r="D517" s="87"/>
      <c r="E517" s="99"/>
      <c r="F517" s="100"/>
      <c r="G517" s="100"/>
      <c r="H517" s="100"/>
      <c r="I517" s="101"/>
      <c r="J517" s="106"/>
      <c r="K517" s="103"/>
      <c r="L517" s="104"/>
      <c r="M517" s="100"/>
      <c r="N517" s="100"/>
      <c r="O517" s="100"/>
      <c r="P517" s="100"/>
      <c r="Q517" s="105"/>
      <c r="R517" s="105"/>
      <c r="S517" s="169"/>
      <c r="U517" s="188"/>
    </row>
    <row r="518" spans="1:21">
      <c r="A518" s="67" t="s">
        <v>6804</v>
      </c>
      <c r="B518" s="87" t="s">
        <v>6804</v>
      </c>
      <c r="C518" s="88" t="s">
        <v>12061</v>
      </c>
      <c r="D518" s="89"/>
      <c r="E518" s="90"/>
      <c r="F518" s="91" t="s">
        <v>12062</v>
      </c>
      <c r="G518" s="90"/>
      <c r="H518" s="90"/>
      <c r="I518" s="92"/>
      <c r="J518" s="93"/>
      <c r="K518" s="94"/>
      <c r="L518" s="149" t="str">
        <f>HYPERLINK("[#]DatatypeListedValues!B2980:H2980","Enumeration")</f>
        <v>Enumeration</v>
      </c>
      <c r="M518" s="107" t="b">
        <v>0</v>
      </c>
      <c r="N518" s="90"/>
      <c r="O518" s="95"/>
      <c r="P518" s="90"/>
      <c r="Q518" s="96"/>
      <c r="R518" s="97"/>
      <c r="S518" s="169"/>
      <c r="T518" s="300" t="str">
        <f>CONCATENATE([1]Cover!$D$6,"fdd/view?i=",S518)</f>
        <v>https://www.dgiwg.org/FAD/fdd/view?i=</v>
      </c>
      <c r="U518" s="188"/>
    </row>
    <row r="519" spans="1:21" ht="2.1" customHeight="1">
      <c r="A519" s="98"/>
      <c r="B519" s="87"/>
      <c r="C519" s="99"/>
      <c r="D519" s="87"/>
      <c r="E519" s="99"/>
      <c r="F519" s="100"/>
      <c r="G519" s="100"/>
      <c r="H519" s="100"/>
      <c r="I519" s="101"/>
      <c r="J519" s="106"/>
      <c r="K519" s="103"/>
      <c r="L519" s="104"/>
      <c r="M519" s="100"/>
      <c r="N519" s="100"/>
      <c r="O519" s="100"/>
      <c r="P519" s="100"/>
      <c r="Q519" s="105"/>
      <c r="R519" s="105"/>
      <c r="S519" s="169"/>
      <c r="U519" s="188"/>
    </row>
    <row r="520" spans="1:21" ht="38.25">
      <c r="A520" s="67" t="s">
        <v>6813</v>
      </c>
      <c r="B520" s="87" t="s">
        <v>6813</v>
      </c>
      <c r="C520" s="88" t="s">
        <v>12063</v>
      </c>
      <c r="D520" s="89"/>
      <c r="E520" s="90"/>
      <c r="F520" s="91" t="s">
        <v>12064</v>
      </c>
      <c r="G520" s="90"/>
      <c r="H520" s="91" t="s">
        <v>11744</v>
      </c>
      <c r="I520" s="92"/>
      <c r="J520" s="93"/>
      <c r="K520" s="94"/>
      <c r="L520" s="153" t="s">
        <v>11414</v>
      </c>
      <c r="M520" s="91" t="b">
        <v>1</v>
      </c>
      <c r="N520" s="91">
        <v>30</v>
      </c>
      <c r="O520" s="95"/>
      <c r="P520" s="91" t="s">
        <v>11745</v>
      </c>
      <c r="Q520" s="96"/>
      <c r="R520" s="97"/>
      <c r="S520" s="169"/>
      <c r="T520" s="300" t="str">
        <f>CONCATENATE([1]Cover!$D$6,"fdd/view?i=",S520)</f>
        <v>https://www.dgiwg.org/FAD/fdd/view?i=</v>
      </c>
      <c r="U520" s="188"/>
    </row>
    <row r="521" spans="1:21" ht="2.1" customHeight="1">
      <c r="A521" s="98"/>
      <c r="B521" s="87"/>
      <c r="C521" s="99"/>
      <c r="D521" s="87"/>
      <c r="E521" s="99"/>
      <c r="F521" s="100"/>
      <c r="G521" s="100"/>
      <c r="H521" s="100"/>
      <c r="I521" s="101"/>
      <c r="J521" s="106"/>
      <c r="K521" s="103"/>
      <c r="L521" s="104"/>
      <c r="M521" s="100"/>
      <c r="N521" s="100"/>
      <c r="O521" s="100"/>
      <c r="P521" s="100"/>
      <c r="Q521" s="105"/>
      <c r="R521" s="105"/>
      <c r="S521" s="169"/>
      <c r="U521" s="188"/>
    </row>
    <row r="522" spans="1:21" ht="38.25">
      <c r="A522" s="67" t="s">
        <v>9568</v>
      </c>
      <c r="B522" s="87" t="s">
        <v>9568</v>
      </c>
      <c r="C522" s="88" t="s">
        <v>12065</v>
      </c>
      <c r="D522" s="89"/>
      <c r="E522" s="90"/>
      <c r="F522" s="91" t="s">
        <v>12066</v>
      </c>
      <c r="G522" s="90"/>
      <c r="H522" s="91" t="s">
        <v>11426</v>
      </c>
      <c r="I522" s="92"/>
      <c r="J522" s="93"/>
      <c r="K522" s="94"/>
      <c r="L522" s="91" t="s">
        <v>11425</v>
      </c>
      <c r="M522" s="90"/>
      <c r="N522" s="108" t="s">
        <v>11810</v>
      </c>
      <c r="O522" s="91" t="b">
        <v>1</v>
      </c>
      <c r="P522" s="91" t="s">
        <v>12067</v>
      </c>
      <c r="Q522" s="96"/>
      <c r="R522" s="97"/>
      <c r="S522" s="169"/>
      <c r="T522" s="300" t="str">
        <f>CONCATENATE([1]Cover!$D$6,"fdd/view?i=",S522)</f>
        <v>https://www.dgiwg.org/FAD/fdd/view?i=</v>
      </c>
      <c r="U522" s="188"/>
    </row>
    <row r="523" spans="1:21" ht="2.1" customHeight="1">
      <c r="A523" s="98"/>
      <c r="B523" s="87"/>
      <c r="C523" s="99"/>
      <c r="D523" s="87"/>
      <c r="E523" s="99"/>
      <c r="F523" s="100"/>
      <c r="G523" s="100"/>
      <c r="H523" s="100"/>
      <c r="I523" s="101"/>
      <c r="J523" s="106"/>
      <c r="K523" s="103"/>
      <c r="L523" s="104"/>
      <c r="M523" s="100"/>
      <c r="N523" s="100"/>
      <c r="O523" s="100"/>
      <c r="P523" s="100"/>
      <c r="Q523" s="105"/>
      <c r="R523" s="105"/>
      <c r="S523" s="169"/>
      <c r="U523" s="188"/>
    </row>
    <row r="524" spans="1:21" ht="25.5">
      <c r="A524" s="67" t="s">
        <v>6824</v>
      </c>
      <c r="B524" s="87" t="s">
        <v>6824</v>
      </c>
      <c r="C524" s="88" t="s">
        <v>12068</v>
      </c>
      <c r="D524" s="89"/>
      <c r="E524" s="90"/>
      <c r="F524" s="91" t="s">
        <v>12069</v>
      </c>
      <c r="G524" s="90"/>
      <c r="H524" s="90"/>
      <c r="I524" s="92"/>
      <c r="J524" s="93"/>
      <c r="K524" s="94"/>
      <c r="L524" s="149" t="str">
        <f>HYPERLINK("[#]DatatypeListedValues!B2982:H2982","Enumeration")</f>
        <v>Enumeration</v>
      </c>
      <c r="M524" s="107" t="b">
        <v>0</v>
      </c>
      <c r="N524" s="90"/>
      <c r="O524" s="95"/>
      <c r="P524" s="90"/>
      <c r="Q524" s="96"/>
      <c r="R524" s="97"/>
      <c r="S524" s="169"/>
      <c r="T524" s="300" t="str">
        <f>CONCATENATE([1]Cover!$D$6,"fdd/view?i=",S524)</f>
        <v>https://www.dgiwg.org/FAD/fdd/view?i=</v>
      </c>
      <c r="U524" s="188"/>
    </row>
    <row r="525" spans="1:21" ht="2.1" customHeight="1">
      <c r="A525" s="98"/>
      <c r="B525" s="87"/>
      <c r="C525" s="99"/>
      <c r="D525" s="87"/>
      <c r="E525" s="99"/>
      <c r="F525" s="100"/>
      <c r="G525" s="100"/>
      <c r="H525" s="100"/>
      <c r="I525" s="101"/>
      <c r="J525" s="106"/>
      <c r="K525" s="103"/>
      <c r="L525" s="104"/>
      <c r="M525" s="100"/>
      <c r="N525" s="100"/>
      <c r="O525" s="100"/>
      <c r="P525" s="100"/>
      <c r="Q525" s="105"/>
      <c r="R525" s="105"/>
      <c r="S525" s="169"/>
      <c r="U525" s="188"/>
    </row>
    <row r="526" spans="1:21" ht="178.5">
      <c r="A526" s="67" t="s">
        <v>6830</v>
      </c>
      <c r="B526" s="87" t="s">
        <v>6830</v>
      </c>
      <c r="C526" s="88" t="s">
        <v>12070</v>
      </c>
      <c r="D526" s="89"/>
      <c r="E526" s="90"/>
      <c r="F526" s="91" t="s">
        <v>12071</v>
      </c>
      <c r="G526" s="90"/>
      <c r="H526" s="91" t="s">
        <v>11426</v>
      </c>
      <c r="I526" s="92"/>
      <c r="J526" s="93"/>
      <c r="K526" s="94"/>
      <c r="L526" s="91" t="s">
        <v>11425</v>
      </c>
      <c r="M526" s="90"/>
      <c r="N526" s="91">
        <v>20</v>
      </c>
      <c r="O526" s="108" t="b">
        <v>0</v>
      </c>
      <c r="P526" s="91" t="s">
        <v>11909</v>
      </c>
      <c r="Q526" s="96"/>
      <c r="R526" s="97"/>
      <c r="S526" s="169"/>
      <c r="T526" s="300" t="str">
        <f>CONCATENATE([1]Cover!$D$6,"fdd/view?i=",S526)</f>
        <v>https://www.dgiwg.org/FAD/fdd/view?i=</v>
      </c>
      <c r="U526" s="188"/>
    </row>
    <row r="527" spans="1:21" ht="2.1" customHeight="1">
      <c r="A527" s="98"/>
      <c r="B527" s="87"/>
      <c r="C527" s="99"/>
      <c r="D527" s="87"/>
      <c r="E527" s="99"/>
      <c r="F527" s="100"/>
      <c r="G527" s="100"/>
      <c r="H527" s="100"/>
      <c r="I527" s="101"/>
      <c r="J527" s="106"/>
      <c r="K527" s="103"/>
      <c r="L527" s="104"/>
      <c r="M527" s="100"/>
      <c r="N527" s="100"/>
      <c r="O527" s="100"/>
      <c r="P527" s="100"/>
      <c r="Q527" s="105"/>
      <c r="R527" s="105"/>
      <c r="S527" s="169"/>
      <c r="U527" s="188"/>
    </row>
    <row r="528" spans="1:21" ht="38.25">
      <c r="A528" s="67" t="s">
        <v>6835</v>
      </c>
      <c r="B528" s="87" t="s">
        <v>6835</v>
      </c>
      <c r="C528" s="88" t="s">
        <v>12072</v>
      </c>
      <c r="D528" s="89"/>
      <c r="E528" s="90"/>
      <c r="F528" s="91" t="s">
        <v>12073</v>
      </c>
      <c r="G528" s="90"/>
      <c r="H528" s="91" t="s">
        <v>11426</v>
      </c>
      <c r="I528" s="92"/>
      <c r="J528" s="93"/>
      <c r="K528" s="94"/>
      <c r="L528" s="91" t="s">
        <v>11425</v>
      </c>
      <c r="M528" s="90"/>
      <c r="N528" s="108" t="s">
        <v>11810</v>
      </c>
      <c r="O528" s="108" t="b">
        <v>0</v>
      </c>
      <c r="P528" s="90"/>
      <c r="Q528" s="96"/>
      <c r="R528" s="97"/>
      <c r="S528" s="169"/>
      <c r="T528" s="300" t="str">
        <f>CONCATENATE([1]Cover!$D$6,"fdd/view?i=",S528)</f>
        <v>https://www.dgiwg.org/FAD/fdd/view?i=</v>
      </c>
      <c r="U528" s="188"/>
    </row>
    <row r="529" spans="1:21" ht="2.1" customHeight="1">
      <c r="A529" s="98"/>
      <c r="B529" s="87"/>
      <c r="C529" s="99"/>
      <c r="D529" s="87"/>
      <c r="E529" s="99"/>
      <c r="F529" s="100"/>
      <c r="G529" s="100"/>
      <c r="H529" s="100"/>
      <c r="I529" s="101"/>
      <c r="J529" s="106"/>
      <c r="K529" s="103"/>
      <c r="L529" s="104"/>
      <c r="M529" s="100"/>
      <c r="N529" s="100"/>
      <c r="O529" s="100"/>
      <c r="P529" s="100"/>
      <c r="Q529" s="105"/>
      <c r="R529" s="105"/>
      <c r="S529" s="169"/>
      <c r="U529" s="188"/>
    </row>
    <row r="530" spans="1:21" ht="25.5">
      <c r="A530" s="67" t="s">
        <v>6844</v>
      </c>
      <c r="B530" s="87" t="s">
        <v>6844</v>
      </c>
      <c r="C530" s="88" t="s">
        <v>12074</v>
      </c>
      <c r="D530" s="89"/>
      <c r="E530" s="90"/>
      <c r="F530" s="91" t="s">
        <v>12075</v>
      </c>
      <c r="G530" s="90"/>
      <c r="H530" s="90"/>
      <c r="I530" s="92"/>
      <c r="J530" s="93"/>
      <c r="K530" s="94"/>
      <c r="L530" s="149" t="str">
        <f>HYPERLINK("[#]DatatypeListedValues!B2987:H2987","Enumeration")</f>
        <v>Enumeration</v>
      </c>
      <c r="M530" s="91" t="b">
        <v>1</v>
      </c>
      <c r="N530" s="90"/>
      <c r="O530" s="95"/>
      <c r="P530" s="90"/>
      <c r="Q530" s="96"/>
      <c r="R530" s="97"/>
      <c r="S530" s="169"/>
      <c r="T530" s="300" t="str">
        <f>CONCATENATE([1]Cover!$D$6,"fdd/view?i=",S530)</f>
        <v>https://www.dgiwg.org/FAD/fdd/view?i=</v>
      </c>
      <c r="U530" s="188"/>
    </row>
    <row r="531" spans="1:21" ht="2.1" customHeight="1">
      <c r="A531" s="98"/>
      <c r="B531" s="87"/>
      <c r="C531" s="99"/>
      <c r="D531" s="87"/>
      <c r="E531" s="99"/>
      <c r="F531" s="100"/>
      <c r="G531" s="100"/>
      <c r="H531" s="100"/>
      <c r="I531" s="101"/>
      <c r="J531" s="106"/>
      <c r="K531" s="103"/>
      <c r="L531" s="104"/>
      <c r="M531" s="100"/>
      <c r="N531" s="100"/>
      <c r="O531" s="100"/>
      <c r="P531" s="100"/>
      <c r="Q531" s="105"/>
      <c r="R531" s="105"/>
      <c r="S531" s="169"/>
      <c r="U531" s="188"/>
    </row>
    <row r="532" spans="1:21" ht="25.5">
      <c r="A532" s="67" t="s">
        <v>6857</v>
      </c>
      <c r="B532" s="87" t="s">
        <v>6857</v>
      </c>
      <c r="C532" s="88" t="s">
        <v>12076</v>
      </c>
      <c r="D532" s="89"/>
      <c r="E532" s="90"/>
      <c r="F532" s="91" t="s">
        <v>12077</v>
      </c>
      <c r="G532" s="90"/>
      <c r="H532" s="90"/>
      <c r="I532" s="92"/>
      <c r="J532" s="93"/>
      <c r="K532" s="94"/>
      <c r="L532" s="149" t="str">
        <f>HYPERLINK("[#]DatatypeListedValues!B2990:H2990","Enumeration")</f>
        <v>Enumeration</v>
      </c>
      <c r="M532" s="107" t="b">
        <v>0</v>
      </c>
      <c r="N532" s="90"/>
      <c r="O532" s="95"/>
      <c r="P532" s="90"/>
      <c r="Q532" s="96"/>
      <c r="R532" s="97"/>
      <c r="S532" s="169"/>
      <c r="T532" s="300" t="str">
        <f>CONCATENATE([1]Cover!$D$6,"fdd/view?i=",S532)</f>
        <v>https://www.dgiwg.org/FAD/fdd/view?i=</v>
      </c>
      <c r="U532" s="188"/>
    </row>
    <row r="533" spans="1:21" ht="2.1" customHeight="1">
      <c r="A533" s="98"/>
      <c r="B533" s="87"/>
      <c r="C533" s="99"/>
      <c r="D533" s="87"/>
      <c r="E533" s="99"/>
      <c r="F533" s="100"/>
      <c r="G533" s="100"/>
      <c r="H533" s="100"/>
      <c r="I533" s="101"/>
      <c r="J533" s="106"/>
      <c r="K533" s="103"/>
      <c r="L533" s="104"/>
      <c r="M533" s="100"/>
      <c r="N533" s="100"/>
      <c r="O533" s="100"/>
      <c r="P533" s="100"/>
      <c r="Q533" s="105"/>
      <c r="R533" s="105"/>
      <c r="S533" s="169"/>
      <c r="U533" s="188"/>
    </row>
    <row r="534" spans="1:21" ht="38.25">
      <c r="A534" s="67" t="s">
        <v>6862</v>
      </c>
      <c r="B534" s="87" t="s">
        <v>6862</v>
      </c>
      <c r="C534" s="88" t="s">
        <v>12078</v>
      </c>
      <c r="D534" s="89"/>
      <c r="E534" s="90"/>
      <c r="F534" s="91" t="s">
        <v>12079</v>
      </c>
      <c r="G534" s="90"/>
      <c r="H534" s="91" t="s">
        <v>11744</v>
      </c>
      <c r="I534" s="92"/>
      <c r="J534" s="93"/>
      <c r="K534" s="94"/>
      <c r="L534" s="153" t="s">
        <v>11414</v>
      </c>
      <c r="M534" s="91" t="b">
        <v>1</v>
      </c>
      <c r="N534" s="91">
        <v>30</v>
      </c>
      <c r="O534" s="95"/>
      <c r="P534" s="91" t="s">
        <v>11745</v>
      </c>
      <c r="Q534" s="96"/>
      <c r="R534" s="97"/>
      <c r="S534" s="169"/>
      <c r="T534" s="300" t="str">
        <f>CONCATENATE([1]Cover!$D$6,"fdd/view?i=",S534)</f>
        <v>https://www.dgiwg.org/FAD/fdd/view?i=</v>
      </c>
      <c r="U534" s="188"/>
    </row>
    <row r="535" spans="1:21" ht="2.1" customHeight="1">
      <c r="A535" s="98"/>
      <c r="B535" s="87"/>
      <c r="C535" s="99"/>
      <c r="D535" s="87"/>
      <c r="E535" s="99"/>
      <c r="F535" s="100"/>
      <c r="G535" s="100"/>
      <c r="H535" s="100"/>
      <c r="I535" s="101"/>
      <c r="J535" s="106"/>
      <c r="K535" s="103"/>
      <c r="L535" s="104"/>
      <c r="M535" s="100"/>
      <c r="N535" s="100"/>
      <c r="O535" s="100"/>
      <c r="P535" s="100"/>
      <c r="Q535" s="105"/>
      <c r="R535" s="105"/>
      <c r="S535" s="169"/>
      <c r="U535" s="188"/>
    </row>
    <row r="536" spans="1:21" ht="25.5">
      <c r="A536" s="67" t="s">
        <v>6877</v>
      </c>
      <c r="B536" s="87" t="s">
        <v>6877</v>
      </c>
      <c r="C536" s="88" t="s">
        <v>12080</v>
      </c>
      <c r="D536" s="89"/>
      <c r="E536" s="90"/>
      <c r="F536" s="91" t="s">
        <v>12081</v>
      </c>
      <c r="G536" s="90"/>
      <c r="H536" s="90"/>
      <c r="I536" s="92"/>
      <c r="J536" s="93"/>
      <c r="K536" s="94"/>
      <c r="L536" s="149" t="str">
        <f>HYPERLINK("[#]DatatypeListedValues!B3001:H3001","Enumeration")</f>
        <v>Enumeration</v>
      </c>
      <c r="M536" s="91" t="b">
        <v>1</v>
      </c>
      <c r="N536" s="90"/>
      <c r="O536" s="95"/>
      <c r="P536" s="90"/>
      <c r="Q536" s="96"/>
      <c r="R536" s="97"/>
      <c r="S536" s="169"/>
      <c r="T536" s="300" t="str">
        <f>CONCATENATE([1]Cover!$D$6,"fdd/view?i=",S536)</f>
        <v>https://www.dgiwg.org/FAD/fdd/view?i=</v>
      </c>
      <c r="U536" s="188"/>
    </row>
    <row r="537" spans="1:21" ht="2.1" customHeight="1">
      <c r="A537" s="98"/>
      <c r="B537" s="87"/>
      <c r="C537" s="99"/>
      <c r="D537" s="87"/>
      <c r="E537" s="99"/>
      <c r="F537" s="100"/>
      <c r="G537" s="100"/>
      <c r="H537" s="100"/>
      <c r="I537" s="101"/>
      <c r="J537" s="106"/>
      <c r="K537" s="103"/>
      <c r="L537" s="104"/>
      <c r="M537" s="100"/>
      <c r="N537" s="100"/>
      <c r="O537" s="100"/>
      <c r="P537" s="100"/>
      <c r="Q537" s="105"/>
      <c r="R537" s="105"/>
      <c r="S537" s="169"/>
      <c r="U537" s="188"/>
    </row>
    <row r="538" spans="1:21" ht="25.5">
      <c r="A538" s="67" t="s">
        <v>6883</v>
      </c>
      <c r="B538" s="87" t="s">
        <v>6883</v>
      </c>
      <c r="C538" s="88" t="s">
        <v>12082</v>
      </c>
      <c r="D538" s="89"/>
      <c r="E538" s="90"/>
      <c r="F538" s="91" t="s">
        <v>12083</v>
      </c>
      <c r="G538" s="90"/>
      <c r="H538" s="90"/>
      <c r="I538" s="92"/>
      <c r="J538" s="93"/>
      <c r="K538" s="94"/>
      <c r="L538" s="149" t="str">
        <f>HYPERLINK("[#]DatatypeListedValues!B3003:H3003","Enumeration")</f>
        <v>Enumeration</v>
      </c>
      <c r="M538" s="91" t="b">
        <v>1</v>
      </c>
      <c r="N538" s="90"/>
      <c r="O538" s="95"/>
      <c r="P538" s="90"/>
      <c r="Q538" s="96"/>
      <c r="R538" s="97"/>
      <c r="S538" s="169"/>
      <c r="T538" s="300" t="str">
        <f>CONCATENATE([1]Cover!$D$6,"fdd/view?i=",S538)</f>
        <v>https://www.dgiwg.org/FAD/fdd/view?i=</v>
      </c>
      <c r="U538" s="188"/>
    </row>
    <row r="539" spans="1:21" ht="2.1" customHeight="1">
      <c r="A539" s="98"/>
      <c r="B539" s="87"/>
      <c r="C539" s="99"/>
      <c r="D539" s="87"/>
      <c r="E539" s="99"/>
      <c r="F539" s="100"/>
      <c r="G539" s="100"/>
      <c r="H539" s="100"/>
      <c r="I539" s="101"/>
      <c r="J539" s="106"/>
      <c r="K539" s="103"/>
      <c r="L539" s="104"/>
      <c r="M539" s="100"/>
      <c r="N539" s="100"/>
      <c r="O539" s="100"/>
      <c r="P539" s="100"/>
      <c r="Q539" s="105"/>
      <c r="R539" s="105"/>
      <c r="S539" s="169"/>
      <c r="U539" s="188"/>
    </row>
    <row r="540" spans="1:21">
      <c r="A540" s="67" t="s">
        <v>6888</v>
      </c>
      <c r="B540" s="87" t="s">
        <v>6888</v>
      </c>
      <c r="C540" s="88" t="s">
        <v>12084</v>
      </c>
      <c r="D540" s="89"/>
      <c r="E540" s="90"/>
      <c r="F540" s="91" t="s">
        <v>12085</v>
      </c>
      <c r="G540" s="90"/>
      <c r="H540" s="90"/>
      <c r="I540" s="92"/>
      <c r="J540" s="93"/>
      <c r="K540" s="94"/>
      <c r="L540" s="149" t="str">
        <f>HYPERLINK("[#]DatatypeListedValues!B3012:H3012","Enumeration")</f>
        <v>Enumeration</v>
      </c>
      <c r="M540" s="107" t="b">
        <v>0</v>
      </c>
      <c r="N540" s="90"/>
      <c r="O540" s="95"/>
      <c r="P540" s="90"/>
      <c r="Q540" s="96"/>
      <c r="R540" s="97"/>
      <c r="S540" s="169"/>
      <c r="T540" s="300" t="str">
        <f>CONCATENATE([1]Cover!$D$6,"fdd/view?i=",S540)</f>
        <v>https://www.dgiwg.org/FAD/fdd/view?i=</v>
      </c>
      <c r="U540" s="188"/>
    </row>
    <row r="541" spans="1:21" ht="2.1" customHeight="1">
      <c r="A541" s="98"/>
      <c r="B541" s="87"/>
      <c r="C541" s="99"/>
      <c r="D541" s="87"/>
      <c r="E541" s="99"/>
      <c r="F541" s="100"/>
      <c r="G541" s="100"/>
      <c r="H541" s="100"/>
      <c r="I541" s="101"/>
      <c r="J541" s="106"/>
      <c r="K541" s="103"/>
      <c r="L541" s="104"/>
      <c r="M541" s="100"/>
      <c r="N541" s="100"/>
      <c r="O541" s="100"/>
      <c r="P541" s="100"/>
      <c r="Q541" s="105"/>
      <c r="R541" s="105"/>
      <c r="S541" s="169"/>
      <c r="U541" s="188"/>
    </row>
    <row r="542" spans="1:21">
      <c r="A542" s="67" t="s">
        <v>6893</v>
      </c>
      <c r="B542" s="87" t="s">
        <v>6893</v>
      </c>
      <c r="C542" s="88" t="s">
        <v>12086</v>
      </c>
      <c r="D542" s="89"/>
      <c r="E542" s="90"/>
      <c r="F542" s="91" t="s">
        <v>12087</v>
      </c>
      <c r="G542" s="90"/>
      <c r="H542" s="90"/>
      <c r="I542" s="92"/>
      <c r="J542" s="93"/>
      <c r="K542" s="94"/>
      <c r="L542" s="149" t="str">
        <f>HYPERLINK("[#]DatatypeListedValues!B3054:H3054","Enumeration")</f>
        <v>Enumeration</v>
      </c>
      <c r="M542" s="107" t="b">
        <v>0</v>
      </c>
      <c r="N542" s="90"/>
      <c r="O542" s="95"/>
      <c r="P542" s="90"/>
      <c r="Q542" s="96"/>
      <c r="R542" s="97"/>
      <c r="S542" s="169"/>
      <c r="T542" s="300" t="str">
        <f>CONCATENATE([1]Cover!$D$6,"fdd/view?i=",S542)</f>
        <v>https://www.dgiwg.org/FAD/fdd/view?i=</v>
      </c>
      <c r="U542" s="188"/>
    </row>
    <row r="543" spans="1:21" ht="2.1" customHeight="1">
      <c r="A543" s="98"/>
      <c r="B543" s="87"/>
      <c r="C543" s="99"/>
      <c r="D543" s="87"/>
      <c r="E543" s="99"/>
      <c r="F543" s="100"/>
      <c r="G543" s="100"/>
      <c r="H543" s="100"/>
      <c r="I543" s="101"/>
      <c r="J543" s="106"/>
      <c r="K543" s="103"/>
      <c r="L543" s="104"/>
      <c r="M543" s="100"/>
      <c r="N543" s="100"/>
      <c r="O543" s="100"/>
      <c r="P543" s="100"/>
      <c r="Q543" s="105"/>
      <c r="R543" s="105"/>
      <c r="S543" s="169"/>
      <c r="U543" s="188"/>
    </row>
    <row r="544" spans="1:21">
      <c r="A544" s="67" t="s">
        <v>6898</v>
      </c>
      <c r="B544" s="87" t="s">
        <v>6898</v>
      </c>
      <c r="C544" s="88" t="s">
        <v>12088</v>
      </c>
      <c r="D544" s="89"/>
      <c r="E544" s="90"/>
      <c r="F544" s="91" t="s">
        <v>12089</v>
      </c>
      <c r="G544" s="90"/>
      <c r="H544" s="90"/>
      <c r="I544" s="92"/>
      <c r="J544" s="93"/>
      <c r="K544" s="94"/>
      <c r="L544" s="149" t="str">
        <f>HYPERLINK("[#]DatatypeListedValues!B3059:H3059","Enumeration")</f>
        <v>Enumeration</v>
      </c>
      <c r="M544" s="107" t="b">
        <v>0</v>
      </c>
      <c r="N544" s="90"/>
      <c r="O544" s="95"/>
      <c r="P544" s="90"/>
      <c r="Q544" s="96"/>
      <c r="R544" s="97"/>
      <c r="S544" s="169"/>
      <c r="T544" s="300" t="str">
        <f>CONCATENATE([1]Cover!$D$6,"fdd/view?i=",S544)</f>
        <v>https://www.dgiwg.org/FAD/fdd/view?i=</v>
      </c>
      <c r="U544" s="188"/>
    </row>
    <row r="545" spans="1:21" ht="2.1" customHeight="1">
      <c r="A545" s="98"/>
      <c r="B545" s="87"/>
      <c r="C545" s="99"/>
      <c r="D545" s="87"/>
      <c r="E545" s="99"/>
      <c r="F545" s="100"/>
      <c r="G545" s="100"/>
      <c r="H545" s="100"/>
      <c r="I545" s="101"/>
      <c r="J545" s="106"/>
      <c r="K545" s="103"/>
      <c r="L545" s="104"/>
      <c r="M545" s="100"/>
      <c r="N545" s="100"/>
      <c r="O545" s="100"/>
      <c r="P545" s="100"/>
      <c r="Q545" s="105"/>
      <c r="R545" s="105"/>
      <c r="S545" s="169"/>
      <c r="U545" s="188"/>
    </row>
    <row r="546" spans="1:21" ht="25.5">
      <c r="A546" s="67" t="s">
        <v>6908</v>
      </c>
      <c r="B546" s="87" t="s">
        <v>6908</v>
      </c>
      <c r="C546" s="88" t="s">
        <v>12090</v>
      </c>
      <c r="D546" s="89"/>
      <c r="E546" s="90"/>
      <c r="F546" s="91" t="s">
        <v>12091</v>
      </c>
      <c r="G546" s="90"/>
      <c r="H546" s="90"/>
      <c r="I546" s="92"/>
      <c r="J546" s="93"/>
      <c r="K546" s="94"/>
      <c r="L546" s="149" t="str">
        <f>HYPERLINK("[#]DatatypeListedValues!B3067:H3067","Enumeration")</f>
        <v>Enumeration</v>
      </c>
      <c r="M546" s="91" t="b">
        <v>1</v>
      </c>
      <c r="N546" s="90"/>
      <c r="O546" s="95"/>
      <c r="P546" s="90"/>
      <c r="Q546" s="96"/>
      <c r="R546" s="97"/>
      <c r="S546" s="169"/>
      <c r="T546" s="300" t="str">
        <f>CONCATENATE([1]Cover!$D$6,"fdd/view?i=",S546)</f>
        <v>https://www.dgiwg.org/FAD/fdd/view?i=</v>
      </c>
      <c r="U546" s="188"/>
    </row>
    <row r="547" spans="1:21" ht="2.1" customHeight="1">
      <c r="A547" s="98"/>
      <c r="B547" s="87"/>
      <c r="C547" s="99"/>
      <c r="D547" s="87"/>
      <c r="E547" s="99"/>
      <c r="F547" s="100"/>
      <c r="G547" s="100"/>
      <c r="H547" s="100"/>
      <c r="I547" s="101"/>
      <c r="J547" s="106"/>
      <c r="K547" s="103"/>
      <c r="L547" s="104"/>
      <c r="M547" s="100"/>
      <c r="N547" s="100"/>
      <c r="O547" s="100"/>
      <c r="P547" s="100"/>
      <c r="Q547" s="105"/>
      <c r="R547" s="105"/>
      <c r="S547" s="169"/>
      <c r="U547" s="188"/>
    </row>
    <row r="548" spans="1:21" ht="25.5">
      <c r="A548" s="67" t="s">
        <v>6928</v>
      </c>
      <c r="B548" s="87" t="s">
        <v>6928</v>
      </c>
      <c r="C548" s="88" t="s">
        <v>12092</v>
      </c>
      <c r="D548" s="89"/>
      <c r="E548" s="90"/>
      <c r="F548" s="91" t="s">
        <v>12093</v>
      </c>
      <c r="G548" s="90"/>
      <c r="H548" s="90"/>
      <c r="I548" s="92"/>
      <c r="J548" s="93"/>
      <c r="K548" s="94"/>
      <c r="L548" s="149" t="str">
        <f>HYPERLINK("[#]DatatypeListedValues!B3070:H3070","Enumeration")</f>
        <v>Enumeration</v>
      </c>
      <c r="M548" s="107" t="b">
        <v>0</v>
      </c>
      <c r="N548" s="90"/>
      <c r="O548" s="95"/>
      <c r="P548" s="90"/>
      <c r="Q548" s="96"/>
      <c r="R548" s="97"/>
      <c r="S548" s="169"/>
      <c r="T548" s="300" t="str">
        <f>CONCATENATE([1]Cover!$D$6,"fdd/view?i=",S548)</f>
        <v>https://www.dgiwg.org/FAD/fdd/view?i=</v>
      </c>
      <c r="U548" s="188"/>
    </row>
    <row r="549" spans="1:21" ht="2.1" customHeight="1">
      <c r="A549" s="98"/>
      <c r="B549" s="87"/>
      <c r="C549" s="99"/>
      <c r="D549" s="87"/>
      <c r="E549" s="99"/>
      <c r="F549" s="100"/>
      <c r="G549" s="100"/>
      <c r="H549" s="100"/>
      <c r="I549" s="101"/>
      <c r="J549" s="106"/>
      <c r="K549" s="103"/>
      <c r="L549" s="104"/>
      <c r="M549" s="100"/>
      <c r="N549" s="100"/>
      <c r="O549" s="100"/>
      <c r="P549" s="100"/>
      <c r="Q549" s="105"/>
      <c r="R549" s="105"/>
      <c r="S549" s="169"/>
      <c r="U549" s="188"/>
    </row>
    <row r="550" spans="1:21">
      <c r="A550" s="67" t="s">
        <v>6933</v>
      </c>
      <c r="B550" s="87" t="s">
        <v>6933</v>
      </c>
      <c r="C550" s="88" t="s">
        <v>12094</v>
      </c>
      <c r="D550" s="89"/>
      <c r="E550" s="90"/>
      <c r="F550" s="91" t="s">
        <v>12095</v>
      </c>
      <c r="G550" s="90"/>
      <c r="H550" s="90"/>
      <c r="I550" s="92"/>
      <c r="J550" s="93"/>
      <c r="K550" s="94"/>
      <c r="L550" s="149" t="str">
        <f>HYPERLINK("[#]DatatypeListedValues!B3075:H3075","Enumeration")</f>
        <v>Enumeration</v>
      </c>
      <c r="M550" s="107" t="b">
        <v>0</v>
      </c>
      <c r="N550" s="90"/>
      <c r="O550" s="95"/>
      <c r="P550" s="90"/>
      <c r="Q550" s="96"/>
      <c r="R550" s="97"/>
      <c r="S550" s="169"/>
      <c r="T550" s="300" t="str">
        <f>CONCATENATE([1]Cover!$D$6,"fdd/view?i=",S550)</f>
        <v>https://www.dgiwg.org/FAD/fdd/view?i=</v>
      </c>
      <c r="U550" s="188"/>
    </row>
    <row r="551" spans="1:21" ht="2.1" customHeight="1">
      <c r="A551" s="98"/>
      <c r="B551" s="87"/>
      <c r="C551" s="99"/>
      <c r="D551" s="87"/>
      <c r="E551" s="99"/>
      <c r="F551" s="100"/>
      <c r="G551" s="100"/>
      <c r="H551" s="100"/>
      <c r="I551" s="101"/>
      <c r="J551" s="106"/>
      <c r="K551" s="103"/>
      <c r="L551" s="104"/>
      <c r="M551" s="100"/>
      <c r="N551" s="100"/>
      <c r="O551" s="100"/>
      <c r="P551" s="100"/>
      <c r="Q551" s="105"/>
      <c r="R551" s="105"/>
      <c r="S551" s="169"/>
      <c r="U551" s="188"/>
    </row>
    <row r="552" spans="1:21">
      <c r="A552" s="67" t="s">
        <v>6943</v>
      </c>
      <c r="B552" s="87" t="s">
        <v>6943</v>
      </c>
      <c r="C552" s="88" t="s">
        <v>12096</v>
      </c>
      <c r="D552" s="89"/>
      <c r="E552" s="90"/>
      <c r="F552" s="91" t="s">
        <v>12097</v>
      </c>
      <c r="G552" s="90"/>
      <c r="H552" s="90"/>
      <c r="I552" s="92"/>
      <c r="J552" s="93"/>
      <c r="K552" s="94"/>
      <c r="L552" s="149" t="str">
        <f>HYPERLINK("[#]DatatypeListedValues!B3407:H3407","Enumeration")</f>
        <v>Enumeration</v>
      </c>
      <c r="M552" s="107" t="b">
        <v>0</v>
      </c>
      <c r="N552" s="90"/>
      <c r="O552" s="95"/>
      <c r="P552" s="90"/>
      <c r="Q552" s="96"/>
      <c r="R552" s="97"/>
      <c r="S552" s="169"/>
      <c r="T552" s="300" t="str">
        <f>CONCATENATE([1]Cover!$D$6,"fdd/view?i=",S552)</f>
        <v>https://www.dgiwg.org/FAD/fdd/view?i=</v>
      </c>
      <c r="U552" s="188"/>
    </row>
    <row r="553" spans="1:21" ht="2.1" customHeight="1">
      <c r="A553" s="98"/>
      <c r="B553" s="87"/>
      <c r="C553" s="99"/>
      <c r="D553" s="87"/>
      <c r="E553" s="99"/>
      <c r="F553" s="100"/>
      <c r="G553" s="100"/>
      <c r="H553" s="100"/>
      <c r="I553" s="101"/>
      <c r="J553" s="106"/>
      <c r="K553" s="103"/>
      <c r="L553" s="104"/>
      <c r="M553" s="100"/>
      <c r="N553" s="100"/>
      <c r="O553" s="100"/>
      <c r="P553" s="100"/>
      <c r="Q553" s="105"/>
      <c r="R553" s="105"/>
      <c r="S553" s="169"/>
      <c r="U553" s="188"/>
    </row>
    <row r="554" spans="1:21">
      <c r="A554" s="67" t="s">
        <v>6948</v>
      </c>
      <c r="B554" s="87" t="s">
        <v>6948</v>
      </c>
      <c r="C554" s="88" t="s">
        <v>12098</v>
      </c>
      <c r="D554" s="89"/>
      <c r="E554" s="90"/>
      <c r="F554" s="91" t="s">
        <v>12099</v>
      </c>
      <c r="G554" s="90"/>
      <c r="H554" s="90"/>
      <c r="I554" s="92"/>
      <c r="J554" s="93"/>
      <c r="K554" s="94"/>
      <c r="L554" s="149" t="str">
        <f>HYPERLINK("[#]DatatypeListedValues!B3412:H3412","Enumeration")</f>
        <v>Enumeration</v>
      </c>
      <c r="M554" s="107" t="b">
        <v>0</v>
      </c>
      <c r="N554" s="90"/>
      <c r="O554" s="95"/>
      <c r="P554" s="90"/>
      <c r="Q554" s="96"/>
      <c r="R554" s="97"/>
      <c r="S554" s="169"/>
      <c r="T554" s="300" t="str">
        <f>CONCATENATE([1]Cover!$D$6,"fdd/view?i=",S554)</f>
        <v>https://www.dgiwg.org/FAD/fdd/view?i=</v>
      </c>
      <c r="U554" s="188"/>
    </row>
    <row r="555" spans="1:21" ht="2.1" customHeight="1">
      <c r="A555" s="98"/>
      <c r="B555" s="87"/>
      <c r="C555" s="99"/>
      <c r="D555" s="87"/>
      <c r="E555" s="99"/>
      <c r="F555" s="100"/>
      <c r="G555" s="100"/>
      <c r="H555" s="100"/>
      <c r="I555" s="101"/>
      <c r="J555" s="106"/>
      <c r="K555" s="103"/>
      <c r="L555" s="104"/>
      <c r="M555" s="100"/>
      <c r="N555" s="100"/>
      <c r="O555" s="100"/>
      <c r="P555" s="100"/>
      <c r="Q555" s="105"/>
      <c r="R555" s="105"/>
      <c r="S555" s="169"/>
      <c r="U555" s="188"/>
    </row>
    <row r="556" spans="1:21" ht="25.5">
      <c r="A556" s="67" t="s">
        <v>6966</v>
      </c>
      <c r="B556" s="87" t="s">
        <v>6966</v>
      </c>
      <c r="C556" s="88" t="s">
        <v>12100</v>
      </c>
      <c r="D556" s="89"/>
      <c r="E556" s="90"/>
      <c r="F556" s="91" t="s">
        <v>12101</v>
      </c>
      <c r="G556" s="90"/>
      <c r="H556" s="90"/>
      <c r="I556" s="92"/>
      <c r="J556" s="93"/>
      <c r="K556" s="94"/>
      <c r="L556" s="149" t="str">
        <f>HYPERLINK("[#]DatatypeListedValues!B3419:H3419","Enumeration")</f>
        <v>Enumeration</v>
      </c>
      <c r="M556" s="107" t="b">
        <v>0</v>
      </c>
      <c r="N556" s="90"/>
      <c r="O556" s="95"/>
      <c r="P556" s="90"/>
      <c r="Q556" s="96"/>
      <c r="R556" s="97"/>
      <c r="S556" s="169"/>
      <c r="T556" s="300" t="str">
        <f>CONCATENATE([1]Cover!$D$6,"fdd/view?i=",S556)</f>
        <v>https://www.dgiwg.org/FAD/fdd/view?i=</v>
      </c>
      <c r="U556" s="188"/>
    </row>
    <row r="557" spans="1:21" ht="2.1" customHeight="1">
      <c r="A557" s="98"/>
      <c r="B557" s="87"/>
      <c r="C557" s="99"/>
      <c r="D557" s="87"/>
      <c r="E557" s="99"/>
      <c r="F557" s="100"/>
      <c r="G557" s="100"/>
      <c r="H557" s="100"/>
      <c r="I557" s="101"/>
      <c r="J557" s="106"/>
      <c r="K557" s="103"/>
      <c r="L557" s="104"/>
      <c r="M557" s="100"/>
      <c r="N557" s="100"/>
      <c r="O557" s="100"/>
      <c r="P557" s="100"/>
      <c r="Q557" s="105"/>
      <c r="R557" s="105"/>
      <c r="S557" s="169"/>
      <c r="U557" s="188"/>
    </row>
    <row r="558" spans="1:21" ht="25.5">
      <c r="A558" s="67" t="s">
        <v>6975</v>
      </c>
      <c r="B558" s="87" t="s">
        <v>6975</v>
      </c>
      <c r="C558" s="88" t="s">
        <v>12102</v>
      </c>
      <c r="D558" s="89"/>
      <c r="E558" s="90"/>
      <c r="F558" s="91" t="s">
        <v>12103</v>
      </c>
      <c r="G558" s="90"/>
      <c r="H558" s="90"/>
      <c r="I558" s="92"/>
      <c r="J558" s="93"/>
      <c r="K558" s="94"/>
      <c r="L558" s="149" t="str">
        <f>HYPERLINK("[#]DatatypeListedValues!B3422:H3422","Enumeration")</f>
        <v>Enumeration</v>
      </c>
      <c r="M558" s="107" t="b">
        <v>0</v>
      </c>
      <c r="N558" s="90"/>
      <c r="O558" s="95"/>
      <c r="P558" s="90"/>
      <c r="Q558" s="96"/>
      <c r="R558" s="97"/>
      <c r="S558" s="169"/>
      <c r="T558" s="300" t="str">
        <f>CONCATENATE([1]Cover!$D$6,"fdd/view?i=",S558)</f>
        <v>https://www.dgiwg.org/FAD/fdd/view?i=</v>
      </c>
      <c r="U558" s="188"/>
    </row>
    <row r="559" spans="1:21" ht="2.1" customHeight="1">
      <c r="A559" s="98"/>
      <c r="B559" s="87"/>
      <c r="C559" s="99"/>
      <c r="D559" s="87"/>
      <c r="E559" s="99"/>
      <c r="F559" s="100"/>
      <c r="G559" s="100"/>
      <c r="H559" s="100"/>
      <c r="I559" s="101"/>
      <c r="J559" s="106"/>
      <c r="K559" s="103"/>
      <c r="L559" s="104"/>
      <c r="M559" s="100"/>
      <c r="N559" s="100"/>
      <c r="O559" s="100"/>
      <c r="P559" s="100"/>
      <c r="Q559" s="105"/>
      <c r="R559" s="105"/>
      <c r="S559" s="169"/>
      <c r="U559" s="188"/>
    </row>
    <row r="560" spans="1:21" ht="25.5">
      <c r="A560" s="67" t="s">
        <v>6990</v>
      </c>
      <c r="B560" s="87" t="s">
        <v>6990</v>
      </c>
      <c r="C560" s="88" t="s">
        <v>12104</v>
      </c>
      <c r="D560" s="89"/>
      <c r="E560" s="90"/>
      <c r="F560" s="91" t="s">
        <v>12105</v>
      </c>
      <c r="G560" s="90"/>
      <c r="H560" s="90"/>
      <c r="I560" s="92"/>
      <c r="J560" s="93"/>
      <c r="K560" s="94"/>
      <c r="L560" s="149" t="str">
        <f>HYPERLINK("[#]DatatypeListedValues!B3425:H3425","Enumeration")</f>
        <v>Enumeration</v>
      </c>
      <c r="M560" s="107" t="b">
        <v>0</v>
      </c>
      <c r="N560" s="90"/>
      <c r="O560" s="95"/>
      <c r="P560" s="90"/>
      <c r="Q560" s="96"/>
      <c r="R560" s="97"/>
      <c r="S560" s="169"/>
      <c r="T560" s="300" t="str">
        <f>CONCATENATE([1]Cover!$D$6,"fdd/view?i=",S560)</f>
        <v>https://www.dgiwg.org/FAD/fdd/view?i=</v>
      </c>
      <c r="U560" s="188"/>
    </row>
    <row r="561" spans="1:21" ht="2.1" customHeight="1">
      <c r="A561" s="98"/>
      <c r="B561" s="87"/>
      <c r="C561" s="99"/>
      <c r="D561" s="87"/>
      <c r="E561" s="99"/>
      <c r="F561" s="100"/>
      <c r="G561" s="100"/>
      <c r="H561" s="100"/>
      <c r="I561" s="101"/>
      <c r="J561" s="106"/>
      <c r="K561" s="103"/>
      <c r="L561" s="104"/>
      <c r="M561" s="100"/>
      <c r="N561" s="100"/>
      <c r="O561" s="100"/>
      <c r="P561" s="100"/>
      <c r="Q561" s="105"/>
      <c r="R561" s="105"/>
      <c r="S561" s="169"/>
      <c r="U561" s="188"/>
    </row>
    <row r="562" spans="1:21" ht="38.25">
      <c r="A562" s="67" t="s">
        <v>6996</v>
      </c>
      <c r="B562" s="87" t="s">
        <v>6996</v>
      </c>
      <c r="C562" s="88" t="s">
        <v>12106</v>
      </c>
      <c r="D562" s="89"/>
      <c r="E562" s="90"/>
      <c r="F562" s="91" t="s">
        <v>12107</v>
      </c>
      <c r="G562" s="90"/>
      <c r="H562" s="91" t="s">
        <v>11744</v>
      </c>
      <c r="I562" s="92"/>
      <c r="J562" s="93"/>
      <c r="K562" s="94"/>
      <c r="L562" s="153" t="s">
        <v>11414</v>
      </c>
      <c r="M562" s="91" t="b">
        <v>1</v>
      </c>
      <c r="N562" s="91">
        <v>2</v>
      </c>
      <c r="O562" s="95"/>
      <c r="P562" s="91" t="s">
        <v>12108</v>
      </c>
      <c r="Q562" s="96"/>
      <c r="R562" s="97"/>
      <c r="S562" s="169"/>
      <c r="T562" s="300" t="str">
        <f>CONCATENATE([1]Cover!$D$6,"fdd/view?i=",S562)</f>
        <v>https://www.dgiwg.org/FAD/fdd/view?i=</v>
      </c>
      <c r="U562" s="188"/>
    </row>
    <row r="563" spans="1:21" ht="2.1" customHeight="1">
      <c r="A563" s="98"/>
      <c r="B563" s="87"/>
      <c r="C563" s="99"/>
      <c r="D563" s="87"/>
      <c r="E563" s="99"/>
      <c r="F563" s="100"/>
      <c r="G563" s="100"/>
      <c r="H563" s="100"/>
      <c r="I563" s="101"/>
      <c r="J563" s="106"/>
      <c r="K563" s="103"/>
      <c r="L563" s="104"/>
      <c r="M563" s="100"/>
      <c r="N563" s="100"/>
      <c r="O563" s="100"/>
      <c r="P563" s="100"/>
      <c r="Q563" s="105"/>
      <c r="R563" s="105"/>
      <c r="S563" s="169"/>
      <c r="U563" s="188"/>
    </row>
    <row r="564" spans="1:21" ht="51">
      <c r="A564" s="67" t="s">
        <v>7013</v>
      </c>
      <c r="B564" s="87" t="s">
        <v>7013</v>
      </c>
      <c r="C564" s="88" t="s">
        <v>12109</v>
      </c>
      <c r="D564" s="89"/>
      <c r="E564" s="90"/>
      <c r="F564" s="91" t="s">
        <v>12110</v>
      </c>
      <c r="G564" s="90"/>
      <c r="H564" s="91" t="s">
        <v>11744</v>
      </c>
      <c r="I564" s="92"/>
      <c r="J564" s="93"/>
      <c r="K564" s="94"/>
      <c r="L564" s="153" t="s">
        <v>11414</v>
      </c>
      <c r="M564" s="91" t="b">
        <v>1</v>
      </c>
      <c r="N564" s="91">
        <v>4</v>
      </c>
      <c r="O564" s="95"/>
      <c r="P564" s="91" t="s">
        <v>12111</v>
      </c>
      <c r="Q564" s="96"/>
      <c r="R564" s="97"/>
      <c r="S564" s="169"/>
      <c r="T564" s="300" t="str">
        <f>CONCATENATE([1]Cover!$D$6,"fdd/view?i=",S564)</f>
        <v>https://www.dgiwg.org/FAD/fdd/view?i=</v>
      </c>
      <c r="U564" s="188"/>
    </row>
    <row r="565" spans="1:21" ht="2.1" customHeight="1">
      <c r="A565" s="98"/>
      <c r="B565" s="87"/>
      <c r="C565" s="99"/>
      <c r="D565" s="87"/>
      <c r="E565" s="99"/>
      <c r="F565" s="100"/>
      <c r="G565" s="100"/>
      <c r="H565" s="100"/>
      <c r="I565" s="101"/>
      <c r="J565" s="106"/>
      <c r="K565" s="103"/>
      <c r="L565" s="104"/>
      <c r="M565" s="100"/>
      <c r="N565" s="100"/>
      <c r="O565" s="100"/>
      <c r="P565" s="100"/>
      <c r="Q565" s="105"/>
      <c r="R565" s="105"/>
      <c r="S565" s="169"/>
      <c r="U565" s="188"/>
    </row>
    <row r="566" spans="1:21" ht="38.25">
      <c r="A566" s="67" t="s">
        <v>7007</v>
      </c>
      <c r="B566" s="87" t="s">
        <v>7007</v>
      </c>
      <c r="C566" s="88" t="s">
        <v>12112</v>
      </c>
      <c r="D566" s="89"/>
      <c r="E566" s="90"/>
      <c r="F566" s="91" t="s">
        <v>12113</v>
      </c>
      <c r="G566" s="90"/>
      <c r="H566" s="91" t="s">
        <v>11744</v>
      </c>
      <c r="I566" s="92"/>
      <c r="J566" s="93"/>
      <c r="K566" s="94"/>
      <c r="L566" s="153" t="s">
        <v>11414</v>
      </c>
      <c r="M566" s="91" t="b">
        <v>1</v>
      </c>
      <c r="N566" s="91">
        <v>2</v>
      </c>
      <c r="O566" s="95"/>
      <c r="P566" s="91" t="s">
        <v>12114</v>
      </c>
      <c r="Q566" s="96"/>
      <c r="R566" s="97"/>
      <c r="S566" s="169"/>
      <c r="T566" s="300" t="str">
        <f>CONCATENATE([1]Cover!$D$6,"fdd/view?i=",S566)</f>
        <v>https://www.dgiwg.org/FAD/fdd/view?i=</v>
      </c>
      <c r="U566" s="188"/>
    </row>
    <row r="567" spans="1:21" ht="2.1" customHeight="1">
      <c r="A567" s="98"/>
      <c r="B567" s="87"/>
      <c r="C567" s="99"/>
      <c r="D567" s="87"/>
      <c r="E567" s="99"/>
      <c r="F567" s="100"/>
      <c r="G567" s="100"/>
      <c r="H567" s="100"/>
      <c r="I567" s="101"/>
      <c r="J567" s="106"/>
      <c r="K567" s="103"/>
      <c r="L567" s="104"/>
      <c r="M567" s="100"/>
      <c r="N567" s="100"/>
      <c r="O567" s="100"/>
      <c r="P567" s="100"/>
      <c r="Q567" s="105"/>
      <c r="R567" s="105"/>
      <c r="S567" s="169"/>
      <c r="U567" s="188"/>
    </row>
    <row r="568" spans="1:21" ht="25.5">
      <c r="A568" s="67" t="s">
        <v>7029</v>
      </c>
      <c r="B568" s="87" t="s">
        <v>7029</v>
      </c>
      <c r="C568" s="88" t="s">
        <v>12115</v>
      </c>
      <c r="D568" s="89"/>
      <c r="E568" s="90"/>
      <c r="F568" s="91" t="s">
        <v>12116</v>
      </c>
      <c r="G568" s="90"/>
      <c r="H568" s="90"/>
      <c r="I568" s="92"/>
      <c r="J568" s="93"/>
      <c r="K568" s="94"/>
      <c r="L568" s="149" t="str">
        <f>HYPERLINK("[#]DatatypeListedValues!B3464:H3464","Enumeration")</f>
        <v>Enumeration</v>
      </c>
      <c r="M568" s="107" t="b">
        <v>0</v>
      </c>
      <c r="N568" s="90"/>
      <c r="O568" s="95"/>
      <c r="P568" s="90"/>
      <c r="Q568" s="96"/>
      <c r="R568" s="97"/>
      <c r="S568" s="169"/>
      <c r="T568" s="300" t="str">
        <f>CONCATENATE([1]Cover!$D$6,"fdd/view?i=",S568)</f>
        <v>https://www.dgiwg.org/FAD/fdd/view?i=</v>
      </c>
      <c r="U568" s="188"/>
    </row>
    <row r="569" spans="1:21" ht="2.1" customHeight="1">
      <c r="A569" s="98"/>
      <c r="B569" s="87"/>
      <c r="C569" s="99"/>
      <c r="D569" s="87"/>
      <c r="E569" s="99"/>
      <c r="F569" s="100"/>
      <c r="G569" s="100"/>
      <c r="H569" s="100"/>
      <c r="I569" s="101"/>
      <c r="J569" s="106"/>
      <c r="K569" s="103"/>
      <c r="L569" s="104"/>
      <c r="M569" s="100"/>
      <c r="N569" s="100"/>
      <c r="O569" s="100"/>
      <c r="P569" s="100"/>
      <c r="Q569" s="105"/>
      <c r="R569" s="105"/>
      <c r="S569" s="169"/>
      <c r="U569" s="188"/>
    </row>
    <row r="570" spans="1:21" ht="178.5">
      <c r="A570" s="67" t="s">
        <v>7034</v>
      </c>
      <c r="B570" s="87" t="s">
        <v>7034</v>
      </c>
      <c r="C570" s="88" t="s">
        <v>12117</v>
      </c>
      <c r="D570" s="89"/>
      <c r="E570" s="90"/>
      <c r="F570" s="91" t="s">
        <v>12118</v>
      </c>
      <c r="G570" s="90"/>
      <c r="H570" s="91" t="s">
        <v>11426</v>
      </c>
      <c r="I570" s="92"/>
      <c r="J570" s="93"/>
      <c r="K570" s="94"/>
      <c r="L570" s="91" t="s">
        <v>11425</v>
      </c>
      <c r="M570" s="90"/>
      <c r="N570" s="91">
        <v>20</v>
      </c>
      <c r="O570" s="108" t="b">
        <v>0</v>
      </c>
      <c r="P570" s="91" t="s">
        <v>11909</v>
      </c>
      <c r="Q570" s="96"/>
      <c r="R570" s="97"/>
      <c r="S570" s="169"/>
      <c r="T570" s="300" t="str">
        <f>CONCATENATE([1]Cover!$D$6,"fdd/view?i=",S570)</f>
        <v>https://www.dgiwg.org/FAD/fdd/view?i=</v>
      </c>
      <c r="U570" s="188"/>
    </row>
    <row r="571" spans="1:21" ht="2.1" customHeight="1">
      <c r="A571" s="98"/>
      <c r="B571" s="87"/>
      <c r="C571" s="99"/>
      <c r="D571" s="87"/>
      <c r="E571" s="99"/>
      <c r="F571" s="100"/>
      <c r="G571" s="100"/>
      <c r="H571" s="100"/>
      <c r="I571" s="101"/>
      <c r="J571" s="106"/>
      <c r="K571" s="103"/>
      <c r="L571" s="104"/>
      <c r="M571" s="100"/>
      <c r="N571" s="100"/>
      <c r="O571" s="100"/>
      <c r="P571" s="100"/>
      <c r="Q571" s="105"/>
      <c r="R571" s="105"/>
      <c r="S571" s="169"/>
      <c r="U571" s="188"/>
    </row>
    <row r="572" spans="1:21" ht="25.5">
      <c r="A572" s="67" t="s">
        <v>7039</v>
      </c>
      <c r="B572" s="87" t="s">
        <v>7039</v>
      </c>
      <c r="C572" s="88" t="s">
        <v>12119</v>
      </c>
      <c r="D572" s="89"/>
      <c r="E572" s="90"/>
      <c r="F572" s="91" t="s">
        <v>12120</v>
      </c>
      <c r="G572" s="90"/>
      <c r="H572" s="90"/>
      <c r="I572" s="92"/>
      <c r="J572" s="93"/>
      <c r="K572" s="94"/>
      <c r="L572" s="149" t="str">
        <f>HYPERLINK("[#]DatatypeListedValues!B3486:H3486","Enumeration")</f>
        <v>Enumeration</v>
      </c>
      <c r="M572" s="91" t="b">
        <v>1</v>
      </c>
      <c r="N572" s="90"/>
      <c r="O572" s="95"/>
      <c r="P572" s="90"/>
      <c r="Q572" s="96"/>
      <c r="R572" s="97"/>
      <c r="S572" s="169"/>
      <c r="T572" s="300" t="str">
        <f>CONCATENATE([1]Cover!$D$6,"fdd/view?i=",S572)</f>
        <v>https://www.dgiwg.org/FAD/fdd/view?i=</v>
      </c>
      <c r="U572" s="188"/>
    </row>
    <row r="573" spans="1:21" ht="2.1" customHeight="1">
      <c r="A573" s="98"/>
      <c r="B573" s="87"/>
      <c r="C573" s="99"/>
      <c r="D573" s="87"/>
      <c r="E573" s="99"/>
      <c r="F573" s="100"/>
      <c r="G573" s="100"/>
      <c r="H573" s="100"/>
      <c r="I573" s="101"/>
      <c r="J573" s="106"/>
      <c r="K573" s="103"/>
      <c r="L573" s="104"/>
      <c r="M573" s="100"/>
      <c r="N573" s="100"/>
      <c r="O573" s="100"/>
      <c r="P573" s="100"/>
      <c r="Q573" s="105"/>
      <c r="R573" s="105"/>
      <c r="S573" s="169"/>
      <c r="U573" s="188"/>
    </row>
    <row r="574" spans="1:21">
      <c r="A574" s="67" t="s">
        <v>7044</v>
      </c>
      <c r="B574" s="87" t="s">
        <v>7044</v>
      </c>
      <c r="C574" s="88" t="s">
        <v>12121</v>
      </c>
      <c r="D574" s="89"/>
      <c r="E574" s="90"/>
      <c r="F574" s="91" t="s">
        <v>12122</v>
      </c>
      <c r="G574" s="90"/>
      <c r="H574" s="90"/>
      <c r="I574" s="92"/>
      <c r="J574" s="93"/>
      <c r="K574" s="94"/>
      <c r="L574" s="149" t="str">
        <f>HYPERLINK("[#]DatatypeListedValues!B3489:H3489","Enumeration")</f>
        <v>Enumeration</v>
      </c>
      <c r="M574" s="107" t="b">
        <v>0</v>
      </c>
      <c r="N574" s="90"/>
      <c r="O574" s="95"/>
      <c r="P574" s="90"/>
      <c r="Q574" s="96"/>
      <c r="R574" s="97"/>
      <c r="S574" s="169"/>
      <c r="T574" s="300" t="str">
        <f>CONCATENATE([1]Cover!$D$6,"fdd/view?i=",S574)</f>
        <v>https://www.dgiwg.org/FAD/fdd/view?i=</v>
      </c>
      <c r="U574" s="188"/>
    </row>
    <row r="575" spans="1:21" ht="2.1" customHeight="1">
      <c r="A575" s="98"/>
      <c r="B575" s="87"/>
      <c r="C575" s="99"/>
      <c r="D575" s="87"/>
      <c r="E575" s="99"/>
      <c r="F575" s="100"/>
      <c r="G575" s="100"/>
      <c r="H575" s="100"/>
      <c r="I575" s="101"/>
      <c r="J575" s="106"/>
      <c r="K575" s="103"/>
      <c r="L575" s="104"/>
      <c r="M575" s="100"/>
      <c r="N575" s="100"/>
      <c r="O575" s="100"/>
      <c r="P575" s="100"/>
      <c r="Q575" s="105"/>
      <c r="R575" s="105"/>
      <c r="S575" s="169"/>
      <c r="U575" s="188"/>
    </row>
    <row r="576" spans="1:21">
      <c r="A576" s="67" t="s">
        <v>7058</v>
      </c>
      <c r="B576" s="87" t="s">
        <v>7058</v>
      </c>
      <c r="C576" s="88" t="s">
        <v>12123</v>
      </c>
      <c r="D576" s="89"/>
      <c r="E576" s="90"/>
      <c r="F576" s="91" t="s">
        <v>12124</v>
      </c>
      <c r="G576" s="90"/>
      <c r="H576" s="90"/>
      <c r="I576" s="92"/>
      <c r="J576" s="93"/>
      <c r="K576" s="94"/>
      <c r="L576" s="149" t="str">
        <f>HYPERLINK("[#]DatatypeListedValues!B3526:H3526","Enumeration")</f>
        <v>Enumeration</v>
      </c>
      <c r="M576" s="107" t="b">
        <v>0</v>
      </c>
      <c r="N576" s="90"/>
      <c r="O576" s="95"/>
      <c r="P576" s="90"/>
      <c r="Q576" s="96"/>
      <c r="R576" s="97"/>
      <c r="S576" s="169"/>
      <c r="T576" s="300" t="str">
        <f>CONCATENATE([1]Cover!$D$6,"fdd/view?i=",S576)</f>
        <v>https://www.dgiwg.org/FAD/fdd/view?i=</v>
      </c>
      <c r="U576" s="188"/>
    </row>
    <row r="577" spans="1:21" ht="2.1" customHeight="1">
      <c r="A577" s="98"/>
      <c r="B577" s="87"/>
      <c r="C577" s="99"/>
      <c r="D577" s="87"/>
      <c r="E577" s="99"/>
      <c r="F577" s="100"/>
      <c r="G577" s="100"/>
      <c r="H577" s="100"/>
      <c r="I577" s="101"/>
      <c r="J577" s="106"/>
      <c r="K577" s="103"/>
      <c r="L577" s="104"/>
      <c r="M577" s="100"/>
      <c r="N577" s="100"/>
      <c r="O577" s="100"/>
      <c r="P577" s="100"/>
      <c r="Q577" s="105"/>
      <c r="R577" s="105"/>
      <c r="S577" s="169"/>
      <c r="U577" s="188"/>
    </row>
    <row r="578" spans="1:21" ht="25.5">
      <c r="A578" s="67" t="s">
        <v>7072</v>
      </c>
      <c r="B578" s="87" t="s">
        <v>7072</v>
      </c>
      <c r="C578" s="88" t="s">
        <v>12125</v>
      </c>
      <c r="D578" s="89"/>
      <c r="E578" s="90"/>
      <c r="F578" s="91" t="s">
        <v>12126</v>
      </c>
      <c r="G578" s="90"/>
      <c r="H578" s="90"/>
      <c r="I578" s="92"/>
      <c r="J578" s="93"/>
      <c r="K578" s="94"/>
      <c r="L578" s="149" t="str">
        <f>HYPERLINK("[#]DatatypeListedValues!B3529:H3529","Enumeration")</f>
        <v>Enumeration</v>
      </c>
      <c r="M578" s="107" t="b">
        <v>0</v>
      </c>
      <c r="N578" s="90"/>
      <c r="O578" s="95"/>
      <c r="P578" s="90"/>
      <c r="Q578" s="96"/>
      <c r="R578" s="97"/>
      <c r="S578" s="169"/>
      <c r="T578" s="300" t="str">
        <f>CONCATENATE([1]Cover!$D$6,"fdd/view?i=",S578)</f>
        <v>https://www.dgiwg.org/FAD/fdd/view?i=</v>
      </c>
      <c r="U578" s="188"/>
    </row>
    <row r="579" spans="1:21" ht="2.1" customHeight="1">
      <c r="A579" s="98"/>
      <c r="B579" s="87"/>
      <c r="C579" s="99"/>
      <c r="D579" s="87"/>
      <c r="E579" s="99"/>
      <c r="F579" s="100"/>
      <c r="G579" s="100"/>
      <c r="H579" s="100"/>
      <c r="I579" s="101"/>
      <c r="J579" s="106"/>
      <c r="K579" s="103"/>
      <c r="L579" s="104"/>
      <c r="M579" s="100"/>
      <c r="N579" s="100"/>
      <c r="O579" s="100"/>
      <c r="P579" s="100"/>
      <c r="Q579" s="105"/>
      <c r="R579" s="105"/>
      <c r="S579" s="169"/>
      <c r="U579" s="188"/>
    </row>
    <row r="580" spans="1:21" ht="25.5">
      <c r="A580" s="67" t="s">
        <v>7077</v>
      </c>
      <c r="B580" s="87" t="s">
        <v>7077</v>
      </c>
      <c r="C580" s="88" t="s">
        <v>12127</v>
      </c>
      <c r="D580" s="89"/>
      <c r="E580" s="90"/>
      <c r="F580" s="91" t="s">
        <v>12128</v>
      </c>
      <c r="G580" s="90"/>
      <c r="H580" s="90"/>
      <c r="I580" s="92"/>
      <c r="J580" s="93"/>
      <c r="K580" s="94"/>
      <c r="L580" s="149" t="str">
        <f>HYPERLINK("[#]DatatypeListedValues!B3533:H3533","Enumeration")</f>
        <v>Enumeration</v>
      </c>
      <c r="M580" s="107" t="b">
        <v>0</v>
      </c>
      <c r="N580" s="90"/>
      <c r="O580" s="95"/>
      <c r="P580" s="90"/>
      <c r="Q580" s="96"/>
      <c r="R580" s="97"/>
      <c r="S580" s="169"/>
      <c r="T580" s="300" t="str">
        <f>CONCATENATE([1]Cover!$D$6,"fdd/view?i=",S580)</f>
        <v>https://www.dgiwg.org/FAD/fdd/view?i=</v>
      </c>
      <c r="U580" s="188"/>
    </row>
    <row r="581" spans="1:21" ht="2.1" customHeight="1">
      <c r="A581" s="98"/>
      <c r="B581" s="87"/>
      <c r="C581" s="99"/>
      <c r="D581" s="87"/>
      <c r="E581" s="99"/>
      <c r="F581" s="100"/>
      <c r="G581" s="100"/>
      <c r="H581" s="100"/>
      <c r="I581" s="101"/>
      <c r="J581" s="106"/>
      <c r="K581" s="103"/>
      <c r="L581" s="104"/>
      <c r="M581" s="100"/>
      <c r="N581" s="100"/>
      <c r="O581" s="100"/>
      <c r="P581" s="100"/>
      <c r="Q581" s="105"/>
      <c r="R581" s="105"/>
      <c r="S581" s="169"/>
      <c r="U581" s="188"/>
    </row>
    <row r="582" spans="1:21">
      <c r="A582" s="67" t="s">
        <v>7094</v>
      </c>
      <c r="B582" s="87" t="s">
        <v>7094</v>
      </c>
      <c r="C582" s="88" t="s">
        <v>12129</v>
      </c>
      <c r="D582" s="89"/>
      <c r="E582" s="90"/>
      <c r="F582" s="91" t="s">
        <v>12130</v>
      </c>
      <c r="G582" s="90"/>
      <c r="H582" s="90"/>
      <c r="I582" s="92"/>
      <c r="J582" s="93"/>
      <c r="K582" s="94"/>
      <c r="L582" s="149" t="str">
        <f>HYPERLINK("[#]DatatypeListedValues!B3538:H3538","Enumeration")</f>
        <v>Enumeration</v>
      </c>
      <c r="M582" s="107" t="b">
        <v>0</v>
      </c>
      <c r="N582" s="90"/>
      <c r="O582" s="95"/>
      <c r="P582" s="90"/>
      <c r="Q582" s="96"/>
      <c r="R582" s="97"/>
      <c r="S582" s="169"/>
      <c r="T582" s="300" t="str">
        <f>CONCATENATE([1]Cover!$D$6,"fdd/view?i=",S582)</f>
        <v>https://www.dgiwg.org/FAD/fdd/view?i=</v>
      </c>
      <c r="U582" s="188"/>
    </row>
    <row r="583" spans="1:21" ht="2.1" customHeight="1">
      <c r="A583" s="98"/>
      <c r="B583" s="87"/>
      <c r="C583" s="99"/>
      <c r="D583" s="87"/>
      <c r="E583" s="99"/>
      <c r="F583" s="100"/>
      <c r="G583" s="100"/>
      <c r="H583" s="100"/>
      <c r="I583" s="101"/>
      <c r="J583" s="106"/>
      <c r="K583" s="103"/>
      <c r="L583" s="104"/>
      <c r="M583" s="100"/>
      <c r="N583" s="100"/>
      <c r="O583" s="100"/>
      <c r="P583" s="100"/>
      <c r="Q583" s="105"/>
      <c r="R583" s="105"/>
      <c r="S583" s="169"/>
      <c r="U583" s="188"/>
    </row>
    <row r="584" spans="1:21">
      <c r="A584" s="67" t="s">
        <v>7099</v>
      </c>
      <c r="B584" s="87" t="s">
        <v>7099</v>
      </c>
      <c r="C584" s="88" t="s">
        <v>12131</v>
      </c>
      <c r="D584" s="89"/>
      <c r="E584" s="90"/>
      <c r="F584" s="91" t="s">
        <v>12132</v>
      </c>
      <c r="G584" s="90"/>
      <c r="H584" s="90"/>
      <c r="I584" s="92"/>
      <c r="J584" s="93"/>
      <c r="K584" s="94"/>
      <c r="L584" s="149" t="str">
        <f>HYPERLINK("[#]DatatypeListedValues!B3551:H3551","Enumeration")</f>
        <v>Enumeration</v>
      </c>
      <c r="M584" s="107" t="b">
        <v>0</v>
      </c>
      <c r="N584" s="90"/>
      <c r="O584" s="95"/>
      <c r="P584" s="90"/>
      <c r="Q584" s="96"/>
      <c r="R584" s="97"/>
      <c r="S584" s="169"/>
      <c r="T584" s="300" t="str">
        <f>CONCATENATE([1]Cover!$D$6,"fdd/view?i=",S584)</f>
        <v>https://www.dgiwg.org/FAD/fdd/view?i=</v>
      </c>
      <c r="U584" s="188"/>
    </row>
    <row r="585" spans="1:21" ht="2.1" customHeight="1">
      <c r="A585" s="98"/>
      <c r="B585" s="87"/>
      <c r="C585" s="99"/>
      <c r="D585" s="87"/>
      <c r="E585" s="99"/>
      <c r="F585" s="100"/>
      <c r="G585" s="100"/>
      <c r="H585" s="100"/>
      <c r="I585" s="101"/>
      <c r="J585" s="106"/>
      <c r="K585" s="103"/>
      <c r="L585" s="104"/>
      <c r="M585" s="100"/>
      <c r="N585" s="100"/>
      <c r="O585" s="100"/>
      <c r="P585" s="100"/>
      <c r="Q585" s="105"/>
      <c r="R585" s="105"/>
      <c r="S585" s="169"/>
      <c r="U585" s="188"/>
    </row>
    <row r="586" spans="1:21" ht="25.5">
      <c r="A586" s="67" t="s">
        <v>7104</v>
      </c>
      <c r="B586" s="87" t="s">
        <v>7104</v>
      </c>
      <c r="C586" s="88" t="s">
        <v>12133</v>
      </c>
      <c r="D586" s="89"/>
      <c r="E586" s="90"/>
      <c r="F586" s="91" t="s">
        <v>12134</v>
      </c>
      <c r="G586" s="90"/>
      <c r="H586" s="90"/>
      <c r="I586" s="92"/>
      <c r="J586" s="93"/>
      <c r="K586" s="94"/>
      <c r="L586" s="149" t="str">
        <f>HYPERLINK("[#]DatatypeListedValues!B3554:H3554","Enumeration")</f>
        <v>Enumeration</v>
      </c>
      <c r="M586" s="107" t="b">
        <v>0</v>
      </c>
      <c r="N586" s="90"/>
      <c r="O586" s="95"/>
      <c r="P586" s="90"/>
      <c r="Q586" s="96"/>
      <c r="R586" s="97"/>
      <c r="S586" s="169"/>
      <c r="T586" s="300" t="str">
        <f>CONCATENATE([1]Cover!$D$6,"fdd/view?i=",S586)</f>
        <v>https://www.dgiwg.org/FAD/fdd/view?i=</v>
      </c>
      <c r="U586" s="188"/>
    </row>
    <row r="587" spans="1:21" ht="2.1" customHeight="1">
      <c r="A587" s="98"/>
      <c r="B587" s="87"/>
      <c r="C587" s="99"/>
      <c r="D587" s="87"/>
      <c r="E587" s="99"/>
      <c r="F587" s="100"/>
      <c r="G587" s="100"/>
      <c r="H587" s="100"/>
      <c r="I587" s="101"/>
      <c r="J587" s="106"/>
      <c r="K587" s="103"/>
      <c r="L587" s="104"/>
      <c r="M587" s="100"/>
      <c r="N587" s="100"/>
      <c r="O587" s="100"/>
      <c r="P587" s="100"/>
      <c r="Q587" s="105"/>
      <c r="R587" s="105"/>
      <c r="S587" s="169"/>
      <c r="U587" s="188"/>
    </row>
    <row r="588" spans="1:21" ht="25.5">
      <c r="A588" s="67" t="s">
        <v>7114</v>
      </c>
      <c r="B588" s="87" t="s">
        <v>7114</v>
      </c>
      <c r="C588" s="88" t="s">
        <v>12135</v>
      </c>
      <c r="D588" s="89"/>
      <c r="E588" s="90"/>
      <c r="F588" s="91" t="s">
        <v>12136</v>
      </c>
      <c r="G588" s="90"/>
      <c r="H588" s="90"/>
      <c r="I588" s="92"/>
      <c r="J588" s="93"/>
      <c r="K588" s="94"/>
      <c r="L588" s="149" t="str">
        <f>HYPERLINK("[#]DatatypeListedValues!B3560:H3560","Enumeration")</f>
        <v>Enumeration</v>
      </c>
      <c r="M588" s="107" t="b">
        <v>0</v>
      </c>
      <c r="N588" s="90"/>
      <c r="O588" s="95"/>
      <c r="P588" s="90"/>
      <c r="Q588" s="96"/>
      <c r="R588" s="97"/>
      <c r="S588" s="169"/>
      <c r="T588" s="300" t="str">
        <f>CONCATENATE([1]Cover!$D$6,"fdd/view?i=",S588)</f>
        <v>https://www.dgiwg.org/FAD/fdd/view?i=</v>
      </c>
      <c r="U588" s="188"/>
    </row>
    <row r="589" spans="1:21" ht="2.1" customHeight="1">
      <c r="A589" s="98"/>
      <c r="B589" s="87"/>
      <c r="C589" s="99"/>
      <c r="D589" s="87"/>
      <c r="E589" s="99"/>
      <c r="F589" s="100"/>
      <c r="G589" s="100"/>
      <c r="H589" s="100"/>
      <c r="I589" s="101"/>
      <c r="J589" s="106"/>
      <c r="K589" s="103"/>
      <c r="L589" s="104"/>
      <c r="M589" s="100"/>
      <c r="N589" s="100"/>
      <c r="O589" s="100"/>
      <c r="P589" s="100"/>
      <c r="Q589" s="105"/>
      <c r="R589" s="105"/>
      <c r="S589" s="169"/>
      <c r="U589" s="188"/>
    </row>
    <row r="590" spans="1:21">
      <c r="A590" s="67" t="s">
        <v>7127</v>
      </c>
      <c r="B590" s="87" t="s">
        <v>7127</v>
      </c>
      <c r="C590" s="88" t="s">
        <v>12137</v>
      </c>
      <c r="D590" s="89"/>
      <c r="E590" s="90"/>
      <c r="F590" s="91" t="s">
        <v>12138</v>
      </c>
      <c r="G590" s="90"/>
      <c r="H590" s="90"/>
      <c r="I590" s="92"/>
      <c r="J590" s="93"/>
      <c r="K590" s="94"/>
      <c r="L590" s="149" t="str">
        <f>HYPERLINK("[#]DatatypeListedValues!B3570:H3570","Enumeration")</f>
        <v>Enumeration</v>
      </c>
      <c r="M590" s="91" t="b">
        <v>1</v>
      </c>
      <c r="N590" s="90"/>
      <c r="O590" s="95"/>
      <c r="P590" s="90"/>
      <c r="Q590" s="96"/>
      <c r="R590" s="97"/>
      <c r="S590" s="169"/>
      <c r="T590" s="300" t="str">
        <f>CONCATENATE([1]Cover!$D$6,"fdd/view?i=",S590)</f>
        <v>https://www.dgiwg.org/FAD/fdd/view?i=</v>
      </c>
      <c r="U590" s="188"/>
    </row>
    <row r="591" spans="1:21" ht="2.1" customHeight="1">
      <c r="A591" s="98"/>
      <c r="B591" s="87"/>
      <c r="C591" s="99"/>
      <c r="D591" s="87"/>
      <c r="E591" s="99"/>
      <c r="F591" s="100"/>
      <c r="G591" s="100"/>
      <c r="H591" s="100"/>
      <c r="I591" s="101"/>
      <c r="J591" s="106"/>
      <c r="K591" s="103"/>
      <c r="L591" s="104"/>
      <c r="M591" s="100"/>
      <c r="N591" s="100"/>
      <c r="O591" s="100"/>
      <c r="P591" s="100"/>
      <c r="Q591" s="105"/>
      <c r="R591" s="105"/>
      <c r="S591" s="169"/>
      <c r="U591" s="188"/>
    </row>
    <row r="592" spans="1:21" ht="25.5">
      <c r="A592" s="67" t="s">
        <v>7132</v>
      </c>
      <c r="B592" s="87" t="s">
        <v>7132</v>
      </c>
      <c r="C592" s="88" t="s">
        <v>12139</v>
      </c>
      <c r="D592" s="89"/>
      <c r="E592" s="90"/>
      <c r="F592" s="91" t="s">
        <v>12140</v>
      </c>
      <c r="G592" s="90"/>
      <c r="H592" s="90"/>
      <c r="I592" s="92"/>
      <c r="J592" s="93"/>
      <c r="K592" s="94"/>
      <c r="L592" s="149" t="str">
        <f>HYPERLINK("[#]DatatypeListedValues!B3572:H3572","Enumeration")</f>
        <v>Enumeration</v>
      </c>
      <c r="M592" s="107" t="b">
        <v>0</v>
      </c>
      <c r="N592" s="90"/>
      <c r="O592" s="95"/>
      <c r="P592" s="90"/>
      <c r="Q592" s="96"/>
      <c r="R592" s="97"/>
      <c r="S592" s="169"/>
      <c r="T592" s="300" t="str">
        <f>CONCATENATE([1]Cover!$D$6,"fdd/view?i=",S592)</f>
        <v>https://www.dgiwg.org/FAD/fdd/view?i=</v>
      </c>
      <c r="U592" s="188"/>
    </row>
    <row r="593" spans="1:21" ht="2.1" customHeight="1">
      <c r="A593" s="98"/>
      <c r="B593" s="87"/>
      <c r="C593" s="99"/>
      <c r="D593" s="87"/>
      <c r="E593" s="99"/>
      <c r="F593" s="100"/>
      <c r="G593" s="100"/>
      <c r="H593" s="100"/>
      <c r="I593" s="101"/>
      <c r="J593" s="106"/>
      <c r="K593" s="103"/>
      <c r="L593" s="104"/>
      <c r="M593" s="100"/>
      <c r="N593" s="100"/>
      <c r="O593" s="100"/>
      <c r="P593" s="100"/>
      <c r="Q593" s="105"/>
      <c r="R593" s="105"/>
      <c r="S593" s="169"/>
      <c r="U593" s="188"/>
    </row>
    <row r="594" spans="1:21" ht="25.5">
      <c r="A594" s="67" t="s">
        <v>7138</v>
      </c>
      <c r="B594" s="87" t="s">
        <v>7138</v>
      </c>
      <c r="C594" s="88" t="s">
        <v>12141</v>
      </c>
      <c r="D594" s="89"/>
      <c r="E594" s="90"/>
      <c r="F594" s="91" t="s">
        <v>12142</v>
      </c>
      <c r="G594" s="90"/>
      <c r="H594" s="90"/>
      <c r="I594" s="92"/>
      <c r="J594" s="93"/>
      <c r="K594" s="94"/>
      <c r="L594" s="149" t="str">
        <f>HYPERLINK("[#]DatatypeListedValues!B3582:H3582","Enumeration")</f>
        <v>Enumeration</v>
      </c>
      <c r="M594" s="107" t="b">
        <v>0</v>
      </c>
      <c r="N594" s="90"/>
      <c r="O594" s="95"/>
      <c r="P594" s="90"/>
      <c r="Q594" s="96"/>
      <c r="R594" s="97"/>
      <c r="S594" s="169"/>
      <c r="T594" s="300" t="str">
        <f>CONCATENATE([1]Cover!$D$6,"fdd/view?i=",S594)</f>
        <v>https://www.dgiwg.org/FAD/fdd/view?i=</v>
      </c>
      <c r="U594" s="188"/>
    </row>
    <row r="595" spans="1:21" ht="2.1" customHeight="1">
      <c r="A595" s="98"/>
      <c r="B595" s="87"/>
      <c r="C595" s="99"/>
      <c r="D595" s="87"/>
      <c r="E595" s="99"/>
      <c r="F595" s="100"/>
      <c r="G595" s="100"/>
      <c r="H595" s="100"/>
      <c r="I595" s="101"/>
      <c r="J595" s="106"/>
      <c r="K595" s="103"/>
      <c r="L595" s="104"/>
      <c r="M595" s="100"/>
      <c r="N595" s="100"/>
      <c r="O595" s="100"/>
      <c r="P595" s="100"/>
      <c r="Q595" s="105"/>
      <c r="R595" s="105"/>
      <c r="S595" s="169"/>
      <c r="U595" s="188"/>
    </row>
    <row r="596" spans="1:21">
      <c r="A596" s="67" t="s">
        <v>7162</v>
      </c>
      <c r="B596" s="87" t="s">
        <v>7162</v>
      </c>
      <c r="C596" s="88" t="s">
        <v>12143</v>
      </c>
      <c r="D596" s="89"/>
      <c r="E596" s="90"/>
      <c r="F596" s="91" t="s">
        <v>12144</v>
      </c>
      <c r="G596" s="90"/>
      <c r="H596" s="90"/>
      <c r="I596" s="92"/>
      <c r="J596" s="93"/>
      <c r="K596" s="94"/>
      <c r="L596" s="149" t="str">
        <f>HYPERLINK("[#]DatatypeListedValues!B3588:H3588","Enumeration")</f>
        <v>Enumeration</v>
      </c>
      <c r="M596" s="107" t="b">
        <v>0</v>
      </c>
      <c r="N596" s="90"/>
      <c r="O596" s="95"/>
      <c r="P596" s="90"/>
      <c r="Q596" s="96"/>
      <c r="R596" s="97"/>
      <c r="S596" s="169"/>
      <c r="T596" s="300" t="str">
        <f>CONCATENATE([1]Cover!$D$6,"fdd/view?i=",S596)</f>
        <v>https://www.dgiwg.org/FAD/fdd/view?i=</v>
      </c>
      <c r="U596" s="188"/>
    </row>
    <row r="597" spans="1:21" ht="2.1" customHeight="1">
      <c r="A597" s="98"/>
      <c r="B597" s="87"/>
      <c r="C597" s="99"/>
      <c r="D597" s="87"/>
      <c r="E597" s="99"/>
      <c r="F597" s="100"/>
      <c r="G597" s="100"/>
      <c r="H597" s="100"/>
      <c r="I597" s="101"/>
      <c r="J597" s="106"/>
      <c r="K597" s="103"/>
      <c r="L597" s="104"/>
      <c r="M597" s="100"/>
      <c r="N597" s="100"/>
      <c r="O597" s="100"/>
      <c r="P597" s="100"/>
      <c r="Q597" s="105"/>
      <c r="R597" s="105"/>
      <c r="S597" s="169"/>
      <c r="U597" s="188"/>
    </row>
    <row r="598" spans="1:21" ht="38.25">
      <c r="A598" s="67" t="s">
        <v>8865</v>
      </c>
      <c r="B598" s="87" t="s">
        <v>8865</v>
      </c>
      <c r="C598" s="88" t="s">
        <v>12145</v>
      </c>
      <c r="D598" s="89"/>
      <c r="E598" s="90"/>
      <c r="F598" s="91" t="s">
        <v>12146</v>
      </c>
      <c r="G598" s="91" t="s">
        <v>12147</v>
      </c>
      <c r="H598" s="91" t="s">
        <v>11426</v>
      </c>
      <c r="I598" s="92"/>
      <c r="J598" s="93"/>
      <c r="K598" s="94"/>
      <c r="L598" s="91" t="s">
        <v>11425</v>
      </c>
      <c r="M598" s="90"/>
      <c r="N598" s="108" t="s">
        <v>11810</v>
      </c>
      <c r="O598" s="91" t="b">
        <v>1</v>
      </c>
      <c r="P598" s="91" t="s">
        <v>12148</v>
      </c>
      <c r="Q598" s="96"/>
      <c r="R598" s="97"/>
      <c r="S598" s="169"/>
      <c r="T598" s="300" t="str">
        <f>CONCATENATE([1]Cover!$D$6,"fdd/view?i=",S598)</f>
        <v>https://www.dgiwg.org/FAD/fdd/view?i=</v>
      </c>
      <c r="U598" s="188"/>
    </row>
    <row r="599" spans="1:21" ht="2.1" customHeight="1">
      <c r="A599" s="98"/>
      <c r="B599" s="87"/>
      <c r="C599" s="99"/>
      <c r="D599" s="87"/>
      <c r="E599" s="99"/>
      <c r="F599" s="100"/>
      <c r="G599" s="100"/>
      <c r="H599" s="100"/>
      <c r="I599" s="101"/>
      <c r="J599" s="106"/>
      <c r="K599" s="103"/>
      <c r="L599" s="104"/>
      <c r="M599" s="100"/>
      <c r="N599" s="100"/>
      <c r="O599" s="100"/>
      <c r="P599" s="100"/>
      <c r="Q599" s="105"/>
      <c r="R599" s="105"/>
      <c r="S599" s="169"/>
      <c r="U599" s="188"/>
    </row>
    <row r="600" spans="1:21" ht="38.25">
      <c r="A600" s="67" t="s">
        <v>7194</v>
      </c>
      <c r="B600" s="87" t="s">
        <v>7194</v>
      </c>
      <c r="C600" s="88" t="s">
        <v>12149</v>
      </c>
      <c r="D600" s="89"/>
      <c r="E600" s="90"/>
      <c r="F600" s="91" t="s">
        <v>12150</v>
      </c>
      <c r="G600" s="90"/>
      <c r="H600" s="91" t="s">
        <v>11513</v>
      </c>
      <c r="I600" s="92"/>
      <c r="J600" s="93"/>
      <c r="K600" s="94"/>
      <c r="L600" s="104" t="s">
        <v>11429</v>
      </c>
      <c r="M600" s="90"/>
      <c r="N600" s="90"/>
      <c r="O600" s="95"/>
      <c r="P600" s="90"/>
      <c r="Q600" s="96"/>
      <c r="R600" s="97"/>
      <c r="S600" s="169"/>
      <c r="T600" s="300" t="str">
        <f>CONCATENATE([1]Cover!$D$6,"fdd/view?i=",S600)</f>
        <v>https://www.dgiwg.org/FAD/fdd/view?i=</v>
      </c>
      <c r="U600" s="188"/>
    </row>
    <row r="601" spans="1:21" ht="2.1" customHeight="1">
      <c r="A601" s="98"/>
      <c r="B601" s="87"/>
      <c r="C601" s="99"/>
      <c r="D601" s="87"/>
      <c r="E601" s="99"/>
      <c r="F601" s="100"/>
      <c r="G601" s="100"/>
      <c r="H601" s="100"/>
      <c r="I601" s="101"/>
      <c r="J601" s="106"/>
      <c r="K601" s="103"/>
      <c r="L601" s="104"/>
      <c r="M601" s="100"/>
      <c r="N601" s="100"/>
      <c r="O601" s="100"/>
      <c r="P601" s="100"/>
      <c r="Q601" s="105"/>
      <c r="R601" s="105"/>
      <c r="S601" s="169"/>
      <c r="U601" s="188"/>
    </row>
    <row r="602" spans="1:21" ht="38.25">
      <c r="A602" s="67" t="s">
        <v>7199</v>
      </c>
      <c r="B602" s="87" t="s">
        <v>7199</v>
      </c>
      <c r="C602" s="88" t="s">
        <v>12151</v>
      </c>
      <c r="D602" s="89"/>
      <c r="E602" s="90"/>
      <c r="F602" s="91" t="s">
        <v>12152</v>
      </c>
      <c r="G602" s="90"/>
      <c r="H602" s="91" t="s">
        <v>11513</v>
      </c>
      <c r="I602" s="92"/>
      <c r="J602" s="93"/>
      <c r="K602" s="94"/>
      <c r="L602" s="104" t="s">
        <v>11429</v>
      </c>
      <c r="M602" s="90"/>
      <c r="N602" s="90"/>
      <c r="O602" s="95"/>
      <c r="P602" s="90"/>
      <c r="Q602" s="96"/>
      <c r="R602" s="97"/>
      <c r="S602" s="169"/>
      <c r="T602" s="300" t="str">
        <f>CONCATENATE([1]Cover!$D$6,"fdd/view?i=",S602)</f>
        <v>https://www.dgiwg.org/FAD/fdd/view?i=</v>
      </c>
      <c r="U602" s="188"/>
    </row>
    <row r="603" spans="1:21" ht="2.1" customHeight="1">
      <c r="A603" s="98"/>
      <c r="B603" s="87"/>
      <c r="C603" s="99"/>
      <c r="D603" s="87"/>
      <c r="E603" s="99"/>
      <c r="F603" s="100"/>
      <c r="G603" s="100"/>
      <c r="H603" s="100"/>
      <c r="I603" s="101"/>
      <c r="J603" s="106"/>
      <c r="K603" s="103"/>
      <c r="L603" s="104"/>
      <c r="M603" s="100"/>
      <c r="N603" s="100"/>
      <c r="O603" s="100"/>
      <c r="P603" s="100"/>
      <c r="Q603" s="105"/>
      <c r="R603" s="105"/>
      <c r="S603" s="169"/>
      <c r="U603" s="188"/>
    </row>
    <row r="604" spans="1:21">
      <c r="A604" s="67" t="s">
        <v>12153</v>
      </c>
      <c r="B604" s="87" t="s">
        <v>12153</v>
      </c>
      <c r="C604" s="88" t="s">
        <v>12154</v>
      </c>
      <c r="D604" s="89"/>
      <c r="E604" s="90"/>
      <c r="F604" s="91" t="s">
        <v>12155</v>
      </c>
      <c r="G604" s="90"/>
      <c r="H604" s="90"/>
      <c r="I604" s="92"/>
      <c r="J604" s="93"/>
      <c r="K604" s="94"/>
      <c r="L604" s="153" t="s">
        <v>11414</v>
      </c>
      <c r="M604" s="107" t="b">
        <v>0</v>
      </c>
      <c r="N604" s="90"/>
      <c r="O604" s="95"/>
      <c r="P604" s="90"/>
      <c r="Q604" s="96"/>
      <c r="R604" s="97"/>
      <c r="S604" s="169"/>
      <c r="T604" s="300" t="str">
        <f>CONCATENATE([1]Cover!$D$6,"fdd/view?i=",S604)</f>
        <v>https://www.dgiwg.org/FAD/fdd/view?i=</v>
      </c>
      <c r="U604" s="188"/>
    </row>
    <row r="605" spans="1:21" ht="2.1" customHeight="1">
      <c r="A605" s="98"/>
      <c r="B605" s="87"/>
      <c r="C605" s="99"/>
      <c r="D605" s="87"/>
      <c r="E605" s="99"/>
      <c r="F605" s="100"/>
      <c r="G605" s="100"/>
      <c r="H605" s="100"/>
      <c r="I605" s="101"/>
      <c r="J605" s="106"/>
      <c r="K605" s="103"/>
      <c r="L605" s="104"/>
      <c r="M605" s="100"/>
      <c r="N605" s="100"/>
      <c r="O605" s="100"/>
      <c r="P605" s="100"/>
      <c r="Q605" s="105"/>
      <c r="R605" s="105"/>
      <c r="S605" s="169"/>
      <c r="U605" s="188"/>
    </row>
    <row r="606" spans="1:21" ht="38.25">
      <c r="A606" s="67" t="s">
        <v>7206</v>
      </c>
      <c r="B606" s="87" t="s">
        <v>7206</v>
      </c>
      <c r="C606" s="88" t="s">
        <v>12156</v>
      </c>
      <c r="D606" s="89"/>
      <c r="E606" s="90"/>
      <c r="F606" s="91" t="s">
        <v>12157</v>
      </c>
      <c r="G606" s="90"/>
      <c r="H606" s="91" t="s">
        <v>11744</v>
      </c>
      <c r="I606" s="92"/>
      <c r="J606" s="93"/>
      <c r="K606" s="94"/>
      <c r="L606" s="153" t="s">
        <v>11414</v>
      </c>
      <c r="M606" s="91" t="b">
        <v>1</v>
      </c>
      <c r="N606" s="91">
        <v>30</v>
      </c>
      <c r="O606" s="95"/>
      <c r="P606" s="91" t="s">
        <v>11745</v>
      </c>
      <c r="Q606" s="96"/>
      <c r="R606" s="97"/>
      <c r="S606" s="169"/>
      <c r="T606" s="300" t="str">
        <f>CONCATENATE([1]Cover!$D$6,"fdd/view?i=",S606)</f>
        <v>https://www.dgiwg.org/FAD/fdd/view?i=</v>
      </c>
      <c r="U606" s="188"/>
    </row>
    <row r="607" spans="1:21" ht="2.1" customHeight="1">
      <c r="A607" s="98"/>
      <c r="B607" s="87"/>
      <c r="C607" s="99"/>
      <c r="D607" s="87"/>
      <c r="E607" s="99"/>
      <c r="F607" s="100"/>
      <c r="G607" s="100"/>
      <c r="H607" s="100"/>
      <c r="I607" s="101"/>
      <c r="J607" s="106"/>
      <c r="K607" s="103"/>
      <c r="L607" s="104"/>
      <c r="M607" s="100"/>
      <c r="N607" s="100"/>
      <c r="O607" s="100"/>
      <c r="P607" s="100"/>
      <c r="Q607" s="105"/>
      <c r="R607" s="105"/>
      <c r="S607" s="169"/>
      <c r="U607" s="188"/>
    </row>
    <row r="608" spans="1:21" ht="63.75">
      <c r="A608" s="67" t="s">
        <v>7222</v>
      </c>
      <c r="B608" s="87" t="s">
        <v>7222</v>
      </c>
      <c r="C608" s="88" t="s">
        <v>12158</v>
      </c>
      <c r="D608" s="89"/>
      <c r="E608" s="90"/>
      <c r="F608" s="91" t="s">
        <v>12159</v>
      </c>
      <c r="G608" s="90"/>
      <c r="H608" s="91" t="s">
        <v>11426</v>
      </c>
      <c r="I608" s="92"/>
      <c r="J608" s="93"/>
      <c r="K608" s="94"/>
      <c r="L608" s="91" t="s">
        <v>11425</v>
      </c>
      <c r="M608" s="90"/>
      <c r="N608" s="91">
        <v>1</v>
      </c>
      <c r="O608" s="108" t="b">
        <v>0</v>
      </c>
      <c r="P608" s="91" t="s">
        <v>12160</v>
      </c>
      <c r="Q608" s="96"/>
      <c r="R608" s="97"/>
      <c r="S608" s="169"/>
      <c r="T608" s="300" t="str">
        <f>CONCATENATE([1]Cover!$D$6,"fdd/view?i=",S608)</f>
        <v>https://www.dgiwg.org/FAD/fdd/view?i=</v>
      </c>
      <c r="U608" s="188"/>
    </row>
    <row r="609" spans="1:21" ht="2.1" customHeight="1">
      <c r="A609" s="98"/>
      <c r="B609" s="87"/>
      <c r="C609" s="99"/>
      <c r="D609" s="87"/>
      <c r="E609" s="99"/>
      <c r="F609" s="100"/>
      <c r="G609" s="100"/>
      <c r="H609" s="100"/>
      <c r="I609" s="101"/>
      <c r="J609" s="106"/>
      <c r="K609" s="103"/>
      <c r="L609" s="104"/>
      <c r="M609" s="100"/>
      <c r="N609" s="100"/>
      <c r="O609" s="100"/>
      <c r="P609" s="100"/>
      <c r="Q609" s="105"/>
      <c r="R609" s="105"/>
      <c r="S609" s="169"/>
      <c r="U609" s="188"/>
    </row>
    <row r="610" spans="1:21" ht="38.25">
      <c r="A610" s="67" t="s">
        <v>7228</v>
      </c>
      <c r="B610" s="87" t="s">
        <v>7228</v>
      </c>
      <c r="C610" s="88" t="s">
        <v>12161</v>
      </c>
      <c r="D610" s="89"/>
      <c r="E610" s="90"/>
      <c r="F610" s="91" t="s">
        <v>12162</v>
      </c>
      <c r="G610" s="90"/>
      <c r="H610" s="91" t="s">
        <v>11426</v>
      </c>
      <c r="I610" s="92"/>
      <c r="J610" s="93"/>
      <c r="K610" s="94"/>
      <c r="L610" s="91" t="s">
        <v>11425</v>
      </c>
      <c r="M610" s="90"/>
      <c r="N610" s="91">
        <v>5</v>
      </c>
      <c r="O610" s="108" t="b">
        <v>0</v>
      </c>
      <c r="P610" s="91" t="s">
        <v>12163</v>
      </c>
      <c r="Q610" s="96"/>
      <c r="R610" s="97"/>
      <c r="S610" s="169"/>
      <c r="T610" s="300" t="str">
        <f>CONCATENATE([1]Cover!$D$6,"fdd/view?i=",S610)</f>
        <v>https://www.dgiwg.org/FAD/fdd/view?i=</v>
      </c>
      <c r="U610" s="188"/>
    </row>
    <row r="611" spans="1:21" ht="2.1" customHeight="1">
      <c r="A611" s="98"/>
      <c r="B611" s="87"/>
      <c r="C611" s="99"/>
      <c r="D611" s="87"/>
      <c r="E611" s="99"/>
      <c r="F611" s="100"/>
      <c r="G611" s="100"/>
      <c r="H611" s="100"/>
      <c r="I611" s="101"/>
      <c r="J611" s="106"/>
      <c r="K611" s="103"/>
      <c r="L611" s="104"/>
      <c r="M611" s="100"/>
      <c r="N611" s="100"/>
      <c r="O611" s="100"/>
      <c r="P611" s="100"/>
      <c r="Q611" s="105"/>
      <c r="R611" s="105"/>
      <c r="S611" s="169"/>
      <c r="U611" s="188"/>
    </row>
    <row r="612" spans="1:21" ht="25.5">
      <c r="A612" s="67" t="s">
        <v>7233</v>
      </c>
      <c r="B612" s="87" t="s">
        <v>7233</v>
      </c>
      <c r="C612" s="88" t="s">
        <v>12164</v>
      </c>
      <c r="D612" s="89"/>
      <c r="E612" s="90"/>
      <c r="F612" s="91" t="s">
        <v>12165</v>
      </c>
      <c r="G612" s="90"/>
      <c r="H612" s="90"/>
      <c r="I612" s="92"/>
      <c r="J612" s="93"/>
      <c r="K612" s="94"/>
      <c r="L612" s="149" t="str">
        <f>HYPERLINK("[#]DatatypeListedValues!B3592:H3592","Enumeration")</f>
        <v>Enumeration</v>
      </c>
      <c r="M612" s="107" t="b">
        <v>0</v>
      </c>
      <c r="N612" s="90"/>
      <c r="O612" s="95"/>
      <c r="P612" s="90"/>
      <c r="Q612" s="96"/>
      <c r="R612" s="97"/>
      <c r="S612" s="169"/>
      <c r="T612" s="300" t="str">
        <f>CONCATENATE([1]Cover!$D$6,"fdd/view?i=",S612)</f>
        <v>https://www.dgiwg.org/FAD/fdd/view?i=</v>
      </c>
      <c r="U612" s="188"/>
    </row>
    <row r="613" spans="1:21" ht="2.1" customHeight="1">
      <c r="A613" s="98"/>
      <c r="B613" s="87"/>
      <c r="C613" s="99"/>
      <c r="D613" s="87"/>
      <c r="E613" s="99"/>
      <c r="F613" s="100"/>
      <c r="G613" s="100"/>
      <c r="H613" s="100"/>
      <c r="I613" s="101"/>
      <c r="J613" s="106"/>
      <c r="K613" s="103"/>
      <c r="L613" s="104"/>
      <c r="M613" s="100"/>
      <c r="N613" s="100"/>
      <c r="O613" s="100"/>
      <c r="P613" s="100"/>
      <c r="Q613" s="105"/>
      <c r="R613" s="105"/>
      <c r="S613" s="169"/>
      <c r="U613" s="188"/>
    </row>
    <row r="614" spans="1:21" ht="63.75">
      <c r="A614" s="67" t="s">
        <v>7239</v>
      </c>
      <c r="B614" s="87" t="s">
        <v>7239</v>
      </c>
      <c r="C614" s="88" t="s">
        <v>12166</v>
      </c>
      <c r="D614" s="89"/>
      <c r="E614" s="90"/>
      <c r="F614" s="91" t="s">
        <v>12167</v>
      </c>
      <c r="G614" s="90"/>
      <c r="H614" s="91" t="s">
        <v>11426</v>
      </c>
      <c r="I614" s="92"/>
      <c r="J614" s="93"/>
      <c r="K614" s="94"/>
      <c r="L614" s="91" t="s">
        <v>11425</v>
      </c>
      <c r="M614" s="90"/>
      <c r="N614" s="91">
        <v>4</v>
      </c>
      <c r="O614" s="108" t="b">
        <v>0</v>
      </c>
      <c r="P614" s="91" t="s">
        <v>12168</v>
      </c>
      <c r="Q614" s="96"/>
      <c r="R614" s="97"/>
      <c r="S614" s="169"/>
      <c r="T614" s="300" t="str">
        <f>CONCATENATE([1]Cover!$D$6,"fdd/view?i=",S614)</f>
        <v>https://www.dgiwg.org/FAD/fdd/view?i=</v>
      </c>
      <c r="U614" s="188"/>
    </row>
    <row r="615" spans="1:21" ht="2.1" customHeight="1">
      <c r="A615" s="98"/>
      <c r="B615" s="87"/>
      <c r="C615" s="99"/>
      <c r="D615" s="87"/>
      <c r="E615" s="99"/>
      <c r="F615" s="100"/>
      <c r="G615" s="100"/>
      <c r="H615" s="100"/>
      <c r="I615" s="101"/>
      <c r="J615" s="106"/>
      <c r="K615" s="103"/>
      <c r="L615" s="104"/>
      <c r="M615" s="100"/>
      <c r="N615" s="100"/>
      <c r="O615" s="100"/>
      <c r="P615" s="100"/>
      <c r="Q615" s="105"/>
      <c r="R615" s="105"/>
      <c r="S615" s="169"/>
      <c r="U615" s="188"/>
    </row>
    <row r="616" spans="1:21">
      <c r="A616" s="67" t="s">
        <v>7257</v>
      </c>
      <c r="B616" s="87" t="s">
        <v>7257</v>
      </c>
      <c r="C616" s="88" t="s">
        <v>12169</v>
      </c>
      <c r="D616" s="89"/>
      <c r="E616" s="90"/>
      <c r="F616" s="91" t="s">
        <v>12170</v>
      </c>
      <c r="G616" s="90"/>
      <c r="H616" s="90"/>
      <c r="I616" s="92"/>
      <c r="J616" s="93"/>
      <c r="K616" s="94"/>
      <c r="L616" s="149" t="str">
        <f>HYPERLINK("[#]DatatypeListedValues!B3602:H3602","Enumeration")</f>
        <v>Enumeration</v>
      </c>
      <c r="M616" s="107" t="b">
        <v>0</v>
      </c>
      <c r="N616" s="90"/>
      <c r="O616" s="95"/>
      <c r="P616" s="90"/>
      <c r="Q616" s="96"/>
      <c r="R616" s="97"/>
      <c r="S616" s="169"/>
      <c r="T616" s="300" t="str">
        <f>CONCATENATE([1]Cover!$D$6,"fdd/view?i=",S616)</f>
        <v>https://www.dgiwg.org/FAD/fdd/view?i=</v>
      </c>
      <c r="U616" s="188"/>
    </row>
    <row r="617" spans="1:21" ht="2.1" customHeight="1">
      <c r="A617" s="98"/>
      <c r="B617" s="87"/>
      <c r="C617" s="99"/>
      <c r="D617" s="87"/>
      <c r="E617" s="99"/>
      <c r="F617" s="100"/>
      <c r="G617" s="100"/>
      <c r="H617" s="100"/>
      <c r="I617" s="101"/>
      <c r="J617" s="106"/>
      <c r="K617" s="103"/>
      <c r="L617" s="104"/>
      <c r="M617" s="100"/>
      <c r="N617" s="100"/>
      <c r="O617" s="100"/>
      <c r="P617" s="100"/>
      <c r="Q617" s="105"/>
      <c r="R617" s="105"/>
      <c r="S617" s="169"/>
      <c r="U617" s="188"/>
    </row>
    <row r="618" spans="1:21" ht="25.5">
      <c r="A618" s="67" t="s">
        <v>7216</v>
      </c>
      <c r="B618" s="87" t="s">
        <v>7216</v>
      </c>
      <c r="C618" s="88" t="s">
        <v>12171</v>
      </c>
      <c r="D618" s="89"/>
      <c r="E618" s="90"/>
      <c r="F618" s="91" t="s">
        <v>12172</v>
      </c>
      <c r="G618" s="90"/>
      <c r="H618" s="90"/>
      <c r="I618" s="92"/>
      <c r="J618" s="93"/>
      <c r="K618" s="94"/>
      <c r="L618" s="149" t="str">
        <f>HYPERLINK("[#]DatatypeListedValues!B3612:H3612","Enumeration")</f>
        <v>Enumeration</v>
      </c>
      <c r="M618" s="91" t="b">
        <v>1</v>
      </c>
      <c r="N618" s="90"/>
      <c r="O618" s="95"/>
      <c r="P618" s="90"/>
      <c r="Q618" s="96"/>
      <c r="R618" s="97"/>
      <c r="S618" s="169"/>
      <c r="T618" s="300" t="str">
        <f>CONCATENATE([1]Cover!$D$6,"fdd/view?i=",S618)</f>
        <v>https://www.dgiwg.org/FAD/fdd/view?i=</v>
      </c>
      <c r="U618" s="188"/>
    </row>
    <row r="619" spans="1:21" ht="2.1" customHeight="1">
      <c r="A619" s="98"/>
      <c r="B619" s="87"/>
      <c r="C619" s="99"/>
      <c r="D619" s="87"/>
      <c r="E619" s="99"/>
      <c r="F619" s="100"/>
      <c r="G619" s="100"/>
      <c r="H619" s="100"/>
      <c r="I619" s="101"/>
      <c r="J619" s="106"/>
      <c r="K619" s="103"/>
      <c r="L619" s="104"/>
      <c r="M619" s="100"/>
      <c r="N619" s="100"/>
      <c r="O619" s="100"/>
      <c r="P619" s="100"/>
      <c r="Q619" s="105"/>
      <c r="R619" s="105"/>
      <c r="S619" s="169"/>
      <c r="U619" s="188"/>
    </row>
    <row r="620" spans="1:21" ht="25.5">
      <c r="A620" s="67" t="s">
        <v>7268</v>
      </c>
      <c r="B620" s="87" t="s">
        <v>7268</v>
      </c>
      <c r="C620" s="88" t="s">
        <v>12173</v>
      </c>
      <c r="D620" s="89"/>
      <c r="E620" s="90"/>
      <c r="F620" s="91" t="s">
        <v>12174</v>
      </c>
      <c r="G620" s="90"/>
      <c r="H620" s="90"/>
      <c r="I620" s="92"/>
      <c r="J620" s="93"/>
      <c r="K620" s="94"/>
      <c r="L620" s="149" t="str">
        <f>HYPERLINK("[#]DatatypeListedValues!B3618:H3618","Enumeration")</f>
        <v>Enumeration</v>
      </c>
      <c r="M620" s="107" t="b">
        <v>0</v>
      </c>
      <c r="N620" s="90"/>
      <c r="O620" s="95"/>
      <c r="P620" s="90"/>
      <c r="Q620" s="96"/>
      <c r="R620" s="97"/>
      <c r="S620" s="169"/>
      <c r="T620" s="300" t="str">
        <f>CONCATENATE([1]Cover!$D$6,"fdd/view?i=",S620)</f>
        <v>https://www.dgiwg.org/FAD/fdd/view?i=</v>
      </c>
      <c r="U620" s="188"/>
    </row>
    <row r="621" spans="1:21" ht="2.1" customHeight="1">
      <c r="A621" s="98"/>
      <c r="B621" s="87"/>
      <c r="C621" s="99"/>
      <c r="D621" s="87"/>
      <c r="E621" s="99"/>
      <c r="F621" s="100"/>
      <c r="G621" s="100"/>
      <c r="H621" s="100"/>
      <c r="I621" s="101"/>
      <c r="J621" s="106"/>
      <c r="K621" s="103"/>
      <c r="L621" s="104"/>
      <c r="M621" s="100"/>
      <c r="N621" s="100"/>
      <c r="O621" s="100"/>
      <c r="P621" s="100"/>
      <c r="Q621" s="105"/>
      <c r="R621" s="105"/>
      <c r="S621" s="169"/>
      <c r="U621" s="188"/>
    </row>
    <row r="622" spans="1:21" ht="25.5">
      <c r="A622" s="67" t="s">
        <v>7273</v>
      </c>
      <c r="B622" s="87" t="s">
        <v>7273</v>
      </c>
      <c r="C622" s="88" t="s">
        <v>12175</v>
      </c>
      <c r="D622" s="89"/>
      <c r="E622" s="90"/>
      <c r="F622" s="91" t="s">
        <v>12176</v>
      </c>
      <c r="G622" s="90"/>
      <c r="H622" s="90"/>
      <c r="I622" s="92"/>
      <c r="J622" s="93"/>
      <c r="K622" s="94"/>
      <c r="L622" s="149" t="str">
        <f>HYPERLINK("[#]DatatypeListedValues!B3630:H3630","Enumeration")</f>
        <v>Enumeration</v>
      </c>
      <c r="M622" s="107" t="b">
        <v>0</v>
      </c>
      <c r="N622" s="90"/>
      <c r="O622" s="95"/>
      <c r="P622" s="90"/>
      <c r="Q622" s="96"/>
      <c r="R622" s="97"/>
      <c r="S622" s="169"/>
      <c r="T622" s="300" t="str">
        <f>CONCATENATE([1]Cover!$D$6,"fdd/view?i=",S622)</f>
        <v>https://www.dgiwg.org/FAD/fdd/view?i=</v>
      </c>
      <c r="U622" s="188"/>
    </row>
    <row r="623" spans="1:21" ht="2.1" customHeight="1">
      <c r="A623" s="98"/>
      <c r="B623" s="87"/>
      <c r="C623" s="99"/>
      <c r="D623" s="87"/>
      <c r="E623" s="99"/>
      <c r="F623" s="100"/>
      <c r="G623" s="100"/>
      <c r="H623" s="100"/>
      <c r="I623" s="101"/>
      <c r="J623" s="106"/>
      <c r="K623" s="103"/>
      <c r="L623" s="104"/>
      <c r="M623" s="100"/>
      <c r="N623" s="100"/>
      <c r="O623" s="100"/>
      <c r="P623" s="100"/>
      <c r="Q623" s="105"/>
      <c r="R623" s="105"/>
      <c r="S623" s="169"/>
      <c r="U623" s="188"/>
    </row>
    <row r="624" spans="1:21" ht="38.25">
      <c r="A624" s="67" t="s">
        <v>9674</v>
      </c>
      <c r="B624" s="87" t="s">
        <v>9674</v>
      </c>
      <c r="C624" s="88" t="s">
        <v>12177</v>
      </c>
      <c r="D624" s="89"/>
      <c r="E624" s="90"/>
      <c r="F624" s="91" t="s">
        <v>12178</v>
      </c>
      <c r="G624" s="90"/>
      <c r="H624" s="91" t="s">
        <v>11426</v>
      </c>
      <c r="I624" s="92"/>
      <c r="J624" s="93"/>
      <c r="K624" s="94"/>
      <c r="L624" s="91" t="s">
        <v>11425</v>
      </c>
      <c r="M624" s="90"/>
      <c r="N624" s="108" t="s">
        <v>11810</v>
      </c>
      <c r="O624" s="91" t="b">
        <v>1</v>
      </c>
      <c r="P624" s="91" t="s">
        <v>12179</v>
      </c>
      <c r="Q624" s="96"/>
      <c r="R624" s="97"/>
      <c r="S624" s="169"/>
      <c r="T624" s="300" t="str">
        <f>CONCATENATE([1]Cover!$D$6,"fdd/view?i=",S624)</f>
        <v>https://www.dgiwg.org/FAD/fdd/view?i=</v>
      </c>
      <c r="U624" s="188"/>
    </row>
    <row r="625" spans="1:21" ht="2.1" customHeight="1">
      <c r="A625" s="98"/>
      <c r="B625" s="87"/>
      <c r="C625" s="99"/>
      <c r="D625" s="87"/>
      <c r="E625" s="99"/>
      <c r="F625" s="100"/>
      <c r="G625" s="100"/>
      <c r="H625" s="100"/>
      <c r="I625" s="101"/>
      <c r="J625" s="106"/>
      <c r="K625" s="103"/>
      <c r="L625" s="104"/>
      <c r="M625" s="100"/>
      <c r="N625" s="100"/>
      <c r="O625" s="100"/>
      <c r="P625" s="100"/>
      <c r="Q625" s="105"/>
      <c r="R625" s="105"/>
      <c r="S625" s="169"/>
      <c r="U625" s="188"/>
    </row>
    <row r="626" spans="1:21" ht="25.5">
      <c r="A626" s="67" t="s">
        <v>7278</v>
      </c>
      <c r="B626" s="87" t="s">
        <v>7278</v>
      </c>
      <c r="C626" s="88" t="s">
        <v>12180</v>
      </c>
      <c r="D626" s="89"/>
      <c r="E626" s="90"/>
      <c r="F626" s="91" t="s">
        <v>12181</v>
      </c>
      <c r="G626" s="90"/>
      <c r="H626" s="90"/>
      <c r="I626" s="92"/>
      <c r="J626" s="93"/>
      <c r="K626" s="94"/>
      <c r="L626" s="149" t="str">
        <f>HYPERLINK("[#]DatatypeListedValues!B3647:H3647","Enumeration")</f>
        <v>Enumeration</v>
      </c>
      <c r="M626" s="107" t="b">
        <v>0</v>
      </c>
      <c r="N626" s="90"/>
      <c r="O626" s="95"/>
      <c r="P626" s="90"/>
      <c r="Q626" s="96"/>
      <c r="R626" s="97"/>
      <c r="S626" s="169"/>
      <c r="T626" s="300" t="str">
        <f>CONCATENATE([1]Cover!$D$6,"fdd/view?i=",S626)</f>
        <v>https://www.dgiwg.org/FAD/fdd/view?i=</v>
      </c>
      <c r="U626" s="188"/>
    </row>
    <row r="627" spans="1:21" ht="2.1" customHeight="1">
      <c r="A627" s="98"/>
      <c r="B627" s="87"/>
      <c r="C627" s="99"/>
      <c r="D627" s="87"/>
      <c r="E627" s="99"/>
      <c r="F627" s="100"/>
      <c r="G627" s="100"/>
      <c r="H627" s="100"/>
      <c r="I627" s="101"/>
      <c r="J627" s="106"/>
      <c r="K627" s="103"/>
      <c r="L627" s="104"/>
      <c r="M627" s="100"/>
      <c r="N627" s="100"/>
      <c r="O627" s="100"/>
      <c r="P627" s="100"/>
      <c r="Q627" s="105"/>
      <c r="R627" s="105"/>
      <c r="S627" s="169"/>
      <c r="U627" s="188"/>
    </row>
    <row r="628" spans="1:21" ht="51">
      <c r="A628" s="67" t="s">
        <v>7289</v>
      </c>
      <c r="B628" s="87" t="s">
        <v>7289</v>
      </c>
      <c r="C628" s="88" t="s">
        <v>12182</v>
      </c>
      <c r="D628" s="89"/>
      <c r="E628" s="90"/>
      <c r="F628" s="91" t="s">
        <v>12183</v>
      </c>
      <c r="G628" s="90"/>
      <c r="H628" s="91" t="s">
        <v>11426</v>
      </c>
      <c r="I628" s="92"/>
      <c r="J628" s="93"/>
      <c r="K628" s="94"/>
      <c r="L628" s="91" t="s">
        <v>11425</v>
      </c>
      <c r="M628" s="90"/>
      <c r="N628" s="91">
        <v>38</v>
      </c>
      <c r="O628" s="108" t="b">
        <v>0</v>
      </c>
      <c r="P628" s="91" t="s">
        <v>12184</v>
      </c>
      <c r="Q628" s="96"/>
      <c r="R628" s="97"/>
      <c r="S628" s="169"/>
      <c r="T628" s="300" t="str">
        <f>CONCATENATE([1]Cover!$D$6,"fdd/view?i=",S628)</f>
        <v>https://www.dgiwg.org/FAD/fdd/view?i=</v>
      </c>
      <c r="U628" s="188"/>
    </row>
    <row r="629" spans="1:21" ht="2.1" customHeight="1">
      <c r="A629" s="98"/>
      <c r="B629" s="87"/>
      <c r="C629" s="99"/>
      <c r="D629" s="87"/>
      <c r="E629" s="99"/>
      <c r="F629" s="100"/>
      <c r="G629" s="100"/>
      <c r="H629" s="100"/>
      <c r="I629" s="101"/>
      <c r="J629" s="106"/>
      <c r="K629" s="103"/>
      <c r="L629" s="104"/>
      <c r="M629" s="100"/>
      <c r="N629" s="100"/>
      <c r="O629" s="100"/>
      <c r="P629" s="100"/>
      <c r="Q629" s="105"/>
      <c r="R629" s="105"/>
      <c r="S629" s="169"/>
      <c r="U629" s="188"/>
    </row>
    <row r="630" spans="1:21">
      <c r="A630" s="67" t="s">
        <v>7303</v>
      </c>
      <c r="B630" s="87" t="s">
        <v>7303</v>
      </c>
      <c r="C630" s="88" t="s">
        <v>12185</v>
      </c>
      <c r="D630" s="89"/>
      <c r="E630" s="90"/>
      <c r="F630" s="91" t="s">
        <v>12186</v>
      </c>
      <c r="G630" s="90"/>
      <c r="H630" s="90"/>
      <c r="I630" s="92"/>
      <c r="J630" s="93"/>
      <c r="K630" s="94"/>
      <c r="L630" s="149" t="str">
        <f>HYPERLINK("[#]DatatypeListedValues!B3652:H3652","Enumeration")</f>
        <v>Enumeration</v>
      </c>
      <c r="M630" s="107" t="b">
        <v>0</v>
      </c>
      <c r="N630" s="90"/>
      <c r="O630" s="95"/>
      <c r="P630" s="90"/>
      <c r="Q630" s="96"/>
      <c r="R630" s="97"/>
      <c r="S630" s="169"/>
      <c r="T630" s="300" t="str">
        <f>CONCATENATE([1]Cover!$D$6,"fdd/view?i=",S630)</f>
        <v>https://www.dgiwg.org/FAD/fdd/view?i=</v>
      </c>
      <c r="U630" s="188"/>
    </row>
    <row r="631" spans="1:21" ht="2.1" customHeight="1">
      <c r="A631" s="98"/>
      <c r="B631" s="87"/>
      <c r="C631" s="99"/>
      <c r="D631" s="87"/>
      <c r="E631" s="99"/>
      <c r="F631" s="100"/>
      <c r="G631" s="100"/>
      <c r="H631" s="100"/>
      <c r="I631" s="101"/>
      <c r="J631" s="106"/>
      <c r="K631" s="103"/>
      <c r="L631" s="104"/>
      <c r="M631" s="100"/>
      <c r="N631" s="100"/>
      <c r="O631" s="100"/>
      <c r="P631" s="100"/>
      <c r="Q631" s="105"/>
      <c r="R631" s="105"/>
      <c r="S631" s="169"/>
      <c r="U631" s="188"/>
    </row>
    <row r="632" spans="1:21">
      <c r="A632" s="67" t="s">
        <v>7313</v>
      </c>
      <c r="B632" s="87" t="s">
        <v>7313</v>
      </c>
      <c r="C632" s="88" t="s">
        <v>12187</v>
      </c>
      <c r="D632" s="89"/>
      <c r="E632" s="90"/>
      <c r="F632" s="91" t="s">
        <v>12188</v>
      </c>
      <c r="G632" s="90"/>
      <c r="H632" s="90"/>
      <c r="I632" s="92"/>
      <c r="J632" s="93"/>
      <c r="K632" s="94"/>
      <c r="L632" s="149" t="str">
        <f>HYPERLINK("[#]DatatypeListedValues!B3654:H3654","Enumeration")</f>
        <v>Enumeration</v>
      </c>
      <c r="M632" s="107" t="b">
        <v>0</v>
      </c>
      <c r="N632" s="90"/>
      <c r="O632" s="95"/>
      <c r="P632" s="90"/>
      <c r="Q632" s="96"/>
      <c r="R632" s="97"/>
      <c r="S632" s="169"/>
      <c r="T632" s="300" t="str">
        <f>CONCATENATE([1]Cover!$D$6,"fdd/view?i=",S632)</f>
        <v>https://www.dgiwg.org/FAD/fdd/view?i=</v>
      </c>
      <c r="U632" s="188"/>
    </row>
    <row r="633" spans="1:21" ht="2.1" customHeight="1">
      <c r="A633" s="98"/>
      <c r="B633" s="87"/>
      <c r="C633" s="99"/>
      <c r="D633" s="87"/>
      <c r="E633" s="99"/>
      <c r="F633" s="100"/>
      <c r="G633" s="100"/>
      <c r="H633" s="100"/>
      <c r="I633" s="101"/>
      <c r="J633" s="106"/>
      <c r="K633" s="103"/>
      <c r="L633" s="104"/>
      <c r="M633" s="100"/>
      <c r="N633" s="100"/>
      <c r="O633" s="100"/>
      <c r="P633" s="100"/>
      <c r="Q633" s="105"/>
      <c r="R633" s="105"/>
      <c r="S633" s="169"/>
      <c r="U633" s="188"/>
    </row>
    <row r="634" spans="1:21" ht="178.5">
      <c r="A634" s="67" t="s">
        <v>7329</v>
      </c>
      <c r="B634" s="87" t="s">
        <v>7329</v>
      </c>
      <c r="C634" s="88" t="s">
        <v>12189</v>
      </c>
      <c r="D634" s="89"/>
      <c r="E634" s="90"/>
      <c r="F634" s="91" t="s">
        <v>12190</v>
      </c>
      <c r="G634" s="90"/>
      <c r="H634" s="91" t="s">
        <v>11426</v>
      </c>
      <c r="I634" s="92"/>
      <c r="J634" s="93"/>
      <c r="K634" s="94"/>
      <c r="L634" s="91" t="s">
        <v>11425</v>
      </c>
      <c r="M634" s="90"/>
      <c r="N634" s="91">
        <v>20</v>
      </c>
      <c r="O634" s="108" t="b">
        <v>0</v>
      </c>
      <c r="P634" s="91" t="s">
        <v>11909</v>
      </c>
      <c r="Q634" s="96"/>
      <c r="R634" s="97"/>
      <c r="S634" s="169"/>
      <c r="T634" s="300" t="str">
        <f>CONCATENATE([1]Cover!$D$6,"fdd/view?i=",S634)</f>
        <v>https://www.dgiwg.org/FAD/fdd/view?i=</v>
      </c>
      <c r="U634" s="188"/>
    </row>
    <row r="635" spans="1:21" ht="2.1" customHeight="1">
      <c r="A635" s="98"/>
      <c r="B635" s="87"/>
      <c r="C635" s="99"/>
      <c r="D635" s="87"/>
      <c r="E635" s="99"/>
      <c r="F635" s="100"/>
      <c r="G635" s="100"/>
      <c r="H635" s="100"/>
      <c r="I635" s="101"/>
      <c r="J635" s="106"/>
      <c r="K635" s="103"/>
      <c r="L635" s="104"/>
      <c r="M635" s="100"/>
      <c r="N635" s="100"/>
      <c r="O635" s="100"/>
      <c r="P635" s="100"/>
      <c r="Q635" s="105"/>
      <c r="R635" s="105"/>
      <c r="S635" s="169"/>
      <c r="U635" s="188"/>
    </row>
    <row r="636" spans="1:21" ht="25.5">
      <c r="A636" s="67" t="s">
        <v>7351</v>
      </c>
      <c r="B636" s="87" t="s">
        <v>7351</v>
      </c>
      <c r="C636" s="88" t="s">
        <v>12191</v>
      </c>
      <c r="D636" s="89"/>
      <c r="E636" s="90"/>
      <c r="F636" s="91" t="s">
        <v>12192</v>
      </c>
      <c r="G636" s="90"/>
      <c r="H636" s="90"/>
      <c r="I636" s="92"/>
      <c r="J636" s="93"/>
      <c r="K636" s="94"/>
      <c r="L636" s="149" t="str">
        <f>HYPERLINK("[#]DatatypeListedValues!B3658:H3658","Enumeration")</f>
        <v>Enumeration</v>
      </c>
      <c r="M636" s="91" t="b">
        <v>1</v>
      </c>
      <c r="N636" s="90"/>
      <c r="O636" s="95"/>
      <c r="P636" s="90"/>
      <c r="Q636" s="96"/>
      <c r="R636" s="97"/>
      <c r="S636" s="169"/>
      <c r="T636" s="300" t="str">
        <f>CONCATENATE([1]Cover!$D$6,"fdd/view?i=",S636)</f>
        <v>https://www.dgiwg.org/FAD/fdd/view?i=</v>
      </c>
      <c r="U636" s="188"/>
    </row>
    <row r="637" spans="1:21" ht="2.1" customHeight="1">
      <c r="A637" s="98"/>
      <c r="B637" s="87"/>
      <c r="C637" s="99"/>
      <c r="D637" s="87"/>
      <c r="E637" s="99"/>
      <c r="F637" s="100"/>
      <c r="G637" s="100"/>
      <c r="H637" s="100"/>
      <c r="I637" s="101"/>
      <c r="J637" s="106"/>
      <c r="K637" s="103"/>
      <c r="L637" s="104"/>
      <c r="M637" s="100"/>
      <c r="N637" s="100"/>
      <c r="O637" s="100"/>
      <c r="P637" s="100"/>
      <c r="Q637" s="105"/>
      <c r="R637" s="105"/>
      <c r="S637" s="169"/>
      <c r="U637" s="188"/>
    </row>
    <row r="638" spans="1:21" ht="25.5">
      <c r="A638" s="67" t="s">
        <v>7356</v>
      </c>
      <c r="B638" s="87" t="s">
        <v>7356</v>
      </c>
      <c r="C638" s="88" t="s">
        <v>12193</v>
      </c>
      <c r="D638" s="89"/>
      <c r="E638" s="90"/>
      <c r="F638" s="91" t="s">
        <v>12194</v>
      </c>
      <c r="G638" s="90"/>
      <c r="H638" s="90"/>
      <c r="I638" s="92"/>
      <c r="J638" s="93"/>
      <c r="K638" s="94"/>
      <c r="L638" s="149" t="str">
        <f>HYPERLINK("[#]DatatypeListedValues!B3665:H3665","Enumeration")</f>
        <v>Enumeration</v>
      </c>
      <c r="M638" s="107" t="b">
        <v>0</v>
      </c>
      <c r="N638" s="90"/>
      <c r="O638" s="95"/>
      <c r="P638" s="90"/>
      <c r="Q638" s="96"/>
      <c r="R638" s="97"/>
      <c r="S638" s="169"/>
      <c r="T638" s="300" t="str">
        <f>CONCATENATE([1]Cover!$D$6,"fdd/view?i=",S638)</f>
        <v>https://www.dgiwg.org/FAD/fdd/view?i=</v>
      </c>
      <c r="U638" s="188"/>
    </row>
    <row r="639" spans="1:21" ht="2.1" customHeight="1">
      <c r="A639" s="98"/>
      <c r="B639" s="87"/>
      <c r="C639" s="99"/>
      <c r="D639" s="87"/>
      <c r="E639" s="99"/>
      <c r="F639" s="100"/>
      <c r="G639" s="100"/>
      <c r="H639" s="100"/>
      <c r="I639" s="101"/>
      <c r="J639" s="106"/>
      <c r="K639" s="103"/>
      <c r="L639" s="104"/>
      <c r="M639" s="100"/>
      <c r="N639" s="100"/>
      <c r="O639" s="100"/>
      <c r="P639" s="100"/>
      <c r="Q639" s="105"/>
      <c r="R639" s="105"/>
      <c r="S639" s="169"/>
      <c r="U639" s="188"/>
    </row>
    <row r="640" spans="1:21" ht="25.5">
      <c r="A640" s="67" t="s">
        <v>7366</v>
      </c>
      <c r="B640" s="87" t="s">
        <v>7366</v>
      </c>
      <c r="C640" s="88" t="s">
        <v>12195</v>
      </c>
      <c r="D640" s="89"/>
      <c r="E640" s="90"/>
      <c r="F640" s="91" t="s">
        <v>12196</v>
      </c>
      <c r="G640" s="90"/>
      <c r="H640" s="90"/>
      <c r="I640" s="92"/>
      <c r="J640" s="93"/>
      <c r="K640" s="94"/>
      <c r="L640" s="149" t="str">
        <f>HYPERLINK("[#]DatatypeListedValues!B3676:H3676","Enumeration")</f>
        <v>Enumeration</v>
      </c>
      <c r="M640" s="107" t="b">
        <v>0</v>
      </c>
      <c r="N640" s="90"/>
      <c r="O640" s="95"/>
      <c r="P640" s="90"/>
      <c r="Q640" s="96"/>
      <c r="R640" s="97"/>
      <c r="S640" s="169"/>
      <c r="T640" s="300" t="str">
        <f>CONCATENATE([1]Cover!$D$6,"fdd/view?i=",S640)</f>
        <v>https://www.dgiwg.org/FAD/fdd/view?i=</v>
      </c>
      <c r="U640" s="188"/>
    </row>
    <row r="641" spans="1:21" ht="2.1" customHeight="1">
      <c r="A641" s="98"/>
      <c r="B641" s="87"/>
      <c r="C641" s="99"/>
      <c r="D641" s="87"/>
      <c r="E641" s="99"/>
      <c r="F641" s="100"/>
      <c r="G641" s="100"/>
      <c r="H641" s="100"/>
      <c r="I641" s="101"/>
      <c r="J641" s="106"/>
      <c r="K641" s="103"/>
      <c r="L641" s="104"/>
      <c r="M641" s="100"/>
      <c r="N641" s="100"/>
      <c r="O641" s="100"/>
      <c r="P641" s="100"/>
      <c r="Q641" s="105"/>
      <c r="R641" s="105"/>
      <c r="S641" s="169"/>
      <c r="U641" s="188"/>
    </row>
    <row r="642" spans="1:21" ht="25.5">
      <c r="A642" s="67" t="s">
        <v>7371</v>
      </c>
      <c r="B642" s="87" t="s">
        <v>7371</v>
      </c>
      <c r="C642" s="88" t="s">
        <v>12197</v>
      </c>
      <c r="D642" s="89"/>
      <c r="E642" s="90"/>
      <c r="F642" s="91" t="s">
        <v>12198</v>
      </c>
      <c r="G642" s="90"/>
      <c r="H642" s="90"/>
      <c r="I642" s="92"/>
      <c r="J642" s="93"/>
      <c r="K642" s="94"/>
      <c r="L642" s="149" t="str">
        <f>HYPERLINK("[#]DatatypeListedValues!B3679:H3679","Enumeration")</f>
        <v>Enumeration</v>
      </c>
      <c r="M642" s="107" t="b">
        <v>0</v>
      </c>
      <c r="N642" s="90"/>
      <c r="O642" s="95"/>
      <c r="P642" s="90"/>
      <c r="Q642" s="96"/>
      <c r="R642" s="97"/>
      <c r="S642" s="169"/>
      <c r="T642" s="300" t="str">
        <f>CONCATENATE([1]Cover!$D$6,"fdd/view?i=",S642)</f>
        <v>https://www.dgiwg.org/FAD/fdd/view?i=</v>
      </c>
      <c r="U642" s="188"/>
    </row>
    <row r="643" spans="1:21" ht="2.1" customHeight="1">
      <c r="A643" s="98"/>
      <c r="B643" s="87"/>
      <c r="C643" s="99"/>
      <c r="D643" s="87"/>
      <c r="E643" s="99"/>
      <c r="F643" s="100"/>
      <c r="G643" s="100"/>
      <c r="H643" s="100"/>
      <c r="I643" s="101"/>
      <c r="J643" s="106"/>
      <c r="K643" s="103"/>
      <c r="L643" s="104"/>
      <c r="M643" s="100"/>
      <c r="N643" s="100"/>
      <c r="O643" s="100"/>
      <c r="P643" s="100"/>
      <c r="Q643" s="105"/>
      <c r="R643" s="105"/>
      <c r="S643" s="169"/>
      <c r="U643" s="188"/>
    </row>
    <row r="644" spans="1:21" ht="25.5">
      <c r="A644" s="67" t="s">
        <v>7419</v>
      </c>
      <c r="B644" s="87" t="s">
        <v>7419</v>
      </c>
      <c r="C644" s="88" t="s">
        <v>12199</v>
      </c>
      <c r="D644" s="89"/>
      <c r="E644" s="90"/>
      <c r="F644" s="91" t="s">
        <v>12200</v>
      </c>
      <c r="G644" s="90"/>
      <c r="H644" s="90"/>
      <c r="I644" s="92"/>
      <c r="J644" s="93"/>
      <c r="K644" s="94"/>
      <c r="L644" s="149" t="str">
        <f>HYPERLINK("[#]DatatypeListedValues!B3775:H3775","Enumeration")</f>
        <v>Enumeration</v>
      </c>
      <c r="M644" s="107" t="b">
        <v>0</v>
      </c>
      <c r="N644" s="90"/>
      <c r="O644" s="95"/>
      <c r="P644" s="90"/>
      <c r="Q644" s="96"/>
      <c r="R644" s="97"/>
      <c r="S644" s="169"/>
      <c r="T644" s="300" t="str">
        <f>CONCATENATE([1]Cover!$D$6,"fdd/view?i=",S644)</f>
        <v>https://www.dgiwg.org/FAD/fdd/view?i=</v>
      </c>
      <c r="U644" s="188"/>
    </row>
    <row r="645" spans="1:21" ht="2.1" customHeight="1">
      <c r="A645" s="98"/>
      <c r="B645" s="87"/>
      <c r="C645" s="99"/>
      <c r="D645" s="87"/>
      <c r="E645" s="99"/>
      <c r="F645" s="100"/>
      <c r="G645" s="100"/>
      <c r="H645" s="100"/>
      <c r="I645" s="101"/>
      <c r="J645" s="106"/>
      <c r="K645" s="103"/>
      <c r="L645" s="104"/>
      <c r="M645" s="100"/>
      <c r="N645" s="100"/>
      <c r="O645" s="100"/>
      <c r="P645" s="100"/>
      <c r="Q645" s="105"/>
      <c r="R645" s="105"/>
      <c r="S645" s="169"/>
      <c r="U645" s="188"/>
    </row>
    <row r="646" spans="1:21" ht="25.5">
      <c r="A646" s="67" t="s">
        <v>7424</v>
      </c>
      <c r="B646" s="87" t="s">
        <v>7424</v>
      </c>
      <c r="C646" s="88" t="s">
        <v>12201</v>
      </c>
      <c r="D646" s="89"/>
      <c r="E646" s="90"/>
      <c r="F646" s="91" t="s">
        <v>12202</v>
      </c>
      <c r="G646" s="90"/>
      <c r="H646" s="90"/>
      <c r="I646" s="92"/>
      <c r="J646" s="93"/>
      <c r="K646" s="94"/>
      <c r="L646" s="149" t="str">
        <f>HYPERLINK("[#]DatatypeListedValues!B3778:H3778","Enumeration")</f>
        <v>Enumeration</v>
      </c>
      <c r="M646" s="107" t="b">
        <v>0</v>
      </c>
      <c r="N646" s="90"/>
      <c r="O646" s="95"/>
      <c r="P646" s="90"/>
      <c r="Q646" s="96"/>
      <c r="R646" s="97"/>
      <c r="S646" s="169"/>
      <c r="T646" s="300" t="str">
        <f>CONCATENATE([1]Cover!$D$6,"fdd/view?i=",S646)</f>
        <v>https://www.dgiwg.org/FAD/fdd/view?i=</v>
      </c>
      <c r="U646" s="188"/>
    </row>
    <row r="647" spans="1:21" ht="2.1" customHeight="1">
      <c r="A647" s="98"/>
      <c r="B647" s="87"/>
      <c r="C647" s="99"/>
      <c r="D647" s="87"/>
      <c r="E647" s="99"/>
      <c r="F647" s="100"/>
      <c r="G647" s="100"/>
      <c r="H647" s="100"/>
      <c r="I647" s="101"/>
      <c r="J647" s="106"/>
      <c r="K647" s="103"/>
      <c r="L647" s="104"/>
      <c r="M647" s="100"/>
      <c r="N647" s="100"/>
      <c r="O647" s="100"/>
      <c r="P647" s="100"/>
      <c r="Q647" s="105"/>
      <c r="R647" s="105"/>
      <c r="S647" s="169"/>
      <c r="U647" s="188"/>
    </row>
    <row r="648" spans="1:21" ht="102">
      <c r="A648" s="67" t="s">
        <v>7433</v>
      </c>
      <c r="B648" s="87" t="s">
        <v>7433</v>
      </c>
      <c r="C648" s="88" t="s">
        <v>12203</v>
      </c>
      <c r="D648" s="89"/>
      <c r="E648" s="90"/>
      <c r="F648" s="91" t="s">
        <v>12204</v>
      </c>
      <c r="G648" s="90"/>
      <c r="H648" s="91" t="s">
        <v>11426</v>
      </c>
      <c r="I648" s="92"/>
      <c r="J648" s="93"/>
      <c r="K648" s="94"/>
      <c r="L648" s="91" t="s">
        <v>11425</v>
      </c>
      <c r="M648" s="90"/>
      <c r="N648" s="91">
        <v>5</v>
      </c>
      <c r="O648" s="108" t="b">
        <v>0</v>
      </c>
      <c r="P648" s="91" t="s">
        <v>12205</v>
      </c>
      <c r="Q648" s="96"/>
      <c r="R648" s="97"/>
      <c r="S648" s="169"/>
      <c r="T648" s="300" t="str">
        <f>CONCATENATE([1]Cover!$D$6,"fdd/view?i=",S648)</f>
        <v>https://www.dgiwg.org/FAD/fdd/view?i=</v>
      </c>
      <c r="U648" s="188"/>
    </row>
    <row r="649" spans="1:21" ht="2.1" customHeight="1">
      <c r="A649" s="98"/>
      <c r="B649" s="87"/>
      <c r="C649" s="99"/>
      <c r="D649" s="87"/>
      <c r="E649" s="99"/>
      <c r="F649" s="100"/>
      <c r="G649" s="100"/>
      <c r="H649" s="100"/>
      <c r="I649" s="101"/>
      <c r="J649" s="106"/>
      <c r="K649" s="103"/>
      <c r="L649" s="104"/>
      <c r="M649" s="100"/>
      <c r="N649" s="100"/>
      <c r="O649" s="100"/>
      <c r="P649" s="100"/>
      <c r="Q649" s="105"/>
      <c r="R649" s="105"/>
      <c r="S649" s="169"/>
      <c r="U649" s="188"/>
    </row>
    <row r="650" spans="1:21" ht="25.5">
      <c r="A650" s="67" t="s">
        <v>7447</v>
      </c>
      <c r="B650" s="87" t="s">
        <v>7447</v>
      </c>
      <c r="C650" s="88" t="s">
        <v>12206</v>
      </c>
      <c r="D650" s="89"/>
      <c r="E650" s="90"/>
      <c r="F650" s="91" t="s">
        <v>12207</v>
      </c>
      <c r="G650" s="90"/>
      <c r="H650" s="90"/>
      <c r="I650" s="92"/>
      <c r="J650" s="93"/>
      <c r="K650" s="94"/>
      <c r="L650" s="149" t="str">
        <f>HYPERLINK("[#]DatatypeListedValues!B3786:H3786","Enumeration")</f>
        <v>Enumeration</v>
      </c>
      <c r="M650" s="107" t="b">
        <v>0</v>
      </c>
      <c r="N650" s="90"/>
      <c r="O650" s="95"/>
      <c r="P650" s="90"/>
      <c r="Q650" s="96"/>
      <c r="R650" s="97"/>
      <c r="S650" s="169"/>
      <c r="T650" s="300" t="str">
        <f>CONCATENATE([1]Cover!$D$6,"fdd/view?i=",S650)</f>
        <v>https://www.dgiwg.org/FAD/fdd/view?i=</v>
      </c>
      <c r="U650" s="188"/>
    </row>
    <row r="651" spans="1:21" ht="2.1" customHeight="1">
      <c r="A651" s="98"/>
      <c r="B651" s="87"/>
      <c r="C651" s="99"/>
      <c r="D651" s="87"/>
      <c r="E651" s="99"/>
      <c r="F651" s="100"/>
      <c r="G651" s="100"/>
      <c r="H651" s="100"/>
      <c r="I651" s="101"/>
      <c r="J651" s="106"/>
      <c r="K651" s="103"/>
      <c r="L651" s="104"/>
      <c r="M651" s="100"/>
      <c r="N651" s="100"/>
      <c r="O651" s="100"/>
      <c r="P651" s="100"/>
      <c r="Q651" s="105"/>
      <c r="R651" s="105"/>
      <c r="S651" s="169"/>
      <c r="U651" s="188"/>
    </row>
    <row r="652" spans="1:21">
      <c r="A652" s="67" t="s">
        <v>7463</v>
      </c>
      <c r="B652" s="87" t="s">
        <v>7463</v>
      </c>
      <c r="C652" s="88" t="s">
        <v>12208</v>
      </c>
      <c r="D652" s="89"/>
      <c r="E652" s="90"/>
      <c r="F652" s="91" t="s">
        <v>12209</v>
      </c>
      <c r="G652" s="90"/>
      <c r="H652" s="90"/>
      <c r="I652" s="92"/>
      <c r="J652" s="93"/>
      <c r="K652" s="94"/>
      <c r="L652" s="149" t="str">
        <f>HYPERLINK("[#]DatatypeListedValues!B3794:H3794","Enumeration")</f>
        <v>Enumeration</v>
      </c>
      <c r="M652" s="91" t="b">
        <v>1</v>
      </c>
      <c r="N652" s="90"/>
      <c r="O652" s="95"/>
      <c r="P652" s="90"/>
      <c r="Q652" s="96"/>
      <c r="R652" s="97"/>
      <c r="S652" s="169"/>
      <c r="T652" s="300" t="str">
        <f>CONCATENATE([1]Cover!$D$6,"fdd/view?i=",S652)</f>
        <v>https://www.dgiwg.org/FAD/fdd/view?i=</v>
      </c>
      <c r="U652" s="188"/>
    </row>
    <row r="653" spans="1:21" ht="2.1" customHeight="1">
      <c r="A653" s="98"/>
      <c r="B653" s="87"/>
      <c r="C653" s="99"/>
      <c r="D653" s="87"/>
      <c r="E653" s="99"/>
      <c r="F653" s="100"/>
      <c r="G653" s="100"/>
      <c r="H653" s="100"/>
      <c r="I653" s="101"/>
      <c r="J653" s="106"/>
      <c r="K653" s="103"/>
      <c r="L653" s="104"/>
      <c r="M653" s="100"/>
      <c r="N653" s="100"/>
      <c r="O653" s="100"/>
      <c r="P653" s="100"/>
      <c r="Q653" s="105"/>
      <c r="R653" s="105"/>
      <c r="S653" s="169"/>
      <c r="U653" s="188"/>
    </row>
    <row r="654" spans="1:21">
      <c r="A654" s="67" t="s">
        <v>7491</v>
      </c>
      <c r="B654" s="87" t="s">
        <v>7491</v>
      </c>
      <c r="C654" s="88" t="s">
        <v>12210</v>
      </c>
      <c r="D654" s="89"/>
      <c r="E654" s="90"/>
      <c r="F654" s="91" t="s">
        <v>12211</v>
      </c>
      <c r="G654" s="90"/>
      <c r="H654" s="90"/>
      <c r="I654" s="92"/>
      <c r="J654" s="93"/>
      <c r="K654" s="94"/>
      <c r="L654" s="149" t="str">
        <f>HYPERLINK("[#]DatatypeListedValues!B3799:H3799","Enumeration")</f>
        <v>Enumeration</v>
      </c>
      <c r="M654" s="107" t="b">
        <v>0</v>
      </c>
      <c r="N654" s="90"/>
      <c r="O654" s="95"/>
      <c r="P654" s="90"/>
      <c r="Q654" s="96"/>
      <c r="R654" s="97"/>
      <c r="S654" s="169"/>
      <c r="T654" s="300" t="str">
        <f>CONCATENATE([1]Cover!$D$6,"fdd/view?i=",S654)</f>
        <v>https://www.dgiwg.org/FAD/fdd/view?i=</v>
      </c>
      <c r="U654" s="188"/>
    </row>
    <row r="655" spans="1:21" ht="2.1" customHeight="1">
      <c r="A655" s="98"/>
      <c r="B655" s="87"/>
      <c r="C655" s="99"/>
      <c r="D655" s="87"/>
      <c r="E655" s="99"/>
      <c r="F655" s="100"/>
      <c r="G655" s="100"/>
      <c r="H655" s="100"/>
      <c r="I655" s="101"/>
      <c r="J655" s="106"/>
      <c r="K655" s="103"/>
      <c r="L655" s="104"/>
      <c r="M655" s="100"/>
      <c r="N655" s="100"/>
      <c r="O655" s="100"/>
      <c r="P655" s="100"/>
      <c r="Q655" s="105"/>
      <c r="R655" s="105"/>
      <c r="S655" s="169"/>
      <c r="U655" s="188"/>
    </row>
    <row r="656" spans="1:21" ht="25.5">
      <c r="A656" s="67" t="s">
        <v>7505</v>
      </c>
      <c r="B656" s="87" t="s">
        <v>7505</v>
      </c>
      <c r="C656" s="88" t="s">
        <v>12212</v>
      </c>
      <c r="D656" s="89"/>
      <c r="E656" s="90"/>
      <c r="F656" s="91" t="s">
        <v>12213</v>
      </c>
      <c r="G656" s="90"/>
      <c r="H656" s="90"/>
      <c r="I656" s="92"/>
      <c r="J656" s="93"/>
      <c r="K656" s="94"/>
      <c r="L656" s="149" t="str">
        <f>HYPERLINK("[#]DatatypeListedValues!B3801:H3801","Enumeration")</f>
        <v>Enumeration</v>
      </c>
      <c r="M656" s="91" t="b">
        <v>1</v>
      </c>
      <c r="N656" s="90"/>
      <c r="O656" s="95"/>
      <c r="P656" s="90"/>
      <c r="Q656" s="96"/>
      <c r="R656" s="97"/>
      <c r="S656" s="169"/>
      <c r="T656" s="300" t="str">
        <f>CONCATENATE([1]Cover!$D$6,"fdd/view?i=",S656)</f>
        <v>https://www.dgiwg.org/FAD/fdd/view?i=</v>
      </c>
      <c r="U656" s="188"/>
    </row>
    <row r="657" spans="1:21" ht="2.1" customHeight="1">
      <c r="A657" s="98"/>
      <c r="B657" s="87"/>
      <c r="C657" s="99"/>
      <c r="D657" s="87"/>
      <c r="E657" s="99"/>
      <c r="F657" s="100"/>
      <c r="G657" s="100"/>
      <c r="H657" s="100"/>
      <c r="I657" s="101"/>
      <c r="J657" s="106"/>
      <c r="K657" s="103"/>
      <c r="L657" s="104"/>
      <c r="M657" s="100"/>
      <c r="N657" s="100"/>
      <c r="O657" s="100"/>
      <c r="P657" s="100"/>
      <c r="Q657" s="105"/>
      <c r="R657" s="105"/>
      <c r="S657" s="169"/>
      <c r="U657" s="188"/>
    </row>
    <row r="658" spans="1:21" ht="51">
      <c r="A658" s="63" t="s">
        <v>4666</v>
      </c>
      <c r="B658" s="329" t="s">
        <v>4666</v>
      </c>
      <c r="C658" s="326" t="s">
        <v>12214</v>
      </c>
      <c r="D658" s="109"/>
      <c r="E658" s="110"/>
      <c r="F658" s="111" t="s">
        <v>12215</v>
      </c>
      <c r="G658" s="111" t="s">
        <v>12216</v>
      </c>
      <c r="H658" s="110"/>
      <c r="I658" s="112"/>
      <c r="J658" s="113"/>
      <c r="K658" s="114"/>
      <c r="L658" s="115" t="s">
        <v>11429</v>
      </c>
      <c r="M658" s="110"/>
      <c r="N658" s="110"/>
      <c r="O658" s="116"/>
      <c r="P658" s="110"/>
      <c r="Q658" s="117"/>
      <c r="R658" s="118"/>
      <c r="S658" s="169"/>
      <c r="T658" s="300" t="str">
        <f>CONCATENATE([1]Cover!$D$6,"fdd/view?i=",S658)</f>
        <v>https://www.dgiwg.org/FAD/fdd/view?i=</v>
      </c>
      <c r="U658" s="188"/>
    </row>
    <row r="659" spans="1:21" ht="51">
      <c r="A659" s="64" t="s">
        <v>33685</v>
      </c>
      <c r="B659" s="330"/>
      <c r="C659" s="327"/>
      <c r="D659" s="132" t="s">
        <v>11678</v>
      </c>
      <c r="E659" s="138" t="s">
        <v>12042</v>
      </c>
      <c r="F659" s="70" t="s">
        <v>12043</v>
      </c>
      <c r="G659" s="70" t="s">
        <v>12044</v>
      </c>
      <c r="H659" s="68"/>
      <c r="I659" s="133" t="s">
        <v>4643</v>
      </c>
      <c r="J659" s="142"/>
      <c r="K659" s="135" t="s">
        <v>4650</v>
      </c>
      <c r="L659" s="150" t="str">
        <f>HYPERLINK("[#]Datatypes!B1097:L1097","Real")</f>
        <v>Real</v>
      </c>
      <c r="M659" s="122"/>
      <c r="N659" s="122"/>
      <c r="O659" s="122"/>
      <c r="P659" s="122"/>
      <c r="Q659" s="123"/>
      <c r="R659" s="124"/>
      <c r="S659" s="169"/>
      <c r="U659" s="188"/>
    </row>
    <row r="660" spans="1:21" ht="38.25">
      <c r="A660" s="64" t="s">
        <v>33686</v>
      </c>
      <c r="B660" s="330"/>
      <c r="C660" s="327"/>
      <c r="D660" s="136" t="s">
        <v>11682</v>
      </c>
      <c r="E660" s="139" t="s">
        <v>11683</v>
      </c>
      <c r="F660" s="8" t="s">
        <v>11684</v>
      </c>
      <c r="G660" s="8" t="s">
        <v>11685</v>
      </c>
      <c r="H660" s="54"/>
      <c r="I660" s="119" t="s">
        <v>4643</v>
      </c>
      <c r="J660" s="125"/>
      <c r="K660" s="121" t="s">
        <v>11686</v>
      </c>
      <c r="L660" s="151" t="str">
        <f>HYPERLINK("[#]Datatypes!B1544:L1544","Void Value Reason Code")</f>
        <v>Void Value Reason Code</v>
      </c>
      <c r="M660" s="122"/>
      <c r="N660" s="122"/>
      <c r="O660" s="122"/>
      <c r="P660" s="122"/>
      <c r="Q660" s="123"/>
      <c r="R660" s="124"/>
      <c r="S660" s="169"/>
      <c r="T660" s="300" t="str">
        <f>CONCATENATE([1]Cover!$D$6,"fdd/view?i=",S660)</f>
        <v>https://www.dgiwg.org/FAD/fdd/view?i=</v>
      </c>
      <c r="U660" s="188"/>
    </row>
    <row r="661" spans="1:21" ht="25.5">
      <c r="A661" s="64" t="s">
        <v>33711</v>
      </c>
      <c r="B661" s="330"/>
      <c r="C661" s="327"/>
      <c r="D661" s="136" t="s">
        <v>7201</v>
      </c>
      <c r="E661" s="139" t="s">
        <v>7203</v>
      </c>
      <c r="F661" s="8" t="s">
        <v>12217</v>
      </c>
      <c r="G661" s="54"/>
      <c r="H661" s="54"/>
      <c r="I661" s="119" t="s">
        <v>4643</v>
      </c>
      <c r="J661" s="125"/>
      <c r="K661" s="121" t="s">
        <v>12153</v>
      </c>
      <c r="L661" s="151" t="str">
        <f>HYPERLINK("[#]Datatypes!B604:L604","Geodetic Datum Code")</f>
        <v>Geodetic Datum Code</v>
      </c>
      <c r="M661" s="122"/>
      <c r="N661" s="122"/>
      <c r="O661" s="122"/>
      <c r="P661" s="122"/>
      <c r="Q661" s="123"/>
      <c r="R661" s="124"/>
      <c r="S661" s="169"/>
      <c r="U661" s="188"/>
    </row>
    <row r="662" spans="1:21" ht="25.5">
      <c r="A662" s="65" t="s">
        <v>33712</v>
      </c>
      <c r="B662" s="331"/>
      <c r="C662" s="328"/>
      <c r="D662" s="137" t="s">
        <v>12218</v>
      </c>
      <c r="E662" s="140" t="s">
        <v>12219</v>
      </c>
      <c r="F662" s="66" t="s">
        <v>12220</v>
      </c>
      <c r="G662" s="69"/>
      <c r="H662" s="69"/>
      <c r="I662" s="126" t="s">
        <v>11438</v>
      </c>
      <c r="J662" s="141"/>
      <c r="K662" s="128" t="s">
        <v>4685</v>
      </c>
      <c r="L662" s="152" t="str">
        <f>HYPERLINK("[#]Datatypes!B4:L4","Absolute Vertical Accuracy Evaluation Method Code")</f>
        <v>Absolute Vertical Accuracy Evaluation Method Code</v>
      </c>
      <c r="M662" s="129"/>
      <c r="N662" s="129"/>
      <c r="O662" s="129"/>
      <c r="P662" s="129"/>
      <c r="Q662" s="130"/>
      <c r="R662" s="131"/>
      <c r="S662" s="169"/>
      <c r="T662" s="300" t="str">
        <f>CONCATENATE([1]Cover!$D$6,"fdd/view?i=",S662)</f>
        <v>https://www.dgiwg.org/FAD/fdd/view?i=</v>
      </c>
      <c r="U662" s="188"/>
    </row>
    <row r="663" spans="1:21" ht="2.1" customHeight="1">
      <c r="A663" s="98"/>
      <c r="B663" s="87"/>
      <c r="C663" s="99"/>
      <c r="D663" s="87"/>
      <c r="E663" s="99"/>
      <c r="F663" s="100"/>
      <c r="G663" s="100"/>
      <c r="H663" s="100"/>
      <c r="I663" s="101"/>
      <c r="J663" s="106"/>
      <c r="K663" s="103"/>
      <c r="L663" s="104"/>
      <c r="M663" s="100"/>
      <c r="N663" s="100"/>
      <c r="O663" s="100"/>
      <c r="P663" s="100"/>
      <c r="Q663" s="105"/>
      <c r="R663" s="105"/>
      <c r="S663" s="169"/>
      <c r="U663" s="188"/>
    </row>
    <row r="664" spans="1:21">
      <c r="A664" s="67" t="s">
        <v>7526</v>
      </c>
      <c r="B664" s="87" t="s">
        <v>7526</v>
      </c>
      <c r="C664" s="88" t="s">
        <v>12221</v>
      </c>
      <c r="D664" s="89"/>
      <c r="E664" s="90"/>
      <c r="F664" s="91" t="s">
        <v>12222</v>
      </c>
      <c r="G664" s="90"/>
      <c r="H664" s="90"/>
      <c r="I664" s="92"/>
      <c r="J664" s="93"/>
      <c r="K664" s="94"/>
      <c r="L664" s="149" t="str">
        <f>HYPERLINK("[#]DatatypeListedValues!B3805:H3805","Enumeration")</f>
        <v>Enumeration</v>
      </c>
      <c r="M664" s="107" t="b">
        <v>0</v>
      </c>
      <c r="N664" s="90"/>
      <c r="O664" s="95"/>
      <c r="P664" s="90"/>
      <c r="Q664" s="96"/>
      <c r="R664" s="97"/>
      <c r="S664" s="169"/>
      <c r="T664" s="300" t="str">
        <f>CONCATENATE([1]Cover!$D$6,"fdd/view?i=",S664)</f>
        <v>https://www.dgiwg.org/FAD/fdd/view?i=</v>
      </c>
      <c r="U664" s="188"/>
    </row>
    <row r="665" spans="1:21" ht="2.1" customHeight="1">
      <c r="A665" s="98"/>
      <c r="B665" s="87"/>
      <c r="C665" s="99"/>
      <c r="D665" s="87"/>
      <c r="E665" s="99"/>
      <c r="F665" s="100"/>
      <c r="G665" s="100"/>
      <c r="H665" s="100"/>
      <c r="I665" s="101"/>
      <c r="J665" s="106"/>
      <c r="K665" s="103"/>
      <c r="L665" s="104"/>
      <c r="M665" s="100"/>
      <c r="N665" s="100"/>
      <c r="O665" s="100"/>
      <c r="P665" s="100"/>
      <c r="Q665" s="105"/>
      <c r="R665" s="105"/>
      <c r="S665" s="169"/>
      <c r="U665" s="188"/>
    </row>
    <row r="666" spans="1:21">
      <c r="A666" s="67" t="s">
        <v>7531</v>
      </c>
      <c r="B666" s="87" t="s">
        <v>7531</v>
      </c>
      <c r="C666" s="88" t="s">
        <v>12223</v>
      </c>
      <c r="D666" s="89"/>
      <c r="E666" s="90"/>
      <c r="F666" s="91" t="s">
        <v>12224</v>
      </c>
      <c r="G666" s="90"/>
      <c r="H666" s="90"/>
      <c r="I666" s="92"/>
      <c r="J666" s="93"/>
      <c r="K666" s="94"/>
      <c r="L666" s="149" t="str">
        <f>HYPERLINK("[#]DatatypeListedValues!B3816:H3816","Enumeration")</f>
        <v>Enumeration</v>
      </c>
      <c r="M666" s="107" t="b">
        <v>0</v>
      </c>
      <c r="N666" s="90"/>
      <c r="O666" s="95"/>
      <c r="P666" s="90"/>
      <c r="Q666" s="96"/>
      <c r="R666" s="97"/>
      <c r="S666" s="169"/>
      <c r="T666" s="300" t="str">
        <f>CONCATENATE([1]Cover!$D$6,"fdd/view?i=",S666)</f>
        <v>https://www.dgiwg.org/FAD/fdd/view?i=</v>
      </c>
      <c r="U666" s="188"/>
    </row>
    <row r="667" spans="1:21" ht="2.1" customHeight="1">
      <c r="A667" s="98"/>
      <c r="B667" s="87"/>
      <c r="C667" s="99"/>
      <c r="D667" s="87"/>
      <c r="E667" s="99"/>
      <c r="F667" s="100"/>
      <c r="G667" s="100"/>
      <c r="H667" s="100"/>
      <c r="I667" s="101"/>
      <c r="J667" s="106"/>
      <c r="K667" s="103"/>
      <c r="L667" s="104"/>
      <c r="M667" s="100"/>
      <c r="N667" s="100"/>
      <c r="O667" s="100"/>
      <c r="P667" s="100"/>
      <c r="Q667" s="105"/>
      <c r="R667" s="105"/>
      <c r="S667" s="169"/>
      <c r="U667" s="188"/>
    </row>
    <row r="668" spans="1:21" ht="38.25">
      <c r="A668" s="67" t="s">
        <v>7536</v>
      </c>
      <c r="B668" s="87" t="s">
        <v>7536</v>
      </c>
      <c r="C668" s="88" t="s">
        <v>12225</v>
      </c>
      <c r="D668" s="89"/>
      <c r="E668" s="90"/>
      <c r="F668" s="91" t="s">
        <v>12226</v>
      </c>
      <c r="G668" s="90"/>
      <c r="H668" s="90"/>
      <c r="I668" s="92"/>
      <c r="J668" s="93"/>
      <c r="K668" s="94"/>
      <c r="L668" s="149" t="str">
        <f>HYPERLINK("[#]DatatypeListedValues!B3822:H3822","Enumeration")</f>
        <v>Enumeration</v>
      </c>
      <c r="M668" s="107" t="b">
        <v>0</v>
      </c>
      <c r="N668" s="90"/>
      <c r="O668" s="95"/>
      <c r="P668" s="90"/>
      <c r="Q668" s="96"/>
      <c r="R668" s="97"/>
      <c r="S668" s="169"/>
      <c r="T668" s="300" t="str">
        <f>CONCATENATE([1]Cover!$D$6,"fdd/view?i=",S668)</f>
        <v>https://www.dgiwg.org/FAD/fdd/view?i=</v>
      </c>
      <c r="U668" s="188"/>
    </row>
    <row r="669" spans="1:21" ht="2.1" customHeight="1">
      <c r="A669" s="98"/>
      <c r="B669" s="87"/>
      <c r="C669" s="99"/>
      <c r="D669" s="87"/>
      <c r="E669" s="99"/>
      <c r="F669" s="100"/>
      <c r="G669" s="100"/>
      <c r="H669" s="100"/>
      <c r="I669" s="101"/>
      <c r="J669" s="106"/>
      <c r="K669" s="103"/>
      <c r="L669" s="104"/>
      <c r="M669" s="100"/>
      <c r="N669" s="100"/>
      <c r="O669" s="100"/>
      <c r="P669" s="100"/>
      <c r="Q669" s="105"/>
      <c r="R669" s="105"/>
      <c r="S669" s="169"/>
      <c r="U669" s="188"/>
    </row>
    <row r="670" spans="1:21" ht="25.5">
      <c r="A670" s="67" t="s">
        <v>7546</v>
      </c>
      <c r="B670" s="87" t="s">
        <v>7546</v>
      </c>
      <c r="C670" s="88" t="s">
        <v>12227</v>
      </c>
      <c r="D670" s="89"/>
      <c r="E670" s="90"/>
      <c r="F670" s="91" t="s">
        <v>12228</v>
      </c>
      <c r="G670" s="90"/>
      <c r="H670" s="90"/>
      <c r="I670" s="92"/>
      <c r="J670" s="93"/>
      <c r="K670" s="94"/>
      <c r="L670" s="149" t="str">
        <f>HYPERLINK("[#]DatatypeListedValues!B3823:H3823","Enumeration")</f>
        <v>Enumeration</v>
      </c>
      <c r="M670" s="107" t="b">
        <v>0</v>
      </c>
      <c r="N670" s="90"/>
      <c r="O670" s="95"/>
      <c r="P670" s="90"/>
      <c r="Q670" s="96"/>
      <c r="R670" s="97"/>
      <c r="S670" s="169"/>
      <c r="T670" s="300" t="str">
        <f>CONCATENATE([1]Cover!$D$6,"fdd/view?i=",S670)</f>
        <v>https://www.dgiwg.org/FAD/fdd/view?i=</v>
      </c>
      <c r="U670" s="188"/>
    </row>
    <row r="671" spans="1:21" ht="2.1" customHeight="1">
      <c r="A671" s="98"/>
      <c r="B671" s="87"/>
      <c r="C671" s="99"/>
      <c r="D671" s="87"/>
      <c r="E671" s="99"/>
      <c r="F671" s="100"/>
      <c r="G671" s="100"/>
      <c r="H671" s="100"/>
      <c r="I671" s="101"/>
      <c r="J671" s="106"/>
      <c r="K671" s="103"/>
      <c r="L671" s="104"/>
      <c r="M671" s="100"/>
      <c r="N671" s="100"/>
      <c r="O671" s="100"/>
      <c r="P671" s="100"/>
      <c r="Q671" s="105"/>
      <c r="R671" s="105"/>
      <c r="S671" s="169"/>
      <c r="U671" s="188"/>
    </row>
    <row r="672" spans="1:21" ht="25.5">
      <c r="A672" s="67" t="s">
        <v>7565</v>
      </c>
      <c r="B672" s="87" t="s">
        <v>7565</v>
      </c>
      <c r="C672" s="88" t="s">
        <v>12229</v>
      </c>
      <c r="D672" s="89"/>
      <c r="E672" s="90"/>
      <c r="F672" s="91" t="s">
        <v>12230</v>
      </c>
      <c r="G672" s="90"/>
      <c r="H672" s="90"/>
      <c r="I672" s="92"/>
      <c r="J672" s="93"/>
      <c r="K672" s="94"/>
      <c r="L672" s="149" t="str">
        <f>HYPERLINK("[#]DatatypeListedValues!B3830:H3830","Enumeration")</f>
        <v>Enumeration</v>
      </c>
      <c r="M672" s="107" t="b">
        <v>0</v>
      </c>
      <c r="N672" s="90"/>
      <c r="O672" s="95"/>
      <c r="P672" s="90"/>
      <c r="Q672" s="96"/>
      <c r="R672" s="97"/>
      <c r="S672" s="169"/>
      <c r="T672" s="300" t="str">
        <f>CONCATENATE([1]Cover!$D$6,"fdd/view?i=",S672)</f>
        <v>https://www.dgiwg.org/FAD/fdd/view?i=</v>
      </c>
      <c r="U672" s="188"/>
    </row>
    <row r="673" spans="1:21" ht="2.1" customHeight="1">
      <c r="A673" s="98"/>
      <c r="B673" s="87"/>
      <c r="C673" s="99"/>
      <c r="D673" s="87"/>
      <c r="E673" s="99"/>
      <c r="F673" s="100"/>
      <c r="G673" s="100"/>
      <c r="H673" s="100"/>
      <c r="I673" s="101"/>
      <c r="J673" s="106"/>
      <c r="K673" s="103"/>
      <c r="L673" s="104"/>
      <c r="M673" s="100"/>
      <c r="N673" s="100"/>
      <c r="O673" s="100"/>
      <c r="P673" s="100"/>
      <c r="Q673" s="105"/>
      <c r="R673" s="105"/>
      <c r="S673" s="169"/>
      <c r="U673" s="188"/>
    </row>
    <row r="674" spans="1:21" ht="25.5">
      <c r="A674" s="67" t="s">
        <v>7576</v>
      </c>
      <c r="B674" s="87" t="s">
        <v>7576</v>
      </c>
      <c r="C674" s="88" t="s">
        <v>12231</v>
      </c>
      <c r="D674" s="89"/>
      <c r="E674" s="90"/>
      <c r="F674" s="91" t="s">
        <v>12232</v>
      </c>
      <c r="G674" s="90"/>
      <c r="H674" s="90"/>
      <c r="I674" s="92"/>
      <c r="J674" s="93"/>
      <c r="K674" s="94"/>
      <c r="L674" s="149" t="str">
        <f>HYPERLINK("[#]DatatypeListedValues!B3837:H3837","Enumeration")</f>
        <v>Enumeration</v>
      </c>
      <c r="M674" s="91" t="b">
        <v>1</v>
      </c>
      <c r="N674" s="90"/>
      <c r="O674" s="95"/>
      <c r="P674" s="90"/>
      <c r="Q674" s="96"/>
      <c r="R674" s="97"/>
      <c r="S674" s="169"/>
      <c r="T674" s="300" t="str">
        <f>CONCATENATE([1]Cover!$D$6,"fdd/view?i=",S674)</f>
        <v>https://www.dgiwg.org/FAD/fdd/view?i=</v>
      </c>
      <c r="U674" s="188"/>
    </row>
    <row r="675" spans="1:21" ht="2.1" customHeight="1">
      <c r="A675" s="98"/>
      <c r="B675" s="87"/>
      <c r="C675" s="99"/>
      <c r="D675" s="87"/>
      <c r="E675" s="99"/>
      <c r="F675" s="100"/>
      <c r="G675" s="100"/>
      <c r="H675" s="100"/>
      <c r="I675" s="101"/>
      <c r="J675" s="106"/>
      <c r="K675" s="103"/>
      <c r="L675" s="104"/>
      <c r="M675" s="100"/>
      <c r="N675" s="100"/>
      <c r="O675" s="100"/>
      <c r="P675" s="100"/>
      <c r="Q675" s="105"/>
      <c r="R675" s="105"/>
      <c r="S675" s="169"/>
      <c r="U675" s="188"/>
    </row>
    <row r="676" spans="1:21" ht="25.5">
      <c r="A676" s="67" t="s">
        <v>7582</v>
      </c>
      <c r="B676" s="87" t="s">
        <v>7582</v>
      </c>
      <c r="C676" s="88" t="s">
        <v>12233</v>
      </c>
      <c r="D676" s="89"/>
      <c r="E676" s="90"/>
      <c r="F676" s="91" t="s">
        <v>12234</v>
      </c>
      <c r="G676" s="90"/>
      <c r="H676" s="90"/>
      <c r="I676" s="92"/>
      <c r="J676" s="93"/>
      <c r="K676" s="94"/>
      <c r="L676" s="149" t="str">
        <f>HYPERLINK("[#]DatatypeListedValues!B3840:H3840","Enumeration")</f>
        <v>Enumeration</v>
      </c>
      <c r="M676" s="107" t="b">
        <v>0</v>
      </c>
      <c r="N676" s="90"/>
      <c r="O676" s="95"/>
      <c r="P676" s="90"/>
      <c r="Q676" s="96"/>
      <c r="R676" s="97"/>
      <c r="S676" s="169"/>
      <c r="T676" s="300" t="str">
        <f>CONCATENATE([1]Cover!$D$6,"fdd/view?i=",S676)</f>
        <v>https://www.dgiwg.org/FAD/fdd/view?i=</v>
      </c>
      <c r="U676" s="188"/>
    </row>
    <row r="677" spans="1:21" ht="2.1" customHeight="1">
      <c r="A677" s="98"/>
      <c r="B677" s="87"/>
      <c r="C677" s="99"/>
      <c r="D677" s="87"/>
      <c r="E677" s="99"/>
      <c r="F677" s="100"/>
      <c r="G677" s="100"/>
      <c r="H677" s="100"/>
      <c r="I677" s="101"/>
      <c r="J677" s="106"/>
      <c r="K677" s="103"/>
      <c r="L677" s="104"/>
      <c r="M677" s="100"/>
      <c r="N677" s="100"/>
      <c r="O677" s="100"/>
      <c r="P677" s="100"/>
      <c r="Q677" s="105"/>
      <c r="R677" s="105"/>
      <c r="S677" s="169"/>
      <c r="U677" s="188"/>
    </row>
    <row r="678" spans="1:21" ht="38.25">
      <c r="A678" s="67" t="s">
        <v>7592</v>
      </c>
      <c r="B678" s="87" t="s">
        <v>7592</v>
      </c>
      <c r="C678" s="88" t="s">
        <v>12235</v>
      </c>
      <c r="D678" s="89"/>
      <c r="E678" s="90"/>
      <c r="F678" s="91" t="s">
        <v>12236</v>
      </c>
      <c r="G678" s="90"/>
      <c r="H678" s="91" t="s">
        <v>11426</v>
      </c>
      <c r="I678" s="92"/>
      <c r="J678" s="93"/>
      <c r="K678" s="94"/>
      <c r="L678" s="91" t="s">
        <v>11425</v>
      </c>
      <c r="M678" s="90"/>
      <c r="N678" s="91">
        <v>5</v>
      </c>
      <c r="O678" s="108" t="b">
        <v>0</v>
      </c>
      <c r="P678" s="91" t="s">
        <v>11980</v>
      </c>
      <c r="Q678" s="96"/>
      <c r="R678" s="97"/>
      <c r="S678" s="169"/>
      <c r="T678" s="300" t="str">
        <f>CONCATENATE([1]Cover!$D$6,"fdd/view?i=",S678)</f>
        <v>https://www.dgiwg.org/FAD/fdd/view?i=</v>
      </c>
      <c r="U678" s="188"/>
    </row>
    <row r="679" spans="1:21" ht="2.1" customHeight="1">
      <c r="A679" s="98"/>
      <c r="B679" s="87"/>
      <c r="C679" s="99"/>
      <c r="D679" s="87"/>
      <c r="E679" s="99"/>
      <c r="F679" s="100"/>
      <c r="G679" s="100"/>
      <c r="H679" s="100"/>
      <c r="I679" s="101"/>
      <c r="J679" s="106"/>
      <c r="K679" s="103"/>
      <c r="L679" s="104"/>
      <c r="M679" s="100"/>
      <c r="N679" s="100"/>
      <c r="O679" s="100"/>
      <c r="P679" s="100"/>
      <c r="Q679" s="105"/>
      <c r="R679" s="105"/>
      <c r="S679" s="169"/>
      <c r="U679" s="188"/>
    </row>
    <row r="680" spans="1:21" ht="38.25">
      <c r="A680" s="67" t="s">
        <v>7603</v>
      </c>
      <c r="B680" s="87" t="s">
        <v>7603</v>
      </c>
      <c r="C680" s="88" t="s">
        <v>12237</v>
      </c>
      <c r="D680" s="89"/>
      <c r="E680" s="90"/>
      <c r="F680" s="91" t="s">
        <v>12238</v>
      </c>
      <c r="G680" s="90"/>
      <c r="H680" s="91" t="s">
        <v>11426</v>
      </c>
      <c r="I680" s="92"/>
      <c r="J680" s="93"/>
      <c r="K680" s="94"/>
      <c r="L680" s="91" t="s">
        <v>11425</v>
      </c>
      <c r="M680" s="90"/>
      <c r="N680" s="91">
        <v>4</v>
      </c>
      <c r="O680" s="108" t="b">
        <v>0</v>
      </c>
      <c r="P680" s="91" t="s">
        <v>12239</v>
      </c>
      <c r="Q680" s="96"/>
      <c r="R680" s="97"/>
      <c r="S680" s="169"/>
      <c r="T680" s="300" t="str">
        <f>CONCATENATE([1]Cover!$D$6,"fdd/view?i=",S680)</f>
        <v>https://www.dgiwg.org/FAD/fdd/view?i=</v>
      </c>
      <c r="U680" s="188"/>
    </row>
    <row r="681" spans="1:21" ht="2.1" customHeight="1">
      <c r="A681" s="98"/>
      <c r="B681" s="87"/>
      <c r="C681" s="99"/>
      <c r="D681" s="87"/>
      <c r="E681" s="99"/>
      <c r="F681" s="100"/>
      <c r="G681" s="100"/>
      <c r="H681" s="100"/>
      <c r="I681" s="101"/>
      <c r="J681" s="106"/>
      <c r="K681" s="103"/>
      <c r="L681" s="104"/>
      <c r="M681" s="100"/>
      <c r="N681" s="100"/>
      <c r="O681" s="100"/>
      <c r="P681" s="100"/>
      <c r="Q681" s="105"/>
      <c r="R681" s="105"/>
      <c r="S681" s="169"/>
      <c r="U681" s="188"/>
    </row>
    <row r="682" spans="1:21" ht="25.5">
      <c r="A682" s="67" t="s">
        <v>7609</v>
      </c>
      <c r="B682" s="87" t="s">
        <v>7609</v>
      </c>
      <c r="C682" s="88" t="s">
        <v>12240</v>
      </c>
      <c r="D682" s="89"/>
      <c r="E682" s="90"/>
      <c r="F682" s="91" t="s">
        <v>12241</v>
      </c>
      <c r="G682" s="90"/>
      <c r="H682" s="90"/>
      <c r="I682" s="92"/>
      <c r="J682" s="93"/>
      <c r="K682" s="94"/>
      <c r="L682" s="149" t="str">
        <f>HYPERLINK("[#]DatatypeListedValues!B3862:H3862","Enumeration")</f>
        <v>Enumeration</v>
      </c>
      <c r="M682" s="107" t="b">
        <v>0</v>
      </c>
      <c r="N682" s="90"/>
      <c r="O682" s="95"/>
      <c r="P682" s="90"/>
      <c r="Q682" s="96"/>
      <c r="R682" s="97"/>
      <c r="S682" s="169"/>
      <c r="T682" s="300" t="str">
        <f>CONCATENATE([1]Cover!$D$6,"fdd/view?i=",S682)</f>
        <v>https://www.dgiwg.org/FAD/fdd/view?i=</v>
      </c>
      <c r="U682" s="188"/>
    </row>
    <row r="683" spans="1:21" ht="2.1" customHeight="1">
      <c r="A683" s="98"/>
      <c r="B683" s="87"/>
      <c r="C683" s="99"/>
      <c r="D683" s="87"/>
      <c r="E683" s="99"/>
      <c r="F683" s="100"/>
      <c r="G683" s="100"/>
      <c r="H683" s="100"/>
      <c r="I683" s="101"/>
      <c r="J683" s="106"/>
      <c r="K683" s="103"/>
      <c r="L683" s="104"/>
      <c r="M683" s="100"/>
      <c r="N683" s="100"/>
      <c r="O683" s="100"/>
      <c r="P683" s="100"/>
      <c r="Q683" s="105"/>
      <c r="R683" s="105"/>
      <c r="S683" s="169"/>
      <c r="U683" s="188"/>
    </row>
    <row r="684" spans="1:21">
      <c r="A684" s="63" t="s">
        <v>11781</v>
      </c>
      <c r="B684" s="329" t="s">
        <v>11781</v>
      </c>
      <c r="C684" s="326" t="s">
        <v>11779</v>
      </c>
      <c r="D684" s="109"/>
      <c r="E684" s="110"/>
      <c r="F684" s="111" t="s">
        <v>12242</v>
      </c>
      <c r="G684" s="110"/>
      <c r="H684" s="110"/>
      <c r="I684" s="112"/>
      <c r="J684" s="113"/>
      <c r="K684" s="114"/>
      <c r="L684" s="115" t="s">
        <v>11429</v>
      </c>
      <c r="M684" s="110"/>
      <c r="N684" s="110"/>
      <c r="O684" s="116"/>
      <c r="P684" s="110"/>
      <c r="Q684" s="117"/>
      <c r="R684" s="118"/>
      <c r="S684" s="169"/>
      <c r="T684" s="300" t="str">
        <f>CONCATENATE([1]Cover!$D$6,"fdd/view?i=",S684)</f>
        <v>https://www.dgiwg.org/FAD/fdd/view?i=</v>
      </c>
      <c r="U684" s="188"/>
    </row>
    <row r="685" spans="1:21">
      <c r="A685" s="64" t="s">
        <v>33713</v>
      </c>
      <c r="B685" s="330"/>
      <c r="C685" s="327"/>
      <c r="D685" s="132" t="s">
        <v>8707</v>
      </c>
      <c r="E685" s="138" t="s">
        <v>12243</v>
      </c>
      <c r="F685" s="70" t="s">
        <v>8709</v>
      </c>
      <c r="G685" s="68"/>
      <c r="H685" s="68"/>
      <c r="I685" s="133" t="s">
        <v>11438</v>
      </c>
      <c r="J685" s="142"/>
      <c r="K685" s="135" t="s">
        <v>6420</v>
      </c>
      <c r="L685" s="150" t="str">
        <f>HYPERLINK("[#]Datatypes!B300:L300","Citation")</f>
        <v>Citation</v>
      </c>
      <c r="M685" s="122"/>
      <c r="N685" s="122"/>
      <c r="O685" s="122"/>
      <c r="P685" s="122"/>
      <c r="Q685" s="123"/>
      <c r="R685" s="124"/>
      <c r="S685" s="169"/>
      <c r="U685" s="188"/>
    </row>
    <row r="686" spans="1:21">
      <c r="A686" s="65" t="s">
        <v>33714</v>
      </c>
      <c r="B686" s="331"/>
      <c r="C686" s="328"/>
      <c r="D686" s="137" t="s">
        <v>5966</v>
      </c>
      <c r="E686" s="140" t="s">
        <v>36</v>
      </c>
      <c r="F686" s="66" t="s">
        <v>12244</v>
      </c>
      <c r="G686" s="66" t="s">
        <v>12245</v>
      </c>
      <c r="H686" s="69"/>
      <c r="I686" s="126" t="s">
        <v>4643</v>
      </c>
      <c r="J686" s="141"/>
      <c r="K686" s="128" t="s">
        <v>6543</v>
      </c>
      <c r="L686" s="152" t="str">
        <f>HYPERLINK("[#]Datatypes!B1396:L1396","Text")</f>
        <v>Text</v>
      </c>
      <c r="M686" s="129"/>
      <c r="N686" s="129"/>
      <c r="O686" s="129"/>
      <c r="P686" s="129"/>
      <c r="Q686" s="130"/>
      <c r="R686" s="131"/>
      <c r="S686" s="169"/>
      <c r="T686" s="300" t="str">
        <f>CONCATENATE([1]Cover!$D$6,"fdd/view?i=",S686)</f>
        <v>https://www.dgiwg.org/FAD/fdd/view?i=</v>
      </c>
      <c r="U686" s="188"/>
    </row>
    <row r="687" spans="1:21" ht="2.1" customHeight="1">
      <c r="A687" s="98"/>
      <c r="B687" s="87"/>
      <c r="C687" s="99"/>
      <c r="D687" s="87"/>
      <c r="E687" s="99"/>
      <c r="F687" s="100"/>
      <c r="G687" s="100"/>
      <c r="H687" s="100"/>
      <c r="I687" s="101"/>
      <c r="J687" s="106"/>
      <c r="K687" s="103"/>
      <c r="L687" s="104"/>
      <c r="M687" s="100"/>
      <c r="N687" s="100"/>
      <c r="O687" s="100"/>
      <c r="P687" s="100"/>
      <c r="Q687" s="105"/>
      <c r="R687" s="105"/>
      <c r="S687" s="169"/>
      <c r="U687" s="188"/>
    </row>
    <row r="688" spans="1:21" ht="38.25">
      <c r="A688" s="67" t="s">
        <v>4989</v>
      </c>
      <c r="B688" s="87" t="s">
        <v>4989</v>
      </c>
      <c r="C688" s="88" t="s">
        <v>12246</v>
      </c>
      <c r="D688" s="89"/>
      <c r="E688" s="90"/>
      <c r="F688" s="91" t="s">
        <v>12247</v>
      </c>
      <c r="G688" s="90"/>
      <c r="H688" s="91" t="s">
        <v>11426</v>
      </c>
      <c r="I688" s="92"/>
      <c r="J688" s="93"/>
      <c r="K688" s="94"/>
      <c r="L688" s="91" t="s">
        <v>11425</v>
      </c>
      <c r="M688" s="90"/>
      <c r="N688" s="108" t="s">
        <v>11810</v>
      </c>
      <c r="O688" s="91" t="b">
        <v>1</v>
      </c>
      <c r="P688" s="91" t="s">
        <v>12248</v>
      </c>
      <c r="Q688" s="96"/>
      <c r="R688" s="97"/>
      <c r="S688" s="169"/>
      <c r="T688" s="300" t="str">
        <f>CONCATENATE([1]Cover!$D$6,"fdd/view?i=",S688)</f>
        <v>https://www.dgiwg.org/FAD/fdd/view?i=</v>
      </c>
      <c r="U688" s="188"/>
    </row>
    <row r="689" spans="1:21" ht="2.1" customHeight="1">
      <c r="A689" s="98"/>
      <c r="B689" s="87"/>
      <c r="C689" s="99"/>
      <c r="D689" s="87"/>
      <c r="E689" s="99"/>
      <c r="F689" s="100"/>
      <c r="G689" s="100"/>
      <c r="H689" s="100"/>
      <c r="I689" s="101"/>
      <c r="J689" s="106"/>
      <c r="K689" s="103"/>
      <c r="L689" s="104"/>
      <c r="M689" s="100"/>
      <c r="N689" s="100"/>
      <c r="O689" s="100"/>
      <c r="P689" s="100"/>
      <c r="Q689" s="105"/>
      <c r="R689" s="105"/>
      <c r="S689" s="169"/>
      <c r="U689" s="188"/>
    </row>
    <row r="690" spans="1:21" ht="25.5">
      <c r="A690" s="67" t="s">
        <v>7619</v>
      </c>
      <c r="B690" s="87" t="s">
        <v>7619</v>
      </c>
      <c r="C690" s="88" t="s">
        <v>12249</v>
      </c>
      <c r="D690" s="89"/>
      <c r="E690" s="90"/>
      <c r="F690" s="91" t="s">
        <v>12250</v>
      </c>
      <c r="G690" s="90"/>
      <c r="H690" s="90"/>
      <c r="I690" s="92"/>
      <c r="J690" s="93"/>
      <c r="K690" s="94"/>
      <c r="L690" s="149" t="str">
        <f>HYPERLINK("[#]DatatypeListedValues!B3887:H3887","Enumeration")</f>
        <v>Enumeration</v>
      </c>
      <c r="M690" s="107" t="b">
        <v>0</v>
      </c>
      <c r="N690" s="90"/>
      <c r="O690" s="95"/>
      <c r="P690" s="90"/>
      <c r="Q690" s="96"/>
      <c r="R690" s="97"/>
      <c r="S690" s="169"/>
      <c r="T690" s="300" t="str">
        <f>CONCATENATE([1]Cover!$D$6,"fdd/view?i=",S690)</f>
        <v>https://www.dgiwg.org/FAD/fdd/view?i=</v>
      </c>
      <c r="U690" s="188"/>
    </row>
    <row r="691" spans="1:21" ht="2.1" customHeight="1">
      <c r="A691" s="98"/>
      <c r="B691" s="87"/>
      <c r="C691" s="99"/>
      <c r="D691" s="87"/>
      <c r="E691" s="99"/>
      <c r="F691" s="100"/>
      <c r="G691" s="100"/>
      <c r="H691" s="100"/>
      <c r="I691" s="101"/>
      <c r="J691" s="106"/>
      <c r="K691" s="103"/>
      <c r="L691" s="104"/>
      <c r="M691" s="100"/>
      <c r="N691" s="100"/>
      <c r="O691" s="100"/>
      <c r="P691" s="100"/>
      <c r="Q691" s="105"/>
      <c r="R691" s="105"/>
      <c r="S691" s="169"/>
      <c r="U691" s="188"/>
    </row>
    <row r="692" spans="1:21" ht="38.25">
      <c r="A692" s="67" t="s">
        <v>5493</v>
      </c>
      <c r="B692" s="87" t="s">
        <v>5493</v>
      </c>
      <c r="C692" s="88" t="s">
        <v>5493</v>
      </c>
      <c r="D692" s="89"/>
      <c r="E692" s="90"/>
      <c r="F692" s="91" t="s">
        <v>12251</v>
      </c>
      <c r="G692" s="91" t="s">
        <v>12252</v>
      </c>
      <c r="H692" s="91" t="s">
        <v>12253</v>
      </c>
      <c r="I692" s="92"/>
      <c r="J692" s="93"/>
      <c r="K692" s="94"/>
      <c r="L692" s="91" t="s">
        <v>5493</v>
      </c>
      <c r="M692" s="90"/>
      <c r="N692" s="90"/>
      <c r="O692" s="95"/>
      <c r="P692" s="90"/>
      <c r="Q692" s="96"/>
      <c r="R692" s="97"/>
      <c r="S692" s="169"/>
      <c r="T692" s="300" t="str">
        <f>CONCATENATE([1]Cover!$D$6,"fdd/view?i=",S692)</f>
        <v>https://www.dgiwg.org/FAD/fdd/view?i=</v>
      </c>
      <c r="U692" s="188"/>
    </row>
    <row r="693" spans="1:21" ht="2.1" customHeight="1">
      <c r="A693" s="98"/>
      <c r="B693" s="87"/>
      <c r="C693" s="99"/>
      <c r="D693" s="87"/>
      <c r="E693" s="99"/>
      <c r="F693" s="100"/>
      <c r="G693" s="100"/>
      <c r="H693" s="100"/>
      <c r="I693" s="101"/>
      <c r="J693" s="106"/>
      <c r="K693" s="103"/>
      <c r="L693" s="104"/>
      <c r="M693" s="100"/>
      <c r="N693" s="100"/>
      <c r="O693" s="100"/>
      <c r="P693" s="100"/>
      <c r="Q693" s="105"/>
      <c r="R693" s="105"/>
      <c r="S693" s="169"/>
      <c r="U693" s="188"/>
    </row>
    <row r="694" spans="1:21" ht="38.25">
      <c r="A694" s="63" t="s">
        <v>12254</v>
      </c>
      <c r="B694" s="329" t="s">
        <v>12254</v>
      </c>
      <c r="C694" s="326" t="s">
        <v>12255</v>
      </c>
      <c r="D694" s="109"/>
      <c r="E694" s="110"/>
      <c r="F694" s="111" t="s">
        <v>12256</v>
      </c>
      <c r="G694" s="111" t="s">
        <v>12252</v>
      </c>
      <c r="H694" s="111" t="s">
        <v>11513</v>
      </c>
      <c r="I694" s="112"/>
      <c r="J694" s="113"/>
      <c r="K694" s="114"/>
      <c r="L694" s="115" t="s">
        <v>11429</v>
      </c>
      <c r="M694" s="110"/>
      <c r="N694" s="110"/>
      <c r="O694" s="116"/>
      <c r="P694" s="110"/>
      <c r="Q694" s="117"/>
      <c r="R694" s="118"/>
      <c r="S694" s="169"/>
      <c r="T694" s="300" t="str">
        <f>CONCATENATE([1]Cover!$D$6,"fdd/view?i=",S694)</f>
        <v>https://www.dgiwg.org/FAD/fdd/view?i=</v>
      </c>
      <c r="U694" s="188"/>
    </row>
    <row r="695" spans="1:21">
      <c r="A695" s="64" t="s">
        <v>33685</v>
      </c>
      <c r="B695" s="330"/>
      <c r="C695" s="327"/>
      <c r="D695" s="132" t="s">
        <v>11678</v>
      </c>
      <c r="E695" s="138" t="s">
        <v>12257</v>
      </c>
      <c r="F695" s="70" t="s">
        <v>12258</v>
      </c>
      <c r="G695" s="70" t="s">
        <v>12259</v>
      </c>
      <c r="H695" s="68"/>
      <c r="I695" s="133" t="s">
        <v>4643</v>
      </c>
      <c r="J695" s="142"/>
      <c r="K695" s="135" t="s">
        <v>5493</v>
      </c>
      <c r="L695" s="150" t="str">
        <f>HYPERLINK("[#]Datatypes!B692:L692","Index")</f>
        <v>Index</v>
      </c>
      <c r="M695" s="122"/>
      <c r="N695" s="122"/>
      <c r="O695" s="122"/>
      <c r="P695" s="122"/>
      <c r="Q695" s="123"/>
      <c r="R695" s="124"/>
      <c r="S695" s="169"/>
      <c r="U695" s="188"/>
    </row>
    <row r="696" spans="1:21" ht="38.25">
      <c r="A696" s="65" t="s">
        <v>33686</v>
      </c>
      <c r="B696" s="331"/>
      <c r="C696" s="328"/>
      <c r="D696" s="137" t="s">
        <v>11682</v>
      </c>
      <c r="E696" s="140" t="s">
        <v>11683</v>
      </c>
      <c r="F696" s="66" t="s">
        <v>11684</v>
      </c>
      <c r="G696" s="66" t="s">
        <v>11685</v>
      </c>
      <c r="H696" s="69"/>
      <c r="I696" s="126" t="s">
        <v>4643</v>
      </c>
      <c r="J696" s="141"/>
      <c r="K696" s="128" t="s">
        <v>11686</v>
      </c>
      <c r="L696" s="152" t="str">
        <f>HYPERLINK("[#]Datatypes!B1544:L1544","Void Value Reason Code")</f>
        <v>Void Value Reason Code</v>
      </c>
      <c r="M696" s="129"/>
      <c r="N696" s="129"/>
      <c r="O696" s="129"/>
      <c r="P696" s="129"/>
      <c r="Q696" s="130"/>
      <c r="R696" s="131"/>
      <c r="S696" s="169"/>
      <c r="T696" s="300" t="str">
        <f>CONCATENATE([1]Cover!$D$6,"fdd/view?i=",S696)</f>
        <v>https://www.dgiwg.org/FAD/fdd/view?i=</v>
      </c>
      <c r="U696" s="188"/>
    </row>
    <row r="697" spans="1:21" ht="2.1" customHeight="1">
      <c r="A697" s="98"/>
      <c r="B697" s="87"/>
      <c r="C697" s="99"/>
      <c r="D697" s="87"/>
      <c r="E697" s="99"/>
      <c r="F697" s="100"/>
      <c r="G697" s="100"/>
      <c r="H697" s="100"/>
      <c r="I697" s="101"/>
      <c r="J697" s="106"/>
      <c r="K697" s="103"/>
      <c r="L697" s="104"/>
      <c r="M697" s="100"/>
      <c r="N697" s="100"/>
      <c r="O697" s="100"/>
      <c r="P697" s="100"/>
      <c r="Q697" s="105"/>
      <c r="R697" s="105"/>
      <c r="S697" s="169"/>
      <c r="U697" s="188"/>
    </row>
    <row r="698" spans="1:21" ht="25.5">
      <c r="A698" s="67" t="s">
        <v>7637</v>
      </c>
      <c r="B698" s="87" t="s">
        <v>7637</v>
      </c>
      <c r="C698" s="88" t="s">
        <v>12260</v>
      </c>
      <c r="D698" s="89"/>
      <c r="E698" s="90"/>
      <c r="F698" s="91" t="s">
        <v>12261</v>
      </c>
      <c r="G698" s="90"/>
      <c r="H698" s="90"/>
      <c r="I698" s="92"/>
      <c r="J698" s="93"/>
      <c r="K698" s="94"/>
      <c r="L698" s="149" t="str">
        <f>HYPERLINK("[#]DatatypeListedValues!B3891:H3891","Enumeration")</f>
        <v>Enumeration</v>
      </c>
      <c r="M698" s="107" t="b">
        <v>0</v>
      </c>
      <c r="N698" s="90"/>
      <c r="O698" s="95"/>
      <c r="P698" s="90"/>
      <c r="Q698" s="96"/>
      <c r="R698" s="97"/>
      <c r="S698" s="169"/>
      <c r="T698" s="300" t="str">
        <f>CONCATENATE([1]Cover!$D$6,"fdd/view?i=",S698)</f>
        <v>https://www.dgiwg.org/FAD/fdd/view?i=</v>
      </c>
      <c r="U698" s="188"/>
    </row>
    <row r="699" spans="1:21" ht="2.1" customHeight="1">
      <c r="A699" s="98"/>
      <c r="B699" s="87"/>
      <c r="C699" s="99"/>
      <c r="D699" s="87"/>
      <c r="E699" s="99"/>
      <c r="F699" s="100"/>
      <c r="G699" s="100"/>
      <c r="H699" s="100"/>
      <c r="I699" s="101"/>
      <c r="J699" s="106"/>
      <c r="K699" s="103"/>
      <c r="L699" s="104"/>
      <c r="M699" s="100"/>
      <c r="N699" s="100"/>
      <c r="O699" s="100"/>
      <c r="P699" s="100"/>
      <c r="Q699" s="105"/>
      <c r="R699" s="105"/>
      <c r="S699" s="169"/>
      <c r="U699" s="188"/>
    </row>
    <row r="700" spans="1:21">
      <c r="A700" s="67" t="s">
        <v>7650</v>
      </c>
      <c r="B700" s="87" t="s">
        <v>7650</v>
      </c>
      <c r="C700" s="88" t="s">
        <v>12262</v>
      </c>
      <c r="D700" s="89"/>
      <c r="E700" s="90"/>
      <c r="F700" s="91" t="s">
        <v>12263</v>
      </c>
      <c r="G700" s="90"/>
      <c r="H700" s="90"/>
      <c r="I700" s="92"/>
      <c r="J700" s="93"/>
      <c r="K700" s="94"/>
      <c r="L700" s="149" t="str">
        <f>HYPERLINK("[#]DatatypeListedValues!B3895:H3895","Enumeration")</f>
        <v>Enumeration</v>
      </c>
      <c r="M700" s="107" t="b">
        <v>0</v>
      </c>
      <c r="N700" s="90"/>
      <c r="O700" s="95"/>
      <c r="P700" s="90"/>
      <c r="Q700" s="96"/>
      <c r="R700" s="97"/>
      <c r="S700" s="169"/>
      <c r="T700" s="300" t="str">
        <f>CONCATENATE([1]Cover!$D$6,"fdd/view?i=",S700)</f>
        <v>https://www.dgiwg.org/FAD/fdd/view?i=</v>
      </c>
      <c r="U700" s="188"/>
    </row>
    <row r="701" spans="1:21" ht="2.1" customHeight="1">
      <c r="A701" s="98"/>
      <c r="B701" s="87"/>
      <c r="C701" s="99"/>
      <c r="D701" s="87"/>
      <c r="E701" s="99"/>
      <c r="F701" s="100"/>
      <c r="G701" s="100"/>
      <c r="H701" s="100"/>
      <c r="I701" s="101"/>
      <c r="J701" s="106"/>
      <c r="K701" s="103"/>
      <c r="L701" s="104"/>
      <c r="M701" s="100"/>
      <c r="N701" s="100"/>
      <c r="O701" s="100"/>
      <c r="P701" s="100"/>
      <c r="Q701" s="105"/>
      <c r="R701" s="105"/>
      <c r="S701" s="169"/>
      <c r="U701" s="188"/>
    </row>
    <row r="702" spans="1:21">
      <c r="A702" s="67" t="s">
        <v>7659</v>
      </c>
      <c r="B702" s="87" t="s">
        <v>7659</v>
      </c>
      <c r="C702" s="88" t="s">
        <v>12264</v>
      </c>
      <c r="D702" s="89"/>
      <c r="E702" s="90"/>
      <c r="F702" s="91" t="s">
        <v>12265</v>
      </c>
      <c r="G702" s="90"/>
      <c r="H702" s="90"/>
      <c r="I702" s="92"/>
      <c r="J702" s="93"/>
      <c r="K702" s="94"/>
      <c r="L702" s="149" t="str">
        <f>HYPERLINK("[#]DatatypeListedValues!B3902:H3902","Enumeration")</f>
        <v>Enumeration</v>
      </c>
      <c r="M702" s="107" t="b">
        <v>0</v>
      </c>
      <c r="N702" s="90"/>
      <c r="O702" s="95"/>
      <c r="P702" s="90"/>
      <c r="Q702" s="96"/>
      <c r="R702" s="97"/>
      <c r="S702" s="169"/>
      <c r="T702" s="300" t="str">
        <f>CONCATENATE([1]Cover!$D$6,"fdd/view?i=",S702)</f>
        <v>https://www.dgiwg.org/FAD/fdd/view?i=</v>
      </c>
      <c r="U702" s="188"/>
    </row>
    <row r="703" spans="1:21" ht="2.1" customHeight="1">
      <c r="A703" s="98"/>
      <c r="B703" s="87"/>
      <c r="C703" s="99"/>
      <c r="D703" s="87"/>
      <c r="E703" s="99"/>
      <c r="F703" s="100"/>
      <c r="G703" s="100"/>
      <c r="H703" s="100"/>
      <c r="I703" s="101"/>
      <c r="J703" s="106"/>
      <c r="K703" s="103"/>
      <c r="L703" s="104"/>
      <c r="M703" s="100"/>
      <c r="N703" s="100"/>
      <c r="O703" s="100"/>
      <c r="P703" s="100"/>
      <c r="Q703" s="105"/>
      <c r="R703" s="105"/>
      <c r="S703" s="169"/>
      <c r="U703" s="188"/>
    </row>
    <row r="704" spans="1:21" ht="25.5">
      <c r="A704" s="67" t="s">
        <v>7665</v>
      </c>
      <c r="B704" s="87" t="s">
        <v>7665</v>
      </c>
      <c r="C704" s="88" t="s">
        <v>12266</v>
      </c>
      <c r="D704" s="89"/>
      <c r="E704" s="90"/>
      <c r="F704" s="91" t="s">
        <v>12267</v>
      </c>
      <c r="G704" s="90"/>
      <c r="H704" s="90"/>
      <c r="I704" s="92"/>
      <c r="J704" s="93"/>
      <c r="K704" s="94"/>
      <c r="L704" s="149" t="str">
        <f>HYPERLINK("[#]DatatypeListedValues!B3903:H3903","Enumeration")</f>
        <v>Enumeration</v>
      </c>
      <c r="M704" s="107" t="b">
        <v>0</v>
      </c>
      <c r="N704" s="90"/>
      <c r="O704" s="95"/>
      <c r="P704" s="90"/>
      <c r="Q704" s="96"/>
      <c r="R704" s="97"/>
      <c r="S704" s="169"/>
      <c r="T704" s="300" t="str">
        <f>CONCATENATE([1]Cover!$D$6,"fdd/view?i=",S704)</f>
        <v>https://www.dgiwg.org/FAD/fdd/view?i=</v>
      </c>
      <c r="U704" s="188"/>
    </row>
    <row r="705" spans="1:21" ht="2.1" customHeight="1">
      <c r="A705" s="98"/>
      <c r="B705" s="87"/>
      <c r="C705" s="99"/>
      <c r="D705" s="87"/>
      <c r="E705" s="99"/>
      <c r="F705" s="100"/>
      <c r="G705" s="100"/>
      <c r="H705" s="100"/>
      <c r="I705" s="101"/>
      <c r="J705" s="106"/>
      <c r="K705" s="103"/>
      <c r="L705" s="104"/>
      <c r="M705" s="100"/>
      <c r="N705" s="100"/>
      <c r="O705" s="100"/>
      <c r="P705" s="100"/>
      <c r="Q705" s="105"/>
      <c r="R705" s="105"/>
      <c r="S705" s="169"/>
      <c r="U705" s="188"/>
    </row>
    <row r="706" spans="1:21" ht="38.25">
      <c r="A706" s="67" t="s">
        <v>7671</v>
      </c>
      <c r="B706" s="87" t="s">
        <v>7671</v>
      </c>
      <c r="C706" s="88" t="s">
        <v>12268</v>
      </c>
      <c r="D706" s="89"/>
      <c r="E706" s="90"/>
      <c r="F706" s="91" t="s">
        <v>12269</v>
      </c>
      <c r="G706" s="90"/>
      <c r="H706" s="90"/>
      <c r="I706" s="92"/>
      <c r="J706" s="93"/>
      <c r="K706" s="94"/>
      <c r="L706" s="149" t="str">
        <f>HYPERLINK("[#]DatatypeListedValues!B3907:H3907","Enumeration")</f>
        <v>Enumeration</v>
      </c>
      <c r="M706" s="91" t="b">
        <v>1</v>
      </c>
      <c r="N706" s="90"/>
      <c r="O706" s="95"/>
      <c r="P706" s="90"/>
      <c r="Q706" s="96"/>
      <c r="R706" s="97"/>
      <c r="S706" s="169"/>
      <c r="T706" s="300" t="str">
        <f>CONCATENATE([1]Cover!$D$6,"fdd/view?i=",S706)</f>
        <v>https://www.dgiwg.org/FAD/fdd/view?i=</v>
      </c>
      <c r="U706" s="188"/>
    </row>
    <row r="707" spans="1:21" ht="2.1" customHeight="1">
      <c r="A707" s="98"/>
      <c r="B707" s="87"/>
      <c r="C707" s="99"/>
      <c r="D707" s="87"/>
      <c r="E707" s="99"/>
      <c r="F707" s="100"/>
      <c r="G707" s="100"/>
      <c r="H707" s="100"/>
      <c r="I707" s="101"/>
      <c r="J707" s="106"/>
      <c r="K707" s="103"/>
      <c r="L707" s="104"/>
      <c r="M707" s="100"/>
      <c r="N707" s="100"/>
      <c r="O707" s="100"/>
      <c r="P707" s="100"/>
      <c r="Q707" s="105"/>
      <c r="R707" s="105"/>
      <c r="S707" s="169"/>
      <c r="U707" s="188"/>
    </row>
    <row r="708" spans="1:21" ht="25.5">
      <c r="A708" s="67" t="s">
        <v>7693</v>
      </c>
      <c r="B708" s="87" t="s">
        <v>7693</v>
      </c>
      <c r="C708" s="88" t="s">
        <v>12270</v>
      </c>
      <c r="D708" s="89"/>
      <c r="E708" s="90"/>
      <c r="F708" s="91" t="s">
        <v>12271</v>
      </c>
      <c r="G708" s="90"/>
      <c r="H708" s="90"/>
      <c r="I708" s="92"/>
      <c r="J708" s="93"/>
      <c r="K708" s="94"/>
      <c r="L708" s="149" t="str">
        <f>HYPERLINK("[#]DatatypeListedValues!B3914:H3914","Enumeration")</f>
        <v>Enumeration</v>
      </c>
      <c r="M708" s="107" t="b">
        <v>0</v>
      </c>
      <c r="N708" s="90"/>
      <c r="O708" s="95"/>
      <c r="P708" s="90"/>
      <c r="Q708" s="96"/>
      <c r="R708" s="97"/>
      <c r="S708" s="169"/>
      <c r="T708" s="300" t="str">
        <f>CONCATENATE([1]Cover!$D$6,"fdd/view?i=",S708)</f>
        <v>https://www.dgiwg.org/FAD/fdd/view?i=</v>
      </c>
      <c r="U708" s="188"/>
    </row>
    <row r="709" spans="1:21" ht="2.1" customHeight="1">
      <c r="A709" s="98"/>
      <c r="B709" s="87"/>
      <c r="C709" s="99"/>
      <c r="D709" s="87"/>
      <c r="E709" s="99"/>
      <c r="F709" s="100"/>
      <c r="G709" s="100"/>
      <c r="H709" s="100"/>
      <c r="I709" s="101"/>
      <c r="J709" s="106"/>
      <c r="K709" s="103"/>
      <c r="L709" s="104"/>
      <c r="M709" s="100"/>
      <c r="N709" s="100"/>
      <c r="O709" s="100"/>
      <c r="P709" s="100"/>
      <c r="Q709" s="105"/>
      <c r="R709" s="105"/>
      <c r="S709" s="169"/>
      <c r="U709" s="188"/>
    </row>
    <row r="710" spans="1:21" ht="38.25">
      <c r="A710" s="67" t="s">
        <v>5793</v>
      </c>
      <c r="B710" s="87" t="s">
        <v>5793</v>
      </c>
      <c r="C710" s="88" t="s">
        <v>5793</v>
      </c>
      <c r="D710" s="89"/>
      <c r="E710" s="90"/>
      <c r="F710" s="91" t="s">
        <v>12272</v>
      </c>
      <c r="G710" s="91" t="s">
        <v>12273</v>
      </c>
      <c r="H710" s="91" t="s">
        <v>12274</v>
      </c>
      <c r="I710" s="92"/>
      <c r="J710" s="93"/>
      <c r="K710" s="94"/>
      <c r="L710" s="91" t="s">
        <v>5793</v>
      </c>
      <c r="M710" s="90"/>
      <c r="N710" s="90"/>
      <c r="O710" s="95"/>
      <c r="P710" s="90"/>
      <c r="Q710" s="96"/>
      <c r="R710" s="97"/>
      <c r="S710" s="169"/>
      <c r="T710" s="300" t="str">
        <f>CONCATENATE([1]Cover!$D$6,"fdd/view?i=",S710)</f>
        <v>https://www.dgiwg.org/FAD/fdd/view?i=</v>
      </c>
      <c r="U710" s="188"/>
    </row>
    <row r="711" spans="1:21" ht="2.1" customHeight="1">
      <c r="A711" s="98"/>
      <c r="B711" s="87"/>
      <c r="C711" s="99"/>
      <c r="D711" s="87"/>
      <c r="E711" s="99"/>
      <c r="F711" s="100"/>
      <c r="G711" s="100"/>
      <c r="H711" s="100"/>
      <c r="I711" s="101"/>
      <c r="J711" s="106"/>
      <c r="K711" s="103"/>
      <c r="L711" s="104"/>
      <c r="M711" s="100"/>
      <c r="N711" s="100"/>
      <c r="O711" s="100"/>
      <c r="P711" s="100"/>
      <c r="Q711" s="105"/>
      <c r="R711" s="105"/>
      <c r="S711" s="169"/>
      <c r="U711" s="188"/>
    </row>
    <row r="712" spans="1:21" ht="38.25">
      <c r="A712" s="63" t="s">
        <v>12275</v>
      </c>
      <c r="B712" s="329" t="s">
        <v>12275</v>
      </c>
      <c r="C712" s="326" t="s">
        <v>12276</v>
      </c>
      <c r="D712" s="109"/>
      <c r="E712" s="110"/>
      <c r="F712" s="111" t="s">
        <v>12277</v>
      </c>
      <c r="G712" s="111" t="s">
        <v>12278</v>
      </c>
      <c r="H712" s="111" t="s">
        <v>11513</v>
      </c>
      <c r="I712" s="112"/>
      <c r="J712" s="113"/>
      <c r="K712" s="114"/>
      <c r="L712" s="115" t="s">
        <v>11429</v>
      </c>
      <c r="M712" s="110"/>
      <c r="N712" s="110"/>
      <c r="O712" s="116"/>
      <c r="P712" s="110"/>
      <c r="Q712" s="117"/>
      <c r="R712" s="118"/>
      <c r="S712" s="169"/>
      <c r="T712" s="300" t="str">
        <f>CONCATENATE([1]Cover!$D$6,"fdd/view?i=",S712)</f>
        <v>https://www.dgiwg.org/FAD/fdd/view?i=</v>
      </c>
      <c r="U712" s="188"/>
    </row>
    <row r="713" spans="1:21" ht="51">
      <c r="A713" s="64" t="s">
        <v>33705</v>
      </c>
      <c r="B713" s="330"/>
      <c r="C713" s="327"/>
      <c r="D713" s="132" t="s">
        <v>11877</v>
      </c>
      <c r="E713" s="138" t="s">
        <v>12279</v>
      </c>
      <c r="F713" s="70" t="s">
        <v>12280</v>
      </c>
      <c r="G713" s="70" t="s">
        <v>12281</v>
      </c>
      <c r="H713" s="68"/>
      <c r="I713" s="133" t="s">
        <v>4643</v>
      </c>
      <c r="J713" s="142"/>
      <c r="K713" s="135" t="s">
        <v>5793</v>
      </c>
      <c r="L713" s="150" t="str">
        <f>HYPERLINK("[#]Datatypes!B710:L710","Integer")</f>
        <v>Integer</v>
      </c>
      <c r="M713" s="122"/>
      <c r="N713" s="122"/>
      <c r="O713" s="122"/>
      <c r="P713" s="122"/>
      <c r="Q713" s="123"/>
      <c r="R713" s="124"/>
      <c r="S713" s="169"/>
      <c r="U713" s="188"/>
    </row>
    <row r="714" spans="1:21" ht="51">
      <c r="A714" s="64" t="s">
        <v>33706</v>
      </c>
      <c r="B714" s="330"/>
      <c r="C714" s="327"/>
      <c r="D714" s="136" t="s">
        <v>11881</v>
      </c>
      <c r="E714" s="139" t="s">
        <v>12282</v>
      </c>
      <c r="F714" s="8" t="s">
        <v>12283</v>
      </c>
      <c r="G714" s="8" t="s">
        <v>12284</v>
      </c>
      <c r="H714" s="54"/>
      <c r="I714" s="119" t="s">
        <v>4643</v>
      </c>
      <c r="J714" s="125"/>
      <c r="K714" s="121" t="s">
        <v>5793</v>
      </c>
      <c r="L714" s="151" t="str">
        <f>HYPERLINK("[#]Datatypes!B710:L710","Integer")</f>
        <v>Integer</v>
      </c>
      <c r="M714" s="122"/>
      <c r="N714" s="122"/>
      <c r="O714" s="122"/>
      <c r="P714" s="122"/>
      <c r="Q714" s="123"/>
      <c r="R714" s="124"/>
      <c r="S714" s="169"/>
      <c r="T714" s="300" t="str">
        <f>CONCATENATE([1]Cover!$D$6,"fdd/view?i=",S714)</f>
        <v>https://www.dgiwg.org/FAD/fdd/view?i=</v>
      </c>
      <c r="U714" s="188"/>
    </row>
    <row r="715" spans="1:21" ht="25.5">
      <c r="A715" s="64" t="s">
        <v>33707</v>
      </c>
      <c r="B715" s="330"/>
      <c r="C715" s="327"/>
      <c r="D715" s="136" t="s">
        <v>11885</v>
      </c>
      <c r="E715" s="139" t="s">
        <v>11886</v>
      </c>
      <c r="F715" s="8" t="s">
        <v>12285</v>
      </c>
      <c r="G715" s="8" t="s">
        <v>12286</v>
      </c>
      <c r="H715" s="54"/>
      <c r="I715" s="119" t="s">
        <v>4643</v>
      </c>
      <c r="J715" s="125"/>
      <c r="K715" s="121" t="s">
        <v>11889</v>
      </c>
      <c r="L715" s="151" t="str">
        <f>HYPERLINK("[#]Datatypes!B730:L730","Interval Closure Type Code")</f>
        <v>Interval Closure Type Code</v>
      </c>
      <c r="M715" s="122"/>
      <c r="N715" s="122"/>
      <c r="O715" s="122"/>
      <c r="P715" s="122"/>
      <c r="Q715" s="123"/>
      <c r="R715" s="124"/>
      <c r="S715" s="169"/>
      <c r="U715" s="188"/>
    </row>
    <row r="716" spans="1:21" ht="38.25">
      <c r="A716" s="65" t="s">
        <v>33686</v>
      </c>
      <c r="B716" s="331"/>
      <c r="C716" s="328"/>
      <c r="D716" s="137" t="s">
        <v>11682</v>
      </c>
      <c r="E716" s="140" t="s">
        <v>11683</v>
      </c>
      <c r="F716" s="66" t="s">
        <v>11684</v>
      </c>
      <c r="G716" s="66" t="s">
        <v>11685</v>
      </c>
      <c r="H716" s="69"/>
      <c r="I716" s="126" t="s">
        <v>4643</v>
      </c>
      <c r="J716" s="141"/>
      <c r="K716" s="128" t="s">
        <v>11686</v>
      </c>
      <c r="L716" s="152" t="str">
        <f>HYPERLINK("[#]Datatypes!B1544:L1544","Void Value Reason Code")</f>
        <v>Void Value Reason Code</v>
      </c>
      <c r="M716" s="129"/>
      <c r="N716" s="129"/>
      <c r="O716" s="129"/>
      <c r="P716" s="129"/>
      <c r="Q716" s="130"/>
      <c r="R716" s="131"/>
      <c r="S716" s="169"/>
      <c r="T716" s="300" t="str">
        <f>CONCATENATE([1]Cover!$D$6,"fdd/view?i=",S716)</f>
        <v>https://www.dgiwg.org/FAD/fdd/view?i=</v>
      </c>
      <c r="U716" s="188"/>
    </row>
    <row r="717" spans="1:21" ht="2.1" customHeight="1">
      <c r="A717" s="98"/>
      <c r="B717" s="87"/>
      <c r="C717" s="99"/>
      <c r="D717" s="87"/>
      <c r="E717" s="99"/>
      <c r="F717" s="100"/>
      <c r="G717" s="100"/>
      <c r="H717" s="100"/>
      <c r="I717" s="101"/>
      <c r="J717" s="106"/>
      <c r="K717" s="103"/>
      <c r="L717" s="104"/>
      <c r="M717" s="100"/>
      <c r="N717" s="100"/>
      <c r="O717" s="100"/>
      <c r="P717" s="100"/>
      <c r="Q717" s="105"/>
      <c r="R717" s="105"/>
      <c r="S717" s="169"/>
      <c r="U717" s="188"/>
    </row>
    <row r="718" spans="1:21" ht="38.25">
      <c r="A718" s="63" t="s">
        <v>12287</v>
      </c>
      <c r="B718" s="329" t="s">
        <v>12287</v>
      </c>
      <c r="C718" s="326" t="s">
        <v>12288</v>
      </c>
      <c r="D718" s="109"/>
      <c r="E718" s="110"/>
      <c r="F718" s="111" t="s">
        <v>12289</v>
      </c>
      <c r="G718" s="111" t="s">
        <v>12273</v>
      </c>
      <c r="H718" s="111" t="s">
        <v>11513</v>
      </c>
      <c r="I718" s="112"/>
      <c r="J718" s="113"/>
      <c r="K718" s="114"/>
      <c r="L718" s="115" t="s">
        <v>11429</v>
      </c>
      <c r="M718" s="110"/>
      <c r="N718" s="110"/>
      <c r="O718" s="116"/>
      <c r="P718" s="110"/>
      <c r="Q718" s="117"/>
      <c r="R718" s="118"/>
      <c r="S718" s="169"/>
      <c r="T718" s="300" t="str">
        <f>CONCATENATE([1]Cover!$D$6,"fdd/view?i=",S718)</f>
        <v>https://www.dgiwg.org/FAD/fdd/view?i=</v>
      </c>
      <c r="U718" s="188"/>
    </row>
    <row r="719" spans="1:21" ht="25.5">
      <c r="A719" s="64" t="s">
        <v>33685</v>
      </c>
      <c r="B719" s="330"/>
      <c r="C719" s="327"/>
      <c r="D719" s="132" t="s">
        <v>11678</v>
      </c>
      <c r="E719" s="138" t="s">
        <v>12290</v>
      </c>
      <c r="F719" s="70" t="s">
        <v>12291</v>
      </c>
      <c r="G719" s="70" t="s">
        <v>12292</v>
      </c>
      <c r="H719" s="68"/>
      <c r="I719" s="133" t="s">
        <v>4643</v>
      </c>
      <c r="J719" s="142"/>
      <c r="K719" s="135" t="s">
        <v>5793</v>
      </c>
      <c r="L719" s="150" t="str">
        <f>HYPERLINK("[#]Datatypes!B710:L710","Integer")</f>
        <v>Integer</v>
      </c>
      <c r="M719" s="122"/>
      <c r="N719" s="122"/>
      <c r="O719" s="122"/>
      <c r="P719" s="122"/>
      <c r="Q719" s="123"/>
      <c r="R719" s="124"/>
      <c r="S719" s="169"/>
      <c r="U719" s="188"/>
    </row>
    <row r="720" spans="1:21" ht="38.25">
      <c r="A720" s="65" t="s">
        <v>33686</v>
      </c>
      <c r="B720" s="331"/>
      <c r="C720" s="328"/>
      <c r="D720" s="137" t="s">
        <v>11682</v>
      </c>
      <c r="E720" s="140" t="s">
        <v>11683</v>
      </c>
      <c r="F720" s="66" t="s">
        <v>11684</v>
      </c>
      <c r="G720" s="66" t="s">
        <v>11685</v>
      </c>
      <c r="H720" s="69"/>
      <c r="I720" s="126" t="s">
        <v>4643</v>
      </c>
      <c r="J720" s="141"/>
      <c r="K720" s="128" t="s">
        <v>11686</v>
      </c>
      <c r="L720" s="152" t="str">
        <f>HYPERLINK("[#]Datatypes!B1544:L1544","Void Value Reason Code")</f>
        <v>Void Value Reason Code</v>
      </c>
      <c r="M720" s="129"/>
      <c r="N720" s="129"/>
      <c r="O720" s="129"/>
      <c r="P720" s="129"/>
      <c r="Q720" s="130"/>
      <c r="R720" s="131"/>
      <c r="S720" s="169"/>
      <c r="T720" s="300" t="str">
        <f>CONCATENATE([1]Cover!$D$6,"fdd/view?i=",S720)</f>
        <v>https://www.dgiwg.org/FAD/fdd/view?i=</v>
      </c>
      <c r="U720" s="188"/>
    </row>
    <row r="721" spans="1:21" ht="2.1" customHeight="1">
      <c r="A721" s="98"/>
      <c r="B721" s="87"/>
      <c r="C721" s="99"/>
      <c r="D721" s="87"/>
      <c r="E721" s="99"/>
      <c r="F721" s="100"/>
      <c r="G721" s="100"/>
      <c r="H721" s="100"/>
      <c r="I721" s="101"/>
      <c r="J721" s="106"/>
      <c r="K721" s="103"/>
      <c r="L721" s="104"/>
      <c r="M721" s="100"/>
      <c r="N721" s="100"/>
      <c r="O721" s="100"/>
      <c r="P721" s="100"/>
      <c r="Q721" s="105"/>
      <c r="R721" s="105"/>
      <c r="S721" s="169"/>
      <c r="U721" s="188"/>
    </row>
    <row r="722" spans="1:21" ht="38.25">
      <c r="A722" s="67" t="s">
        <v>7984</v>
      </c>
      <c r="B722" s="87" t="s">
        <v>7984</v>
      </c>
      <c r="C722" s="88" t="s">
        <v>12293</v>
      </c>
      <c r="D722" s="89"/>
      <c r="E722" s="90"/>
      <c r="F722" s="91" t="s">
        <v>12294</v>
      </c>
      <c r="G722" s="90"/>
      <c r="H722" s="91" t="s">
        <v>12274</v>
      </c>
      <c r="I722" s="92"/>
      <c r="J722" s="93"/>
      <c r="K722" s="94"/>
      <c r="L722" s="91" t="s">
        <v>5793</v>
      </c>
      <c r="M722" s="90"/>
      <c r="N722" s="90"/>
      <c r="O722" s="95"/>
      <c r="P722" s="90"/>
      <c r="Q722" s="143" t="s">
        <v>12295</v>
      </c>
      <c r="R722" s="144" t="s">
        <v>12296</v>
      </c>
      <c r="S722" s="169"/>
      <c r="T722" s="300" t="str">
        <f>CONCATENATE([1]Cover!$D$6,"fdd/view?i=",S722)</f>
        <v>https://www.dgiwg.org/FAD/fdd/view?i=</v>
      </c>
      <c r="U722" s="188"/>
    </row>
    <row r="723" spans="1:21" ht="2.1" customHeight="1">
      <c r="A723" s="98"/>
      <c r="B723" s="87"/>
      <c r="C723" s="99"/>
      <c r="D723" s="87"/>
      <c r="E723" s="99"/>
      <c r="F723" s="100"/>
      <c r="G723" s="100"/>
      <c r="H723" s="100"/>
      <c r="I723" s="101"/>
      <c r="J723" s="106"/>
      <c r="K723" s="103"/>
      <c r="L723" s="104"/>
      <c r="M723" s="100"/>
      <c r="N723" s="100"/>
      <c r="O723" s="100"/>
      <c r="P723" s="100"/>
      <c r="Q723" s="105"/>
      <c r="R723" s="105"/>
      <c r="S723" s="169"/>
      <c r="U723" s="188"/>
    </row>
    <row r="724" spans="1:21" ht="38.25">
      <c r="A724" s="67" t="s">
        <v>6569</v>
      </c>
      <c r="B724" s="87" t="s">
        <v>6569</v>
      </c>
      <c r="C724" s="88" t="s">
        <v>12297</v>
      </c>
      <c r="D724" s="89"/>
      <c r="E724" s="90"/>
      <c r="F724" s="91" t="s">
        <v>12298</v>
      </c>
      <c r="G724" s="90"/>
      <c r="H724" s="91" t="s">
        <v>12274</v>
      </c>
      <c r="I724" s="92"/>
      <c r="J724" s="93"/>
      <c r="K724" s="94"/>
      <c r="L724" s="91" t="s">
        <v>5793</v>
      </c>
      <c r="M724" s="90"/>
      <c r="N724" s="90"/>
      <c r="O724" s="95"/>
      <c r="P724" s="90"/>
      <c r="Q724" s="143" t="s">
        <v>12295</v>
      </c>
      <c r="R724" s="144" t="s">
        <v>12299</v>
      </c>
      <c r="S724" s="169"/>
      <c r="T724" s="300" t="str">
        <f>CONCATENATE([1]Cover!$D$6,"fdd/view?i=",S724)</f>
        <v>https://www.dgiwg.org/FAD/fdd/view?i=</v>
      </c>
      <c r="U724" s="188"/>
    </row>
    <row r="725" spans="1:21" ht="2.1" customHeight="1">
      <c r="A725" s="98"/>
      <c r="B725" s="87"/>
      <c r="C725" s="99"/>
      <c r="D725" s="87"/>
      <c r="E725" s="99"/>
      <c r="F725" s="100"/>
      <c r="G725" s="100"/>
      <c r="H725" s="100"/>
      <c r="I725" s="101"/>
      <c r="J725" s="106"/>
      <c r="K725" s="103"/>
      <c r="L725" s="104"/>
      <c r="M725" s="100"/>
      <c r="N725" s="100"/>
      <c r="O725" s="100"/>
      <c r="P725" s="100"/>
      <c r="Q725" s="105"/>
      <c r="R725" s="105"/>
      <c r="S725" s="169"/>
      <c r="U725" s="188"/>
    </row>
    <row r="726" spans="1:21" ht="38.25">
      <c r="A726" s="67" t="s">
        <v>7702</v>
      </c>
      <c r="B726" s="87" t="s">
        <v>7702</v>
      </c>
      <c r="C726" s="88" t="s">
        <v>12300</v>
      </c>
      <c r="D726" s="89"/>
      <c r="E726" s="90"/>
      <c r="F726" s="91" t="s">
        <v>12301</v>
      </c>
      <c r="G726" s="90"/>
      <c r="H726" s="91" t="s">
        <v>11426</v>
      </c>
      <c r="I726" s="92"/>
      <c r="J726" s="93"/>
      <c r="K726" s="94"/>
      <c r="L726" s="91" t="s">
        <v>11425</v>
      </c>
      <c r="M726" s="90"/>
      <c r="N726" s="91">
        <v>6</v>
      </c>
      <c r="O726" s="108" t="b">
        <v>0</v>
      </c>
      <c r="P726" s="91" t="s">
        <v>12302</v>
      </c>
      <c r="Q726" s="96"/>
      <c r="R726" s="97"/>
      <c r="S726" s="169"/>
      <c r="T726" s="300" t="str">
        <f>CONCATENATE([1]Cover!$D$6,"fdd/view?i=",S726)</f>
        <v>https://www.dgiwg.org/FAD/fdd/view?i=</v>
      </c>
      <c r="U726" s="188"/>
    </row>
    <row r="727" spans="1:21" ht="2.1" customHeight="1">
      <c r="A727" s="98"/>
      <c r="B727" s="87"/>
      <c r="C727" s="99"/>
      <c r="D727" s="87"/>
      <c r="E727" s="99"/>
      <c r="F727" s="100"/>
      <c r="G727" s="100"/>
      <c r="H727" s="100"/>
      <c r="I727" s="101"/>
      <c r="J727" s="106"/>
      <c r="K727" s="103"/>
      <c r="L727" s="104"/>
      <c r="M727" s="100"/>
      <c r="N727" s="100"/>
      <c r="O727" s="100"/>
      <c r="P727" s="100"/>
      <c r="Q727" s="105"/>
      <c r="R727" s="105"/>
      <c r="S727" s="169"/>
      <c r="U727" s="188"/>
    </row>
    <row r="728" spans="1:21" ht="25.5">
      <c r="A728" s="67" t="s">
        <v>7707</v>
      </c>
      <c r="B728" s="87" t="s">
        <v>7707</v>
      </c>
      <c r="C728" s="88" t="s">
        <v>12303</v>
      </c>
      <c r="D728" s="89"/>
      <c r="E728" s="90"/>
      <c r="F728" s="91" t="s">
        <v>12304</v>
      </c>
      <c r="G728" s="90"/>
      <c r="H728" s="90"/>
      <c r="I728" s="92"/>
      <c r="J728" s="93"/>
      <c r="K728" s="94"/>
      <c r="L728" s="149" t="str">
        <f>HYPERLINK("[#]DatatypeListedValues!B3928:H3928","Enumeration")</f>
        <v>Enumeration</v>
      </c>
      <c r="M728" s="107" t="b">
        <v>0</v>
      </c>
      <c r="N728" s="90"/>
      <c r="O728" s="95"/>
      <c r="P728" s="90"/>
      <c r="Q728" s="96"/>
      <c r="R728" s="97"/>
      <c r="S728" s="169"/>
      <c r="T728" s="300" t="str">
        <f>CONCATENATE([1]Cover!$D$6,"fdd/view?i=",S728)</f>
        <v>https://www.dgiwg.org/FAD/fdd/view?i=</v>
      </c>
      <c r="U728" s="188"/>
    </row>
    <row r="729" spans="1:21" ht="2.1" customHeight="1">
      <c r="A729" s="98"/>
      <c r="B729" s="87"/>
      <c r="C729" s="99"/>
      <c r="D729" s="87"/>
      <c r="E729" s="99"/>
      <c r="F729" s="100"/>
      <c r="G729" s="100"/>
      <c r="H729" s="100"/>
      <c r="I729" s="101"/>
      <c r="J729" s="106"/>
      <c r="K729" s="103"/>
      <c r="L729" s="104"/>
      <c r="M729" s="100"/>
      <c r="N729" s="100"/>
      <c r="O729" s="100"/>
      <c r="P729" s="100"/>
      <c r="Q729" s="105"/>
      <c r="R729" s="105"/>
      <c r="S729" s="169"/>
      <c r="U729" s="188"/>
    </row>
    <row r="730" spans="1:21" ht="102">
      <c r="A730" s="67" t="s">
        <v>11889</v>
      </c>
      <c r="B730" s="87" t="s">
        <v>11889</v>
      </c>
      <c r="C730" s="88" t="s">
        <v>11890</v>
      </c>
      <c r="D730" s="89"/>
      <c r="E730" s="90"/>
      <c r="F730" s="91" t="s">
        <v>12305</v>
      </c>
      <c r="G730" s="91" t="s">
        <v>12306</v>
      </c>
      <c r="H730" s="90"/>
      <c r="I730" s="92"/>
      <c r="J730" s="93"/>
      <c r="K730" s="94"/>
      <c r="L730" s="149" t="str">
        <f>HYPERLINK("[#]DatatypeListedValues!B3934:H3934","Enumeration")</f>
        <v>Enumeration</v>
      </c>
      <c r="M730" s="91" t="b">
        <v>1</v>
      </c>
      <c r="N730" s="90"/>
      <c r="O730" s="95"/>
      <c r="P730" s="90"/>
      <c r="Q730" s="96"/>
      <c r="R730" s="97"/>
      <c r="S730" s="169"/>
      <c r="T730" s="300" t="str">
        <f>CONCATENATE([1]Cover!$D$6,"fdd/view?i=",S730)</f>
        <v>https://www.dgiwg.org/FAD/fdd/view?i=</v>
      </c>
      <c r="U730" s="188"/>
    </row>
    <row r="731" spans="1:21" ht="2.1" customHeight="1">
      <c r="A731" s="98"/>
      <c r="B731" s="87"/>
      <c r="C731" s="99"/>
      <c r="D731" s="87"/>
      <c r="E731" s="99"/>
      <c r="F731" s="100"/>
      <c r="G731" s="100"/>
      <c r="H731" s="100"/>
      <c r="I731" s="101"/>
      <c r="J731" s="106"/>
      <c r="K731" s="103"/>
      <c r="L731" s="104"/>
      <c r="M731" s="100"/>
      <c r="N731" s="100"/>
      <c r="O731" s="100"/>
      <c r="P731" s="100"/>
      <c r="Q731" s="105"/>
      <c r="R731" s="105"/>
      <c r="S731" s="169"/>
      <c r="U731" s="188"/>
    </row>
    <row r="732" spans="1:21" ht="178.5">
      <c r="A732" s="67" t="s">
        <v>7712</v>
      </c>
      <c r="B732" s="87" t="s">
        <v>7712</v>
      </c>
      <c r="C732" s="88" t="s">
        <v>12307</v>
      </c>
      <c r="D732" s="89"/>
      <c r="E732" s="90"/>
      <c r="F732" s="91" t="s">
        <v>12308</v>
      </c>
      <c r="G732" s="90"/>
      <c r="H732" s="91" t="s">
        <v>11426</v>
      </c>
      <c r="I732" s="92"/>
      <c r="J732" s="93"/>
      <c r="K732" s="94"/>
      <c r="L732" s="91" t="s">
        <v>11425</v>
      </c>
      <c r="M732" s="90"/>
      <c r="N732" s="91">
        <v>20</v>
      </c>
      <c r="O732" s="108" t="b">
        <v>0</v>
      </c>
      <c r="P732" s="91" t="s">
        <v>11909</v>
      </c>
      <c r="Q732" s="96"/>
      <c r="R732" s="97"/>
      <c r="S732" s="169"/>
      <c r="T732" s="300" t="str">
        <f>CONCATENATE([1]Cover!$D$6,"fdd/view?i=",S732)</f>
        <v>https://www.dgiwg.org/FAD/fdd/view?i=</v>
      </c>
      <c r="U732" s="188"/>
    </row>
    <row r="733" spans="1:21" ht="2.1" customHeight="1">
      <c r="A733" s="98"/>
      <c r="B733" s="87"/>
      <c r="C733" s="99"/>
      <c r="D733" s="87"/>
      <c r="E733" s="99"/>
      <c r="F733" s="100"/>
      <c r="G733" s="100"/>
      <c r="H733" s="100"/>
      <c r="I733" s="101"/>
      <c r="J733" s="106"/>
      <c r="K733" s="103"/>
      <c r="L733" s="104"/>
      <c r="M733" s="100"/>
      <c r="N733" s="100"/>
      <c r="O733" s="100"/>
      <c r="P733" s="100"/>
      <c r="Q733" s="105"/>
      <c r="R733" s="105"/>
      <c r="S733" s="169"/>
      <c r="U733" s="188"/>
    </row>
    <row r="734" spans="1:21">
      <c r="A734" s="67" t="s">
        <v>7717</v>
      </c>
      <c r="B734" s="87" t="s">
        <v>7717</v>
      </c>
      <c r="C734" s="88" t="s">
        <v>12309</v>
      </c>
      <c r="D734" s="89"/>
      <c r="E734" s="90"/>
      <c r="F734" s="91" t="s">
        <v>12310</v>
      </c>
      <c r="G734" s="90"/>
      <c r="H734" s="90"/>
      <c r="I734" s="92"/>
      <c r="J734" s="93"/>
      <c r="K734" s="94"/>
      <c r="L734" s="149" t="str">
        <f>HYPERLINK("[#]DatatypeListedValues!B3943:H3943","Enumeration")</f>
        <v>Enumeration</v>
      </c>
      <c r="M734" s="107" t="b">
        <v>0</v>
      </c>
      <c r="N734" s="90"/>
      <c r="O734" s="95"/>
      <c r="P734" s="90"/>
      <c r="Q734" s="96"/>
      <c r="R734" s="97"/>
      <c r="S734" s="169"/>
      <c r="T734" s="300" t="str">
        <f>CONCATENATE([1]Cover!$D$6,"fdd/view?i=",S734)</f>
        <v>https://www.dgiwg.org/FAD/fdd/view?i=</v>
      </c>
      <c r="U734" s="188"/>
    </row>
    <row r="735" spans="1:21" ht="2.1" customHeight="1">
      <c r="A735" s="98"/>
      <c r="B735" s="87"/>
      <c r="C735" s="99"/>
      <c r="D735" s="87"/>
      <c r="E735" s="99"/>
      <c r="F735" s="100"/>
      <c r="G735" s="100"/>
      <c r="H735" s="100"/>
      <c r="I735" s="101"/>
      <c r="J735" s="106"/>
      <c r="K735" s="103"/>
      <c r="L735" s="104"/>
      <c r="M735" s="100"/>
      <c r="N735" s="100"/>
      <c r="O735" s="100"/>
      <c r="P735" s="100"/>
      <c r="Q735" s="105"/>
      <c r="R735" s="105"/>
      <c r="S735" s="169"/>
      <c r="U735" s="188"/>
    </row>
    <row r="736" spans="1:21">
      <c r="A736" s="67" t="s">
        <v>7722</v>
      </c>
      <c r="B736" s="87" t="s">
        <v>7722</v>
      </c>
      <c r="C736" s="88" t="s">
        <v>12311</v>
      </c>
      <c r="D736" s="89"/>
      <c r="E736" s="90"/>
      <c r="F736" s="91" t="s">
        <v>12312</v>
      </c>
      <c r="G736" s="90"/>
      <c r="H736" s="90"/>
      <c r="I736" s="92"/>
      <c r="J736" s="93"/>
      <c r="K736" s="94"/>
      <c r="L736" s="149" t="str">
        <f>HYPERLINK("[#]DatatypeListedValues!B3945:H3945","Enumeration")</f>
        <v>Enumeration</v>
      </c>
      <c r="M736" s="107" t="b">
        <v>0</v>
      </c>
      <c r="N736" s="90"/>
      <c r="O736" s="95"/>
      <c r="P736" s="90"/>
      <c r="Q736" s="96"/>
      <c r="R736" s="97"/>
      <c r="S736" s="169"/>
      <c r="T736" s="300" t="str">
        <f>CONCATENATE([1]Cover!$D$6,"fdd/view?i=",S736)</f>
        <v>https://www.dgiwg.org/FAD/fdd/view?i=</v>
      </c>
      <c r="U736" s="188"/>
    </row>
    <row r="737" spans="1:21" ht="2.1" customHeight="1">
      <c r="A737" s="98"/>
      <c r="B737" s="87"/>
      <c r="C737" s="99"/>
      <c r="D737" s="87"/>
      <c r="E737" s="99"/>
      <c r="F737" s="100"/>
      <c r="G737" s="100"/>
      <c r="H737" s="100"/>
      <c r="I737" s="101"/>
      <c r="J737" s="106"/>
      <c r="K737" s="103"/>
      <c r="L737" s="104"/>
      <c r="M737" s="100"/>
      <c r="N737" s="100"/>
      <c r="O737" s="100"/>
      <c r="P737" s="100"/>
      <c r="Q737" s="105"/>
      <c r="R737" s="105"/>
      <c r="S737" s="169"/>
      <c r="U737" s="188"/>
    </row>
    <row r="738" spans="1:21" ht="63.75">
      <c r="A738" s="67" t="s">
        <v>7732</v>
      </c>
      <c r="B738" s="87" t="s">
        <v>7732</v>
      </c>
      <c r="C738" s="88" t="s">
        <v>12313</v>
      </c>
      <c r="D738" s="89"/>
      <c r="E738" s="90"/>
      <c r="F738" s="91" t="s">
        <v>12314</v>
      </c>
      <c r="G738" s="90"/>
      <c r="H738" s="91" t="s">
        <v>11426</v>
      </c>
      <c r="I738" s="92"/>
      <c r="J738" s="93"/>
      <c r="K738" s="94"/>
      <c r="L738" s="91" t="s">
        <v>11425</v>
      </c>
      <c r="M738" s="90"/>
      <c r="N738" s="91">
        <v>4</v>
      </c>
      <c r="O738" s="108" t="b">
        <v>0</v>
      </c>
      <c r="P738" s="91" t="s">
        <v>12315</v>
      </c>
      <c r="Q738" s="96"/>
      <c r="R738" s="97"/>
      <c r="S738" s="169"/>
      <c r="T738" s="300" t="str">
        <f>CONCATENATE([1]Cover!$D$6,"fdd/view?i=",S738)</f>
        <v>https://www.dgiwg.org/FAD/fdd/view?i=</v>
      </c>
      <c r="U738" s="188"/>
    </row>
    <row r="739" spans="1:21" ht="2.1" customHeight="1">
      <c r="A739" s="98"/>
      <c r="B739" s="87"/>
      <c r="C739" s="99"/>
      <c r="D739" s="87"/>
      <c r="E739" s="99"/>
      <c r="F739" s="100"/>
      <c r="G739" s="100"/>
      <c r="H739" s="100"/>
      <c r="I739" s="101"/>
      <c r="J739" s="106"/>
      <c r="K739" s="103"/>
      <c r="L739" s="104"/>
      <c r="M739" s="100"/>
      <c r="N739" s="100"/>
      <c r="O739" s="100"/>
      <c r="P739" s="100"/>
      <c r="Q739" s="105"/>
      <c r="R739" s="105"/>
      <c r="S739" s="169"/>
      <c r="U739" s="188"/>
    </row>
    <row r="740" spans="1:21" ht="38.25">
      <c r="A740" s="67" t="s">
        <v>7738</v>
      </c>
      <c r="B740" s="87" t="s">
        <v>7738</v>
      </c>
      <c r="C740" s="88" t="s">
        <v>12316</v>
      </c>
      <c r="D740" s="89"/>
      <c r="E740" s="90"/>
      <c r="F740" s="91" t="s">
        <v>12317</v>
      </c>
      <c r="G740" s="90"/>
      <c r="H740" s="91" t="s">
        <v>11744</v>
      </c>
      <c r="I740" s="92"/>
      <c r="J740" s="93"/>
      <c r="K740" s="94"/>
      <c r="L740" s="153" t="s">
        <v>11414</v>
      </c>
      <c r="M740" s="91" t="b">
        <v>1</v>
      </c>
      <c r="N740" s="91">
        <v>2</v>
      </c>
      <c r="O740" s="95"/>
      <c r="P740" s="91" t="s">
        <v>12318</v>
      </c>
      <c r="Q740" s="96"/>
      <c r="R740" s="97"/>
      <c r="S740" s="169"/>
      <c r="T740" s="300" t="str">
        <f>CONCATENATE([1]Cover!$D$6,"fdd/view?i=",S740)</f>
        <v>https://www.dgiwg.org/FAD/fdd/view?i=</v>
      </c>
      <c r="U740" s="188"/>
    </row>
    <row r="741" spans="1:21" ht="2.1" customHeight="1">
      <c r="A741" s="98"/>
      <c r="B741" s="87"/>
      <c r="C741" s="99"/>
      <c r="D741" s="87"/>
      <c r="E741" s="99"/>
      <c r="F741" s="100"/>
      <c r="G741" s="100"/>
      <c r="H741" s="100"/>
      <c r="I741" s="101"/>
      <c r="J741" s="106"/>
      <c r="K741" s="103"/>
      <c r="L741" s="104"/>
      <c r="M741" s="100"/>
      <c r="N741" s="100"/>
      <c r="O741" s="100"/>
      <c r="P741" s="100"/>
      <c r="Q741" s="105"/>
      <c r="R741" s="105"/>
      <c r="S741" s="169"/>
      <c r="U741" s="188"/>
    </row>
    <row r="742" spans="1:21" ht="38.25">
      <c r="A742" s="67" t="s">
        <v>7744</v>
      </c>
      <c r="B742" s="87" t="s">
        <v>7744</v>
      </c>
      <c r="C742" s="88" t="s">
        <v>12319</v>
      </c>
      <c r="D742" s="89"/>
      <c r="E742" s="90"/>
      <c r="F742" s="91" t="s">
        <v>12320</v>
      </c>
      <c r="G742" s="90"/>
      <c r="H742" s="91" t="s">
        <v>11744</v>
      </c>
      <c r="I742" s="92"/>
      <c r="J742" s="93"/>
      <c r="K742" s="94"/>
      <c r="L742" s="153" t="s">
        <v>11414</v>
      </c>
      <c r="M742" s="91" t="b">
        <v>1</v>
      </c>
      <c r="N742" s="91">
        <v>3</v>
      </c>
      <c r="O742" s="95"/>
      <c r="P742" s="91" t="s">
        <v>12321</v>
      </c>
      <c r="Q742" s="96"/>
      <c r="R742" s="97"/>
      <c r="S742" s="169"/>
      <c r="T742" s="300" t="str">
        <f>CONCATENATE([1]Cover!$D$6,"fdd/view?i=",S742)</f>
        <v>https://www.dgiwg.org/FAD/fdd/view?i=</v>
      </c>
      <c r="U742" s="188"/>
    </row>
    <row r="743" spans="1:21" ht="2.1" customHeight="1">
      <c r="A743" s="98"/>
      <c r="B743" s="87"/>
      <c r="C743" s="99"/>
      <c r="D743" s="87"/>
      <c r="E743" s="99"/>
      <c r="F743" s="100"/>
      <c r="G743" s="100"/>
      <c r="H743" s="100"/>
      <c r="I743" s="101"/>
      <c r="J743" s="106"/>
      <c r="K743" s="103"/>
      <c r="L743" s="104"/>
      <c r="M743" s="100"/>
      <c r="N743" s="100"/>
      <c r="O743" s="100"/>
      <c r="P743" s="100"/>
      <c r="Q743" s="105"/>
      <c r="R743" s="105"/>
      <c r="S743" s="169"/>
      <c r="U743" s="188"/>
    </row>
    <row r="744" spans="1:21" ht="38.25">
      <c r="A744" s="67" t="s">
        <v>7750</v>
      </c>
      <c r="B744" s="87" t="s">
        <v>7750</v>
      </c>
      <c r="C744" s="88" t="s">
        <v>12322</v>
      </c>
      <c r="D744" s="89"/>
      <c r="E744" s="90"/>
      <c r="F744" s="91" t="s">
        <v>12323</v>
      </c>
      <c r="G744" s="90"/>
      <c r="H744" s="91" t="s">
        <v>11744</v>
      </c>
      <c r="I744" s="92"/>
      <c r="J744" s="93"/>
      <c r="K744" s="94"/>
      <c r="L744" s="153" t="s">
        <v>11414</v>
      </c>
      <c r="M744" s="91" t="b">
        <v>1</v>
      </c>
      <c r="N744" s="91">
        <v>3</v>
      </c>
      <c r="O744" s="95"/>
      <c r="P744" s="91" t="s">
        <v>12324</v>
      </c>
      <c r="Q744" s="96"/>
      <c r="R744" s="97"/>
      <c r="S744" s="169"/>
      <c r="T744" s="300" t="str">
        <f>CONCATENATE([1]Cover!$D$6,"fdd/view?i=",S744)</f>
        <v>https://www.dgiwg.org/FAD/fdd/view?i=</v>
      </c>
      <c r="U744" s="188"/>
    </row>
    <row r="745" spans="1:21" ht="2.1" customHeight="1">
      <c r="A745" s="98"/>
      <c r="B745" s="87"/>
      <c r="C745" s="99"/>
      <c r="D745" s="87"/>
      <c r="E745" s="99"/>
      <c r="F745" s="100"/>
      <c r="G745" s="100"/>
      <c r="H745" s="100"/>
      <c r="I745" s="101"/>
      <c r="J745" s="106"/>
      <c r="K745" s="103"/>
      <c r="L745" s="104"/>
      <c r="M745" s="100"/>
      <c r="N745" s="100"/>
      <c r="O745" s="100"/>
      <c r="P745" s="100"/>
      <c r="Q745" s="105"/>
      <c r="R745" s="105"/>
      <c r="S745" s="169"/>
      <c r="U745" s="188"/>
    </row>
    <row r="746" spans="1:21" ht="76.5">
      <c r="A746" s="67" t="s">
        <v>7760</v>
      </c>
      <c r="B746" s="87" t="s">
        <v>7760</v>
      </c>
      <c r="C746" s="88" t="s">
        <v>12325</v>
      </c>
      <c r="D746" s="89"/>
      <c r="E746" s="90"/>
      <c r="F746" s="91" t="s">
        <v>12326</v>
      </c>
      <c r="G746" s="90"/>
      <c r="H746" s="91" t="s">
        <v>11744</v>
      </c>
      <c r="I746" s="92"/>
      <c r="J746" s="93"/>
      <c r="K746" s="94"/>
      <c r="L746" s="153" t="s">
        <v>11414</v>
      </c>
      <c r="M746" s="91" t="b">
        <v>1</v>
      </c>
      <c r="N746" s="91">
        <v>6</v>
      </c>
      <c r="O746" s="95"/>
      <c r="P746" s="91" t="s">
        <v>12327</v>
      </c>
      <c r="Q746" s="96"/>
      <c r="R746" s="97"/>
      <c r="S746" s="169"/>
      <c r="T746" s="300" t="str">
        <f>CONCATENATE([1]Cover!$D$6,"fdd/view?i=",S746)</f>
        <v>https://www.dgiwg.org/FAD/fdd/view?i=</v>
      </c>
      <c r="U746" s="188"/>
    </row>
    <row r="747" spans="1:21" ht="2.1" customHeight="1">
      <c r="A747" s="98"/>
      <c r="B747" s="87"/>
      <c r="C747" s="99"/>
      <c r="D747" s="87"/>
      <c r="E747" s="99"/>
      <c r="F747" s="100"/>
      <c r="G747" s="100"/>
      <c r="H747" s="100"/>
      <c r="I747" s="101"/>
      <c r="J747" s="106"/>
      <c r="K747" s="103"/>
      <c r="L747" s="104"/>
      <c r="M747" s="100"/>
      <c r="N747" s="100"/>
      <c r="O747" s="100"/>
      <c r="P747" s="100"/>
      <c r="Q747" s="105"/>
      <c r="R747" s="105"/>
      <c r="S747" s="169"/>
      <c r="U747" s="188"/>
    </row>
    <row r="748" spans="1:21" ht="38.25">
      <c r="A748" s="67" t="s">
        <v>7766</v>
      </c>
      <c r="B748" s="87" t="s">
        <v>7766</v>
      </c>
      <c r="C748" s="88" t="s">
        <v>12328</v>
      </c>
      <c r="D748" s="89"/>
      <c r="E748" s="90"/>
      <c r="F748" s="91" t="s">
        <v>12329</v>
      </c>
      <c r="G748" s="90"/>
      <c r="H748" s="91" t="s">
        <v>11744</v>
      </c>
      <c r="I748" s="92"/>
      <c r="J748" s="93"/>
      <c r="K748" s="94"/>
      <c r="L748" s="153" t="s">
        <v>11414</v>
      </c>
      <c r="M748" s="91" t="b">
        <v>1</v>
      </c>
      <c r="N748" s="91">
        <v>3</v>
      </c>
      <c r="O748" s="95"/>
      <c r="P748" s="91" t="s">
        <v>12330</v>
      </c>
      <c r="Q748" s="96"/>
      <c r="R748" s="97"/>
      <c r="S748" s="169"/>
      <c r="T748" s="300" t="str">
        <f>CONCATENATE([1]Cover!$D$6,"fdd/view?i=",S748)</f>
        <v>https://www.dgiwg.org/FAD/fdd/view?i=</v>
      </c>
      <c r="U748" s="188"/>
    </row>
    <row r="749" spans="1:21" ht="2.1" customHeight="1">
      <c r="A749" s="98"/>
      <c r="B749" s="87"/>
      <c r="C749" s="99"/>
      <c r="D749" s="87"/>
      <c r="E749" s="99"/>
      <c r="F749" s="100"/>
      <c r="G749" s="100"/>
      <c r="H749" s="100"/>
      <c r="I749" s="101"/>
      <c r="J749" s="106"/>
      <c r="K749" s="103"/>
      <c r="L749" s="104"/>
      <c r="M749" s="100"/>
      <c r="N749" s="100"/>
      <c r="O749" s="100"/>
      <c r="P749" s="100"/>
      <c r="Q749" s="105"/>
      <c r="R749" s="105"/>
      <c r="S749" s="169"/>
      <c r="U749" s="188"/>
    </row>
    <row r="750" spans="1:21" ht="76.5">
      <c r="A750" s="67" t="s">
        <v>7776</v>
      </c>
      <c r="B750" s="87" t="s">
        <v>7776</v>
      </c>
      <c r="C750" s="88" t="s">
        <v>12331</v>
      </c>
      <c r="D750" s="89"/>
      <c r="E750" s="90"/>
      <c r="F750" s="91" t="s">
        <v>12332</v>
      </c>
      <c r="G750" s="90"/>
      <c r="H750" s="91" t="s">
        <v>11744</v>
      </c>
      <c r="I750" s="92"/>
      <c r="J750" s="93"/>
      <c r="K750" s="94"/>
      <c r="L750" s="153" t="s">
        <v>11414</v>
      </c>
      <c r="M750" s="91" t="b">
        <v>1</v>
      </c>
      <c r="N750" s="91">
        <v>4</v>
      </c>
      <c r="O750" s="95"/>
      <c r="P750" s="91" t="s">
        <v>12333</v>
      </c>
      <c r="Q750" s="96"/>
      <c r="R750" s="97"/>
      <c r="S750" s="169"/>
      <c r="T750" s="300" t="str">
        <f>CONCATENATE([1]Cover!$D$6,"fdd/view?i=",S750)</f>
        <v>https://www.dgiwg.org/FAD/fdd/view?i=</v>
      </c>
      <c r="U750" s="188"/>
    </row>
    <row r="751" spans="1:21" ht="2.1" customHeight="1">
      <c r="A751" s="98"/>
      <c r="B751" s="87"/>
      <c r="C751" s="99"/>
      <c r="D751" s="87"/>
      <c r="E751" s="99"/>
      <c r="F751" s="100"/>
      <c r="G751" s="100"/>
      <c r="H751" s="100"/>
      <c r="I751" s="101"/>
      <c r="J751" s="106"/>
      <c r="K751" s="103"/>
      <c r="L751" s="104"/>
      <c r="M751" s="100"/>
      <c r="N751" s="100"/>
      <c r="O751" s="100"/>
      <c r="P751" s="100"/>
      <c r="Q751" s="105"/>
      <c r="R751" s="105"/>
      <c r="S751" s="169"/>
      <c r="U751" s="188"/>
    </row>
    <row r="752" spans="1:21" ht="25.5">
      <c r="A752" s="67" t="s">
        <v>7786</v>
      </c>
      <c r="B752" s="87" t="s">
        <v>7786</v>
      </c>
      <c r="C752" s="88" t="s">
        <v>12334</v>
      </c>
      <c r="D752" s="89"/>
      <c r="E752" s="90"/>
      <c r="F752" s="91" t="s">
        <v>12335</v>
      </c>
      <c r="G752" s="90"/>
      <c r="H752" s="90"/>
      <c r="I752" s="92"/>
      <c r="J752" s="93"/>
      <c r="K752" s="94"/>
      <c r="L752" s="149" t="str">
        <f>HYPERLINK("[#]DatatypeListedValues!B3953:H3953","Enumeration")</f>
        <v>Enumeration</v>
      </c>
      <c r="M752" s="107" t="b">
        <v>0</v>
      </c>
      <c r="N752" s="90"/>
      <c r="O752" s="95"/>
      <c r="P752" s="90"/>
      <c r="Q752" s="96"/>
      <c r="R752" s="97"/>
      <c r="S752" s="169"/>
      <c r="T752" s="300" t="str">
        <f>CONCATENATE([1]Cover!$D$6,"fdd/view?i=",S752)</f>
        <v>https://www.dgiwg.org/FAD/fdd/view?i=</v>
      </c>
      <c r="U752" s="188"/>
    </row>
    <row r="753" spans="1:21" ht="2.1" customHeight="1">
      <c r="A753" s="98"/>
      <c r="B753" s="87"/>
      <c r="C753" s="99"/>
      <c r="D753" s="87"/>
      <c r="E753" s="99"/>
      <c r="F753" s="100"/>
      <c r="G753" s="100"/>
      <c r="H753" s="100"/>
      <c r="I753" s="101"/>
      <c r="J753" s="106"/>
      <c r="K753" s="103"/>
      <c r="L753" s="104"/>
      <c r="M753" s="100"/>
      <c r="N753" s="100"/>
      <c r="O753" s="100"/>
      <c r="P753" s="100"/>
      <c r="Q753" s="105"/>
      <c r="R753" s="105"/>
      <c r="S753" s="169"/>
      <c r="U753" s="188"/>
    </row>
    <row r="754" spans="1:21" ht="153">
      <c r="A754" s="67" t="s">
        <v>7796</v>
      </c>
      <c r="B754" s="87" t="s">
        <v>7796</v>
      </c>
      <c r="C754" s="88" t="s">
        <v>12336</v>
      </c>
      <c r="D754" s="89"/>
      <c r="E754" s="90"/>
      <c r="F754" s="91" t="s">
        <v>12337</v>
      </c>
      <c r="G754" s="90"/>
      <c r="H754" s="91" t="s">
        <v>11426</v>
      </c>
      <c r="I754" s="92"/>
      <c r="J754" s="93"/>
      <c r="K754" s="94"/>
      <c r="L754" s="91" t="s">
        <v>11425</v>
      </c>
      <c r="M754" s="90"/>
      <c r="N754" s="91">
        <v>7</v>
      </c>
      <c r="O754" s="108" t="b">
        <v>0</v>
      </c>
      <c r="P754" s="91" t="s">
        <v>12338</v>
      </c>
      <c r="Q754" s="96"/>
      <c r="R754" s="97"/>
      <c r="S754" s="169"/>
      <c r="T754" s="300" t="str">
        <f>CONCATENATE([1]Cover!$D$6,"fdd/view?i=",S754)</f>
        <v>https://www.dgiwg.org/FAD/fdd/view?i=</v>
      </c>
      <c r="U754" s="188"/>
    </row>
    <row r="755" spans="1:21" ht="2.1" customHeight="1">
      <c r="A755" s="98"/>
      <c r="B755" s="87"/>
      <c r="C755" s="99"/>
      <c r="D755" s="87"/>
      <c r="E755" s="99"/>
      <c r="F755" s="100"/>
      <c r="G755" s="100"/>
      <c r="H755" s="100"/>
      <c r="I755" s="101"/>
      <c r="J755" s="106"/>
      <c r="K755" s="103"/>
      <c r="L755" s="104"/>
      <c r="M755" s="100"/>
      <c r="N755" s="100"/>
      <c r="O755" s="100"/>
      <c r="P755" s="100"/>
      <c r="Q755" s="105"/>
      <c r="R755" s="105"/>
      <c r="S755" s="169"/>
      <c r="U755" s="188"/>
    </row>
    <row r="756" spans="1:21" ht="38.25">
      <c r="A756" s="67" t="s">
        <v>11472</v>
      </c>
      <c r="B756" s="87" t="s">
        <v>11472</v>
      </c>
      <c r="C756" s="88" t="s">
        <v>11472</v>
      </c>
      <c r="D756" s="89"/>
      <c r="E756" s="90"/>
      <c r="F756" s="91" t="s">
        <v>12339</v>
      </c>
      <c r="G756" s="91" t="s">
        <v>12340</v>
      </c>
      <c r="H756" s="91" t="s">
        <v>11473</v>
      </c>
      <c r="I756" s="92"/>
      <c r="J756" s="93"/>
      <c r="K756" s="94"/>
      <c r="L756" s="91" t="s">
        <v>11472</v>
      </c>
      <c r="M756" s="90"/>
      <c r="N756" s="108" t="s">
        <v>11810</v>
      </c>
      <c r="O756" s="108" t="b">
        <v>0</v>
      </c>
      <c r="P756" s="90"/>
      <c r="Q756" s="96"/>
      <c r="R756" s="97"/>
      <c r="S756" s="169"/>
      <c r="T756" s="300" t="str">
        <f>CONCATENATE([1]Cover!$D$6,"fdd/view?i=",S756)</f>
        <v>https://www.dgiwg.org/FAD/fdd/view?i=</v>
      </c>
      <c r="U756" s="188"/>
    </row>
    <row r="757" spans="1:21" ht="2.1" customHeight="1">
      <c r="A757" s="98"/>
      <c r="B757" s="87"/>
      <c r="C757" s="99"/>
      <c r="D757" s="87"/>
      <c r="E757" s="99"/>
      <c r="F757" s="100"/>
      <c r="G757" s="100"/>
      <c r="H757" s="100"/>
      <c r="I757" s="101"/>
      <c r="J757" s="106"/>
      <c r="K757" s="103"/>
      <c r="L757" s="104"/>
      <c r="M757" s="100"/>
      <c r="N757" s="100"/>
      <c r="O757" s="100"/>
      <c r="P757" s="100"/>
      <c r="Q757" s="105"/>
      <c r="R757" s="105"/>
      <c r="S757" s="169"/>
      <c r="U757" s="188"/>
    </row>
    <row r="758" spans="1:21" ht="38.25">
      <c r="A758" s="63" t="s">
        <v>12341</v>
      </c>
      <c r="B758" s="329" t="s">
        <v>12341</v>
      </c>
      <c r="C758" s="326" t="s">
        <v>12342</v>
      </c>
      <c r="D758" s="109"/>
      <c r="E758" s="110"/>
      <c r="F758" s="111" t="s">
        <v>12343</v>
      </c>
      <c r="G758" s="111" t="s">
        <v>12340</v>
      </c>
      <c r="H758" s="111" t="s">
        <v>11513</v>
      </c>
      <c r="I758" s="112"/>
      <c r="J758" s="113"/>
      <c r="K758" s="114"/>
      <c r="L758" s="115" t="s">
        <v>11429</v>
      </c>
      <c r="M758" s="110"/>
      <c r="N758" s="110"/>
      <c r="O758" s="116"/>
      <c r="P758" s="110"/>
      <c r="Q758" s="117"/>
      <c r="R758" s="118"/>
      <c r="S758" s="169"/>
      <c r="T758" s="300" t="str">
        <f>CONCATENATE([1]Cover!$D$6,"fdd/view?i=",S758)</f>
        <v>https://www.dgiwg.org/FAD/fdd/view?i=</v>
      </c>
      <c r="U758" s="188"/>
    </row>
    <row r="759" spans="1:21" ht="25.5">
      <c r="A759" s="64" t="s">
        <v>33685</v>
      </c>
      <c r="B759" s="330"/>
      <c r="C759" s="327"/>
      <c r="D759" s="132" t="s">
        <v>11678</v>
      </c>
      <c r="E759" s="138" t="s">
        <v>12344</v>
      </c>
      <c r="F759" s="70" t="s">
        <v>12345</v>
      </c>
      <c r="G759" s="70" t="s">
        <v>12346</v>
      </c>
      <c r="H759" s="68"/>
      <c r="I759" s="133" t="s">
        <v>4643</v>
      </c>
      <c r="J759" s="142"/>
      <c r="K759" s="135" t="s">
        <v>11472</v>
      </c>
      <c r="L759" s="150" t="str">
        <f>HYPERLINK("[#]Datatypes!B756:L756","Key")</f>
        <v>Key</v>
      </c>
      <c r="M759" s="122"/>
      <c r="N759" s="122"/>
      <c r="O759" s="122"/>
      <c r="P759" s="122"/>
      <c r="Q759" s="123"/>
      <c r="R759" s="124"/>
      <c r="S759" s="169"/>
      <c r="U759" s="188"/>
    </row>
    <row r="760" spans="1:21" ht="38.25">
      <c r="A760" s="65" t="s">
        <v>33686</v>
      </c>
      <c r="B760" s="331"/>
      <c r="C760" s="328"/>
      <c r="D760" s="137" t="s">
        <v>11682</v>
      </c>
      <c r="E760" s="140" t="s">
        <v>11683</v>
      </c>
      <c r="F760" s="66" t="s">
        <v>11684</v>
      </c>
      <c r="G760" s="66" t="s">
        <v>11685</v>
      </c>
      <c r="H760" s="69"/>
      <c r="I760" s="126" t="s">
        <v>4643</v>
      </c>
      <c r="J760" s="141"/>
      <c r="K760" s="128" t="s">
        <v>11686</v>
      </c>
      <c r="L760" s="152" t="str">
        <f>HYPERLINK("[#]Datatypes!B1544:L1544","Void Value Reason Code")</f>
        <v>Void Value Reason Code</v>
      </c>
      <c r="M760" s="129"/>
      <c r="N760" s="129"/>
      <c r="O760" s="129"/>
      <c r="P760" s="129"/>
      <c r="Q760" s="130"/>
      <c r="R760" s="131"/>
      <c r="S760" s="169"/>
      <c r="T760" s="300" t="str">
        <f>CONCATENATE([1]Cover!$D$6,"fdd/view?i=",S760)</f>
        <v>https://www.dgiwg.org/FAD/fdd/view?i=</v>
      </c>
      <c r="U760" s="188"/>
    </row>
    <row r="761" spans="1:21" ht="2.1" customHeight="1">
      <c r="A761" s="98"/>
      <c r="B761" s="87"/>
      <c r="C761" s="99"/>
      <c r="D761" s="87"/>
      <c r="E761" s="99"/>
      <c r="F761" s="100"/>
      <c r="G761" s="100"/>
      <c r="H761" s="100"/>
      <c r="I761" s="101"/>
      <c r="J761" s="106"/>
      <c r="K761" s="103"/>
      <c r="L761" s="104"/>
      <c r="M761" s="100"/>
      <c r="N761" s="100"/>
      <c r="O761" s="100"/>
      <c r="P761" s="100"/>
      <c r="Q761" s="105"/>
      <c r="R761" s="105"/>
      <c r="S761" s="169"/>
      <c r="U761" s="188"/>
    </row>
    <row r="762" spans="1:21" ht="38.25">
      <c r="A762" s="67" t="s">
        <v>8676</v>
      </c>
      <c r="B762" s="87" t="s">
        <v>8676</v>
      </c>
      <c r="C762" s="88" t="s">
        <v>12347</v>
      </c>
      <c r="D762" s="89"/>
      <c r="E762" s="90"/>
      <c r="F762" s="91" t="s">
        <v>12348</v>
      </c>
      <c r="G762" s="90"/>
      <c r="H762" s="91" t="s">
        <v>11473</v>
      </c>
      <c r="I762" s="92"/>
      <c r="J762" s="93"/>
      <c r="K762" s="94"/>
      <c r="L762" s="91" t="s">
        <v>11472</v>
      </c>
      <c r="M762" s="90"/>
      <c r="N762" s="91">
        <v>18</v>
      </c>
      <c r="O762" s="108" t="b">
        <v>0</v>
      </c>
      <c r="P762" s="90"/>
      <c r="Q762" s="96"/>
      <c r="R762" s="97"/>
      <c r="S762" s="169"/>
      <c r="T762" s="300" t="str">
        <f>CONCATENATE([1]Cover!$D$6,"fdd/view?i=",S762)</f>
        <v>https://www.dgiwg.org/FAD/fdd/view?i=</v>
      </c>
      <c r="U762" s="188"/>
    </row>
    <row r="763" spans="1:21" ht="2.1" customHeight="1">
      <c r="A763" s="98"/>
      <c r="B763" s="87"/>
      <c r="C763" s="99"/>
      <c r="D763" s="87"/>
      <c r="E763" s="99"/>
      <c r="F763" s="100"/>
      <c r="G763" s="100"/>
      <c r="H763" s="100"/>
      <c r="I763" s="101"/>
      <c r="J763" s="106"/>
      <c r="K763" s="103"/>
      <c r="L763" s="104"/>
      <c r="M763" s="100"/>
      <c r="N763" s="100"/>
      <c r="O763" s="100"/>
      <c r="P763" s="100"/>
      <c r="Q763" s="105"/>
      <c r="R763" s="105"/>
      <c r="S763" s="169"/>
      <c r="U763" s="188"/>
    </row>
    <row r="764" spans="1:21" ht="38.25">
      <c r="A764" s="67" t="s">
        <v>5783</v>
      </c>
      <c r="B764" s="87" t="s">
        <v>5783</v>
      </c>
      <c r="C764" s="88" t="s">
        <v>12349</v>
      </c>
      <c r="D764" s="89"/>
      <c r="E764" s="90"/>
      <c r="F764" s="91" t="s">
        <v>12350</v>
      </c>
      <c r="G764" s="90"/>
      <c r="H764" s="91" t="s">
        <v>11473</v>
      </c>
      <c r="I764" s="92"/>
      <c r="J764" s="93"/>
      <c r="K764" s="94"/>
      <c r="L764" s="91" t="s">
        <v>11472</v>
      </c>
      <c r="M764" s="90"/>
      <c r="N764" s="91">
        <v>24</v>
      </c>
      <c r="O764" s="108" t="b">
        <v>0</v>
      </c>
      <c r="P764" s="90"/>
      <c r="Q764" s="96"/>
      <c r="R764" s="97"/>
      <c r="S764" s="169"/>
      <c r="T764" s="300" t="str">
        <f>CONCATENATE([1]Cover!$D$6,"fdd/view?i=",S764)</f>
        <v>https://www.dgiwg.org/FAD/fdd/view?i=</v>
      </c>
      <c r="U764" s="188"/>
    </row>
    <row r="765" spans="1:21" ht="2.1" customHeight="1">
      <c r="A765" s="98"/>
      <c r="B765" s="87"/>
      <c r="C765" s="99"/>
      <c r="D765" s="87"/>
      <c r="E765" s="99"/>
      <c r="F765" s="100"/>
      <c r="G765" s="100"/>
      <c r="H765" s="100"/>
      <c r="I765" s="101"/>
      <c r="J765" s="106"/>
      <c r="K765" s="103"/>
      <c r="L765" s="104"/>
      <c r="M765" s="100"/>
      <c r="N765" s="100"/>
      <c r="O765" s="100"/>
      <c r="P765" s="100"/>
      <c r="Q765" s="105"/>
      <c r="R765" s="105"/>
      <c r="S765" s="169"/>
      <c r="U765" s="188"/>
    </row>
    <row r="766" spans="1:21" ht="38.25">
      <c r="A766" s="67" t="s">
        <v>10038</v>
      </c>
      <c r="B766" s="87" t="s">
        <v>10038</v>
      </c>
      <c r="C766" s="88" t="s">
        <v>12351</v>
      </c>
      <c r="D766" s="89"/>
      <c r="E766" s="90"/>
      <c r="F766" s="91" t="s">
        <v>12352</v>
      </c>
      <c r="G766" s="90"/>
      <c r="H766" s="91" t="s">
        <v>11473</v>
      </c>
      <c r="I766" s="92"/>
      <c r="J766" s="93"/>
      <c r="K766" s="94"/>
      <c r="L766" s="91" t="s">
        <v>11472</v>
      </c>
      <c r="M766" s="90"/>
      <c r="N766" s="91">
        <v>254</v>
      </c>
      <c r="O766" s="108" t="b">
        <v>0</v>
      </c>
      <c r="P766" s="90"/>
      <c r="Q766" s="96"/>
      <c r="R766" s="97"/>
      <c r="S766" s="169"/>
      <c r="T766" s="300" t="str">
        <f>CONCATENATE([1]Cover!$D$6,"fdd/view?i=",S766)</f>
        <v>https://www.dgiwg.org/FAD/fdd/view?i=</v>
      </c>
      <c r="U766" s="188"/>
    </row>
    <row r="767" spans="1:21" ht="2.1" customHeight="1">
      <c r="A767" s="98"/>
      <c r="B767" s="87"/>
      <c r="C767" s="99"/>
      <c r="D767" s="87"/>
      <c r="E767" s="99"/>
      <c r="F767" s="100"/>
      <c r="G767" s="100"/>
      <c r="H767" s="100"/>
      <c r="I767" s="101"/>
      <c r="J767" s="106"/>
      <c r="K767" s="103"/>
      <c r="L767" s="104"/>
      <c r="M767" s="100"/>
      <c r="N767" s="100"/>
      <c r="O767" s="100"/>
      <c r="P767" s="100"/>
      <c r="Q767" s="105"/>
      <c r="R767" s="105"/>
      <c r="S767" s="169"/>
      <c r="U767" s="188"/>
    </row>
    <row r="768" spans="1:21" ht="38.25">
      <c r="A768" s="67" t="s">
        <v>8989</v>
      </c>
      <c r="B768" s="87" t="s">
        <v>8989</v>
      </c>
      <c r="C768" s="88" t="s">
        <v>12353</v>
      </c>
      <c r="D768" s="89"/>
      <c r="E768" s="90"/>
      <c r="F768" s="91" t="s">
        <v>12354</v>
      </c>
      <c r="G768" s="90"/>
      <c r="H768" s="91" t="s">
        <v>11473</v>
      </c>
      <c r="I768" s="92"/>
      <c r="J768" s="93"/>
      <c r="K768" s="94"/>
      <c r="L768" s="91" t="s">
        <v>11472</v>
      </c>
      <c r="M768" s="90"/>
      <c r="N768" s="91">
        <v>40</v>
      </c>
      <c r="O768" s="108" t="b">
        <v>0</v>
      </c>
      <c r="P768" s="90"/>
      <c r="Q768" s="96"/>
      <c r="R768" s="97"/>
      <c r="S768" s="169"/>
      <c r="T768" s="300" t="str">
        <f>CONCATENATE([1]Cover!$D$6,"fdd/view?i=",S768)</f>
        <v>https://www.dgiwg.org/FAD/fdd/view?i=</v>
      </c>
      <c r="U768" s="188"/>
    </row>
    <row r="769" spans="1:21" ht="2.1" customHeight="1">
      <c r="A769" s="98"/>
      <c r="B769" s="87"/>
      <c r="C769" s="99"/>
      <c r="D769" s="87"/>
      <c r="E769" s="99"/>
      <c r="F769" s="100"/>
      <c r="G769" s="100"/>
      <c r="H769" s="100"/>
      <c r="I769" s="101"/>
      <c r="J769" s="106"/>
      <c r="K769" s="103"/>
      <c r="L769" s="104"/>
      <c r="M769" s="100"/>
      <c r="N769" s="100"/>
      <c r="O769" s="100"/>
      <c r="P769" s="100"/>
      <c r="Q769" s="105"/>
      <c r="R769" s="105"/>
      <c r="S769" s="169"/>
      <c r="U769" s="188"/>
    </row>
    <row r="770" spans="1:21" ht="38.25">
      <c r="A770" s="67" t="s">
        <v>11402</v>
      </c>
      <c r="B770" s="87" t="s">
        <v>11402</v>
      </c>
      <c r="C770" s="88" t="s">
        <v>12355</v>
      </c>
      <c r="D770" s="89"/>
      <c r="E770" s="90"/>
      <c r="F770" s="91" t="s">
        <v>12356</v>
      </c>
      <c r="G770" s="90"/>
      <c r="H770" s="91" t="s">
        <v>11473</v>
      </c>
      <c r="I770" s="92"/>
      <c r="J770" s="93"/>
      <c r="K770" s="94"/>
      <c r="L770" s="91" t="s">
        <v>11472</v>
      </c>
      <c r="M770" s="90"/>
      <c r="N770" s="91">
        <v>5</v>
      </c>
      <c r="O770" s="108" t="b">
        <v>0</v>
      </c>
      <c r="P770" s="90"/>
      <c r="Q770" s="96"/>
      <c r="R770" s="97"/>
      <c r="S770" s="169"/>
      <c r="T770" s="300" t="str">
        <f>CONCATENATE([1]Cover!$D$6,"fdd/view?i=",S770)</f>
        <v>https://www.dgiwg.org/FAD/fdd/view?i=</v>
      </c>
      <c r="U770" s="188"/>
    </row>
    <row r="771" spans="1:21" ht="2.1" customHeight="1">
      <c r="A771" s="98"/>
      <c r="B771" s="87"/>
      <c r="C771" s="99"/>
      <c r="D771" s="87"/>
      <c r="E771" s="99"/>
      <c r="F771" s="100"/>
      <c r="G771" s="100"/>
      <c r="H771" s="100"/>
      <c r="I771" s="101"/>
      <c r="J771" s="106"/>
      <c r="K771" s="103"/>
      <c r="L771" s="104"/>
      <c r="M771" s="100"/>
      <c r="N771" s="100"/>
      <c r="O771" s="100"/>
      <c r="P771" s="100"/>
      <c r="Q771" s="105"/>
      <c r="R771" s="105"/>
      <c r="S771" s="169"/>
      <c r="U771" s="188"/>
    </row>
    <row r="772" spans="1:21" ht="38.25">
      <c r="A772" s="67" t="s">
        <v>5671</v>
      </c>
      <c r="B772" s="87" t="s">
        <v>5671</v>
      </c>
      <c r="C772" s="88" t="s">
        <v>12357</v>
      </c>
      <c r="D772" s="89"/>
      <c r="E772" s="90"/>
      <c r="F772" s="91" t="s">
        <v>12358</v>
      </c>
      <c r="G772" s="90"/>
      <c r="H772" s="91" t="s">
        <v>11473</v>
      </c>
      <c r="I772" s="92"/>
      <c r="J772" s="93"/>
      <c r="K772" s="94"/>
      <c r="L772" s="91" t="s">
        <v>11472</v>
      </c>
      <c r="M772" s="90"/>
      <c r="N772" s="91">
        <v>80</v>
      </c>
      <c r="O772" s="108" t="b">
        <v>0</v>
      </c>
      <c r="P772" s="90"/>
      <c r="Q772" s="96"/>
      <c r="R772" s="97"/>
      <c r="S772" s="169"/>
      <c r="T772" s="300" t="str">
        <f>CONCATENATE([1]Cover!$D$6,"fdd/view?i=",S772)</f>
        <v>https://www.dgiwg.org/FAD/fdd/view?i=</v>
      </c>
      <c r="U772" s="188"/>
    </row>
    <row r="773" spans="1:21" ht="2.1" customHeight="1">
      <c r="A773" s="98"/>
      <c r="B773" s="87"/>
      <c r="C773" s="99"/>
      <c r="D773" s="87"/>
      <c r="E773" s="99"/>
      <c r="F773" s="100"/>
      <c r="G773" s="100"/>
      <c r="H773" s="100"/>
      <c r="I773" s="101"/>
      <c r="J773" s="106"/>
      <c r="K773" s="103"/>
      <c r="L773" s="104"/>
      <c r="M773" s="100"/>
      <c r="N773" s="100"/>
      <c r="O773" s="100"/>
      <c r="P773" s="100"/>
      <c r="Q773" s="105"/>
      <c r="R773" s="105"/>
      <c r="S773" s="169"/>
      <c r="U773" s="188"/>
    </row>
    <row r="774" spans="1:21" ht="38.25">
      <c r="A774" s="67" t="s">
        <v>7810</v>
      </c>
      <c r="B774" s="87" t="s">
        <v>7810</v>
      </c>
      <c r="C774" s="88" t="s">
        <v>12359</v>
      </c>
      <c r="D774" s="89"/>
      <c r="E774" s="90"/>
      <c r="F774" s="91" t="s">
        <v>12360</v>
      </c>
      <c r="G774" s="90"/>
      <c r="H774" s="91" t="s">
        <v>11744</v>
      </c>
      <c r="I774" s="92"/>
      <c r="J774" s="93"/>
      <c r="K774" s="94"/>
      <c r="L774" s="153" t="s">
        <v>11414</v>
      </c>
      <c r="M774" s="91" t="b">
        <v>1</v>
      </c>
      <c r="N774" s="90"/>
      <c r="O774" s="95"/>
      <c r="P774" s="91" t="s">
        <v>11753</v>
      </c>
      <c r="Q774" s="96"/>
      <c r="R774" s="97"/>
      <c r="S774" s="169"/>
      <c r="T774" s="300" t="str">
        <f>CONCATENATE([1]Cover!$D$6,"fdd/view?i=",S774)</f>
        <v>https://www.dgiwg.org/FAD/fdd/view?i=</v>
      </c>
      <c r="U774" s="188"/>
    </row>
    <row r="775" spans="1:21" ht="2.1" customHeight="1">
      <c r="A775" s="98"/>
      <c r="B775" s="87"/>
      <c r="C775" s="99"/>
      <c r="D775" s="87"/>
      <c r="E775" s="99"/>
      <c r="F775" s="100"/>
      <c r="G775" s="100"/>
      <c r="H775" s="100"/>
      <c r="I775" s="101"/>
      <c r="J775" s="106"/>
      <c r="K775" s="103"/>
      <c r="L775" s="104"/>
      <c r="M775" s="100"/>
      <c r="N775" s="100"/>
      <c r="O775" s="100"/>
      <c r="P775" s="100"/>
      <c r="Q775" s="105"/>
      <c r="R775" s="105"/>
      <c r="S775" s="169"/>
      <c r="U775" s="188"/>
    </row>
    <row r="776" spans="1:21">
      <c r="A776" s="67" t="s">
        <v>7815</v>
      </c>
      <c r="B776" s="87" t="s">
        <v>7815</v>
      </c>
      <c r="C776" s="88" t="s">
        <v>12361</v>
      </c>
      <c r="D776" s="89"/>
      <c r="E776" s="90"/>
      <c r="F776" s="91" t="s">
        <v>12362</v>
      </c>
      <c r="G776" s="90"/>
      <c r="H776" s="90"/>
      <c r="I776" s="92"/>
      <c r="J776" s="93"/>
      <c r="K776" s="94"/>
      <c r="L776" s="149" t="str">
        <f>HYPERLINK("[#]DatatypeListedValues!B4125:H4125","Enumeration")</f>
        <v>Enumeration</v>
      </c>
      <c r="M776" s="107" t="b">
        <v>0</v>
      </c>
      <c r="N776" s="90"/>
      <c r="O776" s="95"/>
      <c r="P776" s="90"/>
      <c r="Q776" s="96"/>
      <c r="R776" s="97"/>
      <c r="S776" s="169"/>
      <c r="T776" s="300" t="str">
        <f>CONCATENATE([1]Cover!$D$6,"fdd/view?i=",S776)</f>
        <v>https://www.dgiwg.org/FAD/fdd/view?i=</v>
      </c>
      <c r="U776" s="188"/>
    </row>
    <row r="777" spans="1:21" ht="2.1" customHeight="1">
      <c r="A777" s="98"/>
      <c r="B777" s="87"/>
      <c r="C777" s="99"/>
      <c r="D777" s="87"/>
      <c r="E777" s="99"/>
      <c r="F777" s="100"/>
      <c r="G777" s="100"/>
      <c r="H777" s="100"/>
      <c r="I777" s="101"/>
      <c r="J777" s="106"/>
      <c r="K777" s="103"/>
      <c r="L777" s="104"/>
      <c r="M777" s="100"/>
      <c r="N777" s="100"/>
      <c r="O777" s="100"/>
      <c r="P777" s="100"/>
      <c r="Q777" s="105"/>
      <c r="R777" s="105"/>
      <c r="S777" s="169"/>
      <c r="U777" s="188"/>
    </row>
    <row r="778" spans="1:21" ht="25.5">
      <c r="A778" s="67" t="s">
        <v>7829</v>
      </c>
      <c r="B778" s="87" t="s">
        <v>7829</v>
      </c>
      <c r="C778" s="88" t="s">
        <v>12363</v>
      </c>
      <c r="D778" s="89"/>
      <c r="E778" s="90"/>
      <c r="F778" s="91" t="s">
        <v>12364</v>
      </c>
      <c r="G778" s="90"/>
      <c r="H778" s="90"/>
      <c r="I778" s="92"/>
      <c r="J778" s="93"/>
      <c r="K778" s="94"/>
      <c r="L778" s="149" t="str">
        <f>HYPERLINK("[#]DatatypeListedValues!B4188:H4188","Enumeration")</f>
        <v>Enumeration</v>
      </c>
      <c r="M778" s="107" t="b">
        <v>0</v>
      </c>
      <c r="N778" s="90"/>
      <c r="O778" s="95"/>
      <c r="P778" s="90"/>
      <c r="Q778" s="96"/>
      <c r="R778" s="97"/>
      <c r="S778" s="169"/>
      <c r="T778" s="300" t="str">
        <f>CONCATENATE([1]Cover!$D$6,"fdd/view?i=",S778)</f>
        <v>https://www.dgiwg.org/FAD/fdd/view?i=</v>
      </c>
      <c r="U778" s="188"/>
    </row>
    <row r="779" spans="1:21" ht="2.1" customHeight="1">
      <c r="A779" s="98"/>
      <c r="B779" s="87"/>
      <c r="C779" s="99"/>
      <c r="D779" s="87"/>
      <c r="E779" s="99"/>
      <c r="F779" s="100"/>
      <c r="G779" s="100"/>
      <c r="H779" s="100"/>
      <c r="I779" s="101"/>
      <c r="J779" s="106"/>
      <c r="K779" s="103"/>
      <c r="L779" s="104"/>
      <c r="M779" s="100"/>
      <c r="N779" s="100"/>
      <c r="O779" s="100"/>
      <c r="P779" s="100"/>
      <c r="Q779" s="105"/>
      <c r="R779" s="105"/>
      <c r="S779" s="169"/>
      <c r="U779" s="188"/>
    </row>
    <row r="780" spans="1:21" ht="38.25">
      <c r="A780" s="67" t="s">
        <v>8013</v>
      </c>
      <c r="B780" s="87" t="s">
        <v>8013</v>
      </c>
      <c r="C780" s="88" t="s">
        <v>12365</v>
      </c>
      <c r="D780" s="89"/>
      <c r="E780" s="90"/>
      <c r="F780" s="91" t="s">
        <v>12366</v>
      </c>
      <c r="G780" s="90"/>
      <c r="H780" s="91" t="s">
        <v>11744</v>
      </c>
      <c r="I780" s="92"/>
      <c r="J780" s="93"/>
      <c r="K780" s="94"/>
      <c r="L780" s="153" t="s">
        <v>11414</v>
      </c>
      <c r="M780" s="91" t="b">
        <v>1</v>
      </c>
      <c r="N780" s="90"/>
      <c r="O780" s="95"/>
      <c r="P780" s="91" t="s">
        <v>11753</v>
      </c>
      <c r="Q780" s="96"/>
      <c r="R780" s="97"/>
      <c r="S780" s="169"/>
      <c r="T780" s="300" t="str">
        <f>CONCATENATE([1]Cover!$D$6,"fdd/view?i=",S780)</f>
        <v>https://www.dgiwg.org/FAD/fdd/view?i=</v>
      </c>
      <c r="U780" s="188"/>
    </row>
    <row r="781" spans="1:21" ht="2.1" customHeight="1">
      <c r="A781" s="98"/>
      <c r="B781" s="87"/>
      <c r="C781" s="99"/>
      <c r="D781" s="87"/>
      <c r="E781" s="99"/>
      <c r="F781" s="100"/>
      <c r="G781" s="100"/>
      <c r="H781" s="100"/>
      <c r="I781" s="101"/>
      <c r="J781" s="106"/>
      <c r="K781" s="103"/>
      <c r="L781" s="104"/>
      <c r="M781" s="100"/>
      <c r="N781" s="100"/>
      <c r="O781" s="100"/>
      <c r="P781" s="100"/>
      <c r="Q781" s="105"/>
      <c r="R781" s="105"/>
      <c r="S781" s="169"/>
      <c r="U781" s="188"/>
    </row>
    <row r="782" spans="1:21" ht="38.25">
      <c r="A782" s="67" t="s">
        <v>7850</v>
      </c>
      <c r="B782" s="87" t="s">
        <v>7850</v>
      </c>
      <c r="C782" s="88" t="s">
        <v>12367</v>
      </c>
      <c r="D782" s="89"/>
      <c r="E782" s="90"/>
      <c r="F782" s="91" t="s">
        <v>12368</v>
      </c>
      <c r="G782" s="90"/>
      <c r="H782" s="91" t="s">
        <v>11426</v>
      </c>
      <c r="I782" s="92"/>
      <c r="J782" s="93"/>
      <c r="K782" s="94"/>
      <c r="L782" s="91" t="s">
        <v>11425</v>
      </c>
      <c r="M782" s="90"/>
      <c r="N782" s="91">
        <v>3</v>
      </c>
      <c r="O782" s="108" t="b">
        <v>0</v>
      </c>
      <c r="P782" s="90"/>
      <c r="Q782" s="96"/>
      <c r="R782" s="97"/>
      <c r="S782" s="169"/>
      <c r="T782" s="300" t="str">
        <f>CONCATENATE([1]Cover!$D$6,"fdd/view?i=",S782)</f>
        <v>https://www.dgiwg.org/FAD/fdd/view?i=</v>
      </c>
      <c r="U782" s="188"/>
    </row>
    <row r="783" spans="1:21" ht="2.1" customHeight="1">
      <c r="A783" s="98"/>
      <c r="B783" s="87"/>
      <c r="C783" s="99"/>
      <c r="D783" s="87"/>
      <c r="E783" s="99"/>
      <c r="F783" s="100"/>
      <c r="G783" s="100"/>
      <c r="H783" s="100"/>
      <c r="I783" s="101"/>
      <c r="J783" s="106"/>
      <c r="K783" s="103"/>
      <c r="L783" s="104"/>
      <c r="M783" s="100"/>
      <c r="N783" s="100"/>
      <c r="O783" s="100"/>
      <c r="P783" s="100"/>
      <c r="Q783" s="105"/>
      <c r="R783" s="105"/>
      <c r="S783" s="169"/>
      <c r="U783" s="188"/>
    </row>
    <row r="784" spans="1:21" ht="38.25">
      <c r="A784" s="67" t="s">
        <v>7844</v>
      </c>
      <c r="B784" s="87" t="s">
        <v>7844</v>
      </c>
      <c r="C784" s="88" t="s">
        <v>12369</v>
      </c>
      <c r="D784" s="89"/>
      <c r="E784" s="90"/>
      <c r="F784" s="91" t="s">
        <v>12370</v>
      </c>
      <c r="G784" s="90"/>
      <c r="H784" s="91" t="s">
        <v>11426</v>
      </c>
      <c r="I784" s="92"/>
      <c r="J784" s="93"/>
      <c r="K784" s="94"/>
      <c r="L784" s="91" t="s">
        <v>11425</v>
      </c>
      <c r="M784" s="90"/>
      <c r="N784" s="91">
        <v>3</v>
      </c>
      <c r="O784" s="108" t="b">
        <v>0</v>
      </c>
      <c r="P784" s="90"/>
      <c r="Q784" s="96"/>
      <c r="R784" s="97"/>
      <c r="S784" s="169"/>
      <c r="T784" s="300" t="str">
        <f>CONCATENATE([1]Cover!$D$6,"fdd/view?i=",S784)</f>
        <v>https://www.dgiwg.org/FAD/fdd/view?i=</v>
      </c>
      <c r="U784" s="188"/>
    </row>
    <row r="785" spans="1:21" ht="2.1" customHeight="1">
      <c r="A785" s="98"/>
      <c r="B785" s="87"/>
      <c r="C785" s="99"/>
      <c r="D785" s="87"/>
      <c r="E785" s="99"/>
      <c r="F785" s="100"/>
      <c r="G785" s="100"/>
      <c r="H785" s="100"/>
      <c r="I785" s="101"/>
      <c r="J785" s="106"/>
      <c r="K785" s="103"/>
      <c r="L785" s="104"/>
      <c r="M785" s="100"/>
      <c r="N785" s="100"/>
      <c r="O785" s="100"/>
      <c r="P785" s="100"/>
      <c r="Q785" s="105"/>
      <c r="R785" s="105"/>
      <c r="S785" s="169"/>
      <c r="U785" s="188"/>
    </row>
    <row r="786" spans="1:21" ht="178.5">
      <c r="A786" s="67" t="s">
        <v>7855</v>
      </c>
      <c r="B786" s="87" t="s">
        <v>7855</v>
      </c>
      <c r="C786" s="88" t="s">
        <v>12371</v>
      </c>
      <c r="D786" s="89"/>
      <c r="E786" s="90"/>
      <c r="F786" s="91" t="s">
        <v>12372</v>
      </c>
      <c r="G786" s="90"/>
      <c r="H786" s="91" t="s">
        <v>11426</v>
      </c>
      <c r="I786" s="92"/>
      <c r="J786" s="93"/>
      <c r="K786" s="94"/>
      <c r="L786" s="91" t="s">
        <v>11425</v>
      </c>
      <c r="M786" s="90"/>
      <c r="N786" s="91">
        <v>20</v>
      </c>
      <c r="O786" s="108" t="b">
        <v>0</v>
      </c>
      <c r="P786" s="91" t="s">
        <v>11909</v>
      </c>
      <c r="Q786" s="96"/>
      <c r="R786" s="97"/>
      <c r="S786" s="169"/>
      <c r="T786" s="300" t="str">
        <f>CONCATENATE([1]Cover!$D$6,"fdd/view?i=",S786)</f>
        <v>https://www.dgiwg.org/FAD/fdd/view?i=</v>
      </c>
      <c r="U786" s="188"/>
    </row>
    <row r="787" spans="1:21" ht="2.1" customHeight="1">
      <c r="A787" s="98"/>
      <c r="B787" s="87"/>
      <c r="C787" s="99"/>
      <c r="D787" s="87"/>
      <c r="E787" s="99"/>
      <c r="F787" s="100"/>
      <c r="G787" s="100"/>
      <c r="H787" s="100"/>
      <c r="I787" s="101"/>
      <c r="J787" s="106"/>
      <c r="K787" s="103"/>
      <c r="L787" s="104"/>
      <c r="M787" s="100"/>
      <c r="N787" s="100"/>
      <c r="O787" s="100"/>
      <c r="P787" s="100"/>
      <c r="Q787" s="105"/>
      <c r="R787" s="105"/>
      <c r="S787" s="169"/>
      <c r="U787" s="188"/>
    </row>
    <row r="788" spans="1:21" ht="178.5">
      <c r="A788" s="67" t="s">
        <v>7860</v>
      </c>
      <c r="B788" s="87" t="s">
        <v>7860</v>
      </c>
      <c r="C788" s="88" t="s">
        <v>12373</v>
      </c>
      <c r="D788" s="89"/>
      <c r="E788" s="90"/>
      <c r="F788" s="91" t="s">
        <v>12374</v>
      </c>
      <c r="G788" s="90"/>
      <c r="H788" s="91" t="s">
        <v>11426</v>
      </c>
      <c r="I788" s="92"/>
      <c r="J788" s="93"/>
      <c r="K788" s="94"/>
      <c r="L788" s="91" t="s">
        <v>11425</v>
      </c>
      <c r="M788" s="90"/>
      <c r="N788" s="91">
        <v>20</v>
      </c>
      <c r="O788" s="108" t="b">
        <v>0</v>
      </c>
      <c r="P788" s="91" t="s">
        <v>11909</v>
      </c>
      <c r="Q788" s="96"/>
      <c r="R788" s="97"/>
      <c r="S788" s="169"/>
      <c r="T788" s="300" t="str">
        <f>CONCATENATE([1]Cover!$D$6,"fdd/view?i=",S788)</f>
        <v>https://www.dgiwg.org/FAD/fdd/view?i=</v>
      </c>
      <c r="U788" s="188"/>
    </row>
    <row r="789" spans="1:21" ht="2.1" customHeight="1">
      <c r="A789" s="98"/>
      <c r="B789" s="87"/>
      <c r="C789" s="99"/>
      <c r="D789" s="87"/>
      <c r="E789" s="99"/>
      <c r="F789" s="100"/>
      <c r="G789" s="100"/>
      <c r="H789" s="100"/>
      <c r="I789" s="101"/>
      <c r="J789" s="106"/>
      <c r="K789" s="103"/>
      <c r="L789" s="104"/>
      <c r="M789" s="100"/>
      <c r="N789" s="100"/>
      <c r="O789" s="100"/>
      <c r="P789" s="100"/>
      <c r="Q789" s="105"/>
      <c r="R789" s="105"/>
      <c r="S789" s="169"/>
      <c r="U789" s="188"/>
    </row>
    <row r="790" spans="1:21" ht="25.5">
      <c r="A790" s="67" t="s">
        <v>7918</v>
      </c>
      <c r="B790" s="87" t="s">
        <v>7918</v>
      </c>
      <c r="C790" s="88" t="s">
        <v>12375</v>
      </c>
      <c r="D790" s="89"/>
      <c r="E790" s="90"/>
      <c r="F790" s="91" t="s">
        <v>12376</v>
      </c>
      <c r="G790" s="90"/>
      <c r="H790" s="90"/>
      <c r="I790" s="92"/>
      <c r="J790" s="93"/>
      <c r="K790" s="94"/>
      <c r="L790" s="149" t="str">
        <f>HYPERLINK("[#]DatatypeListedValues!B4194:H4194","Enumeration")</f>
        <v>Enumeration</v>
      </c>
      <c r="M790" s="107" t="b">
        <v>0</v>
      </c>
      <c r="N790" s="90"/>
      <c r="O790" s="95"/>
      <c r="P790" s="90"/>
      <c r="Q790" s="96"/>
      <c r="R790" s="97"/>
      <c r="S790" s="169"/>
      <c r="T790" s="300" t="str">
        <f>CONCATENATE([1]Cover!$D$6,"fdd/view?i=",S790)</f>
        <v>https://www.dgiwg.org/FAD/fdd/view?i=</v>
      </c>
      <c r="U790" s="188"/>
    </row>
    <row r="791" spans="1:21" ht="2.1" customHeight="1">
      <c r="A791" s="98"/>
      <c r="B791" s="87"/>
      <c r="C791" s="99"/>
      <c r="D791" s="87"/>
      <c r="E791" s="99"/>
      <c r="F791" s="100"/>
      <c r="G791" s="100"/>
      <c r="H791" s="100"/>
      <c r="I791" s="101"/>
      <c r="J791" s="106"/>
      <c r="K791" s="103"/>
      <c r="L791" s="104"/>
      <c r="M791" s="100"/>
      <c r="N791" s="100"/>
      <c r="O791" s="100"/>
      <c r="P791" s="100"/>
      <c r="Q791" s="105"/>
      <c r="R791" s="105"/>
      <c r="S791" s="169"/>
      <c r="U791" s="188"/>
    </row>
    <row r="792" spans="1:21" ht="25.5">
      <c r="A792" s="67" t="s">
        <v>7924</v>
      </c>
      <c r="B792" s="87" t="s">
        <v>7924</v>
      </c>
      <c r="C792" s="88" t="s">
        <v>12377</v>
      </c>
      <c r="D792" s="89"/>
      <c r="E792" s="90"/>
      <c r="F792" s="91" t="s">
        <v>12378</v>
      </c>
      <c r="G792" s="90"/>
      <c r="H792" s="90"/>
      <c r="I792" s="92"/>
      <c r="J792" s="93"/>
      <c r="K792" s="94"/>
      <c r="L792" s="149" t="str">
        <f>HYPERLINK("[#]DatatypeListedValues!B4197:H4197","Enumeration")</f>
        <v>Enumeration</v>
      </c>
      <c r="M792" s="107" t="b">
        <v>0</v>
      </c>
      <c r="N792" s="90"/>
      <c r="O792" s="95"/>
      <c r="P792" s="90"/>
      <c r="Q792" s="96"/>
      <c r="R792" s="97"/>
      <c r="S792" s="169"/>
      <c r="T792" s="300" t="str">
        <f>CONCATENATE([1]Cover!$D$6,"fdd/view?i=",S792)</f>
        <v>https://www.dgiwg.org/FAD/fdd/view?i=</v>
      </c>
      <c r="U792" s="188"/>
    </row>
    <row r="793" spans="1:21" ht="2.1" customHeight="1">
      <c r="A793" s="98"/>
      <c r="B793" s="87"/>
      <c r="C793" s="99"/>
      <c r="D793" s="87"/>
      <c r="E793" s="99"/>
      <c r="F793" s="100"/>
      <c r="G793" s="100"/>
      <c r="H793" s="100"/>
      <c r="I793" s="101"/>
      <c r="J793" s="106"/>
      <c r="K793" s="103"/>
      <c r="L793" s="104"/>
      <c r="M793" s="100"/>
      <c r="N793" s="100"/>
      <c r="O793" s="100"/>
      <c r="P793" s="100"/>
      <c r="Q793" s="105"/>
      <c r="R793" s="105"/>
      <c r="S793" s="169"/>
      <c r="U793" s="188"/>
    </row>
    <row r="794" spans="1:21">
      <c r="A794" s="67" t="s">
        <v>7929</v>
      </c>
      <c r="B794" s="87" t="s">
        <v>7929</v>
      </c>
      <c r="C794" s="88" t="s">
        <v>12379</v>
      </c>
      <c r="D794" s="89"/>
      <c r="E794" s="90"/>
      <c r="F794" s="91" t="s">
        <v>12380</v>
      </c>
      <c r="G794" s="90"/>
      <c r="H794" s="90"/>
      <c r="I794" s="92"/>
      <c r="J794" s="93"/>
      <c r="K794" s="94"/>
      <c r="L794" s="149" t="str">
        <f>HYPERLINK("[#]DatatypeListedValues!B4199:H4199","Enumeration")</f>
        <v>Enumeration</v>
      </c>
      <c r="M794" s="107" t="b">
        <v>0</v>
      </c>
      <c r="N794" s="90"/>
      <c r="O794" s="95"/>
      <c r="P794" s="90"/>
      <c r="Q794" s="96"/>
      <c r="R794" s="97"/>
      <c r="S794" s="169"/>
      <c r="T794" s="300" t="str">
        <f>CONCATENATE([1]Cover!$D$6,"fdd/view?i=",S794)</f>
        <v>https://www.dgiwg.org/FAD/fdd/view?i=</v>
      </c>
      <c r="U794" s="188"/>
    </row>
    <row r="795" spans="1:21" ht="2.1" customHeight="1">
      <c r="A795" s="98"/>
      <c r="B795" s="87"/>
      <c r="C795" s="99"/>
      <c r="D795" s="87"/>
      <c r="E795" s="99"/>
      <c r="F795" s="100"/>
      <c r="G795" s="100"/>
      <c r="H795" s="100"/>
      <c r="I795" s="101"/>
      <c r="J795" s="106"/>
      <c r="K795" s="103"/>
      <c r="L795" s="104"/>
      <c r="M795" s="100"/>
      <c r="N795" s="100"/>
      <c r="O795" s="100"/>
      <c r="P795" s="100"/>
      <c r="Q795" s="105"/>
      <c r="R795" s="105"/>
      <c r="S795" s="169"/>
      <c r="U795" s="188"/>
    </row>
    <row r="796" spans="1:21" ht="38.25">
      <c r="A796" s="67" t="s">
        <v>7946</v>
      </c>
      <c r="B796" s="87" t="s">
        <v>7946</v>
      </c>
      <c r="C796" s="88" t="s">
        <v>12381</v>
      </c>
      <c r="D796" s="89"/>
      <c r="E796" s="90"/>
      <c r="F796" s="91" t="s">
        <v>12382</v>
      </c>
      <c r="G796" s="90"/>
      <c r="H796" s="91" t="s">
        <v>11513</v>
      </c>
      <c r="I796" s="92"/>
      <c r="J796" s="93"/>
      <c r="K796" s="94"/>
      <c r="L796" s="104" t="s">
        <v>11429</v>
      </c>
      <c r="M796" s="90"/>
      <c r="N796" s="90"/>
      <c r="O796" s="95"/>
      <c r="P796" s="90"/>
      <c r="Q796" s="96"/>
      <c r="R796" s="97"/>
      <c r="S796" s="169"/>
      <c r="T796" s="300" t="str">
        <f>CONCATENATE([1]Cover!$D$6,"fdd/view?i=",S796)</f>
        <v>https://www.dgiwg.org/FAD/fdd/view?i=</v>
      </c>
      <c r="U796" s="188"/>
    </row>
    <row r="797" spans="1:21" ht="2.1" customHeight="1">
      <c r="A797" s="98"/>
      <c r="B797" s="87"/>
      <c r="C797" s="99"/>
      <c r="D797" s="87"/>
      <c r="E797" s="99"/>
      <c r="F797" s="100"/>
      <c r="G797" s="100"/>
      <c r="H797" s="100"/>
      <c r="I797" s="101"/>
      <c r="J797" s="106"/>
      <c r="K797" s="103"/>
      <c r="L797" s="104"/>
      <c r="M797" s="100"/>
      <c r="N797" s="100"/>
      <c r="O797" s="100"/>
      <c r="P797" s="100"/>
      <c r="Q797" s="105"/>
      <c r="R797" s="105"/>
      <c r="S797" s="169"/>
      <c r="U797" s="188"/>
    </row>
    <row r="798" spans="1:21" ht="38.25">
      <c r="A798" s="67" t="s">
        <v>7951</v>
      </c>
      <c r="B798" s="87" t="s">
        <v>7951</v>
      </c>
      <c r="C798" s="88" t="s">
        <v>12383</v>
      </c>
      <c r="D798" s="89"/>
      <c r="E798" s="90"/>
      <c r="F798" s="91" t="s">
        <v>12384</v>
      </c>
      <c r="G798" s="90"/>
      <c r="H798" s="91" t="s">
        <v>11513</v>
      </c>
      <c r="I798" s="92"/>
      <c r="J798" s="93"/>
      <c r="K798" s="94"/>
      <c r="L798" s="104" t="s">
        <v>11429</v>
      </c>
      <c r="M798" s="90"/>
      <c r="N798" s="90"/>
      <c r="O798" s="95"/>
      <c r="P798" s="90"/>
      <c r="Q798" s="96"/>
      <c r="R798" s="97"/>
      <c r="S798" s="169"/>
      <c r="T798" s="300" t="str">
        <f>CONCATENATE([1]Cover!$D$6,"fdd/view?i=",S798)</f>
        <v>https://www.dgiwg.org/FAD/fdd/view?i=</v>
      </c>
      <c r="U798" s="188"/>
    </row>
    <row r="799" spans="1:21" ht="2.1" customHeight="1">
      <c r="A799" s="98"/>
      <c r="B799" s="87"/>
      <c r="C799" s="99"/>
      <c r="D799" s="87"/>
      <c r="E799" s="99"/>
      <c r="F799" s="100"/>
      <c r="G799" s="100"/>
      <c r="H799" s="100"/>
      <c r="I799" s="101"/>
      <c r="J799" s="106"/>
      <c r="K799" s="103"/>
      <c r="L799" s="104"/>
      <c r="M799" s="100"/>
      <c r="N799" s="100"/>
      <c r="O799" s="100"/>
      <c r="P799" s="100"/>
      <c r="Q799" s="105"/>
      <c r="R799" s="105"/>
      <c r="S799" s="169"/>
      <c r="U799" s="188"/>
    </row>
    <row r="800" spans="1:21" ht="25.5">
      <c r="A800" s="67" t="s">
        <v>7961</v>
      </c>
      <c r="B800" s="87" t="s">
        <v>7961</v>
      </c>
      <c r="C800" s="88" t="s">
        <v>12385</v>
      </c>
      <c r="D800" s="89"/>
      <c r="E800" s="90"/>
      <c r="F800" s="91" t="s">
        <v>12386</v>
      </c>
      <c r="G800" s="90"/>
      <c r="H800" s="90"/>
      <c r="I800" s="92"/>
      <c r="J800" s="93"/>
      <c r="K800" s="94"/>
      <c r="L800" s="149" t="str">
        <f>HYPERLINK("[#]DatatypeListedValues!B4207:H4207","Enumeration")</f>
        <v>Enumeration</v>
      </c>
      <c r="M800" s="107" t="b">
        <v>0</v>
      </c>
      <c r="N800" s="90"/>
      <c r="O800" s="95"/>
      <c r="P800" s="90"/>
      <c r="Q800" s="96"/>
      <c r="R800" s="97"/>
      <c r="S800" s="169"/>
      <c r="T800" s="300" t="str">
        <f>CONCATENATE([1]Cover!$D$6,"fdd/view?i=",S800)</f>
        <v>https://www.dgiwg.org/FAD/fdd/view?i=</v>
      </c>
      <c r="U800" s="188"/>
    </row>
    <row r="801" spans="1:21" ht="2.1" customHeight="1">
      <c r="A801" s="98"/>
      <c r="B801" s="87"/>
      <c r="C801" s="99"/>
      <c r="D801" s="87"/>
      <c r="E801" s="99"/>
      <c r="F801" s="100"/>
      <c r="G801" s="100"/>
      <c r="H801" s="100"/>
      <c r="I801" s="101"/>
      <c r="J801" s="106"/>
      <c r="K801" s="103"/>
      <c r="L801" s="104"/>
      <c r="M801" s="100"/>
      <c r="N801" s="100"/>
      <c r="O801" s="100"/>
      <c r="P801" s="100"/>
      <c r="Q801" s="105"/>
      <c r="R801" s="105"/>
      <c r="S801" s="169"/>
      <c r="U801" s="188"/>
    </row>
    <row r="802" spans="1:21" ht="25.5">
      <c r="A802" s="67" t="s">
        <v>7991</v>
      </c>
      <c r="B802" s="87" t="s">
        <v>7991</v>
      </c>
      <c r="C802" s="88" t="s">
        <v>12387</v>
      </c>
      <c r="D802" s="89"/>
      <c r="E802" s="90"/>
      <c r="F802" s="91" t="s">
        <v>12388</v>
      </c>
      <c r="G802" s="90"/>
      <c r="H802" s="90"/>
      <c r="I802" s="92"/>
      <c r="J802" s="93"/>
      <c r="K802" s="94"/>
      <c r="L802" s="149" t="str">
        <f>HYPERLINK("[#]DatatypeListedValues!B4211:H4211","Enumeration")</f>
        <v>Enumeration</v>
      </c>
      <c r="M802" s="107" t="b">
        <v>0</v>
      </c>
      <c r="N802" s="90"/>
      <c r="O802" s="95"/>
      <c r="P802" s="90"/>
      <c r="Q802" s="96"/>
      <c r="R802" s="97"/>
      <c r="S802" s="169"/>
      <c r="T802" s="300" t="str">
        <f>CONCATENATE([1]Cover!$D$6,"fdd/view?i=",S802)</f>
        <v>https://www.dgiwg.org/FAD/fdd/view?i=</v>
      </c>
      <c r="U802" s="188"/>
    </row>
    <row r="803" spans="1:21" ht="2.1" customHeight="1">
      <c r="A803" s="98"/>
      <c r="B803" s="87"/>
      <c r="C803" s="99"/>
      <c r="D803" s="87"/>
      <c r="E803" s="99"/>
      <c r="F803" s="100"/>
      <c r="G803" s="100"/>
      <c r="H803" s="100"/>
      <c r="I803" s="101"/>
      <c r="J803" s="106"/>
      <c r="K803" s="103"/>
      <c r="L803" s="104"/>
      <c r="M803" s="100"/>
      <c r="N803" s="100"/>
      <c r="O803" s="100"/>
      <c r="P803" s="100"/>
      <c r="Q803" s="105"/>
      <c r="R803" s="105"/>
      <c r="S803" s="169"/>
      <c r="U803" s="188"/>
    </row>
    <row r="804" spans="1:21" ht="25.5">
      <c r="A804" s="67" t="s">
        <v>8030</v>
      </c>
      <c r="B804" s="87" t="s">
        <v>8030</v>
      </c>
      <c r="C804" s="88" t="s">
        <v>12389</v>
      </c>
      <c r="D804" s="89"/>
      <c r="E804" s="90"/>
      <c r="F804" s="91" t="s">
        <v>12390</v>
      </c>
      <c r="G804" s="90"/>
      <c r="H804" s="90"/>
      <c r="I804" s="92"/>
      <c r="J804" s="93"/>
      <c r="K804" s="94"/>
      <c r="L804" s="149" t="str">
        <f>HYPERLINK("[#]DatatypeListedValues!B4216:H4216","Enumeration")</f>
        <v>Enumeration</v>
      </c>
      <c r="M804" s="91" t="b">
        <v>1</v>
      </c>
      <c r="N804" s="90"/>
      <c r="O804" s="95"/>
      <c r="P804" s="90"/>
      <c r="Q804" s="96"/>
      <c r="R804" s="97"/>
      <c r="S804" s="169"/>
      <c r="T804" s="300" t="str">
        <f>CONCATENATE([1]Cover!$D$6,"fdd/view?i=",S804)</f>
        <v>https://www.dgiwg.org/FAD/fdd/view?i=</v>
      </c>
      <c r="U804" s="188"/>
    </row>
    <row r="805" spans="1:21" ht="2.1" customHeight="1">
      <c r="A805" s="98"/>
      <c r="B805" s="87"/>
      <c r="C805" s="99"/>
      <c r="D805" s="87"/>
      <c r="E805" s="99"/>
      <c r="F805" s="100"/>
      <c r="G805" s="100"/>
      <c r="H805" s="100"/>
      <c r="I805" s="101"/>
      <c r="J805" s="106"/>
      <c r="K805" s="103"/>
      <c r="L805" s="104"/>
      <c r="M805" s="100"/>
      <c r="N805" s="100"/>
      <c r="O805" s="100"/>
      <c r="P805" s="100"/>
      <c r="Q805" s="105"/>
      <c r="R805" s="105"/>
      <c r="S805" s="169"/>
      <c r="U805" s="188"/>
    </row>
    <row r="806" spans="1:21" ht="25.5">
      <c r="A806" s="67" t="s">
        <v>8043</v>
      </c>
      <c r="B806" s="87" t="s">
        <v>8043</v>
      </c>
      <c r="C806" s="88" t="s">
        <v>8041</v>
      </c>
      <c r="D806" s="89"/>
      <c r="E806" s="90"/>
      <c r="F806" s="91" t="s">
        <v>12391</v>
      </c>
      <c r="G806" s="90"/>
      <c r="H806" s="90"/>
      <c r="I806" s="92"/>
      <c r="J806" s="93"/>
      <c r="K806" s="94"/>
      <c r="L806" s="149" t="str">
        <f>HYPERLINK("[#]DatatypeListedValues!B4219:H4219","Enumeration")</f>
        <v>Enumeration</v>
      </c>
      <c r="M806" s="107" t="b">
        <v>0</v>
      </c>
      <c r="N806" s="90"/>
      <c r="O806" s="95"/>
      <c r="P806" s="90"/>
      <c r="Q806" s="96"/>
      <c r="R806" s="97"/>
      <c r="S806" s="169"/>
      <c r="T806" s="300" t="str">
        <f>CONCATENATE([1]Cover!$D$6,"fdd/view?i=",S806)</f>
        <v>https://www.dgiwg.org/FAD/fdd/view?i=</v>
      </c>
      <c r="U806" s="188"/>
    </row>
    <row r="807" spans="1:21" ht="2.1" customHeight="1">
      <c r="A807" s="98"/>
      <c r="B807" s="87"/>
      <c r="C807" s="99"/>
      <c r="D807" s="87"/>
      <c r="E807" s="99"/>
      <c r="F807" s="100"/>
      <c r="G807" s="100"/>
      <c r="H807" s="100"/>
      <c r="I807" s="101"/>
      <c r="J807" s="106"/>
      <c r="K807" s="103"/>
      <c r="L807" s="104"/>
      <c r="M807" s="100"/>
      <c r="N807" s="100"/>
      <c r="O807" s="100"/>
      <c r="P807" s="100"/>
      <c r="Q807" s="105"/>
      <c r="R807" s="105"/>
      <c r="S807" s="169"/>
      <c r="U807" s="188"/>
    </row>
    <row r="808" spans="1:21" ht="102">
      <c r="A808" s="67" t="s">
        <v>8048</v>
      </c>
      <c r="B808" s="87" t="s">
        <v>8048</v>
      </c>
      <c r="C808" s="88" t="s">
        <v>12392</v>
      </c>
      <c r="D808" s="89"/>
      <c r="E808" s="90"/>
      <c r="F808" s="91" t="s">
        <v>12393</v>
      </c>
      <c r="G808" s="90"/>
      <c r="H808" s="91" t="s">
        <v>11426</v>
      </c>
      <c r="I808" s="92"/>
      <c r="J808" s="93"/>
      <c r="K808" s="94"/>
      <c r="L808" s="91" t="s">
        <v>11425</v>
      </c>
      <c r="M808" s="90"/>
      <c r="N808" s="91">
        <v>5</v>
      </c>
      <c r="O808" s="108" t="b">
        <v>0</v>
      </c>
      <c r="P808" s="91" t="s">
        <v>12205</v>
      </c>
      <c r="Q808" s="96"/>
      <c r="R808" s="97"/>
      <c r="S808" s="169"/>
      <c r="T808" s="300" t="str">
        <f>CONCATENATE([1]Cover!$D$6,"fdd/view?i=",S808)</f>
        <v>https://www.dgiwg.org/FAD/fdd/view?i=</v>
      </c>
      <c r="U808" s="188"/>
    </row>
    <row r="809" spans="1:21" ht="2.1" customHeight="1">
      <c r="A809" s="98"/>
      <c r="B809" s="87"/>
      <c r="C809" s="99"/>
      <c r="D809" s="87"/>
      <c r="E809" s="99"/>
      <c r="F809" s="100"/>
      <c r="G809" s="100"/>
      <c r="H809" s="100"/>
      <c r="I809" s="101"/>
      <c r="J809" s="106"/>
      <c r="K809" s="103"/>
      <c r="L809" s="104"/>
      <c r="M809" s="100"/>
      <c r="N809" s="100"/>
      <c r="O809" s="100"/>
      <c r="P809" s="100"/>
      <c r="Q809" s="105"/>
      <c r="R809" s="105"/>
      <c r="S809" s="169"/>
      <c r="U809" s="188"/>
    </row>
    <row r="810" spans="1:21" ht="38.25">
      <c r="A810" s="67" t="s">
        <v>8095</v>
      </c>
      <c r="B810" s="87" t="s">
        <v>8095</v>
      </c>
      <c r="C810" s="88" t="s">
        <v>12394</v>
      </c>
      <c r="D810" s="89"/>
      <c r="E810" s="90"/>
      <c r="F810" s="91" t="s">
        <v>12395</v>
      </c>
      <c r="G810" s="90"/>
      <c r="H810" s="91" t="s">
        <v>11426</v>
      </c>
      <c r="I810" s="92"/>
      <c r="J810" s="93"/>
      <c r="K810" s="94"/>
      <c r="L810" s="91" t="s">
        <v>11425</v>
      </c>
      <c r="M810" s="90"/>
      <c r="N810" s="91">
        <v>8</v>
      </c>
      <c r="O810" s="108" t="b">
        <v>0</v>
      </c>
      <c r="P810" s="91" t="s">
        <v>12396</v>
      </c>
      <c r="Q810" s="96"/>
      <c r="R810" s="97"/>
      <c r="S810" s="169"/>
      <c r="T810" s="300" t="str">
        <f>CONCATENATE([1]Cover!$D$6,"fdd/view?i=",S810)</f>
        <v>https://www.dgiwg.org/FAD/fdd/view?i=</v>
      </c>
      <c r="U810" s="188"/>
    </row>
    <row r="811" spans="1:21" ht="2.1" customHeight="1">
      <c r="A811" s="98"/>
      <c r="B811" s="87"/>
      <c r="C811" s="99"/>
      <c r="D811" s="87"/>
      <c r="E811" s="99"/>
      <c r="F811" s="100"/>
      <c r="G811" s="100"/>
      <c r="H811" s="100"/>
      <c r="I811" s="101"/>
      <c r="J811" s="106"/>
      <c r="K811" s="103"/>
      <c r="L811" s="104"/>
      <c r="M811" s="100"/>
      <c r="N811" s="100"/>
      <c r="O811" s="100"/>
      <c r="P811" s="100"/>
      <c r="Q811" s="105"/>
      <c r="R811" s="105"/>
      <c r="S811" s="169"/>
      <c r="U811" s="188"/>
    </row>
    <row r="812" spans="1:21" ht="178.5">
      <c r="A812" s="67" t="s">
        <v>8104</v>
      </c>
      <c r="B812" s="87" t="s">
        <v>8104</v>
      </c>
      <c r="C812" s="88" t="s">
        <v>8102</v>
      </c>
      <c r="D812" s="89"/>
      <c r="E812" s="90"/>
      <c r="F812" s="91" t="s">
        <v>12397</v>
      </c>
      <c r="G812" s="90"/>
      <c r="H812" s="91" t="s">
        <v>11426</v>
      </c>
      <c r="I812" s="92"/>
      <c r="J812" s="93"/>
      <c r="K812" s="94"/>
      <c r="L812" s="91" t="s">
        <v>11425</v>
      </c>
      <c r="M812" s="90"/>
      <c r="N812" s="91">
        <v>20</v>
      </c>
      <c r="O812" s="108" t="b">
        <v>0</v>
      </c>
      <c r="P812" s="91" t="s">
        <v>11909</v>
      </c>
      <c r="Q812" s="96"/>
      <c r="R812" s="97"/>
      <c r="S812" s="169"/>
      <c r="T812" s="300" t="str">
        <f>CONCATENATE([1]Cover!$D$6,"fdd/view?i=",S812)</f>
        <v>https://www.dgiwg.org/FAD/fdd/view?i=</v>
      </c>
      <c r="U812" s="188"/>
    </row>
    <row r="813" spans="1:21" ht="2.1" customHeight="1">
      <c r="A813" s="98"/>
      <c r="B813" s="87"/>
      <c r="C813" s="99"/>
      <c r="D813" s="87"/>
      <c r="E813" s="99"/>
      <c r="F813" s="100"/>
      <c r="G813" s="100"/>
      <c r="H813" s="100"/>
      <c r="I813" s="101"/>
      <c r="J813" s="106"/>
      <c r="K813" s="103"/>
      <c r="L813" s="104"/>
      <c r="M813" s="100"/>
      <c r="N813" s="100"/>
      <c r="O813" s="100"/>
      <c r="P813" s="100"/>
      <c r="Q813" s="105"/>
      <c r="R813" s="105"/>
      <c r="S813" s="169"/>
      <c r="U813" s="188"/>
    </row>
    <row r="814" spans="1:21" ht="25.5">
      <c r="A814" s="67" t="s">
        <v>8128</v>
      </c>
      <c r="B814" s="87" t="s">
        <v>8128</v>
      </c>
      <c r="C814" s="88" t="s">
        <v>12398</v>
      </c>
      <c r="D814" s="89"/>
      <c r="E814" s="90"/>
      <c r="F814" s="91" t="s">
        <v>12399</v>
      </c>
      <c r="G814" s="90"/>
      <c r="H814" s="90"/>
      <c r="I814" s="92"/>
      <c r="J814" s="93"/>
      <c r="K814" s="94"/>
      <c r="L814" s="149" t="str">
        <f>HYPERLINK("[#]DatatypeListedValues!B4222:H4222","Enumeration")</f>
        <v>Enumeration</v>
      </c>
      <c r="M814" s="107" t="b">
        <v>0</v>
      </c>
      <c r="N814" s="90"/>
      <c r="O814" s="95"/>
      <c r="P814" s="90"/>
      <c r="Q814" s="96"/>
      <c r="R814" s="97"/>
      <c r="S814" s="169"/>
      <c r="T814" s="300" t="str">
        <f>CONCATENATE([1]Cover!$D$6,"fdd/view?i=",S814)</f>
        <v>https://www.dgiwg.org/FAD/fdd/view?i=</v>
      </c>
      <c r="U814" s="188"/>
    </row>
    <row r="815" spans="1:21" ht="2.1" customHeight="1">
      <c r="A815" s="98"/>
      <c r="B815" s="87"/>
      <c r="C815" s="99"/>
      <c r="D815" s="87"/>
      <c r="E815" s="99"/>
      <c r="F815" s="100"/>
      <c r="G815" s="100"/>
      <c r="H815" s="100"/>
      <c r="I815" s="101"/>
      <c r="J815" s="106"/>
      <c r="K815" s="103"/>
      <c r="L815" s="104"/>
      <c r="M815" s="100"/>
      <c r="N815" s="100"/>
      <c r="O815" s="100"/>
      <c r="P815" s="100"/>
      <c r="Q815" s="105"/>
      <c r="R815" s="105"/>
      <c r="S815" s="169"/>
      <c r="U815" s="188"/>
    </row>
    <row r="816" spans="1:21" ht="25.5">
      <c r="A816" s="67" t="s">
        <v>8133</v>
      </c>
      <c r="B816" s="87" t="s">
        <v>8133</v>
      </c>
      <c r="C816" s="88" t="s">
        <v>12400</v>
      </c>
      <c r="D816" s="89"/>
      <c r="E816" s="90"/>
      <c r="F816" s="91" t="s">
        <v>12401</v>
      </c>
      <c r="G816" s="90"/>
      <c r="H816" s="90"/>
      <c r="I816" s="92"/>
      <c r="J816" s="93"/>
      <c r="K816" s="94"/>
      <c r="L816" s="149" t="str">
        <f>HYPERLINK("[#]DatatypeListedValues!B4226:H4226","Enumeration")</f>
        <v>Enumeration</v>
      </c>
      <c r="M816" s="107" t="b">
        <v>0</v>
      </c>
      <c r="N816" s="90"/>
      <c r="O816" s="95"/>
      <c r="P816" s="90"/>
      <c r="Q816" s="96"/>
      <c r="R816" s="97"/>
      <c r="S816" s="169"/>
      <c r="T816" s="300" t="str">
        <f>CONCATENATE([1]Cover!$D$6,"fdd/view?i=",S816)</f>
        <v>https://www.dgiwg.org/FAD/fdd/view?i=</v>
      </c>
      <c r="U816" s="188"/>
    </row>
    <row r="817" spans="1:21" ht="2.1" customHeight="1">
      <c r="A817" s="98"/>
      <c r="B817" s="87"/>
      <c r="C817" s="99"/>
      <c r="D817" s="87"/>
      <c r="E817" s="99"/>
      <c r="F817" s="100"/>
      <c r="G817" s="100"/>
      <c r="H817" s="100"/>
      <c r="I817" s="101"/>
      <c r="J817" s="106"/>
      <c r="K817" s="103"/>
      <c r="L817" s="104"/>
      <c r="M817" s="100"/>
      <c r="N817" s="100"/>
      <c r="O817" s="100"/>
      <c r="P817" s="100"/>
      <c r="Q817" s="105"/>
      <c r="R817" s="105"/>
      <c r="S817" s="169"/>
      <c r="U817" s="188"/>
    </row>
    <row r="818" spans="1:21">
      <c r="A818" s="67" t="s">
        <v>8143</v>
      </c>
      <c r="B818" s="87" t="s">
        <v>8143</v>
      </c>
      <c r="C818" s="88" t="s">
        <v>12402</v>
      </c>
      <c r="D818" s="89"/>
      <c r="E818" s="90"/>
      <c r="F818" s="91" t="s">
        <v>12403</v>
      </c>
      <c r="G818" s="90"/>
      <c r="H818" s="90"/>
      <c r="I818" s="92"/>
      <c r="J818" s="93"/>
      <c r="K818" s="94"/>
      <c r="L818" s="149" t="str">
        <f>HYPERLINK("[#]DatatypeListedValues!B4229:H4229","Enumeration")</f>
        <v>Enumeration</v>
      </c>
      <c r="M818" s="107" t="b">
        <v>0</v>
      </c>
      <c r="N818" s="90"/>
      <c r="O818" s="95"/>
      <c r="P818" s="90"/>
      <c r="Q818" s="96"/>
      <c r="R818" s="97"/>
      <c r="S818" s="169"/>
      <c r="T818" s="300" t="str">
        <f>CONCATENATE([1]Cover!$D$6,"fdd/view?i=",S818)</f>
        <v>https://www.dgiwg.org/FAD/fdd/view?i=</v>
      </c>
      <c r="U818" s="188"/>
    </row>
    <row r="819" spans="1:21" ht="2.1" customHeight="1">
      <c r="A819" s="98"/>
      <c r="B819" s="87"/>
      <c r="C819" s="99"/>
      <c r="D819" s="87"/>
      <c r="E819" s="99"/>
      <c r="F819" s="100"/>
      <c r="G819" s="100"/>
      <c r="H819" s="100"/>
      <c r="I819" s="101"/>
      <c r="J819" s="106"/>
      <c r="K819" s="103"/>
      <c r="L819" s="104"/>
      <c r="M819" s="100"/>
      <c r="N819" s="100"/>
      <c r="O819" s="100"/>
      <c r="P819" s="100"/>
      <c r="Q819" s="105"/>
      <c r="R819" s="105"/>
      <c r="S819" s="169"/>
      <c r="U819" s="188"/>
    </row>
    <row r="820" spans="1:21" ht="25.5">
      <c r="A820" s="67" t="s">
        <v>8149</v>
      </c>
      <c r="B820" s="87" t="s">
        <v>8149</v>
      </c>
      <c r="C820" s="88" t="s">
        <v>12404</v>
      </c>
      <c r="D820" s="89"/>
      <c r="E820" s="90"/>
      <c r="F820" s="91" t="s">
        <v>12405</v>
      </c>
      <c r="G820" s="90"/>
      <c r="H820" s="90"/>
      <c r="I820" s="92"/>
      <c r="J820" s="93"/>
      <c r="K820" s="94"/>
      <c r="L820" s="149" t="str">
        <f>HYPERLINK("[#]DatatypeListedValues!B4372:H4372","Enumeration")</f>
        <v>Enumeration</v>
      </c>
      <c r="M820" s="107" t="b">
        <v>0</v>
      </c>
      <c r="N820" s="90"/>
      <c r="O820" s="95"/>
      <c r="P820" s="90"/>
      <c r="Q820" s="96"/>
      <c r="R820" s="97"/>
      <c r="S820" s="169"/>
      <c r="T820" s="300" t="str">
        <f>CONCATENATE([1]Cover!$D$6,"fdd/view?i=",S820)</f>
        <v>https://www.dgiwg.org/FAD/fdd/view?i=</v>
      </c>
      <c r="U820" s="188"/>
    </row>
    <row r="821" spans="1:21" ht="2.1" customHeight="1">
      <c r="A821" s="98"/>
      <c r="B821" s="87"/>
      <c r="C821" s="99"/>
      <c r="D821" s="87"/>
      <c r="E821" s="99"/>
      <c r="F821" s="100"/>
      <c r="G821" s="100"/>
      <c r="H821" s="100"/>
      <c r="I821" s="101"/>
      <c r="J821" s="106"/>
      <c r="K821" s="103"/>
      <c r="L821" s="104"/>
      <c r="M821" s="100"/>
      <c r="N821" s="100"/>
      <c r="O821" s="100"/>
      <c r="P821" s="100"/>
      <c r="Q821" s="105"/>
      <c r="R821" s="105"/>
      <c r="S821" s="169"/>
      <c r="U821" s="188"/>
    </row>
    <row r="822" spans="1:21" ht="25.5">
      <c r="A822" s="67" t="s">
        <v>8154</v>
      </c>
      <c r="B822" s="87" t="s">
        <v>8154</v>
      </c>
      <c r="C822" s="88" t="s">
        <v>12406</v>
      </c>
      <c r="D822" s="89"/>
      <c r="E822" s="90"/>
      <c r="F822" s="91" t="s">
        <v>12407</v>
      </c>
      <c r="G822" s="90"/>
      <c r="H822" s="90"/>
      <c r="I822" s="92"/>
      <c r="J822" s="93"/>
      <c r="K822" s="94"/>
      <c r="L822" s="149" t="str">
        <f>HYPERLINK("[#]DatatypeListedValues!B4374:H4374","Enumeration")</f>
        <v>Enumeration</v>
      </c>
      <c r="M822" s="107" t="b">
        <v>0</v>
      </c>
      <c r="N822" s="90"/>
      <c r="O822" s="95"/>
      <c r="P822" s="90"/>
      <c r="Q822" s="96"/>
      <c r="R822" s="97"/>
      <c r="S822" s="169"/>
      <c r="T822" s="300" t="str">
        <f>CONCATENATE([1]Cover!$D$6,"fdd/view?i=",S822)</f>
        <v>https://www.dgiwg.org/FAD/fdd/view?i=</v>
      </c>
      <c r="U822" s="188"/>
    </row>
    <row r="823" spans="1:21" ht="2.1" customHeight="1">
      <c r="A823" s="98"/>
      <c r="B823" s="87"/>
      <c r="C823" s="99"/>
      <c r="D823" s="87"/>
      <c r="E823" s="99"/>
      <c r="F823" s="100"/>
      <c r="G823" s="100"/>
      <c r="H823" s="100"/>
      <c r="I823" s="101"/>
      <c r="J823" s="106"/>
      <c r="K823" s="103"/>
      <c r="L823" s="104"/>
      <c r="M823" s="100"/>
      <c r="N823" s="100"/>
      <c r="O823" s="100"/>
      <c r="P823" s="100"/>
      <c r="Q823" s="105"/>
      <c r="R823" s="105"/>
      <c r="S823" s="169"/>
      <c r="U823" s="188"/>
    </row>
    <row r="824" spans="1:21" ht="25.5">
      <c r="A824" s="67" t="s">
        <v>8159</v>
      </c>
      <c r="B824" s="87" t="s">
        <v>8159</v>
      </c>
      <c r="C824" s="88" t="s">
        <v>12408</v>
      </c>
      <c r="D824" s="89"/>
      <c r="E824" s="90"/>
      <c r="F824" s="91" t="s">
        <v>12409</v>
      </c>
      <c r="G824" s="90"/>
      <c r="H824" s="90"/>
      <c r="I824" s="92"/>
      <c r="J824" s="93"/>
      <c r="K824" s="94"/>
      <c r="L824" s="149" t="str">
        <f>HYPERLINK("[#]DatatypeListedValues!B4377:H4377","Enumeration")</f>
        <v>Enumeration</v>
      </c>
      <c r="M824" s="107" t="b">
        <v>0</v>
      </c>
      <c r="N824" s="90"/>
      <c r="O824" s="95"/>
      <c r="P824" s="90"/>
      <c r="Q824" s="96"/>
      <c r="R824" s="97"/>
      <c r="S824" s="169"/>
      <c r="T824" s="300" t="str">
        <f>CONCATENATE([1]Cover!$D$6,"fdd/view?i=",S824)</f>
        <v>https://www.dgiwg.org/FAD/fdd/view?i=</v>
      </c>
      <c r="U824" s="188"/>
    </row>
    <row r="825" spans="1:21" ht="2.1" customHeight="1">
      <c r="A825" s="98"/>
      <c r="B825" s="87"/>
      <c r="C825" s="99"/>
      <c r="D825" s="87"/>
      <c r="E825" s="99"/>
      <c r="F825" s="100"/>
      <c r="G825" s="100"/>
      <c r="H825" s="100"/>
      <c r="I825" s="101"/>
      <c r="J825" s="106"/>
      <c r="K825" s="103"/>
      <c r="L825" s="104"/>
      <c r="M825" s="100"/>
      <c r="N825" s="100"/>
      <c r="O825" s="100"/>
      <c r="P825" s="100"/>
      <c r="Q825" s="105"/>
      <c r="R825" s="105"/>
      <c r="S825" s="169"/>
      <c r="U825" s="188"/>
    </row>
    <row r="826" spans="1:21" ht="25.5">
      <c r="A826" s="67" t="s">
        <v>8165</v>
      </c>
      <c r="B826" s="87" t="s">
        <v>8165</v>
      </c>
      <c r="C826" s="88" t="s">
        <v>12410</v>
      </c>
      <c r="D826" s="89"/>
      <c r="E826" s="90"/>
      <c r="F826" s="91" t="s">
        <v>12411</v>
      </c>
      <c r="G826" s="90"/>
      <c r="H826" s="90"/>
      <c r="I826" s="92"/>
      <c r="J826" s="93"/>
      <c r="K826" s="94"/>
      <c r="L826" s="149" t="str">
        <f>HYPERLINK("[#]DatatypeListedValues!B4385:H4385","Enumeration")</f>
        <v>Enumeration</v>
      </c>
      <c r="M826" s="107" t="b">
        <v>0</v>
      </c>
      <c r="N826" s="90"/>
      <c r="O826" s="95"/>
      <c r="P826" s="90"/>
      <c r="Q826" s="96"/>
      <c r="R826" s="97"/>
      <c r="S826" s="169"/>
      <c r="T826" s="300" t="str">
        <f>CONCATENATE([1]Cover!$D$6,"fdd/view?i=",S826)</f>
        <v>https://www.dgiwg.org/FAD/fdd/view?i=</v>
      </c>
      <c r="U826" s="188"/>
    </row>
    <row r="827" spans="1:21" ht="2.1" customHeight="1">
      <c r="A827" s="98"/>
      <c r="B827" s="87"/>
      <c r="C827" s="99"/>
      <c r="D827" s="87"/>
      <c r="E827" s="99"/>
      <c r="F827" s="100"/>
      <c r="G827" s="100"/>
      <c r="H827" s="100"/>
      <c r="I827" s="101"/>
      <c r="J827" s="106"/>
      <c r="K827" s="103"/>
      <c r="L827" s="104"/>
      <c r="M827" s="100"/>
      <c r="N827" s="100"/>
      <c r="O827" s="100"/>
      <c r="P827" s="100"/>
      <c r="Q827" s="105"/>
      <c r="R827" s="105"/>
      <c r="S827" s="169"/>
      <c r="U827" s="188"/>
    </row>
    <row r="828" spans="1:21" ht="38.25">
      <c r="A828" s="67" t="s">
        <v>8170</v>
      </c>
      <c r="B828" s="87" t="s">
        <v>8170</v>
      </c>
      <c r="C828" s="88" t="s">
        <v>12412</v>
      </c>
      <c r="D828" s="89"/>
      <c r="E828" s="90"/>
      <c r="F828" s="91" t="s">
        <v>12413</v>
      </c>
      <c r="G828" s="90"/>
      <c r="H828" s="91" t="s">
        <v>11426</v>
      </c>
      <c r="I828" s="92"/>
      <c r="J828" s="93"/>
      <c r="K828" s="94"/>
      <c r="L828" s="91" t="s">
        <v>11425</v>
      </c>
      <c r="M828" s="90"/>
      <c r="N828" s="108" t="s">
        <v>11810</v>
      </c>
      <c r="O828" s="108" t="b">
        <v>0</v>
      </c>
      <c r="P828" s="91" t="s">
        <v>12414</v>
      </c>
      <c r="Q828" s="96"/>
      <c r="R828" s="97"/>
      <c r="S828" s="169"/>
      <c r="T828" s="300" t="str">
        <f>CONCATENATE([1]Cover!$D$6,"fdd/view?i=",S828)</f>
        <v>https://www.dgiwg.org/FAD/fdd/view?i=</v>
      </c>
      <c r="U828" s="188"/>
    </row>
    <row r="829" spans="1:21" ht="2.1" customHeight="1">
      <c r="A829" s="98"/>
      <c r="B829" s="87"/>
      <c r="C829" s="99"/>
      <c r="D829" s="87"/>
      <c r="E829" s="99"/>
      <c r="F829" s="100"/>
      <c r="G829" s="100"/>
      <c r="H829" s="100"/>
      <c r="I829" s="101"/>
      <c r="J829" s="106"/>
      <c r="K829" s="103"/>
      <c r="L829" s="104"/>
      <c r="M829" s="100"/>
      <c r="N829" s="100"/>
      <c r="O829" s="100"/>
      <c r="P829" s="100"/>
      <c r="Q829" s="105"/>
      <c r="R829" s="105"/>
      <c r="S829" s="169"/>
      <c r="U829" s="188"/>
    </row>
    <row r="830" spans="1:21" ht="25.5">
      <c r="A830" s="67" t="s">
        <v>8179</v>
      </c>
      <c r="B830" s="87" t="s">
        <v>8179</v>
      </c>
      <c r="C830" s="88" t="s">
        <v>12415</v>
      </c>
      <c r="D830" s="89"/>
      <c r="E830" s="90"/>
      <c r="F830" s="91" t="s">
        <v>12416</v>
      </c>
      <c r="G830" s="90"/>
      <c r="H830" s="90"/>
      <c r="I830" s="92"/>
      <c r="J830" s="93"/>
      <c r="K830" s="94"/>
      <c r="L830" s="149" t="str">
        <f>HYPERLINK("[#]DatatypeListedValues!B4427:H4427","Enumeration")</f>
        <v>Enumeration</v>
      </c>
      <c r="M830" s="107" t="b">
        <v>0</v>
      </c>
      <c r="N830" s="90"/>
      <c r="O830" s="95"/>
      <c r="P830" s="90"/>
      <c r="Q830" s="96"/>
      <c r="R830" s="97"/>
      <c r="S830" s="169"/>
      <c r="T830" s="300" t="str">
        <f>CONCATENATE([1]Cover!$D$6,"fdd/view?i=",S830)</f>
        <v>https://www.dgiwg.org/FAD/fdd/view?i=</v>
      </c>
      <c r="U830" s="188"/>
    </row>
    <row r="831" spans="1:21" ht="2.1" customHeight="1">
      <c r="A831" s="98"/>
      <c r="B831" s="87"/>
      <c r="C831" s="99"/>
      <c r="D831" s="87"/>
      <c r="E831" s="99"/>
      <c r="F831" s="100"/>
      <c r="G831" s="100"/>
      <c r="H831" s="100"/>
      <c r="I831" s="101"/>
      <c r="J831" s="106"/>
      <c r="K831" s="103"/>
      <c r="L831" s="104"/>
      <c r="M831" s="100"/>
      <c r="N831" s="100"/>
      <c r="O831" s="100"/>
      <c r="P831" s="100"/>
      <c r="Q831" s="105"/>
      <c r="R831" s="105"/>
      <c r="S831" s="169"/>
      <c r="U831" s="188"/>
    </row>
    <row r="832" spans="1:21" ht="25.5">
      <c r="A832" s="67" t="s">
        <v>8193</v>
      </c>
      <c r="B832" s="87" t="s">
        <v>8193</v>
      </c>
      <c r="C832" s="88" t="s">
        <v>12417</v>
      </c>
      <c r="D832" s="89"/>
      <c r="E832" s="90"/>
      <c r="F832" s="91" t="s">
        <v>12418</v>
      </c>
      <c r="G832" s="90"/>
      <c r="H832" s="90"/>
      <c r="I832" s="92"/>
      <c r="J832" s="93"/>
      <c r="K832" s="94"/>
      <c r="L832" s="149" t="str">
        <f>HYPERLINK("[#]DatatypeListedValues!B4442:H4442","Enumeration")</f>
        <v>Enumeration</v>
      </c>
      <c r="M832" s="107" t="b">
        <v>0</v>
      </c>
      <c r="N832" s="90"/>
      <c r="O832" s="95"/>
      <c r="P832" s="90"/>
      <c r="Q832" s="96"/>
      <c r="R832" s="97"/>
      <c r="S832" s="169"/>
      <c r="T832" s="300" t="str">
        <f>CONCATENATE([1]Cover!$D$6,"fdd/view?i=",S832)</f>
        <v>https://www.dgiwg.org/FAD/fdd/view?i=</v>
      </c>
      <c r="U832" s="188"/>
    </row>
    <row r="833" spans="1:21" ht="2.1" customHeight="1">
      <c r="A833" s="98"/>
      <c r="B833" s="87"/>
      <c r="C833" s="99"/>
      <c r="D833" s="87"/>
      <c r="E833" s="99"/>
      <c r="F833" s="100"/>
      <c r="G833" s="100"/>
      <c r="H833" s="100"/>
      <c r="I833" s="101"/>
      <c r="J833" s="106"/>
      <c r="K833" s="103"/>
      <c r="L833" s="104"/>
      <c r="M833" s="100"/>
      <c r="N833" s="100"/>
      <c r="O833" s="100"/>
      <c r="P833" s="100"/>
      <c r="Q833" s="105"/>
      <c r="R833" s="105"/>
      <c r="S833" s="169"/>
      <c r="U833" s="188"/>
    </row>
    <row r="834" spans="1:21" ht="25.5">
      <c r="A834" s="67" t="s">
        <v>8198</v>
      </c>
      <c r="B834" s="87" t="s">
        <v>8198</v>
      </c>
      <c r="C834" s="88" t="s">
        <v>12419</v>
      </c>
      <c r="D834" s="89"/>
      <c r="E834" s="90"/>
      <c r="F834" s="91" t="s">
        <v>12420</v>
      </c>
      <c r="G834" s="90"/>
      <c r="H834" s="90"/>
      <c r="I834" s="92"/>
      <c r="J834" s="93"/>
      <c r="K834" s="94"/>
      <c r="L834" s="149" t="str">
        <f>HYPERLINK("[#]DatatypeListedValues!B4451:H4451","Enumeration")</f>
        <v>Enumeration</v>
      </c>
      <c r="M834" s="107" t="b">
        <v>0</v>
      </c>
      <c r="N834" s="90"/>
      <c r="O834" s="95"/>
      <c r="P834" s="90"/>
      <c r="Q834" s="96"/>
      <c r="R834" s="97"/>
      <c r="S834" s="169"/>
      <c r="T834" s="300" t="str">
        <f>CONCATENATE([1]Cover!$D$6,"fdd/view?i=",S834)</f>
        <v>https://www.dgiwg.org/FAD/fdd/view?i=</v>
      </c>
      <c r="U834" s="188"/>
    </row>
    <row r="835" spans="1:21" ht="2.1" customHeight="1">
      <c r="A835" s="98"/>
      <c r="B835" s="87"/>
      <c r="C835" s="99"/>
      <c r="D835" s="87"/>
      <c r="E835" s="99"/>
      <c r="F835" s="100"/>
      <c r="G835" s="100"/>
      <c r="H835" s="100"/>
      <c r="I835" s="101"/>
      <c r="J835" s="106"/>
      <c r="K835" s="103"/>
      <c r="L835" s="104"/>
      <c r="M835" s="100"/>
      <c r="N835" s="100"/>
      <c r="O835" s="100"/>
      <c r="P835" s="100"/>
      <c r="Q835" s="105"/>
      <c r="R835" s="105"/>
      <c r="S835" s="169"/>
      <c r="U835" s="188"/>
    </row>
    <row r="836" spans="1:21" ht="25.5">
      <c r="A836" s="67" t="s">
        <v>8203</v>
      </c>
      <c r="B836" s="87" t="s">
        <v>8203</v>
      </c>
      <c r="C836" s="88" t="s">
        <v>12421</v>
      </c>
      <c r="D836" s="89"/>
      <c r="E836" s="90"/>
      <c r="F836" s="91" t="s">
        <v>12422</v>
      </c>
      <c r="G836" s="90"/>
      <c r="H836" s="90"/>
      <c r="I836" s="92"/>
      <c r="J836" s="93"/>
      <c r="K836" s="94"/>
      <c r="L836" s="149" t="str">
        <f>HYPERLINK("[#]DatatypeListedValues!B4470:H4470","Enumeration")</f>
        <v>Enumeration</v>
      </c>
      <c r="M836" s="107" t="b">
        <v>0</v>
      </c>
      <c r="N836" s="90"/>
      <c r="O836" s="95"/>
      <c r="P836" s="90"/>
      <c r="Q836" s="96"/>
      <c r="R836" s="97"/>
      <c r="S836" s="169"/>
      <c r="T836" s="300" t="str">
        <f>CONCATENATE([1]Cover!$D$6,"fdd/view?i=",S836)</f>
        <v>https://www.dgiwg.org/FAD/fdd/view?i=</v>
      </c>
      <c r="U836" s="188"/>
    </row>
    <row r="837" spans="1:21" ht="2.1" customHeight="1">
      <c r="A837" s="98"/>
      <c r="B837" s="87"/>
      <c r="C837" s="99"/>
      <c r="D837" s="87"/>
      <c r="E837" s="99"/>
      <c r="F837" s="100"/>
      <c r="G837" s="100"/>
      <c r="H837" s="100"/>
      <c r="I837" s="101"/>
      <c r="J837" s="106"/>
      <c r="K837" s="103"/>
      <c r="L837" s="104"/>
      <c r="M837" s="100"/>
      <c r="N837" s="100"/>
      <c r="O837" s="100"/>
      <c r="P837" s="100"/>
      <c r="Q837" s="105"/>
      <c r="R837" s="105"/>
      <c r="S837" s="169"/>
      <c r="U837" s="188"/>
    </row>
    <row r="838" spans="1:21" ht="25.5">
      <c r="A838" s="67" t="s">
        <v>8208</v>
      </c>
      <c r="B838" s="87" t="s">
        <v>8208</v>
      </c>
      <c r="C838" s="88" t="s">
        <v>12423</v>
      </c>
      <c r="D838" s="89"/>
      <c r="E838" s="90"/>
      <c r="F838" s="91" t="s">
        <v>12424</v>
      </c>
      <c r="G838" s="90"/>
      <c r="H838" s="90"/>
      <c r="I838" s="92"/>
      <c r="J838" s="93"/>
      <c r="K838" s="94"/>
      <c r="L838" s="149" t="str">
        <f>HYPERLINK("[#]DatatypeListedValues!B4476:H4476","Enumeration")</f>
        <v>Enumeration</v>
      </c>
      <c r="M838" s="107" t="b">
        <v>0</v>
      </c>
      <c r="N838" s="90"/>
      <c r="O838" s="95"/>
      <c r="P838" s="90"/>
      <c r="Q838" s="96"/>
      <c r="R838" s="97"/>
      <c r="S838" s="169"/>
      <c r="T838" s="300" t="str">
        <f>CONCATENATE([1]Cover!$D$6,"fdd/view?i=",S838)</f>
        <v>https://www.dgiwg.org/FAD/fdd/view?i=</v>
      </c>
      <c r="U838" s="188"/>
    </row>
    <row r="839" spans="1:21" ht="2.1" customHeight="1">
      <c r="A839" s="98"/>
      <c r="B839" s="87"/>
      <c r="C839" s="99"/>
      <c r="D839" s="87"/>
      <c r="E839" s="99"/>
      <c r="F839" s="100"/>
      <c r="G839" s="100"/>
      <c r="H839" s="100"/>
      <c r="I839" s="101"/>
      <c r="J839" s="106"/>
      <c r="K839" s="103"/>
      <c r="L839" s="104"/>
      <c r="M839" s="100"/>
      <c r="N839" s="100"/>
      <c r="O839" s="100"/>
      <c r="P839" s="100"/>
      <c r="Q839" s="105"/>
      <c r="R839" s="105"/>
      <c r="S839" s="169"/>
      <c r="U839" s="188"/>
    </row>
    <row r="840" spans="1:21" ht="25.5">
      <c r="A840" s="67" t="s">
        <v>8213</v>
      </c>
      <c r="B840" s="87" t="s">
        <v>8213</v>
      </c>
      <c r="C840" s="88" t="s">
        <v>12425</v>
      </c>
      <c r="D840" s="89"/>
      <c r="E840" s="90"/>
      <c r="F840" s="91" t="s">
        <v>12426</v>
      </c>
      <c r="G840" s="90"/>
      <c r="H840" s="90"/>
      <c r="I840" s="92"/>
      <c r="J840" s="93"/>
      <c r="K840" s="94"/>
      <c r="L840" s="149" t="str">
        <f>HYPERLINK("[#]DatatypeListedValues!B4555:H4555","Enumeration")</f>
        <v>Enumeration</v>
      </c>
      <c r="M840" s="107" t="b">
        <v>0</v>
      </c>
      <c r="N840" s="90"/>
      <c r="O840" s="95"/>
      <c r="P840" s="90"/>
      <c r="Q840" s="96"/>
      <c r="R840" s="97"/>
      <c r="S840" s="169"/>
      <c r="T840" s="300" t="str">
        <f>CONCATENATE([1]Cover!$D$6,"fdd/view?i=",S840)</f>
        <v>https://www.dgiwg.org/FAD/fdd/view?i=</v>
      </c>
      <c r="U840" s="188"/>
    </row>
    <row r="841" spans="1:21" ht="2.1" customHeight="1">
      <c r="A841" s="98"/>
      <c r="B841" s="87"/>
      <c r="C841" s="99"/>
      <c r="D841" s="87"/>
      <c r="E841" s="99"/>
      <c r="F841" s="100"/>
      <c r="G841" s="100"/>
      <c r="H841" s="100"/>
      <c r="I841" s="101"/>
      <c r="J841" s="106"/>
      <c r="K841" s="103"/>
      <c r="L841" s="104"/>
      <c r="M841" s="100"/>
      <c r="N841" s="100"/>
      <c r="O841" s="100"/>
      <c r="P841" s="100"/>
      <c r="Q841" s="105"/>
      <c r="R841" s="105"/>
      <c r="S841" s="169"/>
      <c r="U841" s="188"/>
    </row>
    <row r="842" spans="1:21" ht="25.5">
      <c r="A842" s="67" t="s">
        <v>8223</v>
      </c>
      <c r="B842" s="87" t="s">
        <v>8223</v>
      </c>
      <c r="C842" s="88" t="s">
        <v>12427</v>
      </c>
      <c r="D842" s="89"/>
      <c r="E842" s="90"/>
      <c r="F842" s="91" t="s">
        <v>12428</v>
      </c>
      <c r="G842" s="90"/>
      <c r="H842" s="90"/>
      <c r="I842" s="92"/>
      <c r="J842" s="93"/>
      <c r="K842" s="94"/>
      <c r="L842" s="149" t="str">
        <f>HYPERLINK("[#]DatatypeListedValues!B4564:H4564","Enumeration")</f>
        <v>Enumeration</v>
      </c>
      <c r="M842" s="107" t="b">
        <v>0</v>
      </c>
      <c r="N842" s="90"/>
      <c r="O842" s="95"/>
      <c r="P842" s="90"/>
      <c r="Q842" s="96"/>
      <c r="R842" s="97"/>
      <c r="S842" s="169"/>
      <c r="T842" s="300" t="str">
        <f>CONCATENATE([1]Cover!$D$6,"fdd/view?i=",S842)</f>
        <v>https://www.dgiwg.org/FAD/fdd/view?i=</v>
      </c>
      <c r="U842" s="188"/>
    </row>
    <row r="843" spans="1:21" ht="2.1" customHeight="1">
      <c r="A843" s="98"/>
      <c r="B843" s="87"/>
      <c r="C843" s="99"/>
      <c r="D843" s="87"/>
      <c r="E843" s="99"/>
      <c r="F843" s="100"/>
      <c r="G843" s="100"/>
      <c r="H843" s="100"/>
      <c r="I843" s="101"/>
      <c r="J843" s="106"/>
      <c r="K843" s="103"/>
      <c r="L843" s="104"/>
      <c r="M843" s="100"/>
      <c r="N843" s="100"/>
      <c r="O843" s="100"/>
      <c r="P843" s="100"/>
      <c r="Q843" s="105"/>
      <c r="R843" s="105"/>
      <c r="S843" s="169"/>
      <c r="U843" s="188"/>
    </row>
    <row r="844" spans="1:21" ht="25.5">
      <c r="A844" s="67" t="s">
        <v>8234</v>
      </c>
      <c r="B844" s="87" t="s">
        <v>8234</v>
      </c>
      <c r="C844" s="88" t="s">
        <v>12429</v>
      </c>
      <c r="D844" s="89"/>
      <c r="E844" s="90"/>
      <c r="F844" s="91" t="s">
        <v>12430</v>
      </c>
      <c r="G844" s="90"/>
      <c r="H844" s="90"/>
      <c r="I844" s="92"/>
      <c r="J844" s="93"/>
      <c r="K844" s="94"/>
      <c r="L844" s="149" t="str">
        <f>HYPERLINK("[#]DatatypeListedValues!B4594:H4594","Enumeration")</f>
        <v>Enumeration</v>
      </c>
      <c r="M844" s="107" t="b">
        <v>0</v>
      </c>
      <c r="N844" s="90"/>
      <c r="O844" s="95"/>
      <c r="P844" s="90"/>
      <c r="Q844" s="96"/>
      <c r="R844" s="97"/>
      <c r="S844" s="169"/>
      <c r="T844" s="300" t="str">
        <f>CONCATENATE([1]Cover!$D$6,"fdd/view?i=",S844)</f>
        <v>https://www.dgiwg.org/FAD/fdd/view?i=</v>
      </c>
      <c r="U844" s="188"/>
    </row>
    <row r="845" spans="1:21" ht="2.1" customHeight="1">
      <c r="A845" s="98"/>
      <c r="B845" s="87"/>
      <c r="C845" s="99"/>
      <c r="D845" s="87"/>
      <c r="E845" s="99"/>
      <c r="F845" s="100"/>
      <c r="G845" s="100"/>
      <c r="H845" s="100"/>
      <c r="I845" s="101"/>
      <c r="J845" s="106"/>
      <c r="K845" s="103"/>
      <c r="L845" s="104"/>
      <c r="M845" s="100"/>
      <c r="N845" s="100"/>
      <c r="O845" s="100"/>
      <c r="P845" s="100"/>
      <c r="Q845" s="105"/>
      <c r="R845" s="105"/>
      <c r="S845" s="169"/>
      <c r="U845" s="188"/>
    </row>
    <row r="846" spans="1:21" ht="25.5">
      <c r="A846" s="67" t="s">
        <v>8244</v>
      </c>
      <c r="B846" s="87" t="s">
        <v>8244</v>
      </c>
      <c r="C846" s="88" t="s">
        <v>12431</v>
      </c>
      <c r="D846" s="89"/>
      <c r="E846" s="90"/>
      <c r="F846" s="91" t="s">
        <v>12432</v>
      </c>
      <c r="G846" s="90"/>
      <c r="H846" s="90"/>
      <c r="I846" s="92"/>
      <c r="J846" s="93"/>
      <c r="K846" s="94"/>
      <c r="L846" s="149" t="str">
        <f>HYPERLINK("[#]DatatypeListedValues!B4603:H4603","Enumeration")</f>
        <v>Enumeration</v>
      </c>
      <c r="M846" s="107" t="b">
        <v>0</v>
      </c>
      <c r="N846" s="90"/>
      <c r="O846" s="95"/>
      <c r="P846" s="90"/>
      <c r="Q846" s="96"/>
      <c r="R846" s="97"/>
      <c r="S846" s="169"/>
      <c r="T846" s="300" t="str">
        <f>CONCATENATE([1]Cover!$D$6,"fdd/view?i=",S846)</f>
        <v>https://www.dgiwg.org/FAD/fdd/view?i=</v>
      </c>
      <c r="U846" s="188"/>
    </row>
    <row r="847" spans="1:21" ht="2.1" customHeight="1">
      <c r="A847" s="98"/>
      <c r="B847" s="87"/>
      <c r="C847" s="99"/>
      <c r="D847" s="87"/>
      <c r="E847" s="99"/>
      <c r="F847" s="100"/>
      <c r="G847" s="100"/>
      <c r="H847" s="100"/>
      <c r="I847" s="101"/>
      <c r="J847" s="106"/>
      <c r="K847" s="103"/>
      <c r="L847" s="104"/>
      <c r="M847" s="100"/>
      <c r="N847" s="100"/>
      <c r="O847" s="100"/>
      <c r="P847" s="100"/>
      <c r="Q847" s="105"/>
      <c r="R847" s="105"/>
      <c r="S847" s="169"/>
      <c r="U847" s="188"/>
    </row>
    <row r="848" spans="1:21" ht="25.5">
      <c r="A848" s="67" t="s">
        <v>8255</v>
      </c>
      <c r="B848" s="87" t="s">
        <v>8255</v>
      </c>
      <c r="C848" s="88" t="s">
        <v>12433</v>
      </c>
      <c r="D848" s="89"/>
      <c r="E848" s="90"/>
      <c r="F848" s="91" t="s">
        <v>12434</v>
      </c>
      <c r="G848" s="90"/>
      <c r="H848" s="90"/>
      <c r="I848" s="92"/>
      <c r="J848" s="93"/>
      <c r="K848" s="94"/>
      <c r="L848" s="149" t="str">
        <f>HYPERLINK("[#]DatatypeListedValues!B4641:H4641","Enumeration")</f>
        <v>Enumeration</v>
      </c>
      <c r="M848" s="107" t="b">
        <v>0</v>
      </c>
      <c r="N848" s="90"/>
      <c r="O848" s="95"/>
      <c r="P848" s="90"/>
      <c r="Q848" s="96"/>
      <c r="R848" s="97"/>
      <c r="S848" s="169"/>
      <c r="T848" s="300" t="str">
        <f>CONCATENATE([1]Cover!$D$6,"fdd/view?i=",S848)</f>
        <v>https://www.dgiwg.org/FAD/fdd/view?i=</v>
      </c>
      <c r="U848" s="188"/>
    </row>
    <row r="849" spans="1:21" ht="2.1" customHeight="1">
      <c r="A849" s="98"/>
      <c r="B849" s="87"/>
      <c r="C849" s="99"/>
      <c r="D849" s="87"/>
      <c r="E849" s="99"/>
      <c r="F849" s="100"/>
      <c r="G849" s="100"/>
      <c r="H849" s="100"/>
      <c r="I849" s="101"/>
      <c r="J849" s="106"/>
      <c r="K849" s="103"/>
      <c r="L849" s="104"/>
      <c r="M849" s="100"/>
      <c r="N849" s="100"/>
      <c r="O849" s="100"/>
      <c r="P849" s="100"/>
      <c r="Q849" s="105"/>
      <c r="R849" s="105"/>
      <c r="S849" s="169"/>
      <c r="U849" s="188"/>
    </row>
    <row r="850" spans="1:21" ht="25.5">
      <c r="A850" s="67" t="s">
        <v>8261</v>
      </c>
      <c r="B850" s="87" t="s">
        <v>8261</v>
      </c>
      <c r="C850" s="88" t="s">
        <v>12435</v>
      </c>
      <c r="D850" s="89"/>
      <c r="E850" s="90"/>
      <c r="F850" s="91" t="s">
        <v>12436</v>
      </c>
      <c r="G850" s="90"/>
      <c r="H850" s="90"/>
      <c r="I850" s="92"/>
      <c r="J850" s="93"/>
      <c r="K850" s="94"/>
      <c r="L850" s="149" t="str">
        <f>HYPERLINK("[#]DatatypeListedValues!B4652:H4652","Enumeration")</f>
        <v>Enumeration</v>
      </c>
      <c r="M850" s="107" t="b">
        <v>0</v>
      </c>
      <c r="N850" s="90"/>
      <c r="O850" s="95"/>
      <c r="P850" s="90"/>
      <c r="Q850" s="96"/>
      <c r="R850" s="97"/>
      <c r="S850" s="169"/>
      <c r="T850" s="300" t="str">
        <f>CONCATENATE([1]Cover!$D$6,"fdd/view?i=",S850)</f>
        <v>https://www.dgiwg.org/FAD/fdd/view?i=</v>
      </c>
      <c r="U850" s="188"/>
    </row>
    <row r="851" spans="1:21" ht="2.1" customHeight="1">
      <c r="A851" s="98"/>
      <c r="B851" s="87"/>
      <c r="C851" s="99"/>
      <c r="D851" s="87"/>
      <c r="E851" s="99"/>
      <c r="F851" s="100"/>
      <c r="G851" s="100"/>
      <c r="H851" s="100"/>
      <c r="I851" s="101"/>
      <c r="J851" s="106"/>
      <c r="K851" s="103"/>
      <c r="L851" s="104"/>
      <c r="M851" s="100"/>
      <c r="N851" s="100"/>
      <c r="O851" s="100"/>
      <c r="P851" s="100"/>
      <c r="Q851" s="105"/>
      <c r="R851" s="105"/>
      <c r="S851" s="169"/>
      <c r="U851" s="188"/>
    </row>
    <row r="852" spans="1:21" ht="25.5">
      <c r="A852" s="67" t="s">
        <v>8267</v>
      </c>
      <c r="B852" s="87" t="s">
        <v>8267</v>
      </c>
      <c r="C852" s="88" t="s">
        <v>12437</v>
      </c>
      <c r="D852" s="89"/>
      <c r="E852" s="90"/>
      <c r="F852" s="91" t="s">
        <v>12438</v>
      </c>
      <c r="G852" s="90"/>
      <c r="H852" s="90"/>
      <c r="I852" s="92"/>
      <c r="J852" s="93"/>
      <c r="K852" s="94"/>
      <c r="L852" s="149" t="str">
        <f>HYPERLINK("[#]DatatypeListedValues!B4656:H4656","Enumeration")</f>
        <v>Enumeration</v>
      </c>
      <c r="M852" s="107" t="b">
        <v>0</v>
      </c>
      <c r="N852" s="90"/>
      <c r="O852" s="95"/>
      <c r="P852" s="90"/>
      <c r="Q852" s="96"/>
      <c r="R852" s="97"/>
      <c r="S852" s="169"/>
      <c r="T852" s="300" t="str">
        <f>CONCATENATE([1]Cover!$D$6,"fdd/view?i=",S852)</f>
        <v>https://www.dgiwg.org/FAD/fdd/view?i=</v>
      </c>
      <c r="U852" s="188"/>
    </row>
    <row r="853" spans="1:21" ht="2.1" customHeight="1">
      <c r="A853" s="98"/>
      <c r="B853" s="87"/>
      <c r="C853" s="99"/>
      <c r="D853" s="87"/>
      <c r="E853" s="99"/>
      <c r="F853" s="100"/>
      <c r="G853" s="100"/>
      <c r="H853" s="100"/>
      <c r="I853" s="101"/>
      <c r="J853" s="106"/>
      <c r="K853" s="103"/>
      <c r="L853" s="104"/>
      <c r="M853" s="100"/>
      <c r="N853" s="100"/>
      <c r="O853" s="100"/>
      <c r="P853" s="100"/>
      <c r="Q853" s="105"/>
      <c r="R853" s="105"/>
      <c r="S853" s="169"/>
      <c r="U853" s="188"/>
    </row>
    <row r="854" spans="1:21" ht="25.5">
      <c r="A854" s="67" t="s">
        <v>8304</v>
      </c>
      <c r="B854" s="87" t="s">
        <v>8304</v>
      </c>
      <c r="C854" s="88" t="s">
        <v>12439</v>
      </c>
      <c r="D854" s="89"/>
      <c r="E854" s="90"/>
      <c r="F854" s="91" t="s">
        <v>12440</v>
      </c>
      <c r="G854" s="90"/>
      <c r="H854" s="90"/>
      <c r="I854" s="92"/>
      <c r="J854" s="93"/>
      <c r="K854" s="94"/>
      <c r="L854" s="149" t="str">
        <f>HYPERLINK("[#]DatatypeListedValues!B4660:H4660","Enumeration")</f>
        <v>Enumeration</v>
      </c>
      <c r="M854" s="107" t="b">
        <v>0</v>
      </c>
      <c r="N854" s="90"/>
      <c r="O854" s="95"/>
      <c r="P854" s="90"/>
      <c r="Q854" s="96"/>
      <c r="R854" s="97"/>
      <c r="S854" s="169"/>
      <c r="T854" s="300" t="str">
        <f>CONCATENATE([1]Cover!$D$6,"fdd/view?i=",S854)</f>
        <v>https://www.dgiwg.org/FAD/fdd/view?i=</v>
      </c>
      <c r="U854" s="188"/>
    </row>
    <row r="855" spans="1:21" ht="2.1" customHeight="1">
      <c r="A855" s="98"/>
      <c r="B855" s="87"/>
      <c r="C855" s="99"/>
      <c r="D855" s="87"/>
      <c r="E855" s="99"/>
      <c r="F855" s="100"/>
      <c r="G855" s="100"/>
      <c r="H855" s="100"/>
      <c r="I855" s="101"/>
      <c r="J855" s="106"/>
      <c r="K855" s="103"/>
      <c r="L855" s="104"/>
      <c r="M855" s="100"/>
      <c r="N855" s="100"/>
      <c r="O855" s="100"/>
      <c r="P855" s="100"/>
      <c r="Q855" s="105"/>
      <c r="R855" s="105"/>
      <c r="S855" s="169"/>
      <c r="U855" s="188"/>
    </row>
    <row r="856" spans="1:21" ht="25.5">
      <c r="A856" s="67" t="s">
        <v>8314</v>
      </c>
      <c r="B856" s="87" t="s">
        <v>8314</v>
      </c>
      <c r="C856" s="88" t="s">
        <v>12441</v>
      </c>
      <c r="D856" s="89"/>
      <c r="E856" s="90"/>
      <c r="F856" s="91" t="s">
        <v>12442</v>
      </c>
      <c r="G856" s="90"/>
      <c r="H856" s="90"/>
      <c r="I856" s="92"/>
      <c r="J856" s="93"/>
      <c r="K856" s="94"/>
      <c r="L856" s="149" t="str">
        <f>HYPERLINK("[#]DatatypeListedValues!B4683:H4683","Enumeration")</f>
        <v>Enumeration</v>
      </c>
      <c r="M856" s="107" t="b">
        <v>0</v>
      </c>
      <c r="N856" s="90"/>
      <c r="O856" s="95"/>
      <c r="P856" s="90"/>
      <c r="Q856" s="96"/>
      <c r="R856" s="97"/>
      <c r="S856" s="169"/>
      <c r="T856" s="300" t="str">
        <f>CONCATENATE([1]Cover!$D$6,"fdd/view?i=",S856)</f>
        <v>https://www.dgiwg.org/FAD/fdd/view?i=</v>
      </c>
      <c r="U856" s="188"/>
    </row>
    <row r="857" spans="1:21" ht="2.1" customHeight="1">
      <c r="A857" s="98"/>
      <c r="B857" s="87"/>
      <c r="C857" s="99"/>
      <c r="D857" s="87"/>
      <c r="E857" s="99"/>
      <c r="F857" s="100"/>
      <c r="G857" s="100"/>
      <c r="H857" s="100"/>
      <c r="I857" s="101"/>
      <c r="J857" s="106"/>
      <c r="K857" s="103"/>
      <c r="L857" s="104"/>
      <c r="M857" s="100"/>
      <c r="N857" s="100"/>
      <c r="O857" s="100"/>
      <c r="P857" s="100"/>
      <c r="Q857" s="105"/>
      <c r="R857" s="105"/>
      <c r="S857" s="169"/>
      <c r="U857" s="188"/>
    </row>
    <row r="858" spans="1:21" ht="178.5">
      <c r="A858" s="67" t="s">
        <v>8327</v>
      </c>
      <c r="B858" s="87" t="s">
        <v>8327</v>
      </c>
      <c r="C858" s="88" t="s">
        <v>12443</v>
      </c>
      <c r="D858" s="89"/>
      <c r="E858" s="90"/>
      <c r="F858" s="91" t="s">
        <v>12444</v>
      </c>
      <c r="G858" s="90"/>
      <c r="H858" s="91" t="s">
        <v>11426</v>
      </c>
      <c r="I858" s="92"/>
      <c r="J858" s="93"/>
      <c r="K858" s="94"/>
      <c r="L858" s="91" t="s">
        <v>11425</v>
      </c>
      <c r="M858" s="90"/>
      <c r="N858" s="91">
        <v>20</v>
      </c>
      <c r="O858" s="108" t="b">
        <v>0</v>
      </c>
      <c r="P858" s="91" t="s">
        <v>11909</v>
      </c>
      <c r="Q858" s="96"/>
      <c r="R858" s="97"/>
      <c r="S858" s="169"/>
      <c r="T858" s="300" t="str">
        <f>CONCATENATE([1]Cover!$D$6,"fdd/view?i=",S858)</f>
        <v>https://www.dgiwg.org/FAD/fdd/view?i=</v>
      </c>
      <c r="U858" s="188"/>
    </row>
    <row r="859" spans="1:21" ht="2.1" customHeight="1">
      <c r="A859" s="98"/>
      <c r="B859" s="87"/>
      <c r="C859" s="99"/>
      <c r="D859" s="87"/>
      <c r="E859" s="99"/>
      <c r="F859" s="100"/>
      <c r="G859" s="100"/>
      <c r="H859" s="100"/>
      <c r="I859" s="101"/>
      <c r="J859" s="106"/>
      <c r="K859" s="103"/>
      <c r="L859" s="104"/>
      <c r="M859" s="100"/>
      <c r="N859" s="100"/>
      <c r="O859" s="100"/>
      <c r="P859" s="100"/>
      <c r="Q859" s="105"/>
      <c r="R859" s="105"/>
      <c r="S859" s="169"/>
      <c r="U859" s="188"/>
    </row>
    <row r="860" spans="1:21" ht="153">
      <c r="A860" s="67" t="s">
        <v>8420</v>
      </c>
      <c r="B860" s="87" t="s">
        <v>8420</v>
      </c>
      <c r="C860" s="88" t="s">
        <v>12445</v>
      </c>
      <c r="D860" s="89"/>
      <c r="E860" s="90"/>
      <c r="F860" s="91" t="s">
        <v>12446</v>
      </c>
      <c r="G860" s="90"/>
      <c r="H860" s="91" t="s">
        <v>11426</v>
      </c>
      <c r="I860" s="92"/>
      <c r="J860" s="93"/>
      <c r="K860" s="94"/>
      <c r="L860" s="91" t="s">
        <v>11425</v>
      </c>
      <c r="M860" s="90"/>
      <c r="N860" s="91">
        <v>13</v>
      </c>
      <c r="O860" s="108" t="b">
        <v>0</v>
      </c>
      <c r="P860" s="91" t="s">
        <v>12447</v>
      </c>
      <c r="Q860" s="96"/>
      <c r="R860" s="97"/>
      <c r="S860" s="169"/>
      <c r="T860" s="300" t="str">
        <f>CONCATENATE([1]Cover!$D$6,"fdd/view?i=",S860)</f>
        <v>https://www.dgiwg.org/FAD/fdd/view?i=</v>
      </c>
      <c r="U860" s="188"/>
    </row>
    <row r="861" spans="1:21" ht="2.1" customHeight="1">
      <c r="A861" s="98"/>
      <c r="B861" s="87"/>
      <c r="C861" s="99"/>
      <c r="D861" s="87"/>
      <c r="E861" s="99"/>
      <c r="F861" s="100"/>
      <c r="G861" s="100"/>
      <c r="H861" s="100"/>
      <c r="I861" s="101"/>
      <c r="J861" s="106"/>
      <c r="K861" s="103"/>
      <c r="L861" s="104"/>
      <c r="M861" s="100"/>
      <c r="N861" s="100"/>
      <c r="O861" s="100"/>
      <c r="P861" s="100"/>
      <c r="Q861" s="105"/>
      <c r="R861" s="105"/>
      <c r="S861" s="169"/>
      <c r="U861" s="188"/>
    </row>
    <row r="862" spans="1:21" ht="25.5">
      <c r="A862" s="67" t="s">
        <v>8367</v>
      </c>
      <c r="B862" s="87" t="s">
        <v>8367</v>
      </c>
      <c r="C862" s="88" t="s">
        <v>12448</v>
      </c>
      <c r="D862" s="89"/>
      <c r="E862" s="90"/>
      <c r="F862" s="91" t="s">
        <v>12449</v>
      </c>
      <c r="G862" s="90"/>
      <c r="H862" s="90"/>
      <c r="I862" s="92"/>
      <c r="J862" s="93"/>
      <c r="K862" s="94"/>
      <c r="L862" s="149" t="str">
        <f>HYPERLINK("[#]DatatypeListedValues!B4688:H4688","Enumeration")</f>
        <v>Enumeration</v>
      </c>
      <c r="M862" s="91" t="b">
        <v>1</v>
      </c>
      <c r="N862" s="90"/>
      <c r="O862" s="95"/>
      <c r="P862" s="90"/>
      <c r="Q862" s="96"/>
      <c r="R862" s="97"/>
      <c r="S862" s="169"/>
      <c r="T862" s="300" t="str">
        <f>CONCATENATE([1]Cover!$D$6,"fdd/view?i=",S862)</f>
        <v>https://www.dgiwg.org/FAD/fdd/view?i=</v>
      </c>
      <c r="U862" s="188"/>
    </row>
    <row r="863" spans="1:21" ht="2.1" customHeight="1">
      <c r="A863" s="98"/>
      <c r="B863" s="87"/>
      <c r="C863" s="99"/>
      <c r="D863" s="87"/>
      <c r="E863" s="99"/>
      <c r="F863" s="100"/>
      <c r="G863" s="100"/>
      <c r="H863" s="100"/>
      <c r="I863" s="101"/>
      <c r="J863" s="106"/>
      <c r="K863" s="103"/>
      <c r="L863" s="104"/>
      <c r="M863" s="100"/>
      <c r="N863" s="100"/>
      <c r="O863" s="100"/>
      <c r="P863" s="100"/>
      <c r="Q863" s="105"/>
      <c r="R863" s="105"/>
      <c r="S863" s="169"/>
      <c r="U863" s="188"/>
    </row>
    <row r="864" spans="1:21" ht="38.25">
      <c r="A864" s="67" t="s">
        <v>8405</v>
      </c>
      <c r="B864" s="87" t="s">
        <v>8405</v>
      </c>
      <c r="C864" s="88" t="s">
        <v>12450</v>
      </c>
      <c r="D864" s="89"/>
      <c r="E864" s="90"/>
      <c r="F864" s="91" t="s">
        <v>12451</v>
      </c>
      <c r="G864" s="90"/>
      <c r="H864" s="90"/>
      <c r="I864" s="92"/>
      <c r="J864" s="93"/>
      <c r="K864" s="94"/>
      <c r="L864" s="149" t="str">
        <f>HYPERLINK("[#]DatatypeListedValues!B4888:H4888","Enumeration")</f>
        <v>Enumeration</v>
      </c>
      <c r="M864" s="107" t="b">
        <v>0</v>
      </c>
      <c r="N864" s="90"/>
      <c r="O864" s="95"/>
      <c r="P864" s="90"/>
      <c r="Q864" s="96"/>
      <c r="R864" s="97"/>
      <c r="S864" s="169"/>
      <c r="T864" s="300" t="str">
        <f>CONCATENATE([1]Cover!$D$6,"fdd/view?i=",S864)</f>
        <v>https://www.dgiwg.org/FAD/fdd/view?i=</v>
      </c>
      <c r="U864" s="188"/>
    </row>
    <row r="865" spans="1:21" ht="2.1" customHeight="1">
      <c r="A865" s="98"/>
      <c r="B865" s="87"/>
      <c r="C865" s="99"/>
      <c r="D865" s="87"/>
      <c r="E865" s="99"/>
      <c r="F865" s="100"/>
      <c r="G865" s="100"/>
      <c r="H865" s="100"/>
      <c r="I865" s="101"/>
      <c r="J865" s="106"/>
      <c r="K865" s="103"/>
      <c r="L865" s="104"/>
      <c r="M865" s="100"/>
      <c r="N865" s="100"/>
      <c r="O865" s="100"/>
      <c r="P865" s="100"/>
      <c r="Q865" s="105"/>
      <c r="R865" s="105"/>
      <c r="S865" s="169"/>
      <c r="U865" s="188"/>
    </row>
    <row r="866" spans="1:21">
      <c r="A866" s="67" t="s">
        <v>8433</v>
      </c>
      <c r="B866" s="87" t="s">
        <v>8433</v>
      </c>
      <c r="C866" s="88" t="s">
        <v>12452</v>
      </c>
      <c r="D866" s="89"/>
      <c r="E866" s="90"/>
      <c r="F866" s="91" t="s">
        <v>12453</v>
      </c>
      <c r="G866" s="90"/>
      <c r="H866" s="90"/>
      <c r="I866" s="92"/>
      <c r="J866" s="93"/>
      <c r="K866" s="94"/>
      <c r="L866" s="149" t="str">
        <f>HYPERLINK("[#]DatatypeListedValues!B4890:H4890","Enumeration")</f>
        <v>Enumeration</v>
      </c>
      <c r="M866" s="107" t="b">
        <v>0</v>
      </c>
      <c r="N866" s="90"/>
      <c r="O866" s="95"/>
      <c r="P866" s="90"/>
      <c r="Q866" s="96"/>
      <c r="R866" s="97"/>
      <c r="S866" s="169"/>
      <c r="T866" s="300" t="str">
        <f>CONCATENATE([1]Cover!$D$6,"fdd/view?i=",S866)</f>
        <v>https://www.dgiwg.org/FAD/fdd/view?i=</v>
      </c>
      <c r="U866" s="188"/>
    </row>
    <row r="867" spans="1:21" ht="2.1" customHeight="1">
      <c r="A867" s="98"/>
      <c r="B867" s="87"/>
      <c r="C867" s="99"/>
      <c r="D867" s="87"/>
      <c r="E867" s="99"/>
      <c r="F867" s="100"/>
      <c r="G867" s="100"/>
      <c r="H867" s="100"/>
      <c r="I867" s="101"/>
      <c r="J867" s="106"/>
      <c r="K867" s="103"/>
      <c r="L867" s="104"/>
      <c r="M867" s="100"/>
      <c r="N867" s="100"/>
      <c r="O867" s="100"/>
      <c r="P867" s="100"/>
      <c r="Q867" s="105"/>
      <c r="R867" s="105"/>
      <c r="S867" s="169"/>
      <c r="U867" s="188"/>
    </row>
    <row r="868" spans="1:21" ht="25.5">
      <c r="A868" s="67" t="s">
        <v>8439</v>
      </c>
      <c r="B868" s="87" t="s">
        <v>8439</v>
      </c>
      <c r="C868" s="88" t="s">
        <v>12454</v>
      </c>
      <c r="D868" s="89"/>
      <c r="E868" s="90"/>
      <c r="F868" s="91" t="s">
        <v>12455</v>
      </c>
      <c r="G868" s="90"/>
      <c r="H868" s="90"/>
      <c r="I868" s="92"/>
      <c r="J868" s="93"/>
      <c r="K868" s="94"/>
      <c r="L868" s="149" t="str">
        <f>HYPERLINK("[#]DatatypeListedValues!B4893:H4893","Enumeration")</f>
        <v>Enumeration</v>
      </c>
      <c r="M868" s="107" t="b">
        <v>0</v>
      </c>
      <c r="N868" s="90"/>
      <c r="O868" s="95"/>
      <c r="P868" s="90"/>
      <c r="Q868" s="96"/>
      <c r="R868" s="97"/>
      <c r="S868" s="169"/>
      <c r="T868" s="300" t="str">
        <f>CONCATENATE([1]Cover!$D$6,"fdd/view?i=",S868)</f>
        <v>https://www.dgiwg.org/FAD/fdd/view?i=</v>
      </c>
      <c r="U868" s="188"/>
    </row>
    <row r="869" spans="1:21" ht="2.1" customHeight="1">
      <c r="A869" s="98"/>
      <c r="B869" s="87"/>
      <c r="C869" s="99"/>
      <c r="D869" s="87"/>
      <c r="E869" s="99"/>
      <c r="F869" s="100"/>
      <c r="G869" s="100"/>
      <c r="H869" s="100"/>
      <c r="I869" s="101"/>
      <c r="J869" s="106"/>
      <c r="K869" s="103"/>
      <c r="L869" s="104"/>
      <c r="M869" s="100"/>
      <c r="N869" s="100"/>
      <c r="O869" s="100"/>
      <c r="P869" s="100"/>
      <c r="Q869" s="105"/>
      <c r="R869" s="105"/>
      <c r="S869" s="169"/>
      <c r="U869" s="188"/>
    </row>
    <row r="870" spans="1:21" ht="25.5">
      <c r="A870" s="67" t="s">
        <v>8444</v>
      </c>
      <c r="B870" s="87" t="s">
        <v>8444</v>
      </c>
      <c r="C870" s="88" t="s">
        <v>12456</v>
      </c>
      <c r="D870" s="89"/>
      <c r="E870" s="90"/>
      <c r="F870" s="91" t="s">
        <v>12457</v>
      </c>
      <c r="G870" s="90"/>
      <c r="H870" s="90"/>
      <c r="I870" s="92"/>
      <c r="J870" s="93"/>
      <c r="K870" s="94"/>
      <c r="L870" s="149" t="str">
        <f>HYPERLINK("[#]DatatypeListedValues!B4901:H4901","Enumeration")</f>
        <v>Enumeration</v>
      </c>
      <c r="M870" s="91" t="b">
        <v>1</v>
      </c>
      <c r="N870" s="90"/>
      <c r="O870" s="95"/>
      <c r="P870" s="90"/>
      <c r="Q870" s="96"/>
      <c r="R870" s="97"/>
      <c r="S870" s="169"/>
      <c r="T870" s="300" t="str">
        <f>CONCATENATE([1]Cover!$D$6,"fdd/view?i=",S870)</f>
        <v>https://www.dgiwg.org/FAD/fdd/view?i=</v>
      </c>
      <c r="U870" s="188"/>
    </row>
    <row r="871" spans="1:21" ht="2.1" customHeight="1">
      <c r="A871" s="98"/>
      <c r="B871" s="87"/>
      <c r="C871" s="99"/>
      <c r="D871" s="87"/>
      <c r="E871" s="99"/>
      <c r="F871" s="100"/>
      <c r="G871" s="100"/>
      <c r="H871" s="100"/>
      <c r="I871" s="101"/>
      <c r="J871" s="106"/>
      <c r="K871" s="103"/>
      <c r="L871" s="104"/>
      <c r="M871" s="100"/>
      <c r="N871" s="100"/>
      <c r="O871" s="100"/>
      <c r="P871" s="100"/>
      <c r="Q871" s="105"/>
      <c r="R871" s="105"/>
      <c r="S871" s="169"/>
      <c r="U871" s="188"/>
    </row>
    <row r="872" spans="1:21">
      <c r="A872" s="67" t="s">
        <v>8449</v>
      </c>
      <c r="B872" s="87" t="s">
        <v>8449</v>
      </c>
      <c r="C872" s="88" t="s">
        <v>12458</v>
      </c>
      <c r="D872" s="89"/>
      <c r="E872" s="90"/>
      <c r="F872" s="91" t="s">
        <v>12459</v>
      </c>
      <c r="G872" s="90"/>
      <c r="H872" s="90"/>
      <c r="I872" s="92"/>
      <c r="J872" s="93"/>
      <c r="K872" s="94"/>
      <c r="L872" s="149" t="str">
        <f>HYPERLINK("[#]DatatypeListedValues!B4905:H4905","Enumeration")</f>
        <v>Enumeration</v>
      </c>
      <c r="M872" s="91" t="b">
        <v>1</v>
      </c>
      <c r="N872" s="90"/>
      <c r="O872" s="95"/>
      <c r="P872" s="90"/>
      <c r="Q872" s="96"/>
      <c r="R872" s="97"/>
      <c r="S872" s="169"/>
      <c r="T872" s="300" t="str">
        <f>CONCATENATE([1]Cover!$D$6,"fdd/view?i=",S872)</f>
        <v>https://www.dgiwg.org/FAD/fdd/view?i=</v>
      </c>
      <c r="U872" s="188"/>
    </row>
    <row r="873" spans="1:21" ht="2.1" customHeight="1">
      <c r="A873" s="98"/>
      <c r="B873" s="87"/>
      <c r="C873" s="99"/>
      <c r="D873" s="87"/>
      <c r="E873" s="99"/>
      <c r="F873" s="100"/>
      <c r="G873" s="100"/>
      <c r="H873" s="100"/>
      <c r="I873" s="101"/>
      <c r="J873" s="106"/>
      <c r="K873" s="103"/>
      <c r="L873" s="104"/>
      <c r="M873" s="100"/>
      <c r="N873" s="100"/>
      <c r="O873" s="100"/>
      <c r="P873" s="100"/>
      <c r="Q873" s="105"/>
      <c r="R873" s="105"/>
      <c r="S873" s="169"/>
      <c r="U873" s="188"/>
    </row>
    <row r="874" spans="1:21" ht="25.5">
      <c r="A874" s="67" t="s">
        <v>8454</v>
      </c>
      <c r="B874" s="87" t="s">
        <v>8454</v>
      </c>
      <c r="C874" s="88" t="s">
        <v>12460</v>
      </c>
      <c r="D874" s="89"/>
      <c r="E874" s="90"/>
      <c r="F874" s="91" t="s">
        <v>12461</v>
      </c>
      <c r="G874" s="90"/>
      <c r="H874" s="90"/>
      <c r="I874" s="92"/>
      <c r="J874" s="93"/>
      <c r="K874" s="94"/>
      <c r="L874" s="149" t="str">
        <f>HYPERLINK("[#]DatatypeListedValues!B4908:H4908","Enumeration")</f>
        <v>Enumeration</v>
      </c>
      <c r="M874" s="107" t="b">
        <v>0</v>
      </c>
      <c r="N874" s="90"/>
      <c r="O874" s="95"/>
      <c r="P874" s="90"/>
      <c r="Q874" s="96"/>
      <c r="R874" s="97"/>
      <c r="S874" s="169"/>
      <c r="T874" s="300" t="str">
        <f>CONCATENATE([1]Cover!$D$6,"fdd/view?i=",S874)</f>
        <v>https://www.dgiwg.org/FAD/fdd/view?i=</v>
      </c>
      <c r="U874" s="188"/>
    </row>
    <row r="875" spans="1:21" ht="2.1" customHeight="1">
      <c r="A875" s="98"/>
      <c r="B875" s="87"/>
      <c r="C875" s="99"/>
      <c r="D875" s="87"/>
      <c r="E875" s="99"/>
      <c r="F875" s="100"/>
      <c r="G875" s="100"/>
      <c r="H875" s="100"/>
      <c r="I875" s="101"/>
      <c r="J875" s="106"/>
      <c r="K875" s="103"/>
      <c r="L875" s="104"/>
      <c r="M875" s="100"/>
      <c r="N875" s="100"/>
      <c r="O875" s="100"/>
      <c r="P875" s="100"/>
      <c r="Q875" s="105"/>
      <c r="R875" s="105"/>
      <c r="S875" s="169"/>
      <c r="U875" s="188"/>
    </row>
    <row r="876" spans="1:21" ht="25.5">
      <c r="A876" s="67" t="s">
        <v>8460</v>
      </c>
      <c r="B876" s="87" t="s">
        <v>8460</v>
      </c>
      <c r="C876" s="88" t="s">
        <v>12462</v>
      </c>
      <c r="D876" s="89"/>
      <c r="E876" s="90"/>
      <c r="F876" s="91" t="s">
        <v>12463</v>
      </c>
      <c r="G876" s="90"/>
      <c r="H876" s="90"/>
      <c r="I876" s="92"/>
      <c r="J876" s="93"/>
      <c r="K876" s="94"/>
      <c r="L876" s="149" t="str">
        <f>HYPERLINK("[#]DatatypeListedValues!B4915:H4915","Enumeration")</f>
        <v>Enumeration</v>
      </c>
      <c r="M876" s="107" t="b">
        <v>0</v>
      </c>
      <c r="N876" s="90"/>
      <c r="O876" s="95"/>
      <c r="P876" s="90"/>
      <c r="Q876" s="96"/>
      <c r="R876" s="97"/>
      <c r="S876" s="169"/>
      <c r="T876" s="300" t="str">
        <f>CONCATENATE([1]Cover!$D$6,"fdd/view?i=",S876)</f>
        <v>https://www.dgiwg.org/FAD/fdd/view?i=</v>
      </c>
      <c r="U876" s="188"/>
    </row>
    <row r="877" spans="1:21" ht="2.1" customHeight="1">
      <c r="A877" s="98"/>
      <c r="B877" s="87"/>
      <c r="C877" s="99"/>
      <c r="D877" s="87"/>
      <c r="E877" s="99"/>
      <c r="F877" s="100"/>
      <c r="G877" s="100"/>
      <c r="H877" s="100"/>
      <c r="I877" s="101"/>
      <c r="J877" s="106"/>
      <c r="K877" s="103"/>
      <c r="L877" s="104"/>
      <c r="M877" s="100"/>
      <c r="N877" s="100"/>
      <c r="O877" s="100"/>
      <c r="P877" s="100"/>
      <c r="Q877" s="105"/>
      <c r="R877" s="105"/>
      <c r="S877" s="169"/>
      <c r="U877" s="188"/>
    </row>
    <row r="878" spans="1:21" ht="25.5">
      <c r="A878" s="67" t="s">
        <v>8466</v>
      </c>
      <c r="B878" s="87" t="s">
        <v>8466</v>
      </c>
      <c r="C878" s="88" t="s">
        <v>12464</v>
      </c>
      <c r="D878" s="89"/>
      <c r="E878" s="90"/>
      <c r="F878" s="91" t="s">
        <v>12465</v>
      </c>
      <c r="G878" s="90"/>
      <c r="H878" s="90"/>
      <c r="I878" s="92"/>
      <c r="J878" s="93"/>
      <c r="K878" s="94"/>
      <c r="L878" s="149" t="str">
        <f>HYPERLINK("[#]DatatypeListedValues!B4921:H4921","Enumeration")</f>
        <v>Enumeration</v>
      </c>
      <c r="M878" s="107" t="b">
        <v>0</v>
      </c>
      <c r="N878" s="90"/>
      <c r="O878" s="95"/>
      <c r="P878" s="90"/>
      <c r="Q878" s="96"/>
      <c r="R878" s="97"/>
      <c r="S878" s="169"/>
      <c r="T878" s="300" t="str">
        <f>CONCATENATE([1]Cover!$D$6,"fdd/view?i=",S878)</f>
        <v>https://www.dgiwg.org/FAD/fdd/view?i=</v>
      </c>
      <c r="U878" s="188"/>
    </row>
    <row r="879" spans="1:21" ht="2.1" customHeight="1">
      <c r="A879" s="98"/>
      <c r="B879" s="87"/>
      <c r="C879" s="99"/>
      <c r="D879" s="87"/>
      <c r="E879" s="99"/>
      <c r="F879" s="100"/>
      <c r="G879" s="100"/>
      <c r="H879" s="100"/>
      <c r="I879" s="101"/>
      <c r="J879" s="106"/>
      <c r="K879" s="103"/>
      <c r="L879" s="104"/>
      <c r="M879" s="100"/>
      <c r="N879" s="100"/>
      <c r="O879" s="100"/>
      <c r="P879" s="100"/>
      <c r="Q879" s="105"/>
      <c r="R879" s="105"/>
      <c r="S879" s="169"/>
      <c r="U879" s="188"/>
    </row>
    <row r="880" spans="1:21" ht="25.5">
      <c r="A880" s="67" t="s">
        <v>8471</v>
      </c>
      <c r="B880" s="87" t="s">
        <v>8471</v>
      </c>
      <c r="C880" s="88" t="s">
        <v>12466</v>
      </c>
      <c r="D880" s="89"/>
      <c r="E880" s="90"/>
      <c r="F880" s="91" t="s">
        <v>12467</v>
      </c>
      <c r="G880" s="90"/>
      <c r="H880" s="90"/>
      <c r="I880" s="92"/>
      <c r="J880" s="93"/>
      <c r="K880" s="94"/>
      <c r="L880" s="149" t="str">
        <f>HYPERLINK("[#]DatatypeListedValues!B4926:H4926","Enumeration")</f>
        <v>Enumeration</v>
      </c>
      <c r="M880" s="91" t="b">
        <v>1</v>
      </c>
      <c r="N880" s="90"/>
      <c r="O880" s="95"/>
      <c r="P880" s="90"/>
      <c r="Q880" s="96"/>
      <c r="R880" s="97"/>
      <c r="S880" s="169"/>
      <c r="T880" s="300" t="str">
        <f>CONCATENATE([1]Cover!$D$6,"fdd/view?i=",S880)</f>
        <v>https://www.dgiwg.org/FAD/fdd/view?i=</v>
      </c>
      <c r="U880" s="188"/>
    </row>
    <row r="881" spans="1:21" ht="2.1" customHeight="1">
      <c r="A881" s="98"/>
      <c r="B881" s="87"/>
      <c r="C881" s="99"/>
      <c r="D881" s="87"/>
      <c r="E881" s="99"/>
      <c r="F881" s="100"/>
      <c r="G881" s="100"/>
      <c r="H881" s="100"/>
      <c r="I881" s="101"/>
      <c r="J881" s="106"/>
      <c r="K881" s="103"/>
      <c r="L881" s="104"/>
      <c r="M881" s="100"/>
      <c r="N881" s="100"/>
      <c r="O881" s="100"/>
      <c r="P881" s="100"/>
      <c r="Q881" s="105"/>
      <c r="R881" s="105"/>
      <c r="S881" s="169"/>
      <c r="U881" s="188"/>
    </row>
    <row r="882" spans="1:21" ht="25.5">
      <c r="A882" s="67" t="s">
        <v>8476</v>
      </c>
      <c r="B882" s="87" t="s">
        <v>8476</v>
      </c>
      <c r="C882" s="88" t="s">
        <v>12468</v>
      </c>
      <c r="D882" s="89"/>
      <c r="E882" s="90"/>
      <c r="F882" s="91" t="s">
        <v>12469</v>
      </c>
      <c r="G882" s="90"/>
      <c r="H882" s="90"/>
      <c r="I882" s="92"/>
      <c r="J882" s="93"/>
      <c r="K882" s="94"/>
      <c r="L882" s="149" t="str">
        <f>HYPERLINK("[#]DatatypeListedValues!B4928:H4928","Enumeration")</f>
        <v>Enumeration</v>
      </c>
      <c r="M882" s="107" t="b">
        <v>0</v>
      </c>
      <c r="N882" s="90"/>
      <c r="O882" s="95"/>
      <c r="P882" s="90"/>
      <c r="Q882" s="96"/>
      <c r="R882" s="97"/>
      <c r="S882" s="169"/>
      <c r="T882" s="300" t="str">
        <f>CONCATENATE([1]Cover!$D$6,"fdd/view?i=",S882)</f>
        <v>https://www.dgiwg.org/FAD/fdd/view?i=</v>
      </c>
      <c r="U882" s="188"/>
    </row>
    <row r="883" spans="1:21" ht="2.1" customHeight="1">
      <c r="A883" s="98"/>
      <c r="B883" s="87"/>
      <c r="C883" s="99"/>
      <c r="D883" s="87"/>
      <c r="E883" s="99"/>
      <c r="F883" s="100"/>
      <c r="G883" s="100"/>
      <c r="H883" s="100"/>
      <c r="I883" s="101"/>
      <c r="J883" s="106"/>
      <c r="K883" s="103"/>
      <c r="L883" s="104"/>
      <c r="M883" s="100"/>
      <c r="N883" s="100"/>
      <c r="O883" s="100"/>
      <c r="P883" s="100"/>
      <c r="Q883" s="105"/>
      <c r="R883" s="105"/>
      <c r="S883" s="169"/>
      <c r="U883" s="188"/>
    </row>
    <row r="884" spans="1:21" ht="25.5">
      <c r="A884" s="67" t="s">
        <v>8485</v>
      </c>
      <c r="B884" s="87" t="s">
        <v>8485</v>
      </c>
      <c r="C884" s="88" t="s">
        <v>12470</v>
      </c>
      <c r="D884" s="89"/>
      <c r="E884" s="90"/>
      <c r="F884" s="91" t="s">
        <v>12471</v>
      </c>
      <c r="G884" s="90"/>
      <c r="H884" s="90"/>
      <c r="I884" s="92"/>
      <c r="J884" s="93"/>
      <c r="K884" s="94"/>
      <c r="L884" s="149" t="str">
        <f>HYPERLINK("[#]DatatypeListedValues!B4931:H4931","Enumeration")</f>
        <v>Enumeration</v>
      </c>
      <c r="M884" s="91" t="b">
        <v>1</v>
      </c>
      <c r="N884" s="90"/>
      <c r="O884" s="95"/>
      <c r="P884" s="90"/>
      <c r="Q884" s="96"/>
      <c r="R884" s="97"/>
      <c r="S884" s="169"/>
      <c r="T884" s="300" t="str">
        <f>CONCATENATE([1]Cover!$D$6,"fdd/view?i=",S884)</f>
        <v>https://www.dgiwg.org/FAD/fdd/view?i=</v>
      </c>
      <c r="U884" s="188"/>
    </row>
    <row r="885" spans="1:21" ht="2.1" customHeight="1">
      <c r="A885" s="98"/>
      <c r="B885" s="87"/>
      <c r="C885" s="99"/>
      <c r="D885" s="87"/>
      <c r="E885" s="99"/>
      <c r="F885" s="100"/>
      <c r="G885" s="100"/>
      <c r="H885" s="100"/>
      <c r="I885" s="101"/>
      <c r="J885" s="106"/>
      <c r="K885" s="103"/>
      <c r="L885" s="104"/>
      <c r="M885" s="100"/>
      <c r="N885" s="100"/>
      <c r="O885" s="100"/>
      <c r="P885" s="100"/>
      <c r="Q885" s="105"/>
      <c r="R885" s="105"/>
      <c r="S885" s="169"/>
      <c r="U885" s="188"/>
    </row>
    <row r="886" spans="1:21" ht="25.5">
      <c r="A886" s="67" t="s">
        <v>8490</v>
      </c>
      <c r="B886" s="87" t="s">
        <v>8490</v>
      </c>
      <c r="C886" s="88" t="s">
        <v>12472</v>
      </c>
      <c r="D886" s="89"/>
      <c r="E886" s="90"/>
      <c r="F886" s="91" t="s">
        <v>12473</v>
      </c>
      <c r="G886" s="90"/>
      <c r="H886" s="90"/>
      <c r="I886" s="92"/>
      <c r="J886" s="93"/>
      <c r="K886" s="94"/>
      <c r="L886" s="149" t="str">
        <f>HYPERLINK("[#]DatatypeListedValues!B4933:H4933","Enumeration")</f>
        <v>Enumeration</v>
      </c>
      <c r="M886" s="107" t="b">
        <v>0</v>
      </c>
      <c r="N886" s="90"/>
      <c r="O886" s="95"/>
      <c r="P886" s="90"/>
      <c r="Q886" s="96"/>
      <c r="R886" s="97"/>
      <c r="S886" s="169"/>
      <c r="T886" s="300" t="str">
        <f>CONCATENATE([1]Cover!$D$6,"fdd/view?i=",S886)</f>
        <v>https://www.dgiwg.org/FAD/fdd/view?i=</v>
      </c>
      <c r="U886" s="188"/>
    </row>
    <row r="887" spans="1:21" ht="2.1" customHeight="1">
      <c r="A887" s="98"/>
      <c r="B887" s="87"/>
      <c r="C887" s="99"/>
      <c r="D887" s="87"/>
      <c r="E887" s="99"/>
      <c r="F887" s="100"/>
      <c r="G887" s="100"/>
      <c r="H887" s="100"/>
      <c r="I887" s="101"/>
      <c r="J887" s="106"/>
      <c r="K887" s="103"/>
      <c r="L887" s="104"/>
      <c r="M887" s="100"/>
      <c r="N887" s="100"/>
      <c r="O887" s="100"/>
      <c r="P887" s="100"/>
      <c r="Q887" s="105"/>
      <c r="R887" s="105"/>
      <c r="S887" s="169"/>
      <c r="U887" s="188"/>
    </row>
    <row r="888" spans="1:21" ht="25.5">
      <c r="A888" s="67" t="s">
        <v>8495</v>
      </c>
      <c r="B888" s="87" t="s">
        <v>8495</v>
      </c>
      <c r="C888" s="88" t="s">
        <v>12474</v>
      </c>
      <c r="D888" s="89"/>
      <c r="E888" s="90"/>
      <c r="F888" s="91" t="s">
        <v>12475</v>
      </c>
      <c r="G888" s="90"/>
      <c r="H888" s="90"/>
      <c r="I888" s="92"/>
      <c r="J888" s="93"/>
      <c r="K888" s="94"/>
      <c r="L888" s="149" t="str">
        <f>HYPERLINK("[#]DatatypeListedValues!B4940:H4940","Enumeration")</f>
        <v>Enumeration</v>
      </c>
      <c r="M888" s="107" t="b">
        <v>0</v>
      </c>
      <c r="N888" s="90"/>
      <c r="O888" s="95"/>
      <c r="P888" s="90"/>
      <c r="Q888" s="96"/>
      <c r="R888" s="97"/>
      <c r="S888" s="169"/>
      <c r="T888" s="300" t="str">
        <f>CONCATENATE([1]Cover!$D$6,"fdd/view?i=",S888)</f>
        <v>https://www.dgiwg.org/FAD/fdd/view?i=</v>
      </c>
      <c r="U888" s="188"/>
    </row>
    <row r="889" spans="1:21" ht="2.1" customHeight="1">
      <c r="A889" s="98"/>
      <c r="B889" s="87"/>
      <c r="C889" s="99"/>
      <c r="D889" s="87"/>
      <c r="E889" s="99"/>
      <c r="F889" s="100"/>
      <c r="G889" s="100"/>
      <c r="H889" s="100"/>
      <c r="I889" s="101"/>
      <c r="J889" s="106"/>
      <c r="K889" s="103"/>
      <c r="L889" s="104"/>
      <c r="M889" s="100"/>
      <c r="N889" s="100"/>
      <c r="O889" s="100"/>
      <c r="P889" s="100"/>
      <c r="Q889" s="105"/>
      <c r="R889" s="105"/>
      <c r="S889" s="169"/>
      <c r="U889" s="188"/>
    </row>
    <row r="890" spans="1:21" ht="25.5">
      <c r="A890" s="67" t="s">
        <v>8500</v>
      </c>
      <c r="B890" s="87" t="s">
        <v>8500</v>
      </c>
      <c r="C890" s="88" t="s">
        <v>12476</v>
      </c>
      <c r="D890" s="89"/>
      <c r="E890" s="90"/>
      <c r="F890" s="91" t="s">
        <v>12477</v>
      </c>
      <c r="G890" s="90"/>
      <c r="H890" s="90"/>
      <c r="I890" s="92"/>
      <c r="J890" s="93"/>
      <c r="K890" s="94"/>
      <c r="L890" s="149" t="str">
        <f>HYPERLINK("[#]DatatypeListedValues!B4943:H4943","Enumeration")</f>
        <v>Enumeration</v>
      </c>
      <c r="M890" s="107" t="b">
        <v>0</v>
      </c>
      <c r="N890" s="90"/>
      <c r="O890" s="95"/>
      <c r="P890" s="90"/>
      <c r="Q890" s="96"/>
      <c r="R890" s="97"/>
      <c r="S890" s="169"/>
      <c r="T890" s="300" t="str">
        <f>CONCATENATE([1]Cover!$D$6,"fdd/view?i=",S890)</f>
        <v>https://www.dgiwg.org/FAD/fdd/view?i=</v>
      </c>
      <c r="U890" s="188"/>
    </row>
    <row r="891" spans="1:21" ht="2.1" customHeight="1">
      <c r="A891" s="98"/>
      <c r="B891" s="87"/>
      <c r="C891" s="99"/>
      <c r="D891" s="87"/>
      <c r="E891" s="99"/>
      <c r="F891" s="100"/>
      <c r="G891" s="100"/>
      <c r="H891" s="100"/>
      <c r="I891" s="101"/>
      <c r="J891" s="106"/>
      <c r="K891" s="103"/>
      <c r="L891" s="104"/>
      <c r="M891" s="100"/>
      <c r="N891" s="100"/>
      <c r="O891" s="100"/>
      <c r="P891" s="100"/>
      <c r="Q891" s="105"/>
      <c r="R891" s="105"/>
      <c r="S891" s="169"/>
      <c r="U891" s="188"/>
    </row>
    <row r="892" spans="1:21" ht="25.5">
      <c r="A892" s="67" t="s">
        <v>8509</v>
      </c>
      <c r="B892" s="87" t="s">
        <v>8509</v>
      </c>
      <c r="C892" s="88" t="s">
        <v>12478</v>
      </c>
      <c r="D892" s="89"/>
      <c r="E892" s="90"/>
      <c r="F892" s="91" t="s">
        <v>12479</v>
      </c>
      <c r="G892" s="90"/>
      <c r="H892" s="90"/>
      <c r="I892" s="92"/>
      <c r="J892" s="93"/>
      <c r="K892" s="94"/>
      <c r="L892" s="149" t="str">
        <f>HYPERLINK("[#]DatatypeListedValues!B4957:H4957","Enumeration")</f>
        <v>Enumeration</v>
      </c>
      <c r="M892" s="91" t="b">
        <v>1</v>
      </c>
      <c r="N892" s="90"/>
      <c r="O892" s="95"/>
      <c r="P892" s="90"/>
      <c r="Q892" s="96"/>
      <c r="R892" s="97"/>
      <c r="S892" s="169"/>
      <c r="T892" s="300" t="str">
        <f>CONCATENATE([1]Cover!$D$6,"fdd/view?i=",S892)</f>
        <v>https://www.dgiwg.org/FAD/fdd/view?i=</v>
      </c>
      <c r="U892" s="188"/>
    </row>
    <row r="893" spans="1:21" ht="2.1" customHeight="1">
      <c r="A893" s="98"/>
      <c r="B893" s="87"/>
      <c r="C893" s="99"/>
      <c r="D893" s="87"/>
      <c r="E893" s="99"/>
      <c r="F893" s="100"/>
      <c r="G893" s="100"/>
      <c r="H893" s="100"/>
      <c r="I893" s="101"/>
      <c r="J893" s="106"/>
      <c r="K893" s="103"/>
      <c r="L893" s="104"/>
      <c r="M893" s="100"/>
      <c r="N893" s="100"/>
      <c r="O893" s="100"/>
      <c r="P893" s="100"/>
      <c r="Q893" s="105"/>
      <c r="R893" s="105"/>
      <c r="S893" s="169"/>
      <c r="U893" s="188"/>
    </row>
    <row r="894" spans="1:21" ht="38.25">
      <c r="A894" s="67" t="s">
        <v>8528</v>
      </c>
      <c r="B894" s="87" t="s">
        <v>8528</v>
      </c>
      <c r="C894" s="88" t="s">
        <v>12480</v>
      </c>
      <c r="D894" s="89"/>
      <c r="E894" s="90"/>
      <c r="F894" s="91" t="s">
        <v>12481</v>
      </c>
      <c r="G894" s="90"/>
      <c r="H894" s="91" t="s">
        <v>11426</v>
      </c>
      <c r="I894" s="92"/>
      <c r="J894" s="93"/>
      <c r="K894" s="94"/>
      <c r="L894" s="91" t="s">
        <v>11425</v>
      </c>
      <c r="M894" s="90"/>
      <c r="N894" s="91">
        <v>7</v>
      </c>
      <c r="O894" s="108" t="b">
        <v>0</v>
      </c>
      <c r="P894" s="91" t="s">
        <v>12482</v>
      </c>
      <c r="Q894" s="96"/>
      <c r="R894" s="97"/>
      <c r="S894" s="169"/>
      <c r="T894" s="300" t="str">
        <f>CONCATENATE([1]Cover!$D$6,"fdd/view?i=",S894)</f>
        <v>https://www.dgiwg.org/FAD/fdd/view?i=</v>
      </c>
      <c r="U894" s="188"/>
    </row>
    <row r="895" spans="1:21" ht="2.1" customHeight="1">
      <c r="A895" s="98"/>
      <c r="B895" s="87"/>
      <c r="C895" s="99"/>
      <c r="D895" s="87"/>
      <c r="E895" s="99"/>
      <c r="F895" s="100"/>
      <c r="G895" s="100"/>
      <c r="H895" s="100"/>
      <c r="I895" s="101"/>
      <c r="J895" s="106"/>
      <c r="K895" s="103"/>
      <c r="L895" s="104"/>
      <c r="M895" s="100"/>
      <c r="N895" s="100"/>
      <c r="O895" s="100"/>
      <c r="P895" s="100"/>
      <c r="Q895" s="105"/>
      <c r="R895" s="105"/>
      <c r="S895" s="169"/>
      <c r="U895" s="188"/>
    </row>
    <row r="896" spans="1:21">
      <c r="A896" s="67" t="s">
        <v>8582</v>
      </c>
      <c r="B896" s="87" t="s">
        <v>8582</v>
      </c>
      <c r="C896" s="88" t="s">
        <v>12483</v>
      </c>
      <c r="D896" s="89"/>
      <c r="E896" s="90"/>
      <c r="F896" s="91" t="s">
        <v>12484</v>
      </c>
      <c r="G896" s="90"/>
      <c r="H896" s="90"/>
      <c r="I896" s="92"/>
      <c r="J896" s="93"/>
      <c r="K896" s="94"/>
      <c r="L896" s="149" t="str">
        <f>HYPERLINK("[#]DatatypeListedValues!B4960:H4960","Enumeration")</f>
        <v>Enumeration</v>
      </c>
      <c r="M896" s="107" t="b">
        <v>0</v>
      </c>
      <c r="N896" s="90"/>
      <c r="O896" s="95"/>
      <c r="P896" s="90"/>
      <c r="Q896" s="96"/>
      <c r="R896" s="97"/>
      <c r="S896" s="169"/>
      <c r="T896" s="300" t="str">
        <f>CONCATENATE([1]Cover!$D$6,"fdd/view?i=",S896)</f>
        <v>https://www.dgiwg.org/FAD/fdd/view?i=</v>
      </c>
      <c r="U896" s="188"/>
    </row>
    <row r="897" spans="1:21" ht="2.1" customHeight="1">
      <c r="A897" s="98"/>
      <c r="B897" s="87"/>
      <c r="C897" s="99"/>
      <c r="D897" s="87"/>
      <c r="E897" s="99"/>
      <c r="F897" s="100"/>
      <c r="G897" s="100"/>
      <c r="H897" s="100"/>
      <c r="I897" s="101"/>
      <c r="J897" s="106"/>
      <c r="K897" s="103"/>
      <c r="L897" s="104"/>
      <c r="M897" s="100"/>
      <c r="N897" s="100"/>
      <c r="O897" s="100"/>
      <c r="P897" s="100"/>
      <c r="Q897" s="105"/>
      <c r="R897" s="105"/>
      <c r="S897" s="169"/>
      <c r="U897" s="188"/>
    </row>
    <row r="898" spans="1:21" ht="178.5">
      <c r="A898" s="67" t="s">
        <v>8591</v>
      </c>
      <c r="B898" s="87" t="s">
        <v>8591</v>
      </c>
      <c r="C898" s="88" t="s">
        <v>12485</v>
      </c>
      <c r="D898" s="89"/>
      <c r="E898" s="90"/>
      <c r="F898" s="91" t="s">
        <v>12486</v>
      </c>
      <c r="G898" s="90"/>
      <c r="H898" s="91" t="s">
        <v>11426</v>
      </c>
      <c r="I898" s="92"/>
      <c r="J898" s="93"/>
      <c r="K898" s="94"/>
      <c r="L898" s="91" t="s">
        <v>11425</v>
      </c>
      <c r="M898" s="90"/>
      <c r="N898" s="91">
        <v>20</v>
      </c>
      <c r="O898" s="108" t="b">
        <v>0</v>
      </c>
      <c r="P898" s="91" t="s">
        <v>11909</v>
      </c>
      <c r="Q898" s="96"/>
      <c r="R898" s="97"/>
      <c r="S898" s="169"/>
      <c r="T898" s="300" t="str">
        <f>CONCATENATE([1]Cover!$D$6,"fdd/view?i=",S898)</f>
        <v>https://www.dgiwg.org/FAD/fdd/view?i=</v>
      </c>
      <c r="U898" s="188"/>
    </row>
    <row r="899" spans="1:21" ht="2.1" customHeight="1">
      <c r="A899" s="98"/>
      <c r="B899" s="87"/>
      <c r="C899" s="99"/>
      <c r="D899" s="87"/>
      <c r="E899" s="99"/>
      <c r="F899" s="100"/>
      <c r="G899" s="100"/>
      <c r="H899" s="100"/>
      <c r="I899" s="101"/>
      <c r="J899" s="106"/>
      <c r="K899" s="103"/>
      <c r="L899" s="104"/>
      <c r="M899" s="100"/>
      <c r="N899" s="100"/>
      <c r="O899" s="100"/>
      <c r="P899" s="100"/>
      <c r="Q899" s="105"/>
      <c r="R899" s="105"/>
      <c r="S899" s="169"/>
      <c r="U899" s="188"/>
    </row>
    <row r="900" spans="1:21" ht="25.5">
      <c r="A900" s="67" t="s">
        <v>8597</v>
      </c>
      <c r="B900" s="87" t="s">
        <v>8597</v>
      </c>
      <c r="C900" s="88" t="s">
        <v>12487</v>
      </c>
      <c r="D900" s="89"/>
      <c r="E900" s="90"/>
      <c r="F900" s="91" t="s">
        <v>12488</v>
      </c>
      <c r="G900" s="90"/>
      <c r="H900" s="90"/>
      <c r="I900" s="92"/>
      <c r="J900" s="93"/>
      <c r="K900" s="94"/>
      <c r="L900" s="149" t="str">
        <f>HYPERLINK("[#]DatatypeListedValues!B4985:H4985","Enumeration")</f>
        <v>Enumeration</v>
      </c>
      <c r="M900" s="107" t="b">
        <v>0</v>
      </c>
      <c r="N900" s="90"/>
      <c r="O900" s="95"/>
      <c r="P900" s="90"/>
      <c r="Q900" s="96"/>
      <c r="R900" s="97"/>
      <c r="S900" s="169"/>
      <c r="T900" s="300" t="str">
        <f>CONCATENATE([1]Cover!$D$6,"fdd/view?i=",S900)</f>
        <v>https://www.dgiwg.org/FAD/fdd/view?i=</v>
      </c>
      <c r="U900" s="188"/>
    </row>
    <row r="901" spans="1:21" ht="2.1" customHeight="1">
      <c r="A901" s="98"/>
      <c r="B901" s="87"/>
      <c r="C901" s="99"/>
      <c r="D901" s="87"/>
      <c r="E901" s="99"/>
      <c r="F901" s="100"/>
      <c r="G901" s="100"/>
      <c r="H901" s="100"/>
      <c r="I901" s="101"/>
      <c r="J901" s="106"/>
      <c r="K901" s="103"/>
      <c r="L901" s="104"/>
      <c r="M901" s="100"/>
      <c r="N901" s="100"/>
      <c r="O901" s="100"/>
      <c r="P901" s="100"/>
      <c r="Q901" s="105"/>
      <c r="R901" s="105"/>
      <c r="S901" s="169"/>
      <c r="U901" s="188"/>
    </row>
    <row r="902" spans="1:21">
      <c r="A902" s="67" t="s">
        <v>8612</v>
      </c>
      <c r="B902" s="87" t="s">
        <v>8612</v>
      </c>
      <c r="C902" s="88" t="s">
        <v>12489</v>
      </c>
      <c r="D902" s="89"/>
      <c r="E902" s="90"/>
      <c r="F902" s="91" t="s">
        <v>12490</v>
      </c>
      <c r="G902" s="90"/>
      <c r="H902" s="90"/>
      <c r="I902" s="92"/>
      <c r="J902" s="93"/>
      <c r="K902" s="94"/>
      <c r="L902" s="149" t="str">
        <f>HYPERLINK("[#]DatatypeListedValues!B4997:H4997","Enumeration")</f>
        <v>Enumeration</v>
      </c>
      <c r="M902" s="107" t="b">
        <v>0</v>
      </c>
      <c r="N902" s="90"/>
      <c r="O902" s="95"/>
      <c r="P902" s="90"/>
      <c r="Q902" s="96"/>
      <c r="R902" s="97"/>
      <c r="S902" s="169"/>
      <c r="T902" s="300" t="str">
        <f>CONCATENATE([1]Cover!$D$6,"fdd/view?i=",S902)</f>
        <v>https://www.dgiwg.org/FAD/fdd/view?i=</v>
      </c>
      <c r="U902" s="188"/>
    </row>
    <row r="903" spans="1:21" ht="2.1" customHeight="1">
      <c r="A903" s="98"/>
      <c r="B903" s="87"/>
      <c r="C903" s="99"/>
      <c r="D903" s="87"/>
      <c r="E903" s="99"/>
      <c r="F903" s="100"/>
      <c r="G903" s="100"/>
      <c r="H903" s="100"/>
      <c r="I903" s="101"/>
      <c r="J903" s="106"/>
      <c r="K903" s="103"/>
      <c r="L903" s="104"/>
      <c r="M903" s="100"/>
      <c r="N903" s="100"/>
      <c r="O903" s="100"/>
      <c r="P903" s="100"/>
      <c r="Q903" s="105"/>
      <c r="R903" s="105"/>
      <c r="S903" s="169"/>
      <c r="U903" s="188"/>
    </row>
    <row r="904" spans="1:21" ht="25.5">
      <c r="A904" s="67" t="s">
        <v>8617</v>
      </c>
      <c r="B904" s="87" t="s">
        <v>8617</v>
      </c>
      <c r="C904" s="88" t="s">
        <v>12491</v>
      </c>
      <c r="D904" s="89"/>
      <c r="E904" s="90"/>
      <c r="F904" s="91" t="s">
        <v>12492</v>
      </c>
      <c r="G904" s="90"/>
      <c r="H904" s="90"/>
      <c r="I904" s="92"/>
      <c r="J904" s="93"/>
      <c r="K904" s="94"/>
      <c r="L904" s="149" t="str">
        <f>HYPERLINK("[#]DatatypeListedValues!B4999:H4999","Enumeration")</f>
        <v>Enumeration</v>
      </c>
      <c r="M904" s="107" t="b">
        <v>0</v>
      </c>
      <c r="N904" s="90"/>
      <c r="O904" s="95"/>
      <c r="P904" s="90"/>
      <c r="Q904" s="96"/>
      <c r="R904" s="97"/>
      <c r="S904" s="169"/>
      <c r="T904" s="300" t="str">
        <f>CONCATENATE([1]Cover!$D$6,"fdd/view?i=",S904)</f>
        <v>https://www.dgiwg.org/FAD/fdd/view?i=</v>
      </c>
      <c r="U904" s="188"/>
    </row>
    <row r="905" spans="1:21" ht="2.1" customHeight="1">
      <c r="A905" s="98"/>
      <c r="B905" s="87"/>
      <c r="C905" s="99"/>
      <c r="D905" s="87"/>
      <c r="E905" s="99"/>
      <c r="F905" s="100"/>
      <c r="G905" s="100"/>
      <c r="H905" s="100"/>
      <c r="I905" s="101"/>
      <c r="J905" s="106"/>
      <c r="K905" s="103"/>
      <c r="L905" s="104"/>
      <c r="M905" s="100"/>
      <c r="N905" s="100"/>
      <c r="O905" s="100"/>
      <c r="P905" s="100"/>
      <c r="Q905" s="105"/>
      <c r="R905" s="105"/>
      <c r="S905" s="169"/>
      <c r="U905" s="188"/>
    </row>
    <row r="906" spans="1:21">
      <c r="A906" s="67" t="s">
        <v>8622</v>
      </c>
      <c r="B906" s="87" t="s">
        <v>8622</v>
      </c>
      <c r="C906" s="88" t="s">
        <v>12493</v>
      </c>
      <c r="D906" s="89"/>
      <c r="E906" s="90"/>
      <c r="F906" s="91" t="s">
        <v>12494</v>
      </c>
      <c r="G906" s="90"/>
      <c r="H906" s="90"/>
      <c r="I906" s="92"/>
      <c r="J906" s="93"/>
      <c r="K906" s="94"/>
      <c r="L906" s="149" t="str">
        <f>HYPERLINK("[#]DatatypeListedValues!B5003:H5003","Enumeration")</f>
        <v>Enumeration</v>
      </c>
      <c r="M906" s="107" t="b">
        <v>0</v>
      </c>
      <c r="N906" s="90"/>
      <c r="O906" s="95"/>
      <c r="P906" s="90"/>
      <c r="Q906" s="96"/>
      <c r="R906" s="97"/>
      <c r="S906" s="169"/>
      <c r="T906" s="300" t="str">
        <f>CONCATENATE([1]Cover!$D$6,"fdd/view?i=",S906)</f>
        <v>https://www.dgiwg.org/FAD/fdd/view?i=</v>
      </c>
      <c r="U906" s="188"/>
    </row>
    <row r="907" spans="1:21" ht="2.1" customHeight="1">
      <c r="A907" s="98"/>
      <c r="B907" s="87"/>
      <c r="C907" s="99"/>
      <c r="D907" s="87"/>
      <c r="E907" s="99"/>
      <c r="F907" s="100"/>
      <c r="G907" s="100"/>
      <c r="H907" s="100"/>
      <c r="I907" s="101"/>
      <c r="J907" s="106"/>
      <c r="K907" s="103"/>
      <c r="L907" s="104"/>
      <c r="M907" s="100"/>
      <c r="N907" s="100"/>
      <c r="O907" s="100"/>
      <c r="P907" s="100"/>
      <c r="Q907" s="105"/>
      <c r="R907" s="105"/>
      <c r="S907" s="169"/>
      <c r="U907" s="188"/>
    </row>
    <row r="908" spans="1:21" ht="38.25">
      <c r="A908" s="67" t="s">
        <v>8635</v>
      </c>
      <c r="B908" s="87" t="s">
        <v>8635</v>
      </c>
      <c r="C908" s="88" t="s">
        <v>12495</v>
      </c>
      <c r="D908" s="89"/>
      <c r="E908" s="90"/>
      <c r="F908" s="91" t="s">
        <v>8634</v>
      </c>
      <c r="G908" s="90"/>
      <c r="H908" s="91" t="s">
        <v>11513</v>
      </c>
      <c r="I908" s="92"/>
      <c r="J908" s="93"/>
      <c r="K908" s="94"/>
      <c r="L908" s="104" t="s">
        <v>11429</v>
      </c>
      <c r="M908" s="90"/>
      <c r="N908" s="90"/>
      <c r="O908" s="95"/>
      <c r="P908" s="90"/>
      <c r="Q908" s="96"/>
      <c r="R908" s="97"/>
      <c r="S908" s="169"/>
      <c r="T908" s="300" t="str">
        <f>CONCATENATE([1]Cover!$D$6,"fdd/view?i=",S908)</f>
        <v>https://www.dgiwg.org/FAD/fdd/view?i=</v>
      </c>
      <c r="U908" s="188"/>
    </row>
    <row r="909" spans="1:21" ht="2.1" customHeight="1">
      <c r="A909" s="98"/>
      <c r="B909" s="87"/>
      <c r="C909" s="99"/>
      <c r="D909" s="87"/>
      <c r="E909" s="99"/>
      <c r="F909" s="100"/>
      <c r="G909" s="100"/>
      <c r="H909" s="100"/>
      <c r="I909" s="101"/>
      <c r="J909" s="106"/>
      <c r="K909" s="103"/>
      <c r="L909" s="104"/>
      <c r="M909" s="100"/>
      <c r="N909" s="100"/>
      <c r="O909" s="100"/>
      <c r="P909" s="100"/>
      <c r="Q909" s="105"/>
      <c r="R909" s="105"/>
      <c r="S909" s="169"/>
      <c r="U909" s="188"/>
    </row>
    <row r="910" spans="1:21" ht="38.25">
      <c r="A910" s="67" t="s">
        <v>8640</v>
      </c>
      <c r="B910" s="87" t="s">
        <v>8640</v>
      </c>
      <c r="C910" s="88" t="s">
        <v>12496</v>
      </c>
      <c r="D910" s="89"/>
      <c r="E910" s="90"/>
      <c r="F910" s="91" t="s">
        <v>12497</v>
      </c>
      <c r="G910" s="90"/>
      <c r="H910" s="91" t="s">
        <v>11426</v>
      </c>
      <c r="I910" s="92"/>
      <c r="J910" s="93"/>
      <c r="K910" s="94"/>
      <c r="L910" s="91" t="s">
        <v>11425</v>
      </c>
      <c r="M910" s="90"/>
      <c r="N910" s="91">
        <v>254</v>
      </c>
      <c r="O910" s="108" t="b">
        <v>0</v>
      </c>
      <c r="P910" s="91" t="s">
        <v>12498</v>
      </c>
      <c r="Q910" s="96"/>
      <c r="R910" s="97"/>
      <c r="S910" s="169"/>
      <c r="T910" s="300" t="str">
        <f>CONCATENATE([1]Cover!$D$6,"fdd/view?i=",S910)</f>
        <v>https://www.dgiwg.org/FAD/fdd/view?i=</v>
      </c>
      <c r="U910" s="188"/>
    </row>
    <row r="911" spans="1:21" ht="2.1" customHeight="1">
      <c r="A911" s="98"/>
      <c r="B911" s="87"/>
      <c r="C911" s="99"/>
      <c r="D911" s="87"/>
      <c r="E911" s="99"/>
      <c r="F911" s="100"/>
      <c r="G911" s="100"/>
      <c r="H911" s="100"/>
      <c r="I911" s="101"/>
      <c r="J911" s="106"/>
      <c r="K911" s="103"/>
      <c r="L911" s="104"/>
      <c r="M911" s="100"/>
      <c r="N911" s="100"/>
      <c r="O911" s="100"/>
      <c r="P911" s="100"/>
      <c r="Q911" s="105"/>
      <c r="R911" s="105"/>
      <c r="S911" s="169"/>
      <c r="U911" s="188"/>
    </row>
    <row r="912" spans="1:21" ht="38.25">
      <c r="A912" s="67" t="s">
        <v>8650</v>
      </c>
      <c r="B912" s="87" t="s">
        <v>8650</v>
      </c>
      <c r="C912" s="88" t="s">
        <v>12499</v>
      </c>
      <c r="D912" s="89"/>
      <c r="E912" s="90"/>
      <c r="F912" s="91" t="s">
        <v>8649</v>
      </c>
      <c r="G912" s="90"/>
      <c r="H912" s="91" t="s">
        <v>11513</v>
      </c>
      <c r="I912" s="92"/>
      <c r="J912" s="93"/>
      <c r="K912" s="94"/>
      <c r="L912" s="104" t="s">
        <v>11429</v>
      </c>
      <c r="M912" s="90"/>
      <c r="N912" s="90"/>
      <c r="O912" s="95"/>
      <c r="P912" s="90"/>
      <c r="Q912" s="96"/>
      <c r="R912" s="97"/>
      <c r="S912" s="169"/>
      <c r="T912" s="300" t="str">
        <f>CONCATENATE([1]Cover!$D$6,"fdd/view?i=",S912)</f>
        <v>https://www.dgiwg.org/FAD/fdd/view?i=</v>
      </c>
      <c r="U912" s="188"/>
    </row>
    <row r="913" spans="1:21" ht="2.1" customHeight="1">
      <c r="A913" s="98"/>
      <c r="B913" s="87"/>
      <c r="C913" s="99"/>
      <c r="D913" s="87"/>
      <c r="E913" s="99"/>
      <c r="F913" s="100"/>
      <c r="G913" s="100"/>
      <c r="H913" s="100"/>
      <c r="I913" s="101"/>
      <c r="J913" s="106"/>
      <c r="K913" s="103"/>
      <c r="L913" s="104"/>
      <c r="M913" s="100"/>
      <c r="N913" s="100"/>
      <c r="O913" s="100"/>
      <c r="P913" s="100"/>
      <c r="Q913" s="105"/>
      <c r="R913" s="105"/>
      <c r="S913" s="169"/>
      <c r="U913" s="188"/>
    </row>
    <row r="914" spans="1:21" ht="38.25">
      <c r="A914" s="67" t="s">
        <v>8655</v>
      </c>
      <c r="B914" s="87" t="s">
        <v>8655</v>
      </c>
      <c r="C914" s="88" t="s">
        <v>12500</v>
      </c>
      <c r="D914" s="89"/>
      <c r="E914" s="90"/>
      <c r="F914" s="91" t="s">
        <v>8654</v>
      </c>
      <c r="G914" s="90"/>
      <c r="H914" s="91" t="s">
        <v>11513</v>
      </c>
      <c r="I914" s="92"/>
      <c r="J914" s="93"/>
      <c r="K914" s="94"/>
      <c r="L914" s="104" t="s">
        <v>11429</v>
      </c>
      <c r="M914" s="90"/>
      <c r="N914" s="90"/>
      <c r="O914" s="95"/>
      <c r="P914" s="90"/>
      <c r="Q914" s="96"/>
      <c r="R914" s="97"/>
      <c r="S914" s="169"/>
      <c r="T914" s="300" t="str">
        <f>CONCATENATE([1]Cover!$D$6,"fdd/view?i=",S914)</f>
        <v>https://www.dgiwg.org/FAD/fdd/view?i=</v>
      </c>
      <c r="U914" s="188"/>
    </row>
    <row r="915" spans="1:21" ht="2.1" customHeight="1">
      <c r="A915" s="98"/>
      <c r="B915" s="87"/>
      <c r="C915" s="99"/>
      <c r="D915" s="87"/>
      <c r="E915" s="99"/>
      <c r="F915" s="100"/>
      <c r="G915" s="100"/>
      <c r="H915" s="100"/>
      <c r="I915" s="101"/>
      <c r="J915" s="106"/>
      <c r="K915" s="103"/>
      <c r="L915" s="104"/>
      <c r="M915" s="100"/>
      <c r="N915" s="100"/>
      <c r="O915" s="100"/>
      <c r="P915" s="100"/>
      <c r="Q915" s="105"/>
      <c r="R915" s="105"/>
      <c r="S915" s="169"/>
      <c r="U915" s="188"/>
    </row>
    <row r="916" spans="1:21" ht="38.25">
      <c r="A916" s="67" t="s">
        <v>8660</v>
      </c>
      <c r="B916" s="87" t="s">
        <v>8660</v>
      </c>
      <c r="C916" s="88" t="s">
        <v>12501</v>
      </c>
      <c r="D916" s="89"/>
      <c r="E916" s="90"/>
      <c r="F916" s="91" t="s">
        <v>8659</v>
      </c>
      <c r="G916" s="90"/>
      <c r="H916" s="91" t="s">
        <v>11513</v>
      </c>
      <c r="I916" s="92"/>
      <c r="J916" s="93"/>
      <c r="K916" s="94"/>
      <c r="L916" s="104" t="s">
        <v>11429</v>
      </c>
      <c r="M916" s="90"/>
      <c r="N916" s="90"/>
      <c r="O916" s="95"/>
      <c r="P916" s="90"/>
      <c r="Q916" s="96"/>
      <c r="R916" s="97"/>
      <c r="S916" s="169"/>
      <c r="T916" s="300" t="str">
        <f>CONCATENATE([1]Cover!$D$6,"fdd/view?i=",S916)</f>
        <v>https://www.dgiwg.org/FAD/fdd/view?i=</v>
      </c>
      <c r="U916" s="188"/>
    </row>
    <row r="917" spans="1:21" ht="2.1" customHeight="1">
      <c r="A917" s="98"/>
      <c r="B917" s="87"/>
      <c r="C917" s="99"/>
      <c r="D917" s="87"/>
      <c r="E917" s="99"/>
      <c r="F917" s="100"/>
      <c r="G917" s="100"/>
      <c r="H917" s="100"/>
      <c r="I917" s="101"/>
      <c r="J917" s="106"/>
      <c r="K917" s="103"/>
      <c r="L917" s="104"/>
      <c r="M917" s="100"/>
      <c r="N917" s="100"/>
      <c r="O917" s="100"/>
      <c r="P917" s="100"/>
      <c r="Q917" s="105"/>
      <c r="R917" s="105"/>
      <c r="S917" s="169"/>
      <c r="U917" s="188"/>
    </row>
    <row r="918" spans="1:21" ht="178.5">
      <c r="A918" s="67" t="s">
        <v>8670</v>
      </c>
      <c r="B918" s="87" t="s">
        <v>8670</v>
      </c>
      <c r="C918" s="88" t="s">
        <v>12502</v>
      </c>
      <c r="D918" s="89"/>
      <c r="E918" s="90"/>
      <c r="F918" s="91" t="s">
        <v>12503</v>
      </c>
      <c r="G918" s="90"/>
      <c r="H918" s="91" t="s">
        <v>11426</v>
      </c>
      <c r="I918" s="92"/>
      <c r="J918" s="93"/>
      <c r="K918" s="94"/>
      <c r="L918" s="91" t="s">
        <v>11425</v>
      </c>
      <c r="M918" s="90"/>
      <c r="N918" s="91">
        <v>20</v>
      </c>
      <c r="O918" s="108" t="b">
        <v>0</v>
      </c>
      <c r="P918" s="91" t="s">
        <v>11909</v>
      </c>
      <c r="Q918" s="96"/>
      <c r="R918" s="97"/>
      <c r="S918" s="169"/>
      <c r="T918" s="300" t="str">
        <f>CONCATENATE([1]Cover!$D$6,"fdd/view?i=",S918)</f>
        <v>https://www.dgiwg.org/FAD/fdd/view?i=</v>
      </c>
      <c r="U918" s="188"/>
    </row>
    <row r="919" spans="1:21" ht="2.1" customHeight="1">
      <c r="A919" s="98"/>
      <c r="B919" s="87"/>
      <c r="C919" s="99"/>
      <c r="D919" s="87"/>
      <c r="E919" s="99"/>
      <c r="F919" s="100"/>
      <c r="G919" s="100"/>
      <c r="H919" s="100"/>
      <c r="I919" s="101"/>
      <c r="J919" s="106"/>
      <c r="K919" s="103"/>
      <c r="L919" s="104"/>
      <c r="M919" s="100"/>
      <c r="N919" s="100"/>
      <c r="O919" s="100"/>
      <c r="P919" s="100"/>
      <c r="Q919" s="105"/>
      <c r="R919" s="105"/>
      <c r="S919" s="169"/>
      <c r="U919" s="188"/>
    </row>
    <row r="920" spans="1:21" ht="178.5">
      <c r="A920" s="67" t="s">
        <v>8690</v>
      </c>
      <c r="B920" s="87" t="s">
        <v>8690</v>
      </c>
      <c r="C920" s="88" t="s">
        <v>12504</v>
      </c>
      <c r="D920" s="89"/>
      <c r="E920" s="90"/>
      <c r="F920" s="91" t="s">
        <v>12505</v>
      </c>
      <c r="G920" s="90"/>
      <c r="H920" s="91" t="s">
        <v>11426</v>
      </c>
      <c r="I920" s="92"/>
      <c r="J920" s="93"/>
      <c r="K920" s="94"/>
      <c r="L920" s="91" t="s">
        <v>11425</v>
      </c>
      <c r="M920" s="90"/>
      <c r="N920" s="91">
        <v>20</v>
      </c>
      <c r="O920" s="108" t="b">
        <v>0</v>
      </c>
      <c r="P920" s="91" t="s">
        <v>11909</v>
      </c>
      <c r="Q920" s="96"/>
      <c r="R920" s="97"/>
      <c r="S920" s="169"/>
      <c r="T920" s="300" t="str">
        <f>CONCATENATE([1]Cover!$D$6,"fdd/view?i=",S920)</f>
        <v>https://www.dgiwg.org/FAD/fdd/view?i=</v>
      </c>
      <c r="U920" s="188"/>
    </row>
    <row r="921" spans="1:21" ht="2.1" customHeight="1">
      <c r="A921" s="98"/>
      <c r="B921" s="87"/>
      <c r="C921" s="99"/>
      <c r="D921" s="87"/>
      <c r="E921" s="99"/>
      <c r="F921" s="100"/>
      <c r="G921" s="100"/>
      <c r="H921" s="100"/>
      <c r="I921" s="101"/>
      <c r="J921" s="106"/>
      <c r="K921" s="103"/>
      <c r="L921" s="104"/>
      <c r="M921" s="100"/>
      <c r="N921" s="100"/>
      <c r="O921" s="100"/>
      <c r="P921" s="100"/>
      <c r="Q921" s="105"/>
      <c r="R921" s="105"/>
      <c r="S921" s="169"/>
      <c r="U921" s="188"/>
    </row>
    <row r="922" spans="1:21" ht="25.5">
      <c r="A922" s="67" t="s">
        <v>8700</v>
      </c>
      <c r="B922" s="87" t="s">
        <v>8700</v>
      </c>
      <c r="C922" s="88" t="s">
        <v>12506</v>
      </c>
      <c r="D922" s="89"/>
      <c r="E922" s="90"/>
      <c r="F922" s="91" t="s">
        <v>12507</v>
      </c>
      <c r="G922" s="90"/>
      <c r="H922" s="90"/>
      <c r="I922" s="92"/>
      <c r="J922" s="93"/>
      <c r="K922" s="94"/>
      <c r="L922" s="149" t="str">
        <f>HYPERLINK("[#]DatatypeListedValues!B5008:H5008","Enumeration")</f>
        <v>Enumeration</v>
      </c>
      <c r="M922" s="107" t="b">
        <v>0</v>
      </c>
      <c r="N922" s="90"/>
      <c r="O922" s="95"/>
      <c r="P922" s="90"/>
      <c r="Q922" s="96"/>
      <c r="R922" s="97"/>
      <c r="S922" s="169"/>
      <c r="T922" s="300" t="str">
        <f>CONCATENATE([1]Cover!$D$6,"fdd/view?i=",S922)</f>
        <v>https://www.dgiwg.org/FAD/fdd/view?i=</v>
      </c>
      <c r="U922" s="188"/>
    </row>
    <row r="923" spans="1:21" ht="2.1" customHeight="1">
      <c r="A923" s="98"/>
      <c r="B923" s="87"/>
      <c r="C923" s="99"/>
      <c r="D923" s="87"/>
      <c r="E923" s="99"/>
      <c r="F923" s="100"/>
      <c r="G923" s="100"/>
      <c r="H923" s="100"/>
      <c r="I923" s="101"/>
      <c r="J923" s="106"/>
      <c r="K923" s="103"/>
      <c r="L923" s="104"/>
      <c r="M923" s="100"/>
      <c r="N923" s="100"/>
      <c r="O923" s="100"/>
      <c r="P923" s="100"/>
      <c r="Q923" s="105"/>
      <c r="R923" s="105"/>
      <c r="S923" s="169"/>
      <c r="U923" s="188"/>
    </row>
    <row r="924" spans="1:21" ht="25.5">
      <c r="A924" s="67" t="s">
        <v>8718</v>
      </c>
      <c r="B924" s="87" t="s">
        <v>8718</v>
      </c>
      <c r="C924" s="88" t="s">
        <v>12508</v>
      </c>
      <c r="D924" s="89"/>
      <c r="E924" s="90"/>
      <c r="F924" s="91" t="s">
        <v>12509</v>
      </c>
      <c r="G924" s="90"/>
      <c r="H924" s="90"/>
      <c r="I924" s="92"/>
      <c r="J924" s="93"/>
      <c r="K924" s="94"/>
      <c r="L924" s="149" t="str">
        <f>HYPERLINK("[#]DatatypeListedValues!B5013:H5013","Enumeration")</f>
        <v>Enumeration</v>
      </c>
      <c r="M924" s="107" t="b">
        <v>0</v>
      </c>
      <c r="N924" s="90"/>
      <c r="O924" s="95"/>
      <c r="P924" s="90"/>
      <c r="Q924" s="96"/>
      <c r="R924" s="97"/>
      <c r="S924" s="169"/>
      <c r="T924" s="300" t="str">
        <f>CONCATENATE([1]Cover!$D$6,"fdd/view?i=",S924)</f>
        <v>https://www.dgiwg.org/FAD/fdd/view?i=</v>
      </c>
      <c r="U924" s="188"/>
    </row>
    <row r="925" spans="1:21" ht="2.1" customHeight="1">
      <c r="A925" s="98"/>
      <c r="B925" s="87"/>
      <c r="C925" s="99"/>
      <c r="D925" s="87"/>
      <c r="E925" s="99"/>
      <c r="F925" s="100"/>
      <c r="G925" s="100"/>
      <c r="H925" s="100"/>
      <c r="I925" s="101"/>
      <c r="J925" s="106"/>
      <c r="K925" s="103"/>
      <c r="L925" s="104"/>
      <c r="M925" s="100"/>
      <c r="N925" s="100"/>
      <c r="O925" s="100"/>
      <c r="P925" s="100"/>
      <c r="Q925" s="105"/>
      <c r="R925" s="105"/>
      <c r="S925" s="169"/>
      <c r="U925" s="188"/>
    </row>
    <row r="926" spans="1:21">
      <c r="A926" s="67" t="s">
        <v>8723</v>
      </c>
      <c r="B926" s="87" t="s">
        <v>8723</v>
      </c>
      <c r="C926" s="88" t="s">
        <v>12510</v>
      </c>
      <c r="D926" s="89"/>
      <c r="E926" s="90"/>
      <c r="F926" s="91" t="s">
        <v>12511</v>
      </c>
      <c r="G926" s="90"/>
      <c r="H926" s="90"/>
      <c r="I926" s="92"/>
      <c r="J926" s="93"/>
      <c r="K926" s="94"/>
      <c r="L926" s="149" t="str">
        <f>HYPERLINK("[#]DatatypeListedValues!B5017:H5017","Enumeration")</f>
        <v>Enumeration</v>
      </c>
      <c r="M926" s="107" t="b">
        <v>0</v>
      </c>
      <c r="N926" s="90"/>
      <c r="O926" s="95"/>
      <c r="P926" s="90"/>
      <c r="Q926" s="96"/>
      <c r="R926" s="97"/>
      <c r="S926" s="169"/>
      <c r="T926" s="300" t="str">
        <f>CONCATENATE([1]Cover!$D$6,"fdd/view?i=",S926)</f>
        <v>https://www.dgiwg.org/FAD/fdd/view?i=</v>
      </c>
      <c r="U926" s="188"/>
    </row>
    <row r="927" spans="1:21" ht="2.1" customHeight="1">
      <c r="A927" s="98"/>
      <c r="B927" s="87"/>
      <c r="C927" s="99"/>
      <c r="D927" s="87"/>
      <c r="E927" s="99"/>
      <c r="F927" s="100"/>
      <c r="G927" s="100"/>
      <c r="H927" s="100"/>
      <c r="I927" s="101"/>
      <c r="J927" s="106"/>
      <c r="K927" s="103"/>
      <c r="L927" s="104"/>
      <c r="M927" s="100"/>
      <c r="N927" s="100"/>
      <c r="O927" s="100"/>
      <c r="P927" s="100"/>
      <c r="Q927" s="105"/>
      <c r="R927" s="105"/>
      <c r="S927" s="169"/>
      <c r="U927" s="188"/>
    </row>
    <row r="928" spans="1:21">
      <c r="A928" s="67" t="s">
        <v>8729</v>
      </c>
      <c r="B928" s="87" t="s">
        <v>8729</v>
      </c>
      <c r="C928" s="88" t="s">
        <v>12512</v>
      </c>
      <c r="D928" s="89"/>
      <c r="E928" s="90"/>
      <c r="F928" s="91" t="s">
        <v>12513</v>
      </c>
      <c r="G928" s="90"/>
      <c r="H928" s="90"/>
      <c r="I928" s="92"/>
      <c r="J928" s="93"/>
      <c r="K928" s="94"/>
      <c r="L928" s="149" t="str">
        <f>HYPERLINK("[#]DatatypeListedValues!B5020:H5020","Enumeration")</f>
        <v>Enumeration</v>
      </c>
      <c r="M928" s="91" t="b">
        <v>1</v>
      </c>
      <c r="N928" s="90"/>
      <c r="O928" s="95"/>
      <c r="P928" s="90"/>
      <c r="Q928" s="96"/>
      <c r="R928" s="97"/>
      <c r="S928" s="169"/>
      <c r="T928" s="300" t="str">
        <f>CONCATENATE([1]Cover!$D$6,"fdd/view?i=",S928)</f>
        <v>https://www.dgiwg.org/FAD/fdd/view?i=</v>
      </c>
      <c r="U928" s="188"/>
    </row>
    <row r="929" spans="1:21" ht="2.1" customHeight="1">
      <c r="A929" s="98"/>
      <c r="B929" s="87"/>
      <c r="C929" s="99"/>
      <c r="D929" s="87"/>
      <c r="E929" s="99"/>
      <c r="F929" s="100"/>
      <c r="G929" s="100"/>
      <c r="H929" s="100"/>
      <c r="I929" s="101"/>
      <c r="J929" s="106"/>
      <c r="K929" s="103"/>
      <c r="L929" s="104"/>
      <c r="M929" s="100"/>
      <c r="N929" s="100"/>
      <c r="O929" s="100"/>
      <c r="P929" s="100"/>
      <c r="Q929" s="105"/>
      <c r="R929" s="105"/>
      <c r="S929" s="169"/>
      <c r="U929" s="188"/>
    </row>
    <row r="930" spans="1:21" ht="25.5">
      <c r="A930" s="67" t="s">
        <v>8738</v>
      </c>
      <c r="B930" s="87" t="s">
        <v>8738</v>
      </c>
      <c r="C930" s="88" t="s">
        <v>12514</v>
      </c>
      <c r="D930" s="89"/>
      <c r="E930" s="90"/>
      <c r="F930" s="91" t="s">
        <v>12515</v>
      </c>
      <c r="G930" s="90"/>
      <c r="H930" s="90"/>
      <c r="I930" s="92"/>
      <c r="J930" s="93"/>
      <c r="K930" s="94"/>
      <c r="L930" s="149" t="str">
        <f>HYPERLINK("[#]DatatypeListedValues!B5027:H5027","Enumeration")</f>
        <v>Enumeration</v>
      </c>
      <c r="M930" s="107" t="b">
        <v>0</v>
      </c>
      <c r="N930" s="90"/>
      <c r="O930" s="95"/>
      <c r="P930" s="90"/>
      <c r="Q930" s="96"/>
      <c r="R930" s="97"/>
      <c r="S930" s="169"/>
      <c r="T930" s="300" t="str">
        <f>CONCATENATE([1]Cover!$D$6,"fdd/view?i=",S930)</f>
        <v>https://www.dgiwg.org/FAD/fdd/view?i=</v>
      </c>
      <c r="U930" s="188"/>
    </row>
    <row r="931" spans="1:21" ht="2.1" customHeight="1">
      <c r="A931" s="98"/>
      <c r="B931" s="87"/>
      <c r="C931" s="99"/>
      <c r="D931" s="87"/>
      <c r="E931" s="99"/>
      <c r="F931" s="100"/>
      <c r="G931" s="100"/>
      <c r="H931" s="100"/>
      <c r="I931" s="101"/>
      <c r="J931" s="106"/>
      <c r="K931" s="103"/>
      <c r="L931" s="104"/>
      <c r="M931" s="100"/>
      <c r="N931" s="100"/>
      <c r="O931" s="100"/>
      <c r="P931" s="100"/>
      <c r="Q931" s="105"/>
      <c r="R931" s="105"/>
      <c r="S931" s="169"/>
      <c r="U931" s="188"/>
    </row>
    <row r="932" spans="1:21">
      <c r="A932" s="67" t="s">
        <v>8743</v>
      </c>
      <c r="B932" s="87" t="s">
        <v>8743</v>
      </c>
      <c r="C932" s="88" t="s">
        <v>12516</v>
      </c>
      <c r="D932" s="89"/>
      <c r="E932" s="90"/>
      <c r="F932" s="91" t="s">
        <v>12517</v>
      </c>
      <c r="G932" s="90"/>
      <c r="H932" s="90"/>
      <c r="I932" s="92"/>
      <c r="J932" s="93"/>
      <c r="K932" s="94"/>
      <c r="L932" s="149" t="str">
        <f>HYPERLINK("[#]DatatypeListedValues!B5037:H5037","Enumeration")</f>
        <v>Enumeration</v>
      </c>
      <c r="M932" s="107" t="b">
        <v>0</v>
      </c>
      <c r="N932" s="90"/>
      <c r="O932" s="95"/>
      <c r="P932" s="90"/>
      <c r="Q932" s="96"/>
      <c r="R932" s="97"/>
      <c r="S932" s="169"/>
      <c r="T932" s="300" t="str">
        <f>CONCATENATE([1]Cover!$D$6,"fdd/view?i=",S932)</f>
        <v>https://www.dgiwg.org/FAD/fdd/view?i=</v>
      </c>
      <c r="U932" s="188"/>
    </row>
    <row r="933" spans="1:21" ht="2.1" customHeight="1">
      <c r="A933" s="98"/>
      <c r="B933" s="87"/>
      <c r="C933" s="99"/>
      <c r="D933" s="87"/>
      <c r="E933" s="99"/>
      <c r="F933" s="100"/>
      <c r="G933" s="100"/>
      <c r="H933" s="100"/>
      <c r="I933" s="101"/>
      <c r="J933" s="106"/>
      <c r="K933" s="103"/>
      <c r="L933" s="104"/>
      <c r="M933" s="100"/>
      <c r="N933" s="100"/>
      <c r="O933" s="100"/>
      <c r="P933" s="100"/>
      <c r="Q933" s="105"/>
      <c r="R933" s="105"/>
      <c r="S933" s="169"/>
      <c r="U933" s="188"/>
    </row>
    <row r="934" spans="1:21" ht="25.5">
      <c r="A934" s="67" t="s">
        <v>8748</v>
      </c>
      <c r="B934" s="87" t="s">
        <v>8748</v>
      </c>
      <c r="C934" s="88" t="s">
        <v>12518</v>
      </c>
      <c r="D934" s="89"/>
      <c r="E934" s="90"/>
      <c r="F934" s="91" t="s">
        <v>12519</v>
      </c>
      <c r="G934" s="90"/>
      <c r="H934" s="90"/>
      <c r="I934" s="92"/>
      <c r="J934" s="93"/>
      <c r="K934" s="94"/>
      <c r="L934" s="149" t="str">
        <f>HYPERLINK("[#]DatatypeListedValues!B5047:H5047","Enumeration")</f>
        <v>Enumeration</v>
      </c>
      <c r="M934" s="107" t="b">
        <v>0</v>
      </c>
      <c r="N934" s="90"/>
      <c r="O934" s="95"/>
      <c r="P934" s="90"/>
      <c r="Q934" s="96"/>
      <c r="R934" s="97"/>
      <c r="S934" s="169"/>
      <c r="T934" s="300" t="str">
        <f>CONCATENATE([1]Cover!$D$6,"fdd/view?i=",S934)</f>
        <v>https://www.dgiwg.org/FAD/fdd/view?i=</v>
      </c>
      <c r="U934" s="188"/>
    </row>
    <row r="935" spans="1:21" ht="2.1" customHeight="1">
      <c r="A935" s="98"/>
      <c r="B935" s="87"/>
      <c r="C935" s="99"/>
      <c r="D935" s="87"/>
      <c r="E935" s="99"/>
      <c r="F935" s="100"/>
      <c r="G935" s="100"/>
      <c r="H935" s="100"/>
      <c r="I935" s="101"/>
      <c r="J935" s="106"/>
      <c r="K935" s="103"/>
      <c r="L935" s="104"/>
      <c r="M935" s="100"/>
      <c r="N935" s="100"/>
      <c r="O935" s="100"/>
      <c r="P935" s="100"/>
      <c r="Q935" s="105"/>
      <c r="R935" s="105"/>
      <c r="S935" s="169"/>
      <c r="U935" s="188"/>
    </row>
    <row r="936" spans="1:21" ht="25.5">
      <c r="A936" s="67" t="s">
        <v>8753</v>
      </c>
      <c r="B936" s="87" t="s">
        <v>8753</v>
      </c>
      <c r="C936" s="88" t="s">
        <v>12520</v>
      </c>
      <c r="D936" s="89"/>
      <c r="E936" s="90"/>
      <c r="F936" s="91" t="s">
        <v>12521</v>
      </c>
      <c r="G936" s="90"/>
      <c r="H936" s="90"/>
      <c r="I936" s="92"/>
      <c r="J936" s="93"/>
      <c r="K936" s="94"/>
      <c r="L936" s="149" t="str">
        <f>HYPERLINK("[#]DatatypeListedValues!B5063:H5063","Enumeration")</f>
        <v>Enumeration</v>
      </c>
      <c r="M936" s="107" t="b">
        <v>0</v>
      </c>
      <c r="N936" s="90"/>
      <c r="O936" s="95"/>
      <c r="P936" s="90"/>
      <c r="Q936" s="96"/>
      <c r="R936" s="97"/>
      <c r="S936" s="169"/>
      <c r="T936" s="300" t="str">
        <f>CONCATENATE([1]Cover!$D$6,"fdd/view?i=",S936)</f>
        <v>https://www.dgiwg.org/FAD/fdd/view?i=</v>
      </c>
      <c r="U936" s="188"/>
    </row>
    <row r="937" spans="1:21" ht="2.1" customHeight="1">
      <c r="A937" s="98"/>
      <c r="B937" s="87"/>
      <c r="C937" s="99"/>
      <c r="D937" s="87"/>
      <c r="E937" s="99"/>
      <c r="F937" s="100"/>
      <c r="G937" s="100"/>
      <c r="H937" s="100"/>
      <c r="I937" s="101"/>
      <c r="J937" s="106"/>
      <c r="K937" s="103"/>
      <c r="L937" s="104"/>
      <c r="M937" s="100"/>
      <c r="N937" s="100"/>
      <c r="O937" s="100"/>
      <c r="P937" s="100"/>
      <c r="Q937" s="105"/>
      <c r="R937" s="105"/>
      <c r="S937" s="169"/>
      <c r="U937" s="188"/>
    </row>
    <row r="938" spans="1:21" ht="25.5">
      <c r="A938" s="67" t="s">
        <v>8759</v>
      </c>
      <c r="B938" s="87" t="s">
        <v>8759</v>
      </c>
      <c r="C938" s="88" t="s">
        <v>12522</v>
      </c>
      <c r="D938" s="89"/>
      <c r="E938" s="90"/>
      <c r="F938" s="91" t="s">
        <v>12523</v>
      </c>
      <c r="G938" s="90"/>
      <c r="H938" s="90"/>
      <c r="I938" s="92"/>
      <c r="J938" s="93"/>
      <c r="K938" s="94"/>
      <c r="L938" s="149" t="str">
        <f>HYPERLINK("[#]DatatypeListedValues!B5090:H5090","Enumeration")</f>
        <v>Enumeration</v>
      </c>
      <c r="M938" s="107" t="b">
        <v>0</v>
      </c>
      <c r="N938" s="90"/>
      <c r="O938" s="95"/>
      <c r="P938" s="90"/>
      <c r="Q938" s="96"/>
      <c r="R938" s="97"/>
      <c r="S938" s="169"/>
      <c r="T938" s="300" t="str">
        <f>CONCATENATE([1]Cover!$D$6,"fdd/view?i=",S938)</f>
        <v>https://www.dgiwg.org/FAD/fdd/view?i=</v>
      </c>
      <c r="U938" s="188"/>
    </row>
    <row r="939" spans="1:21" ht="2.1" customHeight="1">
      <c r="A939" s="98"/>
      <c r="B939" s="87"/>
      <c r="C939" s="99"/>
      <c r="D939" s="87"/>
      <c r="E939" s="99"/>
      <c r="F939" s="100"/>
      <c r="G939" s="100"/>
      <c r="H939" s="100"/>
      <c r="I939" s="101"/>
      <c r="J939" s="106"/>
      <c r="K939" s="103"/>
      <c r="L939" s="104"/>
      <c r="M939" s="100"/>
      <c r="N939" s="100"/>
      <c r="O939" s="100"/>
      <c r="P939" s="100"/>
      <c r="Q939" s="105"/>
      <c r="R939" s="105"/>
      <c r="S939" s="169"/>
      <c r="U939" s="188"/>
    </row>
    <row r="940" spans="1:21" ht="51">
      <c r="A940" s="67" t="s">
        <v>8765</v>
      </c>
      <c r="B940" s="87" t="s">
        <v>8765</v>
      </c>
      <c r="C940" s="88" t="s">
        <v>12524</v>
      </c>
      <c r="D940" s="89"/>
      <c r="E940" s="90"/>
      <c r="F940" s="91" t="s">
        <v>12525</v>
      </c>
      <c r="G940" s="90"/>
      <c r="H940" s="91" t="s">
        <v>11426</v>
      </c>
      <c r="I940" s="92"/>
      <c r="J940" s="93"/>
      <c r="K940" s="94"/>
      <c r="L940" s="91" t="s">
        <v>11425</v>
      </c>
      <c r="M940" s="90"/>
      <c r="N940" s="91">
        <v>11</v>
      </c>
      <c r="O940" s="108" t="b">
        <v>0</v>
      </c>
      <c r="P940" s="91" t="s">
        <v>12526</v>
      </c>
      <c r="Q940" s="96"/>
      <c r="R940" s="97"/>
      <c r="S940" s="169"/>
      <c r="T940" s="300" t="str">
        <f>CONCATENATE([1]Cover!$D$6,"fdd/view?i=",S940)</f>
        <v>https://www.dgiwg.org/FAD/fdd/view?i=</v>
      </c>
      <c r="U940" s="188"/>
    </row>
    <row r="941" spans="1:21" ht="2.1" customHeight="1">
      <c r="A941" s="98"/>
      <c r="B941" s="87"/>
      <c r="C941" s="99"/>
      <c r="D941" s="87"/>
      <c r="E941" s="99"/>
      <c r="F941" s="100"/>
      <c r="G941" s="100"/>
      <c r="H941" s="100"/>
      <c r="I941" s="101"/>
      <c r="J941" s="106"/>
      <c r="K941" s="103"/>
      <c r="L941" s="104"/>
      <c r="M941" s="100"/>
      <c r="N941" s="100"/>
      <c r="O941" s="100"/>
      <c r="P941" s="100"/>
      <c r="Q941" s="105"/>
      <c r="R941" s="105"/>
      <c r="S941" s="169"/>
      <c r="U941" s="188"/>
    </row>
    <row r="942" spans="1:21" ht="51">
      <c r="A942" s="67" t="s">
        <v>8770</v>
      </c>
      <c r="B942" s="87" t="s">
        <v>8770</v>
      </c>
      <c r="C942" s="88" t="s">
        <v>12527</v>
      </c>
      <c r="D942" s="89"/>
      <c r="E942" s="90"/>
      <c r="F942" s="91" t="s">
        <v>12528</v>
      </c>
      <c r="G942" s="90"/>
      <c r="H942" s="91" t="s">
        <v>11426</v>
      </c>
      <c r="I942" s="92"/>
      <c r="J942" s="93"/>
      <c r="K942" s="94"/>
      <c r="L942" s="91" t="s">
        <v>11425</v>
      </c>
      <c r="M942" s="90"/>
      <c r="N942" s="91">
        <v>10</v>
      </c>
      <c r="O942" s="108" t="b">
        <v>0</v>
      </c>
      <c r="P942" s="91" t="s">
        <v>12529</v>
      </c>
      <c r="Q942" s="96"/>
      <c r="R942" s="97"/>
      <c r="S942" s="169"/>
      <c r="T942" s="300" t="str">
        <f>CONCATENATE([1]Cover!$D$6,"fdd/view?i=",S942)</f>
        <v>https://www.dgiwg.org/FAD/fdd/view?i=</v>
      </c>
      <c r="U942" s="188"/>
    </row>
    <row r="943" spans="1:21" ht="2.1" customHeight="1">
      <c r="A943" s="98"/>
      <c r="B943" s="87"/>
      <c r="C943" s="99"/>
      <c r="D943" s="87"/>
      <c r="E943" s="99"/>
      <c r="F943" s="100"/>
      <c r="G943" s="100"/>
      <c r="H943" s="100"/>
      <c r="I943" s="101"/>
      <c r="J943" s="106"/>
      <c r="K943" s="103"/>
      <c r="L943" s="104"/>
      <c r="M943" s="100"/>
      <c r="N943" s="100"/>
      <c r="O943" s="100"/>
      <c r="P943" s="100"/>
      <c r="Q943" s="105"/>
      <c r="R943" s="105"/>
      <c r="S943" s="169"/>
      <c r="U943" s="188"/>
    </row>
    <row r="944" spans="1:21" ht="25.5">
      <c r="A944" s="67" t="s">
        <v>8780</v>
      </c>
      <c r="B944" s="87" t="s">
        <v>8780</v>
      </c>
      <c r="C944" s="88" t="s">
        <v>12530</v>
      </c>
      <c r="D944" s="89"/>
      <c r="E944" s="90"/>
      <c r="F944" s="91" t="s">
        <v>12531</v>
      </c>
      <c r="G944" s="90"/>
      <c r="H944" s="90"/>
      <c r="I944" s="92"/>
      <c r="J944" s="93"/>
      <c r="K944" s="94"/>
      <c r="L944" s="149" t="str">
        <f>HYPERLINK("[#]DatatypeListedValues!B5095:H5095","Enumeration")</f>
        <v>Enumeration</v>
      </c>
      <c r="M944" s="107" t="b">
        <v>0</v>
      </c>
      <c r="N944" s="90"/>
      <c r="O944" s="95"/>
      <c r="P944" s="90"/>
      <c r="Q944" s="96"/>
      <c r="R944" s="97"/>
      <c r="S944" s="169"/>
      <c r="T944" s="300" t="str">
        <f>CONCATENATE([1]Cover!$D$6,"fdd/view?i=",S944)</f>
        <v>https://www.dgiwg.org/FAD/fdd/view?i=</v>
      </c>
      <c r="U944" s="188"/>
    </row>
    <row r="945" spans="1:21" ht="2.1" customHeight="1">
      <c r="A945" s="98"/>
      <c r="B945" s="87"/>
      <c r="C945" s="99"/>
      <c r="D945" s="87"/>
      <c r="E945" s="99"/>
      <c r="F945" s="100"/>
      <c r="G945" s="100"/>
      <c r="H945" s="100"/>
      <c r="I945" s="101"/>
      <c r="J945" s="106"/>
      <c r="K945" s="103"/>
      <c r="L945" s="104"/>
      <c r="M945" s="100"/>
      <c r="N945" s="100"/>
      <c r="O945" s="100"/>
      <c r="P945" s="100"/>
      <c r="Q945" s="105"/>
      <c r="R945" s="105"/>
      <c r="S945" s="169"/>
      <c r="U945" s="188"/>
    </row>
    <row r="946" spans="1:21" ht="25.5">
      <c r="A946" s="67" t="s">
        <v>8786</v>
      </c>
      <c r="B946" s="87" t="s">
        <v>8786</v>
      </c>
      <c r="C946" s="88" t="s">
        <v>12532</v>
      </c>
      <c r="D946" s="89"/>
      <c r="E946" s="90"/>
      <c r="F946" s="91" t="s">
        <v>12533</v>
      </c>
      <c r="G946" s="90"/>
      <c r="H946" s="90"/>
      <c r="I946" s="92"/>
      <c r="J946" s="93"/>
      <c r="K946" s="94"/>
      <c r="L946" s="149" t="str">
        <f>HYPERLINK("[#]DatatypeListedValues!B5121:H5121","Enumeration")</f>
        <v>Enumeration</v>
      </c>
      <c r="M946" s="107" t="b">
        <v>0</v>
      </c>
      <c r="N946" s="90"/>
      <c r="O946" s="95"/>
      <c r="P946" s="90"/>
      <c r="Q946" s="96"/>
      <c r="R946" s="97"/>
      <c r="S946" s="169"/>
      <c r="T946" s="300" t="str">
        <f>CONCATENATE([1]Cover!$D$6,"fdd/view?i=",S946)</f>
        <v>https://www.dgiwg.org/FAD/fdd/view?i=</v>
      </c>
      <c r="U946" s="188"/>
    </row>
    <row r="947" spans="1:21" ht="2.1" customHeight="1">
      <c r="A947" s="98"/>
      <c r="B947" s="87"/>
      <c r="C947" s="99"/>
      <c r="D947" s="87"/>
      <c r="E947" s="99"/>
      <c r="F947" s="100"/>
      <c r="G947" s="100"/>
      <c r="H947" s="100"/>
      <c r="I947" s="101"/>
      <c r="J947" s="106"/>
      <c r="K947" s="103"/>
      <c r="L947" s="104"/>
      <c r="M947" s="100"/>
      <c r="N947" s="100"/>
      <c r="O947" s="100"/>
      <c r="P947" s="100"/>
      <c r="Q947" s="105"/>
      <c r="R947" s="105"/>
      <c r="S947" s="169"/>
      <c r="U947" s="188"/>
    </row>
    <row r="948" spans="1:21" ht="25.5">
      <c r="A948" s="67" t="s">
        <v>8792</v>
      </c>
      <c r="B948" s="87" t="s">
        <v>8792</v>
      </c>
      <c r="C948" s="88" t="s">
        <v>12534</v>
      </c>
      <c r="D948" s="89"/>
      <c r="E948" s="90"/>
      <c r="F948" s="91" t="s">
        <v>12535</v>
      </c>
      <c r="G948" s="90"/>
      <c r="H948" s="90"/>
      <c r="I948" s="92"/>
      <c r="J948" s="93"/>
      <c r="K948" s="94"/>
      <c r="L948" s="149" t="str">
        <f>HYPERLINK("[#]DatatypeListedValues!B5134:H5134","Enumeration")</f>
        <v>Enumeration</v>
      </c>
      <c r="M948" s="107" t="b">
        <v>0</v>
      </c>
      <c r="N948" s="90"/>
      <c r="O948" s="95"/>
      <c r="P948" s="90"/>
      <c r="Q948" s="96"/>
      <c r="R948" s="97"/>
      <c r="S948" s="169"/>
      <c r="T948" s="300" t="str">
        <f>CONCATENATE([1]Cover!$D$6,"fdd/view?i=",S948)</f>
        <v>https://www.dgiwg.org/FAD/fdd/view?i=</v>
      </c>
      <c r="U948" s="188"/>
    </row>
    <row r="949" spans="1:21" ht="2.1" customHeight="1">
      <c r="A949" s="98"/>
      <c r="B949" s="87"/>
      <c r="C949" s="99"/>
      <c r="D949" s="87"/>
      <c r="E949" s="99"/>
      <c r="F949" s="100"/>
      <c r="G949" s="100"/>
      <c r="H949" s="100"/>
      <c r="I949" s="101"/>
      <c r="J949" s="106"/>
      <c r="K949" s="103"/>
      <c r="L949" s="104"/>
      <c r="M949" s="100"/>
      <c r="N949" s="100"/>
      <c r="O949" s="100"/>
      <c r="P949" s="100"/>
      <c r="Q949" s="105"/>
      <c r="R949" s="105"/>
      <c r="S949" s="169"/>
      <c r="U949" s="188"/>
    </row>
    <row r="950" spans="1:21" ht="25.5">
      <c r="A950" s="67" t="s">
        <v>8801</v>
      </c>
      <c r="B950" s="87" t="s">
        <v>8801</v>
      </c>
      <c r="C950" s="88" t="s">
        <v>12536</v>
      </c>
      <c r="D950" s="89"/>
      <c r="E950" s="90"/>
      <c r="F950" s="91" t="s">
        <v>12537</v>
      </c>
      <c r="G950" s="90"/>
      <c r="H950" s="90"/>
      <c r="I950" s="92"/>
      <c r="J950" s="93"/>
      <c r="K950" s="94"/>
      <c r="L950" s="149" t="str">
        <f>HYPERLINK("[#]DatatypeListedValues!B5140:H5140","Enumeration")</f>
        <v>Enumeration</v>
      </c>
      <c r="M950" s="107" t="b">
        <v>0</v>
      </c>
      <c r="N950" s="90"/>
      <c r="O950" s="95"/>
      <c r="P950" s="90"/>
      <c r="Q950" s="96"/>
      <c r="R950" s="97"/>
      <c r="S950" s="169"/>
      <c r="T950" s="300" t="str">
        <f>CONCATENATE([1]Cover!$D$6,"fdd/view?i=",S950)</f>
        <v>https://www.dgiwg.org/FAD/fdd/view?i=</v>
      </c>
      <c r="U950" s="188"/>
    </row>
    <row r="951" spans="1:21" ht="2.1" customHeight="1">
      <c r="A951" s="98"/>
      <c r="B951" s="87"/>
      <c r="C951" s="99"/>
      <c r="D951" s="87"/>
      <c r="E951" s="99"/>
      <c r="F951" s="100"/>
      <c r="G951" s="100"/>
      <c r="H951" s="100"/>
      <c r="I951" s="101"/>
      <c r="J951" s="106"/>
      <c r="K951" s="103"/>
      <c r="L951" s="104"/>
      <c r="M951" s="100"/>
      <c r="N951" s="100"/>
      <c r="O951" s="100"/>
      <c r="P951" s="100"/>
      <c r="Q951" s="105"/>
      <c r="R951" s="105"/>
      <c r="S951" s="169"/>
      <c r="U951" s="188"/>
    </row>
    <row r="952" spans="1:21" ht="25.5">
      <c r="A952" s="67" t="s">
        <v>8811</v>
      </c>
      <c r="B952" s="87" t="s">
        <v>8811</v>
      </c>
      <c r="C952" s="88" t="s">
        <v>12538</v>
      </c>
      <c r="D952" s="89"/>
      <c r="E952" s="90"/>
      <c r="F952" s="91" t="s">
        <v>12539</v>
      </c>
      <c r="G952" s="90"/>
      <c r="H952" s="90"/>
      <c r="I952" s="92"/>
      <c r="J952" s="93"/>
      <c r="K952" s="94"/>
      <c r="L952" s="149" t="str">
        <f>HYPERLINK("[#]DatatypeListedValues!B5172:H5172","Enumeration")</f>
        <v>Enumeration</v>
      </c>
      <c r="M952" s="91" t="b">
        <v>1</v>
      </c>
      <c r="N952" s="90"/>
      <c r="O952" s="95"/>
      <c r="P952" s="90"/>
      <c r="Q952" s="96"/>
      <c r="R952" s="97"/>
      <c r="S952" s="169"/>
      <c r="T952" s="300" t="str">
        <f>CONCATENATE([1]Cover!$D$6,"fdd/view?i=",S952)</f>
        <v>https://www.dgiwg.org/FAD/fdd/view?i=</v>
      </c>
      <c r="U952" s="188"/>
    </row>
    <row r="953" spans="1:21" ht="2.1" customHeight="1">
      <c r="A953" s="98"/>
      <c r="B953" s="87"/>
      <c r="C953" s="99"/>
      <c r="D953" s="87"/>
      <c r="E953" s="99"/>
      <c r="F953" s="100"/>
      <c r="G953" s="100"/>
      <c r="H953" s="100"/>
      <c r="I953" s="101"/>
      <c r="J953" s="106"/>
      <c r="K953" s="103"/>
      <c r="L953" s="104"/>
      <c r="M953" s="100"/>
      <c r="N953" s="100"/>
      <c r="O953" s="100"/>
      <c r="P953" s="100"/>
      <c r="Q953" s="105"/>
      <c r="R953" s="105"/>
      <c r="S953" s="169"/>
      <c r="U953" s="188"/>
    </row>
    <row r="954" spans="1:21" ht="25.5">
      <c r="A954" s="67" t="s">
        <v>8821</v>
      </c>
      <c r="B954" s="87" t="s">
        <v>8821</v>
      </c>
      <c r="C954" s="88" t="s">
        <v>12540</v>
      </c>
      <c r="D954" s="89"/>
      <c r="E954" s="90"/>
      <c r="F954" s="91" t="s">
        <v>12541</v>
      </c>
      <c r="G954" s="90"/>
      <c r="H954" s="90"/>
      <c r="I954" s="92"/>
      <c r="J954" s="93"/>
      <c r="K954" s="94"/>
      <c r="L954" s="149" t="str">
        <f>HYPERLINK("[#]DatatypeListedValues!B5176:H5176","Enumeration")</f>
        <v>Enumeration</v>
      </c>
      <c r="M954" s="107" t="b">
        <v>0</v>
      </c>
      <c r="N954" s="90"/>
      <c r="O954" s="95"/>
      <c r="P954" s="90"/>
      <c r="Q954" s="96"/>
      <c r="R954" s="97"/>
      <c r="S954" s="169"/>
      <c r="T954" s="300" t="str">
        <f>CONCATENATE([1]Cover!$D$6,"fdd/view?i=",S954)</f>
        <v>https://www.dgiwg.org/FAD/fdd/view?i=</v>
      </c>
      <c r="U954" s="188"/>
    </row>
    <row r="955" spans="1:21" ht="2.1" customHeight="1">
      <c r="A955" s="98"/>
      <c r="B955" s="87"/>
      <c r="C955" s="99"/>
      <c r="D955" s="87"/>
      <c r="E955" s="99"/>
      <c r="F955" s="100"/>
      <c r="G955" s="100"/>
      <c r="H955" s="100"/>
      <c r="I955" s="101"/>
      <c r="J955" s="106"/>
      <c r="K955" s="103"/>
      <c r="L955" s="104"/>
      <c r="M955" s="100"/>
      <c r="N955" s="100"/>
      <c r="O955" s="100"/>
      <c r="P955" s="100"/>
      <c r="Q955" s="105"/>
      <c r="R955" s="105"/>
      <c r="S955" s="169"/>
      <c r="U955" s="188"/>
    </row>
    <row r="956" spans="1:21" ht="38.25">
      <c r="A956" s="67" t="s">
        <v>7109</v>
      </c>
      <c r="B956" s="87" t="s">
        <v>7109</v>
      </c>
      <c r="C956" s="88" t="s">
        <v>12542</v>
      </c>
      <c r="D956" s="89"/>
      <c r="E956" s="90"/>
      <c r="F956" s="91" t="s">
        <v>12543</v>
      </c>
      <c r="G956" s="90"/>
      <c r="H956" s="91" t="s">
        <v>12274</v>
      </c>
      <c r="I956" s="92"/>
      <c r="J956" s="93"/>
      <c r="K956" s="94"/>
      <c r="L956" s="91" t="s">
        <v>5793</v>
      </c>
      <c r="M956" s="90"/>
      <c r="N956" s="90"/>
      <c r="O956" s="95"/>
      <c r="P956" s="90"/>
      <c r="Q956" s="143" t="s">
        <v>12295</v>
      </c>
      <c r="R956" s="97"/>
      <c r="S956" s="169"/>
      <c r="T956" s="300" t="str">
        <f>CONCATENATE([1]Cover!$D$6,"fdd/view?i=",S956)</f>
        <v>https://www.dgiwg.org/FAD/fdd/view?i=</v>
      </c>
      <c r="U956" s="188"/>
    </row>
    <row r="957" spans="1:21" ht="2.1" customHeight="1">
      <c r="A957" s="98"/>
      <c r="B957" s="87"/>
      <c r="C957" s="99"/>
      <c r="D957" s="87"/>
      <c r="E957" s="99"/>
      <c r="F957" s="100"/>
      <c r="G957" s="100"/>
      <c r="H957" s="100"/>
      <c r="I957" s="101"/>
      <c r="J957" s="106"/>
      <c r="K957" s="103"/>
      <c r="L957" s="104"/>
      <c r="M957" s="100"/>
      <c r="N957" s="100"/>
      <c r="O957" s="100"/>
      <c r="P957" s="100"/>
      <c r="Q957" s="105"/>
      <c r="R957" s="105"/>
      <c r="S957" s="169"/>
      <c r="U957" s="188"/>
    </row>
    <row r="958" spans="1:21" ht="38.25">
      <c r="A958" s="67" t="s">
        <v>5165</v>
      </c>
      <c r="B958" s="87" t="s">
        <v>5165</v>
      </c>
      <c r="C958" s="88" t="s">
        <v>12035</v>
      </c>
      <c r="D958" s="89"/>
      <c r="E958" s="90"/>
      <c r="F958" s="91" t="s">
        <v>12544</v>
      </c>
      <c r="G958" s="90"/>
      <c r="H958" s="91" t="s">
        <v>12545</v>
      </c>
      <c r="I958" s="92"/>
      <c r="J958" s="93"/>
      <c r="K958" s="94"/>
      <c r="L958" s="91" t="s">
        <v>4650</v>
      </c>
      <c r="M958" s="90"/>
      <c r="N958" s="90"/>
      <c r="O958" s="95"/>
      <c r="P958" s="90"/>
      <c r="Q958" s="143" t="s">
        <v>12295</v>
      </c>
      <c r="R958" s="97"/>
      <c r="S958" s="169"/>
      <c r="T958" s="300" t="str">
        <f>CONCATENATE([1]Cover!$D$6,"fdd/view?i=",S958)</f>
        <v>https://www.dgiwg.org/FAD/fdd/view?i=</v>
      </c>
      <c r="U958" s="188"/>
    </row>
    <row r="959" spans="1:21" ht="2.1" customHeight="1">
      <c r="A959" s="98"/>
      <c r="B959" s="87"/>
      <c r="C959" s="99"/>
      <c r="D959" s="87"/>
      <c r="E959" s="99"/>
      <c r="F959" s="100"/>
      <c r="G959" s="100"/>
      <c r="H959" s="100"/>
      <c r="I959" s="101"/>
      <c r="J959" s="106"/>
      <c r="K959" s="103"/>
      <c r="L959" s="104"/>
      <c r="M959" s="100"/>
      <c r="N959" s="100"/>
      <c r="O959" s="100"/>
      <c r="P959" s="100"/>
      <c r="Q959" s="105"/>
      <c r="R959" s="105"/>
      <c r="S959" s="169"/>
      <c r="U959" s="188"/>
    </row>
    <row r="960" spans="1:21" ht="38.25">
      <c r="A960" s="63" t="s">
        <v>10706</v>
      </c>
      <c r="B960" s="329" t="s">
        <v>10706</v>
      </c>
      <c r="C960" s="326" t="s">
        <v>12546</v>
      </c>
      <c r="D960" s="109"/>
      <c r="E960" s="110"/>
      <c r="F960" s="111" t="s">
        <v>12547</v>
      </c>
      <c r="G960" s="110"/>
      <c r="H960" s="111" t="s">
        <v>11513</v>
      </c>
      <c r="I960" s="112"/>
      <c r="J960" s="113"/>
      <c r="K960" s="114"/>
      <c r="L960" s="115" t="s">
        <v>11429</v>
      </c>
      <c r="M960" s="110"/>
      <c r="N960" s="110"/>
      <c r="O960" s="116"/>
      <c r="P960" s="110"/>
      <c r="Q960" s="145" t="s">
        <v>12295</v>
      </c>
      <c r="R960" s="118"/>
      <c r="S960" s="169"/>
      <c r="T960" s="300" t="str">
        <f>CONCATENATE([1]Cover!$D$6,"fdd/view?i=",S960)</f>
        <v>https://www.dgiwg.org/FAD/fdd/view?i=</v>
      </c>
      <c r="U960" s="188"/>
    </row>
    <row r="961" spans="1:21" ht="51">
      <c r="A961" s="64" t="s">
        <v>33705</v>
      </c>
      <c r="B961" s="330"/>
      <c r="C961" s="327"/>
      <c r="D961" s="132" t="s">
        <v>11877</v>
      </c>
      <c r="E961" s="138" t="s">
        <v>12022</v>
      </c>
      <c r="F961" s="70" t="s">
        <v>12023</v>
      </c>
      <c r="G961" s="70" t="s">
        <v>12024</v>
      </c>
      <c r="H961" s="68"/>
      <c r="I961" s="133" t="s">
        <v>4643</v>
      </c>
      <c r="J961" s="142"/>
      <c r="K961" s="135" t="s">
        <v>4650</v>
      </c>
      <c r="L961" s="150" t="str">
        <f>HYPERLINK("[#]Datatypes!B1097:L1097","Real")</f>
        <v>Real</v>
      </c>
      <c r="M961" s="122"/>
      <c r="N961" s="122"/>
      <c r="O961" s="122"/>
      <c r="P961" s="122"/>
      <c r="Q961" s="123"/>
      <c r="R961" s="124"/>
      <c r="S961" s="169"/>
      <c r="U961" s="188"/>
    </row>
    <row r="962" spans="1:21" ht="51">
      <c r="A962" s="64" t="s">
        <v>33706</v>
      </c>
      <c r="B962" s="330"/>
      <c r="C962" s="327"/>
      <c r="D962" s="136" t="s">
        <v>11881</v>
      </c>
      <c r="E962" s="139" t="s">
        <v>12025</v>
      </c>
      <c r="F962" s="8" t="s">
        <v>12023</v>
      </c>
      <c r="G962" s="8" t="s">
        <v>12027</v>
      </c>
      <c r="H962" s="54"/>
      <c r="I962" s="119" t="s">
        <v>4643</v>
      </c>
      <c r="J962" s="125"/>
      <c r="K962" s="121" t="s">
        <v>4650</v>
      </c>
      <c r="L962" s="151" t="str">
        <f>HYPERLINK("[#]Datatypes!B1097:L1097","Real")</f>
        <v>Real</v>
      </c>
      <c r="M962" s="122"/>
      <c r="N962" s="122"/>
      <c r="O962" s="122"/>
      <c r="P962" s="122"/>
      <c r="Q962" s="123"/>
      <c r="R962" s="124"/>
      <c r="S962" s="169"/>
      <c r="T962" s="300" t="str">
        <f>CONCATENATE([1]Cover!$D$6,"fdd/view?i=",S962)</f>
        <v>https://www.dgiwg.org/FAD/fdd/view?i=</v>
      </c>
      <c r="U962" s="188"/>
    </row>
    <row r="963" spans="1:21" ht="25.5">
      <c r="A963" s="65" t="s">
        <v>33707</v>
      </c>
      <c r="B963" s="331"/>
      <c r="C963" s="328"/>
      <c r="D963" s="137" t="s">
        <v>11885</v>
      </c>
      <c r="E963" s="140" t="s">
        <v>11886</v>
      </c>
      <c r="F963" s="66" t="s">
        <v>12028</v>
      </c>
      <c r="G963" s="66" t="s">
        <v>12029</v>
      </c>
      <c r="H963" s="69"/>
      <c r="I963" s="126" t="s">
        <v>4643</v>
      </c>
      <c r="J963" s="141"/>
      <c r="K963" s="128" t="s">
        <v>11889</v>
      </c>
      <c r="L963" s="152" t="str">
        <f>HYPERLINK("[#]Datatypes!B730:L730","Interval Closure Type Code")</f>
        <v>Interval Closure Type Code</v>
      </c>
      <c r="M963" s="129"/>
      <c r="N963" s="129"/>
      <c r="O963" s="129"/>
      <c r="P963" s="129"/>
      <c r="Q963" s="130"/>
      <c r="R963" s="131"/>
      <c r="S963" s="169"/>
      <c r="U963" s="188"/>
    </row>
    <row r="964" spans="1:21" ht="2.1" customHeight="1">
      <c r="A964" s="98"/>
      <c r="B964" s="87"/>
      <c r="C964" s="99"/>
      <c r="D964" s="87"/>
      <c r="E964" s="99"/>
      <c r="F964" s="100"/>
      <c r="G964" s="100"/>
      <c r="H964" s="100"/>
      <c r="I964" s="101"/>
      <c r="J964" s="106"/>
      <c r="K964" s="103"/>
      <c r="L964" s="104"/>
      <c r="M964" s="100"/>
      <c r="N964" s="100"/>
      <c r="O964" s="100"/>
      <c r="P964" s="100"/>
      <c r="Q964" s="105"/>
      <c r="R964" s="105"/>
      <c r="S964" s="169"/>
      <c r="T964" s="300" t="str">
        <f>CONCATENATE([1]Cover!$D$6,"fdd/view?i=",S964)</f>
        <v>https://www.dgiwg.org/FAD/fdd/view?i=</v>
      </c>
      <c r="U964" s="188"/>
    </row>
    <row r="965" spans="1:21" ht="178.5">
      <c r="A965" s="67" t="s">
        <v>8826</v>
      </c>
      <c r="B965" s="87" t="s">
        <v>8826</v>
      </c>
      <c r="C965" s="88" t="s">
        <v>8824</v>
      </c>
      <c r="D965" s="89"/>
      <c r="E965" s="90"/>
      <c r="F965" s="91" t="s">
        <v>12548</v>
      </c>
      <c r="G965" s="90"/>
      <c r="H965" s="91" t="s">
        <v>11426</v>
      </c>
      <c r="I965" s="92"/>
      <c r="J965" s="93"/>
      <c r="K965" s="94"/>
      <c r="L965" s="91" t="s">
        <v>11425</v>
      </c>
      <c r="M965" s="90"/>
      <c r="N965" s="91">
        <v>20</v>
      </c>
      <c r="O965" s="108" t="b">
        <v>0</v>
      </c>
      <c r="P965" s="91" t="s">
        <v>11909</v>
      </c>
      <c r="Q965" s="96"/>
      <c r="R965" s="97"/>
      <c r="S965" s="169"/>
      <c r="U965" s="188"/>
    </row>
    <row r="966" spans="1:21" ht="2.1" customHeight="1">
      <c r="A966" s="98"/>
      <c r="B966" s="87"/>
      <c r="C966" s="99"/>
      <c r="D966" s="87"/>
      <c r="E966" s="99"/>
      <c r="F966" s="100"/>
      <c r="G966" s="100"/>
      <c r="H966" s="100"/>
      <c r="I966" s="101"/>
      <c r="J966" s="106"/>
      <c r="K966" s="103"/>
      <c r="L966" s="104"/>
      <c r="M966" s="100"/>
      <c r="N966" s="100"/>
      <c r="O966" s="100"/>
      <c r="P966" s="100"/>
      <c r="Q966" s="105"/>
      <c r="R966" s="105"/>
      <c r="S966" s="169"/>
      <c r="T966" s="300" t="str">
        <f>CONCATENATE([1]Cover!$D$6,"fdd/view?i=",S966)</f>
        <v>https://www.dgiwg.org/FAD/fdd/view?i=</v>
      </c>
      <c r="U966" s="188"/>
    </row>
    <row r="967" spans="1:21" ht="38.25">
      <c r="A967" s="67" t="s">
        <v>8836</v>
      </c>
      <c r="B967" s="87" t="s">
        <v>8836</v>
      </c>
      <c r="C967" s="88" t="s">
        <v>12549</v>
      </c>
      <c r="D967" s="89"/>
      <c r="E967" s="90"/>
      <c r="F967" s="91" t="s">
        <v>12550</v>
      </c>
      <c r="G967" s="90"/>
      <c r="H967" s="91" t="s">
        <v>11744</v>
      </c>
      <c r="I967" s="92"/>
      <c r="J967" s="93"/>
      <c r="K967" s="94"/>
      <c r="L967" s="153" t="s">
        <v>11414</v>
      </c>
      <c r="M967" s="91" t="b">
        <v>1</v>
      </c>
      <c r="N967" s="91">
        <v>30</v>
      </c>
      <c r="O967" s="95"/>
      <c r="P967" s="91" t="s">
        <v>11745</v>
      </c>
      <c r="Q967" s="96"/>
      <c r="R967" s="97"/>
      <c r="S967" s="169"/>
      <c r="U967" s="188"/>
    </row>
    <row r="968" spans="1:21" ht="2.1" customHeight="1">
      <c r="A968" s="98"/>
      <c r="B968" s="87"/>
      <c r="C968" s="99"/>
      <c r="D968" s="87"/>
      <c r="E968" s="99"/>
      <c r="F968" s="100"/>
      <c r="G968" s="100"/>
      <c r="H968" s="100"/>
      <c r="I968" s="101"/>
      <c r="J968" s="106"/>
      <c r="K968" s="103"/>
      <c r="L968" s="104"/>
      <c r="M968" s="100"/>
      <c r="N968" s="100"/>
      <c r="O968" s="100"/>
      <c r="P968" s="100"/>
      <c r="Q968" s="105"/>
      <c r="R968" s="105"/>
      <c r="S968" s="169"/>
      <c r="T968" s="300" t="str">
        <f>CONCATENATE([1]Cover!$D$6,"fdd/view?i=",S968)</f>
        <v>https://www.dgiwg.org/FAD/fdd/view?i=</v>
      </c>
      <c r="U968" s="188"/>
    </row>
    <row r="969" spans="1:21" ht="25.5">
      <c r="A969" s="67" t="s">
        <v>8850</v>
      </c>
      <c r="B969" s="87" t="s">
        <v>8850</v>
      </c>
      <c r="C969" s="88" t="s">
        <v>12551</v>
      </c>
      <c r="D969" s="89"/>
      <c r="E969" s="90"/>
      <c r="F969" s="91" t="s">
        <v>12552</v>
      </c>
      <c r="G969" s="90"/>
      <c r="H969" s="90"/>
      <c r="I969" s="92"/>
      <c r="J969" s="93"/>
      <c r="K969" s="94"/>
      <c r="L969" s="149" t="str">
        <f>HYPERLINK("[#]DatatypeListedValues!B5218:H5218","Enumeration")</f>
        <v>Enumeration</v>
      </c>
      <c r="M969" s="107" t="b">
        <v>0</v>
      </c>
      <c r="N969" s="90"/>
      <c r="O969" s="95"/>
      <c r="P969" s="90"/>
      <c r="Q969" s="96"/>
      <c r="R969" s="97"/>
      <c r="S969" s="169"/>
      <c r="U969" s="188"/>
    </row>
    <row r="970" spans="1:21" ht="2.1" customHeight="1">
      <c r="A970" s="98"/>
      <c r="B970" s="87"/>
      <c r="C970" s="99"/>
      <c r="D970" s="87"/>
      <c r="E970" s="99"/>
      <c r="F970" s="100"/>
      <c r="G970" s="100"/>
      <c r="H970" s="100"/>
      <c r="I970" s="101"/>
      <c r="J970" s="106"/>
      <c r="K970" s="103"/>
      <c r="L970" s="104"/>
      <c r="M970" s="100"/>
      <c r="N970" s="100"/>
      <c r="O970" s="100"/>
      <c r="P970" s="100"/>
      <c r="Q970" s="105"/>
      <c r="R970" s="105"/>
      <c r="S970" s="169"/>
      <c r="T970" s="300" t="str">
        <f>CONCATENATE([1]Cover!$D$6,"fdd/view?i=",S970)</f>
        <v>https://www.dgiwg.org/FAD/fdd/view?i=</v>
      </c>
      <c r="U970" s="188"/>
    </row>
    <row r="971" spans="1:21" ht="25.5">
      <c r="A971" s="67" t="s">
        <v>8856</v>
      </c>
      <c r="B971" s="87" t="s">
        <v>8856</v>
      </c>
      <c r="C971" s="88" t="s">
        <v>12553</v>
      </c>
      <c r="D971" s="89"/>
      <c r="E971" s="90"/>
      <c r="F971" s="91" t="s">
        <v>12554</v>
      </c>
      <c r="G971" s="90"/>
      <c r="H971" s="90"/>
      <c r="I971" s="92"/>
      <c r="J971" s="93"/>
      <c r="K971" s="94"/>
      <c r="L971" s="149" t="str">
        <f>HYPERLINK("[#]DatatypeListedValues!B5238:H5238","Enumeration")</f>
        <v>Enumeration</v>
      </c>
      <c r="M971" s="107" t="b">
        <v>0</v>
      </c>
      <c r="N971" s="90"/>
      <c r="O971" s="95"/>
      <c r="P971" s="90"/>
      <c r="Q971" s="96"/>
      <c r="R971" s="97"/>
      <c r="S971" s="169"/>
      <c r="U971" s="188"/>
    </row>
    <row r="972" spans="1:21" ht="2.1" customHeight="1">
      <c r="A972" s="98"/>
      <c r="B972" s="87"/>
      <c r="C972" s="99"/>
      <c r="D972" s="87"/>
      <c r="E972" s="99"/>
      <c r="F972" s="100"/>
      <c r="G972" s="100"/>
      <c r="H972" s="100"/>
      <c r="I972" s="101"/>
      <c r="J972" s="106"/>
      <c r="K972" s="103"/>
      <c r="L972" s="104"/>
      <c r="M972" s="100"/>
      <c r="N972" s="100"/>
      <c r="O972" s="100"/>
      <c r="P972" s="100"/>
      <c r="Q972" s="105"/>
      <c r="R972" s="105"/>
      <c r="S972" s="169"/>
      <c r="T972" s="300" t="str">
        <f>CONCATENATE([1]Cover!$D$6,"fdd/view?i=",S972)</f>
        <v>https://www.dgiwg.org/FAD/fdd/view?i=</v>
      </c>
      <c r="U972" s="188"/>
    </row>
    <row r="973" spans="1:21" ht="25.5">
      <c r="A973" s="67" t="s">
        <v>8871</v>
      </c>
      <c r="B973" s="87" t="s">
        <v>8871</v>
      </c>
      <c r="C973" s="88" t="s">
        <v>12555</v>
      </c>
      <c r="D973" s="89"/>
      <c r="E973" s="90"/>
      <c r="F973" s="91" t="s">
        <v>12556</v>
      </c>
      <c r="G973" s="90"/>
      <c r="H973" s="90"/>
      <c r="I973" s="92"/>
      <c r="J973" s="93"/>
      <c r="K973" s="94"/>
      <c r="L973" s="149" t="str">
        <f>HYPERLINK("[#]DatatypeListedValues!B5241:H5241","Enumeration")</f>
        <v>Enumeration</v>
      </c>
      <c r="M973" s="91" t="b">
        <v>1</v>
      </c>
      <c r="N973" s="90"/>
      <c r="O973" s="95"/>
      <c r="P973" s="90"/>
      <c r="Q973" s="96"/>
      <c r="R973" s="97"/>
      <c r="S973" s="169"/>
      <c r="U973" s="188"/>
    </row>
    <row r="974" spans="1:21" ht="2.1" customHeight="1">
      <c r="A974" s="98"/>
      <c r="B974" s="87"/>
      <c r="C974" s="99"/>
      <c r="D974" s="87"/>
      <c r="E974" s="99"/>
      <c r="F974" s="100"/>
      <c r="G974" s="100"/>
      <c r="H974" s="100"/>
      <c r="I974" s="101"/>
      <c r="J974" s="106"/>
      <c r="K974" s="103"/>
      <c r="L974" s="104"/>
      <c r="M974" s="100"/>
      <c r="N974" s="100"/>
      <c r="O974" s="100"/>
      <c r="P974" s="100"/>
      <c r="Q974" s="105"/>
      <c r="R974" s="105"/>
      <c r="S974" s="169"/>
      <c r="T974" s="300" t="str">
        <f>CONCATENATE([1]Cover!$D$6,"fdd/view?i=",S974)</f>
        <v>https://www.dgiwg.org/FAD/fdd/view?i=</v>
      </c>
      <c r="U974" s="188"/>
    </row>
    <row r="975" spans="1:21" ht="25.5">
      <c r="A975" s="67" t="s">
        <v>8908</v>
      </c>
      <c r="B975" s="87" t="s">
        <v>8908</v>
      </c>
      <c r="C975" s="88" t="s">
        <v>12557</v>
      </c>
      <c r="D975" s="89"/>
      <c r="E975" s="90"/>
      <c r="F975" s="91" t="s">
        <v>12558</v>
      </c>
      <c r="G975" s="90"/>
      <c r="H975" s="90"/>
      <c r="I975" s="92"/>
      <c r="J975" s="93"/>
      <c r="K975" s="94"/>
      <c r="L975" s="149" t="str">
        <f>HYPERLINK("[#]DatatypeListedValues!B5244:H5244","Enumeration")</f>
        <v>Enumeration</v>
      </c>
      <c r="M975" s="107" t="b">
        <v>0</v>
      </c>
      <c r="N975" s="90"/>
      <c r="O975" s="95"/>
      <c r="P975" s="90"/>
      <c r="Q975" s="96"/>
      <c r="R975" s="97"/>
      <c r="S975" s="169"/>
      <c r="U975" s="188"/>
    </row>
    <row r="976" spans="1:21" ht="2.1" customHeight="1">
      <c r="A976" s="98"/>
      <c r="B976" s="87"/>
      <c r="C976" s="99"/>
      <c r="D976" s="87"/>
      <c r="E976" s="99"/>
      <c r="F976" s="100"/>
      <c r="G976" s="100"/>
      <c r="H976" s="100"/>
      <c r="I976" s="101"/>
      <c r="J976" s="106"/>
      <c r="K976" s="103"/>
      <c r="L976" s="104"/>
      <c r="M976" s="100"/>
      <c r="N976" s="100"/>
      <c r="O976" s="100"/>
      <c r="P976" s="100"/>
      <c r="Q976" s="105"/>
      <c r="R976" s="105"/>
      <c r="S976" s="169"/>
      <c r="T976" s="300" t="str">
        <f>CONCATENATE([1]Cover!$D$6,"fdd/view?i=",S976)</f>
        <v>https://www.dgiwg.org/FAD/fdd/view?i=</v>
      </c>
      <c r="U976" s="188"/>
    </row>
    <row r="977" spans="1:21" ht="25.5">
      <c r="A977" s="67" t="s">
        <v>8913</v>
      </c>
      <c r="B977" s="87" t="s">
        <v>8913</v>
      </c>
      <c r="C977" s="88" t="s">
        <v>12559</v>
      </c>
      <c r="D977" s="89"/>
      <c r="E977" s="90"/>
      <c r="F977" s="91" t="s">
        <v>12560</v>
      </c>
      <c r="G977" s="90"/>
      <c r="H977" s="90"/>
      <c r="I977" s="92"/>
      <c r="J977" s="93"/>
      <c r="K977" s="94"/>
      <c r="L977" s="149" t="str">
        <f>HYPERLINK("[#]DatatypeListedValues!B5249:H5249","Enumeration")</f>
        <v>Enumeration</v>
      </c>
      <c r="M977" s="107" t="b">
        <v>0</v>
      </c>
      <c r="N977" s="90"/>
      <c r="O977" s="95"/>
      <c r="P977" s="90"/>
      <c r="Q977" s="96"/>
      <c r="R977" s="97"/>
      <c r="S977" s="169"/>
      <c r="U977" s="188"/>
    </row>
    <row r="978" spans="1:21" ht="2.1" customHeight="1">
      <c r="A978" s="98"/>
      <c r="B978" s="87"/>
      <c r="C978" s="99"/>
      <c r="D978" s="87"/>
      <c r="E978" s="99"/>
      <c r="F978" s="100"/>
      <c r="G978" s="100"/>
      <c r="H978" s="100"/>
      <c r="I978" s="101"/>
      <c r="J978" s="106"/>
      <c r="K978" s="103"/>
      <c r="L978" s="104"/>
      <c r="M978" s="100"/>
      <c r="N978" s="100"/>
      <c r="O978" s="100"/>
      <c r="P978" s="100"/>
      <c r="Q978" s="105"/>
      <c r="R978" s="105"/>
      <c r="S978" s="169"/>
      <c r="T978" s="300" t="str">
        <f>CONCATENATE([1]Cover!$D$6,"fdd/view?i=",S978)</f>
        <v>https://www.dgiwg.org/FAD/fdd/view?i=</v>
      </c>
      <c r="U978" s="188"/>
    </row>
    <row r="979" spans="1:21" ht="25.5">
      <c r="A979" s="67" t="s">
        <v>8924</v>
      </c>
      <c r="B979" s="87" t="s">
        <v>8924</v>
      </c>
      <c r="C979" s="88" t="s">
        <v>12561</v>
      </c>
      <c r="D979" s="89"/>
      <c r="E979" s="90"/>
      <c r="F979" s="91" t="s">
        <v>12562</v>
      </c>
      <c r="G979" s="90"/>
      <c r="H979" s="90"/>
      <c r="I979" s="92"/>
      <c r="J979" s="93"/>
      <c r="K979" s="94"/>
      <c r="L979" s="149" t="str">
        <f>HYPERLINK("[#]DatatypeListedValues!B5252:H5252","Enumeration")</f>
        <v>Enumeration</v>
      </c>
      <c r="M979" s="107" t="b">
        <v>0</v>
      </c>
      <c r="N979" s="90"/>
      <c r="O979" s="95"/>
      <c r="P979" s="90"/>
      <c r="Q979" s="96"/>
      <c r="R979" s="97"/>
      <c r="S979" s="169"/>
      <c r="U979" s="188"/>
    </row>
    <row r="980" spans="1:21" ht="2.1" customHeight="1">
      <c r="A980" s="98"/>
      <c r="B980" s="87"/>
      <c r="C980" s="99"/>
      <c r="D980" s="87"/>
      <c r="E980" s="99"/>
      <c r="F980" s="100"/>
      <c r="G980" s="100"/>
      <c r="H980" s="100"/>
      <c r="I980" s="101"/>
      <c r="J980" s="106"/>
      <c r="K980" s="103"/>
      <c r="L980" s="104"/>
      <c r="M980" s="100"/>
      <c r="N980" s="100"/>
      <c r="O980" s="100"/>
      <c r="P980" s="100"/>
      <c r="Q980" s="105"/>
      <c r="R980" s="105"/>
      <c r="S980" s="169"/>
      <c r="T980" s="300" t="str">
        <f>CONCATENATE([1]Cover!$D$6,"fdd/view?i=",S980)</f>
        <v>https://www.dgiwg.org/FAD/fdd/view?i=</v>
      </c>
      <c r="U980" s="188"/>
    </row>
    <row r="981" spans="1:21" ht="25.5">
      <c r="A981" s="67" t="s">
        <v>8929</v>
      </c>
      <c r="B981" s="87" t="s">
        <v>8929</v>
      </c>
      <c r="C981" s="88" t="s">
        <v>12563</v>
      </c>
      <c r="D981" s="89"/>
      <c r="E981" s="90"/>
      <c r="F981" s="91" t="s">
        <v>12564</v>
      </c>
      <c r="G981" s="90"/>
      <c r="H981" s="90"/>
      <c r="I981" s="92"/>
      <c r="J981" s="93"/>
      <c r="K981" s="94"/>
      <c r="L981" s="149" t="str">
        <f>HYPERLINK("[#]DatatypeListedValues!B5259:H5259","Enumeration")</f>
        <v>Enumeration</v>
      </c>
      <c r="M981" s="107" t="b">
        <v>0</v>
      </c>
      <c r="N981" s="90"/>
      <c r="O981" s="95"/>
      <c r="P981" s="90"/>
      <c r="Q981" s="96"/>
      <c r="R981" s="97"/>
      <c r="S981" s="169"/>
      <c r="U981" s="188"/>
    </row>
    <row r="982" spans="1:21" ht="2.1" customHeight="1">
      <c r="A982" s="98"/>
      <c r="B982" s="87"/>
      <c r="C982" s="99"/>
      <c r="D982" s="87"/>
      <c r="E982" s="99"/>
      <c r="F982" s="100"/>
      <c r="G982" s="100"/>
      <c r="H982" s="100"/>
      <c r="I982" s="101"/>
      <c r="J982" s="106"/>
      <c r="K982" s="103"/>
      <c r="L982" s="104"/>
      <c r="M982" s="100"/>
      <c r="N982" s="100"/>
      <c r="O982" s="100"/>
      <c r="P982" s="100"/>
      <c r="Q982" s="105"/>
      <c r="R982" s="105"/>
      <c r="S982" s="169"/>
      <c r="T982" s="300" t="str">
        <f>CONCATENATE([1]Cover!$D$6,"fdd/view?i=",S982)</f>
        <v>https://www.dgiwg.org/FAD/fdd/view?i=</v>
      </c>
      <c r="U982" s="188"/>
    </row>
    <row r="983" spans="1:21" ht="25.5">
      <c r="A983" s="67" t="s">
        <v>8934</v>
      </c>
      <c r="B983" s="87" t="s">
        <v>8934</v>
      </c>
      <c r="C983" s="88" t="s">
        <v>12565</v>
      </c>
      <c r="D983" s="89"/>
      <c r="E983" s="90"/>
      <c r="F983" s="91" t="s">
        <v>12566</v>
      </c>
      <c r="G983" s="90"/>
      <c r="H983" s="90"/>
      <c r="I983" s="92"/>
      <c r="J983" s="93"/>
      <c r="K983" s="94"/>
      <c r="L983" s="149" t="str">
        <f>HYPERLINK("[#]DatatypeListedValues!B5263:H5263","Enumeration")</f>
        <v>Enumeration</v>
      </c>
      <c r="M983" s="107" t="b">
        <v>0</v>
      </c>
      <c r="N983" s="90"/>
      <c r="O983" s="95"/>
      <c r="P983" s="90"/>
      <c r="Q983" s="96"/>
      <c r="R983" s="97"/>
      <c r="S983" s="169"/>
      <c r="U983" s="188"/>
    </row>
    <row r="984" spans="1:21" ht="2.1" customHeight="1">
      <c r="A984" s="98"/>
      <c r="B984" s="87"/>
      <c r="C984" s="99"/>
      <c r="D984" s="87"/>
      <c r="E984" s="99"/>
      <c r="F984" s="100"/>
      <c r="G984" s="100"/>
      <c r="H984" s="100"/>
      <c r="I984" s="101"/>
      <c r="J984" s="106"/>
      <c r="K984" s="103"/>
      <c r="L984" s="104"/>
      <c r="M984" s="100"/>
      <c r="N984" s="100"/>
      <c r="O984" s="100"/>
      <c r="P984" s="100"/>
      <c r="Q984" s="105"/>
      <c r="R984" s="105"/>
      <c r="S984" s="169"/>
      <c r="T984" s="300" t="str">
        <f>CONCATENATE([1]Cover!$D$6,"fdd/view?i=",S984)</f>
        <v>https://www.dgiwg.org/FAD/fdd/view?i=</v>
      </c>
      <c r="U984" s="188"/>
    </row>
    <row r="985" spans="1:21" ht="38.25">
      <c r="A985" s="67" t="s">
        <v>12567</v>
      </c>
      <c r="B985" s="87" t="s">
        <v>12567</v>
      </c>
      <c r="C985" s="88" t="s">
        <v>12568</v>
      </c>
      <c r="D985" s="89"/>
      <c r="E985" s="90"/>
      <c r="F985" s="91" t="s">
        <v>12569</v>
      </c>
      <c r="G985" s="90"/>
      <c r="H985" s="91" t="s">
        <v>11744</v>
      </c>
      <c r="I985" s="92"/>
      <c r="J985" s="93"/>
      <c r="K985" s="94"/>
      <c r="L985" s="153" t="s">
        <v>11414</v>
      </c>
      <c r="M985" s="91" t="b">
        <v>1</v>
      </c>
      <c r="N985" s="90"/>
      <c r="O985" s="95"/>
      <c r="P985" s="91" t="s">
        <v>11753</v>
      </c>
      <c r="Q985" s="96"/>
      <c r="R985" s="97"/>
      <c r="S985" s="169"/>
      <c r="U985" s="188"/>
    </row>
    <row r="986" spans="1:21" ht="2.1" customHeight="1">
      <c r="A986" s="98"/>
      <c r="B986" s="87"/>
      <c r="C986" s="99"/>
      <c r="D986" s="87"/>
      <c r="E986" s="99"/>
      <c r="F986" s="100"/>
      <c r="G986" s="100"/>
      <c r="H986" s="100"/>
      <c r="I986" s="101"/>
      <c r="J986" s="106"/>
      <c r="K986" s="103"/>
      <c r="L986" s="104"/>
      <c r="M986" s="100"/>
      <c r="N986" s="100"/>
      <c r="O986" s="100"/>
      <c r="P986" s="100"/>
      <c r="Q986" s="105"/>
      <c r="R986" s="105"/>
      <c r="S986" s="169"/>
      <c r="T986" s="300" t="str">
        <f>CONCATENATE([1]Cover!$D$6,"fdd/view?i=",S986)</f>
        <v>https://www.dgiwg.org/FAD/fdd/view?i=</v>
      </c>
      <c r="U986" s="188"/>
    </row>
    <row r="987" spans="1:21" ht="38.25">
      <c r="A987" s="63" t="s">
        <v>11853</v>
      </c>
      <c r="B987" s="329" t="s">
        <v>11853</v>
      </c>
      <c r="C987" s="326" t="s">
        <v>11851</v>
      </c>
      <c r="D987" s="109"/>
      <c r="E987" s="110"/>
      <c r="F987" s="111" t="s">
        <v>12570</v>
      </c>
      <c r="G987" s="110"/>
      <c r="H987" s="110"/>
      <c r="I987" s="112"/>
      <c r="J987" s="113"/>
      <c r="K987" s="114"/>
      <c r="L987" s="115" t="s">
        <v>11429</v>
      </c>
      <c r="M987" s="110"/>
      <c r="N987" s="110"/>
      <c r="O987" s="116"/>
      <c r="P987" s="110"/>
      <c r="Q987" s="117"/>
      <c r="R987" s="118"/>
      <c r="S987" s="169"/>
      <c r="U987" s="188"/>
    </row>
    <row r="988" spans="1:21" ht="25.5">
      <c r="A988" s="64" t="s">
        <v>33715</v>
      </c>
      <c r="B988" s="330"/>
      <c r="C988" s="327"/>
      <c r="D988" s="132" t="s">
        <v>12571</v>
      </c>
      <c r="E988" s="138" t="s">
        <v>12572</v>
      </c>
      <c r="F988" s="70" t="s">
        <v>12573</v>
      </c>
      <c r="G988" s="70" t="s">
        <v>12574</v>
      </c>
      <c r="H988" s="68"/>
      <c r="I988" s="133" t="s">
        <v>4643</v>
      </c>
      <c r="J988" s="142"/>
      <c r="K988" s="135" t="s">
        <v>6543</v>
      </c>
      <c r="L988" s="150" t="str">
        <f>HYPERLINK("[#]Datatypes!B1396:L1396","Text")</f>
        <v>Text</v>
      </c>
      <c r="M988" s="122"/>
      <c r="N988" s="122"/>
      <c r="O988" s="122"/>
      <c r="P988" s="122"/>
      <c r="Q988" s="123"/>
      <c r="R988" s="124"/>
      <c r="S988" s="169"/>
      <c r="T988" s="300" t="str">
        <f>CONCATENATE([1]Cover!$D$6,"fdd/view?i=",S988)</f>
        <v>https://www.dgiwg.org/FAD/fdd/view?i=</v>
      </c>
      <c r="U988" s="188"/>
    </row>
    <row r="989" spans="1:21">
      <c r="A989" s="64" t="s">
        <v>33716</v>
      </c>
      <c r="B989" s="330"/>
      <c r="C989" s="327"/>
      <c r="D989" s="136" t="s">
        <v>12575</v>
      </c>
      <c r="E989" s="139" t="s">
        <v>12576</v>
      </c>
      <c r="F989" s="8" t="s">
        <v>12577</v>
      </c>
      <c r="G989" s="8" t="s">
        <v>12578</v>
      </c>
      <c r="H989" s="54"/>
      <c r="I989" s="119" t="s">
        <v>11438</v>
      </c>
      <c r="J989" s="125"/>
      <c r="K989" s="121" t="s">
        <v>6543</v>
      </c>
      <c r="L989" s="151" t="str">
        <f>HYPERLINK("[#]Datatypes!B1396:L1396","Text")</f>
        <v>Text</v>
      </c>
      <c r="M989" s="122"/>
      <c r="N989" s="122"/>
      <c r="O989" s="122"/>
      <c r="P989" s="122"/>
      <c r="Q989" s="123"/>
      <c r="R989" s="124"/>
      <c r="S989" s="169"/>
      <c r="U989" s="188"/>
    </row>
    <row r="990" spans="1:21" ht="25.5">
      <c r="A990" s="64" t="s">
        <v>33717</v>
      </c>
      <c r="B990" s="330"/>
      <c r="C990" s="327"/>
      <c r="D990" s="136" t="s">
        <v>12579</v>
      </c>
      <c r="E990" s="139" t="s">
        <v>12580</v>
      </c>
      <c r="F990" s="8" t="s">
        <v>12581</v>
      </c>
      <c r="G990" s="54"/>
      <c r="H990" s="54"/>
      <c r="I990" s="119" t="s">
        <v>11438</v>
      </c>
      <c r="J990" s="125"/>
      <c r="K990" s="121" t="s">
        <v>6543</v>
      </c>
      <c r="L990" s="151" t="str">
        <f>HYPERLINK("[#]Datatypes!B1396:L1396","Text")</f>
        <v>Text</v>
      </c>
      <c r="M990" s="122"/>
      <c r="N990" s="122"/>
      <c r="O990" s="122"/>
      <c r="P990" s="122"/>
      <c r="Q990" s="123"/>
      <c r="R990" s="124"/>
      <c r="S990" s="169"/>
      <c r="T990" s="300" t="str">
        <f>CONCATENATE([1]Cover!$D$6,"fdd/view?i=",S990)</f>
        <v>https://www.dgiwg.org/FAD/fdd/view?i=</v>
      </c>
      <c r="U990" s="188"/>
    </row>
    <row r="991" spans="1:21">
      <c r="A991" s="64" t="s">
        <v>33718</v>
      </c>
      <c r="B991" s="330"/>
      <c r="C991" s="327"/>
      <c r="D991" s="136" t="s">
        <v>5317</v>
      </c>
      <c r="E991" s="139" t="s">
        <v>38</v>
      </c>
      <c r="F991" s="8" t="s">
        <v>12582</v>
      </c>
      <c r="G991" s="54"/>
      <c r="H991" s="54"/>
      <c r="I991" s="119" t="s">
        <v>11438</v>
      </c>
      <c r="J991" s="125"/>
      <c r="K991" s="121" t="s">
        <v>6543</v>
      </c>
      <c r="L991" s="151" t="str">
        <f>HYPERLINK("[#]Datatypes!B1396:L1396","Text")</f>
        <v>Text</v>
      </c>
      <c r="M991" s="122"/>
      <c r="N991" s="122"/>
      <c r="O991" s="122"/>
      <c r="P991" s="122"/>
      <c r="Q991" s="123"/>
      <c r="R991" s="124"/>
      <c r="S991" s="169"/>
      <c r="U991" s="188"/>
    </row>
    <row r="992" spans="1:21">
      <c r="A992" s="64" t="s">
        <v>33719</v>
      </c>
      <c r="B992" s="330"/>
      <c r="C992" s="327"/>
      <c r="D992" s="136" t="s">
        <v>6846</v>
      </c>
      <c r="E992" s="139" t="s">
        <v>37</v>
      </c>
      <c r="F992" s="8" t="s">
        <v>12583</v>
      </c>
      <c r="G992" s="54"/>
      <c r="H992" s="54"/>
      <c r="I992" s="119" t="s">
        <v>11438</v>
      </c>
      <c r="J992" s="125"/>
      <c r="K992" s="121" t="s">
        <v>6543</v>
      </c>
      <c r="L992" s="151" t="str">
        <f>HYPERLINK("[#]Datatypes!B1396:L1396","Text")</f>
        <v>Text</v>
      </c>
      <c r="M992" s="122"/>
      <c r="N992" s="122"/>
      <c r="O992" s="122"/>
      <c r="P992" s="122"/>
      <c r="Q992" s="123"/>
      <c r="R992" s="124"/>
      <c r="S992" s="169"/>
      <c r="T992" s="300" t="str">
        <f>CONCATENATE([1]Cover!$D$6,"fdd/view?i=",S992)</f>
        <v>https://www.dgiwg.org/FAD/fdd/view?i=</v>
      </c>
      <c r="U992" s="188"/>
    </row>
    <row r="993" spans="1:21">
      <c r="A993" s="65" t="s">
        <v>33720</v>
      </c>
      <c r="B993" s="331"/>
      <c r="C993" s="328"/>
      <c r="D993" s="137" t="s">
        <v>12584</v>
      </c>
      <c r="E993" s="140" t="s">
        <v>12585</v>
      </c>
      <c r="F993" s="66" t="s">
        <v>12586</v>
      </c>
      <c r="G993" s="69"/>
      <c r="H993" s="69"/>
      <c r="I993" s="126" t="s">
        <v>11438</v>
      </c>
      <c r="J993" s="141"/>
      <c r="K993" s="128" t="s">
        <v>12567</v>
      </c>
      <c r="L993" s="152" t="str">
        <f>HYPERLINK("[#]Datatypes!B1186:L1186","Resource Online Function Code")</f>
        <v>Resource Online Function Code</v>
      </c>
      <c r="M993" s="129"/>
      <c r="N993" s="129"/>
      <c r="O993" s="129"/>
      <c r="P993" s="129"/>
      <c r="Q993" s="130"/>
      <c r="R993" s="131"/>
      <c r="S993" s="169"/>
      <c r="U993" s="188"/>
    </row>
    <row r="994" spans="1:21" ht="2.1" customHeight="1">
      <c r="A994" s="98"/>
      <c r="B994" s="87"/>
      <c r="C994" s="99"/>
      <c r="D994" s="87"/>
      <c r="E994" s="99"/>
      <c r="F994" s="100"/>
      <c r="G994" s="100"/>
      <c r="H994" s="100"/>
      <c r="I994" s="101"/>
      <c r="J994" s="106"/>
      <c r="K994" s="103"/>
      <c r="L994" s="104"/>
      <c r="M994" s="100"/>
      <c r="N994" s="100"/>
      <c r="O994" s="100"/>
      <c r="P994" s="100"/>
      <c r="Q994" s="105"/>
      <c r="R994" s="105"/>
      <c r="S994" s="169"/>
      <c r="T994" s="300" t="str">
        <f>CONCATENATE([1]Cover!$D$6,"fdd/view?i=",S994)</f>
        <v>https://www.dgiwg.org/FAD/fdd/view?i=</v>
      </c>
      <c r="U994" s="188"/>
    </row>
    <row r="995" spans="1:21" ht="38.25">
      <c r="A995" s="67" t="s">
        <v>6406</v>
      </c>
      <c r="B995" s="87" t="s">
        <v>6406</v>
      </c>
      <c r="C995" s="88" t="s">
        <v>12588</v>
      </c>
      <c r="D995" s="89"/>
      <c r="E995" s="90"/>
      <c r="F995" s="91" t="s">
        <v>12589</v>
      </c>
      <c r="G995" s="90"/>
      <c r="H995" s="91" t="s">
        <v>11426</v>
      </c>
      <c r="I995" s="92"/>
      <c r="J995" s="93"/>
      <c r="K995" s="94"/>
      <c r="L995" s="91" t="s">
        <v>11425</v>
      </c>
      <c r="M995" s="90"/>
      <c r="N995" s="108" t="s">
        <v>11810</v>
      </c>
      <c r="O995" s="91" t="b">
        <v>1</v>
      </c>
      <c r="P995" s="91" t="s">
        <v>12590</v>
      </c>
      <c r="Q995" s="96"/>
      <c r="R995" s="97"/>
      <c r="S995" s="169"/>
      <c r="U995" s="188"/>
    </row>
    <row r="996" spans="1:21" ht="2.1" customHeight="1">
      <c r="A996" s="98"/>
      <c r="B996" s="87"/>
      <c r="C996" s="99"/>
      <c r="D996" s="87"/>
      <c r="E996" s="99"/>
      <c r="F996" s="100"/>
      <c r="G996" s="100"/>
      <c r="H996" s="100"/>
      <c r="I996" s="101"/>
      <c r="J996" s="106"/>
      <c r="K996" s="103"/>
      <c r="L996" s="104"/>
      <c r="M996" s="100"/>
      <c r="N996" s="100"/>
      <c r="O996" s="100"/>
      <c r="P996" s="100"/>
      <c r="Q996" s="105"/>
      <c r="R996" s="105"/>
      <c r="S996" s="169"/>
      <c r="T996" s="300" t="str">
        <f>CONCATENATE([1]Cover!$D$6,"fdd/view?i=",S996)</f>
        <v>https://www.dgiwg.org/FAD/fdd/view?i=</v>
      </c>
      <c r="U996" s="188"/>
    </row>
    <row r="997" spans="1:21">
      <c r="A997" s="67" t="s">
        <v>8955</v>
      </c>
      <c r="B997" s="87" t="s">
        <v>8955</v>
      </c>
      <c r="C997" s="88" t="s">
        <v>12591</v>
      </c>
      <c r="D997" s="89"/>
      <c r="E997" s="90"/>
      <c r="F997" s="91" t="s">
        <v>12592</v>
      </c>
      <c r="G997" s="90"/>
      <c r="H997" s="90"/>
      <c r="I997" s="92"/>
      <c r="J997" s="93"/>
      <c r="K997" s="94"/>
      <c r="L997" s="149" t="str">
        <f>HYPERLINK("[#]DatatypeListedValues!B5267:H5267","Enumeration")</f>
        <v>Enumeration</v>
      </c>
      <c r="M997" s="107" t="b">
        <v>0</v>
      </c>
      <c r="N997" s="90"/>
      <c r="O997" s="95"/>
      <c r="P997" s="90"/>
      <c r="Q997" s="96"/>
      <c r="R997" s="97"/>
      <c r="S997" s="169"/>
      <c r="U997" s="188"/>
    </row>
    <row r="998" spans="1:21" ht="2.1" customHeight="1">
      <c r="A998" s="98"/>
      <c r="B998" s="87"/>
      <c r="C998" s="99"/>
      <c r="D998" s="87"/>
      <c r="E998" s="99"/>
      <c r="F998" s="100"/>
      <c r="G998" s="100"/>
      <c r="H998" s="100"/>
      <c r="I998" s="101"/>
      <c r="J998" s="106"/>
      <c r="K998" s="103"/>
      <c r="L998" s="104"/>
      <c r="M998" s="100"/>
      <c r="N998" s="100"/>
      <c r="O998" s="100"/>
      <c r="P998" s="100"/>
      <c r="Q998" s="105"/>
      <c r="R998" s="105"/>
      <c r="S998" s="169"/>
      <c r="T998" s="300" t="str">
        <f>CONCATENATE([1]Cover!$D$6,"fdd/view?i=",S998)</f>
        <v>https://www.dgiwg.org/FAD/fdd/view?i=</v>
      </c>
      <c r="U998" s="188"/>
    </row>
    <row r="999" spans="1:21">
      <c r="A999" s="67" t="s">
        <v>8960</v>
      </c>
      <c r="B999" s="87" t="s">
        <v>8960</v>
      </c>
      <c r="C999" s="88" t="s">
        <v>12593</v>
      </c>
      <c r="D999" s="89"/>
      <c r="E999" s="90"/>
      <c r="F999" s="91" t="s">
        <v>12594</v>
      </c>
      <c r="G999" s="90"/>
      <c r="H999" s="90"/>
      <c r="I999" s="92"/>
      <c r="J999" s="93"/>
      <c r="K999" s="94"/>
      <c r="L999" s="149" t="str">
        <f>HYPERLINK("[#]DatatypeListedValues!B5272:H5272","Enumeration")</f>
        <v>Enumeration</v>
      </c>
      <c r="M999" s="107" t="b">
        <v>0</v>
      </c>
      <c r="N999" s="90"/>
      <c r="O999" s="95"/>
      <c r="P999" s="90"/>
      <c r="Q999" s="96"/>
      <c r="R999" s="97"/>
      <c r="S999" s="169"/>
      <c r="U999" s="188"/>
    </row>
    <row r="1000" spans="1:21" ht="2.1" customHeight="1">
      <c r="A1000" s="98"/>
      <c r="B1000" s="87"/>
      <c r="C1000" s="99"/>
      <c r="D1000" s="87"/>
      <c r="E1000" s="99"/>
      <c r="F1000" s="100"/>
      <c r="G1000" s="100"/>
      <c r="H1000" s="100"/>
      <c r="I1000" s="101"/>
      <c r="J1000" s="106"/>
      <c r="K1000" s="103"/>
      <c r="L1000" s="104"/>
      <c r="M1000" s="100"/>
      <c r="N1000" s="100"/>
      <c r="O1000" s="100"/>
      <c r="P1000" s="100"/>
      <c r="Q1000" s="105"/>
      <c r="R1000" s="105"/>
      <c r="S1000" s="169"/>
      <c r="T1000" s="300" t="str">
        <f>CONCATENATE([1]Cover!$D$6,"fdd/view?i=",S1000)</f>
        <v>https://www.dgiwg.org/FAD/fdd/view?i=</v>
      </c>
      <c r="U1000" s="188"/>
    </row>
    <row r="1001" spans="1:21" ht="25.5">
      <c r="A1001" s="67" t="s">
        <v>8965</v>
      </c>
      <c r="B1001" s="87" t="s">
        <v>8965</v>
      </c>
      <c r="C1001" s="88" t="s">
        <v>12595</v>
      </c>
      <c r="D1001" s="89"/>
      <c r="E1001" s="90"/>
      <c r="F1001" s="91" t="s">
        <v>12596</v>
      </c>
      <c r="G1001" s="90"/>
      <c r="H1001" s="90"/>
      <c r="I1001" s="92"/>
      <c r="J1001" s="93"/>
      <c r="K1001" s="94"/>
      <c r="L1001" s="149" t="str">
        <f>HYPERLINK("[#]DatatypeListedValues!B5279:H5279","Enumeration")</f>
        <v>Enumeration</v>
      </c>
      <c r="M1001" s="107" t="b">
        <v>0</v>
      </c>
      <c r="N1001" s="90"/>
      <c r="O1001" s="95"/>
      <c r="P1001" s="90"/>
      <c r="Q1001" s="96"/>
      <c r="R1001" s="97"/>
      <c r="S1001" s="169"/>
      <c r="U1001" s="188"/>
    </row>
    <row r="1002" spans="1:21" ht="2.1" customHeight="1">
      <c r="A1002" s="98"/>
      <c r="B1002" s="87"/>
      <c r="C1002" s="99"/>
      <c r="D1002" s="87"/>
      <c r="E1002" s="99"/>
      <c r="F1002" s="100"/>
      <c r="G1002" s="100"/>
      <c r="H1002" s="100"/>
      <c r="I1002" s="101"/>
      <c r="J1002" s="106"/>
      <c r="K1002" s="103"/>
      <c r="L1002" s="104"/>
      <c r="M1002" s="100"/>
      <c r="N1002" s="100"/>
      <c r="O1002" s="100"/>
      <c r="P1002" s="100"/>
      <c r="Q1002" s="105"/>
      <c r="R1002" s="105"/>
      <c r="S1002" s="169"/>
      <c r="T1002" s="300" t="str">
        <f>CONCATENATE([1]Cover!$D$6,"fdd/view?i=",S1002)</f>
        <v>https://www.dgiwg.org/FAD/fdd/view?i=</v>
      </c>
      <c r="U1002" s="188"/>
    </row>
    <row r="1003" spans="1:21" ht="25.5">
      <c r="A1003" s="67" t="s">
        <v>8974</v>
      </c>
      <c r="B1003" s="87" t="s">
        <v>8974</v>
      </c>
      <c r="C1003" s="88" t="s">
        <v>12597</v>
      </c>
      <c r="D1003" s="89"/>
      <c r="E1003" s="90"/>
      <c r="F1003" s="91" t="s">
        <v>12598</v>
      </c>
      <c r="G1003" s="90"/>
      <c r="H1003" s="90"/>
      <c r="I1003" s="92"/>
      <c r="J1003" s="93"/>
      <c r="K1003" s="94"/>
      <c r="L1003" s="149" t="str">
        <f>HYPERLINK("[#]DatatypeListedValues!B5290:H5290","Enumeration")</f>
        <v>Enumeration</v>
      </c>
      <c r="M1003" s="91" t="b">
        <v>1</v>
      </c>
      <c r="N1003" s="90"/>
      <c r="O1003" s="95"/>
      <c r="P1003" s="90"/>
      <c r="Q1003" s="96"/>
      <c r="R1003" s="97"/>
      <c r="S1003" s="169"/>
      <c r="U1003" s="188"/>
    </row>
    <row r="1004" spans="1:21" ht="2.1" customHeight="1">
      <c r="A1004" s="98"/>
      <c r="B1004" s="87"/>
      <c r="C1004" s="99"/>
      <c r="D1004" s="87"/>
      <c r="E1004" s="99"/>
      <c r="F1004" s="100"/>
      <c r="G1004" s="100"/>
      <c r="H1004" s="100"/>
      <c r="I1004" s="101"/>
      <c r="J1004" s="106"/>
      <c r="K1004" s="103"/>
      <c r="L1004" s="104"/>
      <c r="M1004" s="100"/>
      <c r="N1004" s="100"/>
      <c r="O1004" s="100"/>
      <c r="P1004" s="100"/>
      <c r="Q1004" s="105"/>
      <c r="R1004" s="105"/>
      <c r="S1004" s="169"/>
      <c r="T1004" s="300" t="str">
        <f>CONCATENATE([1]Cover!$D$6,"fdd/view?i=",S1004)</f>
        <v>https://www.dgiwg.org/FAD/fdd/view?i=</v>
      </c>
      <c r="U1004" s="188"/>
    </row>
    <row r="1005" spans="1:21" ht="178.5">
      <c r="A1005" s="67" t="s">
        <v>8979</v>
      </c>
      <c r="B1005" s="87" t="s">
        <v>8979</v>
      </c>
      <c r="C1005" s="88" t="s">
        <v>12599</v>
      </c>
      <c r="D1005" s="89"/>
      <c r="E1005" s="90"/>
      <c r="F1005" s="91" t="s">
        <v>12600</v>
      </c>
      <c r="G1005" s="90"/>
      <c r="H1005" s="91" t="s">
        <v>11426</v>
      </c>
      <c r="I1005" s="92"/>
      <c r="J1005" s="93"/>
      <c r="K1005" s="94"/>
      <c r="L1005" s="91" t="s">
        <v>11425</v>
      </c>
      <c r="M1005" s="90"/>
      <c r="N1005" s="91">
        <v>20</v>
      </c>
      <c r="O1005" s="108" t="b">
        <v>0</v>
      </c>
      <c r="P1005" s="91" t="s">
        <v>11909</v>
      </c>
      <c r="Q1005" s="96"/>
      <c r="R1005" s="97"/>
      <c r="S1005" s="169"/>
      <c r="U1005" s="188"/>
    </row>
    <row r="1006" spans="1:21" ht="2.1" customHeight="1">
      <c r="A1006" s="98"/>
      <c r="B1006" s="87"/>
      <c r="C1006" s="99"/>
      <c r="D1006" s="87"/>
      <c r="E1006" s="99"/>
      <c r="F1006" s="100"/>
      <c r="G1006" s="100"/>
      <c r="H1006" s="100"/>
      <c r="I1006" s="101"/>
      <c r="J1006" s="106"/>
      <c r="K1006" s="103"/>
      <c r="L1006" s="104"/>
      <c r="M1006" s="100"/>
      <c r="N1006" s="100"/>
      <c r="O1006" s="100"/>
      <c r="P1006" s="100"/>
      <c r="Q1006" s="105"/>
      <c r="R1006" s="105"/>
      <c r="S1006" s="169"/>
      <c r="T1006" s="300" t="str">
        <f>CONCATENATE([1]Cover!$D$6,"fdd/view?i=",S1006)</f>
        <v>https://www.dgiwg.org/FAD/fdd/view?i=</v>
      </c>
      <c r="U1006" s="188"/>
    </row>
    <row r="1007" spans="1:21" ht="178.5">
      <c r="A1007" s="67" t="s">
        <v>8984</v>
      </c>
      <c r="B1007" s="87" t="s">
        <v>8984</v>
      </c>
      <c r="C1007" s="88" t="s">
        <v>12601</v>
      </c>
      <c r="D1007" s="89"/>
      <c r="E1007" s="90"/>
      <c r="F1007" s="91" t="s">
        <v>12602</v>
      </c>
      <c r="G1007" s="90"/>
      <c r="H1007" s="91" t="s">
        <v>11426</v>
      </c>
      <c r="I1007" s="92"/>
      <c r="J1007" s="93"/>
      <c r="K1007" s="94"/>
      <c r="L1007" s="91" t="s">
        <v>11425</v>
      </c>
      <c r="M1007" s="90"/>
      <c r="N1007" s="91">
        <v>20</v>
      </c>
      <c r="O1007" s="108" t="b">
        <v>0</v>
      </c>
      <c r="P1007" s="91" t="s">
        <v>11909</v>
      </c>
      <c r="Q1007" s="96"/>
      <c r="R1007" s="97"/>
      <c r="S1007" s="169"/>
      <c r="U1007" s="188"/>
    </row>
    <row r="1008" spans="1:21" ht="2.1" customHeight="1">
      <c r="A1008" s="98"/>
      <c r="B1008" s="87"/>
      <c r="C1008" s="99"/>
      <c r="D1008" s="87"/>
      <c r="E1008" s="99"/>
      <c r="F1008" s="100"/>
      <c r="G1008" s="100"/>
      <c r="H1008" s="100"/>
      <c r="I1008" s="101"/>
      <c r="J1008" s="106"/>
      <c r="K1008" s="103"/>
      <c r="L1008" s="104"/>
      <c r="M1008" s="100"/>
      <c r="N1008" s="100"/>
      <c r="O1008" s="100"/>
      <c r="P1008" s="100"/>
      <c r="Q1008" s="105"/>
      <c r="R1008" s="105"/>
      <c r="S1008" s="169"/>
      <c r="T1008" s="300" t="str">
        <f>CONCATENATE([1]Cover!$D$6,"fdd/view?i=",S1008)</f>
        <v>https://www.dgiwg.org/FAD/fdd/view?i=</v>
      </c>
      <c r="U1008" s="188"/>
    </row>
    <row r="1009" spans="1:21" ht="25.5">
      <c r="A1009" s="67" t="s">
        <v>9003</v>
      </c>
      <c r="B1009" s="87" t="s">
        <v>9003</v>
      </c>
      <c r="C1009" s="88" t="s">
        <v>12603</v>
      </c>
      <c r="D1009" s="89"/>
      <c r="E1009" s="90"/>
      <c r="F1009" s="91" t="s">
        <v>12604</v>
      </c>
      <c r="G1009" s="90"/>
      <c r="H1009" s="90"/>
      <c r="I1009" s="92"/>
      <c r="J1009" s="93"/>
      <c r="K1009" s="94"/>
      <c r="L1009" s="149" t="str">
        <f>HYPERLINK("[#]DatatypeListedValues!B5310:H5310","Enumeration")</f>
        <v>Enumeration</v>
      </c>
      <c r="M1009" s="107" t="b">
        <v>0</v>
      </c>
      <c r="N1009" s="90"/>
      <c r="O1009" s="95"/>
      <c r="P1009" s="90"/>
      <c r="Q1009" s="96"/>
      <c r="R1009" s="97"/>
      <c r="S1009" s="169"/>
      <c r="U1009" s="188"/>
    </row>
    <row r="1010" spans="1:21" ht="2.1" customHeight="1">
      <c r="A1010" s="98"/>
      <c r="B1010" s="87"/>
      <c r="C1010" s="99"/>
      <c r="D1010" s="87"/>
      <c r="E1010" s="99"/>
      <c r="F1010" s="100"/>
      <c r="G1010" s="100"/>
      <c r="H1010" s="100"/>
      <c r="I1010" s="101"/>
      <c r="J1010" s="106"/>
      <c r="K1010" s="103"/>
      <c r="L1010" s="104"/>
      <c r="M1010" s="100"/>
      <c r="N1010" s="100"/>
      <c r="O1010" s="100"/>
      <c r="P1010" s="100"/>
      <c r="Q1010" s="105"/>
      <c r="R1010" s="105"/>
      <c r="S1010" s="169"/>
      <c r="T1010" s="300" t="str">
        <f>CONCATENATE([1]Cover!$D$6,"fdd/view?i=",S1010)</f>
        <v>https://www.dgiwg.org/FAD/fdd/view?i=</v>
      </c>
      <c r="U1010" s="188"/>
    </row>
    <row r="1011" spans="1:21" ht="25.5">
      <c r="A1011" s="67" t="s">
        <v>9029</v>
      </c>
      <c r="B1011" s="87" t="s">
        <v>9029</v>
      </c>
      <c r="C1011" s="88" t="s">
        <v>12605</v>
      </c>
      <c r="D1011" s="89"/>
      <c r="E1011" s="90"/>
      <c r="F1011" s="91" t="s">
        <v>12606</v>
      </c>
      <c r="G1011" s="90"/>
      <c r="H1011" s="90"/>
      <c r="I1011" s="92"/>
      <c r="J1011" s="93"/>
      <c r="K1011" s="94"/>
      <c r="L1011" s="149" t="str">
        <f>HYPERLINK("[#]DatatypeListedValues!B5336:H5336","Enumeration")</f>
        <v>Enumeration</v>
      </c>
      <c r="M1011" s="107" t="b">
        <v>0</v>
      </c>
      <c r="N1011" s="90"/>
      <c r="O1011" s="95"/>
      <c r="P1011" s="90"/>
      <c r="Q1011" s="96"/>
      <c r="R1011" s="97"/>
      <c r="S1011" s="169"/>
      <c r="U1011" s="188"/>
    </row>
    <row r="1012" spans="1:21" ht="2.1" customHeight="1">
      <c r="A1012" s="98"/>
      <c r="B1012" s="87"/>
      <c r="C1012" s="99"/>
      <c r="D1012" s="87"/>
      <c r="E1012" s="99"/>
      <c r="F1012" s="100"/>
      <c r="G1012" s="100"/>
      <c r="H1012" s="100"/>
      <c r="I1012" s="101"/>
      <c r="J1012" s="106"/>
      <c r="K1012" s="103"/>
      <c r="L1012" s="104"/>
      <c r="M1012" s="100"/>
      <c r="N1012" s="100"/>
      <c r="O1012" s="100"/>
      <c r="P1012" s="100"/>
      <c r="Q1012" s="105"/>
      <c r="R1012" s="105"/>
      <c r="S1012" s="169"/>
      <c r="T1012" s="300" t="str">
        <f>CONCATENATE([1]Cover!$D$6,"fdd/view?i=",S1012)</f>
        <v>https://www.dgiwg.org/FAD/fdd/view?i=</v>
      </c>
      <c r="U1012" s="188"/>
    </row>
    <row r="1013" spans="1:21" ht="25.5">
      <c r="A1013" s="67" t="s">
        <v>9040</v>
      </c>
      <c r="B1013" s="87" t="s">
        <v>9040</v>
      </c>
      <c r="C1013" s="88" t="s">
        <v>12607</v>
      </c>
      <c r="D1013" s="89"/>
      <c r="E1013" s="90"/>
      <c r="F1013" s="91" t="s">
        <v>12608</v>
      </c>
      <c r="G1013" s="90"/>
      <c r="H1013" s="90"/>
      <c r="I1013" s="92"/>
      <c r="J1013" s="93"/>
      <c r="K1013" s="94"/>
      <c r="L1013" s="149" t="str">
        <f>HYPERLINK("[#]DatatypeListedValues!B5349:H5349","Enumeration")</f>
        <v>Enumeration</v>
      </c>
      <c r="M1013" s="91" t="b">
        <v>1</v>
      </c>
      <c r="N1013" s="90"/>
      <c r="O1013" s="95"/>
      <c r="P1013" s="90"/>
      <c r="Q1013" s="96"/>
      <c r="R1013" s="97"/>
      <c r="S1013" s="169"/>
      <c r="U1013" s="188"/>
    </row>
    <row r="1014" spans="1:21" ht="2.1" customHeight="1">
      <c r="A1014" s="98"/>
      <c r="B1014" s="87"/>
      <c r="C1014" s="99"/>
      <c r="D1014" s="87"/>
      <c r="E1014" s="99"/>
      <c r="F1014" s="100"/>
      <c r="G1014" s="100"/>
      <c r="H1014" s="100"/>
      <c r="I1014" s="101"/>
      <c r="J1014" s="106"/>
      <c r="K1014" s="103"/>
      <c r="L1014" s="104"/>
      <c r="M1014" s="100"/>
      <c r="N1014" s="100"/>
      <c r="O1014" s="100"/>
      <c r="P1014" s="100"/>
      <c r="Q1014" s="105"/>
      <c r="R1014" s="105"/>
      <c r="S1014" s="169"/>
      <c r="T1014" s="300" t="str">
        <f>CONCATENATE([1]Cover!$D$6,"fdd/view?i=",S1014)</f>
        <v>https://www.dgiwg.org/FAD/fdd/view?i=</v>
      </c>
      <c r="U1014" s="188"/>
    </row>
    <row r="1015" spans="1:21" ht="25.5">
      <c r="A1015" s="67" t="s">
        <v>9045</v>
      </c>
      <c r="B1015" s="87" t="s">
        <v>9045</v>
      </c>
      <c r="C1015" s="88" t="s">
        <v>12609</v>
      </c>
      <c r="D1015" s="89"/>
      <c r="E1015" s="90"/>
      <c r="F1015" s="91" t="s">
        <v>12610</v>
      </c>
      <c r="G1015" s="90"/>
      <c r="H1015" s="90"/>
      <c r="I1015" s="92"/>
      <c r="J1015" s="93"/>
      <c r="K1015" s="94"/>
      <c r="L1015" s="149" t="str">
        <f>HYPERLINK("[#]DatatypeListedValues!B5351:H5351","Enumeration")</f>
        <v>Enumeration</v>
      </c>
      <c r="M1015" s="107" t="b">
        <v>0</v>
      </c>
      <c r="N1015" s="90"/>
      <c r="O1015" s="95"/>
      <c r="P1015" s="90"/>
      <c r="Q1015" s="96"/>
      <c r="R1015" s="97"/>
      <c r="S1015" s="169"/>
      <c r="U1015" s="188"/>
    </row>
    <row r="1016" spans="1:21" ht="2.1" customHeight="1">
      <c r="A1016" s="98"/>
      <c r="B1016" s="87"/>
      <c r="C1016" s="99"/>
      <c r="D1016" s="87"/>
      <c r="E1016" s="99"/>
      <c r="F1016" s="100"/>
      <c r="G1016" s="100"/>
      <c r="H1016" s="100"/>
      <c r="I1016" s="101"/>
      <c r="J1016" s="106"/>
      <c r="K1016" s="103"/>
      <c r="L1016" s="104"/>
      <c r="M1016" s="100"/>
      <c r="N1016" s="100"/>
      <c r="O1016" s="100"/>
      <c r="P1016" s="100"/>
      <c r="Q1016" s="105"/>
      <c r="R1016" s="105"/>
      <c r="S1016" s="169"/>
      <c r="T1016" s="300" t="str">
        <f>CONCATENATE([1]Cover!$D$6,"fdd/view?i=",S1016)</f>
        <v>https://www.dgiwg.org/FAD/fdd/view?i=</v>
      </c>
      <c r="U1016" s="188"/>
    </row>
    <row r="1017" spans="1:21" ht="25.5">
      <c r="A1017" s="67" t="s">
        <v>9050</v>
      </c>
      <c r="B1017" s="87" t="s">
        <v>9050</v>
      </c>
      <c r="C1017" s="88" t="s">
        <v>12611</v>
      </c>
      <c r="D1017" s="89"/>
      <c r="E1017" s="90"/>
      <c r="F1017" s="91" t="s">
        <v>12612</v>
      </c>
      <c r="G1017" s="90"/>
      <c r="H1017" s="90"/>
      <c r="I1017" s="92"/>
      <c r="J1017" s="93"/>
      <c r="K1017" s="94"/>
      <c r="L1017" s="149" t="str">
        <f>HYPERLINK("[#]DatatypeListedValues!B5353:H5353","Enumeration")</f>
        <v>Enumeration</v>
      </c>
      <c r="M1017" s="91" t="b">
        <v>1</v>
      </c>
      <c r="N1017" s="90"/>
      <c r="O1017" s="95"/>
      <c r="P1017" s="90"/>
      <c r="Q1017" s="96"/>
      <c r="R1017" s="97"/>
      <c r="S1017" s="169"/>
      <c r="U1017" s="188"/>
    </row>
    <row r="1018" spans="1:21" ht="2.1" customHeight="1">
      <c r="A1018" s="98"/>
      <c r="B1018" s="87"/>
      <c r="C1018" s="99"/>
      <c r="D1018" s="87"/>
      <c r="E1018" s="99"/>
      <c r="F1018" s="100"/>
      <c r="G1018" s="100"/>
      <c r="H1018" s="100"/>
      <c r="I1018" s="101"/>
      <c r="J1018" s="106"/>
      <c r="K1018" s="103"/>
      <c r="L1018" s="104"/>
      <c r="M1018" s="100"/>
      <c r="N1018" s="100"/>
      <c r="O1018" s="100"/>
      <c r="P1018" s="100"/>
      <c r="Q1018" s="105"/>
      <c r="R1018" s="105"/>
      <c r="S1018" s="169"/>
      <c r="T1018" s="300" t="str">
        <f>CONCATENATE([1]Cover!$D$6,"fdd/view?i=",S1018)</f>
        <v>https://www.dgiwg.org/FAD/fdd/view?i=</v>
      </c>
      <c r="U1018" s="188"/>
    </row>
    <row r="1019" spans="1:21" ht="25.5">
      <c r="A1019" s="67" t="s">
        <v>9061</v>
      </c>
      <c r="B1019" s="87" t="s">
        <v>9061</v>
      </c>
      <c r="C1019" s="88" t="s">
        <v>12613</v>
      </c>
      <c r="D1019" s="89"/>
      <c r="E1019" s="90"/>
      <c r="F1019" s="91" t="s">
        <v>12614</v>
      </c>
      <c r="G1019" s="90"/>
      <c r="H1019" s="90"/>
      <c r="I1019" s="92"/>
      <c r="J1019" s="93"/>
      <c r="K1019" s="94"/>
      <c r="L1019" s="149" t="str">
        <f>HYPERLINK("[#]DatatypeListedValues!B5357:H5357","Enumeration")</f>
        <v>Enumeration</v>
      </c>
      <c r="M1019" s="91" t="b">
        <v>1</v>
      </c>
      <c r="N1019" s="90"/>
      <c r="O1019" s="95"/>
      <c r="P1019" s="90"/>
      <c r="Q1019" s="96"/>
      <c r="R1019" s="97"/>
      <c r="S1019" s="169"/>
      <c r="U1019" s="188"/>
    </row>
    <row r="1020" spans="1:21" ht="2.1" customHeight="1">
      <c r="A1020" s="98"/>
      <c r="B1020" s="87"/>
      <c r="C1020" s="99"/>
      <c r="D1020" s="87"/>
      <c r="E1020" s="99"/>
      <c r="F1020" s="100"/>
      <c r="G1020" s="100"/>
      <c r="H1020" s="100"/>
      <c r="I1020" s="101"/>
      <c r="J1020" s="106"/>
      <c r="K1020" s="103"/>
      <c r="L1020" s="104"/>
      <c r="M1020" s="100"/>
      <c r="N1020" s="100"/>
      <c r="O1020" s="100"/>
      <c r="P1020" s="100"/>
      <c r="Q1020" s="105"/>
      <c r="R1020" s="105"/>
      <c r="S1020" s="169"/>
      <c r="T1020" s="300" t="str">
        <f>CONCATENATE([1]Cover!$D$6,"fdd/view?i=",S1020)</f>
        <v>https://www.dgiwg.org/FAD/fdd/view?i=</v>
      </c>
      <c r="U1020" s="188"/>
    </row>
    <row r="1021" spans="1:21" ht="102">
      <c r="A1021" s="67" t="s">
        <v>9079</v>
      </c>
      <c r="B1021" s="87" t="s">
        <v>9079</v>
      </c>
      <c r="C1021" s="88" t="s">
        <v>12615</v>
      </c>
      <c r="D1021" s="89"/>
      <c r="E1021" s="90"/>
      <c r="F1021" s="91" t="s">
        <v>12616</v>
      </c>
      <c r="G1021" s="90"/>
      <c r="H1021" s="91" t="s">
        <v>11426</v>
      </c>
      <c r="I1021" s="92"/>
      <c r="J1021" s="93"/>
      <c r="K1021" s="94"/>
      <c r="L1021" s="91" t="s">
        <v>11425</v>
      </c>
      <c r="M1021" s="90"/>
      <c r="N1021" s="91">
        <v>5</v>
      </c>
      <c r="O1021" s="108" t="b">
        <v>0</v>
      </c>
      <c r="P1021" s="91" t="s">
        <v>12205</v>
      </c>
      <c r="Q1021" s="96"/>
      <c r="R1021" s="97"/>
      <c r="S1021" s="169"/>
      <c r="U1021" s="188"/>
    </row>
    <row r="1022" spans="1:21" ht="2.1" customHeight="1">
      <c r="A1022" s="98"/>
      <c r="B1022" s="87"/>
      <c r="C1022" s="99"/>
      <c r="D1022" s="87"/>
      <c r="E1022" s="99"/>
      <c r="F1022" s="100"/>
      <c r="G1022" s="100"/>
      <c r="H1022" s="100"/>
      <c r="I1022" s="101"/>
      <c r="J1022" s="106"/>
      <c r="K1022" s="103"/>
      <c r="L1022" s="104"/>
      <c r="M1022" s="100"/>
      <c r="N1022" s="100"/>
      <c r="O1022" s="100"/>
      <c r="P1022" s="100"/>
      <c r="Q1022" s="105"/>
      <c r="R1022" s="105"/>
      <c r="S1022" s="169"/>
      <c r="T1022" s="300" t="str">
        <f>CONCATENATE([1]Cover!$D$6,"fdd/view?i=",S1022)</f>
        <v>https://www.dgiwg.org/FAD/fdd/view?i=</v>
      </c>
      <c r="U1022" s="188"/>
    </row>
    <row r="1023" spans="1:21" ht="102">
      <c r="A1023" s="67" t="s">
        <v>9085</v>
      </c>
      <c r="B1023" s="87" t="s">
        <v>9085</v>
      </c>
      <c r="C1023" s="88" t="s">
        <v>12617</v>
      </c>
      <c r="D1023" s="89"/>
      <c r="E1023" s="90"/>
      <c r="F1023" s="91" t="s">
        <v>12618</v>
      </c>
      <c r="G1023" s="90"/>
      <c r="H1023" s="91" t="s">
        <v>11426</v>
      </c>
      <c r="I1023" s="92"/>
      <c r="J1023" s="93"/>
      <c r="K1023" s="94"/>
      <c r="L1023" s="91" t="s">
        <v>11425</v>
      </c>
      <c r="M1023" s="90"/>
      <c r="N1023" s="91">
        <v>5</v>
      </c>
      <c r="O1023" s="108" t="b">
        <v>0</v>
      </c>
      <c r="P1023" s="91" t="s">
        <v>12205</v>
      </c>
      <c r="Q1023" s="96"/>
      <c r="R1023" s="97"/>
      <c r="S1023" s="169"/>
      <c r="U1023" s="188"/>
    </row>
    <row r="1024" spans="1:21" ht="2.1" customHeight="1">
      <c r="A1024" s="98"/>
      <c r="B1024" s="87"/>
      <c r="C1024" s="99"/>
      <c r="D1024" s="87"/>
      <c r="E1024" s="99"/>
      <c r="F1024" s="100"/>
      <c r="G1024" s="100"/>
      <c r="H1024" s="100"/>
      <c r="I1024" s="101"/>
      <c r="J1024" s="106"/>
      <c r="K1024" s="103"/>
      <c r="L1024" s="104"/>
      <c r="M1024" s="100"/>
      <c r="N1024" s="100"/>
      <c r="O1024" s="100"/>
      <c r="P1024" s="100"/>
      <c r="Q1024" s="105"/>
      <c r="R1024" s="105"/>
      <c r="S1024" s="169"/>
      <c r="T1024" s="300" t="str">
        <f>CONCATENATE([1]Cover!$D$6,"fdd/view?i=",S1024)</f>
        <v>https://www.dgiwg.org/FAD/fdd/view?i=</v>
      </c>
      <c r="U1024" s="188"/>
    </row>
    <row r="1025" spans="1:21" ht="102">
      <c r="A1025" s="67" t="s">
        <v>9091</v>
      </c>
      <c r="B1025" s="87" t="s">
        <v>9091</v>
      </c>
      <c r="C1025" s="88" t="s">
        <v>12619</v>
      </c>
      <c r="D1025" s="89"/>
      <c r="E1025" s="90"/>
      <c r="F1025" s="91" t="s">
        <v>12620</v>
      </c>
      <c r="G1025" s="90"/>
      <c r="H1025" s="91" t="s">
        <v>11426</v>
      </c>
      <c r="I1025" s="92"/>
      <c r="J1025" s="93"/>
      <c r="K1025" s="94"/>
      <c r="L1025" s="91" t="s">
        <v>11425</v>
      </c>
      <c r="M1025" s="90"/>
      <c r="N1025" s="91">
        <v>5</v>
      </c>
      <c r="O1025" s="108" t="b">
        <v>0</v>
      </c>
      <c r="P1025" s="91" t="s">
        <v>12205</v>
      </c>
      <c r="Q1025" s="96"/>
      <c r="R1025" s="97"/>
      <c r="S1025" s="169"/>
      <c r="U1025" s="188"/>
    </row>
    <row r="1026" spans="1:21" ht="2.1" customHeight="1">
      <c r="A1026" s="98"/>
      <c r="B1026" s="87"/>
      <c r="C1026" s="99"/>
      <c r="D1026" s="87"/>
      <c r="E1026" s="99"/>
      <c r="F1026" s="100"/>
      <c r="G1026" s="100"/>
      <c r="H1026" s="100"/>
      <c r="I1026" s="101"/>
      <c r="J1026" s="106"/>
      <c r="K1026" s="103"/>
      <c r="L1026" s="104"/>
      <c r="M1026" s="100"/>
      <c r="N1026" s="100"/>
      <c r="O1026" s="100"/>
      <c r="P1026" s="100"/>
      <c r="Q1026" s="105"/>
      <c r="R1026" s="105"/>
      <c r="S1026" s="169"/>
      <c r="T1026" s="300" t="str">
        <f>CONCATENATE([1]Cover!$D$6,"fdd/view?i=",S1026)</f>
        <v>https://www.dgiwg.org/FAD/fdd/view?i=</v>
      </c>
      <c r="U1026" s="188"/>
    </row>
    <row r="1027" spans="1:21">
      <c r="A1027" s="67" t="s">
        <v>9106</v>
      </c>
      <c r="B1027" s="87" t="s">
        <v>9106</v>
      </c>
      <c r="C1027" s="88" t="s">
        <v>12621</v>
      </c>
      <c r="D1027" s="89"/>
      <c r="E1027" s="90"/>
      <c r="F1027" s="91" t="s">
        <v>12622</v>
      </c>
      <c r="G1027" s="90"/>
      <c r="H1027" s="90"/>
      <c r="I1027" s="92"/>
      <c r="J1027" s="93"/>
      <c r="K1027" s="94"/>
      <c r="L1027" s="149" t="str">
        <f>HYPERLINK("[#]DatatypeListedValues!B5361:H5361","Enumeration")</f>
        <v>Enumeration</v>
      </c>
      <c r="M1027" s="91" t="b">
        <v>1</v>
      </c>
      <c r="N1027" s="90"/>
      <c r="O1027" s="95"/>
      <c r="P1027" s="90"/>
      <c r="Q1027" s="96"/>
      <c r="R1027" s="97"/>
      <c r="S1027" s="169"/>
      <c r="U1027" s="188"/>
    </row>
    <row r="1028" spans="1:21" ht="2.1" customHeight="1">
      <c r="A1028" s="98"/>
      <c r="B1028" s="87"/>
      <c r="C1028" s="99"/>
      <c r="D1028" s="87"/>
      <c r="E1028" s="99"/>
      <c r="F1028" s="100"/>
      <c r="G1028" s="100"/>
      <c r="H1028" s="100"/>
      <c r="I1028" s="101"/>
      <c r="J1028" s="106"/>
      <c r="K1028" s="103"/>
      <c r="L1028" s="104"/>
      <c r="M1028" s="100"/>
      <c r="N1028" s="100"/>
      <c r="O1028" s="100"/>
      <c r="P1028" s="100"/>
      <c r="Q1028" s="105"/>
      <c r="R1028" s="105"/>
      <c r="S1028" s="169"/>
      <c r="T1028" s="300" t="str">
        <f>CONCATENATE([1]Cover!$D$6,"fdd/view?i=",S1028)</f>
        <v>https://www.dgiwg.org/FAD/fdd/view?i=</v>
      </c>
      <c r="U1028" s="188"/>
    </row>
    <row r="1029" spans="1:21" ht="25.5">
      <c r="A1029" s="67" t="s">
        <v>9111</v>
      </c>
      <c r="B1029" s="87" t="s">
        <v>9111</v>
      </c>
      <c r="C1029" s="88" t="s">
        <v>12623</v>
      </c>
      <c r="D1029" s="89"/>
      <c r="E1029" s="90"/>
      <c r="F1029" s="91" t="s">
        <v>12624</v>
      </c>
      <c r="G1029" s="90"/>
      <c r="H1029" s="90"/>
      <c r="I1029" s="92"/>
      <c r="J1029" s="93"/>
      <c r="K1029" s="94"/>
      <c r="L1029" s="149" t="str">
        <f>HYPERLINK("[#]DatatypeListedValues!B5367:H5367","Enumeration")</f>
        <v>Enumeration</v>
      </c>
      <c r="M1029" s="107" t="b">
        <v>0</v>
      </c>
      <c r="N1029" s="90"/>
      <c r="O1029" s="95"/>
      <c r="P1029" s="90"/>
      <c r="Q1029" s="96"/>
      <c r="R1029" s="97"/>
      <c r="S1029" s="169"/>
      <c r="U1029" s="188"/>
    </row>
    <row r="1030" spans="1:21" ht="2.1" customHeight="1">
      <c r="A1030" s="98"/>
      <c r="B1030" s="87"/>
      <c r="C1030" s="99"/>
      <c r="D1030" s="87"/>
      <c r="E1030" s="99"/>
      <c r="F1030" s="100"/>
      <c r="G1030" s="100"/>
      <c r="H1030" s="100"/>
      <c r="I1030" s="101"/>
      <c r="J1030" s="106"/>
      <c r="K1030" s="103"/>
      <c r="L1030" s="104"/>
      <c r="M1030" s="100"/>
      <c r="N1030" s="100"/>
      <c r="O1030" s="100"/>
      <c r="P1030" s="100"/>
      <c r="Q1030" s="105"/>
      <c r="R1030" s="105"/>
      <c r="S1030" s="169"/>
      <c r="T1030" s="300" t="str">
        <f>CONCATENATE([1]Cover!$D$6,"fdd/view?i=",S1030)</f>
        <v>https://www.dgiwg.org/FAD/fdd/view?i=</v>
      </c>
      <c r="U1030" s="188"/>
    </row>
    <row r="1031" spans="1:21">
      <c r="A1031" s="67" t="s">
        <v>9126</v>
      </c>
      <c r="B1031" s="87" t="s">
        <v>9126</v>
      </c>
      <c r="C1031" s="88" t="s">
        <v>12625</v>
      </c>
      <c r="D1031" s="89"/>
      <c r="E1031" s="90"/>
      <c r="F1031" s="91" t="s">
        <v>12626</v>
      </c>
      <c r="G1031" s="90"/>
      <c r="H1031" s="90"/>
      <c r="I1031" s="92"/>
      <c r="J1031" s="93"/>
      <c r="K1031" s="94"/>
      <c r="L1031" s="149" t="str">
        <f>HYPERLINK("[#]DatatypeListedValues!B5370:H5370","Enumeration")</f>
        <v>Enumeration</v>
      </c>
      <c r="M1031" s="107" t="b">
        <v>0</v>
      </c>
      <c r="N1031" s="90"/>
      <c r="O1031" s="95"/>
      <c r="P1031" s="90"/>
      <c r="Q1031" s="96"/>
      <c r="R1031" s="97"/>
      <c r="S1031" s="169"/>
      <c r="U1031" s="188"/>
    </row>
    <row r="1032" spans="1:21" ht="2.1" customHeight="1">
      <c r="A1032" s="98"/>
      <c r="B1032" s="87"/>
      <c r="C1032" s="99"/>
      <c r="D1032" s="87"/>
      <c r="E1032" s="99"/>
      <c r="F1032" s="100"/>
      <c r="G1032" s="100"/>
      <c r="H1032" s="100"/>
      <c r="I1032" s="101"/>
      <c r="J1032" s="106"/>
      <c r="K1032" s="103"/>
      <c r="L1032" s="104"/>
      <c r="M1032" s="100"/>
      <c r="N1032" s="100"/>
      <c r="O1032" s="100"/>
      <c r="P1032" s="100"/>
      <c r="Q1032" s="105"/>
      <c r="R1032" s="105"/>
      <c r="S1032" s="169"/>
      <c r="T1032" s="300" t="str">
        <f>CONCATENATE([1]Cover!$D$6,"fdd/view?i=",S1032)</f>
        <v>https://www.dgiwg.org/FAD/fdd/view?i=</v>
      </c>
      <c r="U1032" s="188"/>
    </row>
    <row r="1033" spans="1:21" ht="38.25">
      <c r="A1033" s="67" t="s">
        <v>9131</v>
      </c>
      <c r="B1033" s="87" t="s">
        <v>9131</v>
      </c>
      <c r="C1033" s="88" t="s">
        <v>12627</v>
      </c>
      <c r="D1033" s="89"/>
      <c r="E1033" s="90"/>
      <c r="F1033" s="91" t="s">
        <v>9130</v>
      </c>
      <c r="G1033" s="90"/>
      <c r="H1033" s="91" t="s">
        <v>11513</v>
      </c>
      <c r="I1033" s="92"/>
      <c r="J1033" s="93"/>
      <c r="K1033" s="94"/>
      <c r="L1033" s="104" t="s">
        <v>11429</v>
      </c>
      <c r="M1033" s="90"/>
      <c r="N1033" s="90"/>
      <c r="O1033" s="95"/>
      <c r="P1033" s="90"/>
      <c r="Q1033" s="96"/>
      <c r="R1033" s="97"/>
      <c r="S1033" s="169"/>
      <c r="U1033" s="188"/>
    </row>
    <row r="1034" spans="1:21" ht="2.1" customHeight="1">
      <c r="A1034" s="98"/>
      <c r="B1034" s="87"/>
      <c r="C1034" s="99"/>
      <c r="D1034" s="87"/>
      <c r="E1034" s="99"/>
      <c r="F1034" s="100"/>
      <c r="G1034" s="100"/>
      <c r="H1034" s="100"/>
      <c r="I1034" s="101"/>
      <c r="J1034" s="106"/>
      <c r="K1034" s="103"/>
      <c r="L1034" s="104"/>
      <c r="M1034" s="100"/>
      <c r="N1034" s="100"/>
      <c r="O1034" s="100"/>
      <c r="P1034" s="100"/>
      <c r="Q1034" s="105"/>
      <c r="R1034" s="105"/>
      <c r="S1034" s="169"/>
      <c r="T1034" s="300" t="str">
        <f>CONCATENATE([1]Cover!$D$6,"fdd/view?i=",S1034)</f>
        <v>https://www.dgiwg.org/FAD/fdd/view?i=</v>
      </c>
      <c r="U1034" s="188"/>
    </row>
    <row r="1035" spans="1:21" ht="38.25">
      <c r="A1035" s="67" t="s">
        <v>9136</v>
      </c>
      <c r="B1035" s="87" t="s">
        <v>9136</v>
      </c>
      <c r="C1035" s="88" t="s">
        <v>9134</v>
      </c>
      <c r="D1035" s="89"/>
      <c r="E1035" s="90"/>
      <c r="F1035" s="91" t="s">
        <v>12628</v>
      </c>
      <c r="G1035" s="90"/>
      <c r="H1035" s="91" t="s">
        <v>11513</v>
      </c>
      <c r="I1035" s="92"/>
      <c r="J1035" s="93"/>
      <c r="K1035" s="94"/>
      <c r="L1035" s="104" t="s">
        <v>11429</v>
      </c>
      <c r="M1035" s="90"/>
      <c r="N1035" s="90"/>
      <c r="O1035" s="95"/>
      <c r="P1035" s="90"/>
      <c r="Q1035" s="96"/>
      <c r="R1035" s="97"/>
      <c r="S1035" s="169"/>
      <c r="U1035" s="188"/>
    </row>
    <row r="1036" spans="1:21" ht="2.1" customHeight="1">
      <c r="A1036" s="98"/>
      <c r="B1036" s="87"/>
      <c r="C1036" s="99"/>
      <c r="D1036" s="87"/>
      <c r="E1036" s="99"/>
      <c r="F1036" s="100"/>
      <c r="G1036" s="100"/>
      <c r="H1036" s="100"/>
      <c r="I1036" s="101"/>
      <c r="J1036" s="106"/>
      <c r="K1036" s="103"/>
      <c r="L1036" s="104"/>
      <c r="M1036" s="100"/>
      <c r="N1036" s="100"/>
      <c r="O1036" s="100"/>
      <c r="P1036" s="100"/>
      <c r="Q1036" s="105"/>
      <c r="R1036" s="105"/>
      <c r="S1036" s="169"/>
      <c r="T1036" s="300" t="str">
        <f>CONCATENATE([1]Cover!$D$6,"fdd/view?i=",S1036)</f>
        <v>https://www.dgiwg.org/FAD/fdd/view?i=</v>
      </c>
      <c r="U1036" s="188"/>
    </row>
    <row r="1037" spans="1:21" ht="38.25">
      <c r="A1037" s="67" t="s">
        <v>9147</v>
      </c>
      <c r="B1037" s="87" t="s">
        <v>9147</v>
      </c>
      <c r="C1037" s="88" t="s">
        <v>12629</v>
      </c>
      <c r="D1037" s="89"/>
      <c r="E1037" s="90"/>
      <c r="F1037" s="91" t="s">
        <v>12630</v>
      </c>
      <c r="G1037" s="90"/>
      <c r="H1037" s="91" t="s">
        <v>11513</v>
      </c>
      <c r="I1037" s="92"/>
      <c r="J1037" s="93"/>
      <c r="K1037" s="94"/>
      <c r="L1037" s="104" t="s">
        <v>11429</v>
      </c>
      <c r="M1037" s="90"/>
      <c r="N1037" s="90"/>
      <c r="O1037" s="95"/>
      <c r="P1037" s="90"/>
      <c r="Q1037" s="96"/>
      <c r="R1037" s="97"/>
      <c r="S1037" s="169"/>
      <c r="U1037" s="188"/>
    </row>
    <row r="1038" spans="1:21" ht="2.1" customHeight="1">
      <c r="A1038" s="98"/>
      <c r="B1038" s="87"/>
      <c r="C1038" s="99"/>
      <c r="D1038" s="87"/>
      <c r="E1038" s="99"/>
      <c r="F1038" s="100"/>
      <c r="G1038" s="100"/>
      <c r="H1038" s="100"/>
      <c r="I1038" s="101"/>
      <c r="J1038" s="106"/>
      <c r="K1038" s="103"/>
      <c r="L1038" s="104"/>
      <c r="M1038" s="100"/>
      <c r="N1038" s="100"/>
      <c r="O1038" s="100"/>
      <c r="P1038" s="100"/>
      <c r="Q1038" s="105"/>
      <c r="R1038" s="105"/>
      <c r="S1038" s="169"/>
      <c r="T1038" s="300" t="str">
        <f>CONCATENATE([1]Cover!$D$6,"fdd/view?i=",S1038)</f>
        <v>https://www.dgiwg.org/FAD/fdd/view?i=</v>
      </c>
      <c r="U1038" s="188"/>
    </row>
    <row r="1039" spans="1:21" ht="38.25">
      <c r="A1039" s="67" t="s">
        <v>9153</v>
      </c>
      <c r="B1039" s="87" t="s">
        <v>9153</v>
      </c>
      <c r="C1039" s="88" t="s">
        <v>12631</v>
      </c>
      <c r="D1039" s="89"/>
      <c r="E1039" s="90"/>
      <c r="F1039" s="91" t="s">
        <v>12632</v>
      </c>
      <c r="G1039" s="90"/>
      <c r="H1039" s="91" t="s">
        <v>11426</v>
      </c>
      <c r="I1039" s="92"/>
      <c r="J1039" s="93"/>
      <c r="K1039" s="94"/>
      <c r="L1039" s="91" t="s">
        <v>11425</v>
      </c>
      <c r="M1039" s="90"/>
      <c r="N1039" s="91">
        <v>1</v>
      </c>
      <c r="O1039" s="108" t="b">
        <v>0</v>
      </c>
      <c r="P1039" s="91" t="s">
        <v>12633</v>
      </c>
      <c r="Q1039" s="96"/>
      <c r="R1039" s="97"/>
      <c r="S1039" s="169"/>
      <c r="U1039" s="188"/>
    </row>
    <row r="1040" spans="1:21" ht="2.1" customHeight="1">
      <c r="A1040" s="98"/>
      <c r="B1040" s="87"/>
      <c r="C1040" s="99"/>
      <c r="D1040" s="87"/>
      <c r="E1040" s="99"/>
      <c r="F1040" s="100"/>
      <c r="G1040" s="100"/>
      <c r="H1040" s="100"/>
      <c r="I1040" s="101"/>
      <c r="J1040" s="106"/>
      <c r="K1040" s="103"/>
      <c r="L1040" s="104"/>
      <c r="M1040" s="100"/>
      <c r="N1040" s="100"/>
      <c r="O1040" s="100"/>
      <c r="P1040" s="100"/>
      <c r="Q1040" s="105"/>
      <c r="R1040" s="105"/>
      <c r="S1040" s="169"/>
      <c r="T1040" s="300" t="str">
        <f>CONCATENATE([1]Cover!$D$6,"fdd/view?i=",S1040)</f>
        <v>https://www.dgiwg.org/FAD/fdd/view?i=</v>
      </c>
      <c r="U1040" s="188"/>
    </row>
    <row r="1041" spans="1:21" ht="25.5">
      <c r="A1041" s="67" t="s">
        <v>9170</v>
      </c>
      <c r="B1041" s="87" t="s">
        <v>9170</v>
      </c>
      <c r="C1041" s="88" t="s">
        <v>12634</v>
      </c>
      <c r="D1041" s="89"/>
      <c r="E1041" s="90"/>
      <c r="F1041" s="91" t="s">
        <v>12635</v>
      </c>
      <c r="G1041" s="90"/>
      <c r="H1041" s="90"/>
      <c r="I1041" s="92"/>
      <c r="J1041" s="93"/>
      <c r="K1041" s="94"/>
      <c r="L1041" s="149" t="str">
        <f>HYPERLINK("[#]DatatypeListedValues!B5376:H5376","Enumeration")</f>
        <v>Enumeration</v>
      </c>
      <c r="M1041" s="107" t="b">
        <v>0</v>
      </c>
      <c r="N1041" s="90"/>
      <c r="O1041" s="95"/>
      <c r="P1041" s="90"/>
      <c r="Q1041" s="96"/>
      <c r="R1041" s="97"/>
      <c r="S1041" s="169"/>
      <c r="U1041" s="188"/>
    </row>
    <row r="1042" spans="1:21" ht="2.1" customHeight="1">
      <c r="A1042" s="98"/>
      <c r="B1042" s="87"/>
      <c r="C1042" s="99"/>
      <c r="D1042" s="87"/>
      <c r="E1042" s="99"/>
      <c r="F1042" s="100"/>
      <c r="G1042" s="100"/>
      <c r="H1042" s="100"/>
      <c r="I1042" s="101"/>
      <c r="J1042" s="106"/>
      <c r="K1042" s="103"/>
      <c r="L1042" s="104"/>
      <c r="M1042" s="100"/>
      <c r="N1042" s="100"/>
      <c r="O1042" s="100"/>
      <c r="P1042" s="100"/>
      <c r="Q1042" s="105"/>
      <c r="R1042" s="105"/>
      <c r="S1042" s="169"/>
      <c r="T1042" s="300" t="str">
        <f>CONCATENATE([1]Cover!$D$6,"fdd/view?i=",S1042)</f>
        <v>https://www.dgiwg.org/FAD/fdd/view?i=</v>
      </c>
      <c r="U1042" s="188"/>
    </row>
    <row r="1043" spans="1:21" ht="38.25">
      <c r="A1043" s="67" t="s">
        <v>7520</v>
      </c>
      <c r="B1043" s="87" t="s">
        <v>7520</v>
      </c>
      <c r="C1043" s="88" t="s">
        <v>12636</v>
      </c>
      <c r="D1043" s="89"/>
      <c r="E1043" s="90"/>
      <c r="F1043" s="91" t="s">
        <v>12637</v>
      </c>
      <c r="G1043" s="91" t="s">
        <v>12638</v>
      </c>
      <c r="H1043" s="91" t="s">
        <v>12274</v>
      </c>
      <c r="I1043" s="92"/>
      <c r="J1043" s="93"/>
      <c r="K1043" s="94"/>
      <c r="L1043" s="91" t="s">
        <v>5793</v>
      </c>
      <c r="M1043" s="90"/>
      <c r="N1043" s="90"/>
      <c r="O1043" s="95"/>
      <c r="P1043" s="90"/>
      <c r="Q1043" s="143" t="s">
        <v>4643</v>
      </c>
      <c r="R1043" s="97"/>
      <c r="S1043" s="169"/>
      <c r="U1043" s="188"/>
    </row>
    <row r="1044" spans="1:21" ht="2.1" customHeight="1">
      <c r="A1044" s="98"/>
      <c r="B1044" s="87"/>
      <c r="C1044" s="99"/>
      <c r="D1044" s="87"/>
      <c r="E1044" s="99"/>
      <c r="F1044" s="100"/>
      <c r="G1044" s="100"/>
      <c r="H1044" s="100"/>
      <c r="I1044" s="101"/>
      <c r="J1044" s="106"/>
      <c r="K1044" s="103"/>
      <c r="L1044" s="104"/>
      <c r="M1044" s="100"/>
      <c r="N1044" s="100"/>
      <c r="O1044" s="100"/>
      <c r="P1044" s="100"/>
      <c r="Q1044" s="105"/>
      <c r="R1044" s="105"/>
      <c r="S1044" s="169"/>
      <c r="T1044" s="300" t="str">
        <f>CONCATENATE([1]Cover!$D$6,"fdd/view?i=",S1044)</f>
        <v>https://www.dgiwg.org/FAD/fdd/view?i=</v>
      </c>
      <c r="U1044" s="188"/>
    </row>
    <row r="1045" spans="1:21">
      <c r="A1045" s="67" t="s">
        <v>9179</v>
      </c>
      <c r="B1045" s="87" t="s">
        <v>9179</v>
      </c>
      <c r="C1045" s="88" t="s">
        <v>12639</v>
      </c>
      <c r="D1045" s="89"/>
      <c r="E1045" s="90"/>
      <c r="F1045" s="91" t="s">
        <v>12640</v>
      </c>
      <c r="G1045" s="90"/>
      <c r="H1045" s="90"/>
      <c r="I1045" s="92"/>
      <c r="J1045" s="93"/>
      <c r="K1045" s="94"/>
      <c r="L1045" s="149" t="str">
        <f>HYPERLINK("[#]DatatypeListedValues!B5385:H5385","Enumeration")</f>
        <v>Enumeration</v>
      </c>
      <c r="M1045" s="107" t="b">
        <v>0</v>
      </c>
      <c r="N1045" s="90"/>
      <c r="O1045" s="95"/>
      <c r="P1045" s="90"/>
      <c r="Q1045" s="96"/>
      <c r="R1045" s="97"/>
      <c r="S1045" s="169"/>
      <c r="U1045" s="188"/>
    </row>
    <row r="1046" spans="1:21" ht="2.1" customHeight="1">
      <c r="A1046" s="98"/>
      <c r="B1046" s="87"/>
      <c r="C1046" s="99"/>
      <c r="D1046" s="87"/>
      <c r="E1046" s="99"/>
      <c r="F1046" s="100"/>
      <c r="G1046" s="100"/>
      <c r="H1046" s="100"/>
      <c r="I1046" s="101"/>
      <c r="J1046" s="106"/>
      <c r="K1046" s="103"/>
      <c r="L1046" s="104"/>
      <c r="M1046" s="100"/>
      <c r="N1046" s="100"/>
      <c r="O1046" s="100"/>
      <c r="P1046" s="100"/>
      <c r="Q1046" s="105"/>
      <c r="R1046" s="105"/>
      <c r="S1046" s="169"/>
      <c r="T1046" s="300" t="str">
        <f>CONCATENATE([1]Cover!$D$6,"fdd/view?i=",S1046)</f>
        <v>https://www.dgiwg.org/FAD/fdd/view?i=</v>
      </c>
      <c r="U1046" s="188"/>
    </row>
    <row r="1047" spans="1:21" ht="153">
      <c r="A1047" s="67" t="s">
        <v>9238</v>
      </c>
      <c r="B1047" s="87" t="s">
        <v>9238</v>
      </c>
      <c r="C1047" s="88" t="s">
        <v>12641</v>
      </c>
      <c r="D1047" s="89"/>
      <c r="E1047" s="90"/>
      <c r="F1047" s="91" t="s">
        <v>12642</v>
      </c>
      <c r="G1047" s="90"/>
      <c r="H1047" s="91" t="s">
        <v>11426</v>
      </c>
      <c r="I1047" s="92"/>
      <c r="J1047" s="93"/>
      <c r="K1047" s="94"/>
      <c r="L1047" s="91" t="s">
        <v>11425</v>
      </c>
      <c r="M1047" s="90"/>
      <c r="N1047" s="91">
        <v>17</v>
      </c>
      <c r="O1047" s="108" t="b">
        <v>0</v>
      </c>
      <c r="P1047" s="91" t="s">
        <v>12643</v>
      </c>
      <c r="Q1047" s="96"/>
      <c r="R1047" s="97"/>
      <c r="S1047" s="169"/>
      <c r="U1047" s="188"/>
    </row>
    <row r="1048" spans="1:21" ht="2.1" customHeight="1">
      <c r="A1048" s="98"/>
      <c r="B1048" s="87"/>
      <c r="C1048" s="99"/>
      <c r="D1048" s="87"/>
      <c r="E1048" s="99"/>
      <c r="F1048" s="100"/>
      <c r="G1048" s="100"/>
      <c r="H1048" s="100"/>
      <c r="I1048" s="101"/>
      <c r="J1048" s="106"/>
      <c r="K1048" s="103"/>
      <c r="L1048" s="104"/>
      <c r="M1048" s="100"/>
      <c r="N1048" s="100"/>
      <c r="O1048" s="100"/>
      <c r="P1048" s="100"/>
      <c r="Q1048" s="105"/>
      <c r="R1048" s="105"/>
      <c r="S1048" s="169"/>
      <c r="T1048" s="300" t="str">
        <f>CONCATENATE([1]Cover!$D$6,"fdd/view?i=",S1048)</f>
        <v>https://www.dgiwg.org/FAD/fdd/view?i=</v>
      </c>
      <c r="U1048" s="188"/>
    </row>
    <row r="1049" spans="1:21" ht="25.5">
      <c r="A1049" s="67" t="s">
        <v>9252</v>
      </c>
      <c r="B1049" s="87" t="s">
        <v>9252</v>
      </c>
      <c r="C1049" s="88" t="s">
        <v>12644</v>
      </c>
      <c r="D1049" s="89"/>
      <c r="E1049" s="90"/>
      <c r="F1049" s="91" t="s">
        <v>12645</v>
      </c>
      <c r="G1049" s="90"/>
      <c r="H1049" s="90"/>
      <c r="I1049" s="92"/>
      <c r="J1049" s="93"/>
      <c r="K1049" s="94"/>
      <c r="L1049" s="149" t="str">
        <f>HYPERLINK("[#]DatatypeListedValues!B5390:H5390","Enumeration")</f>
        <v>Enumeration</v>
      </c>
      <c r="M1049" s="107" t="b">
        <v>0</v>
      </c>
      <c r="N1049" s="90"/>
      <c r="O1049" s="95"/>
      <c r="P1049" s="90"/>
      <c r="Q1049" s="96"/>
      <c r="R1049" s="97"/>
      <c r="S1049" s="169"/>
      <c r="U1049" s="188"/>
    </row>
    <row r="1050" spans="1:21" ht="2.1" customHeight="1">
      <c r="A1050" s="98"/>
      <c r="B1050" s="87"/>
      <c r="C1050" s="99"/>
      <c r="D1050" s="87"/>
      <c r="E1050" s="99"/>
      <c r="F1050" s="100"/>
      <c r="G1050" s="100"/>
      <c r="H1050" s="100"/>
      <c r="I1050" s="101"/>
      <c r="J1050" s="106"/>
      <c r="K1050" s="103"/>
      <c r="L1050" s="104"/>
      <c r="M1050" s="100"/>
      <c r="N1050" s="100"/>
      <c r="O1050" s="100"/>
      <c r="P1050" s="100"/>
      <c r="Q1050" s="105"/>
      <c r="R1050" s="105"/>
      <c r="S1050" s="169"/>
      <c r="T1050" s="300" t="str">
        <f>CONCATENATE([1]Cover!$D$6,"fdd/view?i=",S1050)</f>
        <v>https://www.dgiwg.org/FAD/fdd/view?i=</v>
      </c>
      <c r="U1050" s="188"/>
    </row>
    <row r="1051" spans="1:21" ht="25.5">
      <c r="A1051" s="67" t="s">
        <v>10396</v>
      </c>
      <c r="B1051" s="87" t="s">
        <v>10396</v>
      </c>
      <c r="C1051" s="88" t="s">
        <v>12646</v>
      </c>
      <c r="D1051" s="89"/>
      <c r="E1051" s="90"/>
      <c r="F1051" s="91" t="s">
        <v>12647</v>
      </c>
      <c r="G1051" s="90"/>
      <c r="H1051" s="90"/>
      <c r="I1051" s="92"/>
      <c r="J1051" s="93"/>
      <c r="K1051" s="94"/>
      <c r="L1051" s="149" t="str">
        <f>HYPERLINK("[#]DatatypeListedValues!B5416:H5416","Enumeration")</f>
        <v>Enumeration</v>
      </c>
      <c r="M1051" s="107" t="b">
        <v>0</v>
      </c>
      <c r="N1051" s="90"/>
      <c r="O1051" s="95"/>
      <c r="P1051" s="90"/>
      <c r="Q1051" s="96"/>
      <c r="R1051" s="97"/>
      <c r="S1051" s="169"/>
      <c r="U1051" s="188"/>
    </row>
    <row r="1052" spans="1:21" ht="2.1" customHeight="1">
      <c r="A1052" s="98"/>
      <c r="B1052" s="87"/>
      <c r="C1052" s="99"/>
      <c r="D1052" s="87"/>
      <c r="E1052" s="99"/>
      <c r="F1052" s="100"/>
      <c r="G1052" s="100"/>
      <c r="H1052" s="100"/>
      <c r="I1052" s="101"/>
      <c r="J1052" s="106"/>
      <c r="K1052" s="103"/>
      <c r="L1052" s="104"/>
      <c r="M1052" s="100"/>
      <c r="N1052" s="100"/>
      <c r="O1052" s="100"/>
      <c r="P1052" s="100"/>
      <c r="Q1052" s="105"/>
      <c r="R1052" s="105"/>
      <c r="S1052" s="169"/>
      <c r="T1052" s="300" t="str">
        <f>CONCATENATE([1]Cover!$D$6,"fdd/view?i=",S1052)</f>
        <v>https://www.dgiwg.org/FAD/fdd/view?i=</v>
      </c>
      <c r="U1052" s="188"/>
    </row>
    <row r="1053" spans="1:21" ht="25.5">
      <c r="A1053" s="67" t="s">
        <v>9272</v>
      </c>
      <c r="B1053" s="87" t="s">
        <v>9272</v>
      </c>
      <c r="C1053" s="88" t="s">
        <v>12648</v>
      </c>
      <c r="D1053" s="89"/>
      <c r="E1053" s="90"/>
      <c r="F1053" s="91" t="s">
        <v>12649</v>
      </c>
      <c r="G1053" s="90"/>
      <c r="H1053" s="90"/>
      <c r="I1053" s="92"/>
      <c r="J1053" s="93"/>
      <c r="K1053" s="94"/>
      <c r="L1053" s="149" t="str">
        <f>HYPERLINK("[#]DatatypeListedValues!B5497:H5497","Enumeration")</f>
        <v>Enumeration</v>
      </c>
      <c r="M1053" s="107" t="b">
        <v>0</v>
      </c>
      <c r="N1053" s="90"/>
      <c r="O1053" s="95"/>
      <c r="P1053" s="90"/>
      <c r="Q1053" s="96"/>
      <c r="R1053" s="97"/>
      <c r="S1053" s="169"/>
      <c r="U1053" s="188"/>
    </row>
    <row r="1054" spans="1:21" ht="2.1" customHeight="1">
      <c r="A1054" s="98"/>
      <c r="B1054" s="87"/>
      <c r="C1054" s="99"/>
      <c r="D1054" s="87"/>
      <c r="E1054" s="99"/>
      <c r="F1054" s="100"/>
      <c r="G1054" s="100"/>
      <c r="H1054" s="100"/>
      <c r="I1054" s="101"/>
      <c r="J1054" s="106"/>
      <c r="K1054" s="103"/>
      <c r="L1054" s="104"/>
      <c r="M1054" s="100"/>
      <c r="N1054" s="100"/>
      <c r="O1054" s="100"/>
      <c r="P1054" s="100"/>
      <c r="Q1054" s="105"/>
      <c r="R1054" s="105"/>
      <c r="S1054" s="169"/>
      <c r="T1054" s="300" t="str">
        <f>CONCATENATE([1]Cover!$D$6,"fdd/view?i=",S1054)</f>
        <v>https://www.dgiwg.org/FAD/fdd/view?i=</v>
      </c>
      <c r="U1054" s="188"/>
    </row>
    <row r="1055" spans="1:21" ht="25.5">
      <c r="A1055" s="67" t="s">
        <v>9281</v>
      </c>
      <c r="B1055" s="87" t="s">
        <v>9281</v>
      </c>
      <c r="C1055" s="88" t="s">
        <v>12650</v>
      </c>
      <c r="D1055" s="89"/>
      <c r="E1055" s="90"/>
      <c r="F1055" s="91" t="s">
        <v>12651</v>
      </c>
      <c r="G1055" s="90"/>
      <c r="H1055" s="90"/>
      <c r="I1055" s="92"/>
      <c r="J1055" s="93"/>
      <c r="K1055" s="94"/>
      <c r="L1055" s="149" t="str">
        <f>HYPERLINK("[#]DatatypeListedValues!B5501:H5501","Enumeration")</f>
        <v>Enumeration</v>
      </c>
      <c r="M1055" s="91" t="b">
        <v>1</v>
      </c>
      <c r="N1055" s="90"/>
      <c r="O1055" s="95"/>
      <c r="P1055" s="90"/>
      <c r="Q1055" s="96"/>
      <c r="R1055" s="97"/>
      <c r="S1055" s="169"/>
      <c r="U1055" s="188"/>
    </row>
    <row r="1056" spans="1:21" ht="2.1" customHeight="1">
      <c r="A1056" s="98"/>
      <c r="B1056" s="87"/>
      <c r="C1056" s="99"/>
      <c r="D1056" s="87"/>
      <c r="E1056" s="99"/>
      <c r="F1056" s="100"/>
      <c r="G1056" s="100"/>
      <c r="H1056" s="100"/>
      <c r="I1056" s="101"/>
      <c r="J1056" s="106"/>
      <c r="K1056" s="103"/>
      <c r="L1056" s="104"/>
      <c r="M1056" s="100"/>
      <c r="N1056" s="100"/>
      <c r="O1056" s="100"/>
      <c r="P1056" s="100"/>
      <c r="Q1056" s="105"/>
      <c r="R1056" s="105"/>
      <c r="S1056" s="169"/>
      <c r="T1056" s="300" t="str">
        <f>CONCATENATE([1]Cover!$D$6,"fdd/view?i=",S1056)</f>
        <v>https://www.dgiwg.org/FAD/fdd/view?i=</v>
      </c>
      <c r="U1056" s="188"/>
    </row>
    <row r="1057" spans="1:21" ht="38.25">
      <c r="A1057" s="67" t="s">
        <v>9307</v>
      </c>
      <c r="B1057" s="87" t="s">
        <v>9307</v>
      </c>
      <c r="C1057" s="88" t="s">
        <v>12652</v>
      </c>
      <c r="D1057" s="89"/>
      <c r="E1057" s="90"/>
      <c r="F1057" s="91" t="s">
        <v>12653</v>
      </c>
      <c r="G1057" s="90"/>
      <c r="H1057" s="91" t="s">
        <v>11426</v>
      </c>
      <c r="I1057" s="92"/>
      <c r="J1057" s="93"/>
      <c r="K1057" s="94"/>
      <c r="L1057" s="91" t="s">
        <v>11425</v>
      </c>
      <c r="M1057" s="90"/>
      <c r="N1057" s="91">
        <v>5</v>
      </c>
      <c r="O1057" s="108" t="b">
        <v>0</v>
      </c>
      <c r="P1057" s="91" t="s">
        <v>12654</v>
      </c>
      <c r="Q1057" s="96"/>
      <c r="R1057" s="97"/>
      <c r="S1057" s="169"/>
      <c r="U1057" s="188"/>
    </row>
    <row r="1058" spans="1:21" ht="2.1" customHeight="1">
      <c r="A1058" s="98"/>
      <c r="B1058" s="87"/>
      <c r="C1058" s="99"/>
      <c r="D1058" s="87"/>
      <c r="E1058" s="99"/>
      <c r="F1058" s="100"/>
      <c r="G1058" s="100"/>
      <c r="H1058" s="100"/>
      <c r="I1058" s="101"/>
      <c r="J1058" s="106"/>
      <c r="K1058" s="103"/>
      <c r="L1058" s="104"/>
      <c r="M1058" s="100"/>
      <c r="N1058" s="100"/>
      <c r="O1058" s="100"/>
      <c r="P1058" s="100"/>
      <c r="Q1058" s="105"/>
      <c r="R1058" s="105"/>
      <c r="S1058" s="169"/>
      <c r="T1058" s="300" t="str">
        <f>CONCATENATE([1]Cover!$D$6,"fdd/view?i=",S1058)</f>
        <v>https://www.dgiwg.org/FAD/fdd/view?i=</v>
      </c>
      <c r="U1058" s="188"/>
    </row>
    <row r="1059" spans="1:21" ht="178.5">
      <c r="A1059" s="67" t="s">
        <v>9326</v>
      </c>
      <c r="B1059" s="87" t="s">
        <v>9326</v>
      </c>
      <c r="C1059" s="88" t="s">
        <v>12655</v>
      </c>
      <c r="D1059" s="89"/>
      <c r="E1059" s="90"/>
      <c r="F1059" s="91" t="s">
        <v>12656</v>
      </c>
      <c r="G1059" s="90"/>
      <c r="H1059" s="91" t="s">
        <v>11426</v>
      </c>
      <c r="I1059" s="92"/>
      <c r="J1059" s="93"/>
      <c r="K1059" s="94"/>
      <c r="L1059" s="91" t="s">
        <v>11425</v>
      </c>
      <c r="M1059" s="90"/>
      <c r="N1059" s="91">
        <v>41</v>
      </c>
      <c r="O1059" s="108" t="b">
        <v>0</v>
      </c>
      <c r="P1059" s="91" t="s">
        <v>12657</v>
      </c>
      <c r="Q1059" s="96"/>
      <c r="R1059" s="97"/>
      <c r="S1059" s="169"/>
      <c r="U1059" s="188"/>
    </row>
    <row r="1060" spans="1:21" ht="2.1" customHeight="1">
      <c r="A1060" s="98"/>
      <c r="B1060" s="87"/>
      <c r="C1060" s="99"/>
      <c r="D1060" s="87"/>
      <c r="E1060" s="99"/>
      <c r="F1060" s="100"/>
      <c r="G1060" s="100"/>
      <c r="H1060" s="100"/>
      <c r="I1060" s="101"/>
      <c r="J1060" s="106"/>
      <c r="K1060" s="103"/>
      <c r="L1060" s="104"/>
      <c r="M1060" s="100"/>
      <c r="N1060" s="100"/>
      <c r="O1060" s="100"/>
      <c r="P1060" s="100"/>
      <c r="Q1060" s="105"/>
      <c r="R1060" s="105"/>
      <c r="S1060" s="169"/>
      <c r="T1060" s="300" t="str">
        <f>CONCATENATE([1]Cover!$D$6,"fdd/view?i=",S1060)</f>
        <v>https://www.dgiwg.org/FAD/fdd/view?i=</v>
      </c>
      <c r="U1060" s="188"/>
    </row>
    <row r="1061" spans="1:21">
      <c r="A1061" s="67" t="s">
        <v>9347</v>
      </c>
      <c r="B1061" s="87" t="s">
        <v>9347</v>
      </c>
      <c r="C1061" s="88" t="s">
        <v>12658</v>
      </c>
      <c r="D1061" s="89"/>
      <c r="E1061" s="90"/>
      <c r="F1061" s="91" t="s">
        <v>12659</v>
      </c>
      <c r="G1061" s="90"/>
      <c r="H1061" s="90"/>
      <c r="I1061" s="92"/>
      <c r="J1061" s="93"/>
      <c r="K1061" s="94"/>
      <c r="L1061" s="149" t="str">
        <f>HYPERLINK("[#]DatatypeListedValues!B5503:H5503","Enumeration")</f>
        <v>Enumeration</v>
      </c>
      <c r="M1061" s="107" t="b">
        <v>0</v>
      </c>
      <c r="N1061" s="90"/>
      <c r="O1061" s="95"/>
      <c r="P1061" s="90"/>
      <c r="Q1061" s="96"/>
      <c r="R1061" s="97"/>
      <c r="S1061" s="169"/>
      <c r="U1061" s="188"/>
    </row>
    <row r="1062" spans="1:21" ht="2.1" customHeight="1">
      <c r="A1062" s="98"/>
      <c r="B1062" s="87"/>
      <c r="C1062" s="99"/>
      <c r="D1062" s="87"/>
      <c r="E1062" s="99"/>
      <c r="F1062" s="100"/>
      <c r="G1062" s="100"/>
      <c r="H1062" s="100"/>
      <c r="I1062" s="101"/>
      <c r="J1062" s="106"/>
      <c r="K1062" s="103"/>
      <c r="L1062" s="104"/>
      <c r="M1062" s="100"/>
      <c r="N1062" s="100"/>
      <c r="O1062" s="100"/>
      <c r="P1062" s="100"/>
      <c r="Q1062" s="105"/>
      <c r="R1062" s="105"/>
      <c r="S1062" s="169"/>
      <c r="T1062" s="300" t="str">
        <f>CONCATENATE([1]Cover!$D$6,"fdd/view?i=",S1062)</f>
        <v>https://www.dgiwg.org/FAD/fdd/view?i=</v>
      </c>
      <c r="U1062" s="188"/>
    </row>
    <row r="1063" spans="1:21" ht="25.5">
      <c r="A1063" s="67" t="s">
        <v>9352</v>
      </c>
      <c r="B1063" s="87" t="s">
        <v>9352</v>
      </c>
      <c r="C1063" s="88" t="s">
        <v>12660</v>
      </c>
      <c r="D1063" s="89"/>
      <c r="E1063" s="90"/>
      <c r="F1063" s="91" t="s">
        <v>12661</v>
      </c>
      <c r="G1063" s="90"/>
      <c r="H1063" s="90"/>
      <c r="I1063" s="92"/>
      <c r="J1063" s="93"/>
      <c r="K1063" s="94"/>
      <c r="L1063" s="149" t="str">
        <f>HYPERLINK("[#]DatatypeListedValues!B5621:H5621","Enumeration")</f>
        <v>Enumeration</v>
      </c>
      <c r="M1063" s="107" t="b">
        <v>0</v>
      </c>
      <c r="N1063" s="90"/>
      <c r="O1063" s="95"/>
      <c r="P1063" s="90"/>
      <c r="Q1063" s="96"/>
      <c r="R1063" s="97"/>
      <c r="S1063" s="169"/>
      <c r="U1063" s="188"/>
    </row>
    <row r="1064" spans="1:21" ht="2.1" customHeight="1">
      <c r="A1064" s="98"/>
      <c r="B1064" s="87"/>
      <c r="C1064" s="99"/>
      <c r="D1064" s="87"/>
      <c r="E1064" s="99"/>
      <c r="F1064" s="100"/>
      <c r="G1064" s="100"/>
      <c r="H1064" s="100"/>
      <c r="I1064" s="101"/>
      <c r="J1064" s="106"/>
      <c r="K1064" s="103"/>
      <c r="L1064" s="104"/>
      <c r="M1064" s="100"/>
      <c r="N1064" s="100"/>
      <c r="O1064" s="100"/>
      <c r="P1064" s="100"/>
      <c r="Q1064" s="105"/>
      <c r="R1064" s="105"/>
      <c r="S1064" s="169"/>
      <c r="T1064" s="300" t="str">
        <f>CONCATENATE([1]Cover!$D$6,"fdd/view?i=",S1064)</f>
        <v>https://www.dgiwg.org/FAD/fdd/view?i=</v>
      </c>
      <c r="U1064" s="188"/>
    </row>
    <row r="1065" spans="1:21">
      <c r="A1065" s="67" t="s">
        <v>9357</v>
      </c>
      <c r="B1065" s="87" t="s">
        <v>9357</v>
      </c>
      <c r="C1065" s="88" t="s">
        <v>12662</v>
      </c>
      <c r="D1065" s="89"/>
      <c r="E1065" s="90"/>
      <c r="F1065" s="91" t="s">
        <v>12663</v>
      </c>
      <c r="G1065" s="90"/>
      <c r="H1065" s="90"/>
      <c r="I1065" s="92"/>
      <c r="J1065" s="93"/>
      <c r="K1065" s="94"/>
      <c r="L1065" s="149" t="str">
        <f>HYPERLINK("[#]DatatypeListedValues!B5626:H5626","Enumeration")</f>
        <v>Enumeration</v>
      </c>
      <c r="M1065" s="107" t="b">
        <v>0</v>
      </c>
      <c r="N1065" s="90"/>
      <c r="O1065" s="95"/>
      <c r="P1065" s="90"/>
      <c r="Q1065" s="96"/>
      <c r="R1065" s="97"/>
      <c r="S1065" s="169"/>
      <c r="U1065" s="188"/>
    </row>
    <row r="1066" spans="1:21" ht="2.1" customHeight="1">
      <c r="A1066" s="98"/>
      <c r="B1066" s="87"/>
      <c r="C1066" s="99"/>
      <c r="D1066" s="87"/>
      <c r="E1066" s="99"/>
      <c r="F1066" s="100"/>
      <c r="G1066" s="100"/>
      <c r="H1066" s="100"/>
      <c r="I1066" s="101"/>
      <c r="J1066" s="106"/>
      <c r="K1066" s="103"/>
      <c r="L1066" s="104"/>
      <c r="M1066" s="100"/>
      <c r="N1066" s="100"/>
      <c r="O1066" s="100"/>
      <c r="P1066" s="100"/>
      <c r="Q1066" s="105"/>
      <c r="R1066" s="105"/>
      <c r="S1066" s="169"/>
      <c r="T1066" s="300" t="str">
        <f>CONCATENATE([1]Cover!$D$6,"fdd/view?i=",S1066)</f>
        <v>https://www.dgiwg.org/FAD/fdd/view?i=</v>
      </c>
      <c r="U1066" s="188"/>
    </row>
    <row r="1067" spans="1:21">
      <c r="A1067" s="67" t="s">
        <v>9362</v>
      </c>
      <c r="B1067" s="87" t="s">
        <v>9362</v>
      </c>
      <c r="C1067" s="88" t="s">
        <v>12664</v>
      </c>
      <c r="D1067" s="89"/>
      <c r="E1067" s="90"/>
      <c r="F1067" s="91" t="s">
        <v>12665</v>
      </c>
      <c r="G1067" s="90"/>
      <c r="H1067" s="90"/>
      <c r="I1067" s="92"/>
      <c r="J1067" s="93"/>
      <c r="K1067" s="94"/>
      <c r="L1067" s="149" t="str">
        <f>HYPERLINK("[#]DatatypeListedValues!B5634:H5634","Enumeration")</f>
        <v>Enumeration</v>
      </c>
      <c r="M1067" s="107" t="b">
        <v>0</v>
      </c>
      <c r="N1067" s="90"/>
      <c r="O1067" s="95"/>
      <c r="P1067" s="90"/>
      <c r="Q1067" s="96"/>
      <c r="R1067" s="97"/>
      <c r="S1067" s="169"/>
      <c r="U1067" s="188"/>
    </row>
    <row r="1068" spans="1:21" ht="2.1" customHeight="1">
      <c r="A1068" s="98"/>
      <c r="B1068" s="87"/>
      <c r="C1068" s="99"/>
      <c r="D1068" s="87"/>
      <c r="E1068" s="99"/>
      <c r="F1068" s="100"/>
      <c r="G1068" s="100"/>
      <c r="H1068" s="100"/>
      <c r="I1068" s="101"/>
      <c r="J1068" s="106"/>
      <c r="K1068" s="103"/>
      <c r="L1068" s="104"/>
      <c r="M1068" s="100"/>
      <c r="N1068" s="100"/>
      <c r="O1068" s="100"/>
      <c r="P1068" s="100"/>
      <c r="Q1068" s="105"/>
      <c r="R1068" s="105"/>
      <c r="S1068" s="169"/>
      <c r="T1068" s="300" t="str">
        <f>CONCATENATE([1]Cover!$D$6,"fdd/view?i=",S1068)</f>
        <v>https://www.dgiwg.org/FAD/fdd/view?i=</v>
      </c>
      <c r="U1068" s="188"/>
    </row>
    <row r="1069" spans="1:21" ht="25.5">
      <c r="A1069" s="67" t="s">
        <v>9367</v>
      </c>
      <c r="B1069" s="87" t="s">
        <v>9367</v>
      </c>
      <c r="C1069" s="88" t="s">
        <v>12666</v>
      </c>
      <c r="D1069" s="89"/>
      <c r="E1069" s="90"/>
      <c r="F1069" s="91" t="s">
        <v>12667</v>
      </c>
      <c r="G1069" s="90"/>
      <c r="H1069" s="90"/>
      <c r="I1069" s="92"/>
      <c r="J1069" s="93"/>
      <c r="K1069" s="94"/>
      <c r="L1069" s="149" t="str">
        <f>HYPERLINK("[#]DatatypeListedValues!B5643:H5643","Enumeration")</f>
        <v>Enumeration</v>
      </c>
      <c r="M1069" s="107" t="b">
        <v>0</v>
      </c>
      <c r="N1069" s="90"/>
      <c r="O1069" s="95"/>
      <c r="P1069" s="90"/>
      <c r="Q1069" s="96"/>
      <c r="R1069" s="97"/>
      <c r="S1069" s="169"/>
      <c r="U1069" s="188"/>
    </row>
    <row r="1070" spans="1:21" ht="2.1" customHeight="1">
      <c r="A1070" s="98"/>
      <c r="B1070" s="87"/>
      <c r="C1070" s="99"/>
      <c r="D1070" s="87"/>
      <c r="E1070" s="99"/>
      <c r="F1070" s="100"/>
      <c r="G1070" s="100"/>
      <c r="H1070" s="100"/>
      <c r="I1070" s="101"/>
      <c r="J1070" s="106"/>
      <c r="K1070" s="103"/>
      <c r="L1070" s="104"/>
      <c r="M1070" s="100"/>
      <c r="N1070" s="100"/>
      <c r="O1070" s="100"/>
      <c r="P1070" s="100"/>
      <c r="Q1070" s="105"/>
      <c r="R1070" s="105"/>
      <c r="S1070" s="169"/>
      <c r="T1070" s="300" t="str">
        <f>CONCATENATE([1]Cover!$D$6,"fdd/view?i=",S1070)</f>
        <v>https://www.dgiwg.org/FAD/fdd/view?i=</v>
      </c>
      <c r="U1070" s="188"/>
    </row>
    <row r="1071" spans="1:21" ht="25.5">
      <c r="A1071" s="67" t="s">
        <v>9372</v>
      </c>
      <c r="B1071" s="87" t="s">
        <v>9372</v>
      </c>
      <c r="C1071" s="88" t="s">
        <v>12668</v>
      </c>
      <c r="D1071" s="89"/>
      <c r="E1071" s="90"/>
      <c r="F1071" s="91" t="s">
        <v>12669</v>
      </c>
      <c r="G1071" s="90"/>
      <c r="H1071" s="90"/>
      <c r="I1071" s="92"/>
      <c r="J1071" s="93"/>
      <c r="K1071" s="94"/>
      <c r="L1071" s="149" t="str">
        <f>HYPERLINK("[#]DatatypeListedValues!B5648:H5648","Enumeration")</f>
        <v>Enumeration</v>
      </c>
      <c r="M1071" s="107" t="b">
        <v>0</v>
      </c>
      <c r="N1071" s="90"/>
      <c r="O1071" s="95"/>
      <c r="P1071" s="90"/>
      <c r="Q1071" s="96"/>
      <c r="R1071" s="97"/>
      <c r="S1071" s="169"/>
      <c r="U1071" s="188"/>
    </row>
    <row r="1072" spans="1:21" ht="2.1" customHeight="1">
      <c r="A1072" s="98"/>
      <c r="B1072" s="87"/>
      <c r="C1072" s="99"/>
      <c r="D1072" s="87"/>
      <c r="E1072" s="99"/>
      <c r="F1072" s="100"/>
      <c r="G1072" s="100"/>
      <c r="H1072" s="100"/>
      <c r="I1072" s="101"/>
      <c r="J1072" s="106"/>
      <c r="K1072" s="103"/>
      <c r="L1072" s="104"/>
      <c r="M1072" s="100"/>
      <c r="N1072" s="100"/>
      <c r="O1072" s="100"/>
      <c r="P1072" s="100"/>
      <c r="Q1072" s="105"/>
      <c r="R1072" s="105"/>
      <c r="S1072" s="169"/>
      <c r="T1072" s="300" t="str">
        <f>CONCATENATE([1]Cover!$D$6,"fdd/view?i=",S1072)</f>
        <v>https://www.dgiwg.org/FAD/fdd/view?i=</v>
      </c>
      <c r="U1072" s="188"/>
    </row>
    <row r="1073" spans="1:21">
      <c r="A1073" s="67" t="s">
        <v>9385</v>
      </c>
      <c r="B1073" s="87" t="s">
        <v>9385</v>
      </c>
      <c r="C1073" s="88" t="s">
        <v>12670</v>
      </c>
      <c r="D1073" s="89"/>
      <c r="E1073" s="90"/>
      <c r="F1073" s="91" t="s">
        <v>12671</v>
      </c>
      <c r="G1073" s="90"/>
      <c r="H1073" s="90"/>
      <c r="I1073" s="92"/>
      <c r="J1073" s="93"/>
      <c r="K1073" s="94"/>
      <c r="L1073" s="149" t="str">
        <f>HYPERLINK("[#]DatatypeListedValues!B5654:H5654","Enumeration")</f>
        <v>Enumeration</v>
      </c>
      <c r="M1073" s="107" t="b">
        <v>0</v>
      </c>
      <c r="N1073" s="90"/>
      <c r="O1073" s="95"/>
      <c r="P1073" s="90"/>
      <c r="Q1073" s="96"/>
      <c r="R1073" s="97"/>
      <c r="S1073" s="169"/>
      <c r="U1073" s="188"/>
    </row>
    <row r="1074" spans="1:21" ht="2.1" customHeight="1">
      <c r="A1074" s="98"/>
      <c r="B1074" s="87"/>
      <c r="C1074" s="99"/>
      <c r="D1074" s="87"/>
      <c r="E1074" s="99"/>
      <c r="F1074" s="100"/>
      <c r="G1074" s="100"/>
      <c r="H1074" s="100"/>
      <c r="I1074" s="101"/>
      <c r="J1074" s="106"/>
      <c r="K1074" s="103"/>
      <c r="L1074" s="104"/>
      <c r="M1074" s="100"/>
      <c r="N1074" s="100"/>
      <c r="O1074" s="100"/>
      <c r="P1074" s="100"/>
      <c r="Q1074" s="105"/>
      <c r="R1074" s="105"/>
      <c r="S1074" s="169"/>
      <c r="T1074" s="300" t="str">
        <f>CONCATENATE([1]Cover!$D$6,"fdd/view?i=",S1074)</f>
        <v>https://www.dgiwg.org/FAD/fdd/view?i=</v>
      </c>
      <c r="U1074" s="188"/>
    </row>
    <row r="1075" spans="1:21" ht="25.5">
      <c r="A1075" s="67" t="s">
        <v>9390</v>
      </c>
      <c r="B1075" s="87" t="s">
        <v>9390</v>
      </c>
      <c r="C1075" s="88" t="s">
        <v>12672</v>
      </c>
      <c r="D1075" s="89"/>
      <c r="E1075" s="90"/>
      <c r="F1075" s="91" t="s">
        <v>12673</v>
      </c>
      <c r="G1075" s="90"/>
      <c r="H1075" s="90"/>
      <c r="I1075" s="92"/>
      <c r="J1075" s="93"/>
      <c r="K1075" s="94"/>
      <c r="L1075" s="149" t="str">
        <f>HYPERLINK("[#]DatatypeListedValues!B5668:H5668","Enumeration")</f>
        <v>Enumeration</v>
      </c>
      <c r="M1075" s="107" t="b">
        <v>0</v>
      </c>
      <c r="N1075" s="90"/>
      <c r="O1075" s="95"/>
      <c r="P1075" s="90"/>
      <c r="Q1075" s="96"/>
      <c r="R1075" s="97"/>
      <c r="S1075" s="169"/>
      <c r="U1075" s="188"/>
    </row>
    <row r="1076" spans="1:21" ht="2.1" customHeight="1">
      <c r="A1076" s="98"/>
      <c r="B1076" s="87"/>
      <c r="C1076" s="99"/>
      <c r="D1076" s="87"/>
      <c r="E1076" s="99"/>
      <c r="F1076" s="100"/>
      <c r="G1076" s="100"/>
      <c r="H1076" s="100"/>
      <c r="I1076" s="101"/>
      <c r="J1076" s="106"/>
      <c r="K1076" s="103"/>
      <c r="L1076" s="104"/>
      <c r="M1076" s="100"/>
      <c r="N1076" s="100"/>
      <c r="O1076" s="100"/>
      <c r="P1076" s="100"/>
      <c r="Q1076" s="105"/>
      <c r="R1076" s="105"/>
      <c r="S1076" s="169"/>
      <c r="T1076" s="300" t="str">
        <f>CONCATENATE([1]Cover!$D$6,"fdd/view?i=",S1076)</f>
        <v>https://www.dgiwg.org/FAD/fdd/view?i=</v>
      </c>
      <c r="U1076" s="188"/>
    </row>
    <row r="1077" spans="1:21" ht="25.5">
      <c r="A1077" s="67" t="s">
        <v>9405</v>
      </c>
      <c r="B1077" s="87" t="s">
        <v>9405</v>
      </c>
      <c r="C1077" s="88" t="s">
        <v>12674</v>
      </c>
      <c r="D1077" s="89"/>
      <c r="E1077" s="90"/>
      <c r="F1077" s="91" t="s">
        <v>12675</v>
      </c>
      <c r="G1077" s="90"/>
      <c r="H1077" s="90"/>
      <c r="I1077" s="92"/>
      <c r="J1077" s="93"/>
      <c r="K1077" s="94"/>
      <c r="L1077" s="149" t="str">
        <f>HYPERLINK("[#]DatatypeListedValues!B5678:H5678","Enumeration")</f>
        <v>Enumeration</v>
      </c>
      <c r="M1077" s="107" t="b">
        <v>0</v>
      </c>
      <c r="N1077" s="90"/>
      <c r="O1077" s="95"/>
      <c r="P1077" s="90"/>
      <c r="Q1077" s="96"/>
      <c r="R1077" s="97"/>
      <c r="S1077" s="169"/>
      <c r="U1077" s="188"/>
    </row>
    <row r="1078" spans="1:21" ht="2.1" customHeight="1">
      <c r="A1078" s="98"/>
      <c r="B1078" s="87"/>
      <c r="C1078" s="99"/>
      <c r="D1078" s="87"/>
      <c r="E1078" s="99"/>
      <c r="F1078" s="100"/>
      <c r="G1078" s="100"/>
      <c r="H1078" s="100"/>
      <c r="I1078" s="101"/>
      <c r="J1078" s="106"/>
      <c r="K1078" s="103"/>
      <c r="L1078" s="104"/>
      <c r="M1078" s="100"/>
      <c r="N1078" s="100"/>
      <c r="O1078" s="100"/>
      <c r="P1078" s="100"/>
      <c r="Q1078" s="105"/>
      <c r="R1078" s="105"/>
      <c r="S1078" s="169"/>
      <c r="T1078" s="300" t="str">
        <f>CONCATENATE([1]Cover!$D$6,"fdd/view?i=",S1078)</f>
        <v>https://www.dgiwg.org/FAD/fdd/view?i=</v>
      </c>
      <c r="U1078" s="188"/>
    </row>
    <row r="1079" spans="1:21" ht="25.5">
      <c r="A1079" s="67" t="s">
        <v>9411</v>
      </c>
      <c r="B1079" s="87" t="s">
        <v>9411</v>
      </c>
      <c r="C1079" s="88" t="s">
        <v>12676</v>
      </c>
      <c r="D1079" s="89"/>
      <c r="E1079" s="90"/>
      <c r="F1079" s="91" t="s">
        <v>12677</v>
      </c>
      <c r="G1079" s="90"/>
      <c r="H1079" s="90"/>
      <c r="I1079" s="92"/>
      <c r="J1079" s="93"/>
      <c r="K1079" s="94"/>
      <c r="L1079" s="149" t="str">
        <f>HYPERLINK("[#]DatatypeListedValues!B5683:H5683","Enumeration")</f>
        <v>Enumeration</v>
      </c>
      <c r="M1079" s="107" t="b">
        <v>0</v>
      </c>
      <c r="N1079" s="90"/>
      <c r="O1079" s="95"/>
      <c r="P1079" s="90"/>
      <c r="Q1079" s="96"/>
      <c r="R1079" s="97"/>
      <c r="S1079" s="169"/>
      <c r="U1079" s="188"/>
    </row>
    <row r="1080" spans="1:21" ht="2.1" customHeight="1">
      <c r="A1080" s="98"/>
      <c r="B1080" s="87"/>
      <c r="C1080" s="99"/>
      <c r="D1080" s="87"/>
      <c r="E1080" s="99"/>
      <c r="F1080" s="100"/>
      <c r="G1080" s="100"/>
      <c r="H1080" s="100"/>
      <c r="I1080" s="101"/>
      <c r="J1080" s="106"/>
      <c r="K1080" s="103"/>
      <c r="L1080" s="104"/>
      <c r="M1080" s="100"/>
      <c r="N1080" s="100"/>
      <c r="O1080" s="100"/>
      <c r="P1080" s="100"/>
      <c r="Q1080" s="105"/>
      <c r="R1080" s="105"/>
      <c r="S1080" s="169"/>
      <c r="T1080" s="300" t="str">
        <f>CONCATENATE([1]Cover!$D$6,"fdd/view?i=",S1080)</f>
        <v>https://www.dgiwg.org/FAD/fdd/view?i=</v>
      </c>
      <c r="U1080" s="188"/>
    </row>
    <row r="1081" spans="1:21" ht="25.5">
      <c r="A1081" s="67" t="s">
        <v>9416</v>
      </c>
      <c r="B1081" s="87" t="s">
        <v>9416</v>
      </c>
      <c r="C1081" s="88" t="s">
        <v>12678</v>
      </c>
      <c r="D1081" s="89"/>
      <c r="E1081" s="90"/>
      <c r="F1081" s="91" t="s">
        <v>12679</v>
      </c>
      <c r="G1081" s="90"/>
      <c r="H1081" s="90"/>
      <c r="I1081" s="92"/>
      <c r="J1081" s="93"/>
      <c r="K1081" s="94"/>
      <c r="L1081" s="149" t="str">
        <f>HYPERLINK("[#]DatatypeListedValues!B5699:H5699","Enumeration")</f>
        <v>Enumeration</v>
      </c>
      <c r="M1081" s="107" t="b">
        <v>0</v>
      </c>
      <c r="N1081" s="90"/>
      <c r="O1081" s="95"/>
      <c r="P1081" s="90"/>
      <c r="Q1081" s="96"/>
      <c r="R1081" s="97"/>
      <c r="S1081" s="169"/>
      <c r="U1081" s="188"/>
    </row>
    <row r="1082" spans="1:21" ht="2.1" customHeight="1">
      <c r="A1082" s="98"/>
      <c r="B1082" s="87"/>
      <c r="C1082" s="99"/>
      <c r="D1082" s="87"/>
      <c r="E1082" s="99"/>
      <c r="F1082" s="100"/>
      <c r="G1082" s="100"/>
      <c r="H1082" s="100"/>
      <c r="I1082" s="101"/>
      <c r="J1082" s="106"/>
      <c r="K1082" s="103"/>
      <c r="L1082" s="104"/>
      <c r="M1082" s="100"/>
      <c r="N1082" s="100"/>
      <c r="O1082" s="100"/>
      <c r="P1082" s="100"/>
      <c r="Q1082" s="105"/>
      <c r="R1082" s="105"/>
      <c r="S1082" s="169"/>
      <c r="T1082" s="300" t="str">
        <f>CONCATENATE([1]Cover!$D$6,"fdd/view?i=",S1082)</f>
        <v>https://www.dgiwg.org/FAD/fdd/view?i=</v>
      </c>
      <c r="U1082" s="188"/>
    </row>
    <row r="1083" spans="1:21" ht="25.5">
      <c r="A1083" s="67" t="s">
        <v>9422</v>
      </c>
      <c r="B1083" s="87" t="s">
        <v>9422</v>
      </c>
      <c r="C1083" s="88" t="s">
        <v>12680</v>
      </c>
      <c r="D1083" s="89"/>
      <c r="E1083" s="90"/>
      <c r="F1083" s="91" t="s">
        <v>12681</v>
      </c>
      <c r="G1083" s="90"/>
      <c r="H1083" s="90"/>
      <c r="I1083" s="92"/>
      <c r="J1083" s="93"/>
      <c r="K1083" s="94"/>
      <c r="L1083" s="149" t="str">
        <f>HYPERLINK("[#]DatatypeListedValues!B5702:H5702","Enumeration")</f>
        <v>Enumeration</v>
      </c>
      <c r="M1083" s="107" t="b">
        <v>0</v>
      </c>
      <c r="N1083" s="90"/>
      <c r="O1083" s="95"/>
      <c r="P1083" s="90"/>
      <c r="Q1083" s="96"/>
      <c r="R1083" s="97"/>
      <c r="S1083" s="169"/>
      <c r="U1083" s="188"/>
    </row>
    <row r="1084" spans="1:21" ht="2.1" customHeight="1">
      <c r="A1084" s="98"/>
      <c r="B1084" s="87"/>
      <c r="C1084" s="99"/>
      <c r="D1084" s="87"/>
      <c r="E1084" s="99"/>
      <c r="F1084" s="100"/>
      <c r="G1084" s="100"/>
      <c r="H1084" s="100"/>
      <c r="I1084" s="101"/>
      <c r="J1084" s="106"/>
      <c r="K1084" s="103"/>
      <c r="L1084" s="104"/>
      <c r="M1084" s="100"/>
      <c r="N1084" s="100"/>
      <c r="O1084" s="100"/>
      <c r="P1084" s="100"/>
      <c r="Q1084" s="105"/>
      <c r="R1084" s="105"/>
      <c r="S1084" s="169"/>
      <c r="T1084" s="300" t="str">
        <f>CONCATENATE([1]Cover!$D$6,"fdd/view?i=",S1084)</f>
        <v>https://www.dgiwg.org/FAD/fdd/view?i=</v>
      </c>
      <c r="U1084" s="188"/>
    </row>
    <row r="1085" spans="1:21">
      <c r="A1085" s="67" t="s">
        <v>9427</v>
      </c>
      <c r="B1085" s="87" t="s">
        <v>9427</v>
      </c>
      <c r="C1085" s="88" t="s">
        <v>12682</v>
      </c>
      <c r="D1085" s="89"/>
      <c r="E1085" s="90"/>
      <c r="F1085" s="91" t="s">
        <v>12683</v>
      </c>
      <c r="G1085" s="90"/>
      <c r="H1085" s="90"/>
      <c r="I1085" s="92"/>
      <c r="J1085" s="93"/>
      <c r="K1085" s="94"/>
      <c r="L1085" s="149" t="str">
        <f>HYPERLINK("[#]DatatypeListedValues!B5707:H5707","Enumeration")</f>
        <v>Enumeration</v>
      </c>
      <c r="M1085" s="107" t="b">
        <v>0</v>
      </c>
      <c r="N1085" s="90"/>
      <c r="O1085" s="95"/>
      <c r="P1085" s="90"/>
      <c r="Q1085" s="96"/>
      <c r="R1085" s="97"/>
      <c r="S1085" s="169"/>
      <c r="U1085" s="188"/>
    </row>
    <row r="1086" spans="1:21" ht="2.1" customHeight="1">
      <c r="A1086" s="98"/>
      <c r="B1086" s="87"/>
      <c r="C1086" s="99"/>
      <c r="D1086" s="87"/>
      <c r="E1086" s="99"/>
      <c r="F1086" s="100"/>
      <c r="G1086" s="100"/>
      <c r="H1086" s="100"/>
      <c r="I1086" s="101"/>
      <c r="J1086" s="106"/>
      <c r="K1086" s="103"/>
      <c r="L1086" s="104"/>
      <c r="M1086" s="100"/>
      <c r="N1086" s="100"/>
      <c r="O1086" s="100"/>
      <c r="P1086" s="100"/>
      <c r="Q1086" s="105"/>
      <c r="R1086" s="105"/>
      <c r="S1086" s="169"/>
      <c r="T1086" s="300" t="str">
        <f>CONCATENATE([1]Cover!$D$6,"fdd/view?i=",S1086)</f>
        <v>https://www.dgiwg.org/FAD/fdd/view?i=</v>
      </c>
      <c r="U1086" s="188"/>
    </row>
    <row r="1087" spans="1:21" ht="25.5">
      <c r="A1087" s="67" t="s">
        <v>9436</v>
      </c>
      <c r="B1087" s="87" t="s">
        <v>9436</v>
      </c>
      <c r="C1087" s="88" t="s">
        <v>12684</v>
      </c>
      <c r="D1087" s="89"/>
      <c r="E1087" s="90"/>
      <c r="F1087" s="91" t="s">
        <v>12685</v>
      </c>
      <c r="G1087" s="90"/>
      <c r="H1087" s="90"/>
      <c r="I1087" s="92"/>
      <c r="J1087" s="93"/>
      <c r="K1087" s="94"/>
      <c r="L1087" s="149" t="str">
        <f>HYPERLINK("[#]DatatypeListedValues!B5710:H5710","Enumeration")</f>
        <v>Enumeration</v>
      </c>
      <c r="M1087" s="91" t="b">
        <v>1</v>
      </c>
      <c r="N1087" s="90"/>
      <c r="O1087" s="95"/>
      <c r="P1087" s="90"/>
      <c r="Q1087" s="96"/>
      <c r="R1087" s="97"/>
      <c r="S1087" s="169"/>
      <c r="U1087" s="188"/>
    </row>
    <row r="1088" spans="1:21" ht="2.1" customHeight="1">
      <c r="A1088" s="98"/>
      <c r="B1088" s="87"/>
      <c r="C1088" s="99"/>
      <c r="D1088" s="87"/>
      <c r="E1088" s="99"/>
      <c r="F1088" s="100"/>
      <c r="G1088" s="100"/>
      <c r="H1088" s="100"/>
      <c r="I1088" s="101"/>
      <c r="J1088" s="106"/>
      <c r="K1088" s="103"/>
      <c r="L1088" s="104"/>
      <c r="M1088" s="100"/>
      <c r="N1088" s="100"/>
      <c r="O1088" s="100"/>
      <c r="P1088" s="100"/>
      <c r="Q1088" s="105"/>
      <c r="R1088" s="105"/>
      <c r="S1088" s="169"/>
      <c r="T1088" s="300" t="str">
        <f>CONCATENATE([1]Cover!$D$6,"fdd/view?i=",S1088)</f>
        <v>https://www.dgiwg.org/FAD/fdd/view?i=</v>
      </c>
      <c r="U1088" s="188"/>
    </row>
    <row r="1089" spans="1:21" ht="25.5">
      <c r="A1089" s="67" t="s">
        <v>9446</v>
      </c>
      <c r="B1089" s="87" t="s">
        <v>9446</v>
      </c>
      <c r="C1089" s="88" t="s">
        <v>12686</v>
      </c>
      <c r="D1089" s="89"/>
      <c r="E1089" s="90"/>
      <c r="F1089" s="91" t="s">
        <v>12687</v>
      </c>
      <c r="G1089" s="90"/>
      <c r="H1089" s="90"/>
      <c r="I1089" s="92"/>
      <c r="J1089" s="93"/>
      <c r="K1089" s="94"/>
      <c r="L1089" s="149" t="str">
        <f>HYPERLINK("[#]DatatypeListedValues!B5713:H5713","Enumeration")</f>
        <v>Enumeration</v>
      </c>
      <c r="M1089" s="107" t="b">
        <v>0</v>
      </c>
      <c r="N1089" s="90"/>
      <c r="O1089" s="95"/>
      <c r="P1089" s="90"/>
      <c r="Q1089" s="96"/>
      <c r="R1089" s="97"/>
      <c r="S1089" s="169"/>
      <c r="U1089" s="188"/>
    </row>
    <row r="1090" spans="1:21" ht="2.1" customHeight="1">
      <c r="A1090" s="98"/>
      <c r="B1090" s="87"/>
      <c r="C1090" s="99"/>
      <c r="D1090" s="87"/>
      <c r="E1090" s="99"/>
      <c r="F1090" s="100"/>
      <c r="G1090" s="100"/>
      <c r="H1090" s="100"/>
      <c r="I1090" s="101"/>
      <c r="J1090" s="106"/>
      <c r="K1090" s="103"/>
      <c r="L1090" s="104"/>
      <c r="M1090" s="100"/>
      <c r="N1090" s="100"/>
      <c r="O1090" s="100"/>
      <c r="P1090" s="100"/>
      <c r="Q1090" s="105"/>
      <c r="R1090" s="105"/>
      <c r="S1090" s="169"/>
      <c r="T1090" s="300" t="str">
        <f>CONCATENATE([1]Cover!$D$6,"fdd/view?i=",S1090)</f>
        <v>https://www.dgiwg.org/FAD/fdd/view?i=</v>
      </c>
      <c r="U1090" s="188"/>
    </row>
    <row r="1091" spans="1:21">
      <c r="A1091" s="67" t="s">
        <v>9451</v>
      </c>
      <c r="B1091" s="87" t="s">
        <v>9451</v>
      </c>
      <c r="C1091" s="88" t="s">
        <v>12688</v>
      </c>
      <c r="D1091" s="89"/>
      <c r="E1091" s="90"/>
      <c r="F1091" s="91" t="s">
        <v>12689</v>
      </c>
      <c r="G1091" s="90"/>
      <c r="H1091" s="90"/>
      <c r="I1091" s="92"/>
      <c r="J1091" s="93"/>
      <c r="K1091" s="94"/>
      <c r="L1091" s="149" t="str">
        <f>HYPERLINK("[#]DatatypeListedValues!B5716:H5716","Enumeration")</f>
        <v>Enumeration</v>
      </c>
      <c r="M1091" s="107" t="b">
        <v>0</v>
      </c>
      <c r="N1091" s="90"/>
      <c r="O1091" s="95"/>
      <c r="P1091" s="90"/>
      <c r="Q1091" s="96"/>
      <c r="R1091" s="97"/>
      <c r="S1091" s="169"/>
      <c r="U1091" s="188"/>
    </row>
    <row r="1092" spans="1:21" ht="2.1" customHeight="1">
      <c r="A1092" s="98"/>
      <c r="B1092" s="87"/>
      <c r="C1092" s="99"/>
      <c r="D1092" s="87"/>
      <c r="E1092" s="99"/>
      <c r="F1092" s="100"/>
      <c r="G1092" s="100"/>
      <c r="H1092" s="100"/>
      <c r="I1092" s="101"/>
      <c r="J1092" s="106"/>
      <c r="K1092" s="103"/>
      <c r="L1092" s="104"/>
      <c r="M1092" s="100"/>
      <c r="N1092" s="100"/>
      <c r="O1092" s="100"/>
      <c r="P1092" s="100"/>
      <c r="Q1092" s="105"/>
      <c r="R1092" s="105"/>
      <c r="S1092" s="169"/>
      <c r="T1092" s="300" t="str">
        <f>CONCATENATE([1]Cover!$D$6,"fdd/view?i=",S1092)</f>
        <v>https://www.dgiwg.org/FAD/fdd/view?i=</v>
      </c>
      <c r="U1092" s="188"/>
    </row>
    <row r="1093" spans="1:21">
      <c r="A1093" s="67" t="s">
        <v>9461</v>
      </c>
      <c r="B1093" s="87" t="s">
        <v>9461</v>
      </c>
      <c r="C1093" s="88" t="s">
        <v>12690</v>
      </c>
      <c r="D1093" s="89"/>
      <c r="E1093" s="90"/>
      <c r="F1093" s="91" t="s">
        <v>12691</v>
      </c>
      <c r="G1093" s="90"/>
      <c r="H1093" s="90"/>
      <c r="I1093" s="92"/>
      <c r="J1093" s="93"/>
      <c r="K1093" s="94"/>
      <c r="L1093" s="149" t="str">
        <f>HYPERLINK("[#]DatatypeListedValues!B5726:H5726","Enumeration")</f>
        <v>Enumeration</v>
      </c>
      <c r="M1093" s="91" t="b">
        <v>1</v>
      </c>
      <c r="N1093" s="90"/>
      <c r="O1093" s="95"/>
      <c r="P1093" s="90"/>
      <c r="Q1093" s="96"/>
      <c r="R1093" s="97"/>
      <c r="S1093" s="169"/>
      <c r="U1093" s="188"/>
    </row>
    <row r="1094" spans="1:21" ht="2.1" customHeight="1">
      <c r="A1094" s="98"/>
      <c r="B1094" s="87"/>
      <c r="C1094" s="99"/>
      <c r="D1094" s="87"/>
      <c r="E1094" s="99"/>
      <c r="F1094" s="100"/>
      <c r="G1094" s="100"/>
      <c r="H1094" s="100"/>
      <c r="I1094" s="101"/>
      <c r="J1094" s="106"/>
      <c r="K1094" s="103"/>
      <c r="L1094" s="104"/>
      <c r="M1094" s="100"/>
      <c r="N1094" s="100"/>
      <c r="O1094" s="100"/>
      <c r="P1094" s="100"/>
      <c r="Q1094" s="105"/>
      <c r="R1094" s="105"/>
      <c r="S1094" s="169"/>
      <c r="T1094" s="300" t="str">
        <f>CONCATENATE([1]Cover!$D$6,"fdd/view?i=",S1094)</f>
        <v>https://www.dgiwg.org/FAD/fdd/view?i=</v>
      </c>
      <c r="U1094" s="188"/>
    </row>
    <row r="1095" spans="1:21">
      <c r="A1095" s="67" t="s">
        <v>9467</v>
      </c>
      <c r="B1095" s="87" t="s">
        <v>9467</v>
      </c>
      <c r="C1095" s="88" t="s">
        <v>12692</v>
      </c>
      <c r="D1095" s="89"/>
      <c r="E1095" s="90"/>
      <c r="F1095" s="91" t="s">
        <v>12693</v>
      </c>
      <c r="G1095" s="90"/>
      <c r="H1095" s="90"/>
      <c r="I1095" s="92"/>
      <c r="J1095" s="93"/>
      <c r="K1095" s="94"/>
      <c r="L1095" s="149" t="str">
        <f>HYPERLINK("[#]DatatypeListedValues!B5732:H5732","Enumeration")</f>
        <v>Enumeration</v>
      </c>
      <c r="M1095" s="107" t="b">
        <v>0</v>
      </c>
      <c r="N1095" s="90"/>
      <c r="O1095" s="95"/>
      <c r="P1095" s="90"/>
      <c r="Q1095" s="96"/>
      <c r="R1095" s="97"/>
      <c r="S1095" s="169"/>
      <c r="U1095" s="188"/>
    </row>
    <row r="1096" spans="1:21" ht="2.1" customHeight="1">
      <c r="A1096" s="98"/>
      <c r="B1096" s="87"/>
      <c r="C1096" s="99"/>
      <c r="D1096" s="87"/>
      <c r="E1096" s="99"/>
      <c r="F1096" s="100"/>
      <c r="G1096" s="100"/>
      <c r="H1096" s="100"/>
      <c r="I1096" s="101"/>
      <c r="J1096" s="106"/>
      <c r="K1096" s="103"/>
      <c r="L1096" s="104"/>
      <c r="M1096" s="100"/>
      <c r="N1096" s="100"/>
      <c r="O1096" s="100"/>
      <c r="P1096" s="100"/>
      <c r="Q1096" s="105"/>
      <c r="R1096" s="105"/>
      <c r="S1096" s="169"/>
      <c r="T1096" s="300" t="str">
        <f>CONCATENATE([1]Cover!$D$6,"fdd/view?i=",S1096)</f>
        <v>https://www.dgiwg.org/FAD/fdd/view?i=</v>
      </c>
      <c r="U1096" s="188"/>
    </row>
    <row r="1097" spans="1:21" ht="38.25">
      <c r="A1097" s="67" t="s">
        <v>4650</v>
      </c>
      <c r="B1097" s="87" t="s">
        <v>4650</v>
      </c>
      <c r="C1097" s="88" t="s">
        <v>4650</v>
      </c>
      <c r="D1097" s="89"/>
      <c r="E1097" s="90"/>
      <c r="F1097" s="91" t="s">
        <v>12694</v>
      </c>
      <c r="G1097" s="91" t="s">
        <v>12695</v>
      </c>
      <c r="H1097" s="91" t="s">
        <v>12545</v>
      </c>
      <c r="I1097" s="92"/>
      <c r="J1097" s="93"/>
      <c r="K1097" s="94"/>
      <c r="L1097" s="91" t="s">
        <v>4650</v>
      </c>
      <c r="M1097" s="90"/>
      <c r="N1097" s="90"/>
      <c r="O1097" s="95"/>
      <c r="P1097" s="90"/>
      <c r="Q1097" s="96"/>
      <c r="R1097" s="97"/>
      <c r="S1097" s="169"/>
      <c r="U1097" s="188"/>
    </row>
    <row r="1098" spans="1:21" ht="2.1" customHeight="1">
      <c r="A1098" s="98"/>
      <c r="B1098" s="87"/>
      <c r="C1098" s="99"/>
      <c r="D1098" s="87"/>
      <c r="E1098" s="99"/>
      <c r="F1098" s="100"/>
      <c r="G1098" s="100"/>
      <c r="H1098" s="100"/>
      <c r="I1098" s="101"/>
      <c r="J1098" s="106"/>
      <c r="K1098" s="103"/>
      <c r="L1098" s="104"/>
      <c r="M1098" s="100"/>
      <c r="N1098" s="100"/>
      <c r="O1098" s="100"/>
      <c r="P1098" s="100"/>
      <c r="Q1098" s="105"/>
      <c r="R1098" s="105"/>
      <c r="S1098" s="169"/>
      <c r="T1098" s="300" t="str">
        <f>CONCATENATE([1]Cover!$D$6,"fdd/view?i=",S1098)</f>
        <v>https://www.dgiwg.org/FAD/fdd/view?i=</v>
      </c>
      <c r="U1098" s="188"/>
    </row>
    <row r="1099" spans="1:21" ht="38.25">
      <c r="A1099" s="63" t="s">
        <v>4644</v>
      </c>
      <c r="B1099" s="329" t="s">
        <v>4644</v>
      </c>
      <c r="C1099" s="326" t="s">
        <v>12696</v>
      </c>
      <c r="D1099" s="109"/>
      <c r="E1099" s="110"/>
      <c r="F1099" s="111" t="s">
        <v>12697</v>
      </c>
      <c r="G1099" s="111" t="s">
        <v>12698</v>
      </c>
      <c r="H1099" s="111" t="s">
        <v>11513</v>
      </c>
      <c r="I1099" s="112"/>
      <c r="J1099" s="113"/>
      <c r="K1099" s="114"/>
      <c r="L1099" s="115" t="s">
        <v>11429</v>
      </c>
      <c r="M1099" s="110"/>
      <c r="N1099" s="110"/>
      <c r="O1099" s="116"/>
      <c r="P1099" s="110"/>
      <c r="Q1099" s="117"/>
      <c r="R1099" s="118"/>
      <c r="S1099" s="169"/>
      <c r="U1099" s="188"/>
    </row>
    <row r="1100" spans="1:21" ht="51">
      <c r="A1100" s="64" t="s">
        <v>33705</v>
      </c>
      <c r="B1100" s="330"/>
      <c r="C1100" s="327"/>
      <c r="D1100" s="132" t="s">
        <v>11877</v>
      </c>
      <c r="E1100" s="138" t="s">
        <v>12022</v>
      </c>
      <c r="F1100" s="70" t="s">
        <v>12023</v>
      </c>
      <c r="G1100" s="70" t="s">
        <v>12024</v>
      </c>
      <c r="H1100" s="68"/>
      <c r="I1100" s="133" t="s">
        <v>4643</v>
      </c>
      <c r="J1100" s="142"/>
      <c r="K1100" s="135" t="s">
        <v>4650</v>
      </c>
      <c r="L1100" s="150" t="str">
        <f>HYPERLINK("[#]Datatypes!B1097:L1097","Real")</f>
        <v>Real</v>
      </c>
      <c r="M1100" s="122"/>
      <c r="N1100" s="122"/>
      <c r="O1100" s="122"/>
      <c r="P1100" s="122"/>
      <c r="Q1100" s="123"/>
      <c r="R1100" s="124"/>
      <c r="S1100" s="169"/>
      <c r="T1100" s="300" t="str">
        <f>CONCATENATE([1]Cover!$D$6,"fdd/view?i=",S1100)</f>
        <v>https://www.dgiwg.org/FAD/fdd/view?i=</v>
      </c>
      <c r="U1100" s="188"/>
    </row>
    <row r="1101" spans="1:21" ht="51">
      <c r="A1101" s="64" t="s">
        <v>33706</v>
      </c>
      <c r="B1101" s="330"/>
      <c r="C1101" s="327"/>
      <c r="D1101" s="136" t="s">
        <v>11881</v>
      </c>
      <c r="E1101" s="139" t="s">
        <v>12025</v>
      </c>
      <c r="F1101" s="8" t="s">
        <v>12026</v>
      </c>
      <c r="G1101" s="8" t="s">
        <v>12027</v>
      </c>
      <c r="H1101" s="54"/>
      <c r="I1101" s="119" t="s">
        <v>4643</v>
      </c>
      <c r="J1101" s="125"/>
      <c r="K1101" s="121" t="s">
        <v>4650</v>
      </c>
      <c r="L1101" s="151" t="str">
        <f>HYPERLINK("[#]Datatypes!B1097:L1097","Real")</f>
        <v>Real</v>
      </c>
      <c r="M1101" s="122"/>
      <c r="N1101" s="122"/>
      <c r="O1101" s="122"/>
      <c r="P1101" s="122"/>
      <c r="Q1101" s="123"/>
      <c r="R1101" s="124"/>
      <c r="S1101" s="169"/>
      <c r="U1101" s="188"/>
    </row>
    <row r="1102" spans="1:21" ht="25.5">
      <c r="A1102" s="65" t="s">
        <v>33707</v>
      </c>
      <c r="B1102" s="331"/>
      <c r="C1102" s="328"/>
      <c r="D1102" s="137" t="s">
        <v>11885</v>
      </c>
      <c r="E1102" s="140" t="s">
        <v>11886</v>
      </c>
      <c r="F1102" s="66" t="s">
        <v>12028</v>
      </c>
      <c r="G1102" s="66" t="s">
        <v>12029</v>
      </c>
      <c r="H1102" s="69"/>
      <c r="I1102" s="126" t="s">
        <v>4643</v>
      </c>
      <c r="J1102" s="141"/>
      <c r="K1102" s="128" t="s">
        <v>11889</v>
      </c>
      <c r="L1102" s="152" t="str">
        <f>HYPERLINK("[#]Datatypes!B730:L730","Interval Closure Type Code")</f>
        <v>Interval Closure Type Code</v>
      </c>
      <c r="M1102" s="129"/>
      <c r="N1102" s="129"/>
      <c r="O1102" s="129"/>
      <c r="P1102" s="129"/>
      <c r="Q1102" s="130"/>
      <c r="R1102" s="131"/>
      <c r="S1102" s="169"/>
      <c r="T1102" s="300" t="str">
        <f>CONCATENATE([1]Cover!$D$6,"fdd/view?i=",S1102)</f>
        <v>https://www.dgiwg.org/FAD/fdd/view?i=</v>
      </c>
      <c r="U1102" s="188"/>
    </row>
    <row r="1103" spans="1:21" ht="2.1" customHeight="1">
      <c r="A1103" s="98"/>
      <c r="B1103" s="87"/>
      <c r="C1103" s="99"/>
      <c r="D1103" s="87"/>
      <c r="E1103" s="99"/>
      <c r="F1103" s="100"/>
      <c r="G1103" s="100"/>
      <c r="H1103" s="100"/>
      <c r="I1103" s="101"/>
      <c r="J1103" s="106"/>
      <c r="K1103" s="103"/>
      <c r="L1103" s="104"/>
      <c r="M1103" s="100"/>
      <c r="N1103" s="100"/>
      <c r="O1103" s="100"/>
      <c r="P1103" s="100"/>
      <c r="Q1103" s="105"/>
      <c r="R1103" s="105"/>
      <c r="S1103" s="169"/>
      <c r="U1103" s="188"/>
    </row>
    <row r="1104" spans="1:21" ht="38.25">
      <c r="A1104" s="63" t="s">
        <v>12699</v>
      </c>
      <c r="B1104" s="329" t="s">
        <v>12699</v>
      </c>
      <c r="C1104" s="326" t="s">
        <v>12700</v>
      </c>
      <c r="D1104" s="109"/>
      <c r="E1104" s="110"/>
      <c r="F1104" s="111" t="s">
        <v>12701</v>
      </c>
      <c r="G1104" s="111" t="s">
        <v>12698</v>
      </c>
      <c r="H1104" s="111" t="s">
        <v>11513</v>
      </c>
      <c r="I1104" s="112"/>
      <c r="J1104" s="113"/>
      <c r="K1104" s="114"/>
      <c r="L1104" s="115" t="s">
        <v>11429</v>
      </c>
      <c r="M1104" s="110"/>
      <c r="N1104" s="110"/>
      <c r="O1104" s="116"/>
      <c r="P1104" s="110"/>
      <c r="Q1104" s="117"/>
      <c r="R1104" s="118"/>
      <c r="S1104" s="169"/>
      <c r="T1104" s="300" t="str">
        <f>CONCATENATE([1]Cover!$D$6,"fdd/view?i=",S1104)</f>
        <v>https://www.dgiwg.org/FAD/fdd/view?i=</v>
      </c>
      <c r="U1104" s="188"/>
    </row>
    <row r="1105" spans="1:21" ht="51">
      <c r="A1105" s="64" t="s">
        <v>33705</v>
      </c>
      <c r="B1105" s="330"/>
      <c r="C1105" s="327"/>
      <c r="D1105" s="132" t="s">
        <v>11877</v>
      </c>
      <c r="E1105" s="138" t="s">
        <v>12022</v>
      </c>
      <c r="F1105" s="70" t="s">
        <v>12023</v>
      </c>
      <c r="G1105" s="70" t="s">
        <v>12024</v>
      </c>
      <c r="H1105" s="68"/>
      <c r="I1105" s="133" t="s">
        <v>4643</v>
      </c>
      <c r="J1105" s="142"/>
      <c r="K1105" s="135" t="s">
        <v>4650</v>
      </c>
      <c r="L1105" s="150" t="str">
        <f>HYPERLINK("[#]Datatypes!B1097:L1097","Real")</f>
        <v>Real</v>
      </c>
      <c r="M1105" s="122"/>
      <c r="N1105" s="122"/>
      <c r="O1105" s="122"/>
      <c r="P1105" s="122"/>
      <c r="Q1105" s="123"/>
      <c r="R1105" s="124"/>
      <c r="S1105" s="169"/>
      <c r="U1105" s="188"/>
    </row>
    <row r="1106" spans="1:21" ht="51">
      <c r="A1106" s="64" t="s">
        <v>33706</v>
      </c>
      <c r="B1106" s="330"/>
      <c r="C1106" s="327"/>
      <c r="D1106" s="136" t="s">
        <v>11881</v>
      </c>
      <c r="E1106" s="139" t="s">
        <v>12025</v>
      </c>
      <c r="F1106" s="8" t="s">
        <v>12026</v>
      </c>
      <c r="G1106" s="8" t="s">
        <v>12027</v>
      </c>
      <c r="H1106" s="54"/>
      <c r="I1106" s="119" t="s">
        <v>4643</v>
      </c>
      <c r="J1106" s="125"/>
      <c r="K1106" s="121" t="s">
        <v>4650</v>
      </c>
      <c r="L1106" s="151" t="str">
        <f>HYPERLINK("[#]Datatypes!B1097:L1097","Real")</f>
        <v>Real</v>
      </c>
      <c r="M1106" s="122"/>
      <c r="N1106" s="122"/>
      <c r="O1106" s="122"/>
      <c r="P1106" s="122"/>
      <c r="Q1106" s="123"/>
      <c r="R1106" s="124"/>
      <c r="S1106" s="169"/>
      <c r="T1106" s="300" t="str">
        <f>CONCATENATE([1]Cover!$D$6,"fdd/view?i=",S1106)</f>
        <v>https://www.dgiwg.org/FAD/fdd/view?i=</v>
      </c>
      <c r="U1106" s="188"/>
    </row>
    <row r="1107" spans="1:21" ht="25.5">
      <c r="A1107" s="64" t="s">
        <v>33707</v>
      </c>
      <c r="B1107" s="330"/>
      <c r="C1107" s="327"/>
      <c r="D1107" s="136" t="s">
        <v>11885</v>
      </c>
      <c r="E1107" s="139" t="s">
        <v>11886</v>
      </c>
      <c r="F1107" s="8" t="s">
        <v>12028</v>
      </c>
      <c r="G1107" s="8" t="s">
        <v>12029</v>
      </c>
      <c r="H1107" s="54"/>
      <c r="I1107" s="119" t="s">
        <v>4643</v>
      </c>
      <c r="J1107" s="125"/>
      <c r="K1107" s="121" t="s">
        <v>11889</v>
      </c>
      <c r="L1107" s="151" t="str">
        <f>HYPERLINK("[#]Datatypes!B730:L730","Interval Closure Type Code")</f>
        <v>Interval Closure Type Code</v>
      </c>
      <c r="M1107" s="122"/>
      <c r="N1107" s="122"/>
      <c r="O1107" s="122"/>
      <c r="P1107" s="122"/>
      <c r="Q1107" s="123"/>
      <c r="R1107" s="124"/>
      <c r="S1107" s="169"/>
      <c r="U1107" s="188"/>
    </row>
    <row r="1108" spans="1:21" ht="38.25">
      <c r="A1108" s="65" t="s">
        <v>33686</v>
      </c>
      <c r="B1108" s="331"/>
      <c r="C1108" s="328"/>
      <c r="D1108" s="137" t="s">
        <v>11682</v>
      </c>
      <c r="E1108" s="140" t="s">
        <v>11683</v>
      </c>
      <c r="F1108" s="66" t="s">
        <v>11684</v>
      </c>
      <c r="G1108" s="66" t="s">
        <v>11685</v>
      </c>
      <c r="H1108" s="69"/>
      <c r="I1108" s="126" t="s">
        <v>4643</v>
      </c>
      <c r="J1108" s="141"/>
      <c r="K1108" s="128" t="s">
        <v>11686</v>
      </c>
      <c r="L1108" s="152" t="str">
        <f>HYPERLINK("[#]Datatypes!B1544:L1544","Void Value Reason Code")</f>
        <v>Void Value Reason Code</v>
      </c>
      <c r="M1108" s="129"/>
      <c r="N1108" s="129"/>
      <c r="O1108" s="129"/>
      <c r="P1108" s="129"/>
      <c r="Q1108" s="130"/>
      <c r="R1108" s="131"/>
      <c r="S1108" s="169"/>
      <c r="T1108" s="300" t="str">
        <f>CONCATENATE([1]Cover!$D$6,"fdd/view?i=",S1108)</f>
        <v>https://www.dgiwg.org/FAD/fdd/view?i=</v>
      </c>
      <c r="U1108" s="188"/>
    </row>
    <row r="1109" spans="1:21" ht="2.1" customHeight="1">
      <c r="A1109" s="98"/>
      <c r="B1109" s="87"/>
      <c r="C1109" s="99"/>
      <c r="D1109" s="87"/>
      <c r="E1109" s="99"/>
      <c r="F1109" s="100"/>
      <c r="G1109" s="100"/>
      <c r="H1109" s="100"/>
      <c r="I1109" s="101"/>
      <c r="J1109" s="106"/>
      <c r="K1109" s="103"/>
      <c r="L1109" s="104"/>
      <c r="M1109" s="100"/>
      <c r="N1109" s="100"/>
      <c r="O1109" s="100"/>
      <c r="P1109" s="100"/>
      <c r="Q1109" s="105"/>
      <c r="R1109" s="105"/>
      <c r="S1109" s="169"/>
      <c r="U1109" s="188"/>
    </row>
    <row r="1110" spans="1:21" ht="38.25">
      <c r="A1110" s="63" t="s">
        <v>5379</v>
      </c>
      <c r="B1110" s="329" t="s">
        <v>5379</v>
      </c>
      <c r="C1110" s="326" t="s">
        <v>12702</v>
      </c>
      <c r="D1110" s="109"/>
      <c r="E1110" s="110"/>
      <c r="F1110" s="111" t="s">
        <v>12703</v>
      </c>
      <c r="G1110" s="110"/>
      <c r="H1110" s="111" t="s">
        <v>11513</v>
      </c>
      <c r="I1110" s="112"/>
      <c r="J1110" s="113"/>
      <c r="K1110" s="114"/>
      <c r="L1110" s="115" t="s">
        <v>11429</v>
      </c>
      <c r="M1110" s="110"/>
      <c r="N1110" s="110"/>
      <c r="O1110" s="116"/>
      <c r="P1110" s="110"/>
      <c r="Q1110" s="145" t="s">
        <v>12295</v>
      </c>
      <c r="R1110" s="146" t="s">
        <v>12704</v>
      </c>
      <c r="S1110" s="169"/>
      <c r="T1110" s="300" t="str">
        <f>CONCATENATE([1]Cover!$D$6,"fdd/view?i=",S1110)</f>
        <v>https://www.dgiwg.org/FAD/fdd/view?i=</v>
      </c>
      <c r="U1110" s="188"/>
    </row>
    <row r="1111" spans="1:21" ht="51">
      <c r="A1111" s="64" t="s">
        <v>33705</v>
      </c>
      <c r="B1111" s="330"/>
      <c r="C1111" s="327"/>
      <c r="D1111" s="132" t="s">
        <v>11877</v>
      </c>
      <c r="E1111" s="138" t="s">
        <v>12022</v>
      </c>
      <c r="F1111" s="70" t="s">
        <v>12023</v>
      </c>
      <c r="G1111" s="70" t="s">
        <v>12024</v>
      </c>
      <c r="H1111" s="68"/>
      <c r="I1111" s="133" t="s">
        <v>4643</v>
      </c>
      <c r="J1111" s="142"/>
      <c r="K1111" s="135" t="s">
        <v>4650</v>
      </c>
      <c r="L1111" s="150" t="str">
        <f>HYPERLINK("[#]Datatypes!B1097:L1097","Real")</f>
        <v>Real</v>
      </c>
      <c r="M1111" s="122"/>
      <c r="N1111" s="122"/>
      <c r="O1111" s="122"/>
      <c r="P1111" s="122"/>
      <c r="Q1111" s="123"/>
      <c r="R1111" s="124"/>
      <c r="S1111" s="169"/>
      <c r="U1111" s="188"/>
    </row>
    <row r="1112" spans="1:21" ht="51">
      <c r="A1112" s="64" t="s">
        <v>33706</v>
      </c>
      <c r="B1112" s="330"/>
      <c r="C1112" s="327"/>
      <c r="D1112" s="136" t="s">
        <v>11881</v>
      </c>
      <c r="E1112" s="139" t="s">
        <v>12025</v>
      </c>
      <c r="F1112" s="8" t="s">
        <v>12023</v>
      </c>
      <c r="G1112" s="8" t="s">
        <v>12027</v>
      </c>
      <c r="H1112" s="54"/>
      <c r="I1112" s="119" t="s">
        <v>4643</v>
      </c>
      <c r="J1112" s="125"/>
      <c r="K1112" s="121" t="s">
        <v>4650</v>
      </c>
      <c r="L1112" s="151" t="str">
        <f>HYPERLINK("[#]Datatypes!B1097:L1097","Real")</f>
        <v>Real</v>
      </c>
      <c r="M1112" s="122"/>
      <c r="N1112" s="122"/>
      <c r="O1112" s="122"/>
      <c r="P1112" s="122"/>
      <c r="Q1112" s="123"/>
      <c r="R1112" s="124"/>
      <c r="S1112" s="169"/>
      <c r="T1112" s="300" t="str">
        <f>CONCATENATE([1]Cover!$D$6,"fdd/view?i=",S1112)</f>
        <v>https://www.dgiwg.org/FAD/fdd/view?i=</v>
      </c>
      <c r="U1112" s="188"/>
    </row>
    <row r="1113" spans="1:21" ht="25.5">
      <c r="A1113" s="65" t="s">
        <v>33707</v>
      </c>
      <c r="B1113" s="331"/>
      <c r="C1113" s="328"/>
      <c r="D1113" s="137" t="s">
        <v>11885</v>
      </c>
      <c r="E1113" s="140" t="s">
        <v>11886</v>
      </c>
      <c r="F1113" s="66" t="s">
        <v>12028</v>
      </c>
      <c r="G1113" s="66" t="s">
        <v>12029</v>
      </c>
      <c r="H1113" s="69"/>
      <c r="I1113" s="126" t="s">
        <v>4643</v>
      </c>
      <c r="J1113" s="141"/>
      <c r="K1113" s="128" t="s">
        <v>11889</v>
      </c>
      <c r="L1113" s="152" t="str">
        <f>HYPERLINK("[#]Datatypes!B730:L730","Interval Closure Type Code")</f>
        <v>Interval Closure Type Code</v>
      </c>
      <c r="M1113" s="129"/>
      <c r="N1113" s="129"/>
      <c r="O1113" s="129"/>
      <c r="P1113" s="129"/>
      <c r="Q1113" s="130"/>
      <c r="R1113" s="131"/>
      <c r="S1113" s="169"/>
      <c r="U1113" s="188"/>
    </row>
    <row r="1114" spans="1:21" ht="2.1" customHeight="1">
      <c r="A1114" s="98"/>
      <c r="B1114" s="87"/>
      <c r="C1114" s="99"/>
      <c r="D1114" s="87"/>
      <c r="E1114" s="99"/>
      <c r="F1114" s="100"/>
      <c r="G1114" s="100"/>
      <c r="H1114" s="100"/>
      <c r="I1114" s="101"/>
      <c r="J1114" s="106"/>
      <c r="K1114" s="103"/>
      <c r="L1114" s="104"/>
      <c r="M1114" s="100"/>
      <c r="N1114" s="100"/>
      <c r="O1114" s="100"/>
      <c r="P1114" s="100"/>
      <c r="Q1114" s="105"/>
      <c r="R1114" s="105"/>
      <c r="S1114" s="169"/>
      <c r="T1114" s="300" t="str">
        <f>CONCATENATE([1]Cover!$D$6,"fdd/view?i=",S1114)</f>
        <v>https://www.dgiwg.org/FAD/fdd/view?i=</v>
      </c>
      <c r="U1114" s="188"/>
    </row>
    <row r="1115" spans="1:21" ht="38.25">
      <c r="A1115" s="63" t="s">
        <v>6564</v>
      </c>
      <c r="B1115" s="329" t="s">
        <v>6564</v>
      </c>
      <c r="C1115" s="326" t="s">
        <v>12705</v>
      </c>
      <c r="D1115" s="109"/>
      <c r="E1115" s="110"/>
      <c r="F1115" s="111" t="s">
        <v>12706</v>
      </c>
      <c r="G1115" s="110"/>
      <c r="H1115" s="111" t="s">
        <v>11513</v>
      </c>
      <c r="I1115" s="112"/>
      <c r="J1115" s="113"/>
      <c r="K1115" s="114"/>
      <c r="L1115" s="115" t="s">
        <v>11429</v>
      </c>
      <c r="M1115" s="110"/>
      <c r="N1115" s="110"/>
      <c r="O1115" s="116"/>
      <c r="P1115" s="110"/>
      <c r="Q1115" s="145" t="s">
        <v>12295</v>
      </c>
      <c r="R1115" s="146" t="s">
        <v>12707</v>
      </c>
      <c r="S1115" s="169"/>
      <c r="U1115" s="188"/>
    </row>
    <row r="1116" spans="1:21" ht="51">
      <c r="A1116" s="64" t="s">
        <v>33705</v>
      </c>
      <c r="B1116" s="330"/>
      <c r="C1116" s="327"/>
      <c r="D1116" s="132" t="s">
        <v>11877</v>
      </c>
      <c r="E1116" s="138" t="s">
        <v>12022</v>
      </c>
      <c r="F1116" s="70" t="s">
        <v>12023</v>
      </c>
      <c r="G1116" s="70" t="s">
        <v>12024</v>
      </c>
      <c r="H1116" s="68"/>
      <c r="I1116" s="133" t="s">
        <v>4643</v>
      </c>
      <c r="J1116" s="142"/>
      <c r="K1116" s="135" t="s">
        <v>4650</v>
      </c>
      <c r="L1116" s="150" t="str">
        <f>HYPERLINK("[#]Datatypes!B1097:L1097","Real")</f>
        <v>Real</v>
      </c>
      <c r="M1116" s="122"/>
      <c r="N1116" s="122"/>
      <c r="O1116" s="122"/>
      <c r="P1116" s="122"/>
      <c r="Q1116" s="123"/>
      <c r="R1116" s="124"/>
      <c r="S1116" s="169"/>
      <c r="T1116" s="300" t="str">
        <f>CONCATENATE([1]Cover!$D$6,"fdd/view?i=",S1116)</f>
        <v>https://www.dgiwg.org/FAD/fdd/view?i=</v>
      </c>
      <c r="U1116" s="188"/>
    </row>
    <row r="1117" spans="1:21" ht="51">
      <c r="A1117" s="64" t="s">
        <v>33706</v>
      </c>
      <c r="B1117" s="330"/>
      <c r="C1117" s="327"/>
      <c r="D1117" s="136" t="s">
        <v>11881</v>
      </c>
      <c r="E1117" s="139" t="s">
        <v>12025</v>
      </c>
      <c r="F1117" s="8" t="s">
        <v>12023</v>
      </c>
      <c r="G1117" s="8" t="s">
        <v>12027</v>
      </c>
      <c r="H1117" s="54"/>
      <c r="I1117" s="119" t="s">
        <v>4643</v>
      </c>
      <c r="J1117" s="125"/>
      <c r="K1117" s="121" t="s">
        <v>4650</v>
      </c>
      <c r="L1117" s="151" t="str">
        <f>HYPERLINK("[#]Datatypes!B1097:L1097","Real")</f>
        <v>Real</v>
      </c>
      <c r="M1117" s="122"/>
      <c r="N1117" s="122"/>
      <c r="O1117" s="122"/>
      <c r="P1117" s="122"/>
      <c r="Q1117" s="123"/>
      <c r="R1117" s="124"/>
      <c r="S1117" s="169"/>
      <c r="U1117" s="188"/>
    </row>
    <row r="1118" spans="1:21" ht="25.5">
      <c r="A1118" s="65" t="s">
        <v>33707</v>
      </c>
      <c r="B1118" s="331"/>
      <c r="C1118" s="328"/>
      <c r="D1118" s="137" t="s">
        <v>11885</v>
      </c>
      <c r="E1118" s="140" t="s">
        <v>11886</v>
      </c>
      <c r="F1118" s="66" t="s">
        <v>12028</v>
      </c>
      <c r="G1118" s="66" t="s">
        <v>12029</v>
      </c>
      <c r="H1118" s="69"/>
      <c r="I1118" s="126" t="s">
        <v>4643</v>
      </c>
      <c r="J1118" s="141"/>
      <c r="K1118" s="128" t="s">
        <v>11889</v>
      </c>
      <c r="L1118" s="152" t="str">
        <f>HYPERLINK("[#]Datatypes!B730:L730","Interval Closure Type Code")</f>
        <v>Interval Closure Type Code</v>
      </c>
      <c r="M1118" s="129"/>
      <c r="N1118" s="129"/>
      <c r="O1118" s="129"/>
      <c r="P1118" s="129"/>
      <c r="Q1118" s="130"/>
      <c r="R1118" s="131"/>
      <c r="S1118" s="169"/>
      <c r="T1118" s="300" t="str">
        <f>CONCATENATE([1]Cover!$D$6,"fdd/view?i=",S1118)</f>
        <v>https://www.dgiwg.org/FAD/fdd/view?i=</v>
      </c>
      <c r="U1118" s="188"/>
    </row>
    <row r="1119" spans="1:21" ht="2.1" customHeight="1">
      <c r="A1119" s="98"/>
      <c r="B1119" s="87"/>
      <c r="C1119" s="99"/>
      <c r="D1119" s="87"/>
      <c r="E1119" s="99"/>
      <c r="F1119" s="100"/>
      <c r="G1119" s="100"/>
      <c r="H1119" s="100"/>
      <c r="I1119" s="101"/>
      <c r="J1119" s="106"/>
      <c r="K1119" s="103"/>
      <c r="L1119" s="104"/>
      <c r="M1119" s="100"/>
      <c r="N1119" s="100"/>
      <c r="O1119" s="100"/>
      <c r="P1119" s="100"/>
      <c r="Q1119" s="105"/>
      <c r="R1119" s="105"/>
      <c r="S1119" s="169"/>
      <c r="U1119" s="188"/>
    </row>
    <row r="1120" spans="1:21" ht="38.25">
      <c r="A1120" s="63" t="s">
        <v>12708</v>
      </c>
      <c r="B1120" s="329" t="s">
        <v>12708</v>
      </c>
      <c r="C1120" s="326" t="s">
        <v>12709</v>
      </c>
      <c r="D1120" s="109"/>
      <c r="E1120" s="110"/>
      <c r="F1120" s="111" t="s">
        <v>12710</v>
      </c>
      <c r="G1120" s="111" t="s">
        <v>12695</v>
      </c>
      <c r="H1120" s="111" t="s">
        <v>11513</v>
      </c>
      <c r="I1120" s="112"/>
      <c r="J1120" s="113"/>
      <c r="K1120" s="114"/>
      <c r="L1120" s="115" t="s">
        <v>11429</v>
      </c>
      <c r="M1120" s="110"/>
      <c r="N1120" s="110"/>
      <c r="O1120" s="116"/>
      <c r="P1120" s="110"/>
      <c r="Q1120" s="117"/>
      <c r="R1120" s="118"/>
      <c r="S1120" s="169"/>
      <c r="T1120" s="300" t="str">
        <f>CONCATENATE([1]Cover!$D$6,"fdd/view?i=",S1120)</f>
        <v>https://www.dgiwg.org/FAD/fdd/view?i=</v>
      </c>
      <c r="U1120" s="188"/>
    </row>
    <row r="1121" spans="1:21" ht="51">
      <c r="A1121" s="64" t="s">
        <v>33685</v>
      </c>
      <c r="B1121" s="330"/>
      <c r="C1121" s="327"/>
      <c r="D1121" s="132" t="s">
        <v>11678</v>
      </c>
      <c r="E1121" s="138" t="s">
        <v>12042</v>
      </c>
      <c r="F1121" s="70" t="s">
        <v>12043</v>
      </c>
      <c r="G1121" s="70" t="s">
        <v>12044</v>
      </c>
      <c r="H1121" s="68"/>
      <c r="I1121" s="133" t="s">
        <v>4643</v>
      </c>
      <c r="J1121" s="142"/>
      <c r="K1121" s="135" t="s">
        <v>4650</v>
      </c>
      <c r="L1121" s="150" t="str">
        <f>HYPERLINK("[#]Datatypes!B1097:L1097","Real")</f>
        <v>Real</v>
      </c>
      <c r="M1121" s="122"/>
      <c r="N1121" s="122"/>
      <c r="O1121" s="122"/>
      <c r="P1121" s="122"/>
      <c r="Q1121" s="123"/>
      <c r="R1121" s="124"/>
      <c r="S1121" s="169"/>
      <c r="U1121" s="188"/>
    </row>
    <row r="1122" spans="1:21" ht="38.25">
      <c r="A1122" s="65" t="s">
        <v>33686</v>
      </c>
      <c r="B1122" s="331"/>
      <c r="C1122" s="328"/>
      <c r="D1122" s="137" t="s">
        <v>11682</v>
      </c>
      <c r="E1122" s="140" t="s">
        <v>11683</v>
      </c>
      <c r="F1122" s="66" t="s">
        <v>11684</v>
      </c>
      <c r="G1122" s="66" t="s">
        <v>11685</v>
      </c>
      <c r="H1122" s="69"/>
      <c r="I1122" s="126" t="s">
        <v>4643</v>
      </c>
      <c r="J1122" s="141"/>
      <c r="K1122" s="128" t="s">
        <v>11686</v>
      </c>
      <c r="L1122" s="152" t="str">
        <f>HYPERLINK("[#]Datatypes!B1544:L1544","Void Value Reason Code")</f>
        <v>Void Value Reason Code</v>
      </c>
      <c r="M1122" s="129"/>
      <c r="N1122" s="129"/>
      <c r="O1122" s="129"/>
      <c r="P1122" s="129"/>
      <c r="Q1122" s="130"/>
      <c r="R1122" s="131"/>
      <c r="S1122" s="169"/>
      <c r="T1122" s="300" t="str">
        <f>CONCATENATE([1]Cover!$D$6,"fdd/view?i=",S1122)</f>
        <v>https://www.dgiwg.org/FAD/fdd/view?i=</v>
      </c>
      <c r="U1122" s="188"/>
    </row>
    <row r="1123" spans="1:21" ht="2.1" customHeight="1">
      <c r="A1123" s="98"/>
      <c r="B1123" s="87"/>
      <c r="C1123" s="99"/>
      <c r="D1123" s="87"/>
      <c r="E1123" s="99"/>
      <c r="F1123" s="100"/>
      <c r="G1123" s="100"/>
      <c r="H1123" s="100"/>
      <c r="I1123" s="101"/>
      <c r="J1123" s="106"/>
      <c r="K1123" s="103"/>
      <c r="L1123" s="104"/>
      <c r="M1123" s="100"/>
      <c r="N1123" s="100"/>
      <c r="O1123" s="100"/>
      <c r="P1123" s="100"/>
      <c r="Q1123" s="105"/>
      <c r="R1123" s="105"/>
      <c r="S1123" s="169"/>
      <c r="U1123" s="188"/>
    </row>
    <row r="1124" spans="1:21" ht="38.25">
      <c r="A1124" s="67" t="s">
        <v>10656</v>
      </c>
      <c r="B1124" s="87" t="s">
        <v>10656</v>
      </c>
      <c r="C1124" s="88" t="s">
        <v>12711</v>
      </c>
      <c r="D1124" s="89"/>
      <c r="E1124" s="90"/>
      <c r="F1124" s="91" t="s">
        <v>12712</v>
      </c>
      <c r="G1124" s="90"/>
      <c r="H1124" s="91" t="s">
        <v>12545</v>
      </c>
      <c r="I1124" s="92"/>
      <c r="J1124" s="93"/>
      <c r="K1124" s="94"/>
      <c r="L1124" s="91" t="s">
        <v>4650</v>
      </c>
      <c r="M1124" s="90"/>
      <c r="N1124" s="90"/>
      <c r="O1124" s="95"/>
      <c r="P1124" s="90"/>
      <c r="Q1124" s="143" t="s">
        <v>12295</v>
      </c>
      <c r="R1124" s="144" t="s">
        <v>12299</v>
      </c>
      <c r="S1124" s="169"/>
      <c r="T1124" s="300" t="str">
        <f>CONCATENATE([1]Cover!$D$6,"fdd/view?i=",S1124)</f>
        <v>https://www.dgiwg.org/FAD/fdd/view?i=</v>
      </c>
      <c r="U1124" s="188"/>
    </row>
    <row r="1125" spans="1:21" ht="2.1" customHeight="1">
      <c r="A1125" s="98"/>
      <c r="B1125" s="87"/>
      <c r="C1125" s="99"/>
      <c r="D1125" s="87"/>
      <c r="E1125" s="99"/>
      <c r="F1125" s="100"/>
      <c r="G1125" s="100"/>
      <c r="H1125" s="100"/>
      <c r="I1125" s="101"/>
      <c r="J1125" s="106"/>
      <c r="K1125" s="103"/>
      <c r="L1125" s="104"/>
      <c r="M1125" s="100"/>
      <c r="N1125" s="100"/>
      <c r="O1125" s="100"/>
      <c r="P1125" s="100"/>
      <c r="Q1125" s="105"/>
      <c r="R1125" s="105"/>
      <c r="S1125" s="169"/>
      <c r="U1125" s="188"/>
    </row>
    <row r="1126" spans="1:21" ht="38.25">
      <c r="A1126" s="67" t="s">
        <v>5286</v>
      </c>
      <c r="B1126" s="87" t="s">
        <v>5286</v>
      </c>
      <c r="C1126" s="88" t="s">
        <v>12713</v>
      </c>
      <c r="D1126" s="89"/>
      <c r="E1126" s="90"/>
      <c r="F1126" s="91" t="s">
        <v>12714</v>
      </c>
      <c r="G1126" s="90"/>
      <c r="H1126" s="91" t="s">
        <v>12545</v>
      </c>
      <c r="I1126" s="92"/>
      <c r="J1126" s="93"/>
      <c r="K1126" s="94"/>
      <c r="L1126" s="91" t="s">
        <v>4650</v>
      </c>
      <c r="M1126" s="90"/>
      <c r="N1126" s="90"/>
      <c r="O1126" s="95"/>
      <c r="P1126" s="90"/>
      <c r="Q1126" s="143" t="s">
        <v>12295</v>
      </c>
      <c r="R1126" s="144" t="s">
        <v>12715</v>
      </c>
      <c r="S1126" s="169"/>
      <c r="T1126" s="300" t="str">
        <f>CONCATENATE([1]Cover!$D$6,"fdd/view?i=",S1126)</f>
        <v>https://www.dgiwg.org/FAD/fdd/view?i=</v>
      </c>
      <c r="U1126" s="188"/>
    </row>
    <row r="1127" spans="1:21" ht="2.1" customHeight="1">
      <c r="A1127" s="98"/>
      <c r="B1127" s="87"/>
      <c r="C1127" s="99"/>
      <c r="D1127" s="87"/>
      <c r="E1127" s="99"/>
      <c r="F1127" s="100"/>
      <c r="G1127" s="100"/>
      <c r="H1127" s="100"/>
      <c r="I1127" s="101"/>
      <c r="J1127" s="106"/>
      <c r="K1127" s="103"/>
      <c r="L1127" s="104"/>
      <c r="M1127" s="100"/>
      <c r="N1127" s="100"/>
      <c r="O1127" s="100"/>
      <c r="P1127" s="100"/>
      <c r="Q1127" s="105"/>
      <c r="R1127" s="105"/>
      <c r="S1127" s="169"/>
      <c r="U1127" s="188"/>
    </row>
    <row r="1128" spans="1:21" ht="38.25">
      <c r="A1128" s="67" t="s">
        <v>5657</v>
      </c>
      <c r="B1128" s="87" t="s">
        <v>5657</v>
      </c>
      <c r="C1128" s="88" t="s">
        <v>12716</v>
      </c>
      <c r="D1128" s="89"/>
      <c r="E1128" s="90"/>
      <c r="F1128" s="91" t="s">
        <v>12717</v>
      </c>
      <c r="G1128" s="90"/>
      <c r="H1128" s="91" t="s">
        <v>12545</v>
      </c>
      <c r="I1128" s="92"/>
      <c r="J1128" s="93"/>
      <c r="K1128" s="94"/>
      <c r="L1128" s="91" t="s">
        <v>4650</v>
      </c>
      <c r="M1128" s="90"/>
      <c r="N1128" s="90"/>
      <c r="O1128" s="95"/>
      <c r="P1128" s="90"/>
      <c r="Q1128" s="143" t="s">
        <v>12295</v>
      </c>
      <c r="R1128" s="144" t="s">
        <v>12707</v>
      </c>
      <c r="S1128" s="169"/>
      <c r="T1128" s="300" t="str">
        <f>CONCATENATE([1]Cover!$D$6,"fdd/view?i=",S1128)</f>
        <v>https://www.dgiwg.org/FAD/fdd/view?i=</v>
      </c>
      <c r="U1128" s="188"/>
    </row>
    <row r="1129" spans="1:21" ht="2.1" customHeight="1">
      <c r="A1129" s="98"/>
      <c r="B1129" s="87"/>
      <c r="C1129" s="99"/>
      <c r="D1129" s="87"/>
      <c r="E1129" s="99"/>
      <c r="F1129" s="100"/>
      <c r="G1129" s="100"/>
      <c r="H1129" s="100"/>
      <c r="I1129" s="101"/>
      <c r="J1129" s="106"/>
      <c r="K1129" s="103"/>
      <c r="L1129" s="104"/>
      <c r="M1129" s="100"/>
      <c r="N1129" s="100"/>
      <c r="O1129" s="100"/>
      <c r="P1129" s="100"/>
      <c r="Q1129" s="105"/>
      <c r="R1129" s="105"/>
      <c r="S1129" s="169"/>
      <c r="U1129" s="188"/>
    </row>
    <row r="1130" spans="1:21" ht="38.25">
      <c r="A1130" s="67" t="s">
        <v>7294</v>
      </c>
      <c r="B1130" s="87" t="s">
        <v>7294</v>
      </c>
      <c r="C1130" s="88" t="s">
        <v>12718</v>
      </c>
      <c r="D1130" s="89"/>
      <c r="E1130" s="90"/>
      <c r="F1130" s="91" t="s">
        <v>12719</v>
      </c>
      <c r="G1130" s="90"/>
      <c r="H1130" s="91" t="s">
        <v>12545</v>
      </c>
      <c r="I1130" s="92"/>
      <c r="J1130" s="93"/>
      <c r="K1130" s="94"/>
      <c r="L1130" s="91" t="s">
        <v>4650</v>
      </c>
      <c r="M1130" s="90"/>
      <c r="N1130" s="90"/>
      <c r="O1130" s="95"/>
      <c r="P1130" s="90"/>
      <c r="Q1130" s="143" t="s">
        <v>12720</v>
      </c>
      <c r="R1130" s="144" t="s">
        <v>12721</v>
      </c>
      <c r="S1130" s="169"/>
      <c r="T1130" s="300" t="str">
        <f>CONCATENATE([1]Cover!$D$6,"fdd/view?i=",S1130)</f>
        <v>https://www.dgiwg.org/FAD/fdd/view?i=</v>
      </c>
      <c r="U1130" s="188"/>
    </row>
    <row r="1131" spans="1:21" ht="2.1" customHeight="1">
      <c r="A1131" s="98"/>
      <c r="B1131" s="87"/>
      <c r="C1131" s="99"/>
      <c r="D1131" s="87"/>
      <c r="E1131" s="99"/>
      <c r="F1131" s="100"/>
      <c r="G1131" s="100"/>
      <c r="H1131" s="100"/>
      <c r="I1131" s="101"/>
      <c r="J1131" s="106"/>
      <c r="K1131" s="103"/>
      <c r="L1131" s="104"/>
      <c r="M1131" s="100"/>
      <c r="N1131" s="100"/>
      <c r="O1131" s="100"/>
      <c r="P1131" s="100"/>
      <c r="Q1131" s="105"/>
      <c r="R1131" s="105"/>
      <c r="S1131" s="169"/>
      <c r="U1131" s="188"/>
    </row>
    <row r="1132" spans="1:21" ht="38.25">
      <c r="A1132" s="67" t="s">
        <v>6672</v>
      </c>
      <c r="B1132" s="87" t="s">
        <v>6672</v>
      </c>
      <c r="C1132" s="88" t="s">
        <v>12722</v>
      </c>
      <c r="D1132" s="89"/>
      <c r="E1132" s="90"/>
      <c r="F1132" s="91" t="s">
        <v>12723</v>
      </c>
      <c r="G1132" s="90"/>
      <c r="H1132" s="91" t="s">
        <v>12545</v>
      </c>
      <c r="I1132" s="92"/>
      <c r="J1132" s="93"/>
      <c r="K1132" s="94"/>
      <c r="L1132" s="91" t="s">
        <v>4650</v>
      </c>
      <c r="M1132" s="90"/>
      <c r="N1132" s="90"/>
      <c r="O1132" s="95"/>
      <c r="P1132" s="90"/>
      <c r="Q1132" s="143" t="s">
        <v>12724</v>
      </c>
      <c r="R1132" s="144" t="s">
        <v>12725</v>
      </c>
      <c r="S1132" s="169"/>
      <c r="T1132" s="300" t="str">
        <f>CONCATENATE([1]Cover!$D$6,"fdd/view?i=",S1132)</f>
        <v>https://www.dgiwg.org/FAD/fdd/view?i=</v>
      </c>
      <c r="U1132" s="188"/>
    </row>
    <row r="1133" spans="1:21" ht="2.1" customHeight="1">
      <c r="A1133" s="98"/>
      <c r="B1133" s="87"/>
      <c r="C1133" s="99"/>
      <c r="D1133" s="87"/>
      <c r="E1133" s="99"/>
      <c r="F1133" s="100"/>
      <c r="G1133" s="100"/>
      <c r="H1133" s="100"/>
      <c r="I1133" s="101"/>
      <c r="J1133" s="106"/>
      <c r="K1133" s="103"/>
      <c r="L1133" s="104"/>
      <c r="M1133" s="100"/>
      <c r="N1133" s="100"/>
      <c r="O1133" s="100"/>
      <c r="P1133" s="100"/>
      <c r="Q1133" s="105"/>
      <c r="R1133" s="105"/>
      <c r="S1133" s="169"/>
      <c r="U1133" s="188"/>
    </row>
    <row r="1134" spans="1:21" ht="25.5">
      <c r="A1134" s="67" t="s">
        <v>9476</v>
      </c>
      <c r="B1134" s="87" t="s">
        <v>9476</v>
      </c>
      <c r="C1134" s="88" t="s">
        <v>12726</v>
      </c>
      <c r="D1134" s="89"/>
      <c r="E1134" s="90"/>
      <c r="F1134" s="91" t="s">
        <v>12727</v>
      </c>
      <c r="G1134" s="90"/>
      <c r="H1134" s="90"/>
      <c r="I1134" s="92"/>
      <c r="J1134" s="93"/>
      <c r="K1134" s="94"/>
      <c r="L1134" s="149" t="str">
        <f>HYPERLINK("[#]DatatypeListedValues!B5782:H5782","Enumeration")</f>
        <v>Enumeration</v>
      </c>
      <c r="M1134" s="107" t="b">
        <v>0</v>
      </c>
      <c r="N1134" s="90"/>
      <c r="O1134" s="95"/>
      <c r="P1134" s="90"/>
      <c r="Q1134" s="96"/>
      <c r="R1134" s="97"/>
      <c r="S1134" s="169"/>
      <c r="T1134" s="300" t="str">
        <f>CONCATENATE([1]Cover!$D$6,"fdd/view?i=",S1134)</f>
        <v>https://www.dgiwg.org/FAD/fdd/view?i=</v>
      </c>
      <c r="U1134" s="188"/>
    </row>
    <row r="1135" spans="1:21" ht="2.1" customHeight="1">
      <c r="A1135" s="98"/>
      <c r="B1135" s="87"/>
      <c r="C1135" s="99"/>
      <c r="D1135" s="87"/>
      <c r="E1135" s="99"/>
      <c r="F1135" s="100"/>
      <c r="G1135" s="100"/>
      <c r="H1135" s="100"/>
      <c r="I1135" s="101"/>
      <c r="J1135" s="106"/>
      <c r="K1135" s="103"/>
      <c r="L1135" s="104"/>
      <c r="M1135" s="100"/>
      <c r="N1135" s="100"/>
      <c r="O1135" s="100"/>
      <c r="P1135" s="100"/>
      <c r="Q1135" s="105"/>
      <c r="R1135" s="105"/>
      <c r="S1135" s="169"/>
      <c r="U1135" s="188"/>
    </row>
    <row r="1136" spans="1:21" ht="38.25">
      <c r="A1136" s="67" t="s">
        <v>9486</v>
      </c>
      <c r="B1136" s="87" t="s">
        <v>9486</v>
      </c>
      <c r="C1136" s="88" t="s">
        <v>12728</v>
      </c>
      <c r="D1136" s="89"/>
      <c r="E1136" s="90"/>
      <c r="F1136" s="91" t="s">
        <v>12729</v>
      </c>
      <c r="G1136" s="90"/>
      <c r="H1136" s="90"/>
      <c r="I1136" s="92"/>
      <c r="J1136" s="93"/>
      <c r="K1136" s="94"/>
      <c r="L1136" s="149" t="str">
        <f>HYPERLINK("[#]DatatypeListedValues!B5788:H5788","Enumeration")</f>
        <v>Enumeration</v>
      </c>
      <c r="M1136" s="107" t="b">
        <v>0</v>
      </c>
      <c r="N1136" s="90"/>
      <c r="O1136" s="95"/>
      <c r="P1136" s="90"/>
      <c r="Q1136" s="96"/>
      <c r="R1136" s="97"/>
      <c r="S1136" s="169"/>
      <c r="T1136" s="300" t="str">
        <f>CONCATENATE([1]Cover!$D$6,"fdd/view?i=",S1136)</f>
        <v>https://www.dgiwg.org/FAD/fdd/view?i=</v>
      </c>
      <c r="U1136" s="188"/>
    </row>
    <row r="1137" spans="1:21" ht="2.1" customHeight="1">
      <c r="A1137" s="98"/>
      <c r="B1137" s="87"/>
      <c r="C1137" s="99"/>
      <c r="D1137" s="87"/>
      <c r="E1137" s="99"/>
      <c r="F1137" s="100"/>
      <c r="G1137" s="100"/>
      <c r="H1137" s="100"/>
      <c r="I1137" s="101"/>
      <c r="J1137" s="106"/>
      <c r="K1137" s="103"/>
      <c r="L1137" s="104"/>
      <c r="M1137" s="100"/>
      <c r="N1137" s="100"/>
      <c r="O1137" s="100"/>
      <c r="P1137" s="100"/>
      <c r="Q1137" s="105"/>
      <c r="R1137" s="105"/>
      <c r="S1137" s="169"/>
      <c r="U1137" s="188"/>
    </row>
    <row r="1138" spans="1:21" ht="165.75">
      <c r="A1138" s="67" t="s">
        <v>9495</v>
      </c>
      <c r="B1138" s="87" t="s">
        <v>9495</v>
      </c>
      <c r="C1138" s="88" t="s">
        <v>12730</v>
      </c>
      <c r="D1138" s="89"/>
      <c r="E1138" s="90"/>
      <c r="F1138" s="91" t="s">
        <v>12731</v>
      </c>
      <c r="G1138" s="90"/>
      <c r="H1138" s="91" t="s">
        <v>11426</v>
      </c>
      <c r="I1138" s="92"/>
      <c r="J1138" s="93"/>
      <c r="K1138" s="94"/>
      <c r="L1138" s="91" t="s">
        <v>11425</v>
      </c>
      <c r="M1138" s="90"/>
      <c r="N1138" s="91">
        <v>4</v>
      </c>
      <c r="O1138" s="108" t="b">
        <v>0</v>
      </c>
      <c r="P1138" s="91" t="s">
        <v>12732</v>
      </c>
      <c r="Q1138" s="96"/>
      <c r="R1138" s="97"/>
      <c r="S1138" s="169"/>
      <c r="T1138" s="300" t="str">
        <f>CONCATENATE([1]Cover!$D$6,"fdd/view?i=",S1138)</f>
        <v>https://www.dgiwg.org/FAD/fdd/view?i=</v>
      </c>
      <c r="U1138" s="188"/>
    </row>
    <row r="1139" spans="1:21" ht="2.1" customHeight="1">
      <c r="A1139" s="98"/>
      <c r="B1139" s="87"/>
      <c r="C1139" s="99"/>
      <c r="D1139" s="87"/>
      <c r="E1139" s="99"/>
      <c r="F1139" s="100"/>
      <c r="G1139" s="100"/>
      <c r="H1139" s="100"/>
      <c r="I1139" s="101"/>
      <c r="J1139" s="106"/>
      <c r="K1139" s="103"/>
      <c r="L1139" s="104"/>
      <c r="M1139" s="100"/>
      <c r="N1139" s="100"/>
      <c r="O1139" s="100"/>
      <c r="P1139" s="100"/>
      <c r="Q1139" s="105"/>
      <c r="R1139" s="105"/>
      <c r="S1139" s="169"/>
      <c r="U1139" s="188"/>
    </row>
    <row r="1140" spans="1:21" ht="25.5">
      <c r="A1140" s="67" t="s">
        <v>9500</v>
      </c>
      <c r="B1140" s="87" t="s">
        <v>9500</v>
      </c>
      <c r="C1140" s="88" t="s">
        <v>12733</v>
      </c>
      <c r="D1140" s="89"/>
      <c r="E1140" s="90"/>
      <c r="F1140" s="91" t="s">
        <v>12734</v>
      </c>
      <c r="G1140" s="90"/>
      <c r="H1140" s="90"/>
      <c r="I1140" s="92"/>
      <c r="J1140" s="93"/>
      <c r="K1140" s="94"/>
      <c r="L1140" s="149" t="str">
        <f>HYPERLINK("[#]DatatypeListedValues!B5791:H5791","Enumeration")</f>
        <v>Enumeration</v>
      </c>
      <c r="M1140" s="107" t="b">
        <v>0</v>
      </c>
      <c r="N1140" s="90"/>
      <c r="O1140" s="95"/>
      <c r="P1140" s="90"/>
      <c r="Q1140" s="96"/>
      <c r="R1140" s="97"/>
      <c r="S1140" s="169"/>
      <c r="T1140" s="300" t="str">
        <f>CONCATENATE([1]Cover!$D$6,"fdd/view?i=",S1140)</f>
        <v>https://www.dgiwg.org/FAD/fdd/view?i=</v>
      </c>
      <c r="U1140" s="188"/>
    </row>
    <row r="1141" spans="1:21" ht="2.1" customHeight="1">
      <c r="A1141" s="98"/>
      <c r="B1141" s="87"/>
      <c r="C1141" s="99"/>
      <c r="D1141" s="87"/>
      <c r="E1141" s="99"/>
      <c r="F1141" s="100"/>
      <c r="G1141" s="100"/>
      <c r="H1141" s="100"/>
      <c r="I1141" s="101"/>
      <c r="J1141" s="106"/>
      <c r="K1141" s="103"/>
      <c r="L1141" s="104"/>
      <c r="M1141" s="100"/>
      <c r="N1141" s="100"/>
      <c r="O1141" s="100"/>
      <c r="P1141" s="100"/>
      <c r="Q1141" s="105"/>
      <c r="R1141" s="105"/>
      <c r="S1141" s="169"/>
      <c r="U1141" s="188"/>
    </row>
    <row r="1142" spans="1:21" ht="38.25">
      <c r="A1142" s="67" t="s">
        <v>9505</v>
      </c>
      <c r="B1142" s="87" t="s">
        <v>9505</v>
      </c>
      <c r="C1142" s="88" t="s">
        <v>12735</v>
      </c>
      <c r="D1142" s="89"/>
      <c r="E1142" s="90"/>
      <c r="F1142" s="91" t="s">
        <v>12736</v>
      </c>
      <c r="G1142" s="90"/>
      <c r="H1142" s="91" t="s">
        <v>11426</v>
      </c>
      <c r="I1142" s="92"/>
      <c r="J1142" s="93"/>
      <c r="K1142" s="94"/>
      <c r="L1142" s="91" t="s">
        <v>11425</v>
      </c>
      <c r="M1142" s="90"/>
      <c r="N1142" s="91">
        <v>2</v>
      </c>
      <c r="O1142" s="108" t="b">
        <v>0</v>
      </c>
      <c r="P1142" s="91" t="s">
        <v>12737</v>
      </c>
      <c r="Q1142" s="96"/>
      <c r="R1142" s="97"/>
      <c r="S1142" s="169"/>
      <c r="T1142" s="300" t="str">
        <f>CONCATENATE([1]Cover!$D$6,"fdd/view?i=",S1142)</f>
        <v>https://www.dgiwg.org/FAD/fdd/view?i=</v>
      </c>
      <c r="U1142" s="188"/>
    </row>
    <row r="1143" spans="1:21" ht="2.1" customHeight="1">
      <c r="A1143" s="98"/>
      <c r="B1143" s="87"/>
      <c r="C1143" s="99"/>
      <c r="D1143" s="87"/>
      <c r="E1143" s="99"/>
      <c r="F1143" s="100"/>
      <c r="G1143" s="100"/>
      <c r="H1143" s="100"/>
      <c r="I1143" s="101"/>
      <c r="J1143" s="106"/>
      <c r="K1143" s="103"/>
      <c r="L1143" s="104"/>
      <c r="M1143" s="100"/>
      <c r="N1143" s="100"/>
      <c r="O1143" s="100"/>
      <c r="P1143" s="100"/>
      <c r="Q1143" s="105"/>
      <c r="R1143" s="105"/>
      <c r="S1143" s="169"/>
      <c r="U1143" s="188"/>
    </row>
    <row r="1144" spans="1:21" ht="38.25">
      <c r="A1144" s="67" t="s">
        <v>8876</v>
      </c>
      <c r="B1144" s="87" t="s">
        <v>8876</v>
      </c>
      <c r="C1144" s="88" t="s">
        <v>12738</v>
      </c>
      <c r="D1144" s="89"/>
      <c r="E1144" s="90"/>
      <c r="F1144" s="91" t="s">
        <v>12739</v>
      </c>
      <c r="G1144" s="90"/>
      <c r="H1144" s="91" t="s">
        <v>11426</v>
      </c>
      <c r="I1144" s="92"/>
      <c r="J1144" s="93"/>
      <c r="K1144" s="94"/>
      <c r="L1144" s="91" t="s">
        <v>11425</v>
      </c>
      <c r="M1144" s="90"/>
      <c r="N1144" s="108" t="s">
        <v>11810</v>
      </c>
      <c r="O1144" s="91" t="b">
        <v>1</v>
      </c>
      <c r="P1144" s="91" t="s">
        <v>12740</v>
      </c>
      <c r="Q1144" s="96"/>
      <c r="R1144" s="97"/>
      <c r="S1144" s="169"/>
      <c r="T1144" s="300" t="str">
        <f>CONCATENATE([1]Cover!$D$6,"fdd/view?i=",S1144)</f>
        <v>https://www.dgiwg.org/FAD/fdd/view?i=</v>
      </c>
      <c r="U1144" s="188"/>
    </row>
    <row r="1145" spans="1:21" ht="2.1" customHeight="1">
      <c r="A1145" s="98"/>
      <c r="B1145" s="87"/>
      <c r="C1145" s="99"/>
      <c r="D1145" s="87"/>
      <c r="E1145" s="99"/>
      <c r="F1145" s="100"/>
      <c r="G1145" s="100"/>
      <c r="H1145" s="100"/>
      <c r="I1145" s="101"/>
      <c r="J1145" s="106"/>
      <c r="K1145" s="103"/>
      <c r="L1145" s="104"/>
      <c r="M1145" s="100"/>
      <c r="N1145" s="100"/>
      <c r="O1145" s="100"/>
      <c r="P1145" s="100"/>
      <c r="Q1145" s="105"/>
      <c r="R1145" s="105"/>
      <c r="S1145" s="169"/>
      <c r="U1145" s="188"/>
    </row>
    <row r="1146" spans="1:21" ht="25.5">
      <c r="A1146" s="67" t="s">
        <v>9514</v>
      </c>
      <c r="B1146" s="87" t="s">
        <v>9514</v>
      </c>
      <c r="C1146" s="88" t="s">
        <v>12741</v>
      </c>
      <c r="D1146" s="89"/>
      <c r="E1146" s="90"/>
      <c r="F1146" s="91" t="s">
        <v>12742</v>
      </c>
      <c r="G1146" s="90"/>
      <c r="H1146" s="90"/>
      <c r="I1146" s="92"/>
      <c r="J1146" s="93"/>
      <c r="K1146" s="94"/>
      <c r="L1146" s="149" t="str">
        <f>HYPERLINK("[#]DatatypeListedValues!B5800:H5800","Enumeration")</f>
        <v>Enumeration</v>
      </c>
      <c r="M1146" s="91" t="b">
        <v>1</v>
      </c>
      <c r="N1146" s="90"/>
      <c r="O1146" s="95"/>
      <c r="P1146" s="90"/>
      <c r="Q1146" s="96"/>
      <c r="R1146" s="97"/>
      <c r="S1146" s="169"/>
      <c r="T1146" s="300" t="str">
        <f>CONCATENATE([1]Cover!$D$6,"fdd/view?i=",S1146)</f>
        <v>https://www.dgiwg.org/FAD/fdd/view?i=</v>
      </c>
      <c r="U1146" s="188"/>
    </row>
    <row r="1147" spans="1:21" ht="2.1" customHeight="1">
      <c r="A1147" s="98"/>
      <c r="B1147" s="87"/>
      <c r="C1147" s="99"/>
      <c r="D1147" s="87"/>
      <c r="E1147" s="99"/>
      <c r="F1147" s="100"/>
      <c r="G1147" s="100"/>
      <c r="H1147" s="100"/>
      <c r="I1147" s="101"/>
      <c r="J1147" s="106"/>
      <c r="K1147" s="103"/>
      <c r="L1147" s="104"/>
      <c r="M1147" s="100"/>
      <c r="N1147" s="100"/>
      <c r="O1147" s="100"/>
      <c r="P1147" s="100"/>
      <c r="Q1147" s="105"/>
      <c r="R1147" s="105"/>
      <c r="S1147" s="169"/>
      <c r="U1147" s="188"/>
    </row>
    <row r="1148" spans="1:21" ht="25.5">
      <c r="A1148" s="67" t="s">
        <v>9519</v>
      </c>
      <c r="B1148" s="87" t="s">
        <v>9519</v>
      </c>
      <c r="C1148" s="88" t="s">
        <v>12743</v>
      </c>
      <c r="D1148" s="89"/>
      <c r="E1148" s="90"/>
      <c r="F1148" s="91" t="s">
        <v>12744</v>
      </c>
      <c r="G1148" s="90"/>
      <c r="H1148" s="90"/>
      <c r="I1148" s="92"/>
      <c r="J1148" s="93"/>
      <c r="K1148" s="94"/>
      <c r="L1148" s="149" t="str">
        <f>HYPERLINK("[#]DatatypeListedValues!B5802:H5802","Enumeration")</f>
        <v>Enumeration</v>
      </c>
      <c r="M1148" s="107" t="b">
        <v>0</v>
      </c>
      <c r="N1148" s="90"/>
      <c r="O1148" s="95"/>
      <c r="P1148" s="90"/>
      <c r="Q1148" s="96"/>
      <c r="R1148" s="97"/>
      <c r="S1148" s="169"/>
      <c r="T1148" s="300" t="str">
        <f>CONCATENATE([1]Cover!$D$6,"fdd/view?i=",S1148)</f>
        <v>https://www.dgiwg.org/FAD/fdd/view?i=</v>
      </c>
      <c r="U1148" s="188"/>
    </row>
    <row r="1149" spans="1:21" ht="2.1" customHeight="1">
      <c r="A1149" s="98"/>
      <c r="B1149" s="87"/>
      <c r="C1149" s="99"/>
      <c r="D1149" s="87"/>
      <c r="E1149" s="99"/>
      <c r="F1149" s="100"/>
      <c r="G1149" s="100"/>
      <c r="H1149" s="100"/>
      <c r="I1149" s="101"/>
      <c r="J1149" s="106"/>
      <c r="K1149" s="103"/>
      <c r="L1149" s="104"/>
      <c r="M1149" s="100"/>
      <c r="N1149" s="100"/>
      <c r="O1149" s="100"/>
      <c r="P1149" s="100"/>
      <c r="Q1149" s="105"/>
      <c r="R1149" s="105"/>
      <c r="S1149" s="169"/>
      <c r="U1149" s="188"/>
    </row>
    <row r="1150" spans="1:21">
      <c r="A1150" s="67" t="s">
        <v>9530</v>
      </c>
      <c r="B1150" s="87" t="s">
        <v>9530</v>
      </c>
      <c r="C1150" s="88" t="s">
        <v>12745</v>
      </c>
      <c r="D1150" s="89"/>
      <c r="E1150" s="90"/>
      <c r="F1150" s="91" t="s">
        <v>12746</v>
      </c>
      <c r="G1150" s="90"/>
      <c r="H1150" s="90"/>
      <c r="I1150" s="92"/>
      <c r="J1150" s="93"/>
      <c r="K1150" s="94"/>
      <c r="L1150" s="149" t="str">
        <f>HYPERLINK("[#]DatatypeListedValues!B5804:H5804","Enumeration")</f>
        <v>Enumeration</v>
      </c>
      <c r="M1150" s="91" t="b">
        <v>1</v>
      </c>
      <c r="N1150" s="90"/>
      <c r="O1150" s="95"/>
      <c r="P1150" s="90"/>
      <c r="Q1150" s="96"/>
      <c r="R1150" s="97"/>
      <c r="S1150" s="169"/>
      <c r="T1150" s="300" t="str">
        <f>CONCATENATE([1]Cover!$D$6,"fdd/view?i=",S1150)</f>
        <v>https://www.dgiwg.org/FAD/fdd/view?i=</v>
      </c>
      <c r="U1150" s="188"/>
    </row>
    <row r="1151" spans="1:21" ht="2.1" customHeight="1">
      <c r="A1151" s="98"/>
      <c r="B1151" s="87"/>
      <c r="C1151" s="99"/>
      <c r="D1151" s="87"/>
      <c r="E1151" s="99"/>
      <c r="F1151" s="100"/>
      <c r="G1151" s="100"/>
      <c r="H1151" s="100"/>
      <c r="I1151" s="101"/>
      <c r="J1151" s="106"/>
      <c r="K1151" s="103"/>
      <c r="L1151" s="104"/>
      <c r="M1151" s="100"/>
      <c r="N1151" s="100"/>
      <c r="O1151" s="100"/>
      <c r="P1151" s="100"/>
      <c r="Q1151" s="105"/>
      <c r="R1151" s="105"/>
      <c r="S1151" s="169"/>
      <c r="U1151" s="188"/>
    </row>
    <row r="1152" spans="1:21" ht="25.5">
      <c r="A1152" s="67" t="s">
        <v>9535</v>
      </c>
      <c r="B1152" s="87" t="s">
        <v>9535</v>
      </c>
      <c r="C1152" s="88" t="s">
        <v>12747</v>
      </c>
      <c r="D1152" s="89"/>
      <c r="E1152" s="90"/>
      <c r="F1152" s="91" t="s">
        <v>12748</v>
      </c>
      <c r="G1152" s="90"/>
      <c r="H1152" s="90"/>
      <c r="I1152" s="92"/>
      <c r="J1152" s="93"/>
      <c r="K1152" s="94"/>
      <c r="L1152" s="149" t="str">
        <f>HYPERLINK("[#]DatatypeListedValues!B5807:H5807","Enumeration")</f>
        <v>Enumeration</v>
      </c>
      <c r="M1152" s="107" t="b">
        <v>0</v>
      </c>
      <c r="N1152" s="90"/>
      <c r="O1152" s="95"/>
      <c r="P1152" s="90"/>
      <c r="Q1152" s="96"/>
      <c r="R1152" s="97"/>
      <c r="S1152" s="169"/>
      <c r="T1152" s="300" t="str">
        <f>CONCATENATE([1]Cover!$D$6,"fdd/view?i=",S1152)</f>
        <v>https://www.dgiwg.org/FAD/fdd/view?i=</v>
      </c>
      <c r="U1152" s="188"/>
    </row>
    <row r="1153" spans="1:21" ht="2.1" customHeight="1">
      <c r="A1153" s="98"/>
      <c r="B1153" s="87"/>
      <c r="C1153" s="99"/>
      <c r="D1153" s="87"/>
      <c r="E1153" s="99"/>
      <c r="F1153" s="100"/>
      <c r="G1153" s="100"/>
      <c r="H1153" s="100"/>
      <c r="I1153" s="101"/>
      <c r="J1153" s="106"/>
      <c r="K1153" s="103"/>
      <c r="L1153" s="104"/>
      <c r="M1153" s="100"/>
      <c r="N1153" s="100"/>
      <c r="O1153" s="100"/>
      <c r="P1153" s="100"/>
      <c r="Q1153" s="105"/>
      <c r="R1153" s="105"/>
      <c r="S1153" s="169"/>
      <c r="U1153" s="188"/>
    </row>
    <row r="1154" spans="1:21" ht="25.5">
      <c r="A1154" s="67" t="s">
        <v>9540</v>
      </c>
      <c r="B1154" s="87" t="s">
        <v>9540</v>
      </c>
      <c r="C1154" s="88" t="s">
        <v>12749</v>
      </c>
      <c r="D1154" s="89"/>
      <c r="E1154" s="90"/>
      <c r="F1154" s="91" t="s">
        <v>12750</v>
      </c>
      <c r="G1154" s="90"/>
      <c r="H1154" s="90"/>
      <c r="I1154" s="92"/>
      <c r="J1154" s="93"/>
      <c r="K1154" s="94"/>
      <c r="L1154" s="149" t="str">
        <f>HYPERLINK("[#]DatatypeListedValues!B5820:H5820","Enumeration")</f>
        <v>Enumeration</v>
      </c>
      <c r="M1154" s="107" t="b">
        <v>0</v>
      </c>
      <c r="N1154" s="90"/>
      <c r="O1154" s="95"/>
      <c r="P1154" s="90"/>
      <c r="Q1154" s="96"/>
      <c r="R1154" s="97"/>
      <c r="S1154" s="169"/>
      <c r="T1154" s="300" t="str">
        <f>CONCATENATE([1]Cover!$D$6,"fdd/view?i=",S1154)</f>
        <v>https://www.dgiwg.org/FAD/fdd/view?i=</v>
      </c>
      <c r="U1154" s="188"/>
    </row>
    <row r="1155" spans="1:21" ht="2.1" customHeight="1">
      <c r="A1155" s="98"/>
      <c r="B1155" s="87"/>
      <c r="C1155" s="99"/>
      <c r="D1155" s="87"/>
      <c r="E1155" s="99"/>
      <c r="F1155" s="100"/>
      <c r="G1155" s="100"/>
      <c r="H1155" s="100"/>
      <c r="I1155" s="101"/>
      <c r="J1155" s="106"/>
      <c r="K1155" s="103"/>
      <c r="L1155" s="104"/>
      <c r="M1155" s="100"/>
      <c r="N1155" s="100"/>
      <c r="O1155" s="100"/>
      <c r="P1155" s="100"/>
      <c r="Q1155" s="105"/>
      <c r="R1155" s="105"/>
      <c r="S1155" s="169"/>
      <c r="U1155" s="188"/>
    </row>
    <row r="1156" spans="1:21" ht="25.5">
      <c r="A1156" s="67" t="s">
        <v>9545</v>
      </c>
      <c r="B1156" s="87" t="s">
        <v>9545</v>
      </c>
      <c r="C1156" s="88" t="s">
        <v>12751</v>
      </c>
      <c r="D1156" s="89"/>
      <c r="E1156" s="90"/>
      <c r="F1156" s="91" t="s">
        <v>12752</v>
      </c>
      <c r="G1156" s="90"/>
      <c r="H1156" s="90"/>
      <c r="I1156" s="92"/>
      <c r="J1156" s="93"/>
      <c r="K1156" s="94"/>
      <c r="L1156" s="149" t="str">
        <f>HYPERLINK("[#]DatatypeListedValues!B5841:H5841","Enumeration")</f>
        <v>Enumeration</v>
      </c>
      <c r="M1156" s="107" t="b">
        <v>0</v>
      </c>
      <c r="N1156" s="90"/>
      <c r="O1156" s="95"/>
      <c r="P1156" s="90"/>
      <c r="Q1156" s="96"/>
      <c r="R1156" s="97"/>
      <c r="S1156" s="169"/>
      <c r="T1156" s="300" t="str">
        <f>CONCATENATE([1]Cover!$D$6,"fdd/view?i=",S1156)</f>
        <v>https://www.dgiwg.org/FAD/fdd/view?i=</v>
      </c>
      <c r="U1156" s="188"/>
    </row>
    <row r="1157" spans="1:21" ht="2.1" customHeight="1">
      <c r="A1157" s="98"/>
      <c r="B1157" s="87"/>
      <c r="C1157" s="99"/>
      <c r="D1157" s="87"/>
      <c r="E1157" s="99"/>
      <c r="F1157" s="100"/>
      <c r="G1157" s="100"/>
      <c r="H1157" s="100"/>
      <c r="I1157" s="101"/>
      <c r="J1157" s="106"/>
      <c r="K1157" s="103"/>
      <c r="L1157" s="104"/>
      <c r="M1157" s="100"/>
      <c r="N1157" s="100"/>
      <c r="O1157" s="100"/>
      <c r="P1157" s="100"/>
      <c r="Q1157" s="105"/>
      <c r="R1157" s="105"/>
      <c r="S1157" s="169"/>
      <c r="U1157" s="188"/>
    </row>
    <row r="1158" spans="1:21" ht="38.25">
      <c r="A1158" s="67" t="s">
        <v>9582</v>
      </c>
      <c r="B1158" s="87" t="s">
        <v>9582</v>
      </c>
      <c r="C1158" s="88" t="s">
        <v>12753</v>
      </c>
      <c r="D1158" s="89"/>
      <c r="E1158" s="90"/>
      <c r="F1158" s="91" t="s">
        <v>12754</v>
      </c>
      <c r="G1158" s="90"/>
      <c r="H1158" s="91" t="s">
        <v>11744</v>
      </c>
      <c r="I1158" s="92"/>
      <c r="J1158" s="93"/>
      <c r="K1158" s="94"/>
      <c r="L1158" s="153" t="s">
        <v>11414</v>
      </c>
      <c r="M1158" s="91" t="b">
        <v>1</v>
      </c>
      <c r="N1158" s="90"/>
      <c r="O1158" s="95"/>
      <c r="P1158" s="91" t="s">
        <v>11753</v>
      </c>
      <c r="Q1158" s="96"/>
      <c r="R1158" s="97"/>
      <c r="S1158" s="169"/>
      <c r="T1158" s="300" t="str">
        <f>CONCATENATE([1]Cover!$D$6,"fdd/view?i=",S1158)</f>
        <v>https://www.dgiwg.org/FAD/fdd/view?i=</v>
      </c>
      <c r="U1158" s="188"/>
    </row>
    <row r="1159" spans="1:21" ht="2.1" customHeight="1">
      <c r="A1159" s="98"/>
      <c r="B1159" s="87"/>
      <c r="C1159" s="99"/>
      <c r="D1159" s="87"/>
      <c r="E1159" s="99"/>
      <c r="F1159" s="100"/>
      <c r="G1159" s="100"/>
      <c r="H1159" s="100"/>
      <c r="I1159" s="101"/>
      <c r="J1159" s="106"/>
      <c r="K1159" s="103"/>
      <c r="L1159" s="104"/>
      <c r="M1159" s="100"/>
      <c r="N1159" s="100"/>
      <c r="O1159" s="100"/>
      <c r="P1159" s="100"/>
      <c r="Q1159" s="105"/>
      <c r="R1159" s="105"/>
      <c r="S1159" s="169"/>
      <c r="U1159" s="188"/>
    </row>
    <row r="1160" spans="1:21" ht="38.25">
      <c r="A1160" s="67" t="s">
        <v>9587</v>
      </c>
      <c r="B1160" s="87" t="s">
        <v>9587</v>
      </c>
      <c r="C1160" s="88" t="s">
        <v>12755</v>
      </c>
      <c r="D1160" s="89"/>
      <c r="E1160" s="90"/>
      <c r="F1160" s="91" t="s">
        <v>12756</v>
      </c>
      <c r="G1160" s="90"/>
      <c r="H1160" s="91" t="s">
        <v>11426</v>
      </c>
      <c r="I1160" s="92"/>
      <c r="J1160" s="93"/>
      <c r="K1160" s="94"/>
      <c r="L1160" s="91" t="s">
        <v>11425</v>
      </c>
      <c r="M1160" s="90"/>
      <c r="N1160" s="91">
        <v>254</v>
      </c>
      <c r="O1160" s="108" t="b">
        <v>0</v>
      </c>
      <c r="P1160" s="91" t="s">
        <v>12757</v>
      </c>
      <c r="Q1160" s="96"/>
      <c r="R1160" s="97"/>
      <c r="S1160" s="169"/>
      <c r="T1160" s="300" t="str">
        <f>CONCATENATE([1]Cover!$D$6,"fdd/view?i=",S1160)</f>
        <v>https://www.dgiwg.org/FAD/fdd/view?i=</v>
      </c>
      <c r="U1160" s="188"/>
    </row>
    <row r="1161" spans="1:21" ht="2.1" customHeight="1">
      <c r="A1161" s="98"/>
      <c r="B1161" s="87"/>
      <c r="C1161" s="99"/>
      <c r="D1161" s="87"/>
      <c r="E1161" s="99"/>
      <c r="F1161" s="100"/>
      <c r="G1161" s="100"/>
      <c r="H1161" s="100"/>
      <c r="I1161" s="101"/>
      <c r="J1161" s="106"/>
      <c r="K1161" s="103"/>
      <c r="L1161" s="104"/>
      <c r="M1161" s="100"/>
      <c r="N1161" s="100"/>
      <c r="O1161" s="100"/>
      <c r="P1161" s="100"/>
      <c r="Q1161" s="105"/>
      <c r="R1161" s="105"/>
      <c r="S1161" s="169"/>
      <c r="U1161" s="188"/>
    </row>
    <row r="1162" spans="1:21" ht="38.25">
      <c r="A1162" s="67" t="s">
        <v>9597</v>
      </c>
      <c r="B1162" s="87" t="s">
        <v>9597</v>
      </c>
      <c r="C1162" s="88" t="s">
        <v>12758</v>
      </c>
      <c r="D1162" s="89"/>
      <c r="E1162" s="90"/>
      <c r="F1162" s="91" t="s">
        <v>12759</v>
      </c>
      <c r="G1162" s="90"/>
      <c r="H1162" s="91" t="s">
        <v>11744</v>
      </c>
      <c r="I1162" s="92"/>
      <c r="J1162" s="93"/>
      <c r="K1162" s="94"/>
      <c r="L1162" s="153" t="s">
        <v>11414</v>
      </c>
      <c r="M1162" s="91" t="b">
        <v>1</v>
      </c>
      <c r="N1162" s="91">
        <v>2</v>
      </c>
      <c r="O1162" s="95"/>
      <c r="P1162" s="91" t="s">
        <v>12760</v>
      </c>
      <c r="Q1162" s="96"/>
      <c r="R1162" s="97"/>
      <c r="S1162" s="169"/>
      <c r="T1162" s="300" t="str">
        <f>CONCATENATE([1]Cover!$D$6,"fdd/view?i=",S1162)</f>
        <v>https://www.dgiwg.org/FAD/fdd/view?i=</v>
      </c>
      <c r="U1162" s="188"/>
    </row>
    <row r="1163" spans="1:21" ht="2.1" customHeight="1">
      <c r="A1163" s="98"/>
      <c r="B1163" s="87"/>
      <c r="C1163" s="99"/>
      <c r="D1163" s="87"/>
      <c r="E1163" s="99"/>
      <c r="F1163" s="100"/>
      <c r="G1163" s="100"/>
      <c r="H1163" s="100"/>
      <c r="I1163" s="101"/>
      <c r="J1163" s="106"/>
      <c r="K1163" s="103"/>
      <c r="L1163" s="104"/>
      <c r="M1163" s="100"/>
      <c r="N1163" s="100"/>
      <c r="O1163" s="100"/>
      <c r="P1163" s="100"/>
      <c r="Q1163" s="105"/>
      <c r="R1163" s="105"/>
      <c r="S1163" s="169"/>
      <c r="U1163" s="188"/>
    </row>
    <row r="1164" spans="1:21" ht="38.25">
      <c r="A1164" s="67" t="s">
        <v>9616</v>
      </c>
      <c r="B1164" s="87" t="s">
        <v>9616</v>
      </c>
      <c r="C1164" s="88" t="s">
        <v>12761</v>
      </c>
      <c r="D1164" s="89"/>
      <c r="E1164" s="90"/>
      <c r="F1164" s="91" t="s">
        <v>12762</v>
      </c>
      <c r="G1164" s="90"/>
      <c r="H1164" s="91" t="s">
        <v>11744</v>
      </c>
      <c r="I1164" s="92"/>
      <c r="J1164" s="93"/>
      <c r="K1164" s="94"/>
      <c r="L1164" s="153" t="s">
        <v>11414</v>
      </c>
      <c r="M1164" s="91" t="b">
        <v>1</v>
      </c>
      <c r="N1164" s="91">
        <v>30</v>
      </c>
      <c r="O1164" s="95"/>
      <c r="P1164" s="91" t="s">
        <v>11745</v>
      </c>
      <c r="Q1164" s="96"/>
      <c r="R1164" s="97"/>
      <c r="S1164" s="169"/>
      <c r="T1164" s="300" t="str">
        <f>CONCATENATE([1]Cover!$D$6,"fdd/view?i=",S1164)</f>
        <v>https://www.dgiwg.org/FAD/fdd/view?i=</v>
      </c>
      <c r="U1164" s="188"/>
    </row>
    <row r="1165" spans="1:21" ht="2.1" customHeight="1">
      <c r="A1165" s="98"/>
      <c r="B1165" s="87"/>
      <c r="C1165" s="99"/>
      <c r="D1165" s="87"/>
      <c r="E1165" s="99"/>
      <c r="F1165" s="100"/>
      <c r="G1165" s="100"/>
      <c r="H1165" s="100"/>
      <c r="I1165" s="101"/>
      <c r="J1165" s="106"/>
      <c r="K1165" s="103"/>
      <c r="L1165" s="104"/>
      <c r="M1165" s="100"/>
      <c r="N1165" s="100"/>
      <c r="O1165" s="100"/>
      <c r="P1165" s="100"/>
      <c r="Q1165" s="105"/>
      <c r="R1165" s="105"/>
      <c r="S1165" s="169"/>
      <c r="U1165" s="188"/>
    </row>
    <row r="1166" spans="1:21" ht="38.25">
      <c r="A1166" s="67" t="s">
        <v>9626</v>
      </c>
      <c r="B1166" s="87" t="s">
        <v>9626</v>
      </c>
      <c r="C1166" s="88" t="s">
        <v>12763</v>
      </c>
      <c r="D1166" s="89"/>
      <c r="E1166" s="90"/>
      <c r="F1166" s="91" t="s">
        <v>12764</v>
      </c>
      <c r="G1166" s="90"/>
      <c r="H1166" s="90"/>
      <c r="I1166" s="92"/>
      <c r="J1166" s="93"/>
      <c r="K1166" s="94"/>
      <c r="L1166" s="149" t="str">
        <f>HYPERLINK("[#]DatatypeListedValues!B5846:H5846","Enumeration")</f>
        <v>Enumeration</v>
      </c>
      <c r="M1166" s="91" t="b">
        <v>1</v>
      </c>
      <c r="N1166" s="90"/>
      <c r="O1166" s="95"/>
      <c r="P1166" s="90"/>
      <c r="Q1166" s="96"/>
      <c r="R1166" s="97"/>
      <c r="S1166" s="169"/>
      <c r="T1166" s="300" t="str">
        <f>CONCATENATE([1]Cover!$D$6,"fdd/view?i=",S1166)</f>
        <v>https://www.dgiwg.org/FAD/fdd/view?i=</v>
      </c>
      <c r="U1166" s="188"/>
    </row>
    <row r="1167" spans="1:21" ht="2.1" customHeight="1">
      <c r="A1167" s="98"/>
      <c r="B1167" s="87"/>
      <c r="C1167" s="99"/>
      <c r="D1167" s="87"/>
      <c r="E1167" s="99"/>
      <c r="F1167" s="100"/>
      <c r="G1167" s="100"/>
      <c r="H1167" s="100"/>
      <c r="I1167" s="101"/>
      <c r="J1167" s="106"/>
      <c r="K1167" s="103"/>
      <c r="L1167" s="104"/>
      <c r="M1167" s="100"/>
      <c r="N1167" s="100"/>
      <c r="O1167" s="100"/>
      <c r="P1167" s="100"/>
      <c r="Q1167" s="105"/>
      <c r="R1167" s="105"/>
      <c r="S1167" s="169"/>
      <c r="U1167" s="188"/>
    </row>
    <row r="1168" spans="1:21" ht="25.5">
      <c r="A1168" s="67" t="s">
        <v>11789</v>
      </c>
      <c r="B1168" s="87" t="s">
        <v>11789</v>
      </c>
      <c r="C1168" s="88" t="s">
        <v>11790</v>
      </c>
      <c r="D1168" s="89"/>
      <c r="E1168" s="90"/>
      <c r="F1168" s="91" t="s">
        <v>12765</v>
      </c>
      <c r="G1168" s="90"/>
      <c r="H1168" s="90"/>
      <c r="I1168" s="92"/>
      <c r="J1168" s="93"/>
      <c r="K1168" s="94"/>
      <c r="L1168" s="149" t="str">
        <f>HYPERLINK("[#]DatatypeListedValues!B5849:H5849","Enumeration")</f>
        <v>Enumeration</v>
      </c>
      <c r="M1168" s="107" t="b">
        <v>0</v>
      </c>
      <c r="N1168" s="90"/>
      <c r="O1168" s="95"/>
      <c r="P1168" s="90"/>
      <c r="Q1168" s="96"/>
      <c r="R1168" s="97"/>
      <c r="S1168" s="169"/>
      <c r="T1168" s="300" t="str">
        <f>CONCATENATE([1]Cover!$D$6,"fdd/view?i=",S1168)</f>
        <v>https://www.dgiwg.org/FAD/fdd/view?i=</v>
      </c>
      <c r="U1168" s="188"/>
    </row>
    <row r="1169" spans="1:21" ht="2.1" customHeight="1">
      <c r="A1169" s="98"/>
      <c r="B1169" s="87"/>
      <c r="C1169" s="99"/>
      <c r="D1169" s="87"/>
      <c r="E1169" s="99"/>
      <c r="F1169" s="100"/>
      <c r="G1169" s="100"/>
      <c r="H1169" s="100"/>
      <c r="I1169" s="101"/>
      <c r="J1169" s="106"/>
      <c r="K1169" s="103"/>
      <c r="L1169" s="104"/>
      <c r="M1169" s="100"/>
      <c r="N1169" s="100"/>
      <c r="O1169" s="100"/>
      <c r="P1169" s="100"/>
      <c r="Q1169" s="105"/>
      <c r="R1169" s="105"/>
      <c r="S1169" s="169"/>
      <c r="U1169" s="188"/>
    </row>
    <row r="1170" spans="1:21" ht="63.75">
      <c r="A1170" s="67" t="s">
        <v>9636</v>
      </c>
      <c r="B1170" s="87" t="s">
        <v>9636</v>
      </c>
      <c r="C1170" s="88" t="s">
        <v>12766</v>
      </c>
      <c r="D1170" s="89"/>
      <c r="E1170" s="90"/>
      <c r="F1170" s="91" t="s">
        <v>12767</v>
      </c>
      <c r="G1170" s="90"/>
      <c r="H1170" s="91" t="s">
        <v>11426</v>
      </c>
      <c r="I1170" s="92"/>
      <c r="J1170" s="93"/>
      <c r="K1170" s="94"/>
      <c r="L1170" s="91" t="s">
        <v>11425</v>
      </c>
      <c r="M1170" s="90"/>
      <c r="N1170" s="91">
        <v>10</v>
      </c>
      <c r="O1170" s="108" t="b">
        <v>0</v>
      </c>
      <c r="P1170" s="91" t="s">
        <v>12768</v>
      </c>
      <c r="Q1170" s="96"/>
      <c r="R1170" s="97"/>
      <c r="S1170" s="169"/>
      <c r="T1170" s="300" t="str">
        <f>CONCATENATE([1]Cover!$D$6,"fdd/view?i=",S1170)</f>
        <v>https://www.dgiwg.org/FAD/fdd/view?i=</v>
      </c>
      <c r="U1170" s="188"/>
    </row>
    <row r="1171" spans="1:21" ht="2.1" customHeight="1">
      <c r="A1171" s="98"/>
      <c r="B1171" s="87"/>
      <c r="C1171" s="99"/>
      <c r="D1171" s="87"/>
      <c r="E1171" s="99"/>
      <c r="F1171" s="100"/>
      <c r="G1171" s="100"/>
      <c r="H1171" s="100"/>
      <c r="I1171" s="101"/>
      <c r="J1171" s="106"/>
      <c r="K1171" s="103"/>
      <c r="L1171" s="104"/>
      <c r="M1171" s="100"/>
      <c r="N1171" s="100"/>
      <c r="O1171" s="100"/>
      <c r="P1171" s="100"/>
      <c r="Q1171" s="105"/>
      <c r="R1171" s="105"/>
      <c r="S1171" s="169"/>
      <c r="U1171" s="188"/>
    </row>
    <row r="1172" spans="1:21" ht="63.75">
      <c r="A1172" s="67" t="s">
        <v>9641</v>
      </c>
      <c r="B1172" s="87" t="s">
        <v>9641</v>
      </c>
      <c r="C1172" s="88" t="s">
        <v>12769</v>
      </c>
      <c r="D1172" s="89"/>
      <c r="E1172" s="90"/>
      <c r="F1172" s="91" t="s">
        <v>12770</v>
      </c>
      <c r="G1172" s="90"/>
      <c r="H1172" s="91" t="s">
        <v>11426</v>
      </c>
      <c r="I1172" s="92"/>
      <c r="J1172" s="93"/>
      <c r="K1172" s="94"/>
      <c r="L1172" s="91" t="s">
        <v>11425</v>
      </c>
      <c r="M1172" s="90"/>
      <c r="N1172" s="91">
        <v>10</v>
      </c>
      <c r="O1172" s="108" t="b">
        <v>0</v>
      </c>
      <c r="P1172" s="91" t="s">
        <v>12768</v>
      </c>
      <c r="Q1172" s="96"/>
      <c r="R1172" s="97"/>
      <c r="S1172" s="169"/>
      <c r="T1172" s="300" t="str">
        <f>CONCATENATE([1]Cover!$D$6,"fdd/view?i=",S1172)</f>
        <v>https://www.dgiwg.org/FAD/fdd/view?i=</v>
      </c>
      <c r="U1172" s="188"/>
    </row>
    <row r="1173" spans="1:21" ht="2.1" customHeight="1">
      <c r="A1173" s="98"/>
      <c r="B1173" s="87"/>
      <c r="C1173" s="99"/>
      <c r="D1173" s="87"/>
      <c r="E1173" s="99"/>
      <c r="F1173" s="100"/>
      <c r="G1173" s="100"/>
      <c r="H1173" s="100"/>
      <c r="I1173" s="101"/>
      <c r="J1173" s="106"/>
      <c r="K1173" s="103"/>
      <c r="L1173" s="104"/>
      <c r="M1173" s="100"/>
      <c r="N1173" s="100"/>
      <c r="O1173" s="100"/>
      <c r="P1173" s="100"/>
      <c r="Q1173" s="105"/>
      <c r="R1173" s="105"/>
      <c r="S1173" s="169"/>
      <c r="U1173" s="188"/>
    </row>
    <row r="1174" spans="1:21" ht="38.25">
      <c r="A1174" s="67" t="s">
        <v>9651</v>
      </c>
      <c r="B1174" s="87" t="s">
        <v>9651</v>
      </c>
      <c r="C1174" s="88" t="s">
        <v>12771</v>
      </c>
      <c r="D1174" s="89"/>
      <c r="E1174" s="90"/>
      <c r="F1174" s="91" t="s">
        <v>12772</v>
      </c>
      <c r="G1174" s="90"/>
      <c r="H1174" s="91" t="s">
        <v>11744</v>
      </c>
      <c r="I1174" s="92"/>
      <c r="J1174" s="93"/>
      <c r="K1174" s="94"/>
      <c r="L1174" s="153" t="s">
        <v>11414</v>
      </c>
      <c r="M1174" s="91" t="b">
        <v>1</v>
      </c>
      <c r="N1174" s="91">
        <v>10</v>
      </c>
      <c r="O1174" s="95"/>
      <c r="P1174" s="91" t="s">
        <v>12773</v>
      </c>
      <c r="Q1174" s="96"/>
      <c r="R1174" s="97"/>
      <c r="S1174" s="169"/>
      <c r="T1174" s="300" t="str">
        <f>CONCATENATE([1]Cover!$D$6,"fdd/view?i=",S1174)</f>
        <v>https://www.dgiwg.org/FAD/fdd/view?i=</v>
      </c>
      <c r="U1174" s="188"/>
    </row>
    <row r="1175" spans="1:21" ht="2.1" customHeight="1">
      <c r="A1175" s="98"/>
      <c r="B1175" s="87"/>
      <c r="C1175" s="99"/>
      <c r="D1175" s="87"/>
      <c r="E1175" s="99"/>
      <c r="F1175" s="100"/>
      <c r="G1175" s="100"/>
      <c r="H1175" s="100"/>
      <c r="I1175" s="101"/>
      <c r="J1175" s="106"/>
      <c r="K1175" s="103"/>
      <c r="L1175" s="104"/>
      <c r="M1175" s="100"/>
      <c r="N1175" s="100"/>
      <c r="O1175" s="100"/>
      <c r="P1175" s="100"/>
      <c r="Q1175" s="105"/>
      <c r="R1175" s="105"/>
      <c r="S1175" s="169"/>
      <c r="U1175" s="188"/>
    </row>
    <row r="1176" spans="1:21" ht="51">
      <c r="A1176" s="67" t="s">
        <v>9669</v>
      </c>
      <c r="B1176" s="87" t="s">
        <v>9669</v>
      </c>
      <c r="C1176" s="88" t="s">
        <v>12774</v>
      </c>
      <c r="D1176" s="89"/>
      <c r="E1176" s="90"/>
      <c r="F1176" s="91" t="s">
        <v>12775</v>
      </c>
      <c r="G1176" s="90"/>
      <c r="H1176" s="91" t="s">
        <v>11426</v>
      </c>
      <c r="I1176" s="92"/>
      <c r="J1176" s="93"/>
      <c r="K1176" s="94"/>
      <c r="L1176" s="91" t="s">
        <v>11425</v>
      </c>
      <c r="M1176" s="90"/>
      <c r="N1176" s="91">
        <v>254</v>
      </c>
      <c r="O1176" s="108" t="b">
        <v>0</v>
      </c>
      <c r="P1176" s="91" t="s">
        <v>12757</v>
      </c>
      <c r="Q1176" s="96"/>
      <c r="R1176" s="97"/>
      <c r="S1176" s="169"/>
      <c r="T1176" s="300" t="str">
        <f>CONCATENATE([1]Cover!$D$6,"fdd/view?i=",S1176)</f>
        <v>https://www.dgiwg.org/FAD/fdd/view?i=</v>
      </c>
      <c r="U1176" s="188"/>
    </row>
    <row r="1177" spans="1:21" ht="2.1" customHeight="1">
      <c r="A1177" s="98"/>
      <c r="B1177" s="87"/>
      <c r="C1177" s="99"/>
      <c r="D1177" s="87"/>
      <c r="E1177" s="99"/>
      <c r="F1177" s="100"/>
      <c r="G1177" s="100"/>
      <c r="H1177" s="100"/>
      <c r="I1177" s="101"/>
      <c r="J1177" s="106"/>
      <c r="K1177" s="103"/>
      <c r="L1177" s="104"/>
      <c r="M1177" s="100"/>
      <c r="N1177" s="100"/>
      <c r="O1177" s="100"/>
      <c r="P1177" s="100"/>
      <c r="Q1177" s="105"/>
      <c r="R1177" s="105"/>
      <c r="S1177" s="169"/>
      <c r="U1177" s="188"/>
    </row>
    <row r="1178" spans="1:21" ht="51">
      <c r="A1178" s="67" t="s">
        <v>9679</v>
      </c>
      <c r="B1178" s="87" t="s">
        <v>9679</v>
      </c>
      <c r="C1178" s="88" t="s">
        <v>12776</v>
      </c>
      <c r="D1178" s="89"/>
      <c r="E1178" s="90"/>
      <c r="F1178" s="91" t="s">
        <v>12777</v>
      </c>
      <c r="G1178" s="90"/>
      <c r="H1178" s="91" t="s">
        <v>11426</v>
      </c>
      <c r="I1178" s="92"/>
      <c r="J1178" s="93"/>
      <c r="K1178" s="94"/>
      <c r="L1178" s="91" t="s">
        <v>11425</v>
      </c>
      <c r="M1178" s="90"/>
      <c r="N1178" s="91">
        <v>254</v>
      </c>
      <c r="O1178" s="108" t="b">
        <v>0</v>
      </c>
      <c r="P1178" s="91" t="s">
        <v>12757</v>
      </c>
      <c r="Q1178" s="96"/>
      <c r="R1178" s="97"/>
      <c r="S1178" s="169"/>
      <c r="T1178" s="300" t="str">
        <f>CONCATENATE([1]Cover!$D$6,"fdd/view?i=",S1178)</f>
        <v>https://www.dgiwg.org/FAD/fdd/view?i=</v>
      </c>
      <c r="U1178" s="188"/>
    </row>
    <row r="1179" spans="1:21" ht="2.1" customHeight="1">
      <c r="A1179" s="98"/>
      <c r="B1179" s="87"/>
      <c r="C1179" s="99"/>
      <c r="D1179" s="87"/>
      <c r="E1179" s="99"/>
      <c r="F1179" s="100"/>
      <c r="G1179" s="100"/>
      <c r="H1179" s="100"/>
      <c r="I1179" s="101"/>
      <c r="J1179" s="106"/>
      <c r="K1179" s="103"/>
      <c r="L1179" s="104"/>
      <c r="M1179" s="100"/>
      <c r="N1179" s="100"/>
      <c r="O1179" s="100"/>
      <c r="P1179" s="100"/>
      <c r="Q1179" s="105"/>
      <c r="R1179" s="105"/>
      <c r="S1179" s="169"/>
      <c r="U1179" s="188"/>
    </row>
    <row r="1180" spans="1:21" ht="51">
      <c r="A1180" s="67" t="s">
        <v>9685</v>
      </c>
      <c r="B1180" s="87" t="s">
        <v>9685</v>
      </c>
      <c r="C1180" s="88" t="s">
        <v>12778</v>
      </c>
      <c r="D1180" s="89"/>
      <c r="E1180" s="90"/>
      <c r="F1180" s="91" t="s">
        <v>12779</v>
      </c>
      <c r="G1180" s="90"/>
      <c r="H1180" s="91" t="s">
        <v>11426</v>
      </c>
      <c r="I1180" s="92"/>
      <c r="J1180" s="93"/>
      <c r="K1180" s="94"/>
      <c r="L1180" s="91" t="s">
        <v>11425</v>
      </c>
      <c r="M1180" s="90"/>
      <c r="N1180" s="91">
        <v>254</v>
      </c>
      <c r="O1180" s="108" t="b">
        <v>0</v>
      </c>
      <c r="P1180" s="91" t="s">
        <v>12757</v>
      </c>
      <c r="Q1180" s="96"/>
      <c r="R1180" s="97"/>
      <c r="S1180" s="169"/>
      <c r="T1180" s="300" t="str">
        <f>CONCATENATE([1]Cover!$D$6,"fdd/view?i=",S1180)</f>
        <v>https://www.dgiwg.org/FAD/fdd/view?i=</v>
      </c>
      <c r="U1180" s="188"/>
    </row>
    <row r="1181" spans="1:21" ht="2.1" customHeight="1">
      <c r="A1181" s="98"/>
      <c r="B1181" s="87"/>
      <c r="C1181" s="99"/>
      <c r="D1181" s="87"/>
      <c r="E1181" s="99"/>
      <c r="F1181" s="100"/>
      <c r="G1181" s="100"/>
      <c r="H1181" s="100"/>
      <c r="I1181" s="101"/>
      <c r="J1181" s="106"/>
      <c r="K1181" s="103"/>
      <c r="L1181" s="104"/>
      <c r="M1181" s="100"/>
      <c r="N1181" s="100"/>
      <c r="O1181" s="100"/>
      <c r="P1181" s="100"/>
      <c r="Q1181" s="105"/>
      <c r="R1181" s="105"/>
      <c r="S1181" s="169"/>
      <c r="U1181" s="188"/>
    </row>
    <row r="1182" spans="1:21" ht="51">
      <c r="A1182" s="67" t="s">
        <v>9694</v>
      </c>
      <c r="B1182" s="87" t="s">
        <v>9694</v>
      </c>
      <c r="C1182" s="88" t="s">
        <v>12780</v>
      </c>
      <c r="D1182" s="89"/>
      <c r="E1182" s="90"/>
      <c r="F1182" s="91" t="s">
        <v>12781</v>
      </c>
      <c r="G1182" s="90"/>
      <c r="H1182" s="91" t="s">
        <v>11426</v>
      </c>
      <c r="I1182" s="92"/>
      <c r="J1182" s="93"/>
      <c r="K1182" s="94"/>
      <c r="L1182" s="91" t="s">
        <v>11425</v>
      </c>
      <c r="M1182" s="90"/>
      <c r="N1182" s="91">
        <v>254</v>
      </c>
      <c r="O1182" s="108" t="b">
        <v>0</v>
      </c>
      <c r="P1182" s="91" t="s">
        <v>12757</v>
      </c>
      <c r="Q1182" s="96"/>
      <c r="R1182" s="97"/>
      <c r="S1182" s="169"/>
      <c r="T1182" s="300" t="str">
        <f>CONCATENATE([1]Cover!$D$6,"fdd/view?i=",S1182)</f>
        <v>https://www.dgiwg.org/FAD/fdd/view?i=</v>
      </c>
      <c r="U1182" s="188"/>
    </row>
    <row r="1183" spans="1:21" ht="2.1" customHeight="1">
      <c r="A1183" s="98"/>
      <c r="B1183" s="87"/>
      <c r="C1183" s="99"/>
      <c r="D1183" s="87"/>
      <c r="E1183" s="99"/>
      <c r="F1183" s="100"/>
      <c r="G1183" s="100"/>
      <c r="H1183" s="100"/>
      <c r="I1183" s="101"/>
      <c r="J1183" s="106"/>
      <c r="K1183" s="103"/>
      <c r="L1183" s="104"/>
      <c r="M1183" s="100"/>
      <c r="N1183" s="100"/>
      <c r="O1183" s="100"/>
      <c r="P1183" s="100"/>
      <c r="Q1183" s="105"/>
      <c r="R1183" s="105"/>
      <c r="S1183" s="169"/>
      <c r="U1183" s="188"/>
    </row>
    <row r="1184" spans="1:21" ht="38.25">
      <c r="A1184" s="67" t="s">
        <v>9699</v>
      </c>
      <c r="B1184" s="87" t="s">
        <v>9699</v>
      </c>
      <c r="C1184" s="88" t="s">
        <v>12782</v>
      </c>
      <c r="D1184" s="89"/>
      <c r="E1184" s="90"/>
      <c r="F1184" s="91" t="s">
        <v>9698</v>
      </c>
      <c r="G1184" s="90"/>
      <c r="H1184" s="91" t="s">
        <v>11426</v>
      </c>
      <c r="I1184" s="92"/>
      <c r="J1184" s="93"/>
      <c r="K1184" s="94"/>
      <c r="L1184" s="91" t="s">
        <v>11425</v>
      </c>
      <c r="M1184" s="90"/>
      <c r="N1184" s="91">
        <v>254</v>
      </c>
      <c r="O1184" s="108" t="b">
        <v>0</v>
      </c>
      <c r="P1184" s="91" t="s">
        <v>12757</v>
      </c>
      <c r="Q1184" s="96"/>
      <c r="R1184" s="97"/>
      <c r="S1184" s="169"/>
      <c r="T1184" s="300" t="str">
        <f>CONCATENATE([1]Cover!$D$6,"fdd/view?i=",S1184)</f>
        <v>https://www.dgiwg.org/FAD/fdd/view?i=</v>
      </c>
      <c r="U1184" s="188"/>
    </row>
    <row r="1185" spans="1:21" ht="2.1" customHeight="1">
      <c r="A1185" s="98"/>
      <c r="B1185" s="87"/>
      <c r="C1185" s="99"/>
      <c r="D1185" s="87"/>
      <c r="E1185" s="99"/>
      <c r="F1185" s="100"/>
      <c r="G1185" s="100"/>
      <c r="H1185" s="100"/>
      <c r="I1185" s="101"/>
      <c r="J1185" s="106"/>
      <c r="K1185" s="103"/>
      <c r="L1185" s="104"/>
      <c r="M1185" s="100"/>
      <c r="N1185" s="100"/>
      <c r="O1185" s="100"/>
      <c r="P1185" s="100"/>
      <c r="Q1185" s="105"/>
      <c r="R1185" s="105"/>
      <c r="S1185" s="169"/>
      <c r="U1185" s="188"/>
    </row>
    <row r="1186" spans="1:21">
      <c r="A1186" s="67" t="s">
        <v>12567</v>
      </c>
      <c r="B1186" s="87" t="s">
        <v>12567</v>
      </c>
      <c r="C1186" s="88" t="s">
        <v>12587</v>
      </c>
      <c r="D1186" s="89"/>
      <c r="E1186" s="90"/>
      <c r="F1186" s="91" t="s">
        <v>12783</v>
      </c>
      <c r="G1186" s="90"/>
      <c r="H1186" s="90"/>
      <c r="I1186" s="92"/>
      <c r="J1186" s="93"/>
      <c r="K1186" s="94"/>
      <c r="L1186" s="149" t="str">
        <f>HYPERLINK("[#]DatatypeListedValues!B5863:H5863","Enumeration")</f>
        <v>Enumeration</v>
      </c>
      <c r="M1186" s="107" t="b">
        <v>0</v>
      </c>
      <c r="N1186" s="90"/>
      <c r="O1186" s="95"/>
      <c r="P1186" s="90"/>
      <c r="Q1186" s="96"/>
      <c r="R1186" s="97"/>
      <c r="S1186" s="169"/>
      <c r="T1186" s="300" t="str">
        <f>CONCATENATE([1]Cover!$D$6,"fdd/view?i=",S1186)</f>
        <v>https://www.dgiwg.org/FAD/fdd/view?i=</v>
      </c>
      <c r="U1186" s="188"/>
    </row>
    <row r="1187" spans="1:21" ht="2.1" customHeight="1">
      <c r="A1187" s="98"/>
      <c r="B1187" s="87"/>
      <c r="C1187" s="99"/>
      <c r="D1187" s="87"/>
      <c r="E1187" s="99"/>
      <c r="F1187" s="100"/>
      <c r="G1187" s="100"/>
      <c r="H1187" s="100"/>
      <c r="I1187" s="101"/>
      <c r="J1187" s="106"/>
      <c r="K1187" s="103"/>
      <c r="L1187" s="104"/>
      <c r="M1187" s="100"/>
      <c r="N1187" s="100"/>
      <c r="O1187" s="100"/>
      <c r="P1187" s="100"/>
      <c r="Q1187" s="105"/>
      <c r="R1187" s="105"/>
      <c r="S1187" s="169"/>
      <c r="U1187" s="188"/>
    </row>
    <row r="1188" spans="1:21" ht="51">
      <c r="A1188" s="67" t="s">
        <v>9709</v>
      </c>
      <c r="B1188" s="87" t="s">
        <v>9709</v>
      </c>
      <c r="C1188" s="88" t="s">
        <v>12784</v>
      </c>
      <c r="D1188" s="89"/>
      <c r="E1188" s="90"/>
      <c r="F1188" s="91" t="s">
        <v>12785</v>
      </c>
      <c r="G1188" s="90"/>
      <c r="H1188" s="91" t="s">
        <v>11426</v>
      </c>
      <c r="I1188" s="92"/>
      <c r="J1188" s="93"/>
      <c r="K1188" s="94"/>
      <c r="L1188" s="91" t="s">
        <v>11425</v>
      </c>
      <c r="M1188" s="90"/>
      <c r="N1188" s="91">
        <v>254</v>
      </c>
      <c r="O1188" s="108" t="b">
        <v>0</v>
      </c>
      <c r="P1188" s="91" t="s">
        <v>12757</v>
      </c>
      <c r="Q1188" s="96"/>
      <c r="R1188" s="97"/>
      <c r="S1188" s="169"/>
      <c r="T1188" s="300" t="str">
        <f>CONCATENATE([1]Cover!$D$6,"fdd/view?i=",S1188)</f>
        <v>https://www.dgiwg.org/FAD/fdd/view?i=</v>
      </c>
      <c r="U1188" s="188"/>
    </row>
    <row r="1189" spans="1:21" ht="2.1" customHeight="1">
      <c r="A1189" s="98"/>
      <c r="B1189" s="87"/>
      <c r="C1189" s="99"/>
      <c r="D1189" s="87"/>
      <c r="E1189" s="99"/>
      <c r="F1189" s="100"/>
      <c r="G1189" s="100"/>
      <c r="H1189" s="100"/>
      <c r="I1189" s="101"/>
      <c r="J1189" s="106"/>
      <c r="K1189" s="103"/>
      <c r="L1189" s="104"/>
      <c r="M1189" s="100"/>
      <c r="N1189" s="100"/>
      <c r="O1189" s="100"/>
      <c r="P1189" s="100"/>
      <c r="Q1189" s="105"/>
      <c r="R1189" s="105"/>
      <c r="S1189" s="169"/>
      <c r="U1189" s="188"/>
    </row>
    <row r="1190" spans="1:21" ht="38.25">
      <c r="A1190" s="67" t="s">
        <v>9747</v>
      </c>
      <c r="B1190" s="87" t="s">
        <v>9747</v>
      </c>
      <c r="C1190" s="88" t="s">
        <v>12786</v>
      </c>
      <c r="D1190" s="89"/>
      <c r="E1190" s="90"/>
      <c r="F1190" s="91" t="s">
        <v>12787</v>
      </c>
      <c r="G1190" s="90"/>
      <c r="H1190" s="91" t="s">
        <v>11744</v>
      </c>
      <c r="I1190" s="92"/>
      <c r="J1190" s="93"/>
      <c r="K1190" s="94"/>
      <c r="L1190" s="153" t="s">
        <v>11414</v>
      </c>
      <c r="M1190" s="91" t="b">
        <v>1</v>
      </c>
      <c r="N1190" s="90"/>
      <c r="O1190" s="95"/>
      <c r="P1190" s="91" t="s">
        <v>11753</v>
      </c>
      <c r="Q1190" s="96"/>
      <c r="R1190" s="97"/>
      <c r="S1190" s="169"/>
      <c r="T1190" s="300" t="str">
        <f>CONCATENATE([1]Cover!$D$6,"fdd/view?i=",S1190)</f>
        <v>https://www.dgiwg.org/FAD/fdd/view?i=</v>
      </c>
      <c r="U1190" s="188"/>
    </row>
    <row r="1191" spans="1:21" ht="2.1" customHeight="1">
      <c r="A1191" s="98"/>
      <c r="B1191" s="87"/>
      <c r="C1191" s="99"/>
      <c r="D1191" s="87"/>
      <c r="E1191" s="99"/>
      <c r="F1191" s="100"/>
      <c r="G1191" s="100"/>
      <c r="H1191" s="100"/>
      <c r="I1191" s="101"/>
      <c r="J1191" s="106"/>
      <c r="K1191" s="103"/>
      <c r="L1191" s="104"/>
      <c r="M1191" s="100"/>
      <c r="N1191" s="100"/>
      <c r="O1191" s="100"/>
      <c r="P1191" s="100"/>
      <c r="Q1191" s="105"/>
      <c r="R1191" s="105"/>
      <c r="S1191" s="169"/>
      <c r="U1191" s="188"/>
    </row>
    <row r="1192" spans="1:21" ht="38.25">
      <c r="A1192" s="67" t="s">
        <v>9723</v>
      </c>
      <c r="B1192" s="87" t="s">
        <v>9723</v>
      </c>
      <c r="C1192" s="88" t="s">
        <v>12788</v>
      </c>
      <c r="D1192" s="89"/>
      <c r="E1192" s="90"/>
      <c r="F1192" s="91" t="s">
        <v>12789</v>
      </c>
      <c r="G1192" s="90"/>
      <c r="H1192" s="91" t="s">
        <v>11426</v>
      </c>
      <c r="I1192" s="92"/>
      <c r="J1192" s="93"/>
      <c r="K1192" s="94"/>
      <c r="L1192" s="91" t="s">
        <v>11425</v>
      </c>
      <c r="M1192" s="90"/>
      <c r="N1192" s="91">
        <v>254</v>
      </c>
      <c r="O1192" s="108" t="b">
        <v>0</v>
      </c>
      <c r="P1192" s="91" t="s">
        <v>12757</v>
      </c>
      <c r="Q1192" s="96"/>
      <c r="R1192" s="97"/>
      <c r="S1192" s="169"/>
      <c r="T1192" s="300" t="str">
        <f>CONCATENATE([1]Cover!$D$6,"fdd/view?i=",S1192)</f>
        <v>https://www.dgiwg.org/FAD/fdd/view?i=</v>
      </c>
      <c r="U1192" s="188"/>
    </row>
    <row r="1193" spans="1:21" ht="2.1" customHeight="1">
      <c r="A1193" s="98"/>
      <c r="B1193" s="87"/>
      <c r="C1193" s="99"/>
      <c r="D1193" s="87"/>
      <c r="E1193" s="99"/>
      <c r="F1193" s="100"/>
      <c r="G1193" s="100"/>
      <c r="H1193" s="100"/>
      <c r="I1193" s="101"/>
      <c r="J1193" s="106"/>
      <c r="K1193" s="103"/>
      <c r="L1193" s="104"/>
      <c r="M1193" s="100"/>
      <c r="N1193" s="100"/>
      <c r="O1193" s="100"/>
      <c r="P1193" s="100"/>
      <c r="Q1193" s="105"/>
      <c r="R1193" s="105"/>
      <c r="S1193" s="169"/>
      <c r="U1193" s="188"/>
    </row>
    <row r="1194" spans="1:21">
      <c r="A1194" s="67" t="s">
        <v>12790</v>
      </c>
      <c r="B1194" s="87" t="s">
        <v>12790</v>
      </c>
      <c r="C1194" s="88" t="s">
        <v>12791</v>
      </c>
      <c r="D1194" s="89"/>
      <c r="E1194" s="90"/>
      <c r="F1194" s="91" t="s">
        <v>12792</v>
      </c>
      <c r="G1194" s="90"/>
      <c r="H1194" s="90"/>
      <c r="I1194" s="92"/>
      <c r="J1194" s="93"/>
      <c r="K1194" s="94"/>
      <c r="L1194" s="149" t="str">
        <f>HYPERLINK("[#]DatatypeListedValues!B5868:H5868","Enumeration")</f>
        <v>Enumeration</v>
      </c>
      <c r="M1194" s="107" t="b">
        <v>0</v>
      </c>
      <c r="N1194" s="90"/>
      <c r="O1194" s="95"/>
      <c r="P1194" s="90"/>
      <c r="Q1194" s="96"/>
      <c r="R1194" s="97"/>
      <c r="S1194" s="169"/>
      <c r="T1194" s="300" t="str">
        <f>CONCATENATE([1]Cover!$D$6,"fdd/view?i=",S1194)</f>
        <v>https://www.dgiwg.org/FAD/fdd/view?i=</v>
      </c>
      <c r="U1194" s="188"/>
    </row>
    <row r="1195" spans="1:21" ht="2.1" customHeight="1">
      <c r="A1195" s="98"/>
      <c r="B1195" s="87"/>
      <c r="C1195" s="99"/>
      <c r="D1195" s="87"/>
      <c r="E1195" s="99"/>
      <c r="F1195" s="100"/>
      <c r="G1195" s="100"/>
      <c r="H1195" s="100"/>
      <c r="I1195" s="101"/>
      <c r="J1195" s="106"/>
      <c r="K1195" s="103"/>
      <c r="L1195" s="104"/>
      <c r="M1195" s="100"/>
      <c r="N1195" s="100"/>
      <c r="O1195" s="100"/>
      <c r="P1195" s="100"/>
      <c r="Q1195" s="105"/>
      <c r="R1195" s="105"/>
      <c r="S1195" s="169"/>
      <c r="U1195" s="188"/>
    </row>
    <row r="1196" spans="1:21" ht="38.25">
      <c r="A1196" s="67" t="s">
        <v>12790</v>
      </c>
      <c r="B1196" s="87" t="s">
        <v>12790</v>
      </c>
      <c r="C1196" s="88" t="s">
        <v>12793</v>
      </c>
      <c r="D1196" s="89"/>
      <c r="E1196" s="90"/>
      <c r="F1196" s="91" t="s">
        <v>12794</v>
      </c>
      <c r="G1196" s="90"/>
      <c r="H1196" s="91" t="s">
        <v>11744</v>
      </c>
      <c r="I1196" s="92"/>
      <c r="J1196" s="93"/>
      <c r="K1196" s="94"/>
      <c r="L1196" s="153" t="s">
        <v>11414</v>
      </c>
      <c r="M1196" s="91" t="b">
        <v>1</v>
      </c>
      <c r="N1196" s="90"/>
      <c r="O1196" s="95"/>
      <c r="P1196" s="91" t="s">
        <v>11753</v>
      </c>
      <c r="Q1196" s="96"/>
      <c r="R1196" s="97"/>
      <c r="S1196" s="169"/>
      <c r="T1196" s="300" t="str">
        <f>CONCATENATE([1]Cover!$D$6,"fdd/view?i=",S1196)</f>
        <v>https://www.dgiwg.org/FAD/fdd/view?i=</v>
      </c>
      <c r="U1196" s="188"/>
    </row>
    <row r="1197" spans="1:21" ht="2.1" customHeight="1">
      <c r="A1197" s="98"/>
      <c r="B1197" s="87"/>
      <c r="C1197" s="99"/>
      <c r="D1197" s="87"/>
      <c r="E1197" s="99"/>
      <c r="F1197" s="100"/>
      <c r="G1197" s="100"/>
      <c r="H1197" s="100"/>
      <c r="I1197" s="101"/>
      <c r="J1197" s="106"/>
      <c r="K1197" s="103"/>
      <c r="L1197" s="104"/>
      <c r="M1197" s="100"/>
      <c r="N1197" s="100"/>
      <c r="O1197" s="100"/>
      <c r="P1197" s="100"/>
      <c r="Q1197" s="105"/>
      <c r="R1197" s="105"/>
      <c r="S1197" s="169"/>
      <c r="U1197" s="188"/>
    </row>
    <row r="1198" spans="1:21" ht="38.25">
      <c r="A1198" s="67" t="s">
        <v>9728</v>
      </c>
      <c r="B1198" s="87" t="s">
        <v>9728</v>
      </c>
      <c r="C1198" s="88" t="s">
        <v>12795</v>
      </c>
      <c r="D1198" s="89"/>
      <c r="E1198" s="90"/>
      <c r="F1198" s="91" t="s">
        <v>12796</v>
      </c>
      <c r="G1198" s="90"/>
      <c r="H1198" s="91" t="s">
        <v>11426</v>
      </c>
      <c r="I1198" s="92"/>
      <c r="J1198" s="93"/>
      <c r="K1198" s="94"/>
      <c r="L1198" s="91" t="s">
        <v>11425</v>
      </c>
      <c r="M1198" s="90"/>
      <c r="N1198" s="91">
        <v>254</v>
      </c>
      <c r="O1198" s="108" t="b">
        <v>0</v>
      </c>
      <c r="P1198" s="91" t="s">
        <v>12757</v>
      </c>
      <c r="Q1198" s="96"/>
      <c r="R1198" s="97"/>
      <c r="S1198" s="169"/>
      <c r="T1198" s="300" t="str">
        <f>CONCATENATE([1]Cover!$D$6,"fdd/view?i=",S1198)</f>
        <v>https://www.dgiwg.org/FAD/fdd/view?i=</v>
      </c>
      <c r="U1198" s="188"/>
    </row>
    <row r="1199" spans="1:21" ht="2.1" customHeight="1">
      <c r="A1199" s="98"/>
      <c r="B1199" s="87"/>
      <c r="C1199" s="99"/>
      <c r="D1199" s="87"/>
      <c r="E1199" s="99"/>
      <c r="F1199" s="100"/>
      <c r="G1199" s="100"/>
      <c r="H1199" s="100"/>
      <c r="I1199" s="101"/>
      <c r="J1199" s="106"/>
      <c r="K1199" s="103"/>
      <c r="L1199" s="104"/>
      <c r="M1199" s="100"/>
      <c r="N1199" s="100"/>
      <c r="O1199" s="100"/>
      <c r="P1199" s="100"/>
      <c r="Q1199" s="105"/>
      <c r="R1199" s="105"/>
      <c r="S1199" s="169"/>
      <c r="U1199" s="188"/>
    </row>
    <row r="1200" spans="1:21" ht="51">
      <c r="A1200" s="67" t="s">
        <v>9742</v>
      </c>
      <c r="B1200" s="87" t="s">
        <v>9742</v>
      </c>
      <c r="C1200" s="88" t="s">
        <v>12797</v>
      </c>
      <c r="D1200" s="89"/>
      <c r="E1200" s="90"/>
      <c r="F1200" s="91" t="s">
        <v>12798</v>
      </c>
      <c r="G1200" s="90"/>
      <c r="H1200" s="91" t="s">
        <v>11426</v>
      </c>
      <c r="I1200" s="92"/>
      <c r="J1200" s="93"/>
      <c r="K1200" s="94"/>
      <c r="L1200" s="91" t="s">
        <v>11425</v>
      </c>
      <c r="M1200" s="90"/>
      <c r="N1200" s="91">
        <v>254</v>
      </c>
      <c r="O1200" s="108" t="b">
        <v>0</v>
      </c>
      <c r="P1200" s="91" t="s">
        <v>12757</v>
      </c>
      <c r="Q1200" s="96"/>
      <c r="R1200" s="97"/>
      <c r="S1200" s="169"/>
      <c r="T1200" s="300" t="str">
        <f>CONCATENATE([1]Cover!$D$6,"fdd/view?i=",S1200)</f>
        <v>https://www.dgiwg.org/FAD/fdd/view?i=</v>
      </c>
      <c r="U1200" s="188"/>
    </row>
    <row r="1201" spans="1:21" ht="2.1" customHeight="1">
      <c r="A1201" s="98"/>
      <c r="B1201" s="87"/>
      <c r="C1201" s="99"/>
      <c r="D1201" s="87"/>
      <c r="E1201" s="99"/>
      <c r="F1201" s="100"/>
      <c r="G1201" s="100"/>
      <c r="H1201" s="100"/>
      <c r="I1201" s="101"/>
      <c r="J1201" s="106"/>
      <c r="K1201" s="103"/>
      <c r="L1201" s="104"/>
      <c r="M1201" s="100"/>
      <c r="N1201" s="100"/>
      <c r="O1201" s="100"/>
      <c r="P1201" s="100"/>
      <c r="Q1201" s="105"/>
      <c r="R1201" s="105"/>
      <c r="S1201" s="169"/>
      <c r="U1201" s="188"/>
    </row>
    <row r="1202" spans="1:21" ht="38.25">
      <c r="A1202" s="67" t="s">
        <v>9753</v>
      </c>
      <c r="B1202" s="87" t="s">
        <v>9753</v>
      </c>
      <c r="C1202" s="88" t="s">
        <v>12799</v>
      </c>
      <c r="D1202" s="89"/>
      <c r="E1202" s="90"/>
      <c r="F1202" s="91" t="s">
        <v>12800</v>
      </c>
      <c r="G1202" s="90"/>
      <c r="H1202" s="91" t="s">
        <v>11744</v>
      </c>
      <c r="I1202" s="92"/>
      <c r="J1202" s="93"/>
      <c r="K1202" s="94"/>
      <c r="L1202" s="153" t="s">
        <v>11414</v>
      </c>
      <c r="M1202" s="91" t="b">
        <v>1</v>
      </c>
      <c r="N1202" s="91">
        <v>4</v>
      </c>
      <c r="O1202" s="95"/>
      <c r="P1202" s="91" t="s">
        <v>12801</v>
      </c>
      <c r="Q1202" s="96"/>
      <c r="R1202" s="97"/>
      <c r="S1202" s="169"/>
      <c r="T1202" s="300" t="str">
        <f>CONCATENATE([1]Cover!$D$6,"fdd/view?i=",S1202)</f>
        <v>https://www.dgiwg.org/FAD/fdd/view?i=</v>
      </c>
      <c r="U1202" s="188"/>
    </row>
    <row r="1203" spans="1:21" ht="2.1" customHeight="1">
      <c r="A1203" s="98"/>
      <c r="B1203" s="87"/>
      <c r="C1203" s="99"/>
      <c r="D1203" s="87"/>
      <c r="E1203" s="99"/>
      <c r="F1203" s="100"/>
      <c r="G1203" s="100"/>
      <c r="H1203" s="100"/>
      <c r="I1203" s="101"/>
      <c r="J1203" s="106"/>
      <c r="K1203" s="103"/>
      <c r="L1203" s="104"/>
      <c r="M1203" s="100"/>
      <c r="N1203" s="100"/>
      <c r="O1203" s="100"/>
      <c r="P1203" s="100"/>
      <c r="Q1203" s="105"/>
      <c r="R1203" s="105"/>
      <c r="S1203" s="169"/>
      <c r="U1203" s="188"/>
    </row>
    <row r="1204" spans="1:21" ht="25.5">
      <c r="A1204" s="63" t="s">
        <v>9336</v>
      </c>
      <c r="B1204" s="329" t="s">
        <v>9336</v>
      </c>
      <c r="C1204" s="326" t="s">
        <v>11785</v>
      </c>
      <c r="D1204" s="109"/>
      <c r="E1204" s="110"/>
      <c r="F1204" s="111" t="s">
        <v>12802</v>
      </c>
      <c r="G1204" s="110"/>
      <c r="H1204" s="110"/>
      <c r="I1204" s="112"/>
      <c r="J1204" s="113"/>
      <c r="K1204" s="114"/>
      <c r="L1204" s="115" t="s">
        <v>11429</v>
      </c>
      <c r="M1204" s="110"/>
      <c r="N1204" s="110"/>
      <c r="O1204" s="116"/>
      <c r="P1204" s="110"/>
      <c r="Q1204" s="117"/>
      <c r="R1204" s="118"/>
      <c r="S1204" s="169"/>
      <c r="T1204" s="300" t="str">
        <f>CONCATENATE([1]Cover!$D$6,"fdd/view?i=",S1204)</f>
        <v>https://www.dgiwg.org/FAD/fdd/view?i=</v>
      </c>
      <c r="U1204" s="188"/>
    </row>
    <row r="1205" spans="1:21" ht="38.25">
      <c r="A1205" s="64" t="s">
        <v>33721</v>
      </c>
      <c r="B1205" s="330"/>
      <c r="C1205" s="327"/>
      <c r="D1205" s="132" t="s">
        <v>12803</v>
      </c>
      <c r="E1205" s="138" t="s">
        <v>12804</v>
      </c>
      <c r="F1205" s="70" t="s">
        <v>12805</v>
      </c>
      <c r="G1205" s="70" t="s">
        <v>12806</v>
      </c>
      <c r="H1205" s="68"/>
      <c r="I1205" s="133" t="s">
        <v>11438</v>
      </c>
      <c r="J1205" s="142"/>
      <c r="K1205" s="135" t="s">
        <v>6543</v>
      </c>
      <c r="L1205" s="150" t="str">
        <f>HYPERLINK("[#]Datatypes!B1396:L1396","Text")</f>
        <v>Text</v>
      </c>
      <c r="M1205" s="122"/>
      <c r="N1205" s="122"/>
      <c r="O1205" s="122"/>
      <c r="P1205" s="122"/>
      <c r="Q1205" s="123"/>
      <c r="R1205" s="124"/>
      <c r="S1205" s="169"/>
      <c r="U1205" s="188"/>
    </row>
    <row r="1206" spans="1:21" ht="25.5">
      <c r="A1206" s="64" t="s">
        <v>33722</v>
      </c>
      <c r="B1206" s="330"/>
      <c r="C1206" s="327"/>
      <c r="D1206" s="136" t="s">
        <v>12807</v>
      </c>
      <c r="E1206" s="139" t="s">
        <v>12808</v>
      </c>
      <c r="F1206" s="8" t="s">
        <v>12809</v>
      </c>
      <c r="G1206" s="8" t="s">
        <v>12810</v>
      </c>
      <c r="H1206" s="54"/>
      <c r="I1206" s="119" t="s">
        <v>11438</v>
      </c>
      <c r="J1206" s="125"/>
      <c r="K1206" s="121" t="s">
        <v>6543</v>
      </c>
      <c r="L1206" s="151" t="str">
        <f>HYPERLINK("[#]Datatypes!B1396:L1396","Text")</f>
        <v>Text</v>
      </c>
      <c r="M1206" s="122"/>
      <c r="N1206" s="122"/>
      <c r="O1206" s="122"/>
      <c r="P1206" s="122"/>
      <c r="Q1206" s="123"/>
      <c r="R1206" s="124"/>
      <c r="S1206" s="169"/>
      <c r="T1206" s="300" t="str">
        <f>CONCATENATE([1]Cover!$D$6,"fdd/view?i=",S1206)</f>
        <v>https://www.dgiwg.org/FAD/fdd/view?i=</v>
      </c>
      <c r="U1206" s="188"/>
    </row>
    <row r="1207" spans="1:21" ht="25.5">
      <c r="A1207" s="64" t="s">
        <v>33723</v>
      </c>
      <c r="B1207" s="330"/>
      <c r="C1207" s="327"/>
      <c r="D1207" s="136" t="s">
        <v>12811</v>
      </c>
      <c r="E1207" s="139" t="s">
        <v>12812</v>
      </c>
      <c r="F1207" s="8" t="s">
        <v>12813</v>
      </c>
      <c r="G1207" s="8" t="s">
        <v>12814</v>
      </c>
      <c r="H1207" s="54"/>
      <c r="I1207" s="119" t="s">
        <v>11438</v>
      </c>
      <c r="J1207" s="125"/>
      <c r="K1207" s="121" t="s">
        <v>6543</v>
      </c>
      <c r="L1207" s="151" t="str">
        <f>HYPERLINK("[#]Datatypes!B1396:L1396","Text")</f>
        <v>Text</v>
      </c>
      <c r="M1207" s="122"/>
      <c r="N1207" s="122"/>
      <c r="O1207" s="122"/>
      <c r="P1207" s="122"/>
      <c r="Q1207" s="123"/>
      <c r="R1207" s="124"/>
      <c r="S1207" s="169"/>
      <c r="U1207" s="188"/>
    </row>
    <row r="1208" spans="1:21">
      <c r="A1208" s="64" t="s">
        <v>33724</v>
      </c>
      <c r="B1208" s="330"/>
      <c r="C1208" s="327"/>
      <c r="D1208" s="136" t="s">
        <v>6096</v>
      </c>
      <c r="E1208" s="139" t="s">
        <v>6097</v>
      </c>
      <c r="F1208" s="8" t="s">
        <v>12815</v>
      </c>
      <c r="G1208" s="54"/>
      <c r="H1208" s="54"/>
      <c r="I1208" s="119" t="s">
        <v>11438</v>
      </c>
      <c r="J1208" s="125"/>
      <c r="K1208" s="121" t="s">
        <v>6099</v>
      </c>
      <c r="L1208" s="151" t="str">
        <f>HYPERLINK("[#]Datatypes!B349:L349","Contact")</f>
        <v>Contact</v>
      </c>
      <c r="M1208" s="122"/>
      <c r="N1208" s="122"/>
      <c r="O1208" s="122"/>
      <c r="P1208" s="122"/>
      <c r="Q1208" s="123"/>
      <c r="R1208" s="124"/>
      <c r="S1208" s="169"/>
      <c r="T1208" s="300" t="str">
        <f>CONCATENATE([1]Cover!$D$6,"fdd/view?i=",S1208)</f>
        <v>https://www.dgiwg.org/FAD/fdd/view?i=</v>
      </c>
      <c r="U1208" s="188"/>
    </row>
    <row r="1209" spans="1:21">
      <c r="A1209" s="65" t="s">
        <v>33725</v>
      </c>
      <c r="B1209" s="331"/>
      <c r="C1209" s="328"/>
      <c r="D1209" s="137" t="s">
        <v>12816</v>
      </c>
      <c r="E1209" s="140" t="s">
        <v>12817</v>
      </c>
      <c r="F1209" s="66" t="s">
        <v>12818</v>
      </c>
      <c r="G1209" s="66" t="s">
        <v>12819</v>
      </c>
      <c r="H1209" s="69"/>
      <c r="I1209" s="126" t="s">
        <v>4643</v>
      </c>
      <c r="J1209" s="141"/>
      <c r="K1209" s="128" t="s">
        <v>12790</v>
      </c>
      <c r="L1209" s="152" t="str">
        <f>HYPERLINK("[#]Datatypes!B1194:L1194","Resource Role Code")</f>
        <v>Resource Role Code</v>
      </c>
      <c r="M1209" s="129"/>
      <c r="N1209" s="129"/>
      <c r="O1209" s="129"/>
      <c r="P1209" s="129"/>
      <c r="Q1209" s="130"/>
      <c r="R1209" s="131"/>
      <c r="S1209" s="169"/>
      <c r="U1209" s="188"/>
    </row>
    <row r="1210" spans="1:21" ht="2.1" customHeight="1">
      <c r="A1210" s="98"/>
      <c r="B1210" s="87"/>
      <c r="C1210" s="99"/>
      <c r="D1210" s="87"/>
      <c r="E1210" s="99"/>
      <c r="F1210" s="100"/>
      <c r="G1210" s="100"/>
      <c r="H1210" s="100"/>
      <c r="I1210" s="101"/>
      <c r="J1210" s="106"/>
      <c r="K1210" s="103"/>
      <c r="L1210" s="104"/>
      <c r="M1210" s="100"/>
      <c r="N1210" s="100"/>
      <c r="O1210" s="100"/>
      <c r="P1210" s="100"/>
      <c r="Q1210" s="105"/>
      <c r="R1210" s="105"/>
      <c r="S1210" s="169"/>
      <c r="T1210" s="300" t="str">
        <f>CONCATENATE([1]Cover!$D$6,"fdd/view?i=",S1210)</f>
        <v>https://www.dgiwg.org/FAD/fdd/view?i=</v>
      </c>
      <c r="U1210" s="188"/>
    </row>
    <row r="1211" spans="1:21" ht="38.25">
      <c r="A1211" s="67" t="s">
        <v>6344</v>
      </c>
      <c r="B1211" s="87" t="s">
        <v>6344</v>
      </c>
      <c r="C1211" s="88" t="s">
        <v>12820</v>
      </c>
      <c r="D1211" s="89"/>
      <c r="E1211" s="90"/>
      <c r="F1211" s="91" t="s">
        <v>12821</v>
      </c>
      <c r="G1211" s="90"/>
      <c r="H1211" s="91" t="s">
        <v>11426</v>
      </c>
      <c r="I1211" s="92"/>
      <c r="J1211" s="93"/>
      <c r="K1211" s="94"/>
      <c r="L1211" s="91" t="s">
        <v>11425</v>
      </c>
      <c r="M1211" s="90"/>
      <c r="N1211" s="108" t="s">
        <v>11810</v>
      </c>
      <c r="O1211" s="91" t="b">
        <v>1</v>
      </c>
      <c r="P1211" s="91" t="s">
        <v>12822</v>
      </c>
      <c r="Q1211" s="96"/>
      <c r="R1211" s="97"/>
      <c r="S1211" s="169"/>
      <c r="U1211" s="188"/>
    </row>
    <row r="1212" spans="1:21" ht="2.1" customHeight="1">
      <c r="A1212" s="98"/>
      <c r="B1212" s="87"/>
      <c r="C1212" s="99"/>
      <c r="D1212" s="87"/>
      <c r="E1212" s="99"/>
      <c r="F1212" s="100"/>
      <c r="G1212" s="100"/>
      <c r="H1212" s="100"/>
      <c r="I1212" s="101"/>
      <c r="J1212" s="106"/>
      <c r="K1212" s="103"/>
      <c r="L1212" s="104"/>
      <c r="M1212" s="100"/>
      <c r="N1212" s="100"/>
      <c r="O1212" s="100"/>
      <c r="P1212" s="100"/>
      <c r="Q1212" s="105"/>
      <c r="R1212" s="105"/>
      <c r="S1212" s="169"/>
      <c r="T1212" s="300" t="str">
        <f>CONCATENATE([1]Cover!$D$6,"fdd/view?i=",S1212)</f>
        <v>https://www.dgiwg.org/FAD/fdd/view?i=</v>
      </c>
      <c r="U1212" s="188"/>
    </row>
    <row r="1213" spans="1:21" ht="38.25">
      <c r="A1213" s="67" t="s">
        <v>9577</v>
      </c>
      <c r="B1213" s="87" t="s">
        <v>9577</v>
      </c>
      <c r="C1213" s="88" t="s">
        <v>12823</v>
      </c>
      <c r="D1213" s="89"/>
      <c r="E1213" s="90"/>
      <c r="F1213" s="91" t="s">
        <v>12824</v>
      </c>
      <c r="G1213" s="90"/>
      <c r="H1213" s="91" t="s">
        <v>11744</v>
      </c>
      <c r="I1213" s="92"/>
      <c r="J1213" s="93"/>
      <c r="K1213" s="94"/>
      <c r="L1213" s="153" t="s">
        <v>11414</v>
      </c>
      <c r="M1213" s="91" t="b">
        <v>1</v>
      </c>
      <c r="N1213" s="90"/>
      <c r="O1213" s="95"/>
      <c r="P1213" s="91" t="s">
        <v>11753</v>
      </c>
      <c r="Q1213" s="96"/>
      <c r="R1213" s="97"/>
      <c r="S1213" s="169"/>
      <c r="U1213" s="188"/>
    </row>
    <row r="1214" spans="1:21" ht="2.1" customHeight="1">
      <c r="A1214" s="98"/>
      <c r="B1214" s="87"/>
      <c r="C1214" s="99"/>
      <c r="D1214" s="87"/>
      <c r="E1214" s="99"/>
      <c r="F1214" s="100"/>
      <c r="G1214" s="100"/>
      <c r="H1214" s="100"/>
      <c r="I1214" s="101"/>
      <c r="J1214" s="106"/>
      <c r="K1214" s="103"/>
      <c r="L1214" s="104"/>
      <c r="M1214" s="100"/>
      <c r="N1214" s="100"/>
      <c r="O1214" s="100"/>
      <c r="P1214" s="100"/>
      <c r="Q1214" s="105"/>
      <c r="R1214" s="105"/>
      <c r="S1214" s="169"/>
      <c r="T1214" s="300" t="str">
        <f>CONCATENATE([1]Cover!$D$6,"fdd/view?i=",S1214)</f>
        <v>https://www.dgiwg.org/FAD/fdd/view?i=</v>
      </c>
      <c r="U1214" s="188"/>
    </row>
    <row r="1215" spans="1:21" ht="25.5">
      <c r="A1215" s="67" t="s">
        <v>9805</v>
      </c>
      <c r="B1215" s="87" t="s">
        <v>9805</v>
      </c>
      <c r="C1215" s="88" t="s">
        <v>12825</v>
      </c>
      <c r="D1215" s="89"/>
      <c r="E1215" s="90"/>
      <c r="F1215" s="91" t="s">
        <v>12826</v>
      </c>
      <c r="G1215" s="90"/>
      <c r="H1215" s="90"/>
      <c r="I1215" s="92"/>
      <c r="J1215" s="93"/>
      <c r="K1215" s="94"/>
      <c r="L1215" s="149" t="str">
        <f>HYPERLINK("[#]DatatypeListedValues!B5879:H5879","Enumeration")</f>
        <v>Enumeration</v>
      </c>
      <c r="M1215" s="107" t="b">
        <v>0</v>
      </c>
      <c r="N1215" s="90"/>
      <c r="O1215" s="95"/>
      <c r="P1215" s="90"/>
      <c r="Q1215" s="96"/>
      <c r="R1215" s="97"/>
      <c r="S1215" s="169"/>
      <c r="U1215" s="188"/>
    </row>
    <row r="1216" spans="1:21" ht="2.1" customHeight="1">
      <c r="A1216" s="98"/>
      <c r="B1216" s="87"/>
      <c r="C1216" s="99"/>
      <c r="D1216" s="87"/>
      <c r="E1216" s="99"/>
      <c r="F1216" s="100"/>
      <c r="G1216" s="100"/>
      <c r="H1216" s="100"/>
      <c r="I1216" s="101"/>
      <c r="J1216" s="106"/>
      <c r="K1216" s="103"/>
      <c r="L1216" s="104"/>
      <c r="M1216" s="100"/>
      <c r="N1216" s="100"/>
      <c r="O1216" s="100"/>
      <c r="P1216" s="100"/>
      <c r="Q1216" s="105"/>
      <c r="R1216" s="105"/>
      <c r="S1216" s="169"/>
      <c r="T1216" s="300" t="str">
        <f>CONCATENATE([1]Cover!$D$6,"fdd/view?i=",S1216)</f>
        <v>https://www.dgiwg.org/FAD/fdd/view?i=</v>
      </c>
      <c r="U1216" s="188"/>
    </row>
    <row r="1217" spans="1:21" ht="25.5">
      <c r="A1217" s="67" t="s">
        <v>9810</v>
      </c>
      <c r="B1217" s="87" t="s">
        <v>9810</v>
      </c>
      <c r="C1217" s="88" t="s">
        <v>12827</v>
      </c>
      <c r="D1217" s="89"/>
      <c r="E1217" s="90"/>
      <c r="F1217" s="91" t="s">
        <v>12828</v>
      </c>
      <c r="G1217" s="90"/>
      <c r="H1217" s="90"/>
      <c r="I1217" s="92"/>
      <c r="J1217" s="93"/>
      <c r="K1217" s="94"/>
      <c r="L1217" s="149" t="str">
        <f>HYPERLINK("[#]DatatypeListedValues!B5889:H5889","Enumeration")</f>
        <v>Enumeration</v>
      </c>
      <c r="M1217" s="107" t="b">
        <v>0</v>
      </c>
      <c r="N1217" s="90"/>
      <c r="O1217" s="95"/>
      <c r="P1217" s="90"/>
      <c r="Q1217" s="96"/>
      <c r="R1217" s="97"/>
      <c r="S1217" s="169"/>
      <c r="U1217" s="188"/>
    </row>
    <row r="1218" spans="1:21" ht="2.1" customHeight="1">
      <c r="A1218" s="98"/>
      <c r="B1218" s="87"/>
      <c r="C1218" s="99"/>
      <c r="D1218" s="87"/>
      <c r="E1218" s="99"/>
      <c r="F1218" s="100"/>
      <c r="G1218" s="100"/>
      <c r="H1218" s="100"/>
      <c r="I1218" s="101"/>
      <c r="J1218" s="106"/>
      <c r="K1218" s="103"/>
      <c r="L1218" s="104"/>
      <c r="M1218" s="100"/>
      <c r="N1218" s="100"/>
      <c r="O1218" s="100"/>
      <c r="P1218" s="100"/>
      <c r="Q1218" s="105"/>
      <c r="R1218" s="105"/>
      <c r="S1218" s="169"/>
      <c r="T1218" s="300" t="str">
        <f>CONCATENATE([1]Cover!$D$6,"fdd/view?i=",S1218)</f>
        <v>https://www.dgiwg.org/FAD/fdd/view?i=</v>
      </c>
      <c r="U1218" s="188"/>
    </row>
    <row r="1219" spans="1:21">
      <c r="A1219" s="67" t="s">
        <v>9815</v>
      </c>
      <c r="B1219" s="87" t="s">
        <v>9815</v>
      </c>
      <c r="C1219" s="88" t="s">
        <v>12829</v>
      </c>
      <c r="D1219" s="89"/>
      <c r="E1219" s="90"/>
      <c r="F1219" s="91" t="s">
        <v>12830</v>
      </c>
      <c r="G1219" s="90"/>
      <c r="H1219" s="90"/>
      <c r="I1219" s="92"/>
      <c r="J1219" s="93"/>
      <c r="K1219" s="94"/>
      <c r="L1219" s="149" t="str">
        <f>HYPERLINK("[#]DatatypeListedValues!B5894:H5894","Enumeration")</f>
        <v>Enumeration</v>
      </c>
      <c r="M1219" s="107" t="b">
        <v>0</v>
      </c>
      <c r="N1219" s="90"/>
      <c r="O1219" s="95"/>
      <c r="P1219" s="90"/>
      <c r="Q1219" s="96"/>
      <c r="R1219" s="97"/>
      <c r="S1219" s="169"/>
      <c r="U1219" s="188"/>
    </row>
    <row r="1220" spans="1:21" ht="2.1" customHeight="1">
      <c r="A1220" s="98"/>
      <c r="B1220" s="87"/>
      <c r="C1220" s="99"/>
      <c r="D1220" s="87"/>
      <c r="E1220" s="99"/>
      <c r="F1220" s="100"/>
      <c r="G1220" s="100"/>
      <c r="H1220" s="100"/>
      <c r="I1220" s="101"/>
      <c r="J1220" s="106"/>
      <c r="K1220" s="103"/>
      <c r="L1220" s="104"/>
      <c r="M1220" s="100"/>
      <c r="N1220" s="100"/>
      <c r="O1220" s="100"/>
      <c r="P1220" s="100"/>
      <c r="Q1220" s="105"/>
      <c r="R1220" s="105"/>
      <c r="S1220" s="169"/>
      <c r="T1220" s="300" t="str">
        <f>CONCATENATE([1]Cover!$D$6,"fdd/view?i=",S1220)</f>
        <v>https://www.dgiwg.org/FAD/fdd/view?i=</v>
      </c>
      <c r="U1220" s="188"/>
    </row>
    <row r="1221" spans="1:21" ht="25.5">
      <c r="A1221" s="67" t="s">
        <v>9820</v>
      </c>
      <c r="B1221" s="87" t="s">
        <v>9820</v>
      </c>
      <c r="C1221" s="88" t="s">
        <v>12831</v>
      </c>
      <c r="D1221" s="89"/>
      <c r="E1221" s="90"/>
      <c r="F1221" s="91" t="s">
        <v>12832</v>
      </c>
      <c r="G1221" s="90"/>
      <c r="H1221" s="90"/>
      <c r="I1221" s="92"/>
      <c r="J1221" s="93"/>
      <c r="K1221" s="94"/>
      <c r="L1221" s="149" t="str">
        <f>HYPERLINK("[#]DatatypeListedValues!B5898:H5898","Enumeration")</f>
        <v>Enumeration</v>
      </c>
      <c r="M1221" s="107" t="b">
        <v>0</v>
      </c>
      <c r="N1221" s="90"/>
      <c r="O1221" s="95"/>
      <c r="P1221" s="90"/>
      <c r="Q1221" s="96"/>
      <c r="R1221" s="97"/>
      <c r="S1221" s="169"/>
      <c r="U1221" s="188"/>
    </row>
    <row r="1222" spans="1:21" ht="2.1" customHeight="1">
      <c r="A1222" s="98"/>
      <c r="B1222" s="87"/>
      <c r="C1222" s="99"/>
      <c r="D1222" s="87"/>
      <c r="E1222" s="99"/>
      <c r="F1222" s="100"/>
      <c r="G1222" s="100"/>
      <c r="H1222" s="100"/>
      <c r="I1222" s="101"/>
      <c r="J1222" s="106"/>
      <c r="K1222" s="103"/>
      <c r="L1222" s="104"/>
      <c r="M1222" s="100"/>
      <c r="N1222" s="100"/>
      <c r="O1222" s="100"/>
      <c r="P1222" s="100"/>
      <c r="Q1222" s="105"/>
      <c r="R1222" s="105"/>
      <c r="S1222" s="169"/>
      <c r="T1222" s="300" t="str">
        <f>CONCATENATE([1]Cover!$D$6,"fdd/view?i=",S1222)</f>
        <v>https://www.dgiwg.org/FAD/fdd/view?i=</v>
      </c>
      <c r="U1222" s="188"/>
    </row>
    <row r="1223" spans="1:21">
      <c r="A1223" s="67" t="s">
        <v>9829</v>
      </c>
      <c r="B1223" s="87" t="s">
        <v>9829</v>
      </c>
      <c r="C1223" s="88" t="s">
        <v>12833</v>
      </c>
      <c r="D1223" s="89"/>
      <c r="E1223" s="90"/>
      <c r="F1223" s="91" t="s">
        <v>12834</v>
      </c>
      <c r="G1223" s="90"/>
      <c r="H1223" s="90"/>
      <c r="I1223" s="92"/>
      <c r="J1223" s="93"/>
      <c r="K1223" s="94"/>
      <c r="L1223" s="149" t="str">
        <f>HYPERLINK("[#]DatatypeListedValues!B5902:H5902","Enumeration")</f>
        <v>Enumeration</v>
      </c>
      <c r="M1223" s="107" t="b">
        <v>0</v>
      </c>
      <c r="N1223" s="90"/>
      <c r="O1223" s="95"/>
      <c r="P1223" s="90"/>
      <c r="Q1223" s="96"/>
      <c r="R1223" s="97"/>
      <c r="S1223" s="169"/>
      <c r="U1223" s="188"/>
    </row>
    <row r="1224" spans="1:21" ht="2.1" customHeight="1">
      <c r="A1224" s="98"/>
      <c r="B1224" s="87"/>
      <c r="C1224" s="99"/>
      <c r="D1224" s="87"/>
      <c r="E1224" s="99"/>
      <c r="F1224" s="100"/>
      <c r="G1224" s="100"/>
      <c r="H1224" s="100"/>
      <c r="I1224" s="101"/>
      <c r="J1224" s="106"/>
      <c r="K1224" s="103"/>
      <c r="L1224" s="104"/>
      <c r="M1224" s="100"/>
      <c r="N1224" s="100"/>
      <c r="O1224" s="100"/>
      <c r="P1224" s="100"/>
      <c r="Q1224" s="105"/>
      <c r="R1224" s="105"/>
      <c r="S1224" s="169"/>
      <c r="T1224" s="300" t="str">
        <f>CONCATENATE([1]Cover!$D$6,"fdd/view?i=",S1224)</f>
        <v>https://www.dgiwg.org/FAD/fdd/view?i=</v>
      </c>
      <c r="U1224" s="188"/>
    </row>
    <row r="1225" spans="1:21" ht="25.5">
      <c r="A1225" s="67" t="s">
        <v>9889</v>
      </c>
      <c r="B1225" s="87" t="s">
        <v>9889</v>
      </c>
      <c r="C1225" s="88" t="s">
        <v>12835</v>
      </c>
      <c r="D1225" s="89"/>
      <c r="E1225" s="90"/>
      <c r="F1225" s="91" t="s">
        <v>12836</v>
      </c>
      <c r="G1225" s="90"/>
      <c r="H1225" s="90"/>
      <c r="I1225" s="92"/>
      <c r="J1225" s="93"/>
      <c r="K1225" s="94"/>
      <c r="L1225" s="149" t="str">
        <f>HYPERLINK("[#]DatatypeListedValues!B5919:H5919","Enumeration")</f>
        <v>Enumeration</v>
      </c>
      <c r="M1225" s="107" t="b">
        <v>0</v>
      </c>
      <c r="N1225" s="90"/>
      <c r="O1225" s="95"/>
      <c r="P1225" s="90"/>
      <c r="Q1225" s="96"/>
      <c r="R1225" s="97"/>
      <c r="S1225" s="169"/>
      <c r="U1225" s="188"/>
    </row>
    <row r="1226" spans="1:21" ht="2.1" customHeight="1">
      <c r="A1226" s="98"/>
      <c r="B1226" s="87"/>
      <c r="C1226" s="99"/>
      <c r="D1226" s="87"/>
      <c r="E1226" s="99"/>
      <c r="F1226" s="100"/>
      <c r="G1226" s="100"/>
      <c r="H1226" s="100"/>
      <c r="I1226" s="101"/>
      <c r="J1226" s="106"/>
      <c r="K1226" s="103"/>
      <c r="L1226" s="104"/>
      <c r="M1226" s="100"/>
      <c r="N1226" s="100"/>
      <c r="O1226" s="100"/>
      <c r="P1226" s="100"/>
      <c r="Q1226" s="105"/>
      <c r="R1226" s="105"/>
      <c r="S1226" s="169"/>
      <c r="T1226" s="300" t="str">
        <f>CONCATENATE([1]Cover!$D$6,"fdd/view?i=",S1226)</f>
        <v>https://www.dgiwg.org/FAD/fdd/view?i=</v>
      </c>
      <c r="U1226" s="188"/>
    </row>
    <row r="1227" spans="1:21" ht="25.5">
      <c r="A1227" s="67" t="s">
        <v>9845</v>
      </c>
      <c r="B1227" s="87" t="s">
        <v>9845</v>
      </c>
      <c r="C1227" s="88" t="s">
        <v>12837</v>
      </c>
      <c r="D1227" s="89"/>
      <c r="E1227" s="90"/>
      <c r="F1227" s="91" t="s">
        <v>12838</v>
      </c>
      <c r="G1227" s="90"/>
      <c r="H1227" s="90"/>
      <c r="I1227" s="92"/>
      <c r="J1227" s="93"/>
      <c r="K1227" s="94"/>
      <c r="L1227" s="149" t="str">
        <f>HYPERLINK("[#]DatatypeListedValues!B5962:H5962","Enumeration")</f>
        <v>Enumeration</v>
      </c>
      <c r="M1227" s="91" t="b">
        <v>1</v>
      </c>
      <c r="N1227" s="90"/>
      <c r="O1227" s="95"/>
      <c r="P1227" s="90"/>
      <c r="Q1227" s="96"/>
      <c r="R1227" s="97"/>
      <c r="S1227" s="169"/>
      <c r="U1227" s="188"/>
    </row>
    <row r="1228" spans="1:21" ht="2.1" customHeight="1">
      <c r="A1228" s="98"/>
      <c r="B1228" s="87"/>
      <c r="C1228" s="99"/>
      <c r="D1228" s="87"/>
      <c r="E1228" s="99"/>
      <c r="F1228" s="100"/>
      <c r="G1228" s="100"/>
      <c r="H1228" s="100"/>
      <c r="I1228" s="101"/>
      <c r="J1228" s="106"/>
      <c r="K1228" s="103"/>
      <c r="L1228" s="104"/>
      <c r="M1228" s="100"/>
      <c r="N1228" s="100"/>
      <c r="O1228" s="100"/>
      <c r="P1228" s="100"/>
      <c r="Q1228" s="105"/>
      <c r="R1228" s="105"/>
      <c r="S1228" s="169"/>
      <c r="T1228" s="300" t="str">
        <f>CONCATENATE([1]Cover!$D$6,"fdd/view?i=",S1228)</f>
        <v>https://www.dgiwg.org/FAD/fdd/view?i=</v>
      </c>
      <c r="U1228" s="188"/>
    </row>
    <row r="1229" spans="1:21" ht="25.5">
      <c r="A1229" s="67" t="s">
        <v>9894</v>
      </c>
      <c r="B1229" s="87" t="s">
        <v>9894</v>
      </c>
      <c r="C1229" s="88" t="s">
        <v>12839</v>
      </c>
      <c r="D1229" s="89"/>
      <c r="E1229" s="90"/>
      <c r="F1229" s="91" t="s">
        <v>12840</v>
      </c>
      <c r="G1229" s="90"/>
      <c r="H1229" s="90"/>
      <c r="I1229" s="92"/>
      <c r="J1229" s="93"/>
      <c r="K1229" s="94"/>
      <c r="L1229" s="149" t="str">
        <f>HYPERLINK("[#]DatatypeListedValues!B5967:H5967","Enumeration")</f>
        <v>Enumeration</v>
      </c>
      <c r="M1229" s="107" t="b">
        <v>0</v>
      </c>
      <c r="N1229" s="90"/>
      <c r="O1229" s="95"/>
      <c r="P1229" s="90"/>
      <c r="Q1229" s="96"/>
      <c r="R1229" s="97"/>
      <c r="S1229" s="169"/>
      <c r="U1229" s="188"/>
    </row>
    <row r="1230" spans="1:21" ht="2.1" customHeight="1">
      <c r="A1230" s="98"/>
      <c r="B1230" s="87"/>
      <c r="C1230" s="99"/>
      <c r="D1230" s="87"/>
      <c r="E1230" s="99"/>
      <c r="F1230" s="100"/>
      <c r="G1230" s="100"/>
      <c r="H1230" s="100"/>
      <c r="I1230" s="101"/>
      <c r="J1230" s="106"/>
      <c r="K1230" s="103"/>
      <c r="L1230" s="104"/>
      <c r="M1230" s="100"/>
      <c r="N1230" s="100"/>
      <c r="O1230" s="100"/>
      <c r="P1230" s="100"/>
      <c r="Q1230" s="105"/>
      <c r="R1230" s="105"/>
      <c r="S1230" s="169"/>
      <c r="T1230" s="300" t="str">
        <f>CONCATENATE([1]Cover!$D$6,"fdd/view?i=",S1230)</f>
        <v>https://www.dgiwg.org/FAD/fdd/view?i=</v>
      </c>
      <c r="U1230" s="188"/>
    </row>
    <row r="1231" spans="1:21" ht="38.25">
      <c r="A1231" s="67" t="s">
        <v>9851</v>
      </c>
      <c r="B1231" s="87" t="s">
        <v>9851</v>
      </c>
      <c r="C1231" s="88" t="s">
        <v>12841</v>
      </c>
      <c r="D1231" s="89"/>
      <c r="E1231" s="90"/>
      <c r="F1231" s="91" t="s">
        <v>12842</v>
      </c>
      <c r="G1231" s="90"/>
      <c r="H1231" s="91" t="s">
        <v>11426</v>
      </c>
      <c r="I1231" s="92"/>
      <c r="J1231" s="93"/>
      <c r="K1231" s="94"/>
      <c r="L1231" s="91" t="s">
        <v>11425</v>
      </c>
      <c r="M1231" s="90"/>
      <c r="N1231" s="108" t="s">
        <v>11810</v>
      </c>
      <c r="O1231" s="91" t="b">
        <v>1</v>
      </c>
      <c r="P1231" s="91" t="s">
        <v>12843</v>
      </c>
      <c r="Q1231" s="96"/>
      <c r="R1231" s="97"/>
      <c r="S1231" s="169"/>
      <c r="U1231" s="188"/>
    </row>
    <row r="1232" spans="1:21" ht="2.1" customHeight="1">
      <c r="A1232" s="98"/>
      <c r="B1232" s="87"/>
      <c r="C1232" s="99"/>
      <c r="D1232" s="87"/>
      <c r="E1232" s="99"/>
      <c r="F1232" s="100"/>
      <c r="G1232" s="100"/>
      <c r="H1232" s="100"/>
      <c r="I1232" s="101"/>
      <c r="J1232" s="106"/>
      <c r="K1232" s="103"/>
      <c r="L1232" s="104"/>
      <c r="M1232" s="100"/>
      <c r="N1232" s="100"/>
      <c r="O1232" s="100"/>
      <c r="P1232" s="100"/>
      <c r="Q1232" s="105"/>
      <c r="R1232" s="105"/>
      <c r="S1232" s="169"/>
      <c r="T1232" s="300" t="str">
        <f>CONCATENATE([1]Cover!$D$6,"fdd/view?i=",S1232)</f>
        <v>https://www.dgiwg.org/FAD/fdd/view?i=</v>
      </c>
      <c r="U1232" s="188"/>
    </row>
    <row r="1233" spans="1:21">
      <c r="A1233" s="67" t="s">
        <v>9857</v>
      </c>
      <c r="B1233" s="87" t="s">
        <v>9857</v>
      </c>
      <c r="C1233" s="88" t="s">
        <v>12844</v>
      </c>
      <c r="D1233" s="89"/>
      <c r="E1233" s="90"/>
      <c r="F1233" s="91" t="s">
        <v>12845</v>
      </c>
      <c r="G1233" s="90"/>
      <c r="H1233" s="90"/>
      <c r="I1233" s="92"/>
      <c r="J1233" s="93"/>
      <c r="K1233" s="94"/>
      <c r="L1233" s="149" t="str">
        <f>HYPERLINK("[#]DatatypeListedValues!B5972:H5972","Enumeration")</f>
        <v>Enumeration</v>
      </c>
      <c r="M1233" s="107" t="b">
        <v>0</v>
      </c>
      <c r="N1233" s="90"/>
      <c r="O1233" s="95"/>
      <c r="P1233" s="90"/>
      <c r="Q1233" s="96"/>
      <c r="R1233" s="97"/>
      <c r="S1233" s="169"/>
      <c r="U1233" s="188"/>
    </row>
    <row r="1234" spans="1:21" ht="2.1" customHeight="1">
      <c r="A1234" s="98"/>
      <c r="B1234" s="87"/>
      <c r="C1234" s="99"/>
      <c r="D1234" s="87"/>
      <c r="E1234" s="99"/>
      <c r="F1234" s="100"/>
      <c r="G1234" s="100"/>
      <c r="H1234" s="100"/>
      <c r="I1234" s="101"/>
      <c r="J1234" s="106"/>
      <c r="K1234" s="103"/>
      <c r="L1234" s="104"/>
      <c r="M1234" s="100"/>
      <c r="N1234" s="100"/>
      <c r="O1234" s="100"/>
      <c r="P1234" s="100"/>
      <c r="Q1234" s="105"/>
      <c r="R1234" s="105"/>
      <c r="S1234" s="169"/>
      <c r="T1234" s="300" t="str">
        <f>CONCATENATE([1]Cover!$D$6,"fdd/view?i=",S1234)</f>
        <v>https://www.dgiwg.org/FAD/fdd/view?i=</v>
      </c>
      <c r="U1234" s="188"/>
    </row>
    <row r="1235" spans="1:21" ht="25.5">
      <c r="A1235" s="67" t="s">
        <v>9878</v>
      </c>
      <c r="B1235" s="87" t="s">
        <v>9878</v>
      </c>
      <c r="C1235" s="88" t="s">
        <v>12846</v>
      </c>
      <c r="D1235" s="89"/>
      <c r="E1235" s="90"/>
      <c r="F1235" s="91" t="s">
        <v>12847</v>
      </c>
      <c r="G1235" s="90"/>
      <c r="H1235" s="90"/>
      <c r="I1235" s="92"/>
      <c r="J1235" s="93"/>
      <c r="K1235" s="94"/>
      <c r="L1235" s="149" t="str">
        <f>HYPERLINK("[#]DatatypeListedValues!B5980:H5980","Enumeration")</f>
        <v>Enumeration</v>
      </c>
      <c r="M1235" s="107" t="b">
        <v>0</v>
      </c>
      <c r="N1235" s="90"/>
      <c r="O1235" s="95"/>
      <c r="P1235" s="90"/>
      <c r="Q1235" s="96"/>
      <c r="R1235" s="97"/>
      <c r="S1235" s="169"/>
      <c r="U1235" s="188"/>
    </row>
    <row r="1236" spans="1:21" ht="2.1" customHeight="1">
      <c r="A1236" s="98"/>
      <c r="B1236" s="87"/>
      <c r="C1236" s="99"/>
      <c r="D1236" s="87"/>
      <c r="E1236" s="99"/>
      <c r="F1236" s="100"/>
      <c r="G1236" s="100"/>
      <c r="H1236" s="100"/>
      <c r="I1236" s="101"/>
      <c r="J1236" s="106"/>
      <c r="K1236" s="103"/>
      <c r="L1236" s="104"/>
      <c r="M1236" s="100"/>
      <c r="N1236" s="100"/>
      <c r="O1236" s="100"/>
      <c r="P1236" s="100"/>
      <c r="Q1236" s="105"/>
      <c r="R1236" s="105"/>
      <c r="S1236" s="169"/>
      <c r="T1236" s="300" t="str">
        <f>CONCATENATE([1]Cover!$D$6,"fdd/view?i=",S1236)</f>
        <v>https://www.dgiwg.org/FAD/fdd/view?i=</v>
      </c>
      <c r="U1236" s="188"/>
    </row>
    <row r="1237" spans="1:21" ht="25.5">
      <c r="A1237" s="67" t="s">
        <v>9903</v>
      </c>
      <c r="B1237" s="87" t="s">
        <v>9903</v>
      </c>
      <c r="C1237" s="88" t="s">
        <v>12848</v>
      </c>
      <c r="D1237" s="89"/>
      <c r="E1237" s="90"/>
      <c r="F1237" s="91" t="s">
        <v>12849</v>
      </c>
      <c r="G1237" s="90"/>
      <c r="H1237" s="90"/>
      <c r="I1237" s="92"/>
      <c r="J1237" s="93"/>
      <c r="K1237" s="94"/>
      <c r="L1237" s="149" t="str">
        <f>HYPERLINK("[#]DatatypeListedValues!B5998:H5998","Enumeration")</f>
        <v>Enumeration</v>
      </c>
      <c r="M1237" s="107" t="b">
        <v>0</v>
      </c>
      <c r="N1237" s="90"/>
      <c r="O1237" s="95"/>
      <c r="P1237" s="90"/>
      <c r="Q1237" s="96"/>
      <c r="R1237" s="97"/>
      <c r="S1237" s="169"/>
      <c r="U1237" s="188"/>
    </row>
    <row r="1238" spans="1:21" ht="2.1" customHeight="1">
      <c r="A1238" s="98"/>
      <c r="B1238" s="87"/>
      <c r="C1238" s="99"/>
      <c r="D1238" s="87"/>
      <c r="E1238" s="99"/>
      <c r="F1238" s="100"/>
      <c r="G1238" s="100"/>
      <c r="H1238" s="100"/>
      <c r="I1238" s="101"/>
      <c r="J1238" s="106"/>
      <c r="K1238" s="103"/>
      <c r="L1238" s="104"/>
      <c r="M1238" s="100"/>
      <c r="N1238" s="100"/>
      <c r="O1238" s="100"/>
      <c r="P1238" s="100"/>
      <c r="Q1238" s="105"/>
      <c r="R1238" s="105"/>
      <c r="S1238" s="169"/>
      <c r="T1238" s="300" t="str">
        <f>CONCATENATE([1]Cover!$D$6,"fdd/view?i=",S1238)</f>
        <v>https://www.dgiwg.org/FAD/fdd/view?i=</v>
      </c>
      <c r="U1238" s="188"/>
    </row>
    <row r="1239" spans="1:21" ht="38.25">
      <c r="A1239" s="67" t="s">
        <v>9909</v>
      </c>
      <c r="B1239" s="87" t="s">
        <v>9909</v>
      </c>
      <c r="C1239" s="88" t="s">
        <v>12850</v>
      </c>
      <c r="D1239" s="89"/>
      <c r="E1239" s="90"/>
      <c r="F1239" s="91" t="s">
        <v>12851</v>
      </c>
      <c r="G1239" s="90"/>
      <c r="H1239" s="91" t="s">
        <v>11426</v>
      </c>
      <c r="I1239" s="92"/>
      <c r="J1239" s="93"/>
      <c r="K1239" s="94"/>
      <c r="L1239" s="91" t="s">
        <v>11425</v>
      </c>
      <c r="M1239" s="90"/>
      <c r="N1239" s="91">
        <v>7</v>
      </c>
      <c r="O1239" s="108" t="b">
        <v>0</v>
      </c>
      <c r="P1239" s="91" t="s">
        <v>12852</v>
      </c>
      <c r="Q1239" s="96"/>
      <c r="R1239" s="97"/>
      <c r="S1239" s="169"/>
      <c r="U1239" s="188"/>
    </row>
    <row r="1240" spans="1:21" ht="2.1" customHeight="1">
      <c r="A1240" s="98"/>
      <c r="B1240" s="87"/>
      <c r="C1240" s="99"/>
      <c r="D1240" s="87"/>
      <c r="E1240" s="99"/>
      <c r="F1240" s="100"/>
      <c r="G1240" s="100"/>
      <c r="H1240" s="100"/>
      <c r="I1240" s="101"/>
      <c r="J1240" s="106"/>
      <c r="K1240" s="103"/>
      <c r="L1240" s="104"/>
      <c r="M1240" s="100"/>
      <c r="N1240" s="100"/>
      <c r="O1240" s="100"/>
      <c r="P1240" s="100"/>
      <c r="Q1240" s="105"/>
      <c r="R1240" s="105"/>
      <c r="S1240" s="169"/>
      <c r="T1240" s="300" t="str">
        <f>CONCATENATE([1]Cover!$D$6,"fdd/view?i=",S1240)</f>
        <v>https://www.dgiwg.org/FAD/fdd/view?i=</v>
      </c>
      <c r="U1240" s="188"/>
    </row>
    <row r="1241" spans="1:21" ht="51">
      <c r="A1241" s="67" t="s">
        <v>12853</v>
      </c>
      <c r="B1241" s="87" t="s">
        <v>12853</v>
      </c>
      <c r="C1241" s="88" t="s">
        <v>12854</v>
      </c>
      <c r="D1241" s="89"/>
      <c r="E1241" s="90"/>
      <c r="F1241" s="91" t="s">
        <v>12855</v>
      </c>
      <c r="G1241" s="90"/>
      <c r="H1241" s="91" t="s">
        <v>11426</v>
      </c>
      <c r="I1241" s="92"/>
      <c r="J1241" s="93"/>
      <c r="K1241" s="94"/>
      <c r="L1241" s="91" t="s">
        <v>11425</v>
      </c>
      <c r="M1241" s="90"/>
      <c r="N1241" s="91">
        <v>3</v>
      </c>
      <c r="O1241" s="108" t="b">
        <v>0</v>
      </c>
      <c r="P1241" s="91" t="s">
        <v>12856</v>
      </c>
      <c r="Q1241" s="96"/>
      <c r="R1241" s="97"/>
      <c r="S1241" s="169"/>
      <c r="U1241" s="188"/>
    </row>
    <row r="1242" spans="1:21" ht="2.1" customHeight="1">
      <c r="A1242" s="98"/>
      <c r="B1242" s="87"/>
      <c r="C1242" s="99"/>
      <c r="D1242" s="87"/>
      <c r="E1242" s="99"/>
      <c r="F1242" s="100"/>
      <c r="G1242" s="100"/>
      <c r="H1242" s="100"/>
      <c r="I1242" s="101"/>
      <c r="J1242" s="106"/>
      <c r="K1242" s="103"/>
      <c r="L1242" s="104"/>
      <c r="M1242" s="100"/>
      <c r="N1242" s="100"/>
      <c r="O1242" s="100"/>
      <c r="P1242" s="100"/>
      <c r="Q1242" s="105"/>
      <c r="R1242" s="105"/>
      <c r="S1242" s="169"/>
      <c r="T1242" s="300" t="str">
        <f>CONCATENATE([1]Cover!$D$6,"fdd/view?i=",S1242)</f>
        <v>https://www.dgiwg.org/FAD/fdd/view?i=</v>
      </c>
      <c r="U1242" s="188"/>
    </row>
    <row r="1243" spans="1:21" ht="25.5">
      <c r="A1243" s="67" t="s">
        <v>9954</v>
      </c>
      <c r="B1243" s="87" t="s">
        <v>9954</v>
      </c>
      <c r="C1243" s="88" t="s">
        <v>12857</v>
      </c>
      <c r="D1243" s="89"/>
      <c r="E1243" s="90"/>
      <c r="F1243" s="91" t="s">
        <v>12858</v>
      </c>
      <c r="G1243" s="90"/>
      <c r="H1243" s="90"/>
      <c r="I1243" s="92"/>
      <c r="J1243" s="93"/>
      <c r="K1243" s="94"/>
      <c r="L1243" s="149" t="str">
        <f>HYPERLINK("[#]DatatypeListedValues!B6007:H6007","Enumeration")</f>
        <v>Enumeration</v>
      </c>
      <c r="M1243" s="107" t="b">
        <v>0</v>
      </c>
      <c r="N1243" s="90"/>
      <c r="O1243" s="95"/>
      <c r="P1243" s="90"/>
      <c r="Q1243" s="96"/>
      <c r="R1243" s="97"/>
      <c r="S1243" s="169"/>
      <c r="U1243" s="188"/>
    </row>
    <row r="1244" spans="1:21" ht="2.1" customHeight="1">
      <c r="A1244" s="98"/>
      <c r="B1244" s="87"/>
      <c r="C1244" s="99"/>
      <c r="D1244" s="87"/>
      <c r="E1244" s="99"/>
      <c r="F1244" s="100"/>
      <c r="G1244" s="100"/>
      <c r="H1244" s="100"/>
      <c r="I1244" s="101"/>
      <c r="J1244" s="106"/>
      <c r="K1244" s="103"/>
      <c r="L1244" s="104"/>
      <c r="M1244" s="100"/>
      <c r="N1244" s="100"/>
      <c r="O1244" s="100"/>
      <c r="P1244" s="100"/>
      <c r="Q1244" s="105"/>
      <c r="R1244" s="105"/>
      <c r="S1244" s="169"/>
      <c r="T1244" s="300" t="str">
        <f>CONCATENATE([1]Cover!$D$6,"fdd/view?i=",S1244)</f>
        <v>https://www.dgiwg.org/FAD/fdd/view?i=</v>
      </c>
      <c r="U1244" s="188"/>
    </row>
    <row r="1245" spans="1:21">
      <c r="A1245" s="67" t="s">
        <v>9977</v>
      </c>
      <c r="B1245" s="87" t="s">
        <v>9977</v>
      </c>
      <c r="C1245" s="88" t="s">
        <v>12859</v>
      </c>
      <c r="D1245" s="89"/>
      <c r="E1245" s="90"/>
      <c r="F1245" s="91" t="s">
        <v>12860</v>
      </c>
      <c r="G1245" s="90"/>
      <c r="H1245" s="90"/>
      <c r="I1245" s="92"/>
      <c r="J1245" s="93"/>
      <c r="K1245" s="94"/>
      <c r="L1245" s="149" t="str">
        <f>HYPERLINK("[#]DatatypeListedValues!B6010:H6010","Enumeration")</f>
        <v>Enumeration</v>
      </c>
      <c r="M1245" s="107" t="b">
        <v>0</v>
      </c>
      <c r="N1245" s="90"/>
      <c r="O1245" s="95"/>
      <c r="P1245" s="90"/>
      <c r="Q1245" s="96"/>
      <c r="R1245" s="97"/>
      <c r="S1245" s="169"/>
      <c r="U1245" s="188"/>
    </row>
    <row r="1246" spans="1:21" ht="2.1" customHeight="1">
      <c r="A1246" s="98"/>
      <c r="B1246" s="87"/>
      <c r="C1246" s="99"/>
      <c r="D1246" s="87"/>
      <c r="E1246" s="99"/>
      <c r="F1246" s="100"/>
      <c r="G1246" s="100"/>
      <c r="H1246" s="100"/>
      <c r="I1246" s="101"/>
      <c r="J1246" s="106"/>
      <c r="K1246" s="103"/>
      <c r="L1246" s="104"/>
      <c r="M1246" s="100"/>
      <c r="N1246" s="100"/>
      <c r="O1246" s="100"/>
      <c r="P1246" s="100"/>
      <c r="Q1246" s="105"/>
      <c r="R1246" s="105"/>
      <c r="S1246" s="169"/>
      <c r="T1246" s="300" t="str">
        <f>CONCATENATE([1]Cover!$D$6,"fdd/view?i=",S1246)</f>
        <v>https://www.dgiwg.org/FAD/fdd/view?i=</v>
      </c>
      <c r="U1246" s="188"/>
    </row>
    <row r="1247" spans="1:21" ht="38.25">
      <c r="A1247" s="67" t="s">
        <v>9986</v>
      </c>
      <c r="B1247" s="87" t="s">
        <v>9986</v>
      </c>
      <c r="C1247" s="88" t="s">
        <v>12861</v>
      </c>
      <c r="D1247" s="89"/>
      <c r="E1247" s="90"/>
      <c r="F1247" s="91" t="s">
        <v>12862</v>
      </c>
      <c r="G1247" s="90"/>
      <c r="H1247" s="91" t="s">
        <v>11426</v>
      </c>
      <c r="I1247" s="92"/>
      <c r="J1247" s="93"/>
      <c r="K1247" s="94"/>
      <c r="L1247" s="91" t="s">
        <v>11425</v>
      </c>
      <c r="M1247" s="90"/>
      <c r="N1247" s="91">
        <v>2</v>
      </c>
      <c r="O1247" s="108" t="b">
        <v>0</v>
      </c>
      <c r="P1247" s="91" t="s">
        <v>12863</v>
      </c>
      <c r="Q1247" s="96"/>
      <c r="R1247" s="97"/>
      <c r="S1247" s="169"/>
      <c r="U1247" s="188"/>
    </row>
    <row r="1248" spans="1:21" ht="2.1" customHeight="1">
      <c r="A1248" s="98"/>
      <c r="B1248" s="87"/>
      <c r="C1248" s="99"/>
      <c r="D1248" s="87"/>
      <c r="E1248" s="99"/>
      <c r="F1248" s="100"/>
      <c r="G1248" s="100"/>
      <c r="H1248" s="100"/>
      <c r="I1248" s="101"/>
      <c r="J1248" s="106"/>
      <c r="K1248" s="103"/>
      <c r="L1248" s="104"/>
      <c r="M1248" s="100"/>
      <c r="N1248" s="100"/>
      <c r="O1248" s="100"/>
      <c r="P1248" s="100"/>
      <c r="Q1248" s="105"/>
      <c r="R1248" s="105"/>
      <c r="S1248" s="169"/>
      <c r="T1248" s="300" t="str">
        <f>CONCATENATE([1]Cover!$D$6,"fdd/view?i=",S1248)</f>
        <v>https://www.dgiwg.org/FAD/fdd/view?i=</v>
      </c>
      <c r="U1248" s="188"/>
    </row>
    <row r="1249" spans="1:21" ht="25.5">
      <c r="A1249" s="67" t="s">
        <v>9981</v>
      </c>
      <c r="B1249" s="87" t="s">
        <v>9981</v>
      </c>
      <c r="C1249" s="88" t="s">
        <v>12864</v>
      </c>
      <c r="D1249" s="89"/>
      <c r="E1249" s="90"/>
      <c r="F1249" s="91" t="s">
        <v>12865</v>
      </c>
      <c r="G1249" s="90"/>
      <c r="H1249" s="90"/>
      <c r="I1249" s="92"/>
      <c r="J1249" s="93"/>
      <c r="K1249" s="94"/>
      <c r="L1249" s="149" t="str">
        <f>HYPERLINK("[#]DatatypeListedValues!B6018:H6018","Enumeration")</f>
        <v>Enumeration</v>
      </c>
      <c r="M1249" s="107" t="b">
        <v>0</v>
      </c>
      <c r="N1249" s="90"/>
      <c r="O1249" s="95"/>
      <c r="P1249" s="90"/>
      <c r="Q1249" s="96"/>
      <c r="R1249" s="97"/>
      <c r="S1249" s="169"/>
      <c r="U1249" s="188"/>
    </row>
    <row r="1250" spans="1:21" ht="2.1" customHeight="1">
      <c r="A1250" s="98"/>
      <c r="B1250" s="87"/>
      <c r="C1250" s="99"/>
      <c r="D1250" s="87"/>
      <c r="E1250" s="99"/>
      <c r="F1250" s="100"/>
      <c r="G1250" s="100"/>
      <c r="H1250" s="100"/>
      <c r="I1250" s="101"/>
      <c r="J1250" s="106"/>
      <c r="K1250" s="103"/>
      <c r="L1250" s="104"/>
      <c r="M1250" s="100"/>
      <c r="N1250" s="100"/>
      <c r="O1250" s="100"/>
      <c r="P1250" s="100"/>
      <c r="Q1250" s="105"/>
      <c r="R1250" s="105"/>
      <c r="S1250" s="169"/>
      <c r="T1250" s="300" t="str">
        <f>CONCATENATE([1]Cover!$D$6,"fdd/view?i=",S1250)</f>
        <v>https://www.dgiwg.org/FAD/fdd/view?i=</v>
      </c>
      <c r="U1250" s="188"/>
    </row>
    <row r="1251" spans="1:21" ht="38.25">
      <c r="A1251" s="67" t="s">
        <v>8349</v>
      </c>
      <c r="B1251" s="87" t="s">
        <v>8349</v>
      </c>
      <c r="C1251" s="88" t="s">
        <v>12866</v>
      </c>
      <c r="D1251" s="89"/>
      <c r="E1251" s="90"/>
      <c r="F1251" s="91" t="s">
        <v>12867</v>
      </c>
      <c r="G1251" s="90"/>
      <c r="H1251" s="91" t="s">
        <v>11744</v>
      </c>
      <c r="I1251" s="92"/>
      <c r="J1251" s="93"/>
      <c r="K1251" s="94"/>
      <c r="L1251" s="153" t="s">
        <v>11414</v>
      </c>
      <c r="M1251" s="91" t="b">
        <v>1</v>
      </c>
      <c r="N1251" s="90"/>
      <c r="O1251" s="95"/>
      <c r="P1251" s="91" t="s">
        <v>11753</v>
      </c>
      <c r="Q1251" s="96"/>
      <c r="R1251" s="97"/>
      <c r="S1251" s="169"/>
      <c r="U1251" s="188"/>
    </row>
    <row r="1252" spans="1:21" ht="2.1" customHeight="1">
      <c r="A1252" s="98"/>
      <c r="B1252" s="87"/>
      <c r="C1252" s="99"/>
      <c r="D1252" s="87"/>
      <c r="E1252" s="99"/>
      <c r="F1252" s="100"/>
      <c r="G1252" s="100"/>
      <c r="H1252" s="100"/>
      <c r="I1252" s="101"/>
      <c r="J1252" s="106"/>
      <c r="K1252" s="103"/>
      <c r="L1252" s="104"/>
      <c r="M1252" s="100"/>
      <c r="N1252" s="100"/>
      <c r="O1252" s="100"/>
      <c r="P1252" s="100"/>
      <c r="Q1252" s="105"/>
      <c r="R1252" s="105"/>
      <c r="S1252" s="169"/>
      <c r="T1252" s="300" t="str">
        <f>CONCATENATE([1]Cover!$D$6,"fdd/view?i=",S1252)</f>
        <v>https://www.dgiwg.org/FAD/fdd/view?i=</v>
      </c>
      <c r="U1252" s="188"/>
    </row>
    <row r="1253" spans="1:21" ht="38.25">
      <c r="A1253" s="67" t="s">
        <v>10003</v>
      </c>
      <c r="B1253" s="87" t="s">
        <v>10003</v>
      </c>
      <c r="C1253" s="88" t="s">
        <v>12868</v>
      </c>
      <c r="D1253" s="89"/>
      <c r="E1253" s="90"/>
      <c r="F1253" s="91" t="s">
        <v>12869</v>
      </c>
      <c r="G1253" s="90"/>
      <c r="H1253" s="91" t="s">
        <v>11426</v>
      </c>
      <c r="I1253" s="92"/>
      <c r="J1253" s="93"/>
      <c r="K1253" s="94"/>
      <c r="L1253" s="91" t="s">
        <v>11425</v>
      </c>
      <c r="M1253" s="90"/>
      <c r="N1253" s="108" t="s">
        <v>11810</v>
      </c>
      <c r="O1253" s="91" t="b">
        <v>1</v>
      </c>
      <c r="P1253" s="91" t="s">
        <v>12870</v>
      </c>
      <c r="Q1253" s="96"/>
      <c r="R1253" s="97"/>
      <c r="S1253" s="169"/>
      <c r="U1253" s="188"/>
    </row>
    <row r="1254" spans="1:21" ht="2.1" customHeight="1">
      <c r="A1254" s="98"/>
      <c r="B1254" s="87"/>
      <c r="C1254" s="99"/>
      <c r="D1254" s="87"/>
      <c r="E1254" s="99"/>
      <c r="F1254" s="100"/>
      <c r="G1254" s="100"/>
      <c r="H1254" s="100"/>
      <c r="I1254" s="101"/>
      <c r="J1254" s="106"/>
      <c r="K1254" s="103"/>
      <c r="L1254" s="104"/>
      <c r="M1254" s="100"/>
      <c r="N1254" s="100"/>
      <c r="O1254" s="100"/>
      <c r="P1254" s="100"/>
      <c r="Q1254" s="105"/>
      <c r="R1254" s="105"/>
      <c r="S1254" s="169"/>
      <c r="T1254" s="300" t="str">
        <f>CONCATENATE([1]Cover!$D$6,"fdd/view?i=",S1254)</f>
        <v>https://www.dgiwg.org/FAD/fdd/view?i=</v>
      </c>
      <c r="U1254" s="188"/>
    </row>
    <row r="1255" spans="1:21">
      <c r="A1255" s="67" t="s">
        <v>10013</v>
      </c>
      <c r="B1255" s="87" t="s">
        <v>10013</v>
      </c>
      <c r="C1255" s="88" t="s">
        <v>12871</v>
      </c>
      <c r="D1255" s="89"/>
      <c r="E1255" s="90"/>
      <c r="F1255" s="91" t="s">
        <v>12872</v>
      </c>
      <c r="G1255" s="90"/>
      <c r="H1255" s="90"/>
      <c r="I1255" s="92"/>
      <c r="J1255" s="93"/>
      <c r="K1255" s="94"/>
      <c r="L1255" s="149" t="str">
        <f>HYPERLINK("[#]DatatypeListedValues!B6022:H6022","Enumeration")</f>
        <v>Enumeration</v>
      </c>
      <c r="M1255" s="91" t="b">
        <v>1</v>
      </c>
      <c r="N1255" s="90"/>
      <c r="O1255" s="95"/>
      <c r="P1255" s="90"/>
      <c r="Q1255" s="96"/>
      <c r="R1255" s="97"/>
      <c r="S1255" s="169"/>
      <c r="U1255" s="188"/>
    </row>
    <row r="1256" spans="1:21" ht="2.1" customHeight="1">
      <c r="A1256" s="98"/>
      <c r="B1256" s="87"/>
      <c r="C1256" s="99"/>
      <c r="D1256" s="87"/>
      <c r="E1256" s="99"/>
      <c r="F1256" s="100"/>
      <c r="G1256" s="100"/>
      <c r="H1256" s="100"/>
      <c r="I1256" s="101"/>
      <c r="J1256" s="106"/>
      <c r="K1256" s="103"/>
      <c r="L1256" s="104"/>
      <c r="M1256" s="100"/>
      <c r="N1256" s="100"/>
      <c r="O1256" s="100"/>
      <c r="P1256" s="100"/>
      <c r="Q1256" s="105"/>
      <c r="R1256" s="105"/>
      <c r="S1256" s="169"/>
      <c r="T1256" s="300" t="str">
        <f>CONCATENATE([1]Cover!$D$6,"fdd/view?i=",S1256)</f>
        <v>https://www.dgiwg.org/FAD/fdd/view?i=</v>
      </c>
      <c r="U1256" s="188"/>
    </row>
    <row r="1257" spans="1:21" ht="102">
      <c r="A1257" s="67" t="s">
        <v>10019</v>
      </c>
      <c r="B1257" s="87" t="s">
        <v>10019</v>
      </c>
      <c r="C1257" s="88" t="s">
        <v>12873</v>
      </c>
      <c r="D1257" s="89"/>
      <c r="E1257" s="90"/>
      <c r="F1257" s="91" t="s">
        <v>12874</v>
      </c>
      <c r="G1257" s="90"/>
      <c r="H1257" s="91" t="s">
        <v>11426</v>
      </c>
      <c r="I1257" s="92"/>
      <c r="J1257" s="93"/>
      <c r="K1257" s="94"/>
      <c r="L1257" s="91" t="s">
        <v>11425</v>
      </c>
      <c r="M1257" s="90"/>
      <c r="N1257" s="91">
        <v>5</v>
      </c>
      <c r="O1257" s="108" t="b">
        <v>0</v>
      </c>
      <c r="P1257" s="91" t="s">
        <v>12205</v>
      </c>
      <c r="Q1257" s="96"/>
      <c r="R1257" s="97"/>
      <c r="S1257" s="169"/>
      <c r="U1257" s="188"/>
    </row>
    <row r="1258" spans="1:21" ht="2.1" customHeight="1">
      <c r="A1258" s="98"/>
      <c r="B1258" s="87"/>
      <c r="C1258" s="99"/>
      <c r="D1258" s="87"/>
      <c r="E1258" s="99"/>
      <c r="F1258" s="100"/>
      <c r="G1258" s="100"/>
      <c r="H1258" s="100"/>
      <c r="I1258" s="101"/>
      <c r="J1258" s="106"/>
      <c r="K1258" s="103"/>
      <c r="L1258" s="104"/>
      <c r="M1258" s="100"/>
      <c r="N1258" s="100"/>
      <c r="O1258" s="100"/>
      <c r="P1258" s="100"/>
      <c r="Q1258" s="105"/>
      <c r="R1258" s="105"/>
      <c r="S1258" s="169"/>
      <c r="T1258" s="300" t="str">
        <f>CONCATENATE([1]Cover!$D$6,"fdd/view?i=",S1258)</f>
        <v>https://www.dgiwg.org/FAD/fdd/view?i=</v>
      </c>
      <c r="U1258" s="188"/>
    </row>
    <row r="1259" spans="1:21" ht="25.5">
      <c r="A1259" s="67" t="s">
        <v>10029</v>
      </c>
      <c r="B1259" s="87" t="s">
        <v>10029</v>
      </c>
      <c r="C1259" s="88" t="s">
        <v>12875</v>
      </c>
      <c r="D1259" s="89"/>
      <c r="E1259" s="90"/>
      <c r="F1259" s="91" t="s">
        <v>12876</v>
      </c>
      <c r="G1259" s="90"/>
      <c r="H1259" s="90"/>
      <c r="I1259" s="92"/>
      <c r="J1259" s="93"/>
      <c r="K1259" s="94"/>
      <c r="L1259" s="149" t="str">
        <f>HYPERLINK("[#]DatatypeListedValues!B6030:H6030","Enumeration")</f>
        <v>Enumeration</v>
      </c>
      <c r="M1259" s="107" t="b">
        <v>0</v>
      </c>
      <c r="N1259" s="90"/>
      <c r="O1259" s="95"/>
      <c r="P1259" s="90"/>
      <c r="Q1259" s="96"/>
      <c r="R1259" s="97"/>
      <c r="S1259" s="169"/>
      <c r="U1259" s="188"/>
    </row>
    <row r="1260" spans="1:21" ht="2.1" customHeight="1">
      <c r="A1260" s="98"/>
      <c r="B1260" s="87"/>
      <c r="C1260" s="99"/>
      <c r="D1260" s="87"/>
      <c r="E1260" s="99"/>
      <c r="F1260" s="100"/>
      <c r="G1260" s="100"/>
      <c r="H1260" s="100"/>
      <c r="I1260" s="101"/>
      <c r="J1260" s="106"/>
      <c r="K1260" s="103"/>
      <c r="L1260" s="104"/>
      <c r="M1260" s="100"/>
      <c r="N1260" s="100"/>
      <c r="O1260" s="100"/>
      <c r="P1260" s="100"/>
      <c r="Q1260" s="105"/>
      <c r="R1260" s="105"/>
      <c r="S1260" s="169"/>
      <c r="T1260" s="300" t="str">
        <f>CONCATENATE([1]Cover!$D$6,"fdd/view?i=",S1260)</f>
        <v>https://www.dgiwg.org/FAD/fdd/view?i=</v>
      </c>
      <c r="U1260" s="188"/>
    </row>
    <row r="1261" spans="1:21" ht="38.25">
      <c r="A1261" s="67" t="s">
        <v>10054</v>
      </c>
      <c r="B1261" s="87" t="s">
        <v>10054</v>
      </c>
      <c r="C1261" s="88" t="s">
        <v>12877</v>
      </c>
      <c r="D1261" s="89"/>
      <c r="E1261" s="90"/>
      <c r="F1261" s="91" t="s">
        <v>12878</v>
      </c>
      <c r="G1261" s="90"/>
      <c r="H1261" s="91" t="s">
        <v>11426</v>
      </c>
      <c r="I1261" s="92"/>
      <c r="J1261" s="93"/>
      <c r="K1261" s="94"/>
      <c r="L1261" s="91" t="s">
        <v>11425</v>
      </c>
      <c r="M1261" s="90"/>
      <c r="N1261" s="108" t="s">
        <v>11810</v>
      </c>
      <c r="O1261" s="108" t="b">
        <v>0</v>
      </c>
      <c r="P1261" s="91" t="s">
        <v>12879</v>
      </c>
      <c r="Q1261" s="96"/>
      <c r="R1261" s="97"/>
      <c r="S1261" s="169"/>
      <c r="U1261" s="188"/>
    </row>
    <row r="1262" spans="1:21" ht="2.1" customHeight="1">
      <c r="A1262" s="98"/>
      <c r="B1262" s="87"/>
      <c r="C1262" s="99"/>
      <c r="D1262" s="87"/>
      <c r="E1262" s="99"/>
      <c r="F1262" s="100"/>
      <c r="G1262" s="100"/>
      <c r="H1262" s="100"/>
      <c r="I1262" s="101"/>
      <c r="J1262" s="106"/>
      <c r="K1262" s="103"/>
      <c r="L1262" s="104"/>
      <c r="M1262" s="100"/>
      <c r="N1262" s="100"/>
      <c r="O1262" s="100"/>
      <c r="P1262" s="100"/>
      <c r="Q1262" s="105"/>
      <c r="R1262" s="105"/>
      <c r="S1262" s="169"/>
      <c r="T1262" s="300" t="str">
        <f>CONCATENATE([1]Cover!$D$6,"fdd/view?i=",S1262)</f>
        <v>https://www.dgiwg.org/FAD/fdd/view?i=</v>
      </c>
      <c r="U1262" s="188"/>
    </row>
    <row r="1263" spans="1:21">
      <c r="A1263" s="67" t="s">
        <v>10060</v>
      </c>
      <c r="B1263" s="87" t="s">
        <v>10060</v>
      </c>
      <c r="C1263" s="88" t="s">
        <v>12880</v>
      </c>
      <c r="D1263" s="89"/>
      <c r="E1263" s="90"/>
      <c r="F1263" s="91" t="s">
        <v>12881</v>
      </c>
      <c r="G1263" s="90"/>
      <c r="H1263" s="90"/>
      <c r="I1263" s="92"/>
      <c r="J1263" s="93"/>
      <c r="K1263" s="94"/>
      <c r="L1263" s="149" t="str">
        <f>HYPERLINK("[#]DatatypeListedValues!B6035:H6035","Enumeration")</f>
        <v>Enumeration</v>
      </c>
      <c r="M1263" s="91" t="b">
        <v>1</v>
      </c>
      <c r="N1263" s="90"/>
      <c r="O1263" s="95"/>
      <c r="P1263" s="90"/>
      <c r="Q1263" s="96"/>
      <c r="R1263" s="97"/>
      <c r="S1263" s="169"/>
      <c r="U1263" s="188"/>
    </row>
    <row r="1264" spans="1:21" ht="2.1" customHeight="1">
      <c r="A1264" s="98"/>
      <c r="B1264" s="87"/>
      <c r="C1264" s="99"/>
      <c r="D1264" s="87"/>
      <c r="E1264" s="99"/>
      <c r="F1264" s="100"/>
      <c r="G1264" s="100"/>
      <c r="H1264" s="100"/>
      <c r="I1264" s="101"/>
      <c r="J1264" s="106"/>
      <c r="K1264" s="103"/>
      <c r="L1264" s="104"/>
      <c r="M1264" s="100"/>
      <c r="N1264" s="100"/>
      <c r="O1264" s="100"/>
      <c r="P1264" s="100"/>
      <c r="Q1264" s="105"/>
      <c r="R1264" s="105"/>
      <c r="S1264" s="169"/>
      <c r="T1264" s="300" t="str">
        <f>CONCATENATE([1]Cover!$D$6,"fdd/view?i=",S1264)</f>
        <v>https://www.dgiwg.org/FAD/fdd/view?i=</v>
      </c>
      <c r="U1264" s="188"/>
    </row>
    <row r="1265" spans="1:21" ht="25.5">
      <c r="A1265" s="67" t="s">
        <v>10071</v>
      </c>
      <c r="B1265" s="87" t="s">
        <v>10071</v>
      </c>
      <c r="C1265" s="88" t="s">
        <v>12882</v>
      </c>
      <c r="D1265" s="89"/>
      <c r="E1265" s="90"/>
      <c r="F1265" s="91" t="s">
        <v>12883</v>
      </c>
      <c r="G1265" s="90"/>
      <c r="H1265" s="90"/>
      <c r="I1265" s="92"/>
      <c r="J1265" s="93"/>
      <c r="K1265" s="94"/>
      <c r="L1265" s="149" t="str">
        <f>HYPERLINK("[#]DatatypeListedValues!B6084:H6084","Enumeration")</f>
        <v>Enumeration</v>
      </c>
      <c r="M1265" s="107" t="b">
        <v>0</v>
      </c>
      <c r="N1265" s="90"/>
      <c r="O1265" s="95"/>
      <c r="P1265" s="90"/>
      <c r="Q1265" s="96"/>
      <c r="R1265" s="97"/>
      <c r="S1265" s="169"/>
      <c r="U1265" s="188"/>
    </row>
    <row r="1266" spans="1:21" ht="2.1" customHeight="1">
      <c r="A1266" s="98"/>
      <c r="B1266" s="87"/>
      <c r="C1266" s="99"/>
      <c r="D1266" s="87"/>
      <c r="E1266" s="99"/>
      <c r="F1266" s="100"/>
      <c r="G1266" s="100"/>
      <c r="H1266" s="100"/>
      <c r="I1266" s="101"/>
      <c r="J1266" s="106"/>
      <c r="K1266" s="103"/>
      <c r="L1266" s="104"/>
      <c r="M1266" s="100"/>
      <c r="N1266" s="100"/>
      <c r="O1266" s="100"/>
      <c r="P1266" s="100"/>
      <c r="Q1266" s="105"/>
      <c r="R1266" s="105"/>
      <c r="S1266" s="169"/>
      <c r="T1266" s="300" t="str">
        <f>CONCATENATE([1]Cover!$D$6,"fdd/view?i=",S1266)</f>
        <v>https://www.dgiwg.org/FAD/fdd/view?i=</v>
      </c>
      <c r="U1266" s="188"/>
    </row>
    <row r="1267" spans="1:21" ht="25.5">
      <c r="A1267" s="67" t="s">
        <v>10076</v>
      </c>
      <c r="B1267" s="87" t="s">
        <v>10076</v>
      </c>
      <c r="C1267" s="88" t="s">
        <v>12884</v>
      </c>
      <c r="D1267" s="89"/>
      <c r="E1267" s="90"/>
      <c r="F1267" s="91" t="s">
        <v>12885</v>
      </c>
      <c r="G1267" s="90"/>
      <c r="H1267" s="90"/>
      <c r="I1267" s="92"/>
      <c r="J1267" s="93"/>
      <c r="K1267" s="94"/>
      <c r="L1267" s="91" t="s">
        <v>11425</v>
      </c>
      <c r="M1267" s="90"/>
      <c r="N1267" s="91">
        <v>80</v>
      </c>
      <c r="O1267" s="91" t="b">
        <v>1</v>
      </c>
      <c r="P1267" s="90"/>
      <c r="Q1267" s="96"/>
      <c r="R1267" s="97"/>
      <c r="S1267" s="169"/>
      <c r="U1267" s="188"/>
    </row>
    <row r="1268" spans="1:21" ht="2.1" customHeight="1">
      <c r="A1268" s="98"/>
      <c r="B1268" s="87"/>
      <c r="C1268" s="99"/>
      <c r="D1268" s="87"/>
      <c r="E1268" s="99"/>
      <c r="F1268" s="100"/>
      <c r="G1268" s="100"/>
      <c r="H1268" s="100"/>
      <c r="I1268" s="101"/>
      <c r="J1268" s="106"/>
      <c r="K1268" s="103"/>
      <c r="L1268" s="104"/>
      <c r="M1268" s="100"/>
      <c r="N1268" s="100"/>
      <c r="O1268" s="100"/>
      <c r="P1268" s="100"/>
      <c r="Q1268" s="105"/>
      <c r="R1268" s="105"/>
      <c r="S1268" s="169"/>
      <c r="T1268" s="300" t="str">
        <f>CONCATENATE([1]Cover!$D$6,"fdd/view?i=",S1268)</f>
        <v>https://www.dgiwg.org/FAD/fdd/view?i=</v>
      </c>
      <c r="U1268" s="188"/>
    </row>
    <row r="1269" spans="1:21" ht="25.5">
      <c r="A1269" s="63" t="s">
        <v>11793</v>
      </c>
      <c r="B1269" s="329" t="s">
        <v>11793</v>
      </c>
      <c r="C1269" s="326" t="s">
        <v>11794</v>
      </c>
      <c r="D1269" s="109"/>
      <c r="E1269" s="110"/>
      <c r="F1269" s="111" t="s">
        <v>12886</v>
      </c>
      <c r="G1269" s="110"/>
      <c r="H1269" s="110"/>
      <c r="I1269" s="112"/>
      <c r="J1269" s="113"/>
      <c r="K1269" s="114"/>
      <c r="L1269" s="115" t="s">
        <v>11429</v>
      </c>
      <c r="M1269" s="110"/>
      <c r="N1269" s="110"/>
      <c r="O1269" s="116"/>
      <c r="P1269" s="110"/>
      <c r="Q1269" s="117"/>
      <c r="R1269" s="118"/>
      <c r="S1269" s="169"/>
      <c r="U1269" s="188"/>
    </row>
    <row r="1270" spans="1:21" ht="25.5">
      <c r="A1270" s="64" t="s">
        <v>33718</v>
      </c>
      <c r="B1270" s="330"/>
      <c r="C1270" s="327"/>
      <c r="D1270" s="132" t="s">
        <v>5317</v>
      </c>
      <c r="E1270" s="138" t="s">
        <v>38</v>
      </c>
      <c r="F1270" s="70" t="s">
        <v>12887</v>
      </c>
      <c r="G1270" s="68"/>
      <c r="H1270" s="68"/>
      <c r="I1270" s="133" t="s">
        <v>11438</v>
      </c>
      <c r="J1270" s="142"/>
      <c r="K1270" s="135" t="s">
        <v>6543</v>
      </c>
      <c r="L1270" s="150" t="str">
        <f>HYPERLINK("[#]Datatypes!B1396:L1396","Text")</f>
        <v>Text</v>
      </c>
      <c r="M1270" s="122"/>
      <c r="N1270" s="122"/>
      <c r="O1270" s="122"/>
      <c r="P1270" s="122"/>
      <c r="Q1270" s="123"/>
      <c r="R1270" s="124"/>
      <c r="S1270" s="169"/>
      <c r="T1270" s="300" t="str">
        <f>CONCATENATE([1]Cover!$D$6,"fdd/view?i=",S1270)</f>
        <v>https://www.dgiwg.org/FAD/fdd/view?i=</v>
      </c>
      <c r="U1270" s="188"/>
    </row>
    <row r="1271" spans="1:21">
      <c r="A1271" s="64" t="s">
        <v>33726</v>
      </c>
      <c r="B1271" s="330"/>
      <c r="C1271" s="327"/>
      <c r="D1271" s="136" t="s">
        <v>12888</v>
      </c>
      <c r="E1271" s="139" t="s">
        <v>12889</v>
      </c>
      <c r="F1271" s="8" t="s">
        <v>12890</v>
      </c>
      <c r="G1271" s="54"/>
      <c r="H1271" s="54"/>
      <c r="I1271" s="119" t="s">
        <v>11438</v>
      </c>
      <c r="J1271" s="125"/>
      <c r="K1271" s="121" t="s">
        <v>6543</v>
      </c>
      <c r="L1271" s="151" t="str">
        <f>HYPERLINK("[#]Datatypes!B1396:L1396","Text")</f>
        <v>Text</v>
      </c>
      <c r="M1271" s="122"/>
      <c r="N1271" s="122"/>
      <c r="O1271" s="122"/>
      <c r="P1271" s="122"/>
      <c r="Q1271" s="123"/>
      <c r="R1271" s="124"/>
      <c r="S1271" s="169"/>
      <c r="U1271" s="188"/>
    </row>
    <row r="1272" spans="1:21" ht="25.5">
      <c r="A1272" s="65" t="s">
        <v>33727</v>
      </c>
      <c r="B1272" s="331"/>
      <c r="C1272" s="328"/>
      <c r="D1272" s="137" t="s">
        <v>12891</v>
      </c>
      <c r="E1272" s="140" t="s">
        <v>12892</v>
      </c>
      <c r="F1272" s="66" t="s">
        <v>12893</v>
      </c>
      <c r="G1272" s="69"/>
      <c r="H1272" s="69"/>
      <c r="I1272" s="126" t="s">
        <v>11438</v>
      </c>
      <c r="J1272" s="141"/>
      <c r="K1272" s="128" t="s">
        <v>6543</v>
      </c>
      <c r="L1272" s="152" t="str">
        <f>HYPERLINK("[#]Datatypes!B1396:L1396","Text")</f>
        <v>Text</v>
      </c>
      <c r="M1272" s="129"/>
      <c r="N1272" s="129"/>
      <c r="O1272" s="129"/>
      <c r="P1272" s="129"/>
      <c r="Q1272" s="130"/>
      <c r="R1272" s="131"/>
      <c r="S1272" s="169"/>
      <c r="T1272" s="300" t="str">
        <f>CONCATENATE([1]Cover!$D$6,"fdd/view?i=",S1272)</f>
        <v>https://www.dgiwg.org/FAD/fdd/view?i=</v>
      </c>
      <c r="U1272" s="188"/>
    </row>
    <row r="1273" spans="1:21" ht="2.1" customHeight="1">
      <c r="A1273" s="98"/>
      <c r="B1273" s="87"/>
      <c r="C1273" s="99"/>
      <c r="D1273" s="87"/>
      <c r="E1273" s="99"/>
      <c r="F1273" s="100"/>
      <c r="G1273" s="100"/>
      <c r="H1273" s="100"/>
      <c r="I1273" s="101"/>
      <c r="J1273" s="106"/>
      <c r="K1273" s="103"/>
      <c r="L1273" s="104"/>
      <c r="M1273" s="100"/>
      <c r="N1273" s="100"/>
      <c r="O1273" s="100"/>
      <c r="P1273" s="100"/>
      <c r="Q1273" s="105"/>
      <c r="R1273" s="105"/>
      <c r="S1273" s="169"/>
      <c r="U1273" s="188"/>
    </row>
    <row r="1274" spans="1:21">
      <c r="A1274" s="67" t="s">
        <v>10081</v>
      </c>
      <c r="B1274" s="87" t="s">
        <v>10081</v>
      </c>
      <c r="C1274" s="88" t="s">
        <v>12894</v>
      </c>
      <c r="D1274" s="89"/>
      <c r="E1274" s="90"/>
      <c r="F1274" s="91" t="s">
        <v>12895</v>
      </c>
      <c r="G1274" s="90"/>
      <c r="H1274" s="90"/>
      <c r="I1274" s="92"/>
      <c r="J1274" s="93"/>
      <c r="K1274" s="94"/>
      <c r="L1274" s="149" t="str">
        <f>HYPERLINK("[#]DatatypeListedValues!B6089:H6089","Enumeration")</f>
        <v>Enumeration</v>
      </c>
      <c r="M1274" s="107" t="b">
        <v>0</v>
      </c>
      <c r="N1274" s="90"/>
      <c r="O1274" s="95"/>
      <c r="P1274" s="90"/>
      <c r="Q1274" s="96"/>
      <c r="R1274" s="97"/>
      <c r="S1274" s="169"/>
      <c r="T1274" s="300" t="str">
        <f>CONCATENATE([1]Cover!$D$6,"fdd/view?i=",S1274)</f>
        <v>https://www.dgiwg.org/FAD/fdd/view?i=</v>
      </c>
      <c r="U1274" s="188"/>
    </row>
    <row r="1275" spans="1:21" ht="2.1" customHeight="1">
      <c r="A1275" s="98"/>
      <c r="B1275" s="87"/>
      <c r="C1275" s="99"/>
      <c r="D1275" s="87"/>
      <c r="E1275" s="99"/>
      <c r="F1275" s="100"/>
      <c r="G1275" s="100"/>
      <c r="H1275" s="100"/>
      <c r="I1275" s="101"/>
      <c r="J1275" s="106"/>
      <c r="K1275" s="103"/>
      <c r="L1275" s="104"/>
      <c r="M1275" s="100"/>
      <c r="N1275" s="100"/>
      <c r="O1275" s="100"/>
      <c r="P1275" s="100"/>
      <c r="Q1275" s="105"/>
      <c r="R1275" s="105"/>
      <c r="S1275" s="169"/>
      <c r="U1275" s="188"/>
    </row>
    <row r="1276" spans="1:21" ht="25.5">
      <c r="A1276" s="67" t="s">
        <v>10090</v>
      </c>
      <c r="B1276" s="87" t="s">
        <v>10090</v>
      </c>
      <c r="C1276" s="88" t="s">
        <v>12896</v>
      </c>
      <c r="D1276" s="89"/>
      <c r="E1276" s="90"/>
      <c r="F1276" s="91" t="s">
        <v>12897</v>
      </c>
      <c r="G1276" s="90"/>
      <c r="H1276" s="90"/>
      <c r="I1276" s="92"/>
      <c r="J1276" s="93"/>
      <c r="K1276" s="94"/>
      <c r="L1276" s="149" t="str">
        <f>HYPERLINK("[#]DatatypeListedValues!B6104:H6104","Enumeration")</f>
        <v>Enumeration</v>
      </c>
      <c r="M1276" s="107" t="b">
        <v>0</v>
      </c>
      <c r="N1276" s="90"/>
      <c r="O1276" s="95"/>
      <c r="P1276" s="90"/>
      <c r="Q1276" s="96"/>
      <c r="R1276" s="97"/>
      <c r="S1276" s="169"/>
      <c r="T1276" s="300" t="str">
        <f>CONCATENATE([1]Cover!$D$6,"fdd/view?i=",S1276)</f>
        <v>https://www.dgiwg.org/FAD/fdd/view?i=</v>
      </c>
      <c r="U1276" s="188"/>
    </row>
    <row r="1277" spans="1:21" ht="2.1" customHeight="1">
      <c r="A1277" s="98"/>
      <c r="B1277" s="87"/>
      <c r="C1277" s="99"/>
      <c r="D1277" s="87"/>
      <c r="E1277" s="99"/>
      <c r="F1277" s="100"/>
      <c r="G1277" s="100"/>
      <c r="H1277" s="100"/>
      <c r="I1277" s="101"/>
      <c r="J1277" s="106"/>
      <c r="K1277" s="103"/>
      <c r="L1277" s="104"/>
      <c r="M1277" s="100"/>
      <c r="N1277" s="100"/>
      <c r="O1277" s="100"/>
      <c r="P1277" s="100"/>
      <c r="Q1277" s="105"/>
      <c r="R1277" s="105"/>
      <c r="S1277" s="169"/>
      <c r="U1277" s="188"/>
    </row>
    <row r="1278" spans="1:21" ht="25.5">
      <c r="A1278" s="67" t="s">
        <v>10096</v>
      </c>
      <c r="B1278" s="87" t="s">
        <v>10096</v>
      </c>
      <c r="C1278" s="88" t="s">
        <v>12898</v>
      </c>
      <c r="D1278" s="89"/>
      <c r="E1278" s="90"/>
      <c r="F1278" s="91" t="s">
        <v>12899</v>
      </c>
      <c r="G1278" s="90"/>
      <c r="H1278" s="90"/>
      <c r="I1278" s="92"/>
      <c r="J1278" s="93"/>
      <c r="K1278" s="94"/>
      <c r="L1278" s="149" t="str">
        <f>HYPERLINK("[#]DatatypeListedValues!B6109:H6109","Enumeration")</f>
        <v>Enumeration</v>
      </c>
      <c r="M1278" s="107" t="b">
        <v>0</v>
      </c>
      <c r="N1278" s="90"/>
      <c r="O1278" s="95"/>
      <c r="P1278" s="90"/>
      <c r="Q1278" s="96"/>
      <c r="R1278" s="97"/>
      <c r="S1278" s="169"/>
      <c r="T1278" s="300" t="str">
        <f>CONCATENATE([1]Cover!$D$6,"fdd/view?i=",S1278)</f>
        <v>https://www.dgiwg.org/FAD/fdd/view?i=</v>
      </c>
      <c r="U1278" s="188"/>
    </row>
    <row r="1279" spans="1:21" ht="2.1" customHeight="1">
      <c r="A1279" s="98"/>
      <c r="B1279" s="87"/>
      <c r="C1279" s="99"/>
      <c r="D1279" s="87"/>
      <c r="E1279" s="99"/>
      <c r="F1279" s="100"/>
      <c r="G1279" s="100"/>
      <c r="H1279" s="100"/>
      <c r="I1279" s="101"/>
      <c r="J1279" s="106"/>
      <c r="K1279" s="103"/>
      <c r="L1279" s="104"/>
      <c r="M1279" s="100"/>
      <c r="N1279" s="100"/>
      <c r="O1279" s="100"/>
      <c r="P1279" s="100"/>
      <c r="Q1279" s="105"/>
      <c r="R1279" s="105"/>
      <c r="S1279" s="169"/>
      <c r="U1279" s="188"/>
    </row>
    <row r="1280" spans="1:21" ht="25.5">
      <c r="A1280" s="67" t="s">
        <v>10107</v>
      </c>
      <c r="B1280" s="87" t="s">
        <v>10107</v>
      </c>
      <c r="C1280" s="88" t="s">
        <v>12900</v>
      </c>
      <c r="D1280" s="89"/>
      <c r="E1280" s="90"/>
      <c r="F1280" s="91" t="s">
        <v>12901</v>
      </c>
      <c r="G1280" s="90"/>
      <c r="H1280" s="90"/>
      <c r="I1280" s="92"/>
      <c r="J1280" s="93"/>
      <c r="K1280" s="94"/>
      <c r="L1280" s="149" t="str">
        <f>HYPERLINK("[#]DatatypeListedValues!B6121:H6121","Enumeration")</f>
        <v>Enumeration</v>
      </c>
      <c r="M1280" s="107" t="b">
        <v>0</v>
      </c>
      <c r="N1280" s="90"/>
      <c r="O1280" s="95"/>
      <c r="P1280" s="90"/>
      <c r="Q1280" s="96"/>
      <c r="R1280" s="97"/>
      <c r="S1280" s="169"/>
      <c r="T1280" s="300" t="str">
        <f>CONCATENATE([1]Cover!$D$6,"fdd/view?i=",S1280)</f>
        <v>https://www.dgiwg.org/FAD/fdd/view?i=</v>
      </c>
      <c r="U1280" s="188"/>
    </row>
    <row r="1281" spans="1:21" ht="2.1" customHeight="1">
      <c r="A1281" s="98"/>
      <c r="B1281" s="87"/>
      <c r="C1281" s="99"/>
      <c r="D1281" s="87"/>
      <c r="E1281" s="99"/>
      <c r="F1281" s="100"/>
      <c r="G1281" s="100"/>
      <c r="H1281" s="100"/>
      <c r="I1281" s="101"/>
      <c r="J1281" s="106"/>
      <c r="K1281" s="103"/>
      <c r="L1281" s="104"/>
      <c r="M1281" s="100"/>
      <c r="N1281" s="100"/>
      <c r="O1281" s="100"/>
      <c r="P1281" s="100"/>
      <c r="Q1281" s="105"/>
      <c r="R1281" s="105"/>
      <c r="S1281" s="169"/>
      <c r="U1281" s="188"/>
    </row>
    <row r="1282" spans="1:21">
      <c r="A1282" s="67" t="s">
        <v>10112</v>
      </c>
      <c r="B1282" s="87" t="s">
        <v>10112</v>
      </c>
      <c r="C1282" s="88" t="s">
        <v>12902</v>
      </c>
      <c r="D1282" s="89"/>
      <c r="E1282" s="90"/>
      <c r="F1282" s="91" t="s">
        <v>12903</v>
      </c>
      <c r="G1282" s="90"/>
      <c r="H1282" s="90"/>
      <c r="I1282" s="92"/>
      <c r="J1282" s="93"/>
      <c r="K1282" s="94"/>
      <c r="L1282" s="149" t="str">
        <f>HYPERLINK("[#]DatatypeListedValues!B6124:H6124","Enumeration")</f>
        <v>Enumeration</v>
      </c>
      <c r="M1282" s="107" t="b">
        <v>0</v>
      </c>
      <c r="N1282" s="90"/>
      <c r="O1282" s="95"/>
      <c r="P1282" s="90"/>
      <c r="Q1282" s="96"/>
      <c r="R1282" s="97"/>
      <c r="S1282" s="169"/>
      <c r="T1282" s="300" t="str">
        <f>CONCATENATE([1]Cover!$D$6,"fdd/view?i=",S1282)</f>
        <v>https://www.dgiwg.org/FAD/fdd/view?i=</v>
      </c>
      <c r="U1282" s="188"/>
    </row>
    <row r="1283" spans="1:21" ht="2.1" customHeight="1">
      <c r="A1283" s="98"/>
      <c r="B1283" s="87"/>
      <c r="C1283" s="99"/>
      <c r="D1283" s="87"/>
      <c r="E1283" s="99"/>
      <c r="F1283" s="100"/>
      <c r="G1283" s="100"/>
      <c r="H1283" s="100"/>
      <c r="I1283" s="101"/>
      <c r="J1283" s="106"/>
      <c r="K1283" s="103"/>
      <c r="L1283" s="104"/>
      <c r="M1283" s="100"/>
      <c r="N1283" s="100"/>
      <c r="O1283" s="100"/>
      <c r="P1283" s="100"/>
      <c r="Q1283" s="105"/>
      <c r="R1283" s="105"/>
      <c r="S1283" s="169"/>
      <c r="U1283" s="188"/>
    </row>
    <row r="1284" spans="1:21">
      <c r="A1284" s="67" t="s">
        <v>10125</v>
      </c>
      <c r="B1284" s="87" t="s">
        <v>10125</v>
      </c>
      <c r="C1284" s="88" t="s">
        <v>12904</v>
      </c>
      <c r="D1284" s="89"/>
      <c r="E1284" s="90"/>
      <c r="F1284" s="91" t="s">
        <v>12905</v>
      </c>
      <c r="G1284" s="90"/>
      <c r="H1284" s="90"/>
      <c r="I1284" s="92"/>
      <c r="J1284" s="93"/>
      <c r="K1284" s="94"/>
      <c r="L1284" s="149" t="str">
        <f>HYPERLINK("[#]DatatypeListedValues!B6134:H6134","Enumeration")</f>
        <v>Enumeration</v>
      </c>
      <c r="M1284" s="107" t="b">
        <v>0</v>
      </c>
      <c r="N1284" s="90"/>
      <c r="O1284" s="95"/>
      <c r="P1284" s="90"/>
      <c r="Q1284" s="96"/>
      <c r="R1284" s="97"/>
      <c r="S1284" s="169"/>
      <c r="T1284" s="300" t="str">
        <f>CONCATENATE([1]Cover!$D$6,"fdd/view?i=",S1284)</f>
        <v>https://www.dgiwg.org/FAD/fdd/view?i=</v>
      </c>
      <c r="U1284" s="188"/>
    </row>
    <row r="1285" spans="1:21" ht="2.1" customHeight="1">
      <c r="A1285" s="98"/>
      <c r="B1285" s="87"/>
      <c r="C1285" s="99"/>
      <c r="D1285" s="87"/>
      <c r="E1285" s="99"/>
      <c r="F1285" s="100"/>
      <c r="G1285" s="100"/>
      <c r="H1285" s="100"/>
      <c r="I1285" s="101"/>
      <c r="J1285" s="106"/>
      <c r="K1285" s="103"/>
      <c r="L1285" s="104"/>
      <c r="M1285" s="100"/>
      <c r="N1285" s="100"/>
      <c r="O1285" s="100"/>
      <c r="P1285" s="100"/>
      <c r="Q1285" s="105"/>
      <c r="R1285" s="105"/>
      <c r="S1285" s="169"/>
      <c r="U1285" s="188"/>
    </row>
    <row r="1286" spans="1:21" ht="89.25">
      <c r="A1286" s="67" t="s">
        <v>10130</v>
      </c>
      <c r="B1286" s="87" t="s">
        <v>10130</v>
      </c>
      <c r="C1286" s="88" t="s">
        <v>12906</v>
      </c>
      <c r="D1286" s="89"/>
      <c r="E1286" s="90"/>
      <c r="F1286" s="91" t="s">
        <v>12907</v>
      </c>
      <c r="G1286" s="90"/>
      <c r="H1286" s="91" t="s">
        <v>11426</v>
      </c>
      <c r="I1286" s="92"/>
      <c r="J1286" s="93"/>
      <c r="K1286" s="94"/>
      <c r="L1286" s="91" t="s">
        <v>11425</v>
      </c>
      <c r="M1286" s="90"/>
      <c r="N1286" s="91">
        <v>254</v>
      </c>
      <c r="O1286" s="108" t="b">
        <v>0</v>
      </c>
      <c r="P1286" s="91" t="s">
        <v>12908</v>
      </c>
      <c r="Q1286" s="96"/>
      <c r="R1286" s="97"/>
      <c r="S1286" s="169"/>
      <c r="T1286" s="300" t="str">
        <f>CONCATENATE([1]Cover!$D$6,"fdd/view?i=",S1286)</f>
        <v>https://www.dgiwg.org/FAD/fdd/view?i=</v>
      </c>
      <c r="U1286" s="188"/>
    </row>
    <row r="1287" spans="1:21" ht="2.1" customHeight="1">
      <c r="A1287" s="98"/>
      <c r="B1287" s="87"/>
      <c r="C1287" s="99"/>
      <c r="D1287" s="87"/>
      <c r="E1287" s="99"/>
      <c r="F1287" s="100"/>
      <c r="G1287" s="100"/>
      <c r="H1287" s="100"/>
      <c r="I1287" s="101"/>
      <c r="J1287" s="106"/>
      <c r="K1287" s="103"/>
      <c r="L1287" s="104"/>
      <c r="M1287" s="100"/>
      <c r="N1287" s="100"/>
      <c r="O1287" s="100"/>
      <c r="P1287" s="100"/>
      <c r="Q1287" s="105"/>
      <c r="R1287" s="105"/>
      <c r="S1287" s="169"/>
      <c r="U1287" s="188"/>
    </row>
    <row r="1288" spans="1:21" ht="25.5">
      <c r="A1288" s="67" t="s">
        <v>10150</v>
      </c>
      <c r="B1288" s="87" t="s">
        <v>10150</v>
      </c>
      <c r="C1288" s="88" t="s">
        <v>12909</v>
      </c>
      <c r="D1288" s="89"/>
      <c r="E1288" s="90"/>
      <c r="F1288" s="91" t="s">
        <v>12910</v>
      </c>
      <c r="G1288" s="90"/>
      <c r="H1288" s="90"/>
      <c r="I1288" s="92"/>
      <c r="J1288" s="93"/>
      <c r="K1288" s="94"/>
      <c r="L1288" s="149" t="str">
        <f>HYPERLINK("[#]DatatypeListedValues!B6136:H6136","Enumeration")</f>
        <v>Enumeration</v>
      </c>
      <c r="M1288" s="107" t="b">
        <v>0</v>
      </c>
      <c r="N1288" s="90"/>
      <c r="O1288" s="95"/>
      <c r="P1288" s="90"/>
      <c r="Q1288" s="96"/>
      <c r="R1288" s="97"/>
      <c r="S1288" s="169"/>
      <c r="T1288" s="300" t="str">
        <f>CONCATENATE([1]Cover!$D$6,"fdd/view?i=",S1288)</f>
        <v>https://www.dgiwg.org/FAD/fdd/view?i=</v>
      </c>
      <c r="U1288" s="188"/>
    </row>
    <row r="1289" spans="1:21" ht="2.1" customHeight="1">
      <c r="A1289" s="98"/>
      <c r="B1289" s="87"/>
      <c r="C1289" s="99"/>
      <c r="D1289" s="87"/>
      <c r="E1289" s="99"/>
      <c r="F1289" s="100"/>
      <c r="G1289" s="100"/>
      <c r="H1289" s="100"/>
      <c r="I1289" s="101"/>
      <c r="J1289" s="106"/>
      <c r="K1289" s="103"/>
      <c r="L1289" s="104"/>
      <c r="M1289" s="100"/>
      <c r="N1289" s="100"/>
      <c r="O1289" s="100"/>
      <c r="P1289" s="100"/>
      <c r="Q1289" s="105"/>
      <c r="R1289" s="105"/>
      <c r="S1289" s="169"/>
      <c r="U1289" s="188"/>
    </row>
    <row r="1290" spans="1:21" ht="25.5">
      <c r="A1290" s="67" t="s">
        <v>10156</v>
      </c>
      <c r="B1290" s="87" t="s">
        <v>10156</v>
      </c>
      <c r="C1290" s="88" t="s">
        <v>12911</v>
      </c>
      <c r="D1290" s="89"/>
      <c r="E1290" s="90"/>
      <c r="F1290" s="91" t="s">
        <v>12912</v>
      </c>
      <c r="G1290" s="90"/>
      <c r="H1290" s="90"/>
      <c r="I1290" s="92"/>
      <c r="J1290" s="93"/>
      <c r="K1290" s="94"/>
      <c r="L1290" s="149" t="str">
        <f>HYPERLINK("[#]DatatypeListedValues!B6139:H6139","Enumeration")</f>
        <v>Enumeration</v>
      </c>
      <c r="M1290" s="107" t="b">
        <v>0</v>
      </c>
      <c r="N1290" s="90"/>
      <c r="O1290" s="95"/>
      <c r="P1290" s="90"/>
      <c r="Q1290" s="96"/>
      <c r="R1290" s="97"/>
      <c r="S1290" s="169"/>
      <c r="T1290" s="300" t="str">
        <f>CONCATENATE([1]Cover!$D$6,"fdd/view?i=",S1290)</f>
        <v>https://www.dgiwg.org/FAD/fdd/view?i=</v>
      </c>
      <c r="U1290" s="188"/>
    </row>
    <row r="1291" spans="1:21" ht="2.1" customHeight="1">
      <c r="A1291" s="98"/>
      <c r="B1291" s="87"/>
      <c r="C1291" s="99"/>
      <c r="D1291" s="87"/>
      <c r="E1291" s="99"/>
      <c r="F1291" s="100"/>
      <c r="G1291" s="100"/>
      <c r="H1291" s="100"/>
      <c r="I1291" s="101"/>
      <c r="J1291" s="106"/>
      <c r="K1291" s="103"/>
      <c r="L1291" s="104"/>
      <c r="M1291" s="100"/>
      <c r="N1291" s="100"/>
      <c r="O1291" s="100"/>
      <c r="P1291" s="100"/>
      <c r="Q1291" s="105"/>
      <c r="R1291" s="105"/>
      <c r="S1291" s="169"/>
      <c r="U1291" s="188"/>
    </row>
    <row r="1292" spans="1:21">
      <c r="A1292" s="67" t="s">
        <v>10172</v>
      </c>
      <c r="B1292" s="87" t="s">
        <v>10172</v>
      </c>
      <c r="C1292" s="88" t="s">
        <v>12913</v>
      </c>
      <c r="D1292" s="89"/>
      <c r="E1292" s="90"/>
      <c r="F1292" s="91" t="s">
        <v>12914</v>
      </c>
      <c r="G1292" s="90"/>
      <c r="H1292" s="90"/>
      <c r="I1292" s="92"/>
      <c r="J1292" s="93"/>
      <c r="K1292" s="94"/>
      <c r="L1292" s="149" t="str">
        <f>HYPERLINK("[#]DatatypeListedValues!B6142:H6142","Enumeration")</f>
        <v>Enumeration</v>
      </c>
      <c r="M1292" s="107" t="b">
        <v>0</v>
      </c>
      <c r="N1292" s="90"/>
      <c r="O1292" s="95"/>
      <c r="P1292" s="90"/>
      <c r="Q1292" s="96"/>
      <c r="R1292" s="97"/>
      <c r="S1292" s="169"/>
      <c r="T1292" s="300" t="str">
        <f>CONCATENATE([1]Cover!$D$6,"fdd/view?i=",S1292)</f>
        <v>https://www.dgiwg.org/FAD/fdd/view?i=</v>
      </c>
      <c r="U1292" s="188"/>
    </row>
    <row r="1293" spans="1:21" ht="2.1" customHeight="1">
      <c r="A1293" s="98"/>
      <c r="B1293" s="87"/>
      <c r="C1293" s="99"/>
      <c r="D1293" s="87"/>
      <c r="E1293" s="99"/>
      <c r="F1293" s="100"/>
      <c r="G1293" s="100"/>
      <c r="H1293" s="100"/>
      <c r="I1293" s="101"/>
      <c r="J1293" s="106"/>
      <c r="K1293" s="103"/>
      <c r="L1293" s="104"/>
      <c r="M1293" s="100"/>
      <c r="N1293" s="100"/>
      <c r="O1293" s="100"/>
      <c r="P1293" s="100"/>
      <c r="Q1293" s="105"/>
      <c r="R1293" s="105"/>
      <c r="S1293" s="169"/>
      <c r="U1293" s="188"/>
    </row>
    <row r="1294" spans="1:21" ht="178.5">
      <c r="A1294" s="67" t="s">
        <v>10183</v>
      </c>
      <c r="B1294" s="87" t="s">
        <v>10183</v>
      </c>
      <c r="C1294" s="88" t="s">
        <v>12915</v>
      </c>
      <c r="D1294" s="89"/>
      <c r="E1294" s="90"/>
      <c r="F1294" s="91" t="s">
        <v>12916</v>
      </c>
      <c r="G1294" s="90"/>
      <c r="H1294" s="91" t="s">
        <v>11426</v>
      </c>
      <c r="I1294" s="92"/>
      <c r="J1294" s="93"/>
      <c r="K1294" s="94"/>
      <c r="L1294" s="91" t="s">
        <v>11425</v>
      </c>
      <c r="M1294" s="90"/>
      <c r="N1294" s="91">
        <v>20</v>
      </c>
      <c r="O1294" s="108" t="b">
        <v>0</v>
      </c>
      <c r="P1294" s="91" t="s">
        <v>11909</v>
      </c>
      <c r="Q1294" s="96"/>
      <c r="R1294" s="97"/>
      <c r="S1294" s="169"/>
      <c r="T1294" s="300" t="str">
        <f>CONCATENATE([1]Cover!$D$6,"fdd/view?i=",S1294)</f>
        <v>https://www.dgiwg.org/FAD/fdd/view?i=</v>
      </c>
      <c r="U1294" s="188"/>
    </row>
    <row r="1295" spans="1:21" ht="2.1" customHeight="1">
      <c r="A1295" s="98"/>
      <c r="B1295" s="87"/>
      <c r="C1295" s="99"/>
      <c r="D1295" s="87"/>
      <c r="E1295" s="99"/>
      <c r="F1295" s="100"/>
      <c r="G1295" s="100"/>
      <c r="H1295" s="100"/>
      <c r="I1295" s="101"/>
      <c r="J1295" s="106"/>
      <c r="K1295" s="103"/>
      <c r="L1295" s="104"/>
      <c r="M1295" s="100"/>
      <c r="N1295" s="100"/>
      <c r="O1295" s="100"/>
      <c r="P1295" s="100"/>
      <c r="Q1295" s="105"/>
      <c r="R1295" s="105"/>
      <c r="S1295" s="169"/>
      <c r="U1295" s="188"/>
    </row>
    <row r="1296" spans="1:21">
      <c r="A1296" s="67" t="s">
        <v>10198</v>
      </c>
      <c r="B1296" s="87" t="s">
        <v>10198</v>
      </c>
      <c r="C1296" s="88" t="s">
        <v>12917</v>
      </c>
      <c r="D1296" s="89"/>
      <c r="E1296" s="90"/>
      <c r="F1296" s="91" t="s">
        <v>12918</v>
      </c>
      <c r="G1296" s="90"/>
      <c r="H1296" s="90"/>
      <c r="I1296" s="92"/>
      <c r="J1296" s="93"/>
      <c r="K1296" s="94"/>
      <c r="L1296" s="149" t="str">
        <f>HYPERLINK("[#]DatatypeListedValues!B6151:H6151","Enumeration")</f>
        <v>Enumeration</v>
      </c>
      <c r="M1296" s="107" t="b">
        <v>0</v>
      </c>
      <c r="N1296" s="90"/>
      <c r="O1296" s="95"/>
      <c r="P1296" s="90"/>
      <c r="Q1296" s="96"/>
      <c r="R1296" s="97"/>
      <c r="S1296" s="169"/>
      <c r="T1296" s="300" t="str">
        <f>CONCATENATE([1]Cover!$D$6,"fdd/view?i=",S1296)</f>
        <v>https://www.dgiwg.org/FAD/fdd/view?i=</v>
      </c>
      <c r="U1296" s="188"/>
    </row>
    <row r="1297" spans="1:21" ht="2.1" customHeight="1">
      <c r="A1297" s="98"/>
      <c r="B1297" s="87"/>
      <c r="C1297" s="99"/>
      <c r="D1297" s="87"/>
      <c r="E1297" s="99"/>
      <c r="F1297" s="100"/>
      <c r="G1297" s="100"/>
      <c r="H1297" s="100"/>
      <c r="I1297" s="101"/>
      <c r="J1297" s="106"/>
      <c r="K1297" s="103"/>
      <c r="L1297" s="104"/>
      <c r="M1297" s="100"/>
      <c r="N1297" s="100"/>
      <c r="O1297" s="100"/>
      <c r="P1297" s="100"/>
      <c r="Q1297" s="105"/>
      <c r="R1297" s="105"/>
      <c r="S1297" s="169"/>
      <c r="U1297" s="188"/>
    </row>
    <row r="1298" spans="1:21" ht="25.5">
      <c r="A1298" s="67" t="s">
        <v>10204</v>
      </c>
      <c r="B1298" s="87" t="s">
        <v>10204</v>
      </c>
      <c r="C1298" s="88" t="s">
        <v>12919</v>
      </c>
      <c r="D1298" s="89"/>
      <c r="E1298" s="90"/>
      <c r="F1298" s="91" t="s">
        <v>12920</v>
      </c>
      <c r="G1298" s="90"/>
      <c r="H1298" s="90"/>
      <c r="I1298" s="92"/>
      <c r="J1298" s="93"/>
      <c r="K1298" s="94"/>
      <c r="L1298" s="149" t="str">
        <f>HYPERLINK("[#]DatatypeListedValues!B6169:H6169","Enumeration")</f>
        <v>Enumeration</v>
      </c>
      <c r="M1298" s="91" t="b">
        <v>1</v>
      </c>
      <c r="N1298" s="90"/>
      <c r="O1298" s="95"/>
      <c r="P1298" s="90"/>
      <c r="Q1298" s="96"/>
      <c r="R1298" s="97"/>
      <c r="S1298" s="169"/>
      <c r="T1298" s="300" t="str">
        <f>CONCATENATE([1]Cover!$D$6,"fdd/view?i=",S1298)</f>
        <v>https://www.dgiwg.org/FAD/fdd/view?i=</v>
      </c>
      <c r="U1298" s="188"/>
    </row>
    <row r="1299" spans="1:21" ht="2.1" customHeight="1">
      <c r="A1299" s="98"/>
      <c r="B1299" s="87"/>
      <c r="C1299" s="99"/>
      <c r="D1299" s="87"/>
      <c r="E1299" s="99"/>
      <c r="F1299" s="100"/>
      <c r="G1299" s="100"/>
      <c r="H1299" s="100"/>
      <c r="I1299" s="101"/>
      <c r="J1299" s="106"/>
      <c r="K1299" s="103"/>
      <c r="L1299" s="104"/>
      <c r="M1299" s="100"/>
      <c r="N1299" s="100"/>
      <c r="O1299" s="100"/>
      <c r="P1299" s="100"/>
      <c r="Q1299" s="105"/>
      <c r="R1299" s="105"/>
      <c r="S1299" s="169"/>
      <c r="U1299" s="188"/>
    </row>
    <row r="1300" spans="1:21" ht="25.5">
      <c r="A1300" s="67" t="s">
        <v>10209</v>
      </c>
      <c r="B1300" s="87" t="s">
        <v>10209</v>
      </c>
      <c r="C1300" s="88" t="s">
        <v>12921</v>
      </c>
      <c r="D1300" s="89"/>
      <c r="E1300" s="90"/>
      <c r="F1300" s="91" t="s">
        <v>12922</v>
      </c>
      <c r="G1300" s="90"/>
      <c r="H1300" s="90"/>
      <c r="I1300" s="92"/>
      <c r="J1300" s="93"/>
      <c r="K1300" s="94"/>
      <c r="L1300" s="149" t="str">
        <f>HYPERLINK("[#]DatatypeListedValues!B6175:H6175","Enumeration")</f>
        <v>Enumeration</v>
      </c>
      <c r="M1300" s="91" t="b">
        <v>1</v>
      </c>
      <c r="N1300" s="90"/>
      <c r="O1300" s="95"/>
      <c r="P1300" s="90"/>
      <c r="Q1300" s="96"/>
      <c r="R1300" s="97"/>
      <c r="S1300" s="169"/>
      <c r="T1300" s="300" t="str">
        <f>CONCATENATE([1]Cover!$D$6,"fdd/view?i=",S1300)</f>
        <v>https://www.dgiwg.org/FAD/fdd/view?i=</v>
      </c>
      <c r="U1300" s="188"/>
    </row>
    <row r="1301" spans="1:21" ht="2.1" customHeight="1">
      <c r="A1301" s="98"/>
      <c r="B1301" s="87"/>
      <c r="C1301" s="99"/>
      <c r="D1301" s="87"/>
      <c r="E1301" s="99"/>
      <c r="F1301" s="100"/>
      <c r="G1301" s="100"/>
      <c r="H1301" s="100"/>
      <c r="I1301" s="101"/>
      <c r="J1301" s="106"/>
      <c r="K1301" s="103"/>
      <c r="L1301" s="104"/>
      <c r="M1301" s="100"/>
      <c r="N1301" s="100"/>
      <c r="O1301" s="100"/>
      <c r="P1301" s="100"/>
      <c r="Q1301" s="105"/>
      <c r="R1301" s="105"/>
      <c r="S1301" s="169"/>
      <c r="U1301" s="188"/>
    </row>
    <row r="1302" spans="1:21" ht="38.25">
      <c r="A1302" s="67" t="s">
        <v>10214</v>
      </c>
      <c r="B1302" s="87" t="s">
        <v>10214</v>
      </c>
      <c r="C1302" s="88" t="s">
        <v>12923</v>
      </c>
      <c r="D1302" s="89"/>
      <c r="E1302" s="90"/>
      <c r="F1302" s="91" t="s">
        <v>10213</v>
      </c>
      <c r="G1302" s="90"/>
      <c r="H1302" s="91" t="s">
        <v>11513</v>
      </c>
      <c r="I1302" s="92"/>
      <c r="J1302" s="93"/>
      <c r="K1302" s="94"/>
      <c r="L1302" s="104" t="s">
        <v>11429</v>
      </c>
      <c r="M1302" s="90"/>
      <c r="N1302" s="90"/>
      <c r="O1302" s="95"/>
      <c r="P1302" s="90"/>
      <c r="Q1302" s="96"/>
      <c r="R1302" s="97"/>
      <c r="S1302" s="169"/>
      <c r="T1302" s="300" t="str">
        <f>CONCATENATE([1]Cover!$D$6,"fdd/view?i=",S1302)</f>
        <v>https://www.dgiwg.org/FAD/fdd/view?i=</v>
      </c>
      <c r="U1302" s="188"/>
    </row>
    <row r="1303" spans="1:21" ht="2.1" customHeight="1">
      <c r="A1303" s="98"/>
      <c r="B1303" s="87"/>
      <c r="C1303" s="99"/>
      <c r="D1303" s="87"/>
      <c r="E1303" s="99"/>
      <c r="F1303" s="100"/>
      <c r="G1303" s="100"/>
      <c r="H1303" s="100"/>
      <c r="I1303" s="101"/>
      <c r="J1303" s="106"/>
      <c r="K1303" s="103"/>
      <c r="L1303" s="104"/>
      <c r="M1303" s="100"/>
      <c r="N1303" s="100"/>
      <c r="O1303" s="100"/>
      <c r="P1303" s="100"/>
      <c r="Q1303" s="105"/>
      <c r="R1303" s="105"/>
      <c r="S1303" s="169"/>
      <c r="U1303" s="188"/>
    </row>
    <row r="1304" spans="1:21">
      <c r="A1304" s="67" t="s">
        <v>10235</v>
      </c>
      <c r="B1304" s="87" t="s">
        <v>10235</v>
      </c>
      <c r="C1304" s="88" t="s">
        <v>12924</v>
      </c>
      <c r="D1304" s="89"/>
      <c r="E1304" s="90"/>
      <c r="F1304" s="91" t="s">
        <v>12925</v>
      </c>
      <c r="G1304" s="90"/>
      <c r="H1304" s="90"/>
      <c r="I1304" s="92"/>
      <c r="J1304" s="93"/>
      <c r="K1304" s="94"/>
      <c r="L1304" s="149" t="str">
        <f>HYPERLINK("[#]DatatypeListedValues!B6179:H6179","Enumeration")</f>
        <v>Enumeration</v>
      </c>
      <c r="M1304" s="107" t="b">
        <v>0</v>
      </c>
      <c r="N1304" s="90"/>
      <c r="O1304" s="95"/>
      <c r="P1304" s="90"/>
      <c r="Q1304" s="96"/>
      <c r="R1304" s="97"/>
      <c r="S1304" s="169"/>
      <c r="T1304" s="300" t="str">
        <f>CONCATENATE([1]Cover!$D$6,"fdd/view?i=",S1304)</f>
        <v>https://www.dgiwg.org/FAD/fdd/view?i=</v>
      </c>
      <c r="U1304" s="188"/>
    </row>
    <row r="1305" spans="1:21" ht="2.1" customHeight="1">
      <c r="A1305" s="98"/>
      <c r="B1305" s="87"/>
      <c r="C1305" s="99"/>
      <c r="D1305" s="87"/>
      <c r="E1305" s="99"/>
      <c r="F1305" s="100"/>
      <c r="G1305" s="100"/>
      <c r="H1305" s="100"/>
      <c r="I1305" s="101"/>
      <c r="J1305" s="106"/>
      <c r="K1305" s="103"/>
      <c r="L1305" s="104"/>
      <c r="M1305" s="100"/>
      <c r="N1305" s="100"/>
      <c r="O1305" s="100"/>
      <c r="P1305" s="100"/>
      <c r="Q1305" s="105"/>
      <c r="R1305" s="105"/>
      <c r="S1305" s="169"/>
      <c r="U1305" s="188"/>
    </row>
    <row r="1306" spans="1:21" ht="25.5">
      <c r="A1306" s="67" t="s">
        <v>10245</v>
      </c>
      <c r="B1306" s="87" t="s">
        <v>10245</v>
      </c>
      <c r="C1306" s="88" t="s">
        <v>12926</v>
      </c>
      <c r="D1306" s="89"/>
      <c r="E1306" s="90"/>
      <c r="F1306" s="91" t="s">
        <v>12927</v>
      </c>
      <c r="G1306" s="90"/>
      <c r="H1306" s="90"/>
      <c r="I1306" s="92"/>
      <c r="J1306" s="93"/>
      <c r="K1306" s="94"/>
      <c r="L1306" s="149" t="str">
        <f>HYPERLINK("[#]DatatypeListedValues!B6220:H6220","Enumeration")</f>
        <v>Enumeration</v>
      </c>
      <c r="M1306" s="91" t="b">
        <v>1</v>
      </c>
      <c r="N1306" s="90"/>
      <c r="O1306" s="95"/>
      <c r="P1306" s="90"/>
      <c r="Q1306" s="96"/>
      <c r="R1306" s="97"/>
      <c r="S1306" s="169"/>
      <c r="T1306" s="300" t="str">
        <f>CONCATENATE([1]Cover!$D$6,"fdd/view?i=",S1306)</f>
        <v>https://www.dgiwg.org/FAD/fdd/view?i=</v>
      </c>
      <c r="U1306" s="188"/>
    </row>
    <row r="1307" spans="1:21" ht="2.1" customHeight="1">
      <c r="A1307" s="98"/>
      <c r="B1307" s="87"/>
      <c r="C1307" s="99"/>
      <c r="D1307" s="87"/>
      <c r="E1307" s="99"/>
      <c r="F1307" s="100"/>
      <c r="G1307" s="100"/>
      <c r="H1307" s="100"/>
      <c r="I1307" s="101"/>
      <c r="J1307" s="106"/>
      <c r="K1307" s="103"/>
      <c r="L1307" s="104"/>
      <c r="M1307" s="100"/>
      <c r="N1307" s="100"/>
      <c r="O1307" s="100"/>
      <c r="P1307" s="100"/>
      <c r="Q1307" s="105"/>
      <c r="R1307" s="105"/>
      <c r="S1307" s="169"/>
      <c r="U1307" s="188"/>
    </row>
    <row r="1308" spans="1:21" ht="25.5">
      <c r="A1308" s="67" t="s">
        <v>10254</v>
      </c>
      <c r="B1308" s="87" t="s">
        <v>10254</v>
      </c>
      <c r="C1308" s="88" t="s">
        <v>12928</v>
      </c>
      <c r="D1308" s="89"/>
      <c r="E1308" s="90"/>
      <c r="F1308" s="91" t="s">
        <v>12929</v>
      </c>
      <c r="G1308" s="90"/>
      <c r="H1308" s="90"/>
      <c r="I1308" s="92"/>
      <c r="J1308" s="93"/>
      <c r="K1308" s="94"/>
      <c r="L1308" s="149" t="str">
        <f>HYPERLINK("[#]DatatypeListedValues!B6223:H6223","Enumeration")</f>
        <v>Enumeration</v>
      </c>
      <c r="M1308" s="107" t="b">
        <v>0</v>
      </c>
      <c r="N1308" s="90"/>
      <c r="O1308" s="95"/>
      <c r="P1308" s="90"/>
      <c r="Q1308" s="96"/>
      <c r="R1308" s="97"/>
      <c r="S1308" s="169"/>
      <c r="T1308" s="300" t="str">
        <f>CONCATENATE([1]Cover!$D$6,"fdd/view?i=",S1308)</f>
        <v>https://www.dgiwg.org/FAD/fdd/view?i=</v>
      </c>
      <c r="U1308" s="188"/>
    </row>
    <row r="1309" spans="1:21" ht="2.1" customHeight="1">
      <c r="A1309" s="98"/>
      <c r="B1309" s="87"/>
      <c r="C1309" s="99"/>
      <c r="D1309" s="87"/>
      <c r="E1309" s="99"/>
      <c r="F1309" s="100"/>
      <c r="G1309" s="100"/>
      <c r="H1309" s="100"/>
      <c r="I1309" s="101"/>
      <c r="J1309" s="106"/>
      <c r="K1309" s="103"/>
      <c r="L1309" s="104"/>
      <c r="M1309" s="100"/>
      <c r="N1309" s="100"/>
      <c r="O1309" s="100"/>
      <c r="P1309" s="100"/>
      <c r="Q1309" s="105"/>
      <c r="R1309" s="105"/>
      <c r="S1309" s="169"/>
      <c r="U1309" s="188"/>
    </row>
    <row r="1310" spans="1:21">
      <c r="A1310" s="67" t="s">
        <v>10259</v>
      </c>
      <c r="B1310" s="87" t="s">
        <v>10259</v>
      </c>
      <c r="C1310" s="88" t="s">
        <v>12930</v>
      </c>
      <c r="D1310" s="89"/>
      <c r="E1310" s="90"/>
      <c r="F1310" s="91" t="s">
        <v>12931</v>
      </c>
      <c r="G1310" s="90"/>
      <c r="H1310" s="90"/>
      <c r="I1310" s="92"/>
      <c r="J1310" s="93"/>
      <c r="K1310" s="94"/>
      <c r="L1310" s="149" t="str">
        <f>HYPERLINK("[#]DatatypeListedValues!B6228:H6228","Enumeration")</f>
        <v>Enumeration</v>
      </c>
      <c r="M1310" s="107" t="b">
        <v>0</v>
      </c>
      <c r="N1310" s="90"/>
      <c r="O1310" s="95"/>
      <c r="P1310" s="90"/>
      <c r="Q1310" s="96"/>
      <c r="R1310" s="97"/>
      <c r="S1310" s="169"/>
      <c r="T1310" s="300" t="str">
        <f>CONCATENATE([1]Cover!$D$6,"fdd/view?i=",S1310)</f>
        <v>https://www.dgiwg.org/FAD/fdd/view?i=</v>
      </c>
      <c r="U1310" s="188"/>
    </row>
    <row r="1311" spans="1:21" ht="2.1" customHeight="1">
      <c r="A1311" s="98"/>
      <c r="B1311" s="87"/>
      <c r="C1311" s="99"/>
      <c r="D1311" s="87"/>
      <c r="E1311" s="99"/>
      <c r="F1311" s="100"/>
      <c r="G1311" s="100"/>
      <c r="H1311" s="100"/>
      <c r="I1311" s="101"/>
      <c r="J1311" s="106"/>
      <c r="K1311" s="103"/>
      <c r="L1311" s="104"/>
      <c r="M1311" s="100"/>
      <c r="N1311" s="100"/>
      <c r="O1311" s="100"/>
      <c r="P1311" s="100"/>
      <c r="Q1311" s="105"/>
      <c r="R1311" s="105"/>
      <c r="S1311" s="169"/>
      <c r="U1311" s="188"/>
    </row>
    <row r="1312" spans="1:21" ht="38.25">
      <c r="A1312" s="67" t="s">
        <v>10277</v>
      </c>
      <c r="B1312" s="87" t="s">
        <v>10277</v>
      </c>
      <c r="C1312" s="88" t="s">
        <v>12932</v>
      </c>
      <c r="D1312" s="89"/>
      <c r="E1312" s="90"/>
      <c r="F1312" s="91" t="s">
        <v>12933</v>
      </c>
      <c r="G1312" s="90"/>
      <c r="H1312" s="91" t="s">
        <v>11744</v>
      </c>
      <c r="I1312" s="92"/>
      <c r="J1312" s="93"/>
      <c r="K1312" s="94"/>
      <c r="L1312" s="153" t="s">
        <v>11414</v>
      </c>
      <c r="M1312" s="91" t="b">
        <v>1</v>
      </c>
      <c r="N1312" s="90"/>
      <c r="O1312" s="95"/>
      <c r="P1312" s="91" t="s">
        <v>11753</v>
      </c>
      <c r="Q1312" s="96"/>
      <c r="R1312" s="97"/>
      <c r="S1312" s="169"/>
      <c r="T1312" s="300" t="str">
        <f>CONCATENATE([1]Cover!$D$6,"fdd/view?i=",S1312)</f>
        <v>https://www.dgiwg.org/FAD/fdd/view?i=</v>
      </c>
      <c r="U1312" s="188"/>
    </row>
    <row r="1313" spans="1:21" ht="2.1" customHeight="1">
      <c r="A1313" s="98"/>
      <c r="B1313" s="87"/>
      <c r="C1313" s="99"/>
      <c r="D1313" s="87"/>
      <c r="E1313" s="99"/>
      <c r="F1313" s="100"/>
      <c r="G1313" s="100"/>
      <c r="H1313" s="100"/>
      <c r="I1313" s="101"/>
      <c r="J1313" s="106"/>
      <c r="K1313" s="103"/>
      <c r="L1313" s="104"/>
      <c r="M1313" s="100"/>
      <c r="N1313" s="100"/>
      <c r="O1313" s="100"/>
      <c r="P1313" s="100"/>
      <c r="Q1313" s="105"/>
      <c r="R1313" s="105"/>
      <c r="S1313" s="169"/>
      <c r="U1313" s="188"/>
    </row>
    <row r="1314" spans="1:21" ht="38.25">
      <c r="A1314" s="67" t="s">
        <v>10282</v>
      </c>
      <c r="B1314" s="87" t="s">
        <v>10282</v>
      </c>
      <c r="C1314" s="88" t="s">
        <v>12934</v>
      </c>
      <c r="D1314" s="89"/>
      <c r="E1314" s="90"/>
      <c r="F1314" s="91" t="s">
        <v>12935</v>
      </c>
      <c r="G1314" s="90"/>
      <c r="H1314" s="91" t="s">
        <v>11426</v>
      </c>
      <c r="I1314" s="92"/>
      <c r="J1314" s="93"/>
      <c r="K1314" s="94"/>
      <c r="L1314" s="91" t="s">
        <v>11425</v>
      </c>
      <c r="M1314" s="90"/>
      <c r="N1314" s="108" t="s">
        <v>11810</v>
      </c>
      <c r="O1314" s="91" t="b">
        <v>1</v>
      </c>
      <c r="P1314" s="91" t="s">
        <v>12936</v>
      </c>
      <c r="Q1314" s="96"/>
      <c r="R1314" s="97"/>
      <c r="S1314" s="169"/>
      <c r="T1314" s="300" t="str">
        <f>CONCATENATE([1]Cover!$D$6,"fdd/view?i=",S1314)</f>
        <v>https://www.dgiwg.org/FAD/fdd/view?i=</v>
      </c>
      <c r="U1314" s="188"/>
    </row>
    <row r="1315" spans="1:21" ht="2.1" customHeight="1">
      <c r="A1315" s="98"/>
      <c r="B1315" s="87"/>
      <c r="C1315" s="99"/>
      <c r="D1315" s="87"/>
      <c r="E1315" s="99"/>
      <c r="F1315" s="100"/>
      <c r="G1315" s="100"/>
      <c r="H1315" s="100"/>
      <c r="I1315" s="101"/>
      <c r="J1315" s="106"/>
      <c r="K1315" s="103"/>
      <c r="L1315" s="104"/>
      <c r="M1315" s="100"/>
      <c r="N1315" s="100"/>
      <c r="O1315" s="100"/>
      <c r="P1315" s="100"/>
      <c r="Q1315" s="105"/>
      <c r="R1315" s="105"/>
      <c r="S1315" s="169"/>
      <c r="U1315" s="188"/>
    </row>
    <row r="1316" spans="1:21" ht="178.5">
      <c r="A1316" s="67" t="s">
        <v>10287</v>
      </c>
      <c r="B1316" s="87" t="s">
        <v>10287</v>
      </c>
      <c r="C1316" s="88" t="s">
        <v>10285</v>
      </c>
      <c r="D1316" s="89"/>
      <c r="E1316" s="90"/>
      <c r="F1316" s="91" t="s">
        <v>12937</v>
      </c>
      <c r="G1316" s="90"/>
      <c r="H1316" s="91" t="s">
        <v>11426</v>
      </c>
      <c r="I1316" s="92"/>
      <c r="J1316" s="93"/>
      <c r="K1316" s="94"/>
      <c r="L1316" s="91" t="s">
        <v>11425</v>
      </c>
      <c r="M1316" s="90"/>
      <c r="N1316" s="91">
        <v>20</v>
      </c>
      <c r="O1316" s="108" t="b">
        <v>0</v>
      </c>
      <c r="P1316" s="91" t="s">
        <v>11909</v>
      </c>
      <c r="Q1316" s="96"/>
      <c r="R1316" s="97"/>
      <c r="S1316" s="169"/>
      <c r="T1316" s="300" t="str">
        <f>CONCATENATE([1]Cover!$D$6,"fdd/view?i=",S1316)</f>
        <v>https://www.dgiwg.org/FAD/fdd/view?i=</v>
      </c>
      <c r="U1316" s="188"/>
    </row>
    <row r="1317" spans="1:21" ht="2.1" customHeight="1">
      <c r="A1317" s="98"/>
      <c r="B1317" s="87"/>
      <c r="C1317" s="99"/>
      <c r="D1317" s="87"/>
      <c r="E1317" s="99"/>
      <c r="F1317" s="100"/>
      <c r="G1317" s="100"/>
      <c r="H1317" s="100"/>
      <c r="I1317" s="101"/>
      <c r="J1317" s="106"/>
      <c r="K1317" s="103"/>
      <c r="L1317" s="104"/>
      <c r="M1317" s="100"/>
      <c r="N1317" s="100"/>
      <c r="O1317" s="100"/>
      <c r="P1317" s="100"/>
      <c r="Q1317" s="105"/>
      <c r="R1317" s="105"/>
      <c r="S1317" s="169"/>
      <c r="U1317" s="188"/>
    </row>
    <row r="1318" spans="1:21" ht="38.25">
      <c r="A1318" s="67" t="s">
        <v>10297</v>
      </c>
      <c r="B1318" s="87" t="s">
        <v>10297</v>
      </c>
      <c r="C1318" s="88" t="s">
        <v>12938</v>
      </c>
      <c r="D1318" s="89"/>
      <c r="E1318" s="90"/>
      <c r="F1318" s="91" t="s">
        <v>12939</v>
      </c>
      <c r="G1318" s="90"/>
      <c r="H1318" s="91" t="s">
        <v>11744</v>
      </c>
      <c r="I1318" s="92"/>
      <c r="J1318" s="93"/>
      <c r="K1318" s="94"/>
      <c r="L1318" s="153" t="s">
        <v>11414</v>
      </c>
      <c r="M1318" s="91" t="b">
        <v>1</v>
      </c>
      <c r="N1318" s="91">
        <v>30</v>
      </c>
      <c r="O1318" s="95"/>
      <c r="P1318" s="91" t="s">
        <v>11745</v>
      </c>
      <c r="Q1318" s="96"/>
      <c r="R1318" s="97"/>
      <c r="S1318" s="169"/>
      <c r="T1318" s="300" t="str">
        <f>CONCATENATE([1]Cover!$D$6,"fdd/view?i=",S1318)</f>
        <v>https://www.dgiwg.org/FAD/fdd/view?i=</v>
      </c>
      <c r="U1318" s="188"/>
    </row>
    <row r="1319" spans="1:21" ht="2.1" customHeight="1">
      <c r="A1319" s="98"/>
      <c r="B1319" s="87"/>
      <c r="C1319" s="99"/>
      <c r="D1319" s="87"/>
      <c r="E1319" s="99"/>
      <c r="F1319" s="100"/>
      <c r="G1319" s="100"/>
      <c r="H1319" s="100"/>
      <c r="I1319" s="101"/>
      <c r="J1319" s="106"/>
      <c r="K1319" s="103"/>
      <c r="L1319" s="104"/>
      <c r="M1319" s="100"/>
      <c r="N1319" s="100"/>
      <c r="O1319" s="100"/>
      <c r="P1319" s="100"/>
      <c r="Q1319" s="105"/>
      <c r="R1319" s="105"/>
      <c r="S1319" s="169"/>
      <c r="U1319" s="188"/>
    </row>
    <row r="1320" spans="1:21" ht="25.5">
      <c r="A1320" s="67" t="s">
        <v>10303</v>
      </c>
      <c r="B1320" s="87" t="s">
        <v>10303</v>
      </c>
      <c r="C1320" s="88" t="s">
        <v>12940</v>
      </c>
      <c r="D1320" s="89"/>
      <c r="E1320" s="90"/>
      <c r="F1320" s="91" t="s">
        <v>12941</v>
      </c>
      <c r="G1320" s="90"/>
      <c r="H1320" s="90"/>
      <c r="I1320" s="92"/>
      <c r="J1320" s="93"/>
      <c r="K1320" s="94"/>
      <c r="L1320" s="149" t="str">
        <f>HYPERLINK("[#]DatatypeListedValues!B6238:H6238","Enumeration")</f>
        <v>Enumeration</v>
      </c>
      <c r="M1320" s="91" t="b">
        <v>1</v>
      </c>
      <c r="N1320" s="90"/>
      <c r="O1320" s="95"/>
      <c r="P1320" s="90"/>
      <c r="Q1320" s="96"/>
      <c r="R1320" s="97"/>
      <c r="S1320" s="169"/>
      <c r="T1320" s="300" t="str">
        <f>CONCATENATE([1]Cover!$D$6,"fdd/view?i=",S1320)</f>
        <v>https://www.dgiwg.org/FAD/fdd/view?i=</v>
      </c>
      <c r="U1320" s="188"/>
    </row>
    <row r="1321" spans="1:21" ht="2.1" customHeight="1">
      <c r="A1321" s="98"/>
      <c r="B1321" s="87"/>
      <c r="C1321" s="99"/>
      <c r="D1321" s="87"/>
      <c r="E1321" s="99"/>
      <c r="F1321" s="100"/>
      <c r="G1321" s="100"/>
      <c r="H1321" s="100"/>
      <c r="I1321" s="101"/>
      <c r="J1321" s="106"/>
      <c r="K1321" s="103"/>
      <c r="L1321" s="104"/>
      <c r="M1321" s="100"/>
      <c r="N1321" s="100"/>
      <c r="O1321" s="100"/>
      <c r="P1321" s="100"/>
      <c r="Q1321" s="105"/>
      <c r="R1321" s="105"/>
      <c r="S1321" s="169"/>
      <c r="U1321" s="188"/>
    </row>
    <row r="1322" spans="1:21" ht="25.5">
      <c r="A1322" s="67" t="s">
        <v>10314</v>
      </c>
      <c r="B1322" s="87" t="s">
        <v>10314</v>
      </c>
      <c r="C1322" s="88" t="s">
        <v>12942</v>
      </c>
      <c r="D1322" s="89"/>
      <c r="E1322" s="90"/>
      <c r="F1322" s="91" t="s">
        <v>12943</v>
      </c>
      <c r="G1322" s="90"/>
      <c r="H1322" s="90"/>
      <c r="I1322" s="92"/>
      <c r="J1322" s="93"/>
      <c r="K1322" s="94"/>
      <c r="L1322" s="149" t="str">
        <f>HYPERLINK("[#]DatatypeListedValues!B6258:H6258","Enumeration")</f>
        <v>Enumeration</v>
      </c>
      <c r="M1322" s="107" t="b">
        <v>0</v>
      </c>
      <c r="N1322" s="90"/>
      <c r="O1322" s="95"/>
      <c r="P1322" s="90"/>
      <c r="Q1322" s="96"/>
      <c r="R1322" s="97"/>
      <c r="S1322" s="169"/>
      <c r="T1322" s="300" t="str">
        <f>CONCATENATE([1]Cover!$D$6,"fdd/view?i=",S1322)</f>
        <v>https://www.dgiwg.org/FAD/fdd/view?i=</v>
      </c>
      <c r="U1322" s="188"/>
    </row>
    <row r="1323" spans="1:21" ht="2.1" customHeight="1">
      <c r="A1323" s="98"/>
      <c r="B1323" s="87"/>
      <c r="C1323" s="99"/>
      <c r="D1323" s="87"/>
      <c r="E1323" s="99"/>
      <c r="F1323" s="100"/>
      <c r="G1323" s="100"/>
      <c r="H1323" s="100"/>
      <c r="I1323" s="101"/>
      <c r="J1323" s="106"/>
      <c r="K1323" s="103"/>
      <c r="L1323" s="104"/>
      <c r="M1323" s="100"/>
      <c r="N1323" s="100"/>
      <c r="O1323" s="100"/>
      <c r="P1323" s="100"/>
      <c r="Q1323" s="105"/>
      <c r="R1323" s="105"/>
      <c r="S1323" s="169"/>
      <c r="U1323" s="188"/>
    </row>
    <row r="1324" spans="1:21" ht="25.5">
      <c r="A1324" s="67" t="s">
        <v>10323</v>
      </c>
      <c r="B1324" s="87" t="s">
        <v>10323</v>
      </c>
      <c r="C1324" s="88" t="s">
        <v>12944</v>
      </c>
      <c r="D1324" s="89"/>
      <c r="E1324" s="90"/>
      <c r="F1324" s="91" t="s">
        <v>12945</v>
      </c>
      <c r="G1324" s="90"/>
      <c r="H1324" s="90"/>
      <c r="I1324" s="92"/>
      <c r="J1324" s="93"/>
      <c r="K1324" s="94"/>
      <c r="L1324" s="149" t="str">
        <f>HYPERLINK("[#]DatatypeListedValues!B6263:H6263","Enumeration")</f>
        <v>Enumeration</v>
      </c>
      <c r="M1324" s="107" t="b">
        <v>0</v>
      </c>
      <c r="N1324" s="90"/>
      <c r="O1324" s="95"/>
      <c r="P1324" s="90"/>
      <c r="Q1324" s="96"/>
      <c r="R1324" s="97"/>
      <c r="S1324" s="169"/>
      <c r="T1324" s="300" t="str">
        <f>CONCATENATE([1]Cover!$D$6,"fdd/view?i=",S1324)</f>
        <v>https://www.dgiwg.org/FAD/fdd/view?i=</v>
      </c>
      <c r="U1324" s="188"/>
    </row>
    <row r="1325" spans="1:21" ht="2.1" customHeight="1">
      <c r="A1325" s="98"/>
      <c r="B1325" s="87"/>
      <c r="C1325" s="99"/>
      <c r="D1325" s="87"/>
      <c r="E1325" s="99"/>
      <c r="F1325" s="100"/>
      <c r="G1325" s="100"/>
      <c r="H1325" s="100"/>
      <c r="I1325" s="101"/>
      <c r="J1325" s="106"/>
      <c r="K1325" s="103"/>
      <c r="L1325" s="104"/>
      <c r="M1325" s="100"/>
      <c r="N1325" s="100"/>
      <c r="O1325" s="100"/>
      <c r="P1325" s="100"/>
      <c r="Q1325" s="105"/>
      <c r="R1325" s="105"/>
      <c r="S1325" s="169"/>
      <c r="U1325" s="188"/>
    </row>
    <row r="1326" spans="1:21" ht="25.5">
      <c r="A1326" s="67" t="s">
        <v>10329</v>
      </c>
      <c r="B1326" s="87" t="s">
        <v>10329</v>
      </c>
      <c r="C1326" s="88" t="s">
        <v>12946</v>
      </c>
      <c r="D1326" s="89"/>
      <c r="E1326" s="90"/>
      <c r="F1326" s="91" t="s">
        <v>12947</v>
      </c>
      <c r="G1326" s="90"/>
      <c r="H1326" s="90"/>
      <c r="I1326" s="92"/>
      <c r="J1326" s="93"/>
      <c r="K1326" s="94"/>
      <c r="L1326" s="149" t="str">
        <f>HYPERLINK("[#]DatatypeListedValues!B6267:H6267","Enumeration")</f>
        <v>Enumeration</v>
      </c>
      <c r="M1326" s="107" t="b">
        <v>0</v>
      </c>
      <c r="N1326" s="90"/>
      <c r="O1326" s="95"/>
      <c r="P1326" s="90"/>
      <c r="Q1326" s="96"/>
      <c r="R1326" s="97"/>
      <c r="S1326" s="169"/>
      <c r="T1326" s="300" t="str">
        <f>CONCATENATE([1]Cover!$D$6,"fdd/view?i=",S1326)</f>
        <v>https://www.dgiwg.org/FAD/fdd/view?i=</v>
      </c>
      <c r="U1326" s="188"/>
    </row>
    <row r="1327" spans="1:21" ht="2.1" customHeight="1">
      <c r="A1327" s="98"/>
      <c r="B1327" s="87"/>
      <c r="C1327" s="99"/>
      <c r="D1327" s="87"/>
      <c r="E1327" s="99"/>
      <c r="F1327" s="100"/>
      <c r="G1327" s="100"/>
      <c r="H1327" s="100"/>
      <c r="I1327" s="101"/>
      <c r="J1327" s="106"/>
      <c r="K1327" s="103"/>
      <c r="L1327" s="104"/>
      <c r="M1327" s="100"/>
      <c r="N1327" s="100"/>
      <c r="O1327" s="100"/>
      <c r="P1327" s="100"/>
      <c r="Q1327" s="105"/>
      <c r="R1327" s="105"/>
      <c r="S1327" s="169"/>
      <c r="U1327" s="188"/>
    </row>
    <row r="1328" spans="1:21" ht="127.5">
      <c r="A1328" s="67" t="s">
        <v>10335</v>
      </c>
      <c r="B1328" s="87" t="s">
        <v>10335</v>
      </c>
      <c r="C1328" s="88" t="s">
        <v>12948</v>
      </c>
      <c r="D1328" s="89"/>
      <c r="E1328" s="90"/>
      <c r="F1328" s="91" t="s">
        <v>12949</v>
      </c>
      <c r="G1328" s="90"/>
      <c r="H1328" s="91" t="s">
        <v>11426</v>
      </c>
      <c r="I1328" s="92"/>
      <c r="J1328" s="93"/>
      <c r="K1328" s="94"/>
      <c r="L1328" s="91" t="s">
        <v>11425</v>
      </c>
      <c r="M1328" s="90"/>
      <c r="N1328" s="108" t="s">
        <v>11810</v>
      </c>
      <c r="O1328" s="91" t="b">
        <v>1</v>
      </c>
      <c r="P1328" s="91" t="s">
        <v>12950</v>
      </c>
      <c r="Q1328" s="96"/>
      <c r="R1328" s="97"/>
      <c r="S1328" s="169"/>
      <c r="T1328" s="300" t="str">
        <f>CONCATENATE([1]Cover!$D$6,"fdd/view?i=",S1328)</f>
        <v>https://www.dgiwg.org/FAD/fdd/view?i=</v>
      </c>
      <c r="U1328" s="188"/>
    </row>
    <row r="1329" spans="1:21" ht="2.1" customHeight="1">
      <c r="A1329" s="98"/>
      <c r="B1329" s="87"/>
      <c r="C1329" s="99"/>
      <c r="D1329" s="87"/>
      <c r="E1329" s="99"/>
      <c r="F1329" s="100"/>
      <c r="G1329" s="100"/>
      <c r="H1329" s="100"/>
      <c r="I1329" s="101"/>
      <c r="J1329" s="106"/>
      <c r="K1329" s="103"/>
      <c r="L1329" s="104"/>
      <c r="M1329" s="100"/>
      <c r="N1329" s="100"/>
      <c r="O1329" s="100"/>
      <c r="P1329" s="100"/>
      <c r="Q1329" s="105"/>
      <c r="R1329" s="105"/>
      <c r="S1329" s="169"/>
      <c r="U1329" s="188"/>
    </row>
    <row r="1330" spans="1:21" ht="25.5">
      <c r="A1330" s="67" t="s">
        <v>10352</v>
      </c>
      <c r="B1330" s="87" t="s">
        <v>10352</v>
      </c>
      <c r="C1330" s="88" t="s">
        <v>12951</v>
      </c>
      <c r="D1330" s="89"/>
      <c r="E1330" s="90"/>
      <c r="F1330" s="91" t="s">
        <v>12952</v>
      </c>
      <c r="G1330" s="90"/>
      <c r="H1330" s="90"/>
      <c r="I1330" s="92"/>
      <c r="J1330" s="93"/>
      <c r="K1330" s="94"/>
      <c r="L1330" s="149" t="str">
        <f>HYPERLINK("[#]DatatypeListedValues!B6272:H6272","Enumeration")</f>
        <v>Enumeration</v>
      </c>
      <c r="M1330" s="107" t="b">
        <v>0</v>
      </c>
      <c r="N1330" s="90"/>
      <c r="O1330" s="95"/>
      <c r="P1330" s="90"/>
      <c r="Q1330" s="96"/>
      <c r="R1330" s="97"/>
      <c r="S1330" s="169"/>
      <c r="T1330" s="300" t="str">
        <f>CONCATENATE([1]Cover!$D$6,"fdd/view?i=",S1330)</f>
        <v>https://www.dgiwg.org/FAD/fdd/view?i=</v>
      </c>
      <c r="U1330" s="188"/>
    </row>
    <row r="1331" spans="1:21" ht="2.1" customHeight="1">
      <c r="A1331" s="98"/>
      <c r="B1331" s="87"/>
      <c r="C1331" s="99"/>
      <c r="D1331" s="87"/>
      <c r="E1331" s="99"/>
      <c r="F1331" s="100"/>
      <c r="G1331" s="100"/>
      <c r="H1331" s="100"/>
      <c r="I1331" s="101"/>
      <c r="J1331" s="106"/>
      <c r="K1331" s="103"/>
      <c r="L1331" s="104"/>
      <c r="M1331" s="100"/>
      <c r="N1331" s="100"/>
      <c r="O1331" s="100"/>
      <c r="P1331" s="100"/>
      <c r="Q1331" s="105"/>
      <c r="R1331" s="105"/>
      <c r="S1331" s="169"/>
      <c r="U1331" s="188"/>
    </row>
    <row r="1332" spans="1:21" ht="178.5">
      <c r="A1332" s="67" t="s">
        <v>10367</v>
      </c>
      <c r="B1332" s="87" t="s">
        <v>10367</v>
      </c>
      <c r="C1332" s="88" t="s">
        <v>12953</v>
      </c>
      <c r="D1332" s="89"/>
      <c r="E1332" s="90"/>
      <c r="F1332" s="91" t="s">
        <v>12954</v>
      </c>
      <c r="G1332" s="90"/>
      <c r="H1332" s="91" t="s">
        <v>11426</v>
      </c>
      <c r="I1332" s="92"/>
      <c r="J1332" s="93"/>
      <c r="K1332" s="94"/>
      <c r="L1332" s="91" t="s">
        <v>11425</v>
      </c>
      <c r="M1332" s="90"/>
      <c r="N1332" s="91">
        <v>20</v>
      </c>
      <c r="O1332" s="108" t="b">
        <v>0</v>
      </c>
      <c r="P1332" s="91" t="s">
        <v>11909</v>
      </c>
      <c r="Q1332" s="96"/>
      <c r="R1332" s="97"/>
      <c r="S1332" s="169"/>
      <c r="T1332" s="300" t="str">
        <f>CONCATENATE([1]Cover!$D$6,"fdd/view?i=",S1332)</f>
        <v>https://www.dgiwg.org/FAD/fdd/view?i=</v>
      </c>
      <c r="U1332" s="188"/>
    </row>
    <row r="1333" spans="1:21" ht="2.1" customHeight="1">
      <c r="A1333" s="98"/>
      <c r="B1333" s="87"/>
      <c r="C1333" s="99"/>
      <c r="D1333" s="87"/>
      <c r="E1333" s="99"/>
      <c r="F1333" s="100"/>
      <c r="G1333" s="100"/>
      <c r="H1333" s="100"/>
      <c r="I1333" s="101"/>
      <c r="J1333" s="106"/>
      <c r="K1333" s="103"/>
      <c r="L1333" s="104"/>
      <c r="M1333" s="100"/>
      <c r="N1333" s="100"/>
      <c r="O1333" s="100"/>
      <c r="P1333" s="100"/>
      <c r="Q1333" s="105"/>
      <c r="R1333" s="105"/>
      <c r="S1333" s="169"/>
      <c r="U1333" s="188"/>
    </row>
    <row r="1334" spans="1:21" ht="25.5">
      <c r="A1334" s="67" t="s">
        <v>10376</v>
      </c>
      <c r="B1334" s="87" t="s">
        <v>10376</v>
      </c>
      <c r="C1334" s="88" t="s">
        <v>12955</v>
      </c>
      <c r="D1334" s="89"/>
      <c r="E1334" s="90"/>
      <c r="F1334" s="91" t="s">
        <v>12956</v>
      </c>
      <c r="G1334" s="90"/>
      <c r="H1334" s="90"/>
      <c r="I1334" s="92"/>
      <c r="J1334" s="93"/>
      <c r="K1334" s="94"/>
      <c r="L1334" s="149" t="str">
        <f>HYPERLINK("[#]DatatypeListedValues!B6282:H6282","Enumeration")</f>
        <v>Enumeration</v>
      </c>
      <c r="M1334" s="107" t="b">
        <v>0</v>
      </c>
      <c r="N1334" s="90"/>
      <c r="O1334" s="95"/>
      <c r="P1334" s="90"/>
      <c r="Q1334" s="96"/>
      <c r="R1334" s="97"/>
      <c r="S1334" s="169"/>
      <c r="T1334" s="300" t="str">
        <f>CONCATENATE([1]Cover!$D$6,"fdd/view?i=",S1334)</f>
        <v>https://www.dgiwg.org/FAD/fdd/view?i=</v>
      </c>
      <c r="U1334" s="188"/>
    </row>
    <row r="1335" spans="1:21" ht="2.1" customHeight="1">
      <c r="A1335" s="98"/>
      <c r="B1335" s="87"/>
      <c r="C1335" s="99"/>
      <c r="D1335" s="87"/>
      <c r="E1335" s="99"/>
      <c r="F1335" s="100"/>
      <c r="G1335" s="100"/>
      <c r="H1335" s="100"/>
      <c r="I1335" s="101"/>
      <c r="J1335" s="106"/>
      <c r="K1335" s="103"/>
      <c r="L1335" s="104"/>
      <c r="M1335" s="100"/>
      <c r="N1335" s="100"/>
      <c r="O1335" s="100"/>
      <c r="P1335" s="100"/>
      <c r="Q1335" s="105"/>
      <c r="R1335" s="105"/>
      <c r="S1335" s="169"/>
      <c r="U1335" s="188"/>
    </row>
    <row r="1336" spans="1:21">
      <c r="A1336" s="67" t="s">
        <v>8249</v>
      </c>
      <c r="B1336" s="87" t="s">
        <v>8249</v>
      </c>
      <c r="C1336" s="88" t="s">
        <v>12957</v>
      </c>
      <c r="D1336" s="89"/>
      <c r="E1336" s="90"/>
      <c r="F1336" s="91" t="s">
        <v>12958</v>
      </c>
      <c r="G1336" s="90"/>
      <c r="H1336" s="90"/>
      <c r="I1336" s="92"/>
      <c r="J1336" s="93"/>
      <c r="K1336" s="94"/>
      <c r="L1336" s="149" t="str">
        <f>HYPERLINK("[#]DatatypeListedValues!B6293:H6293","Enumeration")</f>
        <v>Enumeration</v>
      </c>
      <c r="M1336" s="107" t="b">
        <v>0</v>
      </c>
      <c r="N1336" s="90"/>
      <c r="O1336" s="95"/>
      <c r="P1336" s="90"/>
      <c r="Q1336" s="96"/>
      <c r="R1336" s="97"/>
      <c r="S1336" s="169"/>
      <c r="T1336" s="300" t="str">
        <f>CONCATENATE([1]Cover!$D$6,"fdd/view?i=",S1336)</f>
        <v>https://www.dgiwg.org/FAD/fdd/view?i=</v>
      </c>
      <c r="U1336" s="188"/>
    </row>
    <row r="1337" spans="1:21" ht="2.1" customHeight="1">
      <c r="A1337" s="98"/>
      <c r="B1337" s="87"/>
      <c r="C1337" s="99"/>
      <c r="D1337" s="87"/>
      <c r="E1337" s="99"/>
      <c r="F1337" s="100"/>
      <c r="G1337" s="100"/>
      <c r="H1337" s="100"/>
      <c r="I1337" s="101"/>
      <c r="J1337" s="106"/>
      <c r="K1337" s="103"/>
      <c r="L1337" s="104"/>
      <c r="M1337" s="100"/>
      <c r="N1337" s="100"/>
      <c r="O1337" s="100"/>
      <c r="P1337" s="100"/>
      <c r="Q1337" s="105"/>
      <c r="R1337" s="105"/>
      <c r="S1337" s="169"/>
      <c r="U1337" s="188"/>
    </row>
    <row r="1338" spans="1:21">
      <c r="A1338" s="67" t="s">
        <v>10391</v>
      </c>
      <c r="B1338" s="87" t="s">
        <v>10391</v>
      </c>
      <c r="C1338" s="88" t="s">
        <v>12959</v>
      </c>
      <c r="D1338" s="89"/>
      <c r="E1338" s="90"/>
      <c r="F1338" s="91" t="s">
        <v>12960</v>
      </c>
      <c r="G1338" s="90"/>
      <c r="H1338" s="90"/>
      <c r="I1338" s="92"/>
      <c r="J1338" s="93"/>
      <c r="K1338" s="94"/>
      <c r="L1338" s="149" t="str">
        <f>HYPERLINK("[#]DatatypeListedValues!B6302:H6302","Enumeration")</f>
        <v>Enumeration</v>
      </c>
      <c r="M1338" s="107" t="b">
        <v>0</v>
      </c>
      <c r="N1338" s="90"/>
      <c r="O1338" s="95"/>
      <c r="P1338" s="90"/>
      <c r="Q1338" s="96"/>
      <c r="R1338" s="97"/>
      <c r="S1338" s="169"/>
      <c r="T1338" s="300" t="str">
        <f>CONCATENATE([1]Cover!$D$6,"fdd/view?i=",S1338)</f>
        <v>https://www.dgiwg.org/FAD/fdd/view?i=</v>
      </c>
      <c r="U1338" s="188"/>
    </row>
    <row r="1339" spans="1:21" ht="2.1" customHeight="1">
      <c r="A1339" s="98"/>
      <c r="B1339" s="87"/>
      <c r="C1339" s="99"/>
      <c r="D1339" s="87"/>
      <c r="E1339" s="99"/>
      <c r="F1339" s="100"/>
      <c r="G1339" s="100"/>
      <c r="H1339" s="100"/>
      <c r="I1339" s="101"/>
      <c r="J1339" s="106"/>
      <c r="K1339" s="103"/>
      <c r="L1339" s="104"/>
      <c r="M1339" s="100"/>
      <c r="N1339" s="100"/>
      <c r="O1339" s="100"/>
      <c r="P1339" s="100"/>
      <c r="Q1339" s="105"/>
      <c r="R1339" s="105"/>
      <c r="S1339" s="169"/>
      <c r="U1339" s="188"/>
    </row>
    <row r="1340" spans="1:21">
      <c r="A1340" s="67" t="s">
        <v>10411</v>
      </c>
      <c r="B1340" s="87" t="s">
        <v>10411</v>
      </c>
      <c r="C1340" s="88" t="s">
        <v>12961</v>
      </c>
      <c r="D1340" s="89"/>
      <c r="E1340" s="90"/>
      <c r="F1340" s="91" t="s">
        <v>12962</v>
      </c>
      <c r="G1340" s="90"/>
      <c r="H1340" s="90"/>
      <c r="I1340" s="92"/>
      <c r="J1340" s="93"/>
      <c r="K1340" s="94"/>
      <c r="L1340" s="149" t="str">
        <f>HYPERLINK("[#]DatatypeListedValues!B6312:H6312","Enumeration")</f>
        <v>Enumeration</v>
      </c>
      <c r="M1340" s="107" t="b">
        <v>0</v>
      </c>
      <c r="N1340" s="90"/>
      <c r="O1340" s="95"/>
      <c r="P1340" s="90"/>
      <c r="Q1340" s="96"/>
      <c r="R1340" s="97"/>
      <c r="S1340" s="169"/>
      <c r="T1340" s="300" t="str">
        <f>CONCATENATE([1]Cover!$D$6,"fdd/view?i=",S1340)</f>
        <v>https://www.dgiwg.org/FAD/fdd/view?i=</v>
      </c>
      <c r="U1340" s="188"/>
    </row>
    <row r="1341" spans="1:21" ht="2.1" customHeight="1">
      <c r="A1341" s="98"/>
      <c r="B1341" s="87"/>
      <c r="C1341" s="99"/>
      <c r="D1341" s="87"/>
      <c r="E1341" s="99"/>
      <c r="F1341" s="100"/>
      <c r="G1341" s="100"/>
      <c r="H1341" s="100"/>
      <c r="I1341" s="101"/>
      <c r="J1341" s="106"/>
      <c r="K1341" s="103"/>
      <c r="L1341" s="104"/>
      <c r="M1341" s="100"/>
      <c r="N1341" s="100"/>
      <c r="O1341" s="100"/>
      <c r="P1341" s="100"/>
      <c r="Q1341" s="105"/>
      <c r="R1341" s="105"/>
      <c r="S1341" s="169"/>
      <c r="U1341" s="188"/>
    </row>
    <row r="1342" spans="1:21" ht="63.75">
      <c r="A1342" s="67" t="s">
        <v>11425</v>
      </c>
      <c r="B1342" s="87" t="s">
        <v>11425</v>
      </c>
      <c r="C1342" s="88" t="s">
        <v>12963</v>
      </c>
      <c r="D1342" s="89"/>
      <c r="E1342" s="90"/>
      <c r="F1342" s="91" t="s">
        <v>12964</v>
      </c>
      <c r="G1342" s="91" t="s">
        <v>12965</v>
      </c>
      <c r="H1342" s="91" t="s">
        <v>11426</v>
      </c>
      <c r="I1342" s="92"/>
      <c r="J1342" s="93"/>
      <c r="K1342" s="94"/>
      <c r="L1342" s="91" t="s">
        <v>11425</v>
      </c>
      <c r="M1342" s="90"/>
      <c r="N1342" s="108" t="s">
        <v>11810</v>
      </c>
      <c r="O1342" s="108" t="b">
        <v>0</v>
      </c>
      <c r="P1342" s="90"/>
      <c r="Q1342" s="96"/>
      <c r="R1342" s="97"/>
      <c r="S1342" s="169"/>
      <c r="T1342" s="300" t="str">
        <f>CONCATENATE([1]Cover!$D$6,"fdd/view?i=",S1342)</f>
        <v>https://www.dgiwg.org/FAD/fdd/view?i=</v>
      </c>
      <c r="U1342" s="188"/>
    </row>
    <row r="1343" spans="1:21" ht="2.1" customHeight="1">
      <c r="A1343" s="98"/>
      <c r="B1343" s="87"/>
      <c r="C1343" s="99"/>
      <c r="D1343" s="87"/>
      <c r="E1343" s="99"/>
      <c r="F1343" s="100"/>
      <c r="G1343" s="100"/>
      <c r="H1343" s="100"/>
      <c r="I1343" s="101"/>
      <c r="J1343" s="106"/>
      <c r="K1343" s="103"/>
      <c r="L1343" s="104"/>
      <c r="M1343" s="100"/>
      <c r="N1343" s="100"/>
      <c r="O1343" s="100"/>
      <c r="P1343" s="100"/>
      <c r="Q1343" s="105"/>
      <c r="R1343" s="105"/>
      <c r="S1343" s="169"/>
      <c r="U1343" s="188"/>
    </row>
    <row r="1344" spans="1:21" ht="63.75">
      <c r="A1344" s="63" t="s">
        <v>12966</v>
      </c>
      <c r="B1344" s="329" t="s">
        <v>12966</v>
      </c>
      <c r="C1344" s="326" t="s">
        <v>12967</v>
      </c>
      <c r="D1344" s="109"/>
      <c r="E1344" s="110"/>
      <c r="F1344" s="111" t="s">
        <v>12968</v>
      </c>
      <c r="G1344" s="111" t="s">
        <v>12965</v>
      </c>
      <c r="H1344" s="111" t="s">
        <v>11513</v>
      </c>
      <c r="I1344" s="112"/>
      <c r="J1344" s="113"/>
      <c r="K1344" s="114"/>
      <c r="L1344" s="115" t="s">
        <v>11429</v>
      </c>
      <c r="M1344" s="110"/>
      <c r="N1344" s="110"/>
      <c r="O1344" s="116"/>
      <c r="P1344" s="110"/>
      <c r="Q1344" s="117"/>
      <c r="R1344" s="118"/>
      <c r="S1344" s="169"/>
      <c r="T1344" s="300" t="str">
        <f>CONCATENATE([1]Cover!$D$6,"fdd/view?i=",S1344)</f>
        <v>https://www.dgiwg.org/FAD/fdd/view?i=</v>
      </c>
      <c r="U1344" s="188"/>
    </row>
    <row r="1345" spans="1:21" ht="38.25">
      <c r="A1345" s="64" t="s">
        <v>33685</v>
      </c>
      <c r="B1345" s="330"/>
      <c r="C1345" s="327"/>
      <c r="D1345" s="132" t="s">
        <v>11678</v>
      </c>
      <c r="E1345" s="138" t="s">
        <v>12969</v>
      </c>
      <c r="F1345" s="70" t="s">
        <v>12970</v>
      </c>
      <c r="G1345" s="70" t="s">
        <v>12971</v>
      </c>
      <c r="H1345" s="68"/>
      <c r="I1345" s="133" t="s">
        <v>4643</v>
      </c>
      <c r="J1345" s="142"/>
      <c r="K1345" s="135" t="s">
        <v>11425</v>
      </c>
      <c r="L1345" s="150" t="str">
        <f>HYPERLINK("[#]Datatypes!B1342:L1342","Structured Text")</f>
        <v>Structured Text</v>
      </c>
      <c r="M1345" s="122"/>
      <c r="N1345" s="122"/>
      <c r="O1345" s="122"/>
      <c r="P1345" s="122"/>
      <c r="Q1345" s="123"/>
      <c r="R1345" s="124"/>
      <c r="S1345" s="169"/>
      <c r="U1345" s="188"/>
    </row>
    <row r="1346" spans="1:21" ht="38.25">
      <c r="A1346" s="65" t="s">
        <v>33686</v>
      </c>
      <c r="B1346" s="331"/>
      <c r="C1346" s="328"/>
      <c r="D1346" s="137" t="s">
        <v>11682</v>
      </c>
      <c r="E1346" s="140" t="s">
        <v>11683</v>
      </c>
      <c r="F1346" s="66" t="s">
        <v>11684</v>
      </c>
      <c r="G1346" s="66" t="s">
        <v>11685</v>
      </c>
      <c r="H1346" s="69"/>
      <c r="I1346" s="126" t="s">
        <v>4643</v>
      </c>
      <c r="J1346" s="141"/>
      <c r="K1346" s="128" t="s">
        <v>11686</v>
      </c>
      <c r="L1346" s="152" t="str">
        <f>HYPERLINK("[#]Datatypes!B1544:L1544","Void Value Reason Code")</f>
        <v>Void Value Reason Code</v>
      </c>
      <c r="M1346" s="129"/>
      <c r="N1346" s="129"/>
      <c r="O1346" s="129"/>
      <c r="P1346" s="129"/>
      <c r="Q1346" s="130"/>
      <c r="R1346" s="131"/>
      <c r="S1346" s="169"/>
      <c r="T1346" s="300" t="str">
        <f>CONCATENATE([1]Cover!$D$6,"fdd/view?i=",S1346)</f>
        <v>https://www.dgiwg.org/FAD/fdd/view?i=</v>
      </c>
      <c r="U1346" s="188"/>
    </row>
    <row r="1347" spans="1:21" ht="2.1" customHeight="1">
      <c r="A1347" s="98"/>
      <c r="B1347" s="87"/>
      <c r="C1347" s="99"/>
      <c r="D1347" s="87"/>
      <c r="E1347" s="99"/>
      <c r="F1347" s="100"/>
      <c r="G1347" s="100"/>
      <c r="H1347" s="100"/>
      <c r="I1347" s="101"/>
      <c r="J1347" s="106"/>
      <c r="K1347" s="103"/>
      <c r="L1347" s="104"/>
      <c r="M1347" s="100"/>
      <c r="N1347" s="100"/>
      <c r="O1347" s="100"/>
      <c r="P1347" s="100"/>
      <c r="Q1347" s="105"/>
      <c r="R1347" s="105"/>
      <c r="S1347" s="169"/>
      <c r="U1347" s="188"/>
    </row>
    <row r="1348" spans="1:21" ht="25.5">
      <c r="A1348" s="67" t="s">
        <v>10416</v>
      </c>
      <c r="B1348" s="87" t="s">
        <v>10416</v>
      </c>
      <c r="C1348" s="88" t="s">
        <v>12972</v>
      </c>
      <c r="D1348" s="89"/>
      <c r="E1348" s="90"/>
      <c r="F1348" s="91" t="s">
        <v>12973</v>
      </c>
      <c r="G1348" s="90"/>
      <c r="H1348" s="90"/>
      <c r="I1348" s="92"/>
      <c r="J1348" s="93"/>
      <c r="K1348" s="94"/>
      <c r="L1348" s="149" t="str">
        <f>HYPERLINK("[#]DatatypeListedValues!B6338:H6338","Enumeration")</f>
        <v>Enumeration</v>
      </c>
      <c r="M1348" s="107" t="b">
        <v>0</v>
      </c>
      <c r="N1348" s="90"/>
      <c r="O1348" s="95"/>
      <c r="P1348" s="90"/>
      <c r="Q1348" s="96"/>
      <c r="R1348" s="97"/>
      <c r="S1348" s="169"/>
      <c r="T1348" s="300" t="str">
        <f>CONCATENATE([1]Cover!$D$6,"fdd/view?i=",S1348)</f>
        <v>https://www.dgiwg.org/FAD/fdd/view?i=</v>
      </c>
      <c r="U1348" s="188"/>
    </row>
    <row r="1349" spans="1:21" ht="2.1" customHeight="1">
      <c r="A1349" s="98"/>
      <c r="B1349" s="87"/>
      <c r="C1349" s="99"/>
      <c r="D1349" s="87"/>
      <c r="E1349" s="99"/>
      <c r="F1349" s="100"/>
      <c r="G1349" s="100"/>
      <c r="H1349" s="100"/>
      <c r="I1349" s="101"/>
      <c r="J1349" s="106"/>
      <c r="K1349" s="103"/>
      <c r="L1349" s="104"/>
      <c r="M1349" s="100"/>
      <c r="N1349" s="100"/>
      <c r="O1349" s="100"/>
      <c r="P1349" s="100"/>
      <c r="Q1349" s="105"/>
      <c r="R1349" s="105"/>
      <c r="S1349" s="169"/>
      <c r="U1349" s="188"/>
    </row>
    <row r="1350" spans="1:21">
      <c r="A1350" s="67" t="s">
        <v>10425</v>
      </c>
      <c r="B1350" s="87" t="s">
        <v>10425</v>
      </c>
      <c r="C1350" s="88" t="s">
        <v>12974</v>
      </c>
      <c r="D1350" s="89"/>
      <c r="E1350" s="90"/>
      <c r="F1350" s="91" t="s">
        <v>12975</v>
      </c>
      <c r="G1350" s="90"/>
      <c r="H1350" s="90"/>
      <c r="I1350" s="92"/>
      <c r="J1350" s="93"/>
      <c r="K1350" s="94"/>
      <c r="L1350" s="149" t="str">
        <f>HYPERLINK("[#]DatatypeListedValues!B6341:H6341","Enumeration")</f>
        <v>Enumeration</v>
      </c>
      <c r="M1350" s="107" t="b">
        <v>0</v>
      </c>
      <c r="N1350" s="90"/>
      <c r="O1350" s="95"/>
      <c r="P1350" s="90"/>
      <c r="Q1350" s="96"/>
      <c r="R1350" s="97"/>
      <c r="S1350" s="169"/>
      <c r="T1350" s="300" t="str">
        <f>CONCATENATE([1]Cover!$D$6,"fdd/view?i=",S1350)</f>
        <v>https://www.dgiwg.org/FAD/fdd/view?i=</v>
      </c>
      <c r="U1350" s="188"/>
    </row>
    <row r="1351" spans="1:21" ht="2.1" customHeight="1">
      <c r="A1351" s="98"/>
      <c r="B1351" s="87"/>
      <c r="C1351" s="99"/>
      <c r="D1351" s="87"/>
      <c r="E1351" s="99"/>
      <c r="F1351" s="100"/>
      <c r="G1351" s="100"/>
      <c r="H1351" s="100"/>
      <c r="I1351" s="101"/>
      <c r="J1351" s="106"/>
      <c r="K1351" s="103"/>
      <c r="L1351" s="104"/>
      <c r="M1351" s="100"/>
      <c r="N1351" s="100"/>
      <c r="O1351" s="100"/>
      <c r="P1351" s="100"/>
      <c r="Q1351" s="105"/>
      <c r="R1351" s="105"/>
      <c r="S1351" s="169"/>
      <c r="U1351" s="188"/>
    </row>
    <row r="1352" spans="1:21" ht="38.25">
      <c r="A1352" s="67" t="s">
        <v>10454</v>
      </c>
      <c r="B1352" s="87" t="s">
        <v>10454</v>
      </c>
      <c r="C1352" s="88" t="s">
        <v>12976</v>
      </c>
      <c r="D1352" s="89"/>
      <c r="E1352" s="90"/>
      <c r="F1352" s="91" t="s">
        <v>10452</v>
      </c>
      <c r="G1352" s="90"/>
      <c r="H1352" s="91" t="s">
        <v>11513</v>
      </c>
      <c r="I1352" s="92"/>
      <c r="J1352" s="93"/>
      <c r="K1352" s="94"/>
      <c r="L1352" s="104" t="s">
        <v>11429</v>
      </c>
      <c r="M1352" s="90"/>
      <c r="N1352" s="90"/>
      <c r="O1352" s="95"/>
      <c r="P1352" s="90"/>
      <c r="Q1352" s="96"/>
      <c r="R1352" s="97"/>
      <c r="S1352" s="169"/>
      <c r="T1352" s="300" t="str">
        <f>CONCATENATE([1]Cover!$D$6,"fdd/view?i=",S1352)</f>
        <v>https://www.dgiwg.org/FAD/fdd/view?i=</v>
      </c>
      <c r="U1352" s="188"/>
    </row>
    <row r="1353" spans="1:21" ht="2.1" customHeight="1">
      <c r="A1353" s="98"/>
      <c r="B1353" s="87"/>
      <c r="C1353" s="99"/>
      <c r="D1353" s="87"/>
      <c r="E1353" s="99"/>
      <c r="F1353" s="100"/>
      <c r="G1353" s="100"/>
      <c r="H1353" s="100"/>
      <c r="I1353" s="101"/>
      <c r="J1353" s="106"/>
      <c r="K1353" s="103"/>
      <c r="L1353" s="104"/>
      <c r="M1353" s="100"/>
      <c r="N1353" s="100"/>
      <c r="O1353" s="100"/>
      <c r="P1353" s="100"/>
      <c r="Q1353" s="105"/>
      <c r="R1353" s="105"/>
      <c r="S1353" s="169"/>
      <c r="U1353" s="188"/>
    </row>
    <row r="1354" spans="1:21" ht="25.5">
      <c r="A1354" s="67" t="s">
        <v>10448</v>
      </c>
      <c r="B1354" s="87" t="s">
        <v>10448</v>
      </c>
      <c r="C1354" s="88" t="s">
        <v>12977</v>
      </c>
      <c r="D1354" s="89"/>
      <c r="E1354" s="90"/>
      <c r="F1354" s="91" t="s">
        <v>12978</v>
      </c>
      <c r="G1354" s="90"/>
      <c r="H1354" s="90"/>
      <c r="I1354" s="92"/>
      <c r="J1354" s="93"/>
      <c r="K1354" s="94"/>
      <c r="L1354" s="149" t="str">
        <f>HYPERLINK("[#]DatatypeListedValues!B6344:H6344","Enumeration")</f>
        <v>Enumeration</v>
      </c>
      <c r="M1354" s="107" t="b">
        <v>0</v>
      </c>
      <c r="N1354" s="90"/>
      <c r="O1354" s="95"/>
      <c r="P1354" s="90"/>
      <c r="Q1354" s="96"/>
      <c r="R1354" s="97"/>
      <c r="S1354" s="169"/>
      <c r="T1354" s="300" t="str">
        <f>CONCATENATE([1]Cover!$D$6,"fdd/view?i=",S1354)</f>
        <v>https://www.dgiwg.org/FAD/fdd/view?i=</v>
      </c>
      <c r="U1354" s="188"/>
    </row>
    <row r="1355" spans="1:21" ht="2.1" customHeight="1">
      <c r="A1355" s="98"/>
      <c r="B1355" s="87"/>
      <c r="C1355" s="99"/>
      <c r="D1355" s="87"/>
      <c r="E1355" s="99"/>
      <c r="F1355" s="100"/>
      <c r="G1355" s="100"/>
      <c r="H1355" s="100"/>
      <c r="I1355" s="101"/>
      <c r="J1355" s="106"/>
      <c r="K1355" s="103"/>
      <c r="L1355" s="104"/>
      <c r="M1355" s="100"/>
      <c r="N1355" s="100"/>
      <c r="O1355" s="100"/>
      <c r="P1355" s="100"/>
      <c r="Q1355" s="105"/>
      <c r="R1355" s="105"/>
      <c r="S1355" s="169"/>
      <c r="U1355" s="188"/>
    </row>
    <row r="1356" spans="1:21" ht="25.5">
      <c r="A1356" s="67" t="s">
        <v>10470</v>
      </c>
      <c r="B1356" s="87" t="s">
        <v>10470</v>
      </c>
      <c r="C1356" s="88" t="s">
        <v>12979</v>
      </c>
      <c r="D1356" s="89"/>
      <c r="E1356" s="90"/>
      <c r="F1356" s="91" t="s">
        <v>12980</v>
      </c>
      <c r="G1356" s="90"/>
      <c r="H1356" s="90"/>
      <c r="I1356" s="92"/>
      <c r="J1356" s="93"/>
      <c r="K1356" s="94"/>
      <c r="L1356" s="149" t="str">
        <f>HYPERLINK("[#]DatatypeListedValues!B6346:H6346","Enumeration")</f>
        <v>Enumeration</v>
      </c>
      <c r="M1356" s="91" t="b">
        <v>1</v>
      </c>
      <c r="N1356" s="90"/>
      <c r="O1356" s="95"/>
      <c r="P1356" s="90"/>
      <c r="Q1356" s="96"/>
      <c r="R1356" s="97"/>
      <c r="S1356" s="169"/>
      <c r="T1356" s="300" t="str">
        <f>CONCATENATE([1]Cover!$D$6,"fdd/view?i=",S1356)</f>
        <v>https://www.dgiwg.org/FAD/fdd/view?i=</v>
      </c>
      <c r="U1356" s="188"/>
    </row>
    <row r="1357" spans="1:21" ht="2.1" customHeight="1">
      <c r="A1357" s="98"/>
      <c r="B1357" s="87"/>
      <c r="C1357" s="99"/>
      <c r="D1357" s="87"/>
      <c r="E1357" s="99"/>
      <c r="F1357" s="100"/>
      <c r="G1357" s="100"/>
      <c r="H1357" s="100"/>
      <c r="I1357" s="101"/>
      <c r="J1357" s="106"/>
      <c r="K1357" s="103"/>
      <c r="L1357" s="104"/>
      <c r="M1357" s="100"/>
      <c r="N1357" s="100"/>
      <c r="O1357" s="100"/>
      <c r="P1357" s="100"/>
      <c r="Q1357" s="105"/>
      <c r="R1357" s="105"/>
      <c r="S1357" s="169"/>
      <c r="U1357" s="188"/>
    </row>
    <row r="1358" spans="1:21" ht="38.25">
      <c r="A1358" s="67" t="s">
        <v>10475</v>
      </c>
      <c r="B1358" s="87" t="s">
        <v>10475</v>
      </c>
      <c r="C1358" s="88" t="s">
        <v>12981</v>
      </c>
      <c r="D1358" s="89"/>
      <c r="E1358" s="90"/>
      <c r="F1358" s="91" t="s">
        <v>12982</v>
      </c>
      <c r="G1358" s="90"/>
      <c r="H1358" s="91" t="s">
        <v>11426</v>
      </c>
      <c r="I1358" s="92"/>
      <c r="J1358" s="93"/>
      <c r="K1358" s="94"/>
      <c r="L1358" s="91" t="s">
        <v>11425</v>
      </c>
      <c r="M1358" s="90"/>
      <c r="N1358" s="91">
        <v>80</v>
      </c>
      <c r="O1358" s="108" t="b">
        <v>0</v>
      </c>
      <c r="P1358" s="91" t="s">
        <v>12983</v>
      </c>
      <c r="Q1358" s="96"/>
      <c r="R1358" s="97"/>
      <c r="S1358" s="169"/>
      <c r="T1358" s="300" t="str">
        <f>CONCATENATE([1]Cover!$D$6,"fdd/view?i=",S1358)</f>
        <v>https://www.dgiwg.org/FAD/fdd/view?i=</v>
      </c>
      <c r="U1358" s="188"/>
    </row>
    <row r="1359" spans="1:21" ht="2.1" customHeight="1">
      <c r="A1359" s="98"/>
      <c r="B1359" s="87"/>
      <c r="C1359" s="99"/>
      <c r="D1359" s="87"/>
      <c r="E1359" s="99"/>
      <c r="F1359" s="100"/>
      <c r="G1359" s="100"/>
      <c r="H1359" s="100"/>
      <c r="I1359" s="101"/>
      <c r="J1359" s="106"/>
      <c r="K1359" s="103"/>
      <c r="L1359" s="104"/>
      <c r="M1359" s="100"/>
      <c r="N1359" s="100"/>
      <c r="O1359" s="100"/>
      <c r="P1359" s="100"/>
      <c r="Q1359" s="105"/>
      <c r="R1359" s="105"/>
      <c r="S1359" s="169"/>
      <c r="U1359" s="188"/>
    </row>
    <row r="1360" spans="1:21">
      <c r="A1360" s="67" t="s">
        <v>10480</v>
      </c>
      <c r="B1360" s="87" t="s">
        <v>10480</v>
      </c>
      <c r="C1360" s="88" t="s">
        <v>12984</v>
      </c>
      <c r="D1360" s="89"/>
      <c r="E1360" s="90"/>
      <c r="F1360" s="91" t="s">
        <v>12985</v>
      </c>
      <c r="G1360" s="90"/>
      <c r="H1360" s="90"/>
      <c r="I1360" s="92"/>
      <c r="J1360" s="93"/>
      <c r="K1360" s="94"/>
      <c r="L1360" s="149" t="str">
        <f>HYPERLINK("[#]DatatypeListedValues!B6349:H6349","Enumeration")</f>
        <v>Enumeration</v>
      </c>
      <c r="M1360" s="107" t="b">
        <v>0</v>
      </c>
      <c r="N1360" s="90"/>
      <c r="O1360" s="95"/>
      <c r="P1360" s="90"/>
      <c r="Q1360" s="96"/>
      <c r="R1360" s="97"/>
      <c r="S1360" s="169"/>
      <c r="T1360" s="300" t="str">
        <f>CONCATENATE([1]Cover!$D$6,"fdd/view?i=",S1360)</f>
        <v>https://www.dgiwg.org/FAD/fdd/view?i=</v>
      </c>
      <c r="U1360" s="188"/>
    </row>
    <row r="1361" spans="1:21" ht="2.1" customHeight="1">
      <c r="A1361" s="98"/>
      <c r="B1361" s="87"/>
      <c r="C1361" s="99"/>
      <c r="D1361" s="87"/>
      <c r="E1361" s="99"/>
      <c r="F1361" s="100"/>
      <c r="G1361" s="100"/>
      <c r="H1361" s="100"/>
      <c r="I1361" s="101"/>
      <c r="J1361" s="106"/>
      <c r="K1361" s="103"/>
      <c r="L1361" s="104"/>
      <c r="M1361" s="100"/>
      <c r="N1361" s="100"/>
      <c r="O1361" s="100"/>
      <c r="P1361" s="100"/>
      <c r="Q1361" s="105"/>
      <c r="R1361" s="105"/>
      <c r="S1361" s="169"/>
      <c r="U1361" s="188"/>
    </row>
    <row r="1362" spans="1:21">
      <c r="A1362" s="67" t="s">
        <v>10485</v>
      </c>
      <c r="B1362" s="87" t="s">
        <v>10485</v>
      </c>
      <c r="C1362" s="88" t="s">
        <v>12986</v>
      </c>
      <c r="D1362" s="89"/>
      <c r="E1362" s="90"/>
      <c r="F1362" s="91" t="s">
        <v>12987</v>
      </c>
      <c r="G1362" s="90"/>
      <c r="H1362" s="90"/>
      <c r="I1362" s="92"/>
      <c r="J1362" s="93"/>
      <c r="K1362" s="94"/>
      <c r="L1362" s="149" t="str">
        <f>HYPERLINK("[#]DatatypeListedValues!B6352:H6352","Enumeration")</f>
        <v>Enumeration</v>
      </c>
      <c r="M1362" s="107" t="b">
        <v>0</v>
      </c>
      <c r="N1362" s="90"/>
      <c r="O1362" s="95"/>
      <c r="P1362" s="90"/>
      <c r="Q1362" s="96"/>
      <c r="R1362" s="97"/>
      <c r="S1362" s="169"/>
      <c r="T1362" s="300" t="str">
        <f>CONCATENATE([1]Cover!$D$6,"fdd/view?i=",S1362)</f>
        <v>https://www.dgiwg.org/FAD/fdd/view?i=</v>
      </c>
      <c r="U1362" s="188"/>
    </row>
    <row r="1363" spans="1:21" ht="2.1" customHeight="1">
      <c r="A1363" s="98"/>
      <c r="B1363" s="87"/>
      <c r="C1363" s="99"/>
      <c r="D1363" s="87"/>
      <c r="E1363" s="99"/>
      <c r="F1363" s="100"/>
      <c r="G1363" s="100"/>
      <c r="H1363" s="100"/>
      <c r="I1363" s="101"/>
      <c r="J1363" s="106"/>
      <c r="K1363" s="103"/>
      <c r="L1363" s="104"/>
      <c r="M1363" s="100"/>
      <c r="N1363" s="100"/>
      <c r="O1363" s="100"/>
      <c r="P1363" s="100"/>
      <c r="Q1363" s="105"/>
      <c r="R1363" s="105"/>
      <c r="S1363" s="169"/>
      <c r="U1363" s="188"/>
    </row>
    <row r="1364" spans="1:21">
      <c r="A1364" s="67" t="s">
        <v>10490</v>
      </c>
      <c r="B1364" s="87" t="s">
        <v>10490</v>
      </c>
      <c r="C1364" s="88" t="s">
        <v>12988</v>
      </c>
      <c r="D1364" s="89"/>
      <c r="E1364" s="90"/>
      <c r="F1364" s="91" t="s">
        <v>12989</v>
      </c>
      <c r="G1364" s="90"/>
      <c r="H1364" s="90"/>
      <c r="I1364" s="92"/>
      <c r="J1364" s="93"/>
      <c r="K1364" s="94"/>
      <c r="L1364" s="149" t="str">
        <f>HYPERLINK("[#]DatatypeListedValues!B6362:H6362","Enumeration")</f>
        <v>Enumeration</v>
      </c>
      <c r="M1364" s="107" t="b">
        <v>0</v>
      </c>
      <c r="N1364" s="90"/>
      <c r="O1364" s="95"/>
      <c r="P1364" s="90"/>
      <c r="Q1364" s="96"/>
      <c r="R1364" s="97"/>
      <c r="S1364" s="169"/>
      <c r="T1364" s="300" t="str">
        <f>CONCATENATE([1]Cover!$D$6,"fdd/view?i=",S1364)</f>
        <v>https://www.dgiwg.org/FAD/fdd/view?i=</v>
      </c>
      <c r="U1364" s="188"/>
    </row>
    <row r="1365" spans="1:21" ht="2.1" customHeight="1">
      <c r="A1365" s="98"/>
      <c r="B1365" s="87"/>
      <c r="C1365" s="99"/>
      <c r="D1365" s="87"/>
      <c r="E1365" s="99"/>
      <c r="F1365" s="100"/>
      <c r="G1365" s="100"/>
      <c r="H1365" s="100"/>
      <c r="I1365" s="101"/>
      <c r="J1365" s="106"/>
      <c r="K1365" s="103"/>
      <c r="L1365" s="104"/>
      <c r="M1365" s="100"/>
      <c r="N1365" s="100"/>
      <c r="O1365" s="100"/>
      <c r="P1365" s="100"/>
      <c r="Q1365" s="105"/>
      <c r="R1365" s="105"/>
      <c r="S1365" s="169"/>
      <c r="U1365" s="188"/>
    </row>
    <row r="1366" spans="1:21" ht="25.5">
      <c r="A1366" s="67" t="s">
        <v>10504</v>
      </c>
      <c r="B1366" s="87" t="s">
        <v>10504</v>
      </c>
      <c r="C1366" s="88" t="s">
        <v>12990</v>
      </c>
      <c r="D1366" s="89"/>
      <c r="E1366" s="90"/>
      <c r="F1366" s="91" t="s">
        <v>12991</v>
      </c>
      <c r="G1366" s="90"/>
      <c r="H1366" s="90"/>
      <c r="I1366" s="92"/>
      <c r="J1366" s="93"/>
      <c r="K1366" s="94"/>
      <c r="L1366" s="149" t="str">
        <f>HYPERLINK("[#]DatatypeListedValues!B6384:H6384","Enumeration")</f>
        <v>Enumeration</v>
      </c>
      <c r="M1366" s="107" t="b">
        <v>0</v>
      </c>
      <c r="N1366" s="90"/>
      <c r="O1366" s="95"/>
      <c r="P1366" s="90"/>
      <c r="Q1366" s="96"/>
      <c r="R1366" s="97"/>
      <c r="S1366" s="169"/>
      <c r="T1366" s="300" t="str">
        <f>CONCATENATE([1]Cover!$D$6,"fdd/view?i=",S1366)</f>
        <v>https://www.dgiwg.org/FAD/fdd/view?i=</v>
      </c>
      <c r="U1366" s="188"/>
    </row>
    <row r="1367" spans="1:21" ht="2.1" customHeight="1">
      <c r="A1367" s="98"/>
      <c r="B1367" s="87"/>
      <c r="C1367" s="99"/>
      <c r="D1367" s="87"/>
      <c r="E1367" s="99"/>
      <c r="F1367" s="100"/>
      <c r="G1367" s="100"/>
      <c r="H1367" s="100"/>
      <c r="I1367" s="101"/>
      <c r="J1367" s="106"/>
      <c r="K1367" s="103"/>
      <c r="L1367" s="104"/>
      <c r="M1367" s="100"/>
      <c r="N1367" s="100"/>
      <c r="O1367" s="100"/>
      <c r="P1367" s="100"/>
      <c r="Q1367" s="105"/>
      <c r="R1367" s="105"/>
      <c r="S1367" s="169"/>
      <c r="U1367" s="188"/>
    </row>
    <row r="1368" spans="1:21" ht="25.5">
      <c r="A1368" s="67" t="s">
        <v>10510</v>
      </c>
      <c r="B1368" s="87" t="s">
        <v>10510</v>
      </c>
      <c r="C1368" s="88" t="s">
        <v>12992</v>
      </c>
      <c r="D1368" s="89"/>
      <c r="E1368" s="90"/>
      <c r="F1368" s="91" t="s">
        <v>12993</v>
      </c>
      <c r="G1368" s="90"/>
      <c r="H1368" s="90"/>
      <c r="I1368" s="92"/>
      <c r="J1368" s="93"/>
      <c r="K1368" s="94"/>
      <c r="L1368" s="149" t="str">
        <f>HYPERLINK("[#]DatatypeListedValues!B6395:H6395","Enumeration")</f>
        <v>Enumeration</v>
      </c>
      <c r="M1368" s="91" t="b">
        <v>1</v>
      </c>
      <c r="N1368" s="90"/>
      <c r="O1368" s="95"/>
      <c r="P1368" s="90"/>
      <c r="Q1368" s="96"/>
      <c r="R1368" s="97"/>
      <c r="S1368" s="169"/>
      <c r="T1368" s="300" t="str">
        <f>CONCATENATE([1]Cover!$D$6,"fdd/view?i=",S1368)</f>
        <v>https://www.dgiwg.org/FAD/fdd/view?i=</v>
      </c>
      <c r="U1368" s="188"/>
    </row>
    <row r="1369" spans="1:21" ht="2.1" customHeight="1">
      <c r="A1369" s="98"/>
      <c r="B1369" s="87"/>
      <c r="C1369" s="99"/>
      <c r="D1369" s="87"/>
      <c r="E1369" s="99"/>
      <c r="F1369" s="100"/>
      <c r="G1369" s="100"/>
      <c r="H1369" s="100"/>
      <c r="I1369" s="101"/>
      <c r="J1369" s="106"/>
      <c r="K1369" s="103"/>
      <c r="L1369" s="104"/>
      <c r="M1369" s="100"/>
      <c r="N1369" s="100"/>
      <c r="O1369" s="100"/>
      <c r="P1369" s="100"/>
      <c r="Q1369" s="105"/>
      <c r="R1369" s="105"/>
      <c r="S1369" s="169"/>
      <c r="U1369" s="188"/>
    </row>
    <row r="1370" spans="1:21">
      <c r="A1370" s="67" t="s">
        <v>10540</v>
      </c>
      <c r="B1370" s="87" t="s">
        <v>10540</v>
      </c>
      <c r="C1370" s="88" t="s">
        <v>12994</v>
      </c>
      <c r="D1370" s="89"/>
      <c r="E1370" s="90"/>
      <c r="F1370" s="91" t="s">
        <v>12995</v>
      </c>
      <c r="G1370" s="90"/>
      <c r="H1370" s="90"/>
      <c r="I1370" s="92"/>
      <c r="J1370" s="93"/>
      <c r="K1370" s="94"/>
      <c r="L1370" s="149" t="str">
        <f>HYPERLINK("[#]DatatypeListedValues!B6747:H6747","Enumeration")</f>
        <v>Enumeration</v>
      </c>
      <c r="M1370" s="107" t="b">
        <v>0</v>
      </c>
      <c r="N1370" s="90"/>
      <c r="O1370" s="95"/>
      <c r="P1370" s="90"/>
      <c r="Q1370" s="96"/>
      <c r="R1370" s="97"/>
      <c r="S1370" s="169"/>
      <c r="T1370" s="300" t="str">
        <f>CONCATENATE([1]Cover!$D$6,"fdd/view?i=",S1370)</f>
        <v>https://www.dgiwg.org/FAD/fdd/view?i=</v>
      </c>
      <c r="U1370" s="188"/>
    </row>
    <row r="1371" spans="1:21" ht="2.1" customHeight="1">
      <c r="A1371" s="98"/>
      <c r="B1371" s="87"/>
      <c r="C1371" s="99"/>
      <c r="D1371" s="87"/>
      <c r="E1371" s="99"/>
      <c r="F1371" s="100"/>
      <c r="G1371" s="100"/>
      <c r="H1371" s="100"/>
      <c r="I1371" s="101"/>
      <c r="J1371" s="106"/>
      <c r="K1371" s="103"/>
      <c r="L1371" s="104"/>
      <c r="M1371" s="100"/>
      <c r="N1371" s="100"/>
      <c r="O1371" s="100"/>
      <c r="P1371" s="100"/>
      <c r="Q1371" s="105"/>
      <c r="R1371" s="105"/>
      <c r="S1371" s="169"/>
      <c r="U1371" s="188"/>
    </row>
    <row r="1372" spans="1:21" ht="25.5">
      <c r="A1372" s="67" t="s">
        <v>10545</v>
      </c>
      <c r="B1372" s="87" t="s">
        <v>10545</v>
      </c>
      <c r="C1372" s="88" t="s">
        <v>12996</v>
      </c>
      <c r="D1372" s="89"/>
      <c r="E1372" s="90"/>
      <c r="F1372" s="91" t="s">
        <v>12997</v>
      </c>
      <c r="G1372" s="90"/>
      <c r="H1372" s="90"/>
      <c r="I1372" s="92"/>
      <c r="J1372" s="93"/>
      <c r="K1372" s="94"/>
      <c r="L1372" s="149" t="str">
        <f>HYPERLINK("[#]DatatypeListedValues!B6760:H6760","Enumeration")</f>
        <v>Enumeration</v>
      </c>
      <c r="M1372" s="107" t="b">
        <v>0</v>
      </c>
      <c r="N1372" s="90"/>
      <c r="O1372" s="95"/>
      <c r="P1372" s="90"/>
      <c r="Q1372" s="96"/>
      <c r="R1372" s="97"/>
      <c r="S1372" s="169"/>
      <c r="T1372" s="300" t="str">
        <f>CONCATENATE([1]Cover!$D$6,"fdd/view?i=",S1372)</f>
        <v>https://www.dgiwg.org/FAD/fdd/view?i=</v>
      </c>
      <c r="U1372" s="188"/>
    </row>
    <row r="1373" spans="1:21" ht="2.1" customHeight="1">
      <c r="A1373" s="98"/>
      <c r="B1373" s="87"/>
      <c r="C1373" s="99"/>
      <c r="D1373" s="87"/>
      <c r="E1373" s="99"/>
      <c r="F1373" s="100"/>
      <c r="G1373" s="100"/>
      <c r="H1373" s="100"/>
      <c r="I1373" s="101"/>
      <c r="J1373" s="106"/>
      <c r="K1373" s="103"/>
      <c r="L1373" s="104"/>
      <c r="M1373" s="100"/>
      <c r="N1373" s="100"/>
      <c r="O1373" s="100"/>
      <c r="P1373" s="100"/>
      <c r="Q1373" s="105"/>
      <c r="R1373" s="105"/>
      <c r="S1373" s="169"/>
      <c r="U1373" s="188"/>
    </row>
    <row r="1374" spans="1:21" ht="25.5">
      <c r="A1374" s="63" t="s">
        <v>11847</v>
      </c>
      <c r="B1374" s="329" t="s">
        <v>11847</v>
      </c>
      <c r="C1374" s="326" t="s">
        <v>11848</v>
      </c>
      <c r="D1374" s="109"/>
      <c r="E1374" s="110"/>
      <c r="F1374" s="111" t="s">
        <v>12998</v>
      </c>
      <c r="G1374" s="110"/>
      <c r="H1374" s="110"/>
      <c r="I1374" s="112"/>
      <c r="J1374" s="113"/>
      <c r="K1374" s="114"/>
      <c r="L1374" s="115" t="s">
        <v>11429</v>
      </c>
      <c r="M1374" s="110"/>
      <c r="N1374" s="110"/>
      <c r="O1374" s="116"/>
      <c r="P1374" s="110"/>
      <c r="Q1374" s="117"/>
      <c r="R1374" s="118"/>
      <c r="S1374" s="169"/>
      <c r="T1374" s="300" t="str">
        <f>CONCATENATE([1]Cover!$D$6,"fdd/view?i=",S1374)</f>
        <v>https://www.dgiwg.org/FAD/fdd/view?i=</v>
      </c>
      <c r="U1374" s="188"/>
    </row>
    <row r="1375" spans="1:21" ht="25.5">
      <c r="A1375" s="64" t="s">
        <v>33728</v>
      </c>
      <c r="B1375" s="330"/>
      <c r="C1375" s="327"/>
      <c r="D1375" s="132" t="s">
        <v>12999</v>
      </c>
      <c r="E1375" s="138" t="s">
        <v>13000</v>
      </c>
      <c r="F1375" s="70" t="s">
        <v>13001</v>
      </c>
      <c r="G1375" s="68"/>
      <c r="H1375" s="68"/>
      <c r="I1375" s="133" t="s">
        <v>4643</v>
      </c>
      <c r="J1375" s="134" t="s">
        <v>11451</v>
      </c>
      <c r="K1375" s="135" t="s">
        <v>6543</v>
      </c>
      <c r="L1375" s="150" t="str">
        <f>HYPERLINK("[#]Datatypes!B1396:L1396","Text")</f>
        <v>Text</v>
      </c>
      <c r="M1375" s="122"/>
      <c r="N1375" s="122"/>
      <c r="O1375" s="122"/>
      <c r="P1375" s="122"/>
      <c r="Q1375" s="123"/>
      <c r="R1375" s="124"/>
      <c r="S1375" s="169"/>
      <c r="U1375" s="188"/>
    </row>
    <row r="1376" spans="1:21" ht="25.5">
      <c r="A1376" s="65" t="s">
        <v>33729</v>
      </c>
      <c r="B1376" s="331"/>
      <c r="C1376" s="328"/>
      <c r="D1376" s="137" t="s">
        <v>13002</v>
      </c>
      <c r="E1376" s="140" t="s">
        <v>13003</v>
      </c>
      <c r="F1376" s="66" t="s">
        <v>13004</v>
      </c>
      <c r="G1376" s="69"/>
      <c r="H1376" s="69"/>
      <c r="I1376" s="126" t="s">
        <v>4643</v>
      </c>
      <c r="J1376" s="127" t="s">
        <v>11451</v>
      </c>
      <c r="K1376" s="128" t="s">
        <v>6543</v>
      </c>
      <c r="L1376" s="152" t="str">
        <f>HYPERLINK("[#]Datatypes!B1396:L1396","Text")</f>
        <v>Text</v>
      </c>
      <c r="M1376" s="129"/>
      <c r="N1376" s="129"/>
      <c r="O1376" s="129"/>
      <c r="P1376" s="129"/>
      <c r="Q1376" s="130"/>
      <c r="R1376" s="131"/>
      <c r="S1376" s="169"/>
      <c r="T1376" s="300" t="str">
        <f>CONCATENATE([1]Cover!$D$6,"fdd/view?i=",S1376)</f>
        <v>https://www.dgiwg.org/FAD/fdd/view?i=</v>
      </c>
      <c r="U1376" s="188"/>
    </row>
    <row r="1377" spans="1:21" ht="2.1" customHeight="1">
      <c r="A1377" s="98"/>
      <c r="B1377" s="87"/>
      <c r="C1377" s="99"/>
      <c r="D1377" s="87"/>
      <c r="E1377" s="99"/>
      <c r="F1377" s="100"/>
      <c r="G1377" s="100"/>
      <c r="H1377" s="100"/>
      <c r="I1377" s="101"/>
      <c r="J1377" s="106"/>
      <c r="K1377" s="103"/>
      <c r="L1377" s="104"/>
      <c r="M1377" s="100"/>
      <c r="N1377" s="100"/>
      <c r="O1377" s="100"/>
      <c r="P1377" s="100"/>
      <c r="Q1377" s="105"/>
      <c r="R1377" s="105"/>
      <c r="S1377" s="169"/>
      <c r="U1377" s="188"/>
    </row>
    <row r="1378" spans="1:21">
      <c r="A1378" s="67" t="s">
        <v>10550</v>
      </c>
      <c r="B1378" s="87" t="s">
        <v>10550</v>
      </c>
      <c r="C1378" s="88" t="s">
        <v>13005</v>
      </c>
      <c r="D1378" s="89"/>
      <c r="E1378" s="90"/>
      <c r="F1378" s="91" t="s">
        <v>13006</v>
      </c>
      <c r="G1378" s="90"/>
      <c r="H1378" s="90"/>
      <c r="I1378" s="92"/>
      <c r="J1378" s="93"/>
      <c r="K1378" s="94"/>
      <c r="L1378" s="149" t="str">
        <f>HYPERLINK("[#]DatatypeListedValues!B6766:H6766","Enumeration")</f>
        <v>Enumeration</v>
      </c>
      <c r="M1378" s="107" t="b">
        <v>0</v>
      </c>
      <c r="N1378" s="90"/>
      <c r="O1378" s="95"/>
      <c r="P1378" s="90"/>
      <c r="Q1378" s="96"/>
      <c r="R1378" s="97"/>
      <c r="S1378" s="169"/>
      <c r="T1378" s="300" t="str">
        <f>CONCATENATE([1]Cover!$D$6,"fdd/view?i=",S1378)</f>
        <v>https://www.dgiwg.org/FAD/fdd/view?i=</v>
      </c>
      <c r="U1378" s="188"/>
    </row>
    <row r="1379" spans="1:21" ht="2.1" customHeight="1">
      <c r="A1379" s="98"/>
      <c r="B1379" s="87"/>
      <c r="C1379" s="99"/>
      <c r="D1379" s="87"/>
      <c r="E1379" s="99"/>
      <c r="F1379" s="100"/>
      <c r="G1379" s="100"/>
      <c r="H1379" s="100"/>
      <c r="I1379" s="101"/>
      <c r="J1379" s="106"/>
      <c r="K1379" s="103"/>
      <c r="L1379" s="104"/>
      <c r="M1379" s="100"/>
      <c r="N1379" s="100"/>
      <c r="O1379" s="100"/>
      <c r="P1379" s="100"/>
      <c r="Q1379" s="105"/>
      <c r="R1379" s="105"/>
      <c r="S1379" s="169"/>
      <c r="U1379" s="188"/>
    </row>
    <row r="1380" spans="1:21" ht="38.25">
      <c r="A1380" s="67" t="s">
        <v>10557</v>
      </c>
      <c r="B1380" s="87" t="s">
        <v>10557</v>
      </c>
      <c r="C1380" s="88" t="s">
        <v>13007</v>
      </c>
      <c r="D1380" s="89"/>
      <c r="E1380" s="90"/>
      <c r="F1380" s="91" t="s">
        <v>13008</v>
      </c>
      <c r="G1380" s="90"/>
      <c r="H1380" s="91" t="s">
        <v>11426</v>
      </c>
      <c r="I1380" s="92"/>
      <c r="J1380" s="93"/>
      <c r="K1380" s="94"/>
      <c r="L1380" s="91" t="s">
        <v>11425</v>
      </c>
      <c r="M1380" s="90"/>
      <c r="N1380" s="108" t="s">
        <v>11810</v>
      </c>
      <c r="O1380" s="91" t="b">
        <v>1</v>
      </c>
      <c r="P1380" s="91" t="s">
        <v>13009</v>
      </c>
      <c r="Q1380" s="96"/>
      <c r="R1380" s="97"/>
      <c r="S1380" s="169"/>
      <c r="T1380" s="300" t="str">
        <f>CONCATENATE([1]Cover!$D$6,"fdd/view?i=",S1380)</f>
        <v>https://www.dgiwg.org/FAD/fdd/view?i=</v>
      </c>
      <c r="U1380" s="188"/>
    </row>
    <row r="1381" spans="1:21" ht="2.1" customHeight="1">
      <c r="A1381" s="98"/>
      <c r="B1381" s="87"/>
      <c r="C1381" s="99"/>
      <c r="D1381" s="87"/>
      <c r="E1381" s="99"/>
      <c r="F1381" s="100"/>
      <c r="G1381" s="100"/>
      <c r="H1381" s="100"/>
      <c r="I1381" s="101"/>
      <c r="J1381" s="106"/>
      <c r="K1381" s="103"/>
      <c r="L1381" s="104"/>
      <c r="M1381" s="100"/>
      <c r="N1381" s="100"/>
      <c r="O1381" s="100"/>
      <c r="P1381" s="100"/>
      <c r="Q1381" s="105"/>
      <c r="R1381" s="105"/>
      <c r="S1381" s="169"/>
      <c r="U1381" s="188"/>
    </row>
    <row r="1382" spans="1:21" ht="25.5">
      <c r="A1382" s="67" t="s">
        <v>10567</v>
      </c>
      <c r="B1382" s="87" t="s">
        <v>10567</v>
      </c>
      <c r="C1382" s="88" t="s">
        <v>13010</v>
      </c>
      <c r="D1382" s="89"/>
      <c r="E1382" s="90"/>
      <c r="F1382" s="91" t="s">
        <v>13011</v>
      </c>
      <c r="G1382" s="90"/>
      <c r="H1382" s="90"/>
      <c r="I1382" s="92"/>
      <c r="J1382" s="93"/>
      <c r="K1382" s="94"/>
      <c r="L1382" s="149" t="str">
        <f>HYPERLINK("[#]DatatypeListedValues!B6769:H6769","Enumeration")</f>
        <v>Enumeration</v>
      </c>
      <c r="M1382" s="107" t="b">
        <v>0</v>
      </c>
      <c r="N1382" s="90"/>
      <c r="O1382" s="95"/>
      <c r="P1382" s="90"/>
      <c r="Q1382" s="96"/>
      <c r="R1382" s="97"/>
      <c r="S1382" s="169"/>
      <c r="T1382" s="300" t="str">
        <f>CONCATENATE([1]Cover!$D$6,"fdd/view?i=",S1382)</f>
        <v>https://www.dgiwg.org/FAD/fdd/view?i=</v>
      </c>
      <c r="U1382" s="188"/>
    </row>
    <row r="1383" spans="1:21" ht="2.1" customHeight="1">
      <c r="A1383" s="98"/>
      <c r="B1383" s="87"/>
      <c r="C1383" s="99"/>
      <c r="D1383" s="87"/>
      <c r="E1383" s="99"/>
      <c r="F1383" s="100"/>
      <c r="G1383" s="100"/>
      <c r="H1383" s="100"/>
      <c r="I1383" s="101"/>
      <c r="J1383" s="106"/>
      <c r="K1383" s="103"/>
      <c r="L1383" s="104"/>
      <c r="M1383" s="100"/>
      <c r="N1383" s="100"/>
      <c r="O1383" s="100"/>
      <c r="P1383" s="100"/>
      <c r="Q1383" s="105"/>
      <c r="R1383" s="105"/>
      <c r="S1383" s="169"/>
      <c r="U1383" s="188"/>
    </row>
    <row r="1384" spans="1:21" ht="165.75">
      <c r="A1384" s="67" t="s">
        <v>10573</v>
      </c>
      <c r="B1384" s="87" t="s">
        <v>10573</v>
      </c>
      <c r="C1384" s="88" t="s">
        <v>13012</v>
      </c>
      <c r="D1384" s="89"/>
      <c r="E1384" s="90"/>
      <c r="F1384" s="91" t="s">
        <v>13013</v>
      </c>
      <c r="G1384" s="90"/>
      <c r="H1384" s="91" t="s">
        <v>11426</v>
      </c>
      <c r="I1384" s="92"/>
      <c r="J1384" s="93"/>
      <c r="K1384" s="94"/>
      <c r="L1384" s="91" t="s">
        <v>11425</v>
      </c>
      <c r="M1384" s="90"/>
      <c r="N1384" s="91">
        <v>6</v>
      </c>
      <c r="O1384" s="108" t="b">
        <v>0</v>
      </c>
      <c r="P1384" s="91" t="s">
        <v>13014</v>
      </c>
      <c r="Q1384" s="96"/>
      <c r="R1384" s="97"/>
      <c r="S1384" s="169"/>
      <c r="T1384" s="300" t="str">
        <f>CONCATENATE([1]Cover!$D$6,"fdd/view?i=",S1384)</f>
        <v>https://www.dgiwg.org/FAD/fdd/view?i=</v>
      </c>
      <c r="U1384" s="188"/>
    </row>
    <row r="1385" spans="1:21" ht="2.1" customHeight="1">
      <c r="A1385" s="98"/>
      <c r="B1385" s="87"/>
      <c r="C1385" s="99"/>
      <c r="D1385" s="87"/>
      <c r="E1385" s="99"/>
      <c r="F1385" s="100"/>
      <c r="G1385" s="100"/>
      <c r="H1385" s="100"/>
      <c r="I1385" s="101"/>
      <c r="J1385" s="106"/>
      <c r="K1385" s="103"/>
      <c r="L1385" s="104"/>
      <c r="M1385" s="100"/>
      <c r="N1385" s="100"/>
      <c r="O1385" s="100"/>
      <c r="P1385" s="100"/>
      <c r="Q1385" s="105"/>
      <c r="R1385" s="105"/>
      <c r="S1385" s="169"/>
      <c r="U1385" s="188"/>
    </row>
    <row r="1386" spans="1:21" ht="63.75">
      <c r="A1386" s="67" t="s">
        <v>10579</v>
      </c>
      <c r="B1386" s="87" t="s">
        <v>10579</v>
      </c>
      <c r="C1386" s="88" t="s">
        <v>13015</v>
      </c>
      <c r="D1386" s="89"/>
      <c r="E1386" s="90"/>
      <c r="F1386" s="91" t="s">
        <v>13016</v>
      </c>
      <c r="G1386" s="90"/>
      <c r="H1386" s="91" t="s">
        <v>11426</v>
      </c>
      <c r="I1386" s="92"/>
      <c r="J1386" s="93"/>
      <c r="K1386" s="94"/>
      <c r="L1386" s="91" t="s">
        <v>11425</v>
      </c>
      <c r="M1386" s="90"/>
      <c r="N1386" s="91">
        <v>21</v>
      </c>
      <c r="O1386" s="108" t="b">
        <v>0</v>
      </c>
      <c r="P1386" s="91" t="s">
        <v>13017</v>
      </c>
      <c r="Q1386" s="96"/>
      <c r="R1386" s="97"/>
      <c r="S1386" s="169"/>
      <c r="T1386" s="300" t="str">
        <f>CONCATENATE([1]Cover!$D$6,"fdd/view?i=",S1386)</f>
        <v>https://www.dgiwg.org/FAD/fdd/view?i=</v>
      </c>
      <c r="U1386" s="188"/>
    </row>
    <row r="1387" spans="1:21" ht="2.1" customHeight="1">
      <c r="A1387" s="98"/>
      <c r="B1387" s="87"/>
      <c r="C1387" s="99"/>
      <c r="D1387" s="87"/>
      <c r="E1387" s="99"/>
      <c r="F1387" s="100"/>
      <c r="G1387" s="100"/>
      <c r="H1387" s="100"/>
      <c r="I1387" s="101"/>
      <c r="J1387" s="106"/>
      <c r="K1387" s="103"/>
      <c r="L1387" s="104"/>
      <c r="M1387" s="100"/>
      <c r="N1387" s="100"/>
      <c r="O1387" s="100"/>
      <c r="P1387" s="100"/>
      <c r="Q1387" s="105"/>
      <c r="R1387" s="105"/>
      <c r="S1387" s="169"/>
      <c r="U1387" s="188"/>
    </row>
    <row r="1388" spans="1:21" ht="63.75">
      <c r="A1388" s="67" t="s">
        <v>10584</v>
      </c>
      <c r="B1388" s="87" t="s">
        <v>10584</v>
      </c>
      <c r="C1388" s="88" t="s">
        <v>13018</v>
      </c>
      <c r="D1388" s="89"/>
      <c r="E1388" s="90"/>
      <c r="F1388" s="91" t="s">
        <v>13019</v>
      </c>
      <c r="G1388" s="90"/>
      <c r="H1388" s="91" t="s">
        <v>11426</v>
      </c>
      <c r="I1388" s="92"/>
      <c r="J1388" s="93"/>
      <c r="K1388" s="94"/>
      <c r="L1388" s="91" t="s">
        <v>11425</v>
      </c>
      <c r="M1388" s="90"/>
      <c r="N1388" s="91">
        <v>5</v>
      </c>
      <c r="O1388" s="108" t="b">
        <v>0</v>
      </c>
      <c r="P1388" s="91" t="s">
        <v>13020</v>
      </c>
      <c r="Q1388" s="96"/>
      <c r="R1388" s="97"/>
      <c r="S1388" s="169"/>
      <c r="T1388" s="300" t="str">
        <f>CONCATENATE([1]Cover!$D$6,"fdd/view?i=",S1388)</f>
        <v>https://www.dgiwg.org/FAD/fdd/view?i=</v>
      </c>
      <c r="U1388" s="188"/>
    </row>
    <row r="1389" spans="1:21" ht="2.1" customHeight="1">
      <c r="A1389" s="98"/>
      <c r="B1389" s="87"/>
      <c r="C1389" s="99"/>
      <c r="D1389" s="87"/>
      <c r="E1389" s="99"/>
      <c r="F1389" s="100"/>
      <c r="G1389" s="100"/>
      <c r="H1389" s="100"/>
      <c r="I1389" s="101"/>
      <c r="J1389" s="106"/>
      <c r="K1389" s="103"/>
      <c r="L1389" s="104"/>
      <c r="M1389" s="100"/>
      <c r="N1389" s="100"/>
      <c r="O1389" s="100"/>
      <c r="P1389" s="100"/>
      <c r="Q1389" s="105"/>
      <c r="R1389" s="105"/>
      <c r="S1389" s="169"/>
      <c r="U1389" s="188"/>
    </row>
    <row r="1390" spans="1:21">
      <c r="A1390" s="67" t="s">
        <v>10589</v>
      </c>
      <c r="B1390" s="87" t="s">
        <v>10589</v>
      </c>
      <c r="C1390" s="88" t="s">
        <v>13021</v>
      </c>
      <c r="D1390" s="89"/>
      <c r="E1390" s="90"/>
      <c r="F1390" s="91" t="s">
        <v>13022</v>
      </c>
      <c r="G1390" s="90"/>
      <c r="H1390" s="90"/>
      <c r="I1390" s="92"/>
      <c r="J1390" s="93"/>
      <c r="K1390" s="94"/>
      <c r="L1390" s="149" t="str">
        <f>HYPERLINK("[#]DatatypeListedValues!B6772:H6772","Enumeration")</f>
        <v>Enumeration</v>
      </c>
      <c r="M1390" s="107" t="b">
        <v>0</v>
      </c>
      <c r="N1390" s="90"/>
      <c r="O1390" s="95"/>
      <c r="P1390" s="90"/>
      <c r="Q1390" s="96"/>
      <c r="R1390" s="97"/>
      <c r="S1390" s="169"/>
      <c r="T1390" s="300" t="str">
        <f>CONCATENATE([1]Cover!$D$6,"fdd/view?i=",S1390)</f>
        <v>https://www.dgiwg.org/FAD/fdd/view?i=</v>
      </c>
      <c r="U1390" s="188"/>
    </row>
    <row r="1391" spans="1:21" ht="2.1" customHeight="1">
      <c r="A1391" s="98"/>
      <c r="B1391" s="87"/>
      <c r="C1391" s="99"/>
      <c r="D1391" s="87"/>
      <c r="E1391" s="99"/>
      <c r="F1391" s="100"/>
      <c r="G1391" s="100"/>
      <c r="H1391" s="100"/>
      <c r="I1391" s="101"/>
      <c r="J1391" s="106"/>
      <c r="K1391" s="103"/>
      <c r="L1391" s="104"/>
      <c r="M1391" s="100"/>
      <c r="N1391" s="100"/>
      <c r="O1391" s="100"/>
      <c r="P1391" s="100"/>
      <c r="Q1391" s="105"/>
      <c r="R1391" s="105"/>
      <c r="S1391" s="169"/>
      <c r="U1391" s="188"/>
    </row>
    <row r="1392" spans="1:21" ht="25.5">
      <c r="A1392" s="67" t="s">
        <v>10601</v>
      </c>
      <c r="B1392" s="87" t="s">
        <v>10601</v>
      </c>
      <c r="C1392" s="88" t="s">
        <v>13023</v>
      </c>
      <c r="D1392" s="89"/>
      <c r="E1392" s="90"/>
      <c r="F1392" s="91" t="s">
        <v>13024</v>
      </c>
      <c r="G1392" s="90"/>
      <c r="H1392" s="90"/>
      <c r="I1392" s="92"/>
      <c r="J1392" s="93"/>
      <c r="K1392" s="94"/>
      <c r="L1392" s="149" t="str">
        <f>HYPERLINK("[#]DatatypeListedValues!B6774:H6774","Enumeration")</f>
        <v>Enumeration</v>
      </c>
      <c r="M1392" s="107" t="b">
        <v>0</v>
      </c>
      <c r="N1392" s="90"/>
      <c r="O1392" s="95"/>
      <c r="P1392" s="90"/>
      <c r="Q1392" s="96"/>
      <c r="R1392" s="97"/>
      <c r="S1392" s="169"/>
      <c r="T1392" s="300" t="str">
        <f>CONCATENATE([1]Cover!$D$6,"fdd/view?i=",S1392)</f>
        <v>https://www.dgiwg.org/FAD/fdd/view?i=</v>
      </c>
      <c r="U1392" s="188"/>
    </row>
    <row r="1393" spans="1:21" ht="2.1" customHeight="1">
      <c r="A1393" s="98"/>
      <c r="B1393" s="87"/>
      <c r="C1393" s="99"/>
      <c r="D1393" s="87"/>
      <c r="E1393" s="99"/>
      <c r="F1393" s="100"/>
      <c r="G1393" s="100"/>
      <c r="H1393" s="100"/>
      <c r="I1393" s="101"/>
      <c r="J1393" s="106"/>
      <c r="K1393" s="103"/>
      <c r="L1393" s="104"/>
      <c r="M1393" s="100"/>
      <c r="N1393" s="100"/>
      <c r="O1393" s="100"/>
      <c r="P1393" s="100"/>
      <c r="Q1393" s="105"/>
      <c r="R1393" s="105"/>
      <c r="S1393" s="169"/>
      <c r="U1393" s="188"/>
    </row>
    <row r="1394" spans="1:21" ht="25.5">
      <c r="A1394" s="67" t="s">
        <v>10611</v>
      </c>
      <c r="B1394" s="87" t="s">
        <v>10611</v>
      </c>
      <c r="C1394" s="88" t="s">
        <v>13025</v>
      </c>
      <c r="D1394" s="89"/>
      <c r="E1394" s="90"/>
      <c r="F1394" s="91" t="s">
        <v>13026</v>
      </c>
      <c r="G1394" s="90"/>
      <c r="H1394" s="90"/>
      <c r="I1394" s="92"/>
      <c r="J1394" s="93"/>
      <c r="K1394" s="94"/>
      <c r="L1394" s="149" t="str">
        <f>HYPERLINK("[#]DatatypeListedValues!B6826:H6826","Enumeration")</f>
        <v>Enumeration</v>
      </c>
      <c r="M1394" s="107" t="b">
        <v>0</v>
      </c>
      <c r="N1394" s="90"/>
      <c r="O1394" s="95"/>
      <c r="P1394" s="90"/>
      <c r="Q1394" s="96"/>
      <c r="R1394" s="97"/>
      <c r="S1394" s="169"/>
      <c r="T1394" s="300" t="str">
        <f>CONCATENATE([1]Cover!$D$6,"fdd/view?i=",S1394)</f>
        <v>https://www.dgiwg.org/FAD/fdd/view?i=</v>
      </c>
      <c r="U1394" s="188"/>
    </row>
    <row r="1395" spans="1:21" ht="2.1" customHeight="1">
      <c r="A1395" s="98"/>
      <c r="B1395" s="87"/>
      <c r="C1395" s="99"/>
      <c r="D1395" s="87"/>
      <c r="E1395" s="99"/>
      <c r="F1395" s="100"/>
      <c r="G1395" s="100"/>
      <c r="H1395" s="100"/>
      <c r="I1395" s="101"/>
      <c r="J1395" s="106"/>
      <c r="K1395" s="103"/>
      <c r="L1395" s="104"/>
      <c r="M1395" s="100"/>
      <c r="N1395" s="100"/>
      <c r="O1395" s="100"/>
      <c r="P1395" s="100"/>
      <c r="Q1395" s="105"/>
      <c r="R1395" s="105"/>
      <c r="S1395" s="169"/>
      <c r="U1395" s="188"/>
    </row>
    <row r="1396" spans="1:21" ht="38.25">
      <c r="A1396" s="67" t="s">
        <v>6543</v>
      </c>
      <c r="B1396" s="87" t="s">
        <v>6543</v>
      </c>
      <c r="C1396" s="88" t="s">
        <v>6543</v>
      </c>
      <c r="D1396" s="89"/>
      <c r="E1396" s="90"/>
      <c r="F1396" s="91" t="s">
        <v>13027</v>
      </c>
      <c r="G1396" s="91" t="s">
        <v>13028</v>
      </c>
      <c r="H1396" s="91" t="s">
        <v>13029</v>
      </c>
      <c r="I1396" s="92"/>
      <c r="J1396" s="93"/>
      <c r="K1396" s="94"/>
      <c r="L1396" s="91" t="s">
        <v>6543</v>
      </c>
      <c r="M1396" s="90"/>
      <c r="N1396" s="108" t="s">
        <v>11810</v>
      </c>
      <c r="O1396" s="91" t="b">
        <v>1</v>
      </c>
      <c r="P1396" s="90"/>
      <c r="Q1396" s="96"/>
      <c r="R1396" s="97"/>
      <c r="S1396" s="169"/>
      <c r="T1396" s="300" t="str">
        <f>CONCATENATE([1]Cover!$D$6,"fdd/view?i=",S1396)</f>
        <v>https://www.dgiwg.org/FAD/fdd/view?i=</v>
      </c>
      <c r="U1396" s="188"/>
    </row>
    <row r="1397" spans="1:21" ht="2.1" customHeight="1">
      <c r="A1397" s="98"/>
      <c r="B1397" s="87"/>
      <c r="C1397" s="99"/>
      <c r="D1397" s="87"/>
      <c r="E1397" s="99"/>
      <c r="F1397" s="100"/>
      <c r="G1397" s="100"/>
      <c r="H1397" s="100"/>
      <c r="I1397" s="101"/>
      <c r="J1397" s="106"/>
      <c r="K1397" s="103"/>
      <c r="L1397" s="104"/>
      <c r="M1397" s="100"/>
      <c r="N1397" s="100"/>
      <c r="O1397" s="100"/>
      <c r="P1397" s="100"/>
      <c r="Q1397" s="105"/>
      <c r="R1397" s="105"/>
      <c r="S1397" s="169"/>
      <c r="U1397" s="188"/>
    </row>
    <row r="1398" spans="1:21" ht="38.25">
      <c r="A1398" s="63" t="s">
        <v>13030</v>
      </c>
      <c r="B1398" s="329" t="s">
        <v>13030</v>
      </c>
      <c r="C1398" s="326" t="s">
        <v>13031</v>
      </c>
      <c r="D1398" s="109"/>
      <c r="E1398" s="110"/>
      <c r="F1398" s="111" t="s">
        <v>13032</v>
      </c>
      <c r="G1398" s="111" t="s">
        <v>13028</v>
      </c>
      <c r="H1398" s="111" t="s">
        <v>11513</v>
      </c>
      <c r="I1398" s="112"/>
      <c r="J1398" s="113"/>
      <c r="K1398" s="114"/>
      <c r="L1398" s="115" t="s">
        <v>11429</v>
      </c>
      <c r="M1398" s="110"/>
      <c r="N1398" s="110"/>
      <c r="O1398" s="116"/>
      <c r="P1398" s="110"/>
      <c r="Q1398" s="117"/>
      <c r="R1398" s="118"/>
      <c r="S1398" s="169"/>
      <c r="T1398" s="300" t="str">
        <f>CONCATENATE([1]Cover!$D$6,"fdd/view?i=",S1398)</f>
        <v>https://www.dgiwg.org/FAD/fdd/view?i=</v>
      </c>
      <c r="U1398" s="188"/>
    </row>
    <row r="1399" spans="1:21">
      <c r="A1399" s="64" t="s">
        <v>33685</v>
      </c>
      <c r="B1399" s="330"/>
      <c r="C1399" s="327"/>
      <c r="D1399" s="132" t="s">
        <v>11678</v>
      </c>
      <c r="E1399" s="138" t="s">
        <v>13033</v>
      </c>
      <c r="F1399" s="70" t="s">
        <v>13034</v>
      </c>
      <c r="G1399" s="70" t="s">
        <v>13035</v>
      </c>
      <c r="H1399" s="68"/>
      <c r="I1399" s="133" t="s">
        <v>4643</v>
      </c>
      <c r="J1399" s="142"/>
      <c r="K1399" s="135" t="s">
        <v>6543</v>
      </c>
      <c r="L1399" s="150" t="str">
        <f>HYPERLINK("[#]Datatypes!B1396:L1396","Text")</f>
        <v>Text</v>
      </c>
      <c r="M1399" s="122"/>
      <c r="N1399" s="122"/>
      <c r="O1399" s="122"/>
      <c r="P1399" s="122"/>
      <c r="Q1399" s="123"/>
      <c r="R1399" s="124"/>
      <c r="S1399" s="169"/>
      <c r="U1399" s="188"/>
    </row>
    <row r="1400" spans="1:21" ht="38.25">
      <c r="A1400" s="65" t="s">
        <v>33686</v>
      </c>
      <c r="B1400" s="331"/>
      <c r="C1400" s="328"/>
      <c r="D1400" s="137" t="s">
        <v>11682</v>
      </c>
      <c r="E1400" s="140" t="s">
        <v>11683</v>
      </c>
      <c r="F1400" s="66" t="s">
        <v>11684</v>
      </c>
      <c r="G1400" s="66" t="s">
        <v>11685</v>
      </c>
      <c r="H1400" s="69"/>
      <c r="I1400" s="126" t="s">
        <v>4643</v>
      </c>
      <c r="J1400" s="141"/>
      <c r="K1400" s="128" t="s">
        <v>11686</v>
      </c>
      <c r="L1400" s="152" t="str">
        <f>HYPERLINK("[#]Datatypes!B1544:L1544","Void Value Reason Code")</f>
        <v>Void Value Reason Code</v>
      </c>
      <c r="M1400" s="129"/>
      <c r="N1400" s="129"/>
      <c r="O1400" s="129"/>
      <c r="P1400" s="129"/>
      <c r="Q1400" s="130"/>
      <c r="R1400" s="131"/>
      <c r="S1400" s="169"/>
      <c r="T1400" s="300" t="str">
        <f>CONCATENATE([1]Cover!$D$6,"fdd/view?i=",S1400)</f>
        <v>https://www.dgiwg.org/FAD/fdd/view?i=</v>
      </c>
      <c r="U1400" s="188"/>
    </row>
    <row r="1401" spans="1:21" ht="2.1" customHeight="1">
      <c r="A1401" s="98"/>
      <c r="B1401" s="87"/>
      <c r="C1401" s="99"/>
      <c r="D1401" s="87"/>
      <c r="E1401" s="99"/>
      <c r="F1401" s="100"/>
      <c r="G1401" s="100"/>
      <c r="H1401" s="100"/>
      <c r="I1401" s="101"/>
      <c r="J1401" s="106"/>
      <c r="K1401" s="103"/>
      <c r="L1401" s="104"/>
      <c r="M1401" s="100"/>
      <c r="N1401" s="100"/>
      <c r="O1401" s="100"/>
      <c r="P1401" s="100"/>
      <c r="Q1401" s="105"/>
      <c r="R1401" s="105"/>
      <c r="S1401" s="169"/>
      <c r="U1401" s="188"/>
    </row>
    <row r="1402" spans="1:21" ht="38.25">
      <c r="A1402" s="67" t="s">
        <v>7178</v>
      </c>
      <c r="B1402" s="87" t="s">
        <v>7178</v>
      </c>
      <c r="C1402" s="88" t="s">
        <v>13036</v>
      </c>
      <c r="D1402" s="89"/>
      <c r="E1402" s="90"/>
      <c r="F1402" s="91" t="s">
        <v>13037</v>
      </c>
      <c r="G1402" s="90"/>
      <c r="H1402" s="91" t="s">
        <v>13029</v>
      </c>
      <c r="I1402" s="92"/>
      <c r="J1402" s="93"/>
      <c r="K1402" s="94"/>
      <c r="L1402" s="91" t="s">
        <v>6543</v>
      </c>
      <c r="M1402" s="90"/>
      <c r="N1402" s="91">
        <v>128</v>
      </c>
      <c r="O1402" s="91" t="b">
        <v>1</v>
      </c>
      <c r="P1402" s="90"/>
      <c r="Q1402" s="96"/>
      <c r="R1402" s="97"/>
      <c r="S1402" s="169"/>
      <c r="T1402" s="300" t="str">
        <f>CONCATENATE([1]Cover!$D$6,"fdd/view?i=",S1402)</f>
        <v>https://www.dgiwg.org/FAD/fdd/view?i=</v>
      </c>
      <c r="U1402" s="188"/>
    </row>
    <row r="1403" spans="1:21" ht="2.1" customHeight="1">
      <c r="A1403" s="98"/>
      <c r="B1403" s="87"/>
      <c r="C1403" s="99"/>
      <c r="D1403" s="87"/>
      <c r="E1403" s="99"/>
      <c r="F1403" s="100"/>
      <c r="G1403" s="100"/>
      <c r="H1403" s="100"/>
      <c r="I1403" s="101"/>
      <c r="J1403" s="106"/>
      <c r="K1403" s="103"/>
      <c r="L1403" s="104"/>
      <c r="M1403" s="100"/>
      <c r="N1403" s="100"/>
      <c r="O1403" s="100"/>
      <c r="P1403" s="100"/>
      <c r="Q1403" s="105"/>
      <c r="R1403" s="105"/>
      <c r="S1403" s="169"/>
      <c r="U1403" s="188"/>
    </row>
    <row r="1404" spans="1:21" ht="38.25">
      <c r="A1404" s="67" t="s">
        <v>8239</v>
      </c>
      <c r="B1404" s="87" t="s">
        <v>8239</v>
      </c>
      <c r="C1404" s="88" t="s">
        <v>13038</v>
      </c>
      <c r="D1404" s="89"/>
      <c r="E1404" s="90"/>
      <c r="F1404" s="91" t="s">
        <v>13039</v>
      </c>
      <c r="G1404" s="90"/>
      <c r="H1404" s="91" t="s">
        <v>13029</v>
      </c>
      <c r="I1404" s="92"/>
      <c r="J1404" s="93"/>
      <c r="K1404" s="94"/>
      <c r="L1404" s="91" t="s">
        <v>6543</v>
      </c>
      <c r="M1404" s="90"/>
      <c r="N1404" s="91">
        <v>20</v>
      </c>
      <c r="O1404" s="91" t="b">
        <v>1</v>
      </c>
      <c r="P1404" s="90"/>
      <c r="Q1404" s="96"/>
      <c r="R1404" s="97"/>
      <c r="S1404" s="169"/>
      <c r="T1404" s="300" t="str">
        <f>CONCATENATE([1]Cover!$D$6,"fdd/view?i=",S1404)</f>
        <v>https://www.dgiwg.org/FAD/fdd/view?i=</v>
      </c>
      <c r="U1404" s="188"/>
    </row>
    <row r="1405" spans="1:21" ht="2.1" customHeight="1">
      <c r="A1405" s="98"/>
      <c r="B1405" s="87"/>
      <c r="C1405" s="99"/>
      <c r="D1405" s="87"/>
      <c r="E1405" s="99"/>
      <c r="F1405" s="100"/>
      <c r="G1405" s="100"/>
      <c r="H1405" s="100"/>
      <c r="I1405" s="101"/>
      <c r="J1405" s="106"/>
      <c r="K1405" s="103"/>
      <c r="L1405" s="104"/>
      <c r="M1405" s="100"/>
      <c r="N1405" s="100"/>
      <c r="O1405" s="100"/>
      <c r="P1405" s="100"/>
      <c r="Q1405" s="105"/>
      <c r="R1405" s="105"/>
      <c r="S1405" s="169"/>
      <c r="U1405" s="188"/>
    </row>
    <row r="1406" spans="1:21" ht="38.25">
      <c r="A1406" s="67" t="s">
        <v>4733</v>
      </c>
      <c r="B1406" s="87" t="s">
        <v>4733</v>
      </c>
      <c r="C1406" s="88" t="s">
        <v>13040</v>
      </c>
      <c r="D1406" s="89"/>
      <c r="E1406" s="90"/>
      <c r="F1406" s="91" t="s">
        <v>13041</v>
      </c>
      <c r="G1406" s="90"/>
      <c r="H1406" s="91" t="s">
        <v>13029</v>
      </c>
      <c r="I1406" s="92"/>
      <c r="J1406" s="93"/>
      <c r="K1406" s="94"/>
      <c r="L1406" s="91" t="s">
        <v>6543</v>
      </c>
      <c r="M1406" s="90"/>
      <c r="N1406" s="91">
        <v>200</v>
      </c>
      <c r="O1406" s="91" t="b">
        <v>1</v>
      </c>
      <c r="P1406" s="90"/>
      <c r="Q1406" s="96"/>
      <c r="R1406" s="97"/>
      <c r="S1406" s="169"/>
      <c r="T1406" s="300" t="str">
        <f>CONCATENATE([1]Cover!$D$6,"fdd/view?i=",S1406)</f>
        <v>https://www.dgiwg.org/FAD/fdd/view?i=</v>
      </c>
      <c r="U1406" s="188"/>
    </row>
    <row r="1407" spans="1:21" ht="2.1" customHeight="1">
      <c r="A1407" s="98"/>
      <c r="B1407" s="87"/>
      <c r="C1407" s="99"/>
      <c r="D1407" s="87"/>
      <c r="E1407" s="99"/>
      <c r="F1407" s="100"/>
      <c r="G1407" s="100"/>
      <c r="H1407" s="100"/>
      <c r="I1407" s="101"/>
      <c r="J1407" s="106"/>
      <c r="K1407" s="103"/>
      <c r="L1407" s="104"/>
      <c r="M1407" s="100"/>
      <c r="N1407" s="100"/>
      <c r="O1407" s="100"/>
      <c r="P1407" s="100"/>
      <c r="Q1407" s="105"/>
      <c r="R1407" s="105"/>
      <c r="S1407" s="169"/>
      <c r="U1407" s="188"/>
    </row>
    <row r="1408" spans="1:21" ht="38.25">
      <c r="A1408" s="67" t="s">
        <v>6867</v>
      </c>
      <c r="B1408" s="87" t="s">
        <v>6867</v>
      </c>
      <c r="C1408" s="88" t="s">
        <v>13042</v>
      </c>
      <c r="D1408" s="89"/>
      <c r="E1408" s="90"/>
      <c r="F1408" s="91" t="s">
        <v>13043</v>
      </c>
      <c r="G1408" s="90"/>
      <c r="H1408" s="91" t="s">
        <v>13029</v>
      </c>
      <c r="I1408" s="92"/>
      <c r="J1408" s="93"/>
      <c r="K1408" s="94"/>
      <c r="L1408" s="91" t="s">
        <v>6543</v>
      </c>
      <c r="M1408" s="90"/>
      <c r="N1408" s="91">
        <v>24</v>
      </c>
      <c r="O1408" s="91" t="b">
        <v>1</v>
      </c>
      <c r="P1408" s="90"/>
      <c r="Q1408" s="96"/>
      <c r="R1408" s="97"/>
      <c r="S1408" s="169"/>
      <c r="T1408" s="300" t="str">
        <f>CONCATENATE([1]Cover!$D$6,"fdd/view?i=",S1408)</f>
        <v>https://www.dgiwg.org/FAD/fdd/view?i=</v>
      </c>
      <c r="U1408" s="188"/>
    </row>
    <row r="1409" spans="1:21" ht="2.1" customHeight="1">
      <c r="A1409" s="98"/>
      <c r="B1409" s="87"/>
      <c r="C1409" s="99"/>
      <c r="D1409" s="87"/>
      <c r="E1409" s="99"/>
      <c r="F1409" s="100"/>
      <c r="G1409" s="100"/>
      <c r="H1409" s="100"/>
      <c r="I1409" s="101"/>
      <c r="J1409" s="106"/>
      <c r="K1409" s="103"/>
      <c r="L1409" s="104"/>
      <c r="M1409" s="100"/>
      <c r="N1409" s="100"/>
      <c r="O1409" s="100"/>
      <c r="P1409" s="100"/>
      <c r="Q1409" s="105"/>
      <c r="R1409" s="105"/>
      <c r="S1409" s="169"/>
      <c r="U1409" s="188"/>
    </row>
    <row r="1410" spans="1:21" ht="38.25">
      <c r="A1410" s="67" t="s">
        <v>13044</v>
      </c>
      <c r="B1410" s="87" t="s">
        <v>13044</v>
      </c>
      <c r="C1410" s="88" t="s">
        <v>13045</v>
      </c>
      <c r="D1410" s="89"/>
      <c r="E1410" s="90"/>
      <c r="F1410" s="91" t="s">
        <v>13046</v>
      </c>
      <c r="G1410" s="90"/>
      <c r="H1410" s="91" t="s">
        <v>13029</v>
      </c>
      <c r="I1410" s="92"/>
      <c r="J1410" s="93"/>
      <c r="K1410" s="94"/>
      <c r="L1410" s="91" t="s">
        <v>6543</v>
      </c>
      <c r="M1410" s="90"/>
      <c r="N1410" s="91">
        <v>254</v>
      </c>
      <c r="O1410" s="91" t="b">
        <v>1</v>
      </c>
      <c r="P1410" s="90"/>
      <c r="Q1410" s="96"/>
      <c r="R1410" s="97"/>
      <c r="S1410" s="169"/>
      <c r="T1410" s="300" t="str">
        <f>CONCATENATE([1]Cover!$D$6,"fdd/view?i=",S1410)</f>
        <v>https://www.dgiwg.org/FAD/fdd/view?i=</v>
      </c>
      <c r="U1410" s="188"/>
    </row>
    <row r="1411" spans="1:21" ht="2.1" customHeight="1">
      <c r="A1411" s="98"/>
      <c r="B1411" s="87"/>
      <c r="C1411" s="99"/>
      <c r="D1411" s="87"/>
      <c r="E1411" s="99"/>
      <c r="F1411" s="100"/>
      <c r="G1411" s="100"/>
      <c r="H1411" s="100"/>
      <c r="I1411" s="101"/>
      <c r="J1411" s="106"/>
      <c r="K1411" s="103"/>
      <c r="L1411" s="104"/>
      <c r="M1411" s="100"/>
      <c r="N1411" s="100"/>
      <c r="O1411" s="100"/>
      <c r="P1411" s="100"/>
      <c r="Q1411" s="105"/>
      <c r="R1411" s="105"/>
      <c r="S1411" s="169"/>
      <c r="U1411" s="188"/>
    </row>
    <row r="1412" spans="1:21" ht="38.25">
      <c r="A1412" s="67" t="s">
        <v>7263</v>
      </c>
      <c r="B1412" s="87" t="s">
        <v>7263</v>
      </c>
      <c r="C1412" s="88" t="s">
        <v>13047</v>
      </c>
      <c r="D1412" s="89"/>
      <c r="E1412" s="90"/>
      <c r="F1412" s="91" t="s">
        <v>13048</v>
      </c>
      <c r="G1412" s="90"/>
      <c r="H1412" s="91" t="s">
        <v>13029</v>
      </c>
      <c r="I1412" s="92"/>
      <c r="J1412" s="93"/>
      <c r="K1412" s="94"/>
      <c r="L1412" s="91" t="s">
        <v>6543</v>
      </c>
      <c r="M1412" s="90"/>
      <c r="N1412" s="91">
        <v>4095</v>
      </c>
      <c r="O1412" s="91" t="b">
        <v>1</v>
      </c>
      <c r="P1412" s="90"/>
      <c r="Q1412" s="96"/>
      <c r="R1412" s="97"/>
      <c r="S1412" s="169"/>
      <c r="T1412" s="300" t="str">
        <f>CONCATENATE([1]Cover!$D$6,"fdd/view?i=",S1412)</f>
        <v>https://www.dgiwg.org/FAD/fdd/view?i=</v>
      </c>
      <c r="U1412" s="188"/>
    </row>
    <row r="1413" spans="1:21" ht="2.1" customHeight="1">
      <c r="A1413" s="98"/>
      <c r="B1413" s="87"/>
      <c r="C1413" s="99"/>
      <c r="D1413" s="87"/>
      <c r="E1413" s="99"/>
      <c r="F1413" s="100"/>
      <c r="G1413" s="100"/>
      <c r="H1413" s="100"/>
      <c r="I1413" s="101"/>
      <c r="J1413" s="106"/>
      <c r="K1413" s="103"/>
      <c r="L1413" s="104"/>
      <c r="M1413" s="100"/>
      <c r="N1413" s="100"/>
      <c r="O1413" s="100"/>
      <c r="P1413" s="100"/>
      <c r="Q1413" s="105"/>
      <c r="R1413" s="105"/>
      <c r="S1413" s="169"/>
      <c r="U1413" s="188"/>
    </row>
    <row r="1414" spans="1:21" ht="38.25">
      <c r="A1414" s="67" t="s">
        <v>6513</v>
      </c>
      <c r="B1414" s="87" t="s">
        <v>6513</v>
      </c>
      <c r="C1414" s="88" t="s">
        <v>13049</v>
      </c>
      <c r="D1414" s="89"/>
      <c r="E1414" s="90"/>
      <c r="F1414" s="91" t="s">
        <v>13050</v>
      </c>
      <c r="G1414" s="90"/>
      <c r="H1414" s="91" t="s">
        <v>13029</v>
      </c>
      <c r="I1414" s="92"/>
      <c r="J1414" s="93"/>
      <c r="K1414" s="94"/>
      <c r="L1414" s="91" t="s">
        <v>6543</v>
      </c>
      <c r="M1414" s="90"/>
      <c r="N1414" s="91">
        <v>80</v>
      </c>
      <c r="O1414" s="91" t="b">
        <v>1</v>
      </c>
      <c r="P1414" s="90"/>
      <c r="Q1414" s="96"/>
      <c r="R1414" s="97"/>
      <c r="S1414" s="169"/>
      <c r="T1414" s="300" t="str">
        <f>CONCATENATE([1]Cover!$D$6,"fdd/view?i=",S1414)</f>
        <v>https://www.dgiwg.org/FAD/fdd/view?i=</v>
      </c>
      <c r="U1414" s="188"/>
    </row>
    <row r="1415" spans="1:21" ht="2.1" customHeight="1">
      <c r="A1415" s="98"/>
      <c r="B1415" s="87"/>
      <c r="C1415" s="99"/>
      <c r="D1415" s="87"/>
      <c r="E1415" s="99"/>
      <c r="F1415" s="100"/>
      <c r="G1415" s="100"/>
      <c r="H1415" s="100"/>
      <c r="I1415" s="101"/>
      <c r="J1415" s="106"/>
      <c r="K1415" s="103"/>
      <c r="L1415" s="104"/>
      <c r="M1415" s="100"/>
      <c r="N1415" s="100"/>
      <c r="O1415" s="100"/>
      <c r="P1415" s="100"/>
      <c r="Q1415" s="105"/>
      <c r="R1415" s="105"/>
      <c r="S1415" s="169"/>
      <c r="U1415" s="188"/>
    </row>
    <row r="1416" spans="1:21" ht="38.25">
      <c r="A1416" s="67" t="s">
        <v>4766</v>
      </c>
      <c r="B1416" s="87" t="s">
        <v>4766</v>
      </c>
      <c r="C1416" s="88" t="s">
        <v>13051</v>
      </c>
      <c r="D1416" s="89"/>
      <c r="E1416" s="90"/>
      <c r="F1416" s="91" t="s">
        <v>13052</v>
      </c>
      <c r="G1416" s="90"/>
      <c r="H1416" s="91" t="s">
        <v>13029</v>
      </c>
      <c r="I1416" s="92"/>
      <c r="J1416" s="93"/>
      <c r="K1416" s="94"/>
      <c r="L1416" s="91" t="s">
        <v>6543</v>
      </c>
      <c r="M1416" s="90"/>
      <c r="N1416" s="108" t="s">
        <v>11810</v>
      </c>
      <c r="O1416" s="91" t="b">
        <v>1</v>
      </c>
      <c r="P1416" s="90"/>
      <c r="Q1416" s="96"/>
      <c r="R1416" s="97"/>
      <c r="S1416" s="169"/>
      <c r="T1416" s="300" t="str">
        <f>CONCATENATE([1]Cover!$D$6,"fdd/view?i=",S1416)</f>
        <v>https://www.dgiwg.org/FAD/fdd/view?i=</v>
      </c>
      <c r="U1416" s="188"/>
    </row>
    <row r="1417" spans="1:21" ht="2.1" customHeight="1">
      <c r="A1417" s="98"/>
      <c r="B1417" s="87"/>
      <c r="C1417" s="99"/>
      <c r="D1417" s="87"/>
      <c r="E1417" s="99"/>
      <c r="F1417" s="100"/>
      <c r="G1417" s="100"/>
      <c r="H1417" s="100"/>
      <c r="I1417" s="101"/>
      <c r="J1417" s="106"/>
      <c r="K1417" s="103"/>
      <c r="L1417" s="104"/>
      <c r="M1417" s="100"/>
      <c r="N1417" s="100"/>
      <c r="O1417" s="100"/>
      <c r="P1417" s="100"/>
      <c r="Q1417" s="105"/>
      <c r="R1417" s="105"/>
      <c r="S1417" s="169"/>
      <c r="U1417" s="188"/>
    </row>
    <row r="1418" spans="1:21" ht="38.25">
      <c r="A1418" s="67" t="s">
        <v>5176</v>
      </c>
      <c r="B1418" s="87" t="s">
        <v>5176</v>
      </c>
      <c r="C1418" s="88" t="s">
        <v>13053</v>
      </c>
      <c r="D1418" s="89"/>
      <c r="E1418" s="90"/>
      <c r="F1418" s="91" t="s">
        <v>13054</v>
      </c>
      <c r="G1418" s="90"/>
      <c r="H1418" s="91" t="s">
        <v>13029</v>
      </c>
      <c r="I1418" s="92"/>
      <c r="J1418" s="93"/>
      <c r="K1418" s="94"/>
      <c r="L1418" s="91" t="s">
        <v>6543</v>
      </c>
      <c r="M1418" s="90"/>
      <c r="N1418" s="91">
        <v>10</v>
      </c>
      <c r="O1418" s="108" t="b">
        <v>0</v>
      </c>
      <c r="P1418" s="90"/>
      <c r="Q1418" s="96"/>
      <c r="R1418" s="97"/>
      <c r="S1418" s="169"/>
      <c r="T1418" s="300" t="str">
        <f>CONCATENATE([1]Cover!$D$6,"fdd/view?i=",S1418)</f>
        <v>https://www.dgiwg.org/FAD/fdd/view?i=</v>
      </c>
      <c r="U1418" s="188"/>
    </row>
    <row r="1419" spans="1:21" ht="2.1" customHeight="1">
      <c r="A1419" s="98"/>
      <c r="B1419" s="87"/>
      <c r="C1419" s="99"/>
      <c r="D1419" s="87"/>
      <c r="E1419" s="99"/>
      <c r="F1419" s="100"/>
      <c r="G1419" s="100"/>
      <c r="H1419" s="100"/>
      <c r="I1419" s="101"/>
      <c r="J1419" s="106"/>
      <c r="K1419" s="103"/>
      <c r="L1419" s="104"/>
      <c r="M1419" s="100"/>
      <c r="N1419" s="100"/>
      <c r="O1419" s="100"/>
      <c r="P1419" s="100"/>
      <c r="Q1419" s="105"/>
      <c r="R1419" s="105"/>
      <c r="S1419" s="169"/>
      <c r="U1419" s="188"/>
    </row>
    <row r="1420" spans="1:21" ht="38.25">
      <c r="A1420" s="67" t="s">
        <v>7183</v>
      </c>
      <c r="B1420" s="87" t="s">
        <v>7183</v>
      </c>
      <c r="C1420" s="88" t="s">
        <v>13055</v>
      </c>
      <c r="D1420" s="89"/>
      <c r="E1420" s="90"/>
      <c r="F1420" s="91" t="s">
        <v>13056</v>
      </c>
      <c r="G1420" s="90"/>
      <c r="H1420" s="91" t="s">
        <v>13029</v>
      </c>
      <c r="I1420" s="92"/>
      <c r="J1420" s="93"/>
      <c r="K1420" s="94"/>
      <c r="L1420" s="91" t="s">
        <v>6543</v>
      </c>
      <c r="M1420" s="90"/>
      <c r="N1420" s="91">
        <v>128</v>
      </c>
      <c r="O1420" s="108" t="b">
        <v>0</v>
      </c>
      <c r="P1420" s="90"/>
      <c r="Q1420" s="96"/>
      <c r="R1420" s="97"/>
      <c r="S1420" s="169"/>
      <c r="T1420" s="300" t="str">
        <f>CONCATENATE([1]Cover!$D$6,"fdd/view?i=",S1420)</f>
        <v>https://www.dgiwg.org/FAD/fdd/view?i=</v>
      </c>
      <c r="U1420" s="188"/>
    </row>
    <row r="1421" spans="1:21" ht="2.1" customHeight="1">
      <c r="A1421" s="98"/>
      <c r="B1421" s="87"/>
      <c r="C1421" s="99"/>
      <c r="D1421" s="87"/>
      <c r="E1421" s="99"/>
      <c r="F1421" s="100"/>
      <c r="G1421" s="100"/>
      <c r="H1421" s="100"/>
      <c r="I1421" s="101"/>
      <c r="J1421" s="106"/>
      <c r="K1421" s="103"/>
      <c r="L1421" s="104"/>
      <c r="M1421" s="100"/>
      <c r="N1421" s="100"/>
      <c r="O1421" s="100"/>
      <c r="P1421" s="100"/>
      <c r="Q1421" s="105"/>
      <c r="R1421" s="105"/>
      <c r="S1421" s="169"/>
      <c r="U1421" s="188"/>
    </row>
    <row r="1422" spans="1:21" ht="38.25">
      <c r="A1422" s="67" t="s">
        <v>10784</v>
      </c>
      <c r="B1422" s="87" t="s">
        <v>10784</v>
      </c>
      <c r="C1422" s="88" t="s">
        <v>13057</v>
      </c>
      <c r="D1422" s="89"/>
      <c r="E1422" s="90"/>
      <c r="F1422" s="91" t="s">
        <v>13058</v>
      </c>
      <c r="G1422" s="90"/>
      <c r="H1422" s="91" t="s">
        <v>13029</v>
      </c>
      <c r="I1422" s="92"/>
      <c r="J1422" s="93"/>
      <c r="K1422" s="94"/>
      <c r="L1422" s="91" t="s">
        <v>6543</v>
      </c>
      <c r="M1422" s="90"/>
      <c r="N1422" s="91">
        <v>16</v>
      </c>
      <c r="O1422" s="108" t="b">
        <v>0</v>
      </c>
      <c r="P1422" s="90"/>
      <c r="Q1422" s="96"/>
      <c r="R1422" s="97"/>
      <c r="S1422" s="169"/>
      <c r="T1422" s="300" t="str">
        <f>CONCATENATE([1]Cover!$D$6,"fdd/view?i=",S1422)</f>
        <v>https://www.dgiwg.org/FAD/fdd/view?i=</v>
      </c>
      <c r="U1422" s="188"/>
    </row>
    <row r="1423" spans="1:21" ht="2.1" customHeight="1">
      <c r="A1423" s="98"/>
      <c r="B1423" s="87"/>
      <c r="C1423" s="99"/>
      <c r="D1423" s="87"/>
      <c r="E1423" s="99"/>
      <c r="F1423" s="100"/>
      <c r="G1423" s="100"/>
      <c r="H1423" s="100"/>
      <c r="I1423" s="101"/>
      <c r="J1423" s="106"/>
      <c r="K1423" s="103"/>
      <c r="L1423" s="104"/>
      <c r="M1423" s="100"/>
      <c r="N1423" s="100"/>
      <c r="O1423" s="100"/>
      <c r="P1423" s="100"/>
      <c r="Q1423" s="105"/>
      <c r="R1423" s="105"/>
      <c r="S1423" s="169"/>
      <c r="U1423" s="188"/>
    </row>
    <row r="1424" spans="1:21" ht="38.25">
      <c r="A1424" s="67" t="s">
        <v>8919</v>
      </c>
      <c r="B1424" s="87" t="s">
        <v>8919</v>
      </c>
      <c r="C1424" s="88" t="s">
        <v>13059</v>
      </c>
      <c r="D1424" s="89"/>
      <c r="E1424" s="90"/>
      <c r="F1424" s="91" t="s">
        <v>13060</v>
      </c>
      <c r="G1424" s="90"/>
      <c r="H1424" s="91" t="s">
        <v>13029</v>
      </c>
      <c r="I1424" s="92"/>
      <c r="J1424" s="93"/>
      <c r="K1424" s="94"/>
      <c r="L1424" s="91" t="s">
        <v>6543</v>
      </c>
      <c r="M1424" s="90"/>
      <c r="N1424" s="91">
        <v>20</v>
      </c>
      <c r="O1424" s="108" t="b">
        <v>0</v>
      </c>
      <c r="P1424" s="90"/>
      <c r="Q1424" s="96"/>
      <c r="R1424" s="97"/>
      <c r="S1424" s="169"/>
      <c r="T1424" s="300" t="str">
        <f>CONCATENATE([1]Cover!$D$6,"fdd/view?i=",S1424)</f>
        <v>https://www.dgiwg.org/FAD/fdd/view?i=</v>
      </c>
      <c r="U1424" s="188"/>
    </row>
    <row r="1425" spans="1:21" ht="2.1" customHeight="1">
      <c r="A1425" s="98"/>
      <c r="B1425" s="87"/>
      <c r="C1425" s="99"/>
      <c r="D1425" s="87"/>
      <c r="E1425" s="99"/>
      <c r="F1425" s="100"/>
      <c r="G1425" s="100"/>
      <c r="H1425" s="100"/>
      <c r="I1425" s="101"/>
      <c r="J1425" s="106"/>
      <c r="K1425" s="103"/>
      <c r="L1425" s="104"/>
      <c r="M1425" s="100"/>
      <c r="N1425" s="100"/>
      <c r="O1425" s="100"/>
      <c r="P1425" s="100"/>
      <c r="Q1425" s="105"/>
      <c r="R1425" s="105"/>
      <c r="S1425" s="169"/>
      <c r="U1425" s="188"/>
    </row>
    <row r="1426" spans="1:21" ht="38.25">
      <c r="A1426" s="67" t="s">
        <v>7153</v>
      </c>
      <c r="B1426" s="87" t="s">
        <v>7153</v>
      </c>
      <c r="C1426" s="88" t="s">
        <v>13061</v>
      </c>
      <c r="D1426" s="89"/>
      <c r="E1426" s="90"/>
      <c r="F1426" s="91" t="s">
        <v>13062</v>
      </c>
      <c r="G1426" s="90"/>
      <c r="H1426" s="91" t="s">
        <v>13029</v>
      </c>
      <c r="I1426" s="92"/>
      <c r="J1426" s="93"/>
      <c r="K1426" s="94"/>
      <c r="L1426" s="91" t="s">
        <v>6543</v>
      </c>
      <c r="M1426" s="90"/>
      <c r="N1426" s="91">
        <v>200</v>
      </c>
      <c r="O1426" s="108" t="b">
        <v>0</v>
      </c>
      <c r="P1426" s="90"/>
      <c r="Q1426" s="96"/>
      <c r="R1426" s="97"/>
      <c r="S1426" s="169"/>
      <c r="T1426" s="300" t="str">
        <f>CONCATENATE([1]Cover!$D$6,"fdd/view?i=",S1426)</f>
        <v>https://www.dgiwg.org/FAD/fdd/view?i=</v>
      </c>
      <c r="U1426" s="188"/>
    </row>
    <row r="1427" spans="1:21" ht="2.1" customHeight="1">
      <c r="A1427" s="98"/>
      <c r="B1427" s="87"/>
      <c r="C1427" s="99"/>
      <c r="D1427" s="87"/>
      <c r="E1427" s="99"/>
      <c r="F1427" s="100"/>
      <c r="G1427" s="100"/>
      <c r="H1427" s="100"/>
      <c r="I1427" s="101"/>
      <c r="J1427" s="106"/>
      <c r="K1427" s="103"/>
      <c r="L1427" s="104"/>
      <c r="M1427" s="100"/>
      <c r="N1427" s="100"/>
      <c r="O1427" s="100"/>
      <c r="P1427" s="100"/>
      <c r="Q1427" s="105"/>
      <c r="R1427" s="105"/>
      <c r="S1427" s="169"/>
      <c r="U1427" s="188"/>
    </row>
    <row r="1428" spans="1:21" ht="38.25">
      <c r="A1428" s="67" t="s">
        <v>5897</v>
      </c>
      <c r="B1428" s="87" t="s">
        <v>5897</v>
      </c>
      <c r="C1428" s="88" t="s">
        <v>13063</v>
      </c>
      <c r="D1428" s="89"/>
      <c r="E1428" s="90"/>
      <c r="F1428" s="91" t="s">
        <v>13064</v>
      </c>
      <c r="G1428" s="90"/>
      <c r="H1428" s="91" t="s">
        <v>13029</v>
      </c>
      <c r="I1428" s="92"/>
      <c r="J1428" s="93"/>
      <c r="K1428" s="94"/>
      <c r="L1428" s="91" t="s">
        <v>6543</v>
      </c>
      <c r="M1428" s="90"/>
      <c r="N1428" s="91">
        <v>22</v>
      </c>
      <c r="O1428" s="108" t="b">
        <v>0</v>
      </c>
      <c r="P1428" s="90"/>
      <c r="Q1428" s="96"/>
      <c r="R1428" s="97"/>
      <c r="S1428" s="169"/>
      <c r="T1428" s="300" t="str">
        <f>CONCATENATE([1]Cover!$D$6,"fdd/view?i=",S1428)</f>
        <v>https://www.dgiwg.org/FAD/fdd/view?i=</v>
      </c>
      <c r="U1428" s="188"/>
    </row>
    <row r="1429" spans="1:21" ht="2.1" customHeight="1">
      <c r="A1429" s="98"/>
      <c r="B1429" s="87"/>
      <c r="C1429" s="99"/>
      <c r="D1429" s="87"/>
      <c r="E1429" s="99"/>
      <c r="F1429" s="100"/>
      <c r="G1429" s="100"/>
      <c r="H1429" s="100"/>
      <c r="I1429" s="101"/>
      <c r="J1429" s="106"/>
      <c r="K1429" s="103"/>
      <c r="L1429" s="104"/>
      <c r="M1429" s="100"/>
      <c r="N1429" s="100"/>
      <c r="O1429" s="100"/>
      <c r="P1429" s="100"/>
      <c r="Q1429" s="105"/>
      <c r="R1429" s="105"/>
      <c r="S1429" s="169"/>
      <c r="U1429" s="188"/>
    </row>
    <row r="1430" spans="1:21" ht="38.25">
      <c r="A1430" s="67" t="s">
        <v>7458</v>
      </c>
      <c r="B1430" s="87" t="s">
        <v>7458</v>
      </c>
      <c r="C1430" s="88" t="s">
        <v>13065</v>
      </c>
      <c r="D1430" s="89"/>
      <c r="E1430" s="90"/>
      <c r="F1430" s="91" t="s">
        <v>13066</v>
      </c>
      <c r="G1430" s="90"/>
      <c r="H1430" s="91" t="s">
        <v>13029</v>
      </c>
      <c r="I1430" s="92"/>
      <c r="J1430" s="93"/>
      <c r="K1430" s="94"/>
      <c r="L1430" s="91" t="s">
        <v>6543</v>
      </c>
      <c r="M1430" s="90"/>
      <c r="N1430" s="91">
        <v>255</v>
      </c>
      <c r="O1430" s="108" t="b">
        <v>0</v>
      </c>
      <c r="P1430" s="90"/>
      <c r="Q1430" s="96"/>
      <c r="R1430" s="97"/>
      <c r="S1430" s="169"/>
      <c r="T1430" s="300" t="str">
        <f>CONCATENATE([1]Cover!$D$6,"fdd/view?i=",S1430)</f>
        <v>https://www.dgiwg.org/FAD/fdd/view?i=</v>
      </c>
      <c r="U1430" s="188"/>
    </row>
    <row r="1431" spans="1:21" ht="2.1" customHeight="1">
      <c r="A1431" s="98"/>
      <c r="B1431" s="87"/>
      <c r="C1431" s="99"/>
      <c r="D1431" s="87"/>
      <c r="E1431" s="99"/>
      <c r="F1431" s="100"/>
      <c r="G1431" s="100"/>
      <c r="H1431" s="100"/>
      <c r="I1431" s="101"/>
      <c r="J1431" s="106"/>
      <c r="K1431" s="103"/>
      <c r="L1431" s="104"/>
      <c r="M1431" s="100"/>
      <c r="N1431" s="100"/>
      <c r="O1431" s="100"/>
      <c r="P1431" s="100"/>
      <c r="Q1431" s="105"/>
      <c r="R1431" s="105"/>
      <c r="S1431" s="169"/>
      <c r="U1431" s="188"/>
    </row>
    <row r="1432" spans="1:21" ht="38.25">
      <c r="A1432" s="67" t="s">
        <v>6151</v>
      </c>
      <c r="B1432" s="87" t="s">
        <v>6151</v>
      </c>
      <c r="C1432" s="88" t="s">
        <v>13067</v>
      </c>
      <c r="D1432" s="89"/>
      <c r="E1432" s="90"/>
      <c r="F1432" s="91" t="s">
        <v>13068</v>
      </c>
      <c r="G1432" s="90"/>
      <c r="H1432" s="91" t="s">
        <v>13029</v>
      </c>
      <c r="I1432" s="92"/>
      <c r="J1432" s="93"/>
      <c r="K1432" s="94"/>
      <c r="L1432" s="91" t="s">
        <v>6543</v>
      </c>
      <c r="M1432" s="90"/>
      <c r="N1432" s="91">
        <v>38</v>
      </c>
      <c r="O1432" s="108" t="b">
        <v>0</v>
      </c>
      <c r="P1432" s="90"/>
      <c r="Q1432" s="96"/>
      <c r="R1432" s="97"/>
      <c r="S1432" s="169"/>
      <c r="T1432" s="300" t="str">
        <f>CONCATENATE([1]Cover!$D$6,"fdd/view?i=",S1432)</f>
        <v>https://www.dgiwg.org/FAD/fdd/view?i=</v>
      </c>
      <c r="U1432" s="188"/>
    </row>
    <row r="1433" spans="1:21" ht="2.1" customHeight="1">
      <c r="A1433" s="98"/>
      <c r="B1433" s="87"/>
      <c r="C1433" s="99"/>
      <c r="D1433" s="87"/>
      <c r="E1433" s="99"/>
      <c r="F1433" s="100"/>
      <c r="G1433" s="100"/>
      <c r="H1433" s="100"/>
      <c r="I1433" s="101"/>
      <c r="J1433" s="106"/>
      <c r="K1433" s="103"/>
      <c r="L1433" s="104"/>
      <c r="M1433" s="100"/>
      <c r="N1433" s="100"/>
      <c r="O1433" s="100"/>
      <c r="P1433" s="100"/>
      <c r="Q1433" s="105"/>
      <c r="R1433" s="105"/>
      <c r="S1433" s="169"/>
      <c r="U1433" s="188"/>
    </row>
    <row r="1434" spans="1:21" ht="38.25">
      <c r="A1434" s="67" t="s">
        <v>6872</v>
      </c>
      <c r="B1434" s="87" t="s">
        <v>6872</v>
      </c>
      <c r="C1434" s="88" t="s">
        <v>13069</v>
      </c>
      <c r="D1434" s="89"/>
      <c r="E1434" s="90"/>
      <c r="F1434" s="91" t="s">
        <v>13070</v>
      </c>
      <c r="G1434" s="90"/>
      <c r="H1434" s="91" t="s">
        <v>13029</v>
      </c>
      <c r="I1434" s="92"/>
      <c r="J1434" s="93"/>
      <c r="K1434" s="94"/>
      <c r="L1434" s="91" t="s">
        <v>6543</v>
      </c>
      <c r="M1434" s="90"/>
      <c r="N1434" s="91">
        <v>4</v>
      </c>
      <c r="O1434" s="108" t="b">
        <v>0</v>
      </c>
      <c r="P1434" s="90"/>
      <c r="Q1434" s="96"/>
      <c r="R1434" s="97"/>
      <c r="S1434" s="169"/>
      <c r="T1434" s="300" t="str">
        <f>CONCATENATE([1]Cover!$D$6,"fdd/view?i=",S1434)</f>
        <v>https://www.dgiwg.org/FAD/fdd/view?i=</v>
      </c>
      <c r="U1434" s="188"/>
    </row>
    <row r="1435" spans="1:21" ht="2.1" customHeight="1">
      <c r="A1435" s="98"/>
      <c r="B1435" s="87"/>
      <c r="C1435" s="99"/>
      <c r="D1435" s="87"/>
      <c r="E1435" s="99"/>
      <c r="F1435" s="100"/>
      <c r="G1435" s="100"/>
      <c r="H1435" s="100"/>
      <c r="I1435" s="101"/>
      <c r="J1435" s="106"/>
      <c r="K1435" s="103"/>
      <c r="L1435" s="104"/>
      <c r="M1435" s="100"/>
      <c r="N1435" s="100"/>
      <c r="O1435" s="100"/>
      <c r="P1435" s="100"/>
      <c r="Q1435" s="105"/>
      <c r="R1435" s="105"/>
      <c r="S1435" s="169"/>
      <c r="U1435" s="188"/>
    </row>
    <row r="1436" spans="1:21" ht="38.25">
      <c r="A1436" s="67" t="s">
        <v>6922</v>
      </c>
      <c r="B1436" s="87" t="s">
        <v>6922</v>
      </c>
      <c r="C1436" s="88" t="s">
        <v>13071</v>
      </c>
      <c r="D1436" s="89"/>
      <c r="E1436" s="90"/>
      <c r="F1436" s="91" t="s">
        <v>13072</v>
      </c>
      <c r="G1436" s="90"/>
      <c r="H1436" s="91" t="s">
        <v>13029</v>
      </c>
      <c r="I1436" s="92"/>
      <c r="J1436" s="93"/>
      <c r="K1436" s="94"/>
      <c r="L1436" s="91" t="s">
        <v>6543</v>
      </c>
      <c r="M1436" s="90"/>
      <c r="N1436" s="91">
        <v>50</v>
      </c>
      <c r="O1436" s="108" t="b">
        <v>0</v>
      </c>
      <c r="P1436" s="90"/>
      <c r="Q1436" s="96"/>
      <c r="R1436" s="97"/>
      <c r="S1436" s="169"/>
      <c r="T1436" s="300" t="str">
        <f>CONCATENATE([1]Cover!$D$6,"fdd/view?i=",S1436)</f>
        <v>https://www.dgiwg.org/FAD/fdd/view?i=</v>
      </c>
      <c r="U1436" s="188"/>
    </row>
    <row r="1437" spans="1:21" ht="2.1" customHeight="1">
      <c r="A1437" s="98"/>
      <c r="B1437" s="87"/>
      <c r="C1437" s="99"/>
      <c r="D1437" s="87"/>
      <c r="E1437" s="99"/>
      <c r="F1437" s="100"/>
      <c r="G1437" s="100"/>
      <c r="H1437" s="100"/>
      <c r="I1437" s="101"/>
      <c r="J1437" s="106"/>
      <c r="K1437" s="103"/>
      <c r="L1437" s="104"/>
      <c r="M1437" s="100"/>
      <c r="N1437" s="100"/>
      <c r="O1437" s="100"/>
      <c r="P1437" s="100"/>
      <c r="Q1437" s="105"/>
      <c r="R1437" s="105"/>
      <c r="S1437" s="169"/>
      <c r="U1437" s="188"/>
    </row>
    <row r="1438" spans="1:21" ht="38.25">
      <c r="A1438" s="67" t="s">
        <v>7019</v>
      </c>
      <c r="B1438" s="87" t="s">
        <v>7019</v>
      </c>
      <c r="C1438" s="88" t="s">
        <v>13073</v>
      </c>
      <c r="D1438" s="89"/>
      <c r="E1438" s="90"/>
      <c r="F1438" s="91" t="s">
        <v>13074</v>
      </c>
      <c r="G1438" s="90"/>
      <c r="H1438" s="91" t="s">
        <v>13029</v>
      </c>
      <c r="I1438" s="92"/>
      <c r="J1438" s="93"/>
      <c r="K1438" s="94"/>
      <c r="L1438" s="91" t="s">
        <v>6543</v>
      </c>
      <c r="M1438" s="90"/>
      <c r="N1438" s="91">
        <v>60</v>
      </c>
      <c r="O1438" s="108" t="b">
        <v>0</v>
      </c>
      <c r="P1438" s="90"/>
      <c r="Q1438" s="96"/>
      <c r="R1438" s="97"/>
      <c r="S1438" s="169"/>
      <c r="T1438" s="300" t="str">
        <f>CONCATENATE([1]Cover!$D$6,"fdd/view?i=",S1438)</f>
        <v>https://www.dgiwg.org/FAD/fdd/view?i=</v>
      </c>
      <c r="U1438" s="188"/>
    </row>
    <row r="1439" spans="1:21" ht="2.1" customHeight="1">
      <c r="A1439" s="98"/>
      <c r="B1439" s="87"/>
      <c r="C1439" s="99"/>
      <c r="D1439" s="87"/>
      <c r="E1439" s="99"/>
      <c r="F1439" s="100"/>
      <c r="G1439" s="100"/>
      <c r="H1439" s="100"/>
      <c r="I1439" s="101"/>
      <c r="J1439" s="106"/>
      <c r="K1439" s="103"/>
      <c r="L1439" s="104"/>
      <c r="M1439" s="100"/>
      <c r="N1439" s="100"/>
      <c r="O1439" s="100"/>
      <c r="P1439" s="100"/>
      <c r="Q1439" s="105"/>
      <c r="R1439" s="105"/>
      <c r="S1439" s="169"/>
      <c r="U1439" s="188"/>
    </row>
    <row r="1440" spans="1:21" ht="38.25">
      <c r="A1440" s="67" t="s">
        <v>5939</v>
      </c>
      <c r="B1440" s="87" t="s">
        <v>5939</v>
      </c>
      <c r="C1440" s="88" t="s">
        <v>13075</v>
      </c>
      <c r="D1440" s="89"/>
      <c r="E1440" s="90"/>
      <c r="F1440" s="91" t="s">
        <v>13076</v>
      </c>
      <c r="G1440" s="90"/>
      <c r="H1440" s="91" t="s">
        <v>13029</v>
      </c>
      <c r="I1440" s="92"/>
      <c r="J1440" s="93"/>
      <c r="K1440" s="94"/>
      <c r="L1440" s="91" t="s">
        <v>6543</v>
      </c>
      <c r="M1440" s="90"/>
      <c r="N1440" s="91">
        <v>80</v>
      </c>
      <c r="O1440" s="108" t="b">
        <v>0</v>
      </c>
      <c r="P1440" s="90"/>
      <c r="Q1440" s="96"/>
      <c r="R1440" s="97"/>
      <c r="S1440" s="169"/>
      <c r="T1440" s="300" t="str">
        <f>CONCATENATE([1]Cover!$D$6,"fdd/view?i=",S1440)</f>
        <v>https://www.dgiwg.org/FAD/fdd/view?i=</v>
      </c>
      <c r="U1440" s="188"/>
    </row>
    <row r="1441" spans="1:21" ht="2.1" customHeight="1">
      <c r="A1441" s="98"/>
      <c r="B1441" s="87"/>
      <c r="C1441" s="99"/>
      <c r="D1441" s="87"/>
      <c r="E1441" s="99"/>
      <c r="F1441" s="100"/>
      <c r="G1441" s="100"/>
      <c r="H1441" s="100"/>
      <c r="I1441" s="101"/>
      <c r="J1441" s="106"/>
      <c r="K1441" s="103"/>
      <c r="L1441" s="104"/>
      <c r="M1441" s="100"/>
      <c r="N1441" s="100"/>
      <c r="O1441" s="100"/>
      <c r="P1441" s="100"/>
      <c r="Q1441" s="105"/>
      <c r="R1441" s="105"/>
      <c r="S1441" s="169"/>
      <c r="U1441" s="188"/>
    </row>
    <row r="1442" spans="1:21" ht="38.25">
      <c r="A1442" s="67" t="s">
        <v>4886</v>
      </c>
      <c r="B1442" s="87" t="s">
        <v>4886</v>
      </c>
      <c r="C1442" s="88" t="s">
        <v>13077</v>
      </c>
      <c r="D1442" s="89"/>
      <c r="E1442" s="90"/>
      <c r="F1442" s="91" t="s">
        <v>13078</v>
      </c>
      <c r="G1442" s="90"/>
      <c r="H1442" s="91" t="s">
        <v>13029</v>
      </c>
      <c r="I1442" s="92"/>
      <c r="J1442" s="93"/>
      <c r="K1442" s="94"/>
      <c r="L1442" s="91" t="s">
        <v>6543</v>
      </c>
      <c r="M1442" s="90"/>
      <c r="N1442" s="108" t="s">
        <v>11810</v>
      </c>
      <c r="O1442" s="108" t="b">
        <v>0</v>
      </c>
      <c r="P1442" s="90"/>
      <c r="Q1442" s="96"/>
      <c r="R1442" s="97"/>
      <c r="S1442" s="169"/>
      <c r="T1442" s="300" t="str">
        <f>CONCATENATE([1]Cover!$D$6,"fdd/view?i=",S1442)</f>
        <v>https://www.dgiwg.org/FAD/fdd/view?i=</v>
      </c>
      <c r="U1442" s="188"/>
    </row>
    <row r="1443" spans="1:21" ht="2.1" customHeight="1">
      <c r="A1443" s="98"/>
      <c r="B1443" s="87"/>
      <c r="C1443" s="99"/>
      <c r="D1443" s="87"/>
      <c r="E1443" s="99"/>
      <c r="F1443" s="100"/>
      <c r="G1443" s="100"/>
      <c r="H1443" s="100"/>
      <c r="I1443" s="101"/>
      <c r="J1443" s="106"/>
      <c r="K1443" s="103"/>
      <c r="L1443" s="104"/>
      <c r="M1443" s="100"/>
      <c r="N1443" s="100"/>
      <c r="O1443" s="100"/>
      <c r="P1443" s="100"/>
      <c r="Q1443" s="105"/>
      <c r="R1443" s="105"/>
      <c r="S1443" s="169"/>
      <c r="U1443" s="188"/>
    </row>
    <row r="1444" spans="1:21" ht="25.5">
      <c r="A1444" s="67" t="s">
        <v>10650</v>
      </c>
      <c r="B1444" s="87" t="s">
        <v>10650</v>
      </c>
      <c r="C1444" s="88" t="s">
        <v>13079</v>
      </c>
      <c r="D1444" s="89"/>
      <c r="E1444" s="90"/>
      <c r="F1444" s="91" t="s">
        <v>13080</v>
      </c>
      <c r="G1444" s="90"/>
      <c r="H1444" s="90"/>
      <c r="I1444" s="92"/>
      <c r="J1444" s="93"/>
      <c r="K1444" s="94"/>
      <c r="L1444" s="149" t="str">
        <f>HYPERLINK("[#]DatatypeListedValues!B6840:H6840","Enumeration")</f>
        <v>Enumeration</v>
      </c>
      <c r="M1444" s="107" t="b">
        <v>0</v>
      </c>
      <c r="N1444" s="90"/>
      <c r="O1444" s="95"/>
      <c r="P1444" s="90"/>
      <c r="Q1444" s="96"/>
      <c r="R1444" s="97"/>
      <c r="S1444" s="169"/>
      <c r="T1444" s="300" t="str">
        <f>CONCATENATE([1]Cover!$D$6,"fdd/view?i=",S1444)</f>
        <v>https://www.dgiwg.org/FAD/fdd/view?i=</v>
      </c>
      <c r="U1444" s="188"/>
    </row>
    <row r="1445" spans="1:21" ht="2.1" customHeight="1">
      <c r="A1445" s="98"/>
      <c r="B1445" s="87"/>
      <c r="C1445" s="99"/>
      <c r="D1445" s="87"/>
      <c r="E1445" s="99"/>
      <c r="F1445" s="100"/>
      <c r="G1445" s="100"/>
      <c r="H1445" s="100"/>
      <c r="I1445" s="101"/>
      <c r="J1445" s="106"/>
      <c r="K1445" s="103"/>
      <c r="L1445" s="104"/>
      <c r="M1445" s="100"/>
      <c r="N1445" s="100"/>
      <c r="O1445" s="100"/>
      <c r="P1445" s="100"/>
      <c r="Q1445" s="105"/>
      <c r="R1445" s="105"/>
      <c r="S1445" s="169"/>
      <c r="U1445" s="188"/>
    </row>
    <row r="1446" spans="1:21">
      <c r="A1446" s="67" t="s">
        <v>10759</v>
      </c>
      <c r="B1446" s="87" t="s">
        <v>10759</v>
      </c>
      <c r="C1446" s="88" t="s">
        <v>13081</v>
      </c>
      <c r="D1446" s="89"/>
      <c r="E1446" s="90"/>
      <c r="F1446" s="91" t="s">
        <v>13082</v>
      </c>
      <c r="G1446" s="90"/>
      <c r="H1446" s="90"/>
      <c r="I1446" s="92"/>
      <c r="J1446" s="93"/>
      <c r="K1446" s="94"/>
      <c r="L1446" s="149" t="str">
        <f>HYPERLINK("[#]DatatypeListedValues!B6846:H6846","Enumeration")</f>
        <v>Enumeration</v>
      </c>
      <c r="M1446" s="107" t="b">
        <v>0</v>
      </c>
      <c r="N1446" s="90"/>
      <c r="O1446" s="95"/>
      <c r="P1446" s="90"/>
      <c r="Q1446" s="96"/>
      <c r="R1446" s="97"/>
      <c r="S1446" s="169"/>
      <c r="T1446" s="300" t="str">
        <f>CONCATENATE([1]Cover!$D$6,"fdd/view?i=",S1446)</f>
        <v>https://www.dgiwg.org/FAD/fdd/view?i=</v>
      </c>
      <c r="U1446" s="188"/>
    </row>
    <row r="1447" spans="1:21" ht="2.1" customHeight="1">
      <c r="A1447" s="98"/>
      <c r="B1447" s="87"/>
      <c r="C1447" s="99"/>
      <c r="D1447" s="87"/>
      <c r="E1447" s="99"/>
      <c r="F1447" s="100"/>
      <c r="G1447" s="100"/>
      <c r="H1447" s="100"/>
      <c r="I1447" s="101"/>
      <c r="J1447" s="106"/>
      <c r="K1447" s="103"/>
      <c r="L1447" s="104"/>
      <c r="M1447" s="100"/>
      <c r="N1447" s="100"/>
      <c r="O1447" s="100"/>
      <c r="P1447" s="100"/>
      <c r="Q1447" s="105"/>
      <c r="R1447" s="105"/>
      <c r="S1447" s="169"/>
      <c r="U1447" s="188"/>
    </row>
    <row r="1448" spans="1:21" ht="51">
      <c r="A1448" s="67" t="s">
        <v>10769</v>
      </c>
      <c r="B1448" s="87" t="s">
        <v>10769</v>
      </c>
      <c r="C1448" s="88" t="s">
        <v>13083</v>
      </c>
      <c r="D1448" s="89"/>
      <c r="E1448" s="90"/>
      <c r="F1448" s="91" t="s">
        <v>13084</v>
      </c>
      <c r="G1448" s="91" t="s">
        <v>13085</v>
      </c>
      <c r="H1448" s="90"/>
      <c r="I1448" s="92"/>
      <c r="J1448" s="93"/>
      <c r="K1448" s="94"/>
      <c r="L1448" s="149" t="str">
        <f>HYPERLINK("[#]DatatypeListedValues!B6853:H6853","Enumeration")</f>
        <v>Enumeration</v>
      </c>
      <c r="M1448" s="107" t="b">
        <v>0</v>
      </c>
      <c r="N1448" s="90"/>
      <c r="O1448" s="95"/>
      <c r="P1448" s="90"/>
      <c r="Q1448" s="96"/>
      <c r="R1448" s="97"/>
      <c r="S1448" s="169"/>
      <c r="T1448" s="300" t="str">
        <f>CONCATENATE([1]Cover!$D$6,"fdd/view?i=",S1448)</f>
        <v>https://www.dgiwg.org/FAD/fdd/view?i=</v>
      </c>
      <c r="U1448" s="188"/>
    </row>
    <row r="1449" spans="1:21" ht="2.1" customHeight="1">
      <c r="A1449" s="98"/>
      <c r="B1449" s="87"/>
      <c r="C1449" s="99"/>
      <c r="D1449" s="87"/>
      <c r="E1449" s="99"/>
      <c r="F1449" s="100"/>
      <c r="G1449" s="100"/>
      <c r="H1449" s="100"/>
      <c r="I1449" s="101"/>
      <c r="J1449" s="106"/>
      <c r="K1449" s="103"/>
      <c r="L1449" s="104"/>
      <c r="M1449" s="100"/>
      <c r="N1449" s="100"/>
      <c r="O1449" s="100"/>
      <c r="P1449" s="100"/>
      <c r="Q1449" s="105"/>
      <c r="R1449" s="105"/>
      <c r="S1449" s="169"/>
      <c r="U1449" s="188"/>
    </row>
    <row r="1450" spans="1:21">
      <c r="A1450" s="67" t="s">
        <v>10775</v>
      </c>
      <c r="B1450" s="87" t="s">
        <v>10775</v>
      </c>
      <c r="C1450" s="88" t="s">
        <v>13086</v>
      </c>
      <c r="D1450" s="89"/>
      <c r="E1450" s="90"/>
      <c r="F1450" s="91" t="s">
        <v>13087</v>
      </c>
      <c r="G1450" s="90"/>
      <c r="H1450" s="90"/>
      <c r="I1450" s="92"/>
      <c r="J1450" s="93"/>
      <c r="K1450" s="94"/>
      <c r="L1450" s="149" t="str">
        <f>HYPERLINK("[#]DatatypeListedValues!B6872:H6872","Enumeration")</f>
        <v>Enumeration</v>
      </c>
      <c r="M1450" s="107" t="b">
        <v>0</v>
      </c>
      <c r="N1450" s="90"/>
      <c r="O1450" s="95"/>
      <c r="P1450" s="90"/>
      <c r="Q1450" s="96"/>
      <c r="R1450" s="97"/>
      <c r="S1450" s="169"/>
      <c r="T1450" s="300" t="str">
        <f>CONCATENATE([1]Cover!$D$6,"fdd/view?i=",S1450)</f>
        <v>https://www.dgiwg.org/FAD/fdd/view?i=</v>
      </c>
      <c r="U1450" s="188"/>
    </row>
    <row r="1451" spans="1:21" ht="2.1" customHeight="1">
      <c r="A1451" s="98"/>
      <c r="B1451" s="87"/>
      <c r="C1451" s="99"/>
      <c r="D1451" s="87"/>
      <c r="E1451" s="99"/>
      <c r="F1451" s="100"/>
      <c r="G1451" s="100"/>
      <c r="H1451" s="100"/>
      <c r="I1451" s="101"/>
      <c r="J1451" s="106"/>
      <c r="K1451" s="103"/>
      <c r="L1451" s="104"/>
      <c r="M1451" s="100"/>
      <c r="N1451" s="100"/>
      <c r="O1451" s="100"/>
      <c r="P1451" s="100"/>
      <c r="Q1451" s="105"/>
      <c r="R1451" s="105"/>
      <c r="S1451" s="169"/>
      <c r="U1451" s="188"/>
    </row>
    <row r="1452" spans="1:21">
      <c r="A1452" s="67" t="s">
        <v>10798</v>
      </c>
      <c r="B1452" s="87" t="s">
        <v>10798</v>
      </c>
      <c r="C1452" s="88" t="s">
        <v>13088</v>
      </c>
      <c r="D1452" s="89"/>
      <c r="E1452" s="90"/>
      <c r="F1452" s="91" t="s">
        <v>13089</v>
      </c>
      <c r="G1452" s="90"/>
      <c r="H1452" s="90"/>
      <c r="I1452" s="92"/>
      <c r="J1452" s="93"/>
      <c r="K1452" s="94"/>
      <c r="L1452" s="149" t="str">
        <f>HYPERLINK("[#]DatatypeListedValues!B6908:H6908","Enumeration")</f>
        <v>Enumeration</v>
      </c>
      <c r="M1452" s="107" t="b">
        <v>0</v>
      </c>
      <c r="N1452" s="90"/>
      <c r="O1452" s="95"/>
      <c r="P1452" s="90"/>
      <c r="Q1452" s="96"/>
      <c r="R1452" s="97"/>
      <c r="S1452" s="169"/>
      <c r="T1452" s="300" t="str">
        <f>CONCATENATE([1]Cover!$D$6,"fdd/view?i=",S1452)</f>
        <v>https://www.dgiwg.org/FAD/fdd/view?i=</v>
      </c>
      <c r="U1452" s="188"/>
    </row>
    <row r="1453" spans="1:21" ht="2.1" customHeight="1">
      <c r="A1453" s="98"/>
      <c r="B1453" s="87"/>
      <c r="C1453" s="99"/>
      <c r="D1453" s="87"/>
      <c r="E1453" s="99"/>
      <c r="F1453" s="100"/>
      <c r="G1453" s="100"/>
      <c r="H1453" s="100"/>
      <c r="I1453" s="101"/>
      <c r="J1453" s="106"/>
      <c r="K1453" s="103"/>
      <c r="L1453" s="104"/>
      <c r="M1453" s="100"/>
      <c r="N1453" s="100"/>
      <c r="O1453" s="100"/>
      <c r="P1453" s="100"/>
      <c r="Q1453" s="105"/>
      <c r="R1453" s="105"/>
      <c r="S1453" s="169"/>
      <c r="U1453" s="188"/>
    </row>
    <row r="1454" spans="1:21">
      <c r="A1454" s="67" t="s">
        <v>10803</v>
      </c>
      <c r="B1454" s="87" t="s">
        <v>10803</v>
      </c>
      <c r="C1454" s="88" t="s">
        <v>13090</v>
      </c>
      <c r="D1454" s="89"/>
      <c r="E1454" s="90"/>
      <c r="F1454" s="91" t="s">
        <v>13091</v>
      </c>
      <c r="G1454" s="90"/>
      <c r="H1454" s="90"/>
      <c r="I1454" s="92"/>
      <c r="J1454" s="93"/>
      <c r="K1454" s="94"/>
      <c r="L1454" s="149" t="str">
        <f>HYPERLINK("[#]DatatypeListedValues!B6922:H6922","Enumeration")</f>
        <v>Enumeration</v>
      </c>
      <c r="M1454" s="107" t="b">
        <v>0</v>
      </c>
      <c r="N1454" s="90"/>
      <c r="O1454" s="95"/>
      <c r="P1454" s="90"/>
      <c r="Q1454" s="96"/>
      <c r="R1454" s="97"/>
      <c r="S1454" s="169"/>
      <c r="T1454" s="300" t="str">
        <f>CONCATENATE([1]Cover!$D$6,"fdd/view?i=",S1454)</f>
        <v>https://www.dgiwg.org/FAD/fdd/view?i=</v>
      </c>
      <c r="U1454" s="188"/>
    </row>
    <row r="1455" spans="1:21" ht="2.1" customHeight="1">
      <c r="A1455" s="98"/>
      <c r="B1455" s="87"/>
      <c r="C1455" s="99"/>
      <c r="D1455" s="87"/>
      <c r="E1455" s="99"/>
      <c r="F1455" s="100"/>
      <c r="G1455" s="100"/>
      <c r="H1455" s="100"/>
      <c r="I1455" s="101"/>
      <c r="J1455" s="106"/>
      <c r="K1455" s="103"/>
      <c r="L1455" s="104"/>
      <c r="M1455" s="100"/>
      <c r="N1455" s="100"/>
      <c r="O1455" s="100"/>
      <c r="P1455" s="100"/>
      <c r="Q1455" s="105"/>
      <c r="R1455" s="105"/>
      <c r="S1455" s="169"/>
      <c r="U1455" s="188"/>
    </row>
    <row r="1456" spans="1:21">
      <c r="A1456" s="67" t="s">
        <v>10812</v>
      </c>
      <c r="B1456" s="87" t="s">
        <v>10812</v>
      </c>
      <c r="C1456" s="88" t="s">
        <v>13092</v>
      </c>
      <c r="D1456" s="89"/>
      <c r="E1456" s="90"/>
      <c r="F1456" s="91" t="s">
        <v>13093</v>
      </c>
      <c r="G1456" s="90"/>
      <c r="H1456" s="90"/>
      <c r="I1456" s="92"/>
      <c r="J1456" s="93"/>
      <c r="K1456" s="94"/>
      <c r="L1456" s="149" t="str">
        <f>HYPERLINK("[#]DatatypeListedValues!B6930:H6930","Enumeration")</f>
        <v>Enumeration</v>
      </c>
      <c r="M1456" s="107" t="b">
        <v>0</v>
      </c>
      <c r="N1456" s="90"/>
      <c r="O1456" s="95"/>
      <c r="P1456" s="90"/>
      <c r="Q1456" s="96"/>
      <c r="R1456" s="97"/>
      <c r="S1456" s="169"/>
      <c r="T1456" s="300" t="str">
        <f>CONCATENATE([1]Cover!$D$6,"fdd/view?i=",S1456)</f>
        <v>https://www.dgiwg.org/FAD/fdd/view?i=</v>
      </c>
      <c r="U1456" s="188"/>
    </row>
    <row r="1457" spans="1:21" ht="2.1" customHeight="1">
      <c r="A1457" s="98"/>
      <c r="B1457" s="87"/>
      <c r="C1457" s="99"/>
      <c r="D1457" s="87"/>
      <c r="E1457" s="99"/>
      <c r="F1457" s="100"/>
      <c r="G1457" s="100"/>
      <c r="H1457" s="100"/>
      <c r="I1457" s="101"/>
      <c r="J1457" s="106"/>
      <c r="K1457" s="103"/>
      <c r="L1457" s="104"/>
      <c r="M1457" s="100"/>
      <c r="N1457" s="100"/>
      <c r="O1457" s="100"/>
      <c r="P1457" s="100"/>
      <c r="Q1457" s="105"/>
      <c r="R1457" s="105"/>
      <c r="S1457" s="169"/>
      <c r="U1457" s="188"/>
    </row>
    <row r="1458" spans="1:21">
      <c r="A1458" s="67" t="s">
        <v>10817</v>
      </c>
      <c r="B1458" s="87" t="s">
        <v>10817</v>
      </c>
      <c r="C1458" s="88" t="s">
        <v>13094</v>
      </c>
      <c r="D1458" s="89"/>
      <c r="E1458" s="90"/>
      <c r="F1458" s="91" t="s">
        <v>13095</v>
      </c>
      <c r="G1458" s="90"/>
      <c r="H1458" s="90"/>
      <c r="I1458" s="92"/>
      <c r="J1458" s="93"/>
      <c r="K1458" s="94"/>
      <c r="L1458" s="149" t="str">
        <f>HYPERLINK("[#]DatatypeListedValues!B6941:H6941","Enumeration")</f>
        <v>Enumeration</v>
      </c>
      <c r="M1458" s="91" t="b">
        <v>1</v>
      </c>
      <c r="N1458" s="90"/>
      <c r="O1458" s="95"/>
      <c r="P1458" s="90"/>
      <c r="Q1458" s="96"/>
      <c r="R1458" s="97"/>
      <c r="S1458" s="169"/>
      <c r="T1458" s="300" t="str">
        <f>CONCATENATE([1]Cover!$D$6,"fdd/view?i=",S1458)</f>
        <v>https://www.dgiwg.org/FAD/fdd/view?i=</v>
      </c>
      <c r="U1458" s="188"/>
    </row>
    <row r="1459" spans="1:21" ht="2.1" customHeight="1">
      <c r="A1459" s="98"/>
      <c r="B1459" s="87"/>
      <c r="C1459" s="99"/>
      <c r="D1459" s="87"/>
      <c r="E1459" s="99"/>
      <c r="F1459" s="100"/>
      <c r="G1459" s="100"/>
      <c r="H1459" s="100"/>
      <c r="I1459" s="101"/>
      <c r="J1459" s="106"/>
      <c r="K1459" s="103"/>
      <c r="L1459" s="104"/>
      <c r="M1459" s="100"/>
      <c r="N1459" s="100"/>
      <c r="O1459" s="100"/>
      <c r="P1459" s="100"/>
      <c r="Q1459" s="105"/>
      <c r="R1459" s="105"/>
      <c r="S1459" s="169"/>
      <c r="U1459" s="188"/>
    </row>
    <row r="1460" spans="1:21" ht="25.5">
      <c r="A1460" s="67" t="s">
        <v>10823</v>
      </c>
      <c r="B1460" s="87" t="s">
        <v>10823</v>
      </c>
      <c r="C1460" s="88" t="s">
        <v>13096</v>
      </c>
      <c r="D1460" s="89"/>
      <c r="E1460" s="90"/>
      <c r="F1460" s="91" t="s">
        <v>13097</v>
      </c>
      <c r="G1460" s="90"/>
      <c r="H1460" s="90"/>
      <c r="I1460" s="92"/>
      <c r="J1460" s="93"/>
      <c r="K1460" s="94"/>
      <c r="L1460" s="149" t="str">
        <f>HYPERLINK("[#]DatatypeListedValues!B6945:H6945","Enumeration")</f>
        <v>Enumeration</v>
      </c>
      <c r="M1460" s="107" t="b">
        <v>0</v>
      </c>
      <c r="N1460" s="90"/>
      <c r="O1460" s="95"/>
      <c r="P1460" s="90"/>
      <c r="Q1460" s="96"/>
      <c r="R1460" s="97"/>
      <c r="S1460" s="169"/>
      <c r="T1460" s="300" t="str">
        <f>CONCATENATE([1]Cover!$D$6,"fdd/view?i=",S1460)</f>
        <v>https://www.dgiwg.org/FAD/fdd/view?i=</v>
      </c>
      <c r="U1460" s="188"/>
    </row>
    <row r="1461" spans="1:21" ht="2.1" customHeight="1">
      <c r="A1461" s="98"/>
      <c r="B1461" s="87"/>
      <c r="C1461" s="99"/>
      <c r="D1461" s="87"/>
      <c r="E1461" s="99"/>
      <c r="F1461" s="100"/>
      <c r="G1461" s="100"/>
      <c r="H1461" s="100"/>
      <c r="I1461" s="101"/>
      <c r="J1461" s="106"/>
      <c r="K1461" s="103"/>
      <c r="L1461" s="104"/>
      <c r="M1461" s="100"/>
      <c r="N1461" s="100"/>
      <c r="O1461" s="100"/>
      <c r="P1461" s="100"/>
      <c r="Q1461" s="105"/>
      <c r="R1461" s="105"/>
      <c r="S1461" s="169"/>
      <c r="U1461" s="188"/>
    </row>
    <row r="1462" spans="1:21" ht="25.5">
      <c r="A1462" s="67" t="s">
        <v>10828</v>
      </c>
      <c r="B1462" s="87" t="s">
        <v>10828</v>
      </c>
      <c r="C1462" s="88" t="s">
        <v>13098</v>
      </c>
      <c r="D1462" s="89"/>
      <c r="E1462" s="90"/>
      <c r="F1462" s="91" t="s">
        <v>13099</v>
      </c>
      <c r="G1462" s="90"/>
      <c r="H1462" s="90"/>
      <c r="I1462" s="92"/>
      <c r="J1462" s="93"/>
      <c r="K1462" s="94"/>
      <c r="L1462" s="149" t="str">
        <f>HYPERLINK("[#]DatatypeListedValues!B6948:H6948","Enumeration")</f>
        <v>Enumeration</v>
      </c>
      <c r="M1462" s="107" t="b">
        <v>0</v>
      </c>
      <c r="N1462" s="90"/>
      <c r="O1462" s="95"/>
      <c r="P1462" s="90"/>
      <c r="Q1462" s="96"/>
      <c r="R1462" s="97"/>
      <c r="S1462" s="169"/>
      <c r="T1462" s="300" t="str">
        <f>CONCATENATE([1]Cover!$D$6,"fdd/view?i=",S1462)</f>
        <v>https://www.dgiwg.org/FAD/fdd/view?i=</v>
      </c>
      <c r="U1462" s="188"/>
    </row>
    <row r="1463" spans="1:21" ht="2.1" customHeight="1">
      <c r="A1463" s="98"/>
      <c r="B1463" s="87"/>
      <c r="C1463" s="99"/>
      <c r="D1463" s="87"/>
      <c r="E1463" s="99"/>
      <c r="F1463" s="100"/>
      <c r="G1463" s="100"/>
      <c r="H1463" s="100"/>
      <c r="I1463" s="101"/>
      <c r="J1463" s="106"/>
      <c r="K1463" s="103"/>
      <c r="L1463" s="104"/>
      <c r="M1463" s="100"/>
      <c r="N1463" s="100"/>
      <c r="O1463" s="100"/>
      <c r="P1463" s="100"/>
      <c r="Q1463" s="105"/>
      <c r="R1463" s="105"/>
      <c r="S1463" s="169"/>
      <c r="U1463" s="188"/>
    </row>
    <row r="1464" spans="1:21" ht="63.75">
      <c r="A1464" s="67" t="s">
        <v>10846</v>
      </c>
      <c r="B1464" s="87" t="s">
        <v>10846</v>
      </c>
      <c r="C1464" s="88" t="s">
        <v>13100</v>
      </c>
      <c r="D1464" s="89"/>
      <c r="E1464" s="90"/>
      <c r="F1464" s="91" t="s">
        <v>13101</v>
      </c>
      <c r="G1464" s="90"/>
      <c r="H1464" s="91" t="s">
        <v>11426</v>
      </c>
      <c r="I1464" s="92"/>
      <c r="J1464" s="93"/>
      <c r="K1464" s="94"/>
      <c r="L1464" s="91" t="s">
        <v>11425</v>
      </c>
      <c r="M1464" s="90"/>
      <c r="N1464" s="91">
        <v>14</v>
      </c>
      <c r="O1464" s="108" t="b">
        <v>0</v>
      </c>
      <c r="P1464" s="91" t="s">
        <v>13102</v>
      </c>
      <c r="Q1464" s="96"/>
      <c r="R1464" s="97"/>
      <c r="S1464" s="169"/>
      <c r="T1464" s="300" t="str">
        <f>CONCATENATE([1]Cover!$D$6,"fdd/view?i=",S1464)</f>
        <v>https://www.dgiwg.org/FAD/fdd/view?i=</v>
      </c>
      <c r="U1464" s="188"/>
    </row>
    <row r="1465" spans="1:21" ht="2.1" customHeight="1">
      <c r="A1465" s="98"/>
      <c r="B1465" s="87"/>
      <c r="C1465" s="99"/>
      <c r="D1465" s="87"/>
      <c r="E1465" s="99"/>
      <c r="F1465" s="100"/>
      <c r="G1465" s="100"/>
      <c r="H1465" s="100"/>
      <c r="I1465" s="101"/>
      <c r="J1465" s="106"/>
      <c r="K1465" s="103"/>
      <c r="L1465" s="104"/>
      <c r="M1465" s="100"/>
      <c r="N1465" s="100"/>
      <c r="O1465" s="100"/>
      <c r="P1465" s="100"/>
      <c r="Q1465" s="105"/>
      <c r="R1465" s="105"/>
      <c r="S1465" s="169"/>
      <c r="U1465" s="188"/>
    </row>
    <row r="1466" spans="1:21" ht="25.5">
      <c r="A1466" s="67" t="s">
        <v>10852</v>
      </c>
      <c r="B1466" s="87" t="s">
        <v>10852</v>
      </c>
      <c r="C1466" s="88" t="s">
        <v>13103</v>
      </c>
      <c r="D1466" s="89"/>
      <c r="E1466" s="90"/>
      <c r="F1466" s="91" t="s">
        <v>13104</v>
      </c>
      <c r="G1466" s="90"/>
      <c r="H1466" s="90"/>
      <c r="I1466" s="92"/>
      <c r="J1466" s="93"/>
      <c r="K1466" s="94"/>
      <c r="L1466" s="149" t="str">
        <f>HYPERLINK("[#]DatatypeListedValues!B6953:H6953","Enumeration")</f>
        <v>Enumeration</v>
      </c>
      <c r="M1466" s="107" t="b">
        <v>0</v>
      </c>
      <c r="N1466" s="90"/>
      <c r="O1466" s="95"/>
      <c r="P1466" s="90"/>
      <c r="Q1466" s="96"/>
      <c r="R1466" s="97"/>
      <c r="S1466" s="169"/>
      <c r="T1466" s="300" t="str">
        <f>CONCATENATE([1]Cover!$D$6,"fdd/view?i=",S1466)</f>
        <v>https://www.dgiwg.org/FAD/fdd/view?i=</v>
      </c>
      <c r="U1466" s="188"/>
    </row>
    <row r="1467" spans="1:21" ht="2.1" customHeight="1">
      <c r="A1467" s="98"/>
      <c r="B1467" s="87"/>
      <c r="C1467" s="99"/>
      <c r="D1467" s="87"/>
      <c r="E1467" s="99"/>
      <c r="F1467" s="100"/>
      <c r="G1467" s="100"/>
      <c r="H1467" s="100"/>
      <c r="I1467" s="101"/>
      <c r="J1467" s="106"/>
      <c r="K1467" s="103"/>
      <c r="L1467" s="104"/>
      <c r="M1467" s="100"/>
      <c r="N1467" s="100"/>
      <c r="O1467" s="100"/>
      <c r="P1467" s="100"/>
      <c r="Q1467" s="105"/>
      <c r="R1467" s="105"/>
      <c r="S1467" s="169"/>
      <c r="U1467" s="188"/>
    </row>
    <row r="1468" spans="1:21" ht="25.5">
      <c r="A1468" s="67" t="s">
        <v>10857</v>
      </c>
      <c r="B1468" s="87" t="s">
        <v>10857</v>
      </c>
      <c r="C1468" s="88" t="s">
        <v>13105</v>
      </c>
      <c r="D1468" s="89"/>
      <c r="E1468" s="90"/>
      <c r="F1468" s="91" t="s">
        <v>13106</v>
      </c>
      <c r="G1468" s="90"/>
      <c r="H1468" s="90"/>
      <c r="I1468" s="92"/>
      <c r="J1468" s="93"/>
      <c r="K1468" s="94"/>
      <c r="L1468" s="149" t="str">
        <f>HYPERLINK("[#]DatatypeListedValues!B6955:H6955","Enumeration")</f>
        <v>Enumeration</v>
      </c>
      <c r="M1468" s="107" t="b">
        <v>0</v>
      </c>
      <c r="N1468" s="90"/>
      <c r="O1468" s="95"/>
      <c r="P1468" s="90"/>
      <c r="Q1468" s="96"/>
      <c r="R1468" s="97"/>
      <c r="S1468" s="169"/>
      <c r="T1468" s="300" t="str">
        <f>CONCATENATE([1]Cover!$D$6,"fdd/view?i=",S1468)</f>
        <v>https://www.dgiwg.org/FAD/fdd/view?i=</v>
      </c>
      <c r="U1468" s="188"/>
    </row>
    <row r="1469" spans="1:21" ht="2.1" customHeight="1">
      <c r="A1469" s="98"/>
      <c r="B1469" s="87"/>
      <c r="C1469" s="99"/>
      <c r="D1469" s="87"/>
      <c r="E1469" s="99"/>
      <c r="F1469" s="100"/>
      <c r="G1469" s="100"/>
      <c r="H1469" s="100"/>
      <c r="I1469" s="101"/>
      <c r="J1469" s="106"/>
      <c r="K1469" s="103"/>
      <c r="L1469" s="104"/>
      <c r="M1469" s="100"/>
      <c r="N1469" s="100"/>
      <c r="O1469" s="100"/>
      <c r="P1469" s="100"/>
      <c r="Q1469" s="105"/>
      <c r="R1469" s="105"/>
      <c r="S1469" s="169"/>
      <c r="U1469" s="188"/>
    </row>
    <row r="1470" spans="1:21" ht="25.5">
      <c r="A1470" s="67" t="s">
        <v>10862</v>
      </c>
      <c r="B1470" s="87" t="s">
        <v>10862</v>
      </c>
      <c r="C1470" s="88" t="s">
        <v>13107</v>
      </c>
      <c r="D1470" s="89"/>
      <c r="E1470" s="90"/>
      <c r="F1470" s="91" t="s">
        <v>13108</v>
      </c>
      <c r="G1470" s="90"/>
      <c r="H1470" s="90"/>
      <c r="I1470" s="92"/>
      <c r="J1470" s="93"/>
      <c r="K1470" s="94"/>
      <c r="L1470" s="149" t="str">
        <f>HYPERLINK("[#]DatatypeListedValues!B6959:H6959","Enumeration")</f>
        <v>Enumeration</v>
      </c>
      <c r="M1470" s="107" t="b">
        <v>0</v>
      </c>
      <c r="N1470" s="90"/>
      <c r="O1470" s="95"/>
      <c r="P1470" s="90"/>
      <c r="Q1470" s="96"/>
      <c r="R1470" s="97"/>
      <c r="S1470" s="169"/>
      <c r="T1470" s="300" t="str">
        <f>CONCATENATE([1]Cover!$D$6,"fdd/view?i=",S1470)</f>
        <v>https://www.dgiwg.org/FAD/fdd/view?i=</v>
      </c>
      <c r="U1470" s="188"/>
    </row>
    <row r="1471" spans="1:21" ht="2.1" customHeight="1">
      <c r="A1471" s="98"/>
      <c r="B1471" s="87"/>
      <c r="C1471" s="99"/>
      <c r="D1471" s="87"/>
      <c r="E1471" s="99"/>
      <c r="F1471" s="100"/>
      <c r="G1471" s="100"/>
      <c r="H1471" s="100"/>
      <c r="I1471" s="101"/>
      <c r="J1471" s="106"/>
      <c r="K1471" s="103"/>
      <c r="L1471" s="104"/>
      <c r="M1471" s="100"/>
      <c r="N1471" s="100"/>
      <c r="O1471" s="100"/>
      <c r="P1471" s="100"/>
      <c r="Q1471" s="105"/>
      <c r="R1471" s="105"/>
      <c r="S1471" s="169"/>
      <c r="U1471" s="188"/>
    </row>
    <row r="1472" spans="1:21" ht="25.5">
      <c r="A1472" s="67" t="s">
        <v>10871</v>
      </c>
      <c r="B1472" s="87" t="s">
        <v>10871</v>
      </c>
      <c r="C1472" s="88" t="s">
        <v>13109</v>
      </c>
      <c r="D1472" s="89"/>
      <c r="E1472" s="90"/>
      <c r="F1472" s="91" t="s">
        <v>13110</v>
      </c>
      <c r="G1472" s="90"/>
      <c r="H1472" s="90"/>
      <c r="I1472" s="92"/>
      <c r="J1472" s="93"/>
      <c r="K1472" s="94"/>
      <c r="L1472" s="149" t="str">
        <f>HYPERLINK("[#]DatatypeListedValues!B6983:H6983","Enumeration")</f>
        <v>Enumeration</v>
      </c>
      <c r="M1472" s="107" t="b">
        <v>0</v>
      </c>
      <c r="N1472" s="90"/>
      <c r="O1472" s="95"/>
      <c r="P1472" s="90"/>
      <c r="Q1472" s="96"/>
      <c r="R1472" s="97"/>
      <c r="S1472" s="169"/>
      <c r="T1472" s="300" t="str">
        <f>CONCATENATE([1]Cover!$D$6,"fdd/view?i=",S1472)</f>
        <v>https://www.dgiwg.org/FAD/fdd/view?i=</v>
      </c>
      <c r="U1472" s="188"/>
    </row>
    <row r="1473" spans="1:21" ht="2.1" customHeight="1">
      <c r="A1473" s="98"/>
      <c r="B1473" s="87"/>
      <c r="C1473" s="99"/>
      <c r="D1473" s="87"/>
      <c r="E1473" s="99"/>
      <c r="F1473" s="100"/>
      <c r="G1473" s="100"/>
      <c r="H1473" s="100"/>
      <c r="I1473" s="101"/>
      <c r="J1473" s="106"/>
      <c r="K1473" s="103"/>
      <c r="L1473" s="104"/>
      <c r="M1473" s="100"/>
      <c r="N1473" s="100"/>
      <c r="O1473" s="100"/>
      <c r="P1473" s="100"/>
      <c r="Q1473" s="105"/>
      <c r="R1473" s="105"/>
      <c r="S1473" s="169"/>
      <c r="U1473" s="188"/>
    </row>
    <row r="1474" spans="1:21">
      <c r="A1474" s="67" t="s">
        <v>10894</v>
      </c>
      <c r="B1474" s="87" t="s">
        <v>10894</v>
      </c>
      <c r="C1474" s="88" t="s">
        <v>13111</v>
      </c>
      <c r="D1474" s="89"/>
      <c r="E1474" s="90"/>
      <c r="F1474" s="91" t="s">
        <v>13112</v>
      </c>
      <c r="G1474" s="90"/>
      <c r="H1474" s="90"/>
      <c r="I1474" s="92"/>
      <c r="J1474" s="93"/>
      <c r="K1474" s="94"/>
      <c r="L1474" s="149" t="str">
        <f>HYPERLINK("[#]DatatypeListedValues!B6988:H6988","Enumeration")</f>
        <v>Enumeration</v>
      </c>
      <c r="M1474" s="107" t="b">
        <v>0</v>
      </c>
      <c r="N1474" s="90"/>
      <c r="O1474" s="95"/>
      <c r="P1474" s="90"/>
      <c r="Q1474" s="96"/>
      <c r="R1474" s="97"/>
      <c r="S1474" s="169"/>
      <c r="T1474" s="300" t="str">
        <f>CONCATENATE([1]Cover!$D$6,"fdd/view?i=",S1474)</f>
        <v>https://www.dgiwg.org/FAD/fdd/view?i=</v>
      </c>
      <c r="U1474" s="188"/>
    </row>
    <row r="1475" spans="1:21" ht="2.1" customHeight="1">
      <c r="A1475" s="98"/>
      <c r="B1475" s="87"/>
      <c r="C1475" s="99"/>
      <c r="D1475" s="87"/>
      <c r="E1475" s="99"/>
      <c r="F1475" s="100"/>
      <c r="G1475" s="100"/>
      <c r="H1475" s="100"/>
      <c r="I1475" s="101"/>
      <c r="J1475" s="106"/>
      <c r="K1475" s="103"/>
      <c r="L1475" s="104"/>
      <c r="M1475" s="100"/>
      <c r="N1475" s="100"/>
      <c r="O1475" s="100"/>
      <c r="P1475" s="100"/>
      <c r="Q1475" s="105"/>
      <c r="R1475" s="105"/>
      <c r="S1475" s="169"/>
      <c r="U1475" s="188"/>
    </row>
    <row r="1476" spans="1:21" ht="25.5">
      <c r="A1476" s="67" t="s">
        <v>10911</v>
      </c>
      <c r="B1476" s="87" t="s">
        <v>10911</v>
      </c>
      <c r="C1476" s="88" t="s">
        <v>13113</v>
      </c>
      <c r="D1476" s="89"/>
      <c r="E1476" s="90"/>
      <c r="F1476" s="91" t="s">
        <v>13114</v>
      </c>
      <c r="G1476" s="90"/>
      <c r="H1476" s="90"/>
      <c r="I1476" s="92"/>
      <c r="J1476" s="93"/>
      <c r="K1476" s="94"/>
      <c r="L1476" s="149" t="str">
        <f>HYPERLINK("[#]DatatypeListedValues!B6991:H6991","Enumeration")</f>
        <v>Enumeration</v>
      </c>
      <c r="M1476" s="107" t="b">
        <v>0</v>
      </c>
      <c r="N1476" s="90"/>
      <c r="O1476" s="95"/>
      <c r="P1476" s="90"/>
      <c r="Q1476" s="96"/>
      <c r="R1476" s="97"/>
      <c r="S1476" s="169"/>
      <c r="T1476" s="300" t="str">
        <f>CONCATENATE([1]Cover!$D$6,"fdd/view?i=",S1476)</f>
        <v>https://www.dgiwg.org/FAD/fdd/view?i=</v>
      </c>
      <c r="U1476" s="188"/>
    </row>
    <row r="1477" spans="1:21" ht="2.1" customHeight="1">
      <c r="A1477" s="98"/>
      <c r="B1477" s="87"/>
      <c r="C1477" s="99"/>
      <c r="D1477" s="87"/>
      <c r="E1477" s="99"/>
      <c r="F1477" s="100"/>
      <c r="G1477" s="100"/>
      <c r="H1477" s="100"/>
      <c r="I1477" s="101"/>
      <c r="J1477" s="106"/>
      <c r="K1477" s="103"/>
      <c r="L1477" s="104"/>
      <c r="M1477" s="100"/>
      <c r="N1477" s="100"/>
      <c r="O1477" s="100"/>
      <c r="P1477" s="100"/>
      <c r="Q1477" s="105"/>
      <c r="R1477" s="105"/>
      <c r="S1477" s="169"/>
      <c r="U1477" s="188"/>
    </row>
    <row r="1478" spans="1:21" ht="25.5">
      <c r="A1478" s="67" t="s">
        <v>10917</v>
      </c>
      <c r="B1478" s="87" t="s">
        <v>10917</v>
      </c>
      <c r="C1478" s="88" t="s">
        <v>13115</v>
      </c>
      <c r="D1478" s="89"/>
      <c r="E1478" s="90"/>
      <c r="F1478" s="91" t="s">
        <v>13116</v>
      </c>
      <c r="G1478" s="90"/>
      <c r="H1478" s="90"/>
      <c r="I1478" s="92"/>
      <c r="J1478" s="93"/>
      <c r="K1478" s="94"/>
      <c r="L1478" s="149" t="str">
        <f>HYPERLINK("[#]DatatypeListedValues!B6996:H6996","Enumeration")</f>
        <v>Enumeration</v>
      </c>
      <c r="M1478" s="91" t="b">
        <v>1</v>
      </c>
      <c r="N1478" s="90"/>
      <c r="O1478" s="95"/>
      <c r="P1478" s="90"/>
      <c r="Q1478" s="96"/>
      <c r="R1478" s="97"/>
      <c r="S1478" s="169"/>
      <c r="T1478" s="300" t="str">
        <f>CONCATENATE([1]Cover!$D$6,"fdd/view?i=",S1478)</f>
        <v>https://www.dgiwg.org/FAD/fdd/view?i=</v>
      </c>
      <c r="U1478" s="188"/>
    </row>
    <row r="1479" spans="1:21" ht="2.1" customHeight="1">
      <c r="A1479" s="98"/>
      <c r="B1479" s="87"/>
      <c r="C1479" s="99"/>
      <c r="D1479" s="87"/>
      <c r="E1479" s="99"/>
      <c r="F1479" s="100"/>
      <c r="G1479" s="100"/>
      <c r="H1479" s="100"/>
      <c r="I1479" s="101"/>
      <c r="J1479" s="106"/>
      <c r="K1479" s="103"/>
      <c r="L1479" s="104"/>
      <c r="M1479" s="100"/>
      <c r="N1479" s="100"/>
      <c r="O1479" s="100"/>
      <c r="P1479" s="100"/>
      <c r="Q1479" s="105"/>
      <c r="R1479" s="105"/>
      <c r="S1479" s="169"/>
      <c r="U1479" s="188"/>
    </row>
    <row r="1480" spans="1:21" ht="25.5">
      <c r="A1480" s="67" t="s">
        <v>10922</v>
      </c>
      <c r="B1480" s="87" t="s">
        <v>10922</v>
      </c>
      <c r="C1480" s="88" t="s">
        <v>13117</v>
      </c>
      <c r="D1480" s="89"/>
      <c r="E1480" s="90"/>
      <c r="F1480" s="91" t="s">
        <v>13118</v>
      </c>
      <c r="G1480" s="90"/>
      <c r="H1480" s="90"/>
      <c r="I1480" s="92"/>
      <c r="J1480" s="93"/>
      <c r="K1480" s="94"/>
      <c r="L1480" s="149" t="str">
        <f>HYPERLINK("[#]DatatypeListedValues!B6999:H6999","Enumeration")</f>
        <v>Enumeration</v>
      </c>
      <c r="M1480" s="107" t="b">
        <v>0</v>
      </c>
      <c r="N1480" s="90"/>
      <c r="O1480" s="95"/>
      <c r="P1480" s="90"/>
      <c r="Q1480" s="96"/>
      <c r="R1480" s="97"/>
      <c r="S1480" s="169"/>
      <c r="T1480" s="300" t="str">
        <f>CONCATENATE([1]Cover!$D$6,"fdd/view?i=",S1480)</f>
        <v>https://www.dgiwg.org/FAD/fdd/view?i=</v>
      </c>
      <c r="U1480" s="188"/>
    </row>
    <row r="1481" spans="1:21" ht="2.1" customHeight="1">
      <c r="A1481" s="98"/>
      <c r="B1481" s="87"/>
      <c r="C1481" s="99"/>
      <c r="D1481" s="87"/>
      <c r="E1481" s="99"/>
      <c r="F1481" s="100"/>
      <c r="G1481" s="100"/>
      <c r="H1481" s="100"/>
      <c r="I1481" s="101"/>
      <c r="J1481" s="106"/>
      <c r="K1481" s="103"/>
      <c r="L1481" s="104"/>
      <c r="M1481" s="100"/>
      <c r="N1481" s="100"/>
      <c r="O1481" s="100"/>
      <c r="P1481" s="100"/>
      <c r="Q1481" s="105"/>
      <c r="R1481" s="105"/>
      <c r="S1481" s="169"/>
      <c r="U1481" s="188"/>
    </row>
    <row r="1482" spans="1:21" ht="25.5">
      <c r="A1482" s="67" t="s">
        <v>10932</v>
      </c>
      <c r="B1482" s="87" t="s">
        <v>10932</v>
      </c>
      <c r="C1482" s="88" t="s">
        <v>13119</v>
      </c>
      <c r="D1482" s="89"/>
      <c r="E1482" s="90"/>
      <c r="F1482" s="91" t="s">
        <v>13120</v>
      </c>
      <c r="G1482" s="90"/>
      <c r="H1482" s="90"/>
      <c r="I1482" s="92"/>
      <c r="J1482" s="93"/>
      <c r="K1482" s="94"/>
      <c r="L1482" s="149" t="str">
        <f>HYPERLINK("[#]DatatypeListedValues!B7006:H7006","Enumeration")</f>
        <v>Enumeration</v>
      </c>
      <c r="M1482" s="91" t="b">
        <v>1</v>
      </c>
      <c r="N1482" s="90"/>
      <c r="O1482" s="95"/>
      <c r="P1482" s="90"/>
      <c r="Q1482" s="96"/>
      <c r="R1482" s="97"/>
      <c r="S1482" s="169"/>
      <c r="T1482" s="300" t="str">
        <f>CONCATENATE([1]Cover!$D$6,"fdd/view?i=",S1482)</f>
        <v>https://www.dgiwg.org/FAD/fdd/view?i=</v>
      </c>
      <c r="U1482" s="188"/>
    </row>
    <row r="1483" spans="1:21" ht="2.1" customHeight="1">
      <c r="A1483" s="98"/>
      <c r="B1483" s="87"/>
      <c r="C1483" s="99"/>
      <c r="D1483" s="87"/>
      <c r="E1483" s="99"/>
      <c r="F1483" s="100"/>
      <c r="G1483" s="100"/>
      <c r="H1483" s="100"/>
      <c r="I1483" s="101"/>
      <c r="J1483" s="106"/>
      <c r="K1483" s="103"/>
      <c r="L1483" s="104"/>
      <c r="M1483" s="100"/>
      <c r="N1483" s="100"/>
      <c r="O1483" s="100"/>
      <c r="P1483" s="100"/>
      <c r="Q1483" s="105"/>
      <c r="R1483" s="105"/>
      <c r="S1483" s="169"/>
      <c r="U1483" s="188"/>
    </row>
    <row r="1484" spans="1:21" ht="63.75">
      <c r="A1484" s="67" t="s">
        <v>10938</v>
      </c>
      <c r="B1484" s="87" t="s">
        <v>10938</v>
      </c>
      <c r="C1484" s="88" t="s">
        <v>13121</v>
      </c>
      <c r="D1484" s="89"/>
      <c r="E1484" s="90"/>
      <c r="F1484" s="91" t="s">
        <v>13122</v>
      </c>
      <c r="G1484" s="90"/>
      <c r="H1484" s="91" t="s">
        <v>11426</v>
      </c>
      <c r="I1484" s="92"/>
      <c r="J1484" s="93"/>
      <c r="K1484" s="94"/>
      <c r="L1484" s="91" t="s">
        <v>11425</v>
      </c>
      <c r="M1484" s="90"/>
      <c r="N1484" s="91">
        <v>2</v>
      </c>
      <c r="O1484" s="108" t="b">
        <v>0</v>
      </c>
      <c r="P1484" s="91" t="s">
        <v>13123</v>
      </c>
      <c r="Q1484" s="96"/>
      <c r="R1484" s="97"/>
      <c r="S1484" s="169"/>
      <c r="T1484" s="300" t="str">
        <f>CONCATENATE([1]Cover!$D$6,"fdd/view?i=",S1484)</f>
        <v>https://www.dgiwg.org/FAD/fdd/view?i=</v>
      </c>
      <c r="U1484" s="188"/>
    </row>
    <row r="1485" spans="1:21" ht="2.1" customHeight="1">
      <c r="A1485" s="98"/>
      <c r="B1485" s="87"/>
      <c r="C1485" s="99"/>
      <c r="D1485" s="87"/>
      <c r="E1485" s="99"/>
      <c r="F1485" s="100"/>
      <c r="G1485" s="100"/>
      <c r="H1485" s="100"/>
      <c r="I1485" s="101"/>
      <c r="J1485" s="106"/>
      <c r="K1485" s="103"/>
      <c r="L1485" s="104"/>
      <c r="M1485" s="100"/>
      <c r="N1485" s="100"/>
      <c r="O1485" s="100"/>
      <c r="P1485" s="100"/>
      <c r="Q1485" s="105"/>
      <c r="R1485" s="105"/>
      <c r="S1485" s="169"/>
      <c r="U1485" s="188"/>
    </row>
    <row r="1486" spans="1:21" ht="38.25">
      <c r="A1486" s="67" t="s">
        <v>10944</v>
      </c>
      <c r="B1486" s="87" t="s">
        <v>10944</v>
      </c>
      <c r="C1486" s="88" t="s">
        <v>13124</v>
      </c>
      <c r="D1486" s="89"/>
      <c r="E1486" s="90"/>
      <c r="F1486" s="91" t="s">
        <v>13125</v>
      </c>
      <c r="G1486" s="90"/>
      <c r="H1486" s="91" t="s">
        <v>11426</v>
      </c>
      <c r="I1486" s="92"/>
      <c r="J1486" s="93"/>
      <c r="K1486" s="94"/>
      <c r="L1486" s="91" t="s">
        <v>11425</v>
      </c>
      <c r="M1486" s="90"/>
      <c r="N1486" s="91">
        <v>254</v>
      </c>
      <c r="O1486" s="108" t="b">
        <v>0</v>
      </c>
      <c r="P1486" s="91" t="s">
        <v>13126</v>
      </c>
      <c r="Q1486" s="96"/>
      <c r="R1486" s="97"/>
      <c r="S1486" s="169"/>
      <c r="T1486" s="300" t="str">
        <f>CONCATENATE([1]Cover!$D$6,"fdd/view?i=",S1486)</f>
        <v>https://www.dgiwg.org/FAD/fdd/view?i=</v>
      </c>
      <c r="U1486" s="188"/>
    </row>
    <row r="1487" spans="1:21" ht="2.1" customHeight="1">
      <c r="A1487" s="98"/>
      <c r="B1487" s="87"/>
      <c r="C1487" s="99"/>
      <c r="D1487" s="87"/>
      <c r="E1487" s="99"/>
      <c r="F1487" s="100"/>
      <c r="G1487" s="100"/>
      <c r="H1487" s="100"/>
      <c r="I1487" s="101"/>
      <c r="J1487" s="106"/>
      <c r="K1487" s="103"/>
      <c r="L1487" s="104"/>
      <c r="M1487" s="100"/>
      <c r="N1487" s="100"/>
      <c r="O1487" s="100"/>
      <c r="P1487" s="100"/>
      <c r="Q1487" s="105"/>
      <c r="R1487" s="105"/>
      <c r="S1487" s="169"/>
      <c r="U1487" s="188"/>
    </row>
    <row r="1488" spans="1:21" ht="38.25">
      <c r="A1488" s="67" t="s">
        <v>10949</v>
      </c>
      <c r="B1488" s="87" t="s">
        <v>10949</v>
      </c>
      <c r="C1488" s="88" t="s">
        <v>13127</v>
      </c>
      <c r="D1488" s="89"/>
      <c r="E1488" s="90"/>
      <c r="F1488" s="91" t="s">
        <v>13128</v>
      </c>
      <c r="G1488" s="90"/>
      <c r="H1488" s="91" t="s">
        <v>11426</v>
      </c>
      <c r="I1488" s="92"/>
      <c r="J1488" s="93"/>
      <c r="K1488" s="94"/>
      <c r="L1488" s="91" t="s">
        <v>11425</v>
      </c>
      <c r="M1488" s="90"/>
      <c r="N1488" s="91">
        <v>254</v>
      </c>
      <c r="O1488" s="108" t="b">
        <v>0</v>
      </c>
      <c r="P1488" s="91" t="s">
        <v>13129</v>
      </c>
      <c r="Q1488" s="96"/>
      <c r="R1488" s="97"/>
      <c r="S1488" s="169"/>
      <c r="T1488" s="300" t="str">
        <f>CONCATENATE([1]Cover!$D$6,"fdd/view?i=",S1488)</f>
        <v>https://www.dgiwg.org/FAD/fdd/view?i=</v>
      </c>
      <c r="U1488" s="188"/>
    </row>
    <row r="1489" spans="1:21" ht="2.1" customHeight="1">
      <c r="A1489" s="98"/>
      <c r="B1489" s="87"/>
      <c r="C1489" s="99"/>
      <c r="D1489" s="87"/>
      <c r="E1489" s="99"/>
      <c r="F1489" s="100"/>
      <c r="G1489" s="100"/>
      <c r="H1489" s="100"/>
      <c r="I1489" s="101"/>
      <c r="J1489" s="106"/>
      <c r="K1489" s="103"/>
      <c r="L1489" s="104"/>
      <c r="M1489" s="100"/>
      <c r="N1489" s="100"/>
      <c r="O1489" s="100"/>
      <c r="P1489" s="100"/>
      <c r="Q1489" s="105"/>
      <c r="R1489" s="105"/>
      <c r="S1489" s="169"/>
      <c r="U1489" s="188"/>
    </row>
    <row r="1490" spans="1:21" ht="25.5">
      <c r="A1490" s="67" t="s">
        <v>10968</v>
      </c>
      <c r="B1490" s="87" t="s">
        <v>10968</v>
      </c>
      <c r="C1490" s="88" t="s">
        <v>13130</v>
      </c>
      <c r="D1490" s="89"/>
      <c r="E1490" s="90"/>
      <c r="F1490" s="91" t="s">
        <v>13131</v>
      </c>
      <c r="G1490" s="90"/>
      <c r="H1490" s="90"/>
      <c r="I1490" s="92"/>
      <c r="J1490" s="93"/>
      <c r="K1490" s="94"/>
      <c r="L1490" s="149" t="str">
        <f>HYPERLINK("[#]DatatypeListedValues!B7011:H7011","Enumeration")</f>
        <v>Enumeration</v>
      </c>
      <c r="M1490" s="107" t="b">
        <v>0</v>
      </c>
      <c r="N1490" s="90"/>
      <c r="O1490" s="95"/>
      <c r="P1490" s="90"/>
      <c r="Q1490" s="96"/>
      <c r="R1490" s="97"/>
      <c r="S1490" s="169"/>
      <c r="T1490" s="300" t="str">
        <f>CONCATENATE([1]Cover!$D$6,"fdd/view?i=",S1490)</f>
        <v>https://www.dgiwg.org/FAD/fdd/view?i=</v>
      </c>
      <c r="U1490" s="188"/>
    </row>
    <row r="1491" spans="1:21" ht="2.1" customHeight="1">
      <c r="A1491" s="98"/>
      <c r="B1491" s="87"/>
      <c r="C1491" s="99"/>
      <c r="D1491" s="87"/>
      <c r="E1491" s="99"/>
      <c r="F1491" s="100"/>
      <c r="G1491" s="100"/>
      <c r="H1491" s="100"/>
      <c r="I1491" s="101"/>
      <c r="J1491" s="106"/>
      <c r="K1491" s="103"/>
      <c r="L1491" s="104"/>
      <c r="M1491" s="100"/>
      <c r="N1491" s="100"/>
      <c r="O1491" s="100"/>
      <c r="P1491" s="100"/>
      <c r="Q1491" s="105"/>
      <c r="R1491" s="105"/>
      <c r="S1491" s="169"/>
      <c r="U1491" s="188"/>
    </row>
    <row r="1492" spans="1:21" ht="25.5">
      <c r="A1492" s="67" t="s">
        <v>10982</v>
      </c>
      <c r="B1492" s="87" t="s">
        <v>10982</v>
      </c>
      <c r="C1492" s="88" t="s">
        <v>13132</v>
      </c>
      <c r="D1492" s="89"/>
      <c r="E1492" s="90"/>
      <c r="F1492" s="91" t="s">
        <v>13133</v>
      </c>
      <c r="G1492" s="90"/>
      <c r="H1492" s="90"/>
      <c r="I1492" s="92"/>
      <c r="J1492" s="93"/>
      <c r="K1492" s="94"/>
      <c r="L1492" s="149" t="str">
        <f>HYPERLINK("[#]DatatypeListedValues!B7020:H7020","Enumeration")</f>
        <v>Enumeration</v>
      </c>
      <c r="M1492" s="107" t="b">
        <v>0</v>
      </c>
      <c r="N1492" s="90"/>
      <c r="O1492" s="95"/>
      <c r="P1492" s="90"/>
      <c r="Q1492" s="96"/>
      <c r="R1492" s="97"/>
      <c r="S1492" s="169"/>
      <c r="T1492" s="300" t="str">
        <f>CONCATENATE([1]Cover!$D$6,"fdd/view?i=",S1492)</f>
        <v>https://www.dgiwg.org/FAD/fdd/view?i=</v>
      </c>
      <c r="U1492" s="188"/>
    </row>
    <row r="1493" spans="1:21" ht="2.1" customHeight="1">
      <c r="A1493" s="98"/>
      <c r="B1493" s="87"/>
      <c r="C1493" s="99"/>
      <c r="D1493" s="87"/>
      <c r="E1493" s="99"/>
      <c r="F1493" s="100"/>
      <c r="G1493" s="100"/>
      <c r="H1493" s="100"/>
      <c r="I1493" s="101"/>
      <c r="J1493" s="106"/>
      <c r="K1493" s="103"/>
      <c r="L1493" s="104"/>
      <c r="M1493" s="100"/>
      <c r="N1493" s="100"/>
      <c r="O1493" s="100"/>
      <c r="P1493" s="100"/>
      <c r="Q1493" s="105"/>
      <c r="R1493" s="105"/>
      <c r="S1493" s="169"/>
      <c r="U1493" s="188"/>
    </row>
    <row r="1494" spans="1:21">
      <c r="A1494" s="67" t="s">
        <v>11005</v>
      </c>
      <c r="B1494" s="87" t="s">
        <v>11005</v>
      </c>
      <c r="C1494" s="88" t="s">
        <v>13134</v>
      </c>
      <c r="D1494" s="89"/>
      <c r="E1494" s="90"/>
      <c r="F1494" s="91" t="s">
        <v>13135</v>
      </c>
      <c r="G1494" s="90"/>
      <c r="H1494" s="90"/>
      <c r="I1494" s="92"/>
      <c r="J1494" s="93"/>
      <c r="K1494" s="94"/>
      <c r="L1494" s="149" t="str">
        <f>HYPERLINK("[#]DatatypeListedValues!B7033:H7033","Enumeration")</f>
        <v>Enumeration</v>
      </c>
      <c r="M1494" s="107" t="b">
        <v>0</v>
      </c>
      <c r="N1494" s="90"/>
      <c r="O1494" s="95"/>
      <c r="P1494" s="90"/>
      <c r="Q1494" s="96"/>
      <c r="R1494" s="97"/>
      <c r="S1494" s="169"/>
      <c r="T1494" s="300" t="str">
        <f>CONCATENATE([1]Cover!$D$6,"fdd/view?i=",S1494)</f>
        <v>https://www.dgiwg.org/FAD/fdd/view?i=</v>
      </c>
      <c r="U1494" s="188"/>
    </row>
    <row r="1495" spans="1:21" ht="2.1" customHeight="1">
      <c r="A1495" s="98"/>
      <c r="B1495" s="87"/>
      <c r="C1495" s="99"/>
      <c r="D1495" s="87"/>
      <c r="E1495" s="99"/>
      <c r="F1495" s="100"/>
      <c r="G1495" s="100"/>
      <c r="H1495" s="100"/>
      <c r="I1495" s="101"/>
      <c r="J1495" s="106"/>
      <c r="K1495" s="103"/>
      <c r="L1495" s="104"/>
      <c r="M1495" s="100"/>
      <c r="N1495" s="100"/>
      <c r="O1495" s="100"/>
      <c r="P1495" s="100"/>
      <c r="Q1495" s="105"/>
      <c r="R1495" s="105"/>
      <c r="S1495" s="169"/>
      <c r="U1495" s="188"/>
    </row>
    <row r="1496" spans="1:21" ht="25.5">
      <c r="A1496" s="67" t="s">
        <v>11014</v>
      </c>
      <c r="B1496" s="87" t="s">
        <v>11014</v>
      </c>
      <c r="C1496" s="88" t="s">
        <v>13136</v>
      </c>
      <c r="D1496" s="89"/>
      <c r="E1496" s="90"/>
      <c r="F1496" s="91" t="s">
        <v>13137</v>
      </c>
      <c r="G1496" s="90"/>
      <c r="H1496" s="90"/>
      <c r="I1496" s="92"/>
      <c r="J1496" s="93"/>
      <c r="K1496" s="94"/>
      <c r="L1496" s="149" t="str">
        <f>HYPERLINK("[#]DatatypeListedValues!B7043:H7043","Enumeration")</f>
        <v>Enumeration</v>
      </c>
      <c r="M1496" s="107" t="b">
        <v>0</v>
      </c>
      <c r="N1496" s="90"/>
      <c r="O1496" s="95"/>
      <c r="P1496" s="90"/>
      <c r="Q1496" s="96"/>
      <c r="R1496" s="97"/>
      <c r="S1496" s="169"/>
      <c r="T1496" s="300" t="str">
        <f>CONCATENATE([1]Cover!$D$6,"fdd/view?i=",S1496)</f>
        <v>https://www.dgiwg.org/FAD/fdd/view?i=</v>
      </c>
      <c r="U1496" s="188"/>
    </row>
    <row r="1497" spans="1:21" ht="2.1" customHeight="1">
      <c r="A1497" s="98"/>
      <c r="B1497" s="87"/>
      <c r="C1497" s="99"/>
      <c r="D1497" s="87"/>
      <c r="E1497" s="99"/>
      <c r="F1497" s="100"/>
      <c r="G1497" s="100"/>
      <c r="H1497" s="100"/>
      <c r="I1497" s="101"/>
      <c r="J1497" s="106"/>
      <c r="K1497" s="103"/>
      <c r="L1497" s="104"/>
      <c r="M1497" s="100"/>
      <c r="N1497" s="100"/>
      <c r="O1497" s="100"/>
      <c r="P1497" s="100"/>
      <c r="Q1497" s="105"/>
      <c r="R1497" s="105"/>
      <c r="S1497" s="169"/>
      <c r="U1497" s="188"/>
    </row>
    <row r="1498" spans="1:21" ht="25.5">
      <c r="A1498" s="67" t="s">
        <v>11028</v>
      </c>
      <c r="B1498" s="87" t="s">
        <v>11028</v>
      </c>
      <c r="C1498" s="88" t="s">
        <v>13138</v>
      </c>
      <c r="D1498" s="89"/>
      <c r="E1498" s="90"/>
      <c r="F1498" s="91" t="s">
        <v>13139</v>
      </c>
      <c r="G1498" s="90"/>
      <c r="H1498" s="90"/>
      <c r="I1498" s="92"/>
      <c r="J1498" s="93"/>
      <c r="K1498" s="94"/>
      <c r="L1498" s="149" t="str">
        <f>HYPERLINK("[#]DatatypeListedValues!B7050:H7050","Enumeration")</f>
        <v>Enumeration</v>
      </c>
      <c r="M1498" s="107" t="b">
        <v>0</v>
      </c>
      <c r="N1498" s="90"/>
      <c r="O1498" s="95"/>
      <c r="P1498" s="90"/>
      <c r="Q1498" s="96"/>
      <c r="R1498" s="97"/>
      <c r="S1498" s="169"/>
      <c r="T1498" s="300" t="str">
        <f>CONCATENATE([1]Cover!$D$6,"fdd/view?i=",S1498)</f>
        <v>https://www.dgiwg.org/FAD/fdd/view?i=</v>
      </c>
      <c r="U1498" s="188"/>
    </row>
    <row r="1499" spans="1:21" ht="2.1" customHeight="1">
      <c r="A1499" s="98"/>
      <c r="B1499" s="87"/>
      <c r="C1499" s="99"/>
      <c r="D1499" s="87"/>
      <c r="E1499" s="99"/>
      <c r="F1499" s="100"/>
      <c r="G1499" s="100"/>
      <c r="H1499" s="100"/>
      <c r="I1499" s="101"/>
      <c r="J1499" s="106"/>
      <c r="K1499" s="103"/>
      <c r="L1499" s="104"/>
      <c r="M1499" s="100"/>
      <c r="N1499" s="100"/>
      <c r="O1499" s="100"/>
      <c r="P1499" s="100"/>
      <c r="Q1499" s="105"/>
      <c r="R1499" s="105"/>
      <c r="S1499" s="169"/>
      <c r="U1499" s="188"/>
    </row>
    <row r="1500" spans="1:21">
      <c r="A1500" s="67" t="s">
        <v>12031</v>
      </c>
      <c r="B1500" s="87" t="s">
        <v>12031</v>
      </c>
      <c r="C1500" s="88" t="s">
        <v>12032</v>
      </c>
      <c r="D1500" s="89"/>
      <c r="E1500" s="90"/>
      <c r="F1500" s="91" t="s">
        <v>13140</v>
      </c>
      <c r="G1500" s="90"/>
      <c r="H1500" s="90"/>
      <c r="I1500" s="92"/>
      <c r="J1500" s="93"/>
      <c r="K1500" s="94"/>
      <c r="L1500" s="149" t="str">
        <f>HYPERLINK("[#]DatatypeListedValues!B7068:H7068","Enumeration")</f>
        <v>Enumeration</v>
      </c>
      <c r="M1500" s="107" t="b">
        <v>0</v>
      </c>
      <c r="N1500" s="90"/>
      <c r="O1500" s="95"/>
      <c r="P1500" s="90"/>
      <c r="Q1500" s="96"/>
      <c r="R1500" s="97"/>
      <c r="S1500" s="169"/>
      <c r="T1500" s="300" t="str">
        <f>CONCATENATE([1]Cover!$D$6,"fdd/view?i=",S1500)</f>
        <v>https://www.dgiwg.org/FAD/fdd/view?i=</v>
      </c>
      <c r="U1500" s="188"/>
    </row>
    <row r="1501" spans="1:21" ht="2.1" customHeight="1">
      <c r="A1501" s="98"/>
      <c r="B1501" s="87"/>
      <c r="C1501" s="99"/>
      <c r="D1501" s="87"/>
      <c r="E1501" s="99"/>
      <c r="F1501" s="100"/>
      <c r="G1501" s="100"/>
      <c r="H1501" s="100"/>
      <c r="I1501" s="101"/>
      <c r="J1501" s="106"/>
      <c r="K1501" s="103"/>
      <c r="L1501" s="104"/>
      <c r="M1501" s="100"/>
      <c r="N1501" s="100"/>
      <c r="O1501" s="100"/>
      <c r="P1501" s="100"/>
      <c r="Q1501" s="105"/>
      <c r="R1501" s="105"/>
      <c r="S1501" s="169"/>
      <c r="U1501" s="188"/>
    </row>
    <row r="1502" spans="1:21" ht="38.25">
      <c r="A1502" s="67" t="s">
        <v>11035</v>
      </c>
      <c r="B1502" s="87" t="s">
        <v>11035</v>
      </c>
      <c r="C1502" s="88" t="s">
        <v>13141</v>
      </c>
      <c r="D1502" s="89"/>
      <c r="E1502" s="90"/>
      <c r="F1502" s="91" t="s">
        <v>13142</v>
      </c>
      <c r="G1502" s="90"/>
      <c r="H1502" s="91" t="s">
        <v>11744</v>
      </c>
      <c r="I1502" s="92"/>
      <c r="J1502" s="93"/>
      <c r="K1502" s="94"/>
      <c r="L1502" s="153" t="s">
        <v>11414</v>
      </c>
      <c r="M1502" s="91" t="b">
        <v>1</v>
      </c>
      <c r="N1502" s="91">
        <v>30</v>
      </c>
      <c r="O1502" s="95"/>
      <c r="P1502" s="91" t="s">
        <v>11745</v>
      </c>
      <c r="Q1502" s="96"/>
      <c r="R1502" s="97"/>
      <c r="S1502" s="169"/>
      <c r="T1502" s="300" t="str">
        <f>CONCATENATE([1]Cover!$D$6,"fdd/view?i=",S1502)</f>
        <v>https://www.dgiwg.org/FAD/fdd/view?i=</v>
      </c>
      <c r="U1502" s="188"/>
    </row>
    <row r="1503" spans="1:21" ht="2.1" customHeight="1">
      <c r="A1503" s="98"/>
      <c r="B1503" s="87"/>
      <c r="C1503" s="99"/>
      <c r="D1503" s="87"/>
      <c r="E1503" s="99"/>
      <c r="F1503" s="100"/>
      <c r="G1503" s="100"/>
      <c r="H1503" s="100"/>
      <c r="I1503" s="101"/>
      <c r="J1503" s="106"/>
      <c r="K1503" s="103"/>
      <c r="L1503" s="104"/>
      <c r="M1503" s="100"/>
      <c r="N1503" s="100"/>
      <c r="O1503" s="100"/>
      <c r="P1503" s="100"/>
      <c r="Q1503" s="105"/>
      <c r="R1503" s="105"/>
      <c r="S1503" s="169"/>
      <c r="U1503" s="188"/>
    </row>
    <row r="1504" spans="1:21" ht="25.5">
      <c r="A1504" s="67" t="s">
        <v>11046</v>
      </c>
      <c r="B1504" s="87" t="s">
        <v>11046</v>
      </c>
      <c r="C1504" s="88" t="s">
        <v>13143</v>
      </c>
      <c r="D1504" s="89"/>
      <c r="E1504" s="90"/>
      <c r="F1504" s="91" t="s">
        <v>13144</v>
      </c>
      <c r="G1504" s="90"/>
      <c r="H1504" s="90"/>
      <c r="I1504" s="92"/>
      <c r="J1504" s="93"/>
      <c r="K1504" s="94"/>
      <c r="L1504" s="149" t="str">
        <f>HYPERLINK("[#]DatatypeListedValues!B7075:H7075","Enumeration")</f>
        <v>Enumeration</v>
      </c>
      <c r="M1504" s="107" t="b">
        <v>0</v>
      </c>
      <c r="N1504" s="90"/>
      <c r="O1504" s="95"/>
      <c r="P1504" s="90"/>
      <c r="Q1504" s="96"/>
      <c r="R1504" s="97"/>
      <c r="S1504" s="169"/>
      <c r="T1504" s="300" t="str">
        <f>CONCATENATE([1]Cover!$D$6,"fdd/view?i=",S1504)</f>
        <v>https://www.dgiwg.org/FAD/fdd/view?i=</v>
      </c>
      <c r="U1504" s="188"/>
    </row>
    <row r="1505" spans="1:21" ht="2.1" customHeight="1">
      <c r="A1505" s="98"/>
      <c r="B1505" s="87"/>
      <c r="C1505" s="99"/>
      <c r="D1505" s="87"/>
      <c r="E1505" s="99"/>
      <c r="F1505" s="100"/>
      <c r="G1505" s="100"/>
      <c r="H1505" s="100"/>
      <c r="I1505" s="101"/>
      <c r="J1505" s="106"/>
      <c r="K1505" s="103"/>
      <c r="L1505" s="104"/>
      <c r="M1505" s="100"/>
      <c r="N1505" s="100"/>
      <c r="O1505" s="100"/>
      <c r="P1505" s="100"/>
      <c r="Q1505" s="105"/>
      <c r="R1505" s="105"/>
      <c r="S1505" s="169"/>
      <c r="U1505" s="188"/>
    </row>
    <row r="1506" spans="1:21" ht="51">
      <c r="A1506" s="67" t="s">
        <v>11064</v>
      </c>
      <c r="B1506" s="87" t="s">
        <v>11064</v>
      </c>
      <c r="C1506" s="88" t="s">
        <v>13145</v>
      </c>
      <c r="D1506" s="89"/>
      <c r="E1506" s="90"/>
      <c r="F1506" s="91" t="s">
        <v>13146</v>
      </c>
      <c r="G1506" s="90"/>
      <c r="H1506" s="91" t="s">
        <v>11426</v>
      </c>
      <c r="I1506" s="92"/>
      <c r="J1506" s="93"/>
      <c r="K1506" s="94"/>
      <c r="L1506" s="91" t="s">
        <v>11425</v>
      </c>
      <c r="M1506" s="90"/>
      <c r="N1506" s="91">
        <v>11</v>
      </c>
      <c r="O1506" s="108" t="b">
        <v>0</v>
      </c>
      <c r="P1506" s="91" t="s">
        <v>13147</v>
      </c>
      <c r="Q1506" s="96"/>
      <c r="R1506" s="97"/>
      <c r="S1506" s="169"/>
      <c r="T1506" s="300" t="str">
        <f>CONCATENATE([1]Cover!$D$6,"fdd/view?i=",S1506)</f>
        <v>https://www.dgiwg.org/FAD/fdd/view?i=</v>
      </c>
      <c r="U1506" s="188"/>
    </row>
    <row r="1507" spans="1:21" ht="2.1" customHeight="1">
      <c r="A1507" s="98"/>
      <c r="B1507" s="87"/>
      <c r="C1507" s="99"/>
      <c r="D1507" s="87"/>
      <c r="E1507" s="99"/>
      <c r="F1507" s="100"/>
      <c r="G1507" s="100"/>
      <c r="H1507" s="100"/>
      <c r="I1507" s="101"/>
      <c r="J1507" s="106"/>
      <c r="K1507" s="103"/>
      <c r="L1507" s="104"/>
      <c r="M1507" s="100"/>
      <c r="N1507" s="100"/>
      <c r="O1507" s="100"/>
      <c r="P1507" s="100"/>
      <c r="Q1507" s="105"/>
      <c r="R1507" s="105"/>
      <c r="S1507" s="169"/>
      <c r="U1507" s="188"/>
    </row>
    <row r="1508" spans="1:21" ht="51">
      <c r="A1508" s="63" t="s">
        <v>13148</v>
      </c>
      <c r="B1508" s="329" t="s">
        <v>13148</v>
      </c>
      <c r="C1508" s="326" t="s">
        <v>13149</v>
      </c>
      <c r="D1508" s="109"/>
      <c r="E1508" s="110"/>
      <c r="F1508" s="111" t="s">
        <v>13150</v>
      </c>
      <c r="G1508" s="111" t="s">
        <v>12216</v>
      </c>
      <c r="H1508" s="110"/>
      <c r="I1508" s="112"/>
      <c r="J1508" s="113"/>
      <c r="K1508" s="114"/>
      <c r="L1508" s="115" t="s">
        <v>11429</v>
      </c>
      <c r="M1508" s="110"/>
      <c r="N1508" s="110"/>
      <c r="O1508" s="116"/>
      <c r="P1508" s="110"/>
      <c r="Q1508" s="117"/>
      <c r="R1508" s="118"/>
      <c r="S1508" s="169"/>
      <c r="T1508" s="300" t="str">
        <f>CONCATENATE([1]Cover!$D$6,"fdd/view?i=",S1508)</f>
        <v>https://www.dgiwg.org/FAD/fdd/view?i=</v>
      </c>
      <c r="U1508" s="188"/>
    </row>
    <row r="1509" spans="1:21" ht="51">
      <c r="A1509" s="64" t="s">
        <v>33685</v>
      </c>
      <c r="B1509" s="330"/>
      <c r="C1509" s="327"/>
      <c r="D1509" s="132" t="s">
        <v>11678</v>
      </c>
      <c r="E1509" s="138" t="s">
        <v>12042</v>
      </c>
      <c r="F1509" s="70" t="s">
        <v>12043</v>
      </c>
      <c r="G1509" s="70" t="s">
        <v>12044</v>
      </c>
      <c r="H1509" s="68"/>
      <c r="I1509" s="133" t="s">
        <v>4643</v>
      </c>
      <c r="J1509" s="142"/>
      <c r="K1509" s="135" t="s">
        <v>4650</v>
      </c>
      <c r="L1509" s="150" t="str">
        <f>HYPERLINK("[#]Datatypes!B1097:L1097","Real")</f>
        <v>Real</v>
      </c>
      <c r="M1509" s="122"/>
      <c r="N1509" s="122"/>
      <c r="O1509" s="122"/>
      <c r="P1509" s="122"/>
      <c r="Q1509" s="123"/>
      <c r="R1509" s="124"/>
      <c r="S1509" s="169"/>
      <c r="U1509" s="188"/>
    </row>
    <row r="1510" spans="1:21" ht="38.25">
      <c r="A1510" s="64" t="s">
        <v>33686</v>
      </c>
      <c r="B1510" s="330"/>
      <c r="C1510" s="327"/>
      <c r="D1510" s="136" t="s">
        <v>11682</v>
      </c>
      <c r="E1510" s="139" t="s">
        <v>11683</v>
      </c>
      <c r="F1510" s="8" t="s">
        <v>11684</v>
      </c>
      <c r="G1510" s="8" t="s">
        <v>11685</v>
      </c>
      <c r="H1510" s="54"/>
      <c r="I1510" s="119" t="s">
        <v>4643</v>
      </c>
      <c r="J1510" s="125"/>
      <c r="K1510" s="121" t="s">
        <v>11686</v>
      </c>
      <c r="L1510" s="151" t="str">
        <f>HYPERLINK("[#]Datatypes!B1544:L1544","Void Value Reason Code")</f>
        <v>Void Value Reason Code</v>
      </c>
      <c r="M1510" s="122"/>
      <c r="N1510" s="122"/>
      <c r="O1510" s="122"/>
      <c r="P1510" s="122"/>
      <c r="Q1510" s="123"/>
      <c r="R1510" s="124"/>
      <c r="S1510" s="169"/>
      <c r="T1510" s="300" t="str">
        <f>CONCATENATE([1]Cover!$D$6,"fdd/view?i=",S1510)</f>
        <v>https://www.dgiwg.org/FAD/fdd/view?i=</v>
      </c>
      <c r="U1510" s="188"/>
    </row>
    <row r="1511" spans="1:21" ht="25.5">
      <c r="A1511" s="64" t="s">
        <v>33709</v>
      </c>
      <c r="B1511" s="330"/>
      <c r="C1511" s="327"/>
      <c r="D1511" s="136" t="s">
        <v>11030</v>
      </c>
      <c r="E1511" s="139" t="s">
        <v>11032</v>
      </c>
      <c r="F1511" s="8" t="s">
        <v>12030</v>
      </c>
      <c r="G1511" s="54"/>
      <c r="H1511" s="54"/>
      <c r="I1511" s="119" t="s">
        <v>4643</v>
      </c>
      <c r="J1511" s="125"/>
      <c r="K1511" s="121" t="s">
        <v>12031</v>
      </c>
      <c r="L1511" s="154" t="s">
        <v>12032</v>
      </c>
      <c r="M1511" s="122"/>
      <c r="N1511" s="122"/>
      <c r="O1511" s="122"/>
      <c r="P1511" s="122"/>
      <c r="Q1511" s="123"/>
      <c r="R1511" s="124"/>
      <c r="S1511" s="169"/>
      <c r="U1511" s="188"/>
    </row>
    <row r="1512" spans="1:21" ht="25.5">
      <c r="A1512" s="65" t="s">
        <v>33730</v>
      </c>
      <c r="B1512" s="331"/>
      <c r="C1512" s="328"/>
      <c r="D1512" s="137" t="s">
        <v>13151</v>
      </c>
      <c r="E1512" s="140" t="s">
        <v>12219</v>
      </c>
      <c r="F1512" s="66" t="s">
        <v>13152</v>
      </c>
      <c r="G1512" s="69"/>
      <c r="H1512" s="69"/>
      <c r="I1512" s="126" t="s">
        <v>11438</v>
      </c>
      <c r="J1512" s="141"/>
      <c r="K1512" s="128" t="s">
        <v>4685</v>
      </c>
      <c r="L1512" s="152" t="str">
        <f>HYPERLINK("[#]Datatypes!B4:L4","Absolute Vertical Accuracy Evaluation Method Code")</f>
        <v>Absolute Vertical Accuracy Evaluation Method Code</v>
      </c>
      <c r="M1512" s="129"/>
      <c r="N1512" s="129"/>
      <c r="O1512" s="129"/>
      <c r="P1512" s="129"/>
      <c r="Q1512" s="130"/>
      <c r="R1512" s="131"/>
      <c r="S1512" s="169"/>
      <c r="T1512" s="300" t="str">
        <f>CONCATENATE([1]Cover!$D$6,"fdd/view?i=",S1512)</f>
        <v>https://www.dgiwg.org/FAD/fdd/view?i=</v>
      </c>
      <c r="U1512" s="188"/>
    </row>
    <row r="1513" spans="1:21" ht="2.1" customHeight="1">
      <c r="A1513" s="98"/>
      <c r="B1513" s="87"/>
      <c r="C1513" s="99"/>
      <c r="D1513" s="87"/>
      <c r="E1513" s="99"/>
      <c r="F1513" s="100"/>
      <c r="G1513" s="100"/>
      <c r="H1513" s="100"/>
      <c r="I1513" s="101"/>
      <c r="J1513" s="106"/>
      <c r="K1513" s="103"/>
      <c r="L1513" s="104"/>
      <c r="M1513" s="100"/>
      <c r="N1513" s="100"/>
      <c r="O1513" s="100"/>
      <c r="P1513" s="100"/>
      <c r="Q1513" s="105"/>
      <c r="R1513" s="105"/>
      <c r="S1513" s="169"/>
      <c r="U1513" s="188"/>
    </row>
    <row r="1514" spans="1:21" ht="25.5">
      <c r="A1514" s="67" t="s">
        <v>11073</v>
      </c>
      <c r="B1514" s="87" t="s">
        <v>11073</v>
      </c>
      <c r="C1514" s="88" t="s">
        <v>13153</v>
      </c>
      <c r="D1514" s="89"/>
      <c r="E1514" s="90"/>
      <c r="F1514" s="91" t="s">
        <v>13154</v>
      </c>
      <c r="G1514" s="90"/>
      <c r="H1514" s="90"/>
      <c r="I1514" s="92"/>
      <c r="J1514" s="93"/>
      <c r="K1514" s="94"/>
      <c r="L1514" s="149" t="str">
        <f>HYPERLINK("[#]DatatypeListedValues!B7079:H7079","Enumeration")</f>
        <v>Enumeration</v>
      </c>
      <c r="M1514" s="91" t="b">
        <v>1</v>
      </c>
      <c r="N1514" s="90"/>
      <c r="O1514" s="95"/>
      <c r="P1514" s="90"/>
      <c r="Q1514" s="96"/>
      <c r="R1514" s="97"/>
      <c r="S1514" s="169"/>
      <c r="T1514" s="300" t="str">
        <f>CONCATENATE([1]Cover!$D$6,"fdd/view?i=",S1514)</f>
        <v>https://www.dgiwg.org/FAD/fdd/view?i=</v>
      </c>
      <c r="U1514" s="188"/>
    </row>
    <row r="1515" spans="1:21" ht="2.1" customHeight="1">
      <c r="A1515" s="98"/>
      <c r="B1515" s="87"/>
      <c r="C1515" s="99"/>
      <c r="D1515" s="87"/>
      <c r="E1515" s="99"/>
      <c r="F1515" s="100"/>
      <c r="G1515" s="100"/>
      <c r="H1515" s="100"/>
      <c r="I1515" s="101"/>
      <c r="J1515" s="106"/>
      <c r="K1515" s="103"/>
      <c r="L1515" s="104"/>
      <c r="M1515" s="100"/>
      <c r="N1515" s="100"/>
      <c r="O1515" s="100"/>
      <c r="P1515" s="100"/>
      <c r="Q1515" s="105"/>
      <c r="R1515" s="105"/>
      <c r="S1515" s="169"/>
      <c r="U1515" s="188"/>
    </row>
    <row r="1516" spans="1:21" ht="38.25">
      <c r="A1516" s="67" t="s">
        <v>11078</v>
      </c>
      <c r="B1516" s="87" t="s">
        <v>11078</v>
      </c>
      <c r="C1516" s="88" t="s">
        <v>13155</v>
      </c>
      <c r="D1516" s="89"/>
      <c r="E1516" s="90"/>
      <c r="F1516" s="91" t="s">
        <v>13156</v>
      </c>
      <c r="G1516" s="90"/>
      <c r="H1516" s="91" t="s">
        <v>11744</v>
      </c>
      <c r="I1516" s="92"/>
      <c r="J1516" s="93"/>
      <c r="K1516" s="94"/>
      <c r="L1516" s="153" t="s">
        <v>11414</v>
      </c>
      <c r="M1516" s="91" t="b">
        <v>1</v>
      </c>
      <c r="N1516" s="91">
        <v>30</v>
      </c>
      <c r="O1516" s="95"/>
      <c r="P1516" s="91" t="s">
        <v>11745</v>
      </c>
      <c r="Q1516" s="96"/>
      <c r="R1516" s="97"/>
      <c r="S1516" s="169"/>
      <c r="T1516" s="300" t="str">
        <f>CONCATENATE([1]Cover!$D$6,"fdd/view?i=",S1516)</f>
        <v>https://www.dgiwg.org/FAD/fdd/view?i=</v>
      </c>
      <c r="U1516" s="188"/>
    </row>
    <row r="1517" spans="1:21" ht="2.1" customHeight="1">
      <c r="A1517" s="98"/>
      <c r="B1517" s="87"/>
      <c r="C1517" s="99"/>
      <c r="D1517" s="87"/>
      <c r="E1517" s="99"/>
      <c r="F1517" s="100"/>
      <c r="G1517" s="100"/>
      <c r="H1517" s="100"/>
      <c r="I1517" s="101"/>
      <c r="J1517" s="106"/>
      <c r="K1517" s="103"/>
      <c r="L1517" s="104"/>
      <c r="M1517" s="100"/>
      <c r="N1517" s="100"/>
      <c r="O1517" s="100"/>
      <c r="P1517" s="100"/>
      <c r="Q1517" s="105"/>
      <c r="R1517" s="105"/>
      <c r="S1517" s="169"/>
      <c r="U1517" s="188"/>
    </row>
    <row r="1518" spans="1:21" ht="178.5">
      <c r="A1518" s="67" t="s">
        <v>11083</v>
      </c>
      <c r="B1518" s="87" t="s">
        <v>11083</v>
      </c>
      <c r="C1518" s="88" t="s">
        <v>11081</v>
      </c>
      <c r="D1518" s="89"/>
      <c r="E1518" s="90"/>
      <c r="F1518" s="91" t="s">
        <v>13157</v>
      </c>
      <c r="G1518" s="90"/>
      <c r="H1518" s="91" t="s">
        <v>11426</v>
      </c>
      <c r="I1518" s="92"/>
      <c r="J1518" s="93"/>
      <c r="K1518" s="94"/>
      <c r="L1518" s="91" t="s">
        <v>11425</v>
      </c>
      <c r="M1518" s="90"/>
      <c r="N1518" s="91">
        <v>20</v>
      </c>
      <c r="O1518" s="108" t="b">
        <v>0</v>
      </c>
      <c r="P1518" s="91" t="s">
        <v>11909</v>
      </c>
      <c r="Q1518" s="96"/>
      <c r="R1518" s="97"/>
      <c r="S1518" s="169"/>
      <c r="T1518" s="300" t="str">
        <f>CONCATENATE([1]Cover!$D$6,"fdd/view?i=",S1518)</f>
        <v>https://www.dgiwg.org/FAD/fdd/view?i=</v>
      </c>
      <c r="U1518" s="188"/>
    </row>
    <row r="1519" spans="1:21" ht="2.1" customHeight="1">
      <c r="A1519" s="98"/>
      <c r="B1519" s="87"/>
      <c r="C1519" s="99"/>
      <c r="D1519" s="87"/>
      <c r="E1519" s="99"/>
      <c r="F1519" s="100"/>
      <c r="G1519" s="100"/>
      <c r="H1519" s="100"/>
      <c r="I1519" s="101"/>
      <c r="J1519" s="106"/>
      <c r="K1519" s="103"/>
      <c r="L1519" s="104"/>
      <c r="M1519" s="100"/>
      <c r="N1519" s="100"/>
      <c r="O1519" s="100"/>
      <c r="P1519" s="100"/>
      <c r="Q1519" s="105"/>
      <c r="R1519" s="105"/>
      <c r="S1519" s="169"/>
      <c r="U1519" s="188"/>
    </row>
    <row r="1520" spans="1:21" ht="25.5">
      <c r="A1520" s="67" t="s">
        <v>11096</v>
      </c>
      <c r="B1520" s="87" t="s">
        <v>11096</v>
      </c>
      <c r="C1520" s="88" t="s">
        <v>13158</v>
      </c>
      <c r="D1520" s="89"/>
      <c r="E1520" s="90"/>
      <c r="F1520" s="91" t="s">
        <v>13159</v>
      </c>
      <c r="G1520" s="90"/>
      <c r="H1520" s="90"/>
      <c r="I1520" s="92"/>
      <c r="J1520" s="93"/>
      <c r="K1520" s="94"/>
      <c r="L1520" s="149" t="str">
        <f>HYPERLINK("[#]DatatypeListedValues!B7086:H7086","Enumeration")</f>
        <v>Enumeration</v>
      </c>
      <c r="M1520" s="107" t="b">
        <v>0</v>
      </c>
      <c r="N1520" s="90"/>
      <c r="O1520" s="95"/>
      <c r="P1520" s="90"/>
      <c r="Q1520" s="96"/>
      <c r="R1520" s="97"/>
      <c r="S1520" s="169"/>
      <c r="T1520" s="300" t="str">
        <f>CONCATENATE([1]Cover!$D$6,"fdd/view?i=",S1520)</f>
        <v>https://www.dgiwg.org/FAD/fdd/view?i=</v>
      </c>
      <c r="U1520" s="188"/>
    </row>
    <row r="1521" spans="1:21" ht="2.1" customHeight="1">
      <c r="A1521" s="98"/>
      <c r="B1521" s="87"/>
      <c r="C1521" s="99"/>
      <c r="D1521" s="87"/>
      <c r="E1521" s="99"/>
      <c r="F1521" s="100"/>
      <c r="G1521" s="100"/>
      <c r="H1521" s="100"/>
      <c r="I1521" s="101"/>
      <c r="J1521" s="106"/>
      <c r="K1521" s="103"/>
      <c r="L1521" s="104"/>
      <c r="M1521" s="100"/>
      <c r="N1521" s="100"/>
      <c r="O1521" s="100"/>
      <c r="P1521" s="100"/>
      <c r="Q1521" s="105"/>
      <c r="R1521" s="105"/>
      <c r="S1521" s="169"/>
      <c r="U1521" s="188"/>
    </row>
    <row r="1522" spans="1:21" ht="25.5">
      <c r="A1522" s="67" t="s">
        <v>11101</v>
      </c>
      <c r="B1522" s="87" t="s">
        <v>11101</v>
      </c>
      <c r="C1522" s="88" t="s">
        <v>13160</v>
      </c>
      <c r="D1522" s="89"/>
      <c r="E1522" s="90"/>
      <c r="F1522" s="91" t="s">
        <v>13161</v>
      </c>
      <c r="G1522" s="90"/>
      <c r="H1522" s="90"/>
      <c r="I1522" s="92"/>
      <c r="J1522" s="93"/>
      <c r="K1522" s="94"/>
      <c r="L1522" s="149" t="str">
        <f>HYPERLINK("[#]DatatypeListedValues!B7090:H7090","Enumeration")</f>
        <v>Enumeration</v>
      </c>
      <c r="M1522" s="107" t="b">
        <v>0</v>
      </c>
      <c r="N1522" s="90"/>
      <c r="O1522" s="95"/>
      <c r="P1522" s="90"/>
      <c r="Q1522" s="96"/>
      <c r="R1522" s="97"/>
      <c r="S1522" s="169"/>
      <c r="T1522" s="300" t="str">
        <f>CONCATENATE([1]Cover!$D$6,"fdd/view?i=",S1522)</f>
        <v>https://www.dgiwg.org/FAD/fdd/view?i=</v>
      </c>
      <c r="U1522" s="188"/>
    </row>
    <row r="1523" spans="1:21" ht="2.1" customHeight="1">
      <c r="A1523" s="98"/>
      <c r="B1523" s="87"/>
      <c r="C1523" s="99"/>
      <c r="D1523" s="87"/>
      <c r="E1523" s="99"/>
      <c r="F1523" s="100"/>
      <c r="G1523" s="100"/>
      <c r="H1523" s="100"/>
      <c r="I1523" s="101"/>
      <c r="J1523" s="106"/>
      <c r="K1523" s="103"/>
      <c r="L1523" s="104"/>
      <c r="M1523" s="100"/>
      <c r="N1523" s="100"/>
      <c r="O1523" s="100"/>
      <c r="P1523" s="100"/>
      <c r="Q1523" s="105"/>
      <c r="R1523" s="105"/>
      <c r="S1523" s="169"/>
      <c r="U1523" s="188"/>
    </row>
    <row r="1524" spans="1:21">
      <c r="A1524" s="67" t="s">
        <v>11111</v>
      </c>
      <c r="B1524" s="87" t="s">
        <v>11111</v>
      </c>
      <c r="C1524" s="88" t="s">
        <v>13162</v>
      </c>
      <c r="D1524" s="89"/>
      <c r="E1524" s="90"/>
      <c r="F1524" s="91" t="s">
        <v>13163</v>
      </c>
      <c r="G1524" s="90"/>
      <c r="H1524" s="90"/>
      <c r="I1524" s="92"/>
      <c r="J1524" s="93"/>
      <c r="K1524" s="94"/>
      <c r="L1524" s="149" t="str">
        <f>HYPERLINK("[#]DatatypeListedValues!B7095:H7095","Enumeration")</f>
        <v>Enumeration</v>
      </c>
      <c r="M1524" s="107" t="b">
        <v>0</v>
      </c>
      <c r="N1524" s="90"/>
      <c r="O1524" s="95"/>
      <c r="P1524" s="90"/>
      <c r="Q1524" s="96"/>
      <c r="R1524" s="97"/>
      <c r="S1524" s="169"/>
      <c r="T1524" s="300" t="str">
        <f>CONCATENATE([1]Cover!$D$6,"fdd/view?i=",S1524)</f>
        <v>https://www.dgiwg.org/FAD/fdd/view?i=</v>
      </c>
      <c r="U1524" s="188"/>
    </row>
    <row r="1525" spans="1:21" ht="2.1" customHeight="1">
      <c r="A1525" s="98"/>
      <c r="B1525" s="87"/>
      <c r="C1525" s="99"/>
      <c r="D1525" s="87"/>
      <c r="E1525" s="99"/>
      <c r="F1525" s="100"/>
      <c r="G1525" s="100"/>
      <c r="H1525" s="100"/>
      <c r="I1525" s="101"/>
      <c r="J1525" s="106"/>
      <c r="K1525" s="103"/>
      <c r="L1525" s="104"/>
      <c r="M1525" s="100"/>
      <c r="N1525" s="100"/>
      <c r="O1525" s="100"/>
      <c r="P1525" s="100"/>
      <c r="Q1525" s="105"/>
      <c r="R1525" s="105"/>
      <c r="S1525" s="169"/>
      <c r="U1525" s="188"/>
    </row>
    <row r="1526" spans="1:21" ht="25.5">
      <c r="A1526" s="67" t="s">
        <v>11117</v>
      </c>
      <c r="B1526" s="87" t="s">
        <v>11117</v>
      </c>
      <c r="C1526" s="88" t="s">
        <v>13164</v>
      </c>
      <c r="D1526" s="89"/>
      <c r="E1526" s="90"/>
      <c r="F1526" s="91" t="s">
        <v>13165</v>
      </c>
      <c r="G1526" s="90"/>
      <c r="H1526" s="90"/>
      <c r="I1526" s="92"/>
      <c r="J1526" s="93"/>
      <c r="K1526" s="94"/>
      <c r="L1526" s="149" t="str">
        <f>HYPERLINK("[#]DatatypeListedValues!B7218:H7218","Enumeration")</f>
        <v>Enumeration</v>
      </c>
      <c r="M1526" s="107" t="b">
        <v>0</v>
      </c>
      <c r="N1526" s="90"/>
      <c r="O1526" s="95"/>
      <c r="P1526" s="90"/>
      <c r="Q1526" s="96"/>
      <c r="R1526" s="97"/>
      <c r="S1526" s="169"/>
      <c r="T1526" s="300" t="str">
        <f>CONCATENATE([1]Cover!$D$6,"fdd/view?i=",S1526)</f>
        <v>https://www.dgiwg.org/FAD/fdd/view?i=</v>
      </c>
      <c r="U1526" s="188"/>
    </row>
    <row r="1527" spans="1:21" ht="2.1" customHeight="1">
      <c r="A1527" s="98"/>
      <c r="B1527" s="87"/>
      <c r="C1527" s="99"/>
      <c r="D1527" s="87"/>
      <c r="E1527" s="99"/>
      <c r="F1527" s="100"/>
      <c r="G1527" s="100"/>
      <c r="H1527" s="100"/>
      <c r="I1527" s="101"/>
      <c r="J1527" s="106"/>
      <c r="K1527" s="103"/>
      <c r="L1527" s="104"/>
      <c r="M1527" s="100"/>
      <c r="N1527" s="100"/>
      <c r="O1527" s="100"/>
      <c r="P1527" s="100"/>
      <c r="Q1527" s="105"/>
      <c r="R1527" s="105"/>
      <c r="S1527" s="169"/>
      <c r="U1527" s="188"/>
    </row>
    <row r="1528" spans="1:21" ht="25.5">
      <c r="A1528" s="67" t="s">
        <v>11134</v>
      </c>
      <c r="B1528" s="87" t="s">
        <v>11134</v>
      </c>
      <c r="C1528" s="88" t="s">
        <v>13166</v>
      </c>
      <c r="D1528" s="89"/>
      <c r="E1528" s="90"/>
      <c r="F1528" s="91" t="s">
        <v>13167</v>
      </c>
      <c r="G1528" s="90"/>
      <c r="H1528" s="90"/>
      <c r="I1528" s="92"/>
      <c r="J1528" s="93"/>
      <c r="K1528" s="94"/>
      <c r="L1528" s="149" t="str">
        <f>HYPERLINK("[#]DatatypeListedValues!B7221:H7221","Enumeration")</f>
        <v>Enumeration</v>
      </c>
      <c r="M1528" s="91" t="b">
        <v>1</v>
      </c>
      <c r="N1528" s="90"/>
      <c r="O1528" s="95"/>
      <c r="P1528" s="90"/>
      <c r="Q1528" s="96"/>
      <c r="R1528" s="97"/>
      <c r="S1528" s="169"/>
      <c r="T1528" s="300" t="str">
        <f>CONCATENATE([1]Cover!$D$6,"fdd/view?i=",S1528)</f>
        <v>https://www.dgiwg.org/FAD/fdd/view?i=</v>
      </c>
      <c r="U1528" s="188"/>
    </row>
    <row r="1529" spans="1:21" ht="2.1" customHeight="1">
      <c r="A1529" s="98"/>
      <c r="B1529" s="87"/>
      <c r="C1529" s="99"/>
      <c r="D1529" s="87"/>
      <c r="E1529" s="99"/>
      <c r="F1529" s="100"/>
      <c r="G1529" s="100"/>
      <c r="H1529" s="100"/>
      <c r="I1529" s="101"/>
      <c r="J1529" s="106"/>
      <c r="K1529" s="103"/>
      <c r="L1529" s="104"/>
      <c r="M1529" s="100"/>
      <c r="N1529" s="100"/>
      <c r="O1529" s="100"/>
      <c r="P1529" s="100"/>
      <c r="Q1529" s="105"/>
      <c r="R1529" s="105"/>
      <c r="S1529" s="169"/>
      <c r="U1529" s="188"/>
    </row>
    <row r="1530" spans="1:21" ht="25.5">
      <c r="A1530" s="67" t="s">
        <v>11139</v>
      </c>
      <c r="B1530" s="87" t="s">
        <v>11139</v>
      </c>
      <c r="C1530" s="88" t="s">
        <v>13168</v>
      </c>
      <c r="D1530" s="89"/>
      <c r="E1530" s="90"/>
      <c r="F1530" s="91" t="s">
        <v>13169</v>
      </c>
      <c r="G1530" s="90"/>
      <c r="H1530" s="90"/>
      <c r="I1530" s="92"/>
      <c r="J1530" s="93"/>
      <c r="K1530" s="94"/>
      <c r="L1530" s="149" t="str">
        <f>HYPERLINK("[#]DatatypeListedValues!B7228:H7228","Enumeration")</f>
        <v>Enumeration</v>
      </c>
      <c r="M1530" s="107" t="b">
        <v>0</v>
      </c>
      <c r="N1530" s="90"/>
      <c r="O1530" s="95"/>
      <c r="P1530" s="90"/>
      <c r="Q1530" s="96"/>
      <c r="R1530" s="97"/>
      <c r="S1530" s="169"/>
      <c r="T1530" s="300" t="str">
        <f>CONCATENATE([1]Cover!$D$6,"fdd/view?i=",S1530)</f>
        <v>https://www.dgiwg.org/FAD/fdd/view?i=</v>
      </c>
      <c r="U1530" s="188"/>
    </row>
    <row r="1531" spans="1:21" ht="2.1" customHeight="1">
      <c r="A1531" s="98"/>
      <c r="B1531" s="87"/>
      <c r="C1531" s="99"/>
      <c r="D1531" s="87"/>
      <c r="E1531" s="99"/>
      <c r="F1531" s="100"/>
      <c r="G1531" s="100"/>
      <c r="H1531" s="100"/>
      <c r="I1531" s="101"/>
      <c r="J1531" s="106"/>
      <c r="K1531" s="103"/>
      <c r="L1531" s="104"/>
      <c r="M1531" s="100"/>
      <c r="N1531" s="100"/>
      <c r="O1531" s="100"/>
      <c r="P1531" s="100"/>
      <c r="Q1531" s="105"/>
      <c r="R1531" s="105"/>
      <c r="S1531" s="169"/>
      <c r="U1531" s="188"/>
    </row>
    <row r="1532" spans="1:21">
      <c r="A1532" s="67" t="s">
        <v>11144</v>
      </c>
      <c r="B1532" s="87" t="s">
        <v>11144</v>
      </c>
      <c r="C1532" s="88" t="s">
        <v>13170</v>
      </c>
      <c r="D1532" s="89"/>
      <c r="E1532" s="90"/>
      <c r="F1532" s="91" t="s">
        <v>13171</v>
      </c>
      <c r="G1532" s="90"/>
      <c r="H1532" s="90"/>
      <c r="I1532" s="92"/>
      <c r="J1532" s="93"/>
      <c r="K1532" s="94"/>
      <c r="L1532" s="149" t="str">
        <f>HYPERLINK("[#]DatatypeListedValues!B7231:H7231","Enumeration")</f>
        <v>Enumeration</v>
      </c>
      <c r="M1532" s="107" t="b">
        <v>0</v>
      </c>
      <c r="N1532" s="90"/>
      <c r="O1532" s="95"/>
      <c r="P1532" s="90"/>
      <c r="Q1532" s="96"/>
      <c r="R1532" s="97"/>
      <c r="S1532" s="169"/>
      <c r="T1532" s="300" t="str">
        <f>CONCATENATE([1]Cover!$D$6,"fdd/view?i=",S1532)</f>
        <v>https://www.dgiwg.org/FAD/fdd/view?i=</v>
      </c>
      <c r="U1532" s="188"/>
    </row>
    <row r="1533" spans="1:21" ht="2.1" customHeight="1">
      <c r="A1533" s="98"/>
      <c r="B1533" s="87"/>
      <c r="C1533" s="99"/>
      <c r="D1533" s="87"/>
      <c r="E1533" s="99"/>
      <c r="F1533" s="100"/>
      <c r="G1533" s="100"/>
      <c r="H1533" s="100"/>
      <c r="I1533" s="101"/>
      <c r="J1533" s="106"/>
      <c r="K1533" s="103"/>
      <c r="L1533" s="104"/>
      <c r="M1533" s="100"/>
      <c r="N1533" s="100"/>
      <c r="O1533" s="100"/>
      <c r="P1533" s="100"/>
      <c r="Q1533" s="105"/>
      <c r="R1533" s="105"/>
      <c r="S1533" s="169"/>
      <c r="U1533" s="188"/>
    </row>
    <row r="1534" spans="1:21" ht="25.5">
      <c r="A1534" s="67" t="s">
        <v>11157</v>
      </c>
      <c r="B1534" s="87" t="s">
        <v>11157</v>
      </c>
      <c r="C1534" s="88" t="s">
        <v>13172</v>
      </c>
      <c r="D1534" s="89"/>
      <c r="E1534" s="90"/>
      <c r="F1534" s="91" t="s">
        <v>13173</v>
      </c>
      <c r="G1534" s="90"/>
      <c r="H1534" s="90"/>
      <c r="I1534" s="92"/>
      <c r="J1534" s="93"/>
      <c r="K1534" s="94"/>
      <c r="L1534" s="149" t="str">
        <f>HYPERLINK("[#]DatatypeListedValues!B7242:H7242","Enumeration")</f>
        <v>Enumeration</v>
      </c>
      <c r="M1534" s="107" t="b">
        <v>0</v>
      </c>
      <c r="N1534" s="90"/>
      <c r="O1534" s="95"/>
      <c r="P1534" s="90"/>
      <c r="Q1534" s="96"/>
      <c r="R1534" s="97"/>
      <c r="S1534" s="169"/>
      <c r="T1534" s="300" t="str">
        <f>CONCATENATE([1]Cover!$D$6,"fdd/view?i=",S1534)</f>
        <v>https://www.dgiwg.org/FAD/fdd/view?i=</v>
      </c>
      <c r="U1534" s="188"/>
    </row>
    <row r="1535" spans="1:21" ht="2.1" customHeight="1">
      <c r="A1535" s="98"/>
      <c r="B1535" s="87"/>
      <c r="C1535" s="99"/>
      <c r="D1535" s="87"/>
      <c r="E1535" s="99"/>
      <c r="F1535" s="100"/>
      <c r="G1535" s="100"/>
      <c r="H1535" s="100"/>
      <c r="I1535" s="101"/>
      <c r="J1535" s="106"/>
      <c r="K1535" s="103"/>
      <c r="L1535" s="104"/>
      <c r="M1535" s="100"/>
      <c r="N1535" s="100"/>
      <c r="O1535" s="100"/>
      <c r="P1535" s="100"/>
      <c r="Q1535" s="105"/>
      <c r="R1535" s="105"/>
      <c r="S1535" s="169"/>
      <c r="U1535" s="188"/>
    </row>
    <row r="1536" spans="1:21" ht="25.5">
      <c r="A1536" s="67" t="s">
        <v>11162</v>
      </c>
      <c r="B1536" s="87" t="s">
        <v>11162</v>
      </c>
      <c r="C1536" s="88" t="s">
        <v>13174</v>
      </c>
      <c r="D1536" s="89"/>
      <c r="E1536" s="90"/>
      <c r="F1536" s="91" t="s">
        <v>13175</v>
      </c>
      <c r="G1536" s="90"/>
      <c r="H1536" s="90"/>
      <c r="I1536" s="92"/>
      <c r="J1536" s="93"/>
      <c r="K1536" s="94"/>
      <c r="L1536" s="149" t="str">
        <f>HYPERLINK("[#]DatatypeListedValues!B7257:H7257","Enumeration")</f>
        <v>Enumeration</v>
      </c>
      <c r="M1536" s="107" t="b">
        <v>0</v>
      </c>
      <c r="N1536" s="90"/>
      <c r="O1536" s="95"/>
      <c r="P1536" s="90"/>
      <c r="Q1536" s="96"/>
      <c r="R1536" s="97"/>
      <c r="S1536" s="169"/>
      <c r="T1536" s="300" t="str">
        <f>CONCATENATE([1]Cover!$D$6,"fdd/view?i=",S1536)</f>
        <v>https://www.dgiwg.org/FAD/fdd/view?i=</v>
      </c>
      <c r="U1536" s="188"/>
    </row>
    <row r="1537" spans="1:21" ht="2.1" customHeight="1">
      <c r="A1537" s="98"/>
      <c r="B1537" s="87"/>
      <c r="C1537" s="99"/>
      <c r="D1537" s="87"/>
      <c r="E1537" s="99"/>
      <c r="F1537" s="100"/>
      <c r="G1537" s="100"/>
      <c r="H1537" s="100"/>
      <c r="I1537" s="101"/>
      <c r="J1537" s="106"/>
      <c r="K1537" s="103"/>
      <c r="L1537" s="104"/>
      <c r="M1537" s="100"/>
      <c r="N1537" s="100"/>
      <c r="O1537" s="100"/>
      <c r="P1537" s="100"/>
      <c r="Q1537" s="105"/>
      <c r="R1537" s="105"/>
      <c r="S1537" s="169"/>
      <c r="U1537" s="188"/>
    </row>
    <row r="1538" spans="1:21" ht="25.5">
      <c r="A1538" s="67" t="s">
        <v>11167</v>
      </c>
      <c r="B1538" s="87" t="s">
        <v>11167</v>
      </c>
      <c r="C1538" s="88" t="s">
        <v>13176</v>
      </c>
      <c r="D1538" s="89"/>
      <c r="E1538" s="90"/>
      <c r="F1538" s="91" t="s">
        <v>13177</v>
      </c>
      <c r="G1538" s="90"/>
      <c r="H1538" s="90"/>
      <c r="I1538" s="92"/>
      <c r="J1538" s="93"/>
      <c r="K1538" s="94"/>
      <c r="L1538" s="149" t="str">
        <f>HYPERLINK("[#]DatatypeListedValues!B7269:H7269","Enumeration")</f>
        <v>Enumeration</v>
      </c>
      <c r="M1538" s="107" t="b">
        <v>0</v>
      </c>
      <c r="N1538" s="90"/>
      <c r="O1538" s="95"/>
      <c r="P1538" s="90"/>
      <c r="Q1538" s="96"/>
      <c r="R1538" s="97"/>
      <c r="S1538" s="169"/>
      <c r="T1538" s="300" t="str">
        <f>CONCATENATE([1]Cover!$D$6,"fdd/view?i=",S1538)</f>
        <v>https://www.dgiwg.org/FAD/fdd/view?i=</v>
      </c>
      <c r="U1538" s="188"/>
    </row>
    <row r="1539" spans="1:21" ht="2.1" customHeight="1">
      <c r="A1539" s="98"/>
      <c r="B1539" s="87"/>
      <c r="C1539" s="99"/>
      <c r="D1539" s="87"/>
      <c r="E1539" s="99"/>
      <c r="F1539" s="100"/>
      <c r="G1539" s="100"/>
      <c r="H1539" s="100"/>
      <c r="I1539" s="101"/>
      <c r="J1539" s="106"/>
      <c r="K1539" s="103"/>
      <c r="L1539" s="104"/>
      <c r="M1539" s="100"/>
      <c r="N1539" s="100"/>
      <c r="O1539" s="100"/>
      <c r="P1539" s="100"/>
      <c r="Q1539" s="105"/>
      <c r="R1539" s="105"/>
      <c r="S1539" s="169"/>
      <c r="U1539" s="188"/>
    </row>
    <row r="1540" spans="1:21" ht="25.5">
      <c r="A1540" s="67" t="s">
        <v>13178</v>
      </c>
      <c r="B1540" s="87" t="s">
        <v>13178</v>
      </c>
      <c r="C1540" s="88" t="s">
        <v>13179</v>
      </c>
      <c r="D1540" s="89"/>
      <c r="E1540" s="90"/>
      <c r="F1540" s="91" t="s">
        <v>13180</v>
      </c>
      <c r="G1540" s="90"/>
      <c r="H1540" s="90"/>
      <c r="I1540" s="92"/>
      <c r="J1540" s="93"/>
      <c r="K1540" s="94"/>
      <c r="L1540" s="149" t="str">
        <f>HYPERLINK("[#]DatatypeListedValues!B7272:H7272","Enumeration")</f>
        <v>Enumeration</v>
      </c>
      <c r="M1540" s="91" t="b">
        <v>1</v>
      </c>
      <c r="N1540" s="90"/>
      <c r="O1540" s="95"/>
      <c r="P1540" s="90"/>
      <c r="Q1540" s="96"/>
      <c r="R1540" s="97"/>
      <c r="S1540" s="169"/>
      <c r="T1540" s="300" t="str">
        <f>CONCATENATE([1]Cover!$D$6,"fdd/view?i=",S1540)</f>
        <v>https://www.dgiwg.org/FAD/fdd/view?i=</v>
      </c>
      <c r="U1540" s="188"/>
    </row>
    <row r="1541" spans="1:21" ht="2.1" customHeight="1">
      <c r="A1541" s="98"/>
      <c r="B1541" s="87"/>
      <c r="C1541" s="99"/>
      <c r="D1541" s="87"/>
      <c r="E1541" s="99"/>
      <c r="F1541" s="100"/>
      <c r="G1541" s="100"/>
      <c r="H1541" s="100"/>
      <c r="I1541" s="101"/>
      <c r="J1541" s="106"/>
      <c r="K1541" s="103"/>
      <c r="L1541" s="104"/>
      <c r="M1541" s="100"/>
      <c r="N1541" s="100"/>
      <c r="O1541" s="100"/>
      <c r="P1541" s="100"/>
      <c r="Q1541" s="105"/>
      <c r="R1541" s="105"/>
      <c r="S1541" s="169"/>
      <c r="U1541" s="188"/>
    </row>
    <row r="1542" spans="1:21" ht="38.25">
      <c r="A1542" s="67" t="s">
        <v>13181</v>
      </c>
      <c r="B1542" s="87" t="s">
        <v>13181</v>
      </c>
      <c r="C1542" s="88" t="s">
        <v>13182</v>
      </c>
      <c r="D1542" s="89"/>
      <c r="E1542" s="90"/>
      <c r="F1542" s="91" t="s">
        <v>13183</v>
      </c>
      <c r="G1542" s="90"/>
      <c r="H1542" s="90"/>
      <c r="I1542" s="92"/>
      <c r="J1542" s="93"/>
      <c r="K1542" s="94"/>
      <c r="L1542" s="153" t="s">
        <v>11414</v>
      </c>
      <c r="M1542" s="91" t="b">
        <v>1</v>
      </c>
      <c r="N1542" s="91">
        <v>30</v>
      </c>
      <c r="O1542" s="95"/>
      <c r="P1542" s="91" t="s">
        <v>11745</v>
      </c>
      <c r="Q1542" s="96"/>
      <c r="R1542" s="97"/>
      <c r="S1542" s="169"/>
      <c r="T1542" s="300" t="str">
        <f>CONCATENATE([1]Cover!$D$6,"fdd/view?i=",S1542)</f>
        <v>https://www.dgiwg.org/FAD/fdd/view?i=</v>
      </c>
      <c r="U1542" s="188"/>
    </row>
    <row r="1543" spans="1:21" ht="2.1" customHeight="1">
      <c r="A1543" s="98"/>
      <c r="B1543" s="87"/>
      <c r="C1543" s="99"/>
      <c r="D1543" s="87"/>
      <c r="E1543" s="99"/>
      <c r="F1543" s="100"/>
      <c r="G1543" s="100"/>
      <c r="H1543" s="100"/>
      <c r="I1543" s="101"/>
      <c r="J1543" s="106"/>
      <c r="K1543" s="103"/>
      <c r="L1543" s="104"/>
      <c r="M1543" s="100"/>
      <c r="N1543" s="100"/>
      <c r="O1543" s="100"/>
      <c r="P1543" s="100"/>
      <c r="Q1543" s="105"/>
      <c r="R1543" s="105"/>
      <c r="S1543" s="169"/>
      <c r="U1543" s="188"/>
    </row>
    <row r="1544" spans="1:21">
      <c r="A1544" s="67" t="s">
        <v>11686</v>
      </c>
      <c r="B1544" s="87" t="s">
        <v>11686</v>
      </c>
      <c r="C1544" s="88" t="s">
        <v>11687</v>
      </c>
      <c r="D1544" s="89"/>
      <c r="E1544" s="90"/>
      <c r="F1544" s="91" t="s">
        <v>13184</v>
      </c>
      <c r="G1544" s="90"/>
      <c r="H1544" s="90"/>
      <c r="I1544" s="92"/>
      <c r="J1544" s="93"/>
      <c r="K1544" s="94"/>
      <c r="L1544" s="149" t="str">
        <f>HYPERLINK("[#]DatatypeListedValues!B7277:H7277","Enumeration")</f>
        <v>Enumeration</v>
      </c>
      <c r="M1544" s="91" t="b">
        <v>1</v>
      </c>
      <c r="N1544" s="90"/>
      <c r="O1544" s="95"/>
      <c r="P1544" s="90"/>
      <c r="Q1544" s="96"/>
      <c r="R1544" s="97"/>
      <c r="S1544" s="169"/>
      <c r="T1544" s="300" t="str">
        <f>CONCATENATE([1]Cover!$D$6,"fdd/view?i=",S1544)</f>
        <v>https://www.dgiwg.org/FAD/fdd/view?i=</v>
      </c>
      <c r="U1544" s="188"/>
    </row>
    <row r="1545" spans="1:21" ht="2.1" customHeight="1">
      <c r="A1545" s="98"/>
      <c r="B1545" s="87"/>
      <c r="C1545" s="99"/>
      <c r="D1545" s="87"/>
      <c r="E1545" s="99"/>
      <c r="F1545" s="100"/>
      <c r="G1545" s="100"/>
      <c r="H1545" s="100"/>
      <c r="I1545" s="101"/>
      <c r="J1545" s="106"/>
      <c r="K1545" s="103"/>
      <c r="L1545" s="104"/>
      <c r="M1545" s="100"/>
      <c r="N1545" s="100"/>
      <c r="O1545" s="100"/>
      <c r="P1545" s="100"/>
      <c r="Q1545" s="105"/>
      <c r="R1545" s="105"/>
      <c r="S1545" s="169"/>
      <c r="U1545" s="188"/>
    </row>
    <row r="1546" spans="1:21" ht="38.25">
      <c r="A1546" s="67" t="s">
        <v>13185</v>
      </c>
      <c r="B1546" s="87" t="s">
        <v>13185</v>
      </c>
      <c r="C1546" s="88" t="s">
        <v>13186</v>
      </c>
      <c r="D1546" s="89"/>
      <c r="E1546" s="90"/>
      <c r="F1546" s="91" t="s">
        <v>13187</v>
      </c>
      <c r="G1546" s="90"/>
      <c r="H1546" s="90"/>
      <c r="I1546" s="92"/>
      <c r="J1546" s="93"/>
      <c r="K1546" s="94"/>
      <c r="L1546" s="153" t="s">
        <v>11414</v>
      </c>
      <c r="M1546" s="91" t="b">
        <v>1</v>
      </c>
      <c r="N1546" s="91">
        <v>30</v>
      </c>
      <c r="O1546" s="95"/>
      <c r="P1546" s="91" t="s">
        <v>11745</v>
      </c>
      <c r="Q1546" s="96"/>
      <c r="R1546" s="97"/>
      <c r="S1546" s="169"/>
      <c r="T1546" s="300" t="str">
        <f>CONCATENATE([1]Cover!$D$6,"fdd/view?i=",S1546)</f>
        <v>https://www.dgiwg.org/FAD/fdd/view?i=</v>
      </c>
      <c r="U1546" s="188"/>
    </row>
    <row r="1547" spans="1:21" ht="2.1" customHeight="1">
      <c r="A1547" s="98"/>
      <c r="B1547" s="87"/>
      <c r="C1547" s="99"/>
      <c r="D1547" s="87"/>
      <c r="E1547" s="99"/>
      <c r="F1547" s="100"/>
      <c r="G1547" s="100"/>
      <c r="H1547" s="100"/>
      <c r="I1547" s="101"/>
      <c r="J1547" s="106"/>
      <c r="K1547" s="103"/>
      <c r="L1547" s="104"/>
      <c r="M1547" s="100"/>
      <c r="N1547" s="100"/>
      <c r="O1547" s="100"/>
      <c r="P1547" s="100"/>
      <c r="Q1547" s="105"/>
      <c r="R1547" s="105"/>
      <c r="S1547" s="169"/>
      <c r="U1547" s="188"/>
    </row>
    <row r="1548" spans="1:21">
      <c r="A1548" s="67" t="s">
        <v>11172</v>
      </c>
      <c r="B1548" s="87" t="s">
        <v>11172</v>
      </c>
      <c r="C1548" s="88" t="s">
        <v>13188</v>
      </c>
      <c r="D1548" s="89"/>
      <c r="E1548" s="90"/>
      <c r="F1548" s="91" t="s">
        <v>13189</v>
      </c>
      <c r="G1548" s="90"/>
      <c r="H1548" s="90"/>
      <c r="I1548" s="92"/>
      <c r="J1548" s="93"/>
      <c r="K1548" s="94"/>
      <c r="L1548" s="149" t="str">
        <f>HYPERLINK("[#]DatatypeListedValues!B7283:H7283","Enumeration")</f>
        <v>Enumeration</v>
      </c>
      <c r="M1548" s="91" t="b">
        <v>1</v>
      </c>
      <c r="N1548" s="90"/>
      <c r="O1548" s="95"/>
      <c r="P1548" s="90"/>
      <c r="Q1548" s="96"/>
      <c r="R1548" s="97"/>
      <c r="S1548" s="169"/>
      <c r="T1548" s="300" t="str">
        <f>CONCATENATE([1]Cover!$D$6,"fdd/view?i=",S1548)</f>
        <v>https://www.dgiwg.org/FAD/fdd/view?i=</v>
      </c>
      <c r="U1548" s="188"/>
    </row>
    <row r="1549" spans="1:21" ht="2.1" customHeight="1">
      <c r="A1549" s="98"/>
      <c r="B1549" s="87"/>
      <c r="C1549" s="99"/>
      <c r="D1549" s="87"/>
      <c r="E1549" s="99"/>
      <c r="F1549" s="100"/>
      <c r="G1549" s="100"/>
      <c r="H1549" s="100"/>
      <c r="I1549" s="101"/>
      <c r="J1549" s="106"/>
      <c r="K1549" s="103"/>
      <c r="L1549" s="104"/>
      <c r="M1549" s="100"/>
      <c r="N1549" s="100"/>
      <c r="O1549" s="100"/>
      <c r="P1549" s="100"/>
      <c r="Q1549" s="105"/>
      <c r="R1549" s="105"/>
      <c r="S1549" s="169"/>
      <c r="U1549" s="188"/>
    </row>
    <row r="1550" spans="1:21" ht="25.5">
      <c r="A1550" s="67" t="s">
        <v>11182</v>
      </c>
      <c r="B1550" s="87" t="s">
        <v>11182</v>
      </c>
      <c r="C1550" s="88" t="s">
        <v>13190</v>
      </c>
      <c r="D1550" s="89"/>
      <c r="E1550" s="90"/>
      <c r="F1550" s="91" t="s">
        <v>13191</v>
      </c>
      <c r="G1550" s="90"/>
      <c r="H1550" s="90"/>
      <c r="I1550" s="92"/>
      <c r="J1550" s="93"/>
      <c r="K1550" s="94"/>
      <c r="L1550" s="149" t="str">
        <f>HYPERLINK("[#]DatatypeListedValues!B7286:H7286","Enumeration")</f>
        <v>Enumeration</v>
      </c>
      <c r="M1550" s="107" t="b">
        <v>0</v>
      </c>
      <c r="N1550" s="90"/>
      <c r="O1550" s="95"/>
      <c r="P1550" s="90"/>
      <c r="Q1550" s="96"/>
      <c r="R1550" s="97"/>
      <c r="S1550" s="169"/>
      <c r="T1550" s="300" t="str">
        <f>CONCATENATE([1]Cover!$D$6,"fdd/view?i=",S1550)</f>
        <v>https://www.dgiwg.org/FAD/fdd/view?i=</v>
      </c>
      <c r="U1550" s="188"/>
    </row>
    <row r="1551" spans="1:21" ht="2.1" customHeight="1">
      <c r="A1551" s="98"/>
      <c r="B1551" s="87"/>
      <c r="C1551" s="99"/>
      <c r="D1551" s="87"/>
      <c r="E1551" s="99"/>
      <c r="F1551" s="100"/>
      <c r="G1551" s="100"/>
      <c r="H1551" s="100"/>
      <c r="I1551" s="101"/>
      <c r="J1551" s="106"/>
      <c r="K1551" s="103"/>
      <c r="L1551" s="104"/>
      <c r="M1551" s="100"/>
      <c r="N1551" s="100"/>
      <c r="O1551" s="100"/>
      <c r="P1551" s="100"/>
      <c r="Q1551" s="105"/>
      <c r="R1551" s="105"/>
      <c r="S1551" s="169"/>
      <c r="U1551" s="188"/>
    </row>
    <row r="1552" spans="1:21">
      <c r="A1552" s="67" t="s">
        <v>11187</v>
      </c>
      <c r="B1552" s="87" t="s">
        <v>11187</v>
      </c>
      <c r="C1552" s="88" t="s">
        <v>13192</v>
      </c>
      <c r="D1552" s="89"/>
      <c r="E1552" s="90"/>
      <c r="F1552" s="91" t="s">
        <v>13193</v>
      </c>
      <c r="G1552" s="90"/>
      <c r="H1552" s="90"/>
      <c r="I1552" s="92"/>
      <c r="J1552" s="93"/>
      <c r="K1552" s="94"/>
      <c r="L1552" s="149" t="str">
        <f>HYPERLINK("[#]DatatypeListedValues!B7295:H7295","Enumeration")</f>
        <v>Enumeration</v>
      </c>
      <c r="M1552" s="91" t="b">
        <v>1</v>
      </c>
      <c r="N1552" s="90"/>
      <c r="O1552" s="95"/>
      <c r="P1552" s="90"/>
      <c r="Q1552" s="96"/>
      <c r="R1552" s="97"/>
      <c r="S1552" s="169"/>
      <c r="T1552" s="300" t="str">
        <f>CONCATENATE([1]Cover!$D$6,"fdd/view?i=",S1552)</f>
        <v>https://www.dgiwg.org/FAD/fdd/view?i=</v>
      </c>
      <c r="U1552" s="188"/>
    </row>
    <row r="1553" spans="1:21" ht="2.1" customHeight="1">
      <c r="A1553" s="98"/>
      <c r="B1553" s="87"/>
      <c r="C1553" s="99"/>
      <c r="D1553" s="87"/>
      <c r="E1553" s="99"/>
      <c r="F1553" s="100"/>
      <c r="G1553" s="100"/>
      <c r="H1553" s="100"/>
      <c r="I1553" s="101"/>
      <c r="J1553" s="106"/>
      <c r="K1553" s="103"/>
      <c r="L1553" s="104"/>
      <c r="M1553" s="100"/>
      <c r="N1553" s="100"/>
      <c r="O1553" s="100"/>
      <c r="P1553" s="100"/>
      <c r="Q1553" s="105"/>
      <c r="R1553" s="105"/>
      <c r="S1553" s="169"/>
      <c r="U1553" s="188"/>
    </row>
    <row r="1554" spans="1:21">
      <c r="A1554" s="67" t="s">
        <v>11195</v>
      </c>
      <c r="B1554" s="87" t="s">
        <v>11195</v>
      </c>
      <c r="C1554" s="88" t="s">
        <v>13194</v>
      </c>
      <c r="D1554" s="89"/>
      <c r="E1554" s="90"/>
      <c r="F1554" s="91" t="s">
        <v>13195</v>
      </c>
      <c r="G1554" s="90"/>
      <c r="H1554" s="90"/>
      <c r="I1554" s="92"/>
      <c r="J1554" s="93"/>
      <c r="K1554" s="94"/>
      <c r="L1554" s="149" t="str">
        <f>HYPERLINK("[#]DatatypeListedValues!B7300:H7300","Enumeration")</f>
        <v>Enumeration</v>
      </c>
      <c r="M1554" s="107" t="b">
        <v>0</v>
      </c>
      <c r="N1554" s="90"/>
      <c r="O1554" s="95"/>
      <c r="P1554" s="90"/>
      <c r="Q1554" s="96"/>
      <c r="R1554" s="97"/>
      <c r="S1554" s="169"/>
      <c r="T1554" s="300" t="str">
        <f>CONCATENATE([1]Cover!$D$6,"fdd/view?i=",S1554)</f>
        <v>https://www.dgiwg.org/FAD/fdd/view?i=</v>
      </c>
      <c r="U1554" s="188"/>
    </row>
    <row r="1555" spans="1:21" ht="2.1" customHeight="1">
      <c r="A1555" s="98"/>
      <c r="B1555" s="87"/>
      <c r="C1555" s="99"/>
      <c r="D1555" s="87"/>
      <c r="E1555" s="99"/>
      <c r="F1555" s="100"/>
      <c r="G1555" s="100"/>
      <c r="H1555" s="100"/>
      <c r="I1555" s="101"/>
      <c r="J1555" s="106"/>
      <c r="K1555" s="103"/>
      <c r="L1555" s="104"/>
      <c r="M1555" s="100"/>
      <c r="N1555" s="100"/>
      <c r="O1555" s="100"/>
      <c r="P1555" s="100"/>
      <c r="Q1555" s="105"/>
      <c r="R1555" s="105"/>
      <c r="S1555" s="169"/>
      <c r="U1555" s="188"/>
    </row>
    <row r="1556" spans="1:21">
      <c r="A1556" s="67" t="s">
        <v>11214</v>
      </c>
      <c r="B1556" s="87" t="s">
        <v>11214</v>
      </c>
      <c r="C1556" s="88" t="s">
        <v>13196</v>
      </c>
      <c r="D1556" s="89"/>
      <c r="E1556" s="90"/>
      <c r="F1556" s="91" t="s">
        <v>13197</v>
      </c>
      <c r="G1556" s="90"/>
      <c r="H1556" s="90"/>
      <c r="I1556" s="92"/>
      <c r="J1556" s="93"/>
      <c r="K1556" s="94"/>
      <c r="L1556" s="149" t="str">
        <f>HYPERLINK("[#]DatatypeListedValues!B7302:H7302","Enumeration")</f>
        <v>Enumeration</v>
      </c>
      <c r="M1556" s="107" t="b">
        <v>0</v>
      </c>
      <c r="N1556" s="90"/>
      <c r="O1556" s="95"/>
      <c r="P1556" s="90"/>
      <c r="Q1556" s="96"/>
      <c r="R1556" s="97"/>
      <c r="S1556" s="169"/>
      <c r="T1556" s="300" t="str">
        <f>CONCATENATE([1]Cover!$D$6,"fdd/view?i=",S1556)</f>
        <v>https://www.dgiwg.org/FAD/fdd/view?i=</v>
      </c>
      <c r="U1556" s="188"/>
    </row>
    <row r="1557" spans="1:21" ht="2.1" customHeight="1">
      <c r="A1557" s="98"/>
      <c r="B1557" s="87"/>
      <c r="C1557" s="99"/>
      <c r="D1557" s="87"/>
      <c r="E1557" s="99"/>
      <c r="F1557" s="100"/>
      <c r="G1557" s="100"/>
      <c r="H1557" s="100"/>
      <c r="I1557" s="101"/>
      <c r="J1557" s="106"/>
      <c r="K1557" s="103"/>
      <c r="L1557" s="104"/>
      <c r="M1557" s="100"/>
      <c r="N1557" s="100"/>
      <c r="O1557" s="100"/>
      <c r="P1557" s="100"/>
      <c r="Q1557" s="105"/>
      <c r="R1557" s="105"/>
      <c r="S1557" s="169"/>
      <c r="U1557" s="188"/>
    </row>
    <row r="1558" spans="1:21">
      <c r="A1558" s="67" t="s">
        <v>11219</v>
      </c>
      <c r="B1558" s="87" t="s">
        <v>11219</v>
      </c>
      <c r="C1558" s="88" t="s">
        <v>13198</v>
      </c>
      <c r="D1558" s="89"/>
      <c r="E1558" s="90"/>
      <c r="F1558" s="91" t="s">
        <v>13199</v>
      </c>
      <c r="G1558" s="90"/>
      <c r="H1558" s="90"/>
      <c r="I1558" s="92"/>
      <c r="J1558" s="93"/>
      <c r="K1558" s="94"/>
      <c r="L1558" s="149" t="str">
        <f>HYPERLINK("[#]DatatypeListedValues!B7308:H7308","Enumeration")</f>
        <v>Enumeration</v>
      </c>
      <c r="M1558" s="107" t="b">
        <v>0</v>
      </c>
      <c r="N1558" s="90"/>
      <c r="O1558" s="95"/>
      <c r="P1558" s="90"/>
      <c r="Q1558" s="96"/>
      <c r="R1558" s="97"/>
      <c r="S1558" s="169"/>
      <c r="T1558" s="300" t="str">
        <f>CONCATENATE([1]Cover!$D$6,"fdd/view?i=",S1558)</f>
        <v>https://www.dgiwg.org/FAD/fdd/view?i=</v>
      </c>
      <c r="U1558" s="188"/>
    </row>
    <row r="1559" spans="1:21" ht="2.1" customHeight="1">
      <c r="A1559" s="98"/>
      <c r="B1559" s="87"/>
      <c r="C1559" s="99"/>
      <c r="D1559" s="87"/>
      <c r="E1559" s="99"/>
      <c r="F1559" s="100"/>
      <c r="G1559" s="100"/>
      <c r="H1559" s="100"/>
      <c r="I1559" s="101"/>
      <c r="J1559" s="106"/>
      <c r="K1559" s="103"/>
      <c r="L1559" s="104"/>
      <c r="M1559" s="100"/>
      <c r="N1559" s="100"/>
      <c r="O1559" s="100"/>
      <c r="P1559" s="100"/>
      <c r="Q1559" s="105"/>
      <c r="R1559" s="105"/>
      <c r="S1559" s="169"/>
      <c r="U1559" s="188"/>
    </row>
    <row r="1560" spans="1:21">
      <c r="A1560" s="67" t="s">
        <v>11224</v>
      </c>
      <c r="B1560" s="87" t="s">
        <v>11224</v>
      </c>
      <c r="C1560" s="88" t="s">
        <v>13200</v>
      </c>
      <c r="D1560" s="89"/>
      <c r="E1560" s="90"/>
      <c r="F1560" s="91" t="s">
        <v>13201</v>
      </c>
      <c r="G1560" s="90"/>
      <c r="H1560" s="90"/>
      <c r="I1560" s="92"/>
      <c r="J1560" s="93"/>
      <c r="K1560" s="94"/>
      <c r="L1560" s="149" t="str">
        <f>HYPERLINK("[#]DatatypeListedValues!B7312:H7312","Enumeration")</f>
        <v>Enumeration</v>
      </c>
      <c r="M1560" s="107" t="b">
        <v>0</v>
      </c>
      <c r="N1560" s="90"/>
      <c r="O1560" s="95"/>
      <c r="P1560" s="90"/>
      <c r="Q1560" s="96"/>
      <c r="R1560" s="97"/>
      <c r="S1560" s="169"/>
      <c r="T1560" s="300" t="str">
        <f>CONCATENATE([1]Cover!$D$6,"fdd/view?i=",S1560)</f>
        <v>https://www.dgiwg.org/FAD/fdd/view?i=</v>
      </c>
      <c r="U1560" s="188"/>
    </row>
    <row r="1561" spans="1:21" ht="2.1" customHeight="1">
      <c r="A1561" s="98"/>
      <c r="B1561" s="87"/>
      <c r="C1561" s="99"/>
      <c r="D1561" s="87"/>
      <c r="E1561" s="99"/>
      <c r="F1561" s="100"/>
      <c r="G1561" s="100"/>
      <c r="H1561" s="100"/>
      <c r="I1561" s="101"/>
      <c r="J1561" s="106"/>
      <c r="K1561" s="103"/>
      <c r="L1561" s="104"/>
      <c r="M1561" s="100"/>
      <c r="N1561" s="100"/>
      <c r="O1561" s="100"/>
      <c r="P1561" s="100"/>
      <c r="Q1561" s="105"/>
      <c r="R1561" s="105"/>
      <c r="S1561" s="169"/>
      <c r="U1561" s="188"/>
    </row>
    <row r="1562" spans="1:21" ht="25.5">
      <c r="A1562" s="67" t="s">
        <v>11234</v>
      </c>
      <c r="B1562" s="87" t="s">
        <v>11234</v>
      </c>
      <c r="C1562" s="88" t="s">
        <v>13202</v>
      </c>
      <c r="D1562" s="89"/>
      <c r="E1562" s="90"/>
      <c r="F1562" s="91" t="s">
        <v>13203</v>
      </c>
      <c r="G1562" s="90"/>
      <c r="H1562" s="90"/>
      <c r="I1562" s="92"/>
      <c r="J1562" s="93"/>
      <c r="K1562" s="94"/>
      <c r="L1562" s="149" t="str">
        <f>HYPERLINK("[#]DatatypeListedValues!B7316:H7316","Enumeration")</f>
        <v>Enumeration</v>
      </c>
      <c r="M1562" s="107" t="b">
        <v>0</v>
      </c>
      <c r="N1562" s="90"/>
      <c r="O1562" s="95"/>
      <c r="P1562" s="90"/>
      <c r="Q1562" s="96"/>
      <c r="R1562" s="97"/>
      <c r="S1562" s="169"/>
      <c r="T1562" s="300" t="str">
        <f>CONCATENATE([1]Cover!$D$6,"fdd/view?i=",S1562)</f>
        <v>https://www.dgiwg.org/FAD/fdd/view?i=</v>
      </c>
      <c r="U1562" s="188"/>
    </row>
    <row r="1563" spans="1:21" ht="2.1" customHeight="1">
      <c r="A1563" s="98"/>
      <c r="B1563" s="87"/>
      <c r="C1563" s="99"/>
      <c r="D1563" s="87"/>
      <c r="E1563" s="99"/>
      <c r="F1563" s="100"/>
      <c r="G1563" s="100"/>
      <c r="H1563" s="100"/>
      <c r="I1563" s="101"/>
      <c r="J1563" s="106"/>
      <c r="K1563" s="103"/>
      <c r="L1563" s="104"/>
      <c r="M1563" s="100"/>
      <c r="N1563" s="100"/>
      <c r="O1563" s="100"/>
      <c r="P1563" s="100"/>
      <c r="Q1563" s="105"/>
      <c r="R1563" s="105"/>
      <c r="S1563" s="169"/>
      <c r="U1563" s="188"/>
    </row>
    <row r="1564" spans="1:21">
      <c r="A1564" s="67" t="s">
        <v>11239</v>
      </c>
      <c r="B1564" s="87" t="s">
        <v>11239</v>
      </c>
      <c r="C1564" s="88" t="s">
        <v>13204</v>
      </c>
      <c r="D1564" s="89"/>
      <c r="E1564" s="90"/>
      <c r="F1564" s="91" t="s">
        <v>13205</v>
      </c>
      <c r="G1564" s="90"/>
      <c r="H1564" s="90"/>
      <c r="I1564" s="92"/>
      <c r="J1564" s="93"/>
      <c r="K1564" s="94"/>
      <c r="L1564" s="149" t="str">
        <f>HYPERLINK("[#]DatatypeListedValues!B7325:H7325","Enumeration")</f>
        <v>Enumeration</v>
      </c>
      <c r="M1564" s="107" t="b">
        <v>0</v>
      </c>
      <c r="N1564" s="90"/>
      <c r="O1564" s="95"/>
      <c r="P1564" s="90"/>
      <c r="Q1564" s="96"/>
      <c r="R1564" s="97"/>
      <c r="S1564" s="169"/>
      <c r="T1564" s="300" t="str">
        <f>CONCATENATE([1]Cover!$D$6,"fdd/view?i=",S1564)</f>
        <v>https://www.dgiwg.org/FAD/fdd/view?i=</v>
      </c>
      <c r="U1564" s="188"/>
    </row>
    <row r="1565" spans="1:21" ht="2.1" customHeight="1">
      <c r="A1565" s="98"/>
      <c r="B1565" s="87"/>
      <c r="C1565" s="99"/>
      <c r="D1565" s="87"/>
      <c r="E1565" s="99"/>
      <c r="F1565" s="100"/>
      <c r="G1565" s="100"/>
      <c r="H1565" s="100"/>
      <c r="I1565" s="101"/>
      <c r="J1565" s="106"/>
      <c r="K1565" s="103"/>
      <c r="L1565" s="104"/>
      <c r="M1565" s="100"/>
      <c r="N1565" s="100"/>
      <c r="O1565" s="100"/>
      <c r="P1565" s="100"/>
      <c r="Q1565" s="105"/>
      <c r="R1565" s="105"/>
      <c r="S1565" s="169"/>
      <c r="U1565" s="188"/>
    </row>
    <row r="1566" spans="1:21">
      <c r="A1566" s="67" t="s">
        <v>11245</v>
      </c>
      <c r="B1566" s="87" t="s">
        <v>11245</v>
      </c>
      <c r="C1566" s="88" t="s">
        <v>13206</v>
      </c>
      <c r="D1566" s="89"/>
      <c r="E1566" s="90"/>
      <c r="F1566" s="91" t="s">
        <v>13207</v>
      </c>
      <c r="G1566" s="90"/>
      <c r="H1566" s="90"/>
      <c r="I1566" s="92"/>
      <c r="J1566" s="93"/>
      <c r="K1566" s="94"/>
      <c r="L1566" s="149" t="str">
        <f>HYPERLINK("[#]DatatypeListedValues!B7332:H7332","Enumeration")</f>
        <v>Enumeration</v>
      </c>
      <c r="M1566" s="107" t="b">
        <v>0</v>
      </c>
      <c r="N1566" s="90"/>
      <c r="O1566" s="95"/>
      <c r="P1566" s="90"/>
      <c r="Q1566" s="96"/>
      <c r="R1566" s="97"/>
      <c r="S1566" s="169"/>
      <c r="T1566" s="300" t="str">
        <f>CONCATENATE([1]Cover!$D$6,"fdd/view?i=",S1566)</f>
        <v>https://www.dgiwg.org/FAD/fdd/view?i=</v>
      </c>
      <c r="U1566" s="188"/>
    </row>
    <row r="1567" spans="1:21" ht="2.1" customHeight="1">
      <c r="A1567" s="98"/>
      <c r="B1567" s="87"/>
      <c r="C1567" s="99"/>
      <c r="D1567" s="87"/>
      <c r="E1567" s="99"/>
      <c r="F1567" s="100"/>
      <c r="G1567" s="100"/>
      <c r="H1567" s="100"/>
      <c r="I1567" s="101"/>
      <c r="J1567" s="106"/>
      <c r="K1567" s="103"/>
      <c r="L1567" s="104"/>
      <c r="M1567" s="100"/>
      <c r="N1567" s="100"/>
      <c r="O1567" s="100"/>
      <c r="P1567" s="100"/>
      <c r="Q1567" s="105"/>
      <c r="R1567" s="105"/>
      <c r="S1567" s="169"/>
      <c r="U1567" s="188"/>
    </row>
    <row r="1568" spans="1:21" ht="25.5">
      <c r="A1568" s="67" t="s">
        <v>11263</v>
      </c>
      <c r="B1568" s="87" t="s">
        <v>11263</v>
      </c>
      <c r="C1568" s="88" t="s">
        <v>13208</v>
      </c>
      <c r="D1568" s="89"/>
      <c r="E1568" s="90"/>
      <c r="F1568" s="91" t="s">
        <v>13209</v>
      </c>
      <c r="G1568" s="90"/>
      <c r="H1568" s="90"/>
      <c r="I1568" s="92"/>
      <c r="J1568" s="93"/>
      <c r="K1568" s="94"/>
      <c r="L1568" s="149" t="str">
        <f>HYPERLINK("[#]DatatypeListedValues!B7342:H7342","Enumeration")</f>
        <v>Enumeration</v>
      </c>
      <c r="M1568" s="107" t="b">
        <v>0</v>
      </c>
      <c r="N1568" s="90"/>
      <c r="O1568" s="95"/>
      <c r="P1568" s="90"/>
      <c r="Q1568" s="96"/>
      <c r="R1568" s="97"/>
      <c r="S1568" s="169"/>
      <c r="T1568" s="300" t="str">
        <f>CONCATENATE([1]Cover!$D$6,"fdd/view?i=",S1568)</f>
        <v>https://www.dgiwg.org/FAD/fdd/view?i=</v>
      </c>
      <c r="U1568" s="188"/>
    </row>
    <row r="1569" spans="1:21" ht="2.1" customHeight="1">
      <c r="A1569" s="98"/>
      <c r="B1569" s="87"/>
      <c r="C1569" s="99"/>
      <c r="D1569" s="87"/>
      <c r="E1569" s="99"/>
      <c r="F1569" s="100"/>
      <c r="G1569" s="100"/>
      <c r="H1569" s="100"/>
      <c r="I1569" s="101"/>
      <c r="J1569" s="106"/>
      <c r="K1569" s="103"/>
      <c r="L1569" s="104"/>
      <c r="M1569" s="100"/>
      <c r="N1569" s="100"/>
      <c r="O1569" s="100"/>
      <c r="P1569" s="100"/>
      <c r="Q1569" s="105"/>
      <c r="R1569" s="105"/>
      <c r="S1569" s="169"/>
      <c r="U1569" s="188"/>
    </row>
    <row r="1570" spans="1:21" ht="25.5">
      <c r="A1570" s="67" t="s">
        <v>11277</v>
      </c>
      <c r="B1570" s="87" t="s">
        <v>11277</v>
      </c>
      <c r="C1570" s="88" t="s">
        <v>13210</v>
      </c>
      <c r="D1570" s="89"/>
      <c r="E1570" s="90"/>
      <c r="F1570" s="91" t="s">
        <v>13211</v>
      </c>
      <c r="G1570" s="90"/>
      <c r="H1570" s="90"/>
      <c r="I1570" s="92"/>
      <c r="J1570" s="93"/>
      <c r="K1570" s="94"/>
      <c r="L1570" s="149" t="str">
        <f>HYPERLINK("[#]DatatypeListedValues!B7353:H7353","Enumeration")</f>
        <v>Enumeration</v>
      </c>
      <c r="M1570" s="107" t="b">
        <v>0</v>
      </c>
      <c r="N1570" s="90"/>
      <c r="O1570" s="95"/>
      <c r="P1570" s="90"/>
      <c r="Q1570" s="96"/>
      <c r="R1570" s="97"/>
      <c r="S1570" s="169"/>
      <c r="T1570" s="300" t="str">
        <f>CONCATENATE([1]Cover!$D$6,"fdd/view?i=",S1570)</f>
        <v>https://www.dgiwg.org/FAD/fdd/view?i=</v>
      </c>
      <c r="U1570" s="188"/>
    </row>
    <row r="1571" spans="1:21" ht="2.1" customHeight="1">
      <c r="A1571" s="98"/>
      <c r="B1571" s="87"/>
      <c r="C1571" s="99"/>
      <c r="D1571" s="87"/>
      <c r="E1571" s="99"/>
      <c r="F1571" s="100"/>
      <c r="G1571" s="100"/>
      <c r="H1571" s="100"/>
      <c r="I1571" s="101"/>
      <c r="J1571" s="106"/>
      <c r="K1571" s="103"/>
      <c r="L1571" s="104"/>
      <c r="M1571" s="100"/>
      <c r="N1571" s="100"/>
      <c r="O1571" s="100"/>
      <c r="P1571" s="100"/>
      <c r="Q1571" s="105"/>
      <c r="R1571" s="105"/>
      <c r="S1571" s="169"/>
      <c r="U1571" s="188"/>
    </row>
    <row r="1572" spans="1:21" ht="25.5">
      <c r="A1572" s="67" t="s">
        <v>11286</v>
      </c>
      <c r="B1572" s="87" t="s">
        <v>11286</v>
      </c>
      <c r="C1572" s="88" t="s">
        <v>13212</v>
      </c>
      <c r="D1572" s="89"/>
      <c r="E1572" s="90"/>
      <c r="F1572" s="91" t="s">
        <v>13213</v>
      </c>
      <c r="G1572" s="90"/>
      <c r="H1572" s="90"/>
      <c r="I1572" s="92"/>
      <c r="J1572" s="93"/>
      <c r="K1572" s="94"/>
      <c r="L1572" s="149" t="str">
        <f>HYPERLINK("[#]DatatypeListedValues!B7457:H7457","Enumeration")</f>
        <v>Enumeration</v>
      </c>
      <c r="M1572" s="107" t="b">
        <v>0</v>
      </c>
      <c r="N1572" s="90"/>
      <c r="O1572" s="95"/>
      <c r="P1572" s="90"/>
      <c r="Q1572" s="96"/>
      <c r="R1572" s="97"/>
      <c r="S1572" s="169"/>
      <c r="T1572" s="300" t="str">
        <f>CONCATENATE([1]Cover!$D$6,"fdd/view?i=",S1572)</f>
        <v>https://www.dgiwg.org/FAD/fdd/view?i=</v>
      </c>
      <c r="U1572" s="188"/>
    </row>
    <row r="1573" spans="1:21" ht="2.1" customHeight="1">
      <c r="A1573" s="98"/>
      <c r="B1573" s="87"/>
      <c r="C1573" s="99"/>
      <c r="D1573" s="87"/>
      <c r="E1573" s="99"/>
      <c r="F1573" s="100"/>
      <c r="G1573" s="100"/>
      <c r="H1573" s="100"/>
      <c r="I1573" s="101"/>
      <c r="J1573" s="106"/>
      <c r="K1573" s="103"/>
      <c r="L1573" s="104"/>
      <c r="M1573" s="100"/>
      <c r="N1573" s="100"/>
      <c r="O1573" s="100"/>
      <c r="P1573" s="100"/>
      <c r="Q1573" s="105"/>
      <c r="R1573" s="105"/>
      <c r="S1573" s="169"/>
      <c r="U1573" s="188"/>
    </row>
    <row r="1574" spans="1:21" ht="25.5">
      <c r="A1574" s="67" t="s">
        <v>11291</v>
      </c>
      <c r="B1574" s="87" t="s">
        <v>11291</v>
      </c>
      <c r="C1574" s="88" t="s">
        <v>13214</v>
      </c>
      <c r="D1574" s="89"/>
      <c r="E1574" s="90"/>
      <c r="F1574" s="91" t="s">
        <v>13215</v>
      </c>
      <c r="G1574" s="90"/>
      <c r="H1574" s="90"/>
      <c r="I1574" s="92"/>
      <c r="J1574" s="93"/>
      <c r="K1574" s="94"/>
      <c r="L1574" s="149" t="str">
        <f>HYPERLINK("[#]DatatypeListedValues!B7462:H7462","Enumeration")</f>
        <v>Enumeration</v>
      </c>
      <c r="M1574" s="107" t="b">
        <v>0</v>
      </c>
      <c r="N1574" s="90"/>
      <c r="O1574" s="95"/>
      <c r="P1574" s="90"/>
      <c r="Q1574" s="96"/>
      <c r="R1574" s="97"/>
      <c r="S1574" s="169"/>
      <c r="T1574" s="300" t="str">
        <f>CONCATENATE([1]Cover!$D$6,"fdd/view?i=",S1574)</f>
        <v>https://www.dgiwg.org/FAD/fdd/view?i=</v>
      </c>
      <c r="U1574" s="188"/>
    </row>
    <row r="1575" spans="1:21" ht="2.1" customHeight="1">
      <c r="A1575" s="98"/>
      <c r="B1575" s="87"/>
      <c r="C1575" s="99"/>
      <c r="D1575" s="87"/>
      <c r="E1575" s="99"/>
      <c r="F1575" s="100"/>
      <c r="G1575" s="100"/>
      <c r="H1575" s="100"/>
      <c r="I1575" s="101"/>
      <c r="J1575" s="106"/>
      <c r="K1575" s="103"/>
      <c r="L1575" s="104"/>
      <c r="M1575" s="100"/>
      <c r="N1575" s="100"/>
      <c r="O1575" s="100"/>
      <c r="P1575" s="100"/>
      <c r="Q1575" s="105"/>
      <c r="R1575" s="105"/>
      <c r="S1575" s="169"/>
      <c r="U1575" s="188"/>
    </row>
    <row r="1576" spans="1:21" ht="25.5">
      <c r="A1576" s="67" t="s">
        <v>11296</v>
      </c>
      <c r="B1576" s="87" t="s">
        <v>11296</v>
      </c>
      <c r="C1576" s="88" t="s">
        <v>13216</v>
      </c>
      <c r="D1576" s="89"/>
      <c r="E1576" s="90"/>
      <c r="F1576" s="91" t="s">
        <v>13217</v>
      </c>
      <c r="G1576" s="90"/>
      <c r="H1576" s="90"/>
      <c r="I1576" s="92"/>
      <c r="J1576" s="93"/>
      <c r="K1576" s="94"/>
      <c r="L1576" s="149" t="str">
        <f>HYPERLINK("[#]DatatypeListedValues!B7476:H7476","Enumeration")</f>
        <v>Enumeration</v>
      </c>
      <c r="M1576" s="107" t="b">
        <v>0</v>
      </c>
      <c r="N1576" s="90"/>
      <c r="O1576" s="95"/>
      <c r="P1576" s="90"/>
      <c r="Q1576" s="96"/>
      <c r="R1576" s="97"/>
      <c r="S1576" s="169"/>
      <c r="T1576" s="300" t="str">
        <f>CONCATENATE([1]Cover!$D$6,"fdd/view?i=",S1576)</f>
        <v>https://www.dgiwg.org/FAD/fdd/view?i=</v>
      </c>
      <c r="U1576" s="188"/>
    </row>
    <row r="1577" spans="1:21" ht="2.1" customHeight="1">
      <c r="A1577" s="98"/>
      <c r="B1577" s="87"/>
      <c r="C1577" s="99"/>
      <c r="D1577" s="87"/>
      <c r="E1577" s="99"/>
      <c r="F1577" s="100"/>
      <c r="G1577" s="100"/>
      <c r="H1577" s="100"/>
      <c r="I1577" s="101"/>
      <c r="J1577" s="106"/>
      <c r="K1577" s="103"/>
      <c r="L1577" s="104"/>
      <c r="M1577" s="100"/>
      <c r="N1577" s="100"/>
      <c r="O1577" s="100"/>
      <c r="P1577" s="100"/>
      <c r="Q1577" s="105"/>
      <c r="R1577" s="105"/>
      <c r="S1577" s="169"/>
      <c r="U1577" s="188"/>
    </row>
    <row r="1578" spans="1:21">
      <c r="A1578" s="67" t="s">
        <v>11302</v>
      </c>
      <c r="B1578" s="87" t="s">
        <v>11302</v>
      </c>
      <c r="C1578" s="88" t="s">
        <v>13218</v>
      </c>
      <c r="D1578" s="89"/>
      <c r="E1578" s="90"/>
      <c r="F1578" s="91" t="s">
        <v>13219</v>
      </c>
      <c r="G1578" s="90"/>
      <c r="H1578" s="90"/>
      <c r="I1578" s="92"/>
      <c r="J1578" s="93"/>
      <c r="K1578" s="94"/>
      <c r="L1578" s="149" t="str">
        <f>HYPERLINK("[#]DatatypeListedValues!B7480:H7480","Enumeration")</f>
        <v>Enumeration</v>
      </c>
      <c r="M1578" s="107" t="b">
        <v>0</v>
      </c>
      <c r="N1578" s="90"/>
      <c r="O1578" s="95"/>
      <c r="P1578" s="90"/>
      <c r="Q1578" s="96"/>
      <c r="R1578" s="97"/>
      <c r="S1578" s="169"/>
      <c r="T1578" s="300" t="str">
        <f>CONCATENATE([1]Cover!$D$6,"fdd/view?i=",S1578)</f>
        <v>https://www.dgiwg.org/FAD/fdd/view?i=</v>
      </c>
      <c r="U1578" s="188"/>
    </row>
    <row r="1579" spans="1:21" ht="2.1" customHeight="1">
      <c r="A1579" s="98"/>
      <c r="B1579" s="87"/>
      <c r="C1579" s="99"/>
      <c r="D1579" s="87"/>
      <c r="E1579" s="99"/>
      <c r="F1579" s="100"/>
      <c r="G1579" s="100"/>
      <c r="H1579" s="100"/>
      <c r="I1579" s="101"/>
      <c r="J1579" s="106"/>
      <c r="K1579" s="103"/>
      <c r="L1579" s="104"/>
      <c r="M1579" s="100"/>
      <c r="N1579" s="100"/>
      <c r="O1579" s="100"/>
      <c r="P1579" s="100"/>
      <c r="Q1579" s="105"/>
      <c r="R1579" s="105"/>
      <c r="S1579" s="169"/>
      <c r="U1579" s="188"/>
    </row>
    <row r="1580" spans="1:21">
      <c r="A1580" s="67" t="s">
        <v>11306</v>
      </c>
      <c r="B1580" s="87" t="s">
        <v>11306</v>
      </c>
      <c r="C1580" s="88" t="s">
        <v>13220</v>
      </c>
      <c r="D1580" s="89"/>
      <c r="E1580" s="90"/>
      <c r="F1580" s="91" t="s">
        <v>13221</v>
      </c>
      <c r="G1580" s="90"/>
      <c r="H1580" s="90"/>
      <c r="I1580" s="92"/>
      <c r="J1580" s="93"/>
      <c r="K1580" s="94"/>
      <c r="L1580" s="149" t="str">
        <f>HYPERLINK("[#]DatatypeListedValues!B7482:H7482","Enumeration")</f>
        <v>Enumeration</v>
      </c>
      <c r="M1580" s="107" t="b">
        <v>0</v>
      </c>
      <c r="N1580" s="90"/>
      <c r="O1580" s="95"/>
      <c r="P1580" s="90"/>
      <c r="Q1580" s="96"/>
      <c r="R1580" s="97"/>
      <c r="S1580" s="169"/>
      <c r="T1580" s="300" t="str">
        <f>CONCATENATE([1]Cover!$D$6,"fdd/view?i=",S1580)</f>
        <v>https://www.dgiwg.org/FAD/fdd/view?i=</v>
      </c>
      <c r="U1580" s="188"/>
    </row>
    <row r="1581" spans="1:21" ht="2.1" customHeight="1">
      <c r="A1581" s="98"/>
      <c r="B1581" s="87"/>
      <c r="C1581" s="99"/>
      <c r="D1581" s="87"/>
      <c r="E1581" s="99"/>
      <c r="F1581" s="100"/>
      <c r="G1581" s="100"/>
      <c r="H1581" s="100"/>
      <c r="I1581" s="101"/>
      <c r="J1581" s="106"/>
      <c r="K1581" s="103"/>
      <c r="L1581" s="104"/>
      <c r="M1581" s="100"/>
      <c r="N1581" s="100"/>
      <c r="O1581" s="100"/>
      <c r="P1581" s="100"/>
      <c r="Q1581" s="105"/>
      <c r="R1581" s="105"/>
      <c r="S1581" s="169"/>
      <c r="U1581" s="188"/>
    </row>
    <row r="1582" spans="1:21">
      <c r="A1582" s="67" t="s">
        <v>11312</v>
      </c>
      <c r="B1582" s="87" t="s">
        <v>11312</v>
      </c>
      <c r="C1582" s="88" t="s">
        <v>13222</v>
      </c>
      <c r="D1582" s="89"/>
      <c r="E1582" s="90"/>
      <c r="F1582" s="91" t="s">
        <v>13223</v>
      </c>
      <c r="G1582" s="90"/>
      <c r="H1582" s="90"/>
      <c r="I1582" s="92"/>
      <c r="J1582" s="93"/>
      <c r="K1582" s="94"/>
      <c r="L1582" s="149" t="str">
        <f>HYPERLINK("[#]DatatypeListedValues!B7484:H7484","Enumeration")</f>
        <v>Enumeration</v>
      </c>
      <c r="M1582" s="107" t="b">
        <v>0</v>
      </c>
      <c r="N1582" s="90"/>
      <c r="O1582" s="95"/>
      <c r="P1582" s="90"/>
      <c r="Q1582" s="96"/>
      <c r="R1582" s="97"/>
      <c r="S1582" s="169"/>
      <c r="T1582" s="300" t="str">
        <f>CONCATENATE([1]Cover!$D$6,"fdd/view?i=",S1582)</f>
        <v>https://www.dgiwg.org/FAD/fdd/view?i=</v>
      </c>
      <c r="U1582" s="188"/>
    </row>
    <row r="1583" spans="1:21" ht="2.1" customHeight="1">
      <c r="A1583" s="98"/>
      <c r="B1583" s="87"/>
      <c r="C1583" s="99"/>
      <c r="D1583" s="87"/>
      <c r="E1583" s="99"/>
      <c r="F1583" s="100"/>
      <c r="G1583" s="100"/>
      <c r="H1583" s="100"/>
      <c r="I1583" s="101"/>
      <c r="J1583" s="106"/>
      <c r="K1583" s="103"/>
      <c r="L1583" s="104"/>
      <c r="M1583" s="100"/>
      <c r="N1583" s="100"/>
      <c r="O1583" s="100"/>
      <c r="P1583" s="100"/>
      <c r="Q1583" s="105"/>
      <c r="R1583" s="105"/>
      <c r="S1583" s="169"/>
      <c r="U1583" s="188"/>
    </row>
    <row r="1584" spans="1:21" ht="25.5">
      <c r="A1584" s="67" t="s">
        <v>11317</v>
      </c>
      <c r="B1584" s="87" t="s">
        <v>11317</v>
      </c>
      <c r="C1584" s="88" t="s">
        <v>13224</v>
      </c>
      <c r="D1584" s="89"/>
      <c r="E1584" s="90"/>
      <c r="F1584" s="91" t="s">
        <v>13225</v>
      </c>
      <c r="G1584" s="90"/>
      <c r="H1584" s="90"/>
      <c r="I1584" s="92"/>
      <c r="J1584" s="93"/>
      <c r="K1584" s="94"/>
      <c r="L1584" s="149" t="str">
        <f>HYPERLINK("[#]DatatypeListedValues!B7488:H7488","Enumeration")</f>
        <v>Enumeration</v>
      </c>
      <c r="M1584" s="107" t="b">
        <v>0</v>
      </c>
      <c r="N1584" s="90"/>
      <c r="O1584" s="95"/>
      <c r="P1584" s="90"/>
      <c r="Q1584" s="96"/>
      <c r="R1584" s="97"/>
      <c r="S1584" s="169"/>
      <c r="T1584" s="300" t="str">
        <f>CONCATENATE([1]Cover!$D$6,"fdd/view?i=",S1584)</f>
        <v>https://www.dgiwg.org/FAD/fdd/view?i=</v>
      </c>
      <c r="U1584" s="188"/>
    </row>
    <row r="1585" spans="1:21" ht="2.1" customHeight="1">
      <c r="A1585" s="98"/>
      <c r="B1585" s="87"/>
      <c r="C1585" s="99"/>
      <c r="D1585" s="87"/>
      <c r="E1585" s="99"/>
      <c r="F1585" s="100"/>
      <c r="G1585" s="100"/>
      <c r="H1585" s="100"/>
      <c r="I1585" s="101"/>
      <c r="J1585" s="106"/>
      <c r="K1585" s="103"/>
      <c r="L1585" s="104"/>
      <c r="M1585" s="100"/>
      <c r="N1585" s="100"/>
      <c r="O1585" s="100"/>
      <c r="P1585" s="100"/>
      <c r="Q1585" s="105"/>
      <c r="R1585" s="105"/>
      <c r="S1585" s="169"/>
      <c r="U1585" s="188"/>
    </row>
    <row r="1586" spans="1:21">
      <c r="A1586" s="67" t="s">
        <v>11323</v>
      </c>
      <c r="B1586" s="87" t="s">
        <v>11323</v>
      </c>
      <c r="C1586" s="88" t="s">
        <v>13226</v>
      </c>
      <c r="D1586" s="89"/>
      <c r="E1586" s="90"/>
      <c r="F1586" s="91" t="s">
        <v>13227</v>
      </c>
      <c r="G1586" s="90"/>
      <c r="H1586" s="90"/>
      <c r="I1586" s="92"/>
      <c r="J1586" s="93"/>
      <c r="K1586" s="94"/>
      <c r="L1586" s="149" t="str">
        <f>HYPERLINK("[#]DatatypeListedValues!B7494:H7494","Enumeration")</f>
        <v>Enumeration</v>
      </c>
      <c r="M1586" s="107" t="b">
        <v>0</v>
      </c>
      <c r="N1586" s="90"/>
      <c r="O1586" s="95"/>
      <c r="P1586" s="90"/>
      <c r="Q1586" s="96"/>
      <c r="R1586" s="97"/>
      <c r="S1586" s="169"/>
      <c r="T1586" s="300" t="str">
        <f>CONCATENATE([1]Cover!$D$6,"fdd/view?i=",S1586)</f>
        <v>https://www.dgiwg.org/FAD/fdd/view?i=</v>
      </c>
      <c r="U1586" s="188"/>
    </row>
    <row r="1587" spans="1:21" ht="2.1" customHeight="1">
      <c r="A1587" s="98"/>
      <c r="B1587" s="87"/>
      <c r="C1587" s="99"/>
      <c r="D1587" s="87"/>
      <c r="E1587" s="99"/>
      <c r="F1587" s="100"/>
      <c r="G1587" s="100"/>
      <c r="H1587" s="100"/>
      <c r="I1587" s="101"/>
      <c r="J1587" s="106"/>
      <c r="K1587" s="103"/>
      <c r="L1587" s="104"/>
      <c r="M1587" s="100"/>
      <c r="N1587" s="100"/>
      <c r="O1587" s="100"/>
      <c r="P1587" s="100"/>
      <c r="Q1587" s="105"/>
      <c r="R1587" s="105"/>
      <c r="S1587" s="169"/>
      <c r="U1587" s="188"/>
    </row>
    <row r="1588" spans="1:21">
      <c r="A1588" s="67" t="s">
        <v>11328</v>
      </c>
      <c r="B1588" s="87" t="s">
        <v>11328</v>
      </c>
      <c r="C1588" s="88" t="s">
        <v>13228</v>
      </c>
      <c r="D1588" s="89"/>
      <c r="E1588" s="90"/>
      <c r="F1588" s="91" t="s">
        <v>13229</v>
      </c>
      <c r="G1588" s="90"/>
      <c r="H1588" s="90"/>
      <c r="I1588" s="92"/>
      <c r="J1588" s="93"/>
      <c r="K1588" s="94"/>
      <c r="L1588" s="149" t="str">
        <f>HYPERLINK("[#]DatatypeListedValues!B7504:H7504","Enumeration")</f>
        <v>Enumeration</v>
      </c>
      <c r="M1588" s="107" t="b">
        <v>0</v>
      </c>
      <c r="N1588" s="90"/>
      <c r="O1588" s="95"/>
      <c r="P1588" s="90"/>
      <c r="Q1588" s="96"/>
      <c r="R1588" s="97"/>
      <c r="S1588" s="169"/>
      <c r="T1588" s="300" t="str">
        <f>CONCATENATE([1]Cover!$D$6,"fdd/view?i=",S1588)</f>
        <v>https://www.dgiwg.org/FAD/fdd/view?i=</v>
      </c>
      <c r="U1588" s="188"/>
    </row>
    <row r="1589" spans="1:21" ht="2.1" customHeight="1">
      <c r="A1589" s="98"/>
      <c r="B1589" s="87"/>
      <c r="C1589" s="99"/>
      <c r="D1589" s="87"/>
      <c r="E1589" s="99"/>
      <c r="F1589" s="100"/>
      <c r="G1589" s="100"/>
      <c r="H1589" s="100"/>
      <c r="I1589" s="101"/>
      <c r="J1589" s="106"/>
      <c r="K1589" s="103"/>
      <c r="L1589" s="104"/>
      <c r="M1589" s="100"/>
      <c r="N1589" s="100"/>
      <c r="O1589" s="100"/>
      <c r="P1589" s="100"/>
      <c r="Q1589" s="105"/>
      <c r="R1589" s="105"/>
      <c r="S1589" s="169"/>
      <c r="U1589" s="188"/>
    </row>
    <row r="1590" spans="1:21">
      <c r="A1590" s="67" t="s">
        <v>11333</v>
      </c>
      <c r="B1590" s="87" t="s">
        <v>11333</v>
      </c>
      <c r="C1590" s="88" t="s">
        <v>13230</v>
      </c>
      <c r="D1590" s="89"/>
      <c r="E1590" s="90"/>
      <c r="F1590" s="91" t="s">
        <v>13231</v>
      </c>
      <c r="G1590" s="90"/>
      <c r="H1590" s="90"/>
      <c r="I1590" s="92"/>
      <c r="J1590" s="93"/>
      <c r="K1590" s="94"/>
      <c r="L1590" s="149" t="str">
        <f>HYPERLINK("[#]DatatypeListedValues!B7509:H7509","Enumeration")</f>
        <v>Enumeration</v>
      </c>
      <c r="M1590" s="107" t="b">
        <v>0</v>
      </c>
      <c r="N1590" s="90"/>
      <c r="O1590" s="95"/>
      <c r="P1590" s="90"/>
      <c r="Q1590" s="96"/>
      <c r="R1590" s="97"/>
      <c r="S1590" s="169"/>
      <c r="T1590" s="300" t="str">
        <f>CONCATENATE([1]Cover!$D$6,"fdd/view?i=",S1590)</f>
        <v>https://www.dgiwg.org/FAD/fdd/view?i=</v>
      </c>
      <c r="U1590" s="188"/>
    </row>
    <row r="1591" spans="1:21" ht="2.1" customHeight="1">
      <c r="A1591" s="98"/>
      <c r="B1591" s="87"/>
      <c r="C1591" s="99"/>
      <c r="D1591" s="87"/>
      <c r="E1591" s="99"/>
      <c r="F1591" s="100"/>
      <c r="G1591" s="100"/>
      <c r="H1591" s="100"/>
      <c r="I1591" s="101"/>
      <c r="J1591" s="106"/>
      <c r="K1591" s="103"/>
      <c r="L1591" s="104"/>
      <c r="M1591" s="100"/>
      <c r="N1591" s="100"/>
      <c r="O1591" s="100"/>
      <c r="P1591" s="100"/>
      <c r="Q1591" s="105"/>
      <c r="R1591" s="105"/>
      <c r="S1591" s="169"/>
      <c r="U1591" s="188"/>
    </row>
    <row r="1592" spans="1:21" ht="25.5">
      <c r="A1592" s="67" t="s">
        <v>11339</v>
      </c>
      <c r="B1592" s="87" t="s">
        <v>11339</v>
      </c>
      <c r="C1592" s="88" t="s">
        <v>13232</v>
      </c>
      <c r="D1592" s="89"/>
      <c r="E1592" s="90"/>
      <c r="F1592" s="91" t="s">
        <v>13233</v>
      </c>
      <c r="G1592" s="90"/>
      <c r="H1592" s="90"/>
      <c r="I1592" s="92"/>
      <c r="J1592" s="93"/>
      <c r="K1592" s="94"/>
      <c r="L1592" s="149" t="str">
        <f>HYPERLINK("[#]DatatypeListedValues!B7511:H7511","Enumeration")</f>
        <v>Enumeration</v>
      </c>
      <c r="M1592" s="107" t="b">
        <v>0</v>
      </c>
      <c r="N1592" s="90"/>
      <c r="O1592" s="95"/>
      <c r="P1592" s="90"/>
      <c r="Q1592" s="96"/>
      <c r="R1592" s="97"/>
      <c r="S1592" s="169"/>
      <c r="T1592" s="300" t="str">
        <f>CONCATENATE([1]Cover!$D$6,"fdd/view?i=",S1592)</f>
        <v>https://www.dgiwg.org/FAD/fdd/view?i=</v>
      </c>
      <c r="U1592" s="188"/>
    </row>
    <row r="1593" spans="1:21" ht="2.1" customHeight="1">
      <c r="A1593" s="98"/>
      <c r="B1593" s="87"/>
      <c r="C1593" s="99"/>
      <c r="D1593" s="87"/>
      <c r="E1593" s="99"/>
      <c r="F1593" s="100"/>
      <c r="G1593" s="100"/>
      <c r="H1593" s="100"/>
      <c r="I1593" s="101"/>
      <c r="J1593" s="106"/>
      <c r="K1593" s="103"/>
      <c r="L1593" s="104"/>
      <c r="M1593" s="100"/>
      <c r="N1593" s="100"/>
      <c r="O1593" s="100"/>
      <c r="P1593" s="100"/>
      <c r="Q1593" s="105"/>
      <c r="R1593" s="105"/>
      <c r="S1593" s="169"/>
      <c r="U1593" s="188"/>
    </row>
    <row r="1594" spans="1:21">
      <c r="A1594" s="67" t="s">
        <v>11345</v>
      </c>
      <c r="B1594" s="87" t="s">
        <v>11345</v>
      </c>
      <c r="C1594" s="88" t="s">
        <v>13234</v>
      </c>
      <c r="D1594" s="89"/>
      <c r="E1594" s="90"/>
      <c r="F1594" s="91" t="s">
        <v>13235</v>
      </c>
      <c r="G1594" s="90"/>
      <c r="H1594" s="90"/>
      <c r="I1594" s="92"/>
      <c r="J1594" s="93"/>
      <c r="K1594" s="94"/>
      <c r="L1594" s="149" t="str">
        <f>HYPERLINK("[#]DatatypeListedValues!B7525:H7525","Enumeration")</f>
        <v>Enumeration</v>
      </c>
      <c r="M1594" s="107" t="b">
        <v>0</v>
      </c>
      <c r="N1594" s="90"/>
      <c r="O1594" s="95"/>
      <c r="P1594" s="90"/>
      <c r="Q1594" s="96"/>
      <c r="R1594" s="97"/>
      <c r="S1594" s="169"/>
      <c r="T1594" s="300" t="str">
        <f>CONCATENATE([1]Cover!$D$6,"fdd/view?i=",S1594)</f>
        <v>https://www.dgiwg.org/FAD/fdd/view?i=</v>
      </c>
      <c r="U1594" s="188"/>
    </row>
    <row r="1595" spans="1:21" ht="2.1" customHeight="1">
      <c r="A1595" s="98"/>
      <c r="B1595" s="87"/>
      <c r="C1595" s="99"/>
      <c r="D1595" s="87"/>
      <c r="E1595" s="99"/>
      <c r="F1595" s="100"/>
      <c r="G1595" s="100"/>
      <c r="H1595" s="100"/>
      <c r="I1595" s="101"/>
      <c r="J1595" s="106"/>
      <c r="K1595" s="103"/>
      <c r="L1595" s="104"/>
      <c r="M1595" s="100"/>
      <c r="N1595" s="100"/>
      <c r="O1595" s="100"/>
      <c r="P1595" s="100"/>
      <c r="Q1595" s="105"/>
      <c r="R1595" s="105"/>
      <c r="S1595" s="169"/>
      <c r="U1595" s="188"/>
    </row>
    <row r="1596" spans="1:21">
      <c r="A1596" s="67" t="s">
        <v>11354</v>
      </c>
      <c r="B1596" s="87" t="s">
        <v>11354</v>
      </c>
      <c r="C1596" s="88" t="s">
        <v>13236</v>
      </c>
      <c r="D1596" s="89"/>
      <c r="E1596" s="90"/>
      <c r="F1596" s="91" t="s">
        <v>13237</v>
      </c>
      <c r="G1596" s="90"/>
      <c r="H1596" s="90"/>
      <c r="I1596" s="92"/>
      <c r="J1596" s="93"/>
      <c r="K1596" s="94"/>
      <c r="L1596" s="149" t="str">
        <f>HYPERLINK("[#]DatatypeListedValues!B7539:H7539","Enumeration")</f>
        <v>Enumeration</v>
      </c>
      <c r="M1596" s="107" t="b">
        <v>0</v>
      </c>
      <c r="N1596" s="90"/>
      <c r="O1596" s="95"/>
      <c r="P1596" s="90"/>
      <c r="Q1596" s="96"/>
      <c r="R1596" s="97"/>
      <c r="S1596" s="169"/>
      <c r="T1596" s="300" t="str">
        <f>CONCATENATE([1]Cover!$D$6,"fdd/view?i=",S1596)</f>
        <v>https://www.dgiwg.org/FAD/fdd/view?i=</v>
      </c>
      <c r="U1596" s="188"/>
    </row>
    <row r="1597" spans="1:21" ht="2.1" customHeight="1">
      <c r="A1597" s="98"/>
      <c r="B1597" s="87"/>
      <c r="C1597" s="99"/>
      <c r="D1597" s="87"/>
      <c r="E1597" s="99"/>
      <c r="F1597" s="100"/>
      <c r="G1597" s="100"/>
      <c r="H1597" s="100"/>
      <c r="I1597" s="101"/>
      <c r="J1597" s="106"/>
      <c r="K1597" s="103"/>
      <c r="L1597" s="104"/>
      <c r="M1597" s="100"/>
      <c r="N1597" s="100"/>
      <c r="O1597" s="100"/>
      <c r="P1597" s="100"/>
      <c r="Q1597" s="105"/>
      <c r="R1597" s="105"/>
      <c r="S1597" s="169"/>
      <c r="U1597" s="188"/>
    </row>
    <row r="1598" spans="1:21" ht="25.5">
      <c r="A1598" s="67" t="s">
        <v>11377</v>
      </c>
      <c r="B1598" s="87" t="s">
        <v>11377</v>
      </c>
      <c r="C1598" s="88" t="s">
        <v>13238</v>
      </c>
      <c r="D1598" s="89"/>
      <c r="E1598" s="90"/>
      <c r="F1598" s="91" t="s">
        <v>13239</v>
      </c>
      <c r="G1598" s="90"/>
      <c r="H1598" s="90"/>
      <c r="I1598" s="92"/>
      <c r="J1598" s="93"/>
      <c r="K1598" s="94"/>
      <c r="L1598" s="149" t="str">
        <f>HYPERLINK("[#]DatatypeListedValues!B7542:H7542","Enumeration")</f>
        <v>Enumeration</v>
      </c>
      <c r="M1598" s="107" t="b">
        <v>0</v>
      </c>
      <c r="N1598" s="90"/>
      <c r="O1598" s="95"/>
      <c r="P1598" s="90"/>
      <c r="Q1598" s="96"/>
      <c r="R1598" s="97"/>
      <c r="S1598" s="169"/>
      <c r="T1598" s="300" t="str">
        <f>CONCATENATE([1]Cover!$D$6,"fdd/view?i=",S1598)</f>
        <v>https://www.dgiwg.org/FAD/fdd/view?i=</v>
      </c>
      <c r="U1598" s="188"/>
    </row>
    <row r="1599" spans="1:21" ht="2.1" customHeight="1">
      <c r="A1599" s="98"/>
      <c r="B1599" s="87"/>
      <c r="C1599" s="99"/>
      <c r="D1599" s="87"/>
      <c r="E1599" s="99"/>
      <c r="F1599" s="100"/>
      <c r="G1599" s="100"/>
      <c r="H1599" s="100"/>
      <c r="I1599" s="101"/>
      <c r="J1599" s="106"/>
      <c r="K1599" s="103"/>
      <c r="L1599" s="104"/>
      <c r="M1599" s="100"/>
      <c r="N1599" s="100"/>
      <c r="O1599" s="100"/>
      <c r="P1599" s="100"/>
      <c r="Q1599" s="105"/>
      <c r="R1599" s="105"/>
      <c r="S1599" s="169"/>
      <c r="U1599" s="188"/>
    </row>
    <row r="1600" spans="1:21" ht="25.5">
      <c r="A1600" s="67" t="s">
        <v>11387</v>
      </c>
      <c r="B1600" s="87" t="s">
        <v>11387</v>
      </c>
      <c r="C1600" s="88" t="s">
        <v>13240</v>
      </c>
      <c r="D1600" s="89"/>
      <c r="E1600" s="90"/>
      <c r="F1600" s="91" t="s">
        <v>13241</v>
      </c>
      <c r="G1600" s="90"/>
      <c r="H1600" s="90"/>
      <c r="I1600" s="92"/>
      <c r="J1600" s="93"/>
      <c r="K1600" s="94"/>
      <c r="L1600" s="149" t="str">
        <f>HYPERLINK("[#]DatatypeListedValues!B7545:H7545","Enumeration")</f>
        <v>Enumeration</v>
      </c>
      <c r="M1600" s="107" t="b">
        <v>0</v>
      </c>
      <c r="N1600" s="90"/>
      <c r="O1600" s="95"/>
      <c r="P1600" s="90"/>
      <c r="Q1600" s="96"/>
      <c r="R1600" s="97"/>
      <c r="S1600" s="169"/>
      <c r="T1600" s="300" t="str">
        <f>CONCATENATE([1]Cover!$D$6,"fdd/view?i=",S1600)</f>
        <v>https://www.dgiwg.org/FAD/fdd/view?i=</v>
      </c>
      <c r="U1600" s="188"/>
    </row>
    <row r="1601" spans="1:21" ht="2.1" customHeight="1">
      <c r="A1601" s="98"/>
      <c r="B1601" s="87"/>
      <c r="C1601" s="99"/>
      <c r="D1601" s="87"/>
      <c r="E1601" s="99"/>
      <c r="F1601" s="100"/>
      <c r="G1601" s="100"/>
      <c r="H1601" s="100"/>
      <c r="I1601" s="101"/>
      <c r="J1601" s="106"/>
      <c r="K1601" s="103"/>
      <c r="L1601" s="104"/>
      <c r="M1601" s="100"/>
      <c r="N1601" s="100"/>
      <c r="O1601" s="100"/>
      <c r="P1601" s="100"/>
      <c r="Q1601" s="105"/>
      <c r="R1601" s="105"/>
      <c r="S1601" s="169"/>
      <c r="U1601" s="188"/>
    </row>
    <row r="1602" spans="1:21" ht="38.25">
      <c r="A1602" s="67" t="s">
        <v>11392</v>
      </c>
      <c r="B1602" s="87" t="s">
        <v>11392</v>
      </c>
      <c r="C1602" s="88" t="s">
        <v>13242</v>
      </c>
      <c r="D1602" s="89"/>
      <c r="E1602" s="90"/>
      <c r="F1602" s="91" t="s">
        <v>13243</v>
      </c>
      <c r="G1602" s="90"/>
      <c r="H1602" s="91" t="s">
        <v>11426</v>
      </c>
      <c r="I1602" s="92"/>
      <c r="J1602" s="93"/>
      <c r="K1602" s="94"/>
      <c r="L1602" s="91" t="s">
        <v>11425</v>
      </c>
      <c r="M1602" s="90"/>
      <c r="N1602" s="91">
        <v>4</v>
      </c>
      <c r="O1602" s="108" t="b">
        <v>0</v>
      </c>
      <c r="P1602" s="91" t="s">
        <v>13244</v>
      </c>
      <c r="Q1602" s="96"/>
      <c r="R1602" s="97"/>
      <c r="S1602" s="169"/>
      <c r="T1602" s="300" t="str">
        <f>CONCATENATE([1]Cover!$D$6,"fdd/view?i=",S1602)</f>
        <v>https://www.dgiwg.org/FAD/fdd/view?i=</v>
      </c>
      <c r="U1602" s="188"/>
    </row>
    <row r="1603" spans="1:21" ht="2.1" customHeight="1">
      <c r="A1603" s="98"/>
      <c r="B1603" s="87"/>
      <c r="C1603" s="99"/>
      <c r="D1603" s="87"/>
      <c r="E1603" s="99"/>
      <c r="F1603" s="100"/>
      <c r="G1603" s="100"/>
      <c r="H1603" s="100"/>
      <c r="I1603" s="101"/>
      <c r="J1603" s="106"/>
      <c r="K1603" s="103"/>
      <c r="L1603" s="104"/>
      <c r="M1603" s="100"/>
      <c r="N1603" s="100"/>
      <c r="O1603" s="100"/>
      <c r="P1603" s="100"/>
      <c r="Q1603" s="105"/>
      <c r="R1603" s="105"/>
      <c r="S1603" s="169"/>
      <c r="U1603" s="188"/>
    </row>
    <row r="1604" spans="1:21" ht="25.5">
      <c r="A1604" s="67" t="s">
        <v>11411</v>
      </c>
      <c r="B1604" s="87" t="s">
        <v>11411</v>
      </c>
      <c r="C1604" s="88" t="s">
        <v>13245</v>
      </c>
      <c r="D1604" s="89"/>
      <c r="E1604" s="90"/>
      <c r="F1604" s="91" t="s">
        <v>13246</v>
      </c>
      <c r="G1604" s="90"/>
      <c r="H1604" s="90"/>
      <c r="I1604" s="92"/>
      <c r="J1604" s="93"/>
      <c r="K1604" s="94"/>
      <c r="L1604" s="149" t="str">
        <f>HYPERLINK("[#]DatatypeListedValues!B7552:H7552","Enumeration")</f>
        <v>Enumeration</v>
      </c>
      <c r="M1604" s="91" t="b">
        <v>1</v>
      </c>
      <c r="N1604" s="90"/>
      <c r="O1604" s="95"/>
      <c r="P1604" s="90"/>
      <c r="Q1604" s="96"/>
      <c r="R1604" s="97"/>
      <c r="S1604" s="169"/>
      <c r="T1604" s="300" t="str">
        <f>CONCATENATE([1]Cover!$D$6,"fdd/view?i=",S1604)</f>
        <v>https://www.dgiwg.org/FAD/fdd/view?i=</v>
      </c>
      <c r="U1604" s="188"/>
    </row>
    <row r="1605" spans="1:21" ht="2.1" customHeight="1">
      <c r="A1605" s="98"/>
      <c r="B1605" s="87"/>
      <c r="C1605" s="99"/>
      <c r="D1605" s="87"/>
      <c r="E1605" s="99"/>
      <c r="F1605" s="100"/>
      <c r="G1605" s="100"/>
      <c r="H1605" s="100"/>
      <c r="I1605" s="101"/>
      <c r="J1605" s="106"/>
      <c r="K1605" s="103"/>
      <c r="L1605" s="104"/>
      <c r="M1605" s="100"/>
      <c r="N1605" s="100"/>
      <c r="O1605" s="100"/>
      <c r="P1605" s="100"/>
      <c r="Q1605" s="105"/>
      <c r="R1605" s="105"/>
      <c r="S1605" s="169">
        <v>110016</v>
      </c>
      <c r="U1605" s="188"/>
    </row>
    <row r="1606" spans="1:21">
      <c r="U1606" s="188"/>
    </row>
  </sheetData>
  <mergeCells count="54">
    <mergeCell ref="B1204:B1209"/>
    <mergeCell ref="C1204:C1209"/>
    <mergeCell ref="B1269:B1272"/>
    <mergeCell ref="C1269:C1272"/>
    <mergeCell ref="B1508:B1512"/>
    <mergeCell ref="C1508:C1512"/>
    <mergeCell ref="B1344:B1346"/>
    <mergeCell ref="C1344:C1346"/>
    <mergeCell ref="B1374:B1376"/>
    <mergeCell ref="C1374:C1376"/>
    <mergeCell ref="B1398:B1400"/>
    <mergeCell ref="C1398:C1400"/>
    <mergeCell ref="B1110:B1113"/>
    <mergeCell ref="C1110:C1113"/>
    <mergeCell ref="B1115:B1118"/>
    <mergeCell ref="C1115:C1118"/>
    <mergeCell ref="B1120:B1122"/>
    <mergeCell ref="C1120:C1122"/>
    <mergeCell ref="B987:B993"/>
    <mergeCell ref="C987:C993"/>
    <mergeCell ref="B1099:B1102"/>
    <mergeCell ref="C1099:C1102"/>
    <mergeCell ref="B1104:B1108"/>
    <mergeCell ref="C1104:C1108"/>
    <mergeCell ref="B718:B720"/>
    <mergeCell ref="C718:C720"/>
    <mergeCell ref="B758:B760"/>
    <mergeCell ref="C758:C760"/>
    <mergeCell ref="B960:B963"/>
    <mergeCell ref="C960:C963"/>
    <mergeCell ref="B684:B686"/>
    <mergeCell ref="C684:C686"/>
    <mergeCell ref="B694:B696"/>
    <mergeCell ref="C694:C696"/>
    <mergeCell ref="B712:B716"/>
    <mergeCell ref="C712:C716"/>
    <mergeCell ref="B488:B493"/>
    <mergeCell ref="C488:C493"/>
    <mergeCell ref="B497:B500"/>
    <mergeCell ref="C497:C500"/>
    <mergeCell ref="B658:B662"/>
    <mergeCell ref="C658:C662"/>
    <mergeCell ref="B368:B372"/>
    <mergeCell ref="C368:C372"/>
    <mergeCell ref="B374:B376"/>
    <mergeCell ref="C374:C376"/>
    <mergeCell ref="B432:B434"/>
    <mergeCell ref="C432:C434"/>
    <mergeCell ref="C14:C20"/>
    <mergeCell ref="C232:C234"/>
    <mergeCell ref="B300:B313"/>
    <mergeCell ref="C300:C313"/>
    <mergeCell ref="B349:B354"/>
    <mergeCell ref="C349:C354"/>
  </mergeCells>
  <phoneticPr fontId="10" type="noConversion"/>
  <pageMargins left="0.75" right="0.75" top="0.56999999999999995" bottom="0.5" header="0.42" footer="0.33"/>
  <pageSetup scale="65" orientation="landscape" r:id="rId1"/>
  <headerFooter alignWithMargins="0">
    <oddHeader>&amp;A</oddHeader>
    <oddFooter>Page &amp;P of &amp;N</oddFooter>
  </headerFooter>
</worksheet>
</file>

<file path=xl/worksheets/sheet5.xml><?xml version="1.0" encoding="utf-8"?>
<worksheet xmlns="http://schemas.openxmlformats.org/spreadsheetml/2006/main" xmlns:r="http://schemas.openxmlformats.org/officeDocument/2006/relationships">
  <sheetPr>
    <tabColor indexed="31"/>
  </sheetPr>
  <dimension ref="A1:M7557"/>
  <sheetViews>
    <sheetView zoomScale="80" workbookViewId="0">
      <pane xSplit="5" ySplit="1" topLeftCell="F2" activePane="bottomRight" state="frozen"/>
      <selection pane="topRight" activeCell="F1" sqref="F1"/>
      <selection pane="bottomLeft" activeCell="A2" sqref="A2"/>
      <selection pane="bottomRight" activeCell="E1" sqref="E1"/>
    </sheetView>
  </sheetViews>
  <sheetFormatPr baseColWidth="10" defaultColWidth="11.42578125" defaultRowHeight="12.75"/>
  <cols>
    <col min="1" max="1" width="30.7109375" style="168" customWidth="1"/>
    <col min="2" max="2" width="22.5703125" style="167" customWidth="1"/>
    <col min="3" max="3" width="30.7109375" style="166" customWidth="1"/>
    <col min="4" max="4" width="25.7109375" style="165" customWidth="1"/>
    <col min="5" max="5" width="22.7109375" style="164" customWidth="1"/>
    <col min="6" max="6" width="60.7109375" style="163" customWidth="1"/>
    <col min="7" max="7" width="40.7109375" style="163" customWidth="1"/>
    <col min="8" max="8" width="15.7109375" style="163" customWidth="1"/>
    <col min="9" max="9" width="9.85546875" style="169" customWidth="1"/>
    <col min="10" max="10" width="44.85546875" style="304" hidden="1" customWidth="1"/>
    <col min="11" max="11" width="41.5703125" style="304" hidden="1" customWidth="1"/>
    <col min="12" max="12" width="6.85546875" style="165" customWidth="1"/>
    <col min="13" max="13" width="7.85546875" style="179" customWidth="1"/>
    <col min="14" max="16384" width="11.42578125" style="163"/>
  </cols>
  <sheetData>
    <row r="1" spans="1:13" s="172" customFormat="1" ht="30" customHeight="1">
      <c r="A1" s="174" t="s">
        <v>84</v>
      </c>
      <c r="B1" s="170" t="s">
        <v>80</v>
      </c>
      <c r="C1" s="171" t="s">
        <v>46</v>
      </c>
      <c r="D1" s="175" t="s">
        <v>41</v>
      </c>
      <c r="E1" s="173" t="s">
        <v>38</v>
      </c>
      <c r="F1" s="173" t="s">
        <v>39</v>
      </c>
      <c r="G1" s="173" t="s">
        <v>37</v>
      </c>
      <c r="H1" s="176" t="s">
        <v>35</v>
      </c>
      <c r="I1" s="273" t="s">
        <v>33749</v>
      </c>
      <c r="J1" s="306"/>
      <c r="K1" s="306"/>
      <c r="L1" s="36" t="s">
        <v>1241</v>
      </c>
      <c r="M1" s="178" t="s">
        <v>112</v>
      </c>
    </row>
    <row r="2" spans="1:13" ht="25.5">
      <c r="A2" s="313" t="str">
        <f>HYPERLINK(J2,K2)</f>
        <v>AbsHorizAccEvalMethodCode_analystEstimate</v>
      </c>
      <c r="B2" s="332" t="str">
        <f>HYPERLINK("[#]Datatypes!A2:L2","AbsHorizAccEvalMethodCode")</f>
        <v>AbsHorizAccEvalMethodCode</v>
      </c>
      <c r="C2" s="333" t="s">
        <v>11412</v>
      </c>
      <c r="D2" s="202" t="s">
        <v>13247</v>
      </c>
      <c r="E2" s="203" t="s">
        <v>13248</v>
      </c>
      <c r="F2" s="204" t="s">
        <v>13249</v>
      </c>
      <c r="G2" s="205"/>
      <c r="H2" s="218"/>
      <c r="I2" s="169">
        <v>110017</v>
      </c>
      <c r="J2" s="304" t="str">
        <f>CONCATENATE([2]Cover!$D$6,"fdd/view?i=",I2)</f>
        <v>https://www.dgiwg.org/FAD/fdd/view?i=110017</v>
      </c>
      <c r="K2" s="304" t="s">
        <v>34051</v>
      </c>
      <c r="L2" s="202">
        <v>17</v>
      </c>
      <c r="M2" s="179" t="s">
        <v>151</v>
      </c>
    </row>
    <row r="3" spans="1:13" ht="25.5">
      <c r="A3" s="313" t="str">
        <f t="shared" ref="A3:A66" si="0">HYPERLINK(J3,K3)</f>
        <v>AbsHorizAccEvalMethodCode_digitalProductWithoutMeth</v>
      </c>
      <c r="B3" s="330"/>
      <c r="C3" s="334"/>
      <c r="D3" s="188" t="s">
        <v>13250</v>
      </c>
      <c r="E3" s="189" t="s">
        <v>13251</v>
      </c>
      <c r="F3" s="162" t="s">
        <v>13252</v>
      </c>
      <c r="G3" s="190"/>
      <c r="H3" s="219"/>
      <c r="I3" s="169">
        <v>110021</v>
      </c>
      <c r="J3" s="304" t="str">
        <f>CONCATENATE([2]Cover!$D$6,"fdd/view?i=",I3)</f>
        <v>https://www.dgiwg.org/FAD/fdd/view?i=110021</v>
      </c>
      <c r="K3" s="304" t="s">
        <v>34052</v>
      </c>
      <c r="L3" s="188">
        <v>20</v>
      </c>
      <c r="M3" s="179" t="s">
        <v>151</v>
      </c>
    </row>
    <row r="4" spans="1:13" ht="25.5">
      <c r="A4" s="313" t="str">
        <f t="shared" si="0"/>
        <v>AbsHorizAccEvalMethodCode_errorBudgetEvaluation</v>
      </c>
      <c r="B4" s="330"/>
      <c r="C4" s="334"/>
      <c r="D4" s="188" t="s">
        <v>13253</v>
      </c>
      <c r="E4" s="189" t="s">
        <v>13254</v>
      </c>
      <c r="F4" s="162" t="s">
        <v>13255</v>
      </c>
      <c r="G4" s="190"/>
      <c r="H4" s="219"/>
      <c r="I4" s="169">
        <v>110012</v>
      </c>
      <c r="J4" s="304" t="str">
        <f>CONCATENATE([2]Cover!$D$6,"fdd/view?i=",I4)</f>
        <v>https://www.dgiwg.org/FAD/fdd/view?i=110012</v>
      </c>
      <c r="K4" s="304" t="s">
        <v>34053</v>
      </c>
      <c r="L4" s="188">
        <v>12</v>
      </c>
      <c r="M4" s="179" t="s">
        <v>151</v>
      </c>
    </row>
    <row r="5" spans="1:13" ht="25.5">
      <c r="A5" s="313" t="str">
        <f t="shared" si="0"/>
        <v>AbsHorizAccEvalMethodCode_evaluationDeferred</v>
      </c>
      <c r="B5" s="330"/>
      <c r="C5" s="334"/>
      <c r="D5" s="188" t="s">
        <v>13256</v>
      </c>
      <c r="E5" s="189" t="s">
        <v>13257</v>
      </c>
      <c r="F5" s="162" t="s">
        <v>13258</v>
      </c>
      <c r="G5" s="190"/>
      <c r="H5" s="219"/>
      <c r="I5" s="169">
        <v>110022</v>
      </c>
      <c r="J5" s="304" t="str">
        <f>CONCATENATE([2]Cover!$D$6,"fdd/view?i=",I5)</f>
        <v>https://www.dgiwg.org/FAD/fdd/view?i=110022</v>
      </c>
      <c r="K5" s="304" t="s">
        <v>34054</v>
      </c>
      <c r="L5" s="188">
        <v>21</v>
      </c>
      <c r="M5" s="179" t="s">
        <v>151</v>
      </c>
    </row>
    <row r="6" spans="1:13" ht="25.5">
      <c r="A6" s="313" t="str">
        <f t="shared" si="0"/>
        <v>AbsHorizAccEvalMethodCode_extrapolation</v>
      </c>
      <c r="B6" s="330"/>
      <c r="C6" s="334"/>
      <c r="D6" s="188" t="s">
        <v>13259</v>
      </c>
      <c r="E6" s="189" t="s">
        <v>13260</v>
      </c>
      <c r="F6" s="162" t="s">
        <v>13261</v>
      </c>
      <c r="G6" s="190"/>
      <c r="H6" s="219"/>
      <c r="I6" s="169">
        <v>110028</v>
      </c>
      <c r="J6" s="304" t="str">
        <f>CONCATENATE([2]Cover!$D$6,"fdd/view?i=",I6)</f>
        <v>https://www.dgiwg.org/FAD/fdd/view?i=110028</v>
      </c>
      <c r="K6" s="304" t="s">
        <v>34055</v>
      </c>
      <c r="L6" s="188">
        <v>8</v>
      </c>
      <c r="M6" s="179" t="s">
        <v>151</v>
      </c>
    </row>
    <row r="7" spans="1:13" ht="25.5">
      <c r="A7" s="313" t="str">
        <f t="shared" si="0"/>
        <v>AbsHorizAccEvalMethodCode_geodeticSurveyAdequate</v>
      </c>
      <c r="B7" s="330"/>
      <c r="C7" s="334"/>
      <c r="D7" s="188" t="s">
        <v>13262</v>
      </c>
      <c r="E7" s="189" t="s">
        <v>13263</v>
      </c>
      <c r="F7" s="162" t="s">
        <v>13264</v>
      </c>
      <c r="G7" s="190"/>
      <c r="H7" s="219"/>
      <c r="I7" s="169">
        <v>110009</v>
      </c>
      <c r="J7" s="304" t="str">
        <f>CONCATENATE([2]Cover!$D$6,"fdd/view?i=",I7)</f>
        <v>https://www.dgiwg.org/FAD/fdd/view?i=110009</v>
      </c>
      <c r="K7" s="304" t="s">
        <v>34056</v>
      </c>
      <c r="L7" s="188">
        <v>1</v>
      </c>
      <c r="M7" s="179" t="s">
        <v>151</v>
      </c>
    </row>
    <row r="8" spans="1:13" ht="25.5">
      <c r="A8" s="313" t="str">
        <f t="shared" si="0"/>
        <v>AbsHorizAccEvalMethodCode_geodeticSurveySmall</v>
      </c>
      <c r="B8" s="330"/>
      <c r="C8" s="334"/>
      <c r="D8" s="188" t="s">
        <v>13265</v>
      </c>
      <c r="E8" s="189" t="s">
        <v>13266</v>
      </c>
      <c r="F8" s="162" t="s">
        <v>13267</v>
      </c>
      <c r="G8" s="190"/>
      <c r="H8" s="219"/>
      <c r="I8" s="169">
        <v>110020</v>
      </c>
      <c r="J8" s="304" t="str">
        <f>CONCATENATE([2]Cover!$D$6,"fdd/view?i=",I8)</f>
        <v>https://www.dgiwg.org/FAD/fdd/view?i=110020</v>
      </c>
      <c r="K8" s="304" t="s">
        <v>34057</v>
      </c>
      <c r="L8" s="188">
        <v>2</v>
      </c>
      <c r="M8" s="179" t="s">
        <v>151</v>
      </c>
    </row>
    <row r="9" spans="1:13" ht="25.5">
      <c r="A9" s="313" t="str">
        <f t="shared" si="0"/>
        <v>AbsHorizAccEvalMethodCode_insufficientControl</v>
      </c>
      <c r="B9" s="330"/>
      <c r="C9" s="334"/>
      <c r="D9" s="188" t="s">
        <v>13268</v>
      </c>
      <c r="E9" s="189" t="s">
        <v>13269</v>
      </c>
      <c r="F9" s="162" t="s">
        <v>13270</v>
      </c>
      <c r="G9" s="190"/>
      <c r="H9" s="219"/>
      <c r="I9" s="169">
        <v>110010</v>
      </c>
      <c r="J9" s="304" t="str">
        <f>CONCATENATE([2]Cover!$D$6,"fdd/view?i=",I9)</f>
        <v>https://www.dgiwg.org/FAD/fdd/view?i=110010</v>
      </c>
      <c r="K9" s="304" t="s">
        <v>34058</v>
      </c>
      <c r="L9" s="188">
        <v>10</v>
      </c>
      <c r="M9" s="179" t="s">
        <v>151</v>
      </c>
    </row>
    <row r="10" spans="1:13" ht="25.5">
      <c r="A10" s="313" t="str">
        <f t="shared" si="0"/>
        <v>AbsHorizAccEvalMethodCode_insufficientGraticule</v>
      </c>
      <c r="B10" s="330"/>
      <c r="C10" s="334"/>
      <c r="D10" s="188" t="s">
        <v>13271</v>
      </c>
      <c r="E10" s="189" t="s">
        <v>13272</v>
      </c>
      <c r="F10" s="162" t="s">
        <v>13273</v>
      </c>
      <c r="G10" s="190"/>
      <c r="H10" s="219"/>
      <c r="I10" s="169">
        <v>110018</v>
      </c>
      <c r="J10" s="304" t="str">
        <f>CONCATENATE([2]Cover!$D$6,"fdd/view?i=",I10)</f>
        <v>https://www.dgiwg.org/FAD/fdd/view?i=110018</v>
      </c>
      <c r="K10" s="304" t="s">
        <v>34059</v>
      </c>
      <c r="L10" s="188">
        <v>18</v>
      </c>
      <c r="M10" s="179" t="s">
        <v>151</v>
      </c>
    </row>
    <row r="11" spans="1:13" ht="25.5">
      <c r="A11" s="313" t="str">
        <f t="shared" si="0"/>
        <v>AbsHorizAccEvalMethodCode_insufficientIdentFeatures</v>
      </c>
      <c r="B11" s="330"/>
      <c r="C11" s="334"/>
      <c r="D11" s="188" t="s">
        <v>13274</v>
      </c>
      <c r="E11" s="189" t="s">
        <v>13275</v>
      </c>
      <c r="F11" s="162" t="s">
        <v>13276</v>
      </c>
      <c r="G11" s="190"/>
      <c r="H11" s="219"/>
      <c r="I11" s="169">
        <v>110011</v>
      </c>
      <c r="J11" s="304" t="str">
        <f>CONCATENATE([2]Cover!$D$6,"fdd/view?i=",I11)</f>
        <v>https://www.dgiwg.org/FAD/fdd/view?i=110011</v>
      </c>
      <c r="K11" s="304" t="s">
        <v>34060</v>
      </c>
      <c r="L11" s="188">
        <v>11</v>
      </c>
      <c r="M11" s="179" t="s">
        <v>151</v>
      </c>
    </row>
    <row r="12" spans="1:13" ht="25.5">
      <c r="A12" s="313" t="str">
        <f t="shared" si="0"/>
        <v>AbsHorizAccEvalMethodCode_oldEvaluation</v>
      </c>
      <c r="B12" s="330"/>
      <c r="C12" s="334"/>
      <c r="D12" s="188" t="s">
        <v>13277</v>
      </c>
      <c r="E12" s="189" t="s">
        <v>13278</v>
      </c>
      <c r="F12" s="162" t="s">
        <v>13279</v>
      </c>
      <c r="G12" s="190"/>
      <c r="H12" s="219"/>
      <c r="I12" s="169">
        <v>110016</v>
      </c>
      <c r="J12" s="304" t="str">
        <f>CONCATENATE([2]Cover!$D$6,"fdd/view?i=",I12)</f>
        <v>https://www.dgiwg.org/FAD/fdd/view?i=110016</v>
      </c>
      <c r="K12" s="304" t="s">
        <v>34061</v>
      </c>
      <c r="L12" s="188">
        <v>16</v>
      </c>
      <c r="M12" s="179" t="s">
        <v>151</v>
      </c>
    </row>
    <row r="13" spans="1:13" ht="25.5">
      <c r="A13" s="313" t="str">
        <f t="shared" si="0"/>
        <v>AbsHorizAccEvalMethodCode_photogrammAdequate</v>
      </c>
      <c r="B13" s="330"/>
      <c r="C13" s="334"/>
      <c r="D13" s="188" t="s">
        <v>13280</v>
      </c>
      <c r="E13" s="189" t="s">
        <v>13281</v>
      </c>
      <c r="F13" s="162" t="s">
        <v>13282</v>
      </c>
      <c r="G13" s="190"/>
      <c r="H13" s="219"/>
      <c r="I13" s="169">
        <v>117823</v>
      </c>
      <c r="J13" s="304" t="str">
        <f>CONCATENATE([2]Cover!$D$6,"fdd/view?i=",I13)</f>
        <v>https://www.dgiwg.org/FAD/fdd/view?i=117823</v>
      </c>
      <c r="K13" s="304" t="s">
        <v>34062</v>
      </c>
      <c r="L13" s="188">
        <v>22</v>
      </c>
      <c r="M13" s="179" t="s">
        <v>151</v>
      </c>
    </row>
    <row r="14" spans="1:13" ht="51">
      <c r="A14" s="313" t="str">
        <f t="shared" si="0"/>
        <v>AbsHorizAccEvalMethodCode_photogrammGdasAdequate</v>
      </c>
      <c r="B14" s="330"/>
      <c r="C14" s="334"/>
      <c r="D14" s="188" t="s">
        <v>13283</v>
      </c>
      <c r="E14" s="189" t="s">
        <v>13284</v>
      </c>
      <c r="F14" s="162" t="s">
        <v>13285</v>
      </c>
      <c r="G14" s="162" t="s">
        <v>13286</v>
      </c>
      <c r="H14" s="219"/>
      <c r="I14" s="169">
        <v>110024</v>
      </c>
      <c r="J14" s="304" t="str">
        <f>CONCATENATE([2]Cover!$D$6,"fdd/view?i=",I14)</f>
        <v>https://www.dgiwg.org/FAD/fdd/view?i=110024</v>
      </c>
      <c r="K14" s="304" t="s">
        <v>34063</v>
      </c>
      <c r="L14" s="188">
        <v>4</v>
      </c>
      <c r="M14" s="179" t="s">
        <v>151</v>
      </c>
    </row>
    <row r="15" spans="1:13" ht="51">
      <c r="A15" s="313" t="str">
        <f t="shared" si="0"/>
        <v>AbsHorizAccEvalMethodCode_photogrammGdasSmall</v>
      </c>
      <c r="B15" s="330"/>
      <c r="C15" s="334"/>
      <c r="D15" s="188" t="s">
        <v>13287</v>
      </c>
      <c r="E15" s="189" t="s">
        <v>13288</v>
      </c>
      <c r="F15" s="162" t="s">
        <v>13289</v>
      </c>
      <c r="G15" s="162" t="s">
        <v>13286</v>
      </c>
      <c r="H15" s="219"/>
      <c r="I15" s="169">
        <v>110025</v>
      </c>
      <c r="J15" s="304" t="str">
        <f>CONCATENATE([2]Cover!$D$6,"fdd/view?i=",I15)</f>
        <v>https://www.dgiwg.org/FAD/fdd/view?i=110025</v>
      </c>
      <c r="K15" s="304" t="s">
        <v>34064</v>
      </c>
      <c r="L15" s="188">
        <v>5</v>
      </c>
      <c r="M15" s="179" t="s">
        <v>151</v>
      </c>
    </row>
    <row r="16" spans="1:13" ht="51">
      <c r="A16" s="313" t="str">
        <f t="shared" si="0"/>
        <v>AbsHorizAccEvalMethodCode_photogrammNonGdasAdequate</v>
      </c>
      <c r="B16" s="330"/>
      <c r="C16" s="334"/>
      <c r="D16" s="188" t="s">
        <v>13290</v>
      </c>
      <c r="E16" s="189" t="s">
        <v>13291</v>
      </c>
      <c r="F16" s="162" t="s">
        <v>13292</v>
      </c>
      <c r="G16" s="162" t="s">
        <v>13286</v>
      </c>
      <c r="H16" s="219"/>
      <c r="I16" s="169">
        <v>110026</v>
      </c>
      <c r="J16" s="304" t="str">
        <f>CONCATENATE([2]Cover!$D$6,"fdd/view?i=",I16)</f>
        <v>https://www.dgiwg.org/FAD/fdd/view?i=110026</v>
      </c>
      <c r="K16" s="304" t="s">
        <v>34065</v>
      </c>
      <c r="L16" s="188">
        <v>6</v>
      </c>
      <c r="M16" s="179" t="s">
        <v>151</v>
      </c>
    </row>
    <row r="17" spans="1:13" ht="51">
      <c r="A17" s="313" t="str">
        <f t="shared" si="0"/>
        <v>AbsHorizAccEvalMethodCode_photogrammNonGdasSmall</v>
      </c>
      <c r="B17" s="330"/>
      <c r="C17" s="334"/>
      <c r="D17" s="188" t="s">
        <v>13293</v>
      </c>
      <c r="E17" s="189" t="s">
        <v>13294</v>
      </c>
      <c r="F17" s="162" t="s">
        <v>13295</v>
      </c>
      <c r="G17" s="162" t="s">
        <v>13286</v>
      </c>
      <c r="H17" s="219"/>
      <c r="I17" s="169">
        <v>110027</v>
      </c>
      <c r="J17" s="304" t="str">
        <f>CONCATENATE([2]Cover!$D$6,"fdd/view?i=",I17)</f>
        <v>https://www.dgiwg.org/FAD/fdd/view?i=110027</v>
      </c>
      <c r="K17" s="304" t="s">
        <v>34066</v>
      </c>
      <c r="L17" s="188">
        <v>7</v>
      </c>
      <c r="M17" s="179" t="s">
        <v>151</v>
      </c>
    </row>
    <row r="18" spans="1:13" ht="25.5">
      <c r="A18" s="313" t="str">
        <f t="shared" si="0"/>
        <v>AbsHorizAccEvalMethodCode_photogrammSmall</v>
      </c>
      <c r="B18" s="330"/>
      <c r="C18" s="334"/>
      <c r="D18" s="188" t="s">
        <v>13296</v>
      </c>
      <c r="E18" s="189" t="s">
        <v>13297</v>
      </c>
      <c r="F18" s="162" t="s">
        <v>13298</v>
      </c>
      <c r="G18" s="190"/>
      <c r="H18" s="219"/>
      <c r="I18" s="169">
        <v>117824</v>
      </c>
      <c r="J18" s="304" t="str">
        <f>CONCATENATE([2]Cover!$D$6,"fdd/view?i=",I18)</f>
        <v>https://www.dgiwg.org/FAD/fdd/view?i=117824</v>
      </c>
      <c r="K18" s="304" t="s">
        <v>34067</v>
      </c>
      <c r="L18" s="188">
        <v>23</v>
      </c>
      <c r="M18" s="179" t="s">
        <v>151</v>
      </c>
    </row>
    <row r="19" spans="1:13" ht="38.25">
      <c r="A19" s="313" t="str">
        <f t="shared" si="0"/>
        <v>AbsHorizAccEvalMethodCode_photogrammWithBias</v>
      </c>
      <c r="B19" s="330"/>
      <c r="C19" s="334"/>
      <c r="D19" s="188" t="s">
        <v>13299</v>
      </c>
      <c r="E19" s="189" t="s">
        <v>13300</v>
      </c>
      <c r="F19" s="162" t="s">
        <v>13301</v>
      </c>
      <c r="G19" s="190"/>
      <c r="H19" s="219"/>
      <c r="I19" s="169">
        <v>110023</v>
      </c>
      <c r="J19" s="304" t="str">
        <f>CONCATENATE([2]Cover!$D$6,"fdd/view?i=",I19)</f>
        <v>https://www.dgiwg.org/FAD/fdd/view?i=110023</v>
      </c>
      <c r="K19" s="304" t="s">
        <v>34068</v>
      </c>
      <c r="L19" s="188">
        <v>3</v>
      </c>
      <c r="M19" s="179" t="s">
        <v>151</v>
      </c>
    </row>
    <row r="20" spans="1:13" ht="25.5">
      <c r="A20" s="313" t="str">
        <f t="shared" si="0"/>
        <v>AbsHorizAccEvalMethodCode_postProductionSampling</v>
      </c>
      <c r="B20" s="330"/>
      <c r="C20" s="334"/>
      <c r="D20" s="188" t="s">
        <v>13302</v>
      </c>
      <c r="E20" s="189" t="s">
        <v>13303</v>
      </c>
      <c r="F20" s="162" t="s">
        <v>13304</v>
      </c>
      <c r="G20" s="190"/>
      <c r="H20" s="219"/>
      <c r="I20" s="169">
        <v>110014</v>
      </c>
      <c r="J20" s="304" t="str">
        <f>CONCATENATE([2]Cover!$D$6,"fdd/view?i=",I20)</f>
        <v>https://www.dgiwg.org/FAD/fdd/view?i=110014</v>
      </c>
      <c r="K20" s="304" t="s">
        <v>34069</v>
      </c>
      <c r="L20" s="188">
        <v>14</v>
      </c>
      <c r="M20" s="179" t="s">
        <v>151</v>
      </c>
    </row>
    <row r="21" spans="1:13" ht="25.5">
      <c r="A21" s="313" t="str">
        <f t="shared" si="0"/>
        <v>AbsHorizAccEvalMethodCode_productSpecification</v>
      </c>
      <c r="B21" s="330"/>
      <c r="C21" s="334"/>
      <c r="D21" s="188" t="s">
        <v>13305</v>
      </c>
      <c r="E21" s="189" t="s">
        <v>13306</v>
      </c>
      <c r="F21" s="162" t="s">
        <v>13307</v>
      </c>
      <c r="G21" s="190"/>
      <c r="H21" s="219"/>
      <c r="I21" s="169">
        <v>110015</v>
      </c>
      <c r="J21" s="304" t="str">
        <f>CONCATENATE([2]Cover!$D$6,"fdd/view?i=",I21)</f>
        <v>https://www.dgiwg.org/FAD/fdd/view?i=110015</v>
      </c>
      <c r="K21" s="304" t="s">
        <v>34070</v>
      </c>
      <c r="L21" s="188">
        <v>15</v>
      </c>
      <c r="M21" s="179" t="s">
        <v>151</v>
      </c>
    </row>
    <row r="22" spans="1:13" ht="25.5">
      <c r="A22" s="313" t="str">
        <f t="shared" si="0"/>
        <v>AbsHorizAccEvalMethodCode_scaleTooSmall</v>
      </c>
      <c r="B22" s="330"/>
      <c r="C22" s="334"/>
      <c r="D22" s="188" t="s">
        <v>13308</v>
      </c>
      <c r="E22" s="189" t="s">
        <v>13309</v>
      </c>
      <c r="F22" s="162" t="s">
        <v>13310</v>
      </c>
      <c r="G22" s="190"/>
      <c r="H22" s="219"/>
      <c r="I22" s="169">
        <v>110019</v>
      </c>
      <c r="J22" s="304" t="str">
        <f>CONCATENATE([2]Cover!$D$6,"fdd/view?i=",I22)</f>
        <v>https://www.dgiwg.org/FAD/fdd/view?i=110019</v>
      </c>
      <c r="K22" s="304" t="s">
        <v>34071</v>
      </c>
      <c r="L22" s="188">
        <v>19</v>
      </c>
      <c r="M22" s="179" t="s">
        <v>151</v>
      </c>
    </row>
    <row r="23" spans="1:13" ht="25.5">
      <c r="A23" s="313" t="str">
        <f t="shared" si="0"/>
        <v>AbsHorizAccEvalMethodCode_sourceAccuracy</v>
      </c>
      <c r="B23" s="330"/>
      <c r="C23" s="334"/>
      <c r="D23" s="188" t="s">
        <v>13311</v>
      </c>
      <c r="E23" s="189" t="s">
        <v>13312</v>
      </c>
      <c r="F23" s="162" t="s">
        <v>13313</v>
      </c>
      <c r="G23" s="190"/>
      <c r="H23" s="219"/>
      <c r="I23" s="169">
        <v>110013</v>
      </c>
      <c r="J23" s="304" t="str">
        <f>CONCATENATE([2]Cover!$D$6,"fdd/view?i=",I23)</f>
        <v>https://www.dgiwg.org/FAD/fdd/view?i=110013</v>
      </c>
      <c r="K23" s="304" t="s">
        <v>34072</v>
      </c>
      <c r="L23" s="188">
        <v>13</v>
      </c>
      <c r="M23" s="179" t="s">
        <v>151</v>
      </c>
    </row>
    <row r="24" spans="1:13" ht="51">
      <c r="A24" s="313" t="str">
        <f t="shared" si="0"/>
        <v>AbsHorizAccEvalMethodCode_unableToPerformEvaluation</v>
      </c>
      <c r="B24" s="331"/>
      <c r="C24" s="335"/>
      <c r="D24" s="181" t="s">
        <v>13314</v>
      </c>
      <c r="E24" s="192" t="s">
        <v>13315</v>
      </c>
      <c r="F24" s="193" t="s">
        <v>13316</v>
      </c>
      <c r="G24" s="194"/>
      <c r="H24" s="220"/>
      <c r="I24" s="169">
        <v>110029</v>
      </c>
      <c r="J24" s="304" t="str">
        <f>CONCATENATE([2]Cover!$D$6,"fdd/view?i=",I24)</f>
        <v>https://www.dgiwg.org/FAD/fdd/view?i=110029</v>
      </c>
      <c r="K24" s="304" t="s">
        <v>34073</v>
      </c>
      <c r="L24" s="181">
        <v>9</v>
      </c>
      <c r="M24" s="179" t="s">
        <v>151</v>
      </c>
    </row>
    <row r="25" spans="1:13" ht="25.5">
      <c r="A25" s="313" t="str">
        <f t="shared" si="0"/>
        <v>AbsVertAccEvalMethodCode_analystEstimate</v>
      </c>
      <c r="B25" s="332" t="str">
        <f>HYPERLINK("[#]Datatypes!A4:L4","AbsVertAccEvalMethodCode")</f>
        <v>AbsVertAccEvalMethodCode</v>
      </c>
      <c r="C25" s="333" t="s">
        <v>11415</v>
      </c>
      <c r="D25" s="202" t="s">
        <v>13247</v>
      </c>
      <c r="E25" s="203" t="s">
        <v>13248</v>
      </c>
      <c r="F25" s="204" t="s">
        <v>13249</v>
      </c>
      <c r="G25" s="205"/>
      <c r="H25" s="218"/>
      <c r="I25" s="169">
        <v>110045</v>
      </c>
      <c r="J25" s="304" t="str">
        <f>CONCATENATE([2]Cover!$D$6,"fdd/view?i=",I25)</f>
        <v>https://www.dgiwg.org/FAD/fdd/view?i=110045</v>
      </c>
      <c r="K25" s="304" t="s">
        <v>34074</v>
      </c>
      <c r="L25" s="202">
        <v>17</v>
      </c>
      <c r="M25" s="179" t="s">
        <v>151</v>
      </c>
    </row>
    <row r="26" spans="1:13" ht="25.5">
      <c r="A26" s="313" t="str">
        <f t="shared" si="0"/>
        <v>AbsVertAccEvalMethodCode_digitalProductWithoutMeth</v>
      </c>
      <c r="B26" s="330"/>
      <c r="C26" s="334"/>
      <c r="D26" s="188" t="s">
        <v>13250</v>
      </c>
      <c r="E26" s="189" t="s">
        <v>13251</v>
      </c>
      <c r="F26" s="162" t="s">
        <v>13252</v>
      </c>
      <c r="G26" s="190"/>
      <c r="H26" s="219"/>
      <c r="I26" s="169">
        <v>110049</v>
      </c>
      <c r="J26" s="304" t="str">
        <f>CONCATENATE([2]Cover!$D$6,"fdd/view?i=",I26)</f>
        <v>https://www.dgiwg.org/FAD/fdd/view?i=110049</v>
      </c>
      <c r="K26" s="304" t="s">
        <v>34075</v>
      </c>
      <c r="L26" s="188">
        <v>20</v>
      </c>
      <c r="M26" s="179" t="s">
        <v>151</v>
      </c>
    </row>
    <row r="27" spans="1:13" ht="25.5">
      <c r="A27" s="313" t="str">
        <f t="shared" si="0"/>
        <v>AbsVertAccEvalMethodCode_errorBudgetEvaluation</v>
      </c>
      <c r="B27" s="330"/>
      <c r="C27" s="334"/>
      <c r="D27" s="188" t="s">
        <v>13253</v>
      </c>
      <c r="E27" s="189" t="s">
        <v>13254</v>
      </c>
      <c r="F27" s="162" t="s">
        <v>13255</v>
      </c>
      <c r="G27" s="190"/>
      <c r="H27" s="219"/>
      <c r="I27" s="169">
        <v>110040</v>
      </c>
      <c r="J27" s="304" t="str">
        <f>CONCATENATE([2]Cover!$D$6,"fdd/view?i=",I27)</f>
        <v>https://www.dgiwg.org/FAD/fdd/view?i=110040</v>
      </c>
      <c r="K27" s="304" t="s">
        <v>34076</v>
      </c>
      <c r="L27" s="188">
        <v>12</v>
      </c>
      <c r="M27" s="179" t="s">
        <v>151</v>
      </c>
    </row>
    <row r="28" spans="1:13" ht="25.5">
      <c r="A28" s="313" t="str">
        <f t="shared" si="0"/>
        <v>AbsVertAccEvalMethodCode_evaluationDeferred</v>
      </c>
      <c r="B28" s="330"/>
      <c r="C28" s="334"/>
      <c r="D28" s="188" t="s">
        <v>13256</v>
      </c>
      <c r="E28" s="189" t="s">
        <v>13257</v>
      </c>
      <c r="F28" s="162" t="s">
        <v>13258</v>
      </c>
      <c r="G28" s="190"/>
      <c r="H28" s="219"/>
      <c r="I28" s="169">
        <v>110050</v>
      </c>
      <c r="J28" s="304" t="str">
        <f>CONCATENATE([2]Cover!$D$6,"fdd/view?i=",I28)</f>
        <v>https://www.dgiwg.org/FAD/fdd/view?i=110050</v>
      </c>
      <c r="K28" s="304" t="s">
        <v>34077</v>
      </c>
      <c r="L28" s="188">
        <v>21</v>
      </c>
      <c r="M28" s="179" t="s">
        <v>151</v>
      </c>
    </row>
    <row r="29" spans="1:13" ht="25.5">
      <c r="A29" s="313" t="str">
        <f t="shared" si="0"/>
        <v>AbsVertAccEvalMethodCode_extrapolation</v>
      </c>
      <c r="B29" s="330"/>
      <c r="C29" s="334"/>
      <c r="D29" s="188" t="s">
        <v>13259</v>
      </c>
      <c r="E29" s="189" t="s">
        <v>13260</v>
      </c>
      <c r="F29" s="162" t="s">
        <v>13261</v>
      </c>
      <c r="G29" s="190"/>
      <c r="H29" s="219"/>
      <c r="I29" s="169">
        <v>110056</v>
      </c>
      <c r="J29" s="304" t="str">
        <f>CONCATENATE([2]Cover!$D$6,"fdd/view?i=",I29)</f>
        <v>https://www.dgiwg.org/FAD/fdd/view?i=110056</v>
      </c>
      <c r="K29" s="304" t="s">
        <v>34078</v>
      </c>
      <c r="L29" s="188">
        <v>8</v>
      </c>
      <c r="M29" s="179" t="s">
        <v>151</v>
      </c>
    </row>
    <row r="30" spans="1:13" ht="25.5">
      <c r="A30" s="313" t="str">
        <f t="shared" si="0"/>
        <v>AbsVertAccEvalMethodCode_geodeticSurveyAdequate</v>
      </c>
      <c r="B30" s="330"/>
      <c r="C30" s="334"/>
      <c r="D30" s="188" t="s">
        <v>13262</v>
      </c>
      <c r="E30" s="189" t="s">
        <v>13263</v>
      </c>
      <c r="F30" s="162" t="s">
        <v>13264</v>
      </c>
      <c r="G30" s="190"/>
      <c r="H30" s="219"/>
      <c r="I30" s="169">
        <v>110037</v>
      </c>
      <c r="J30" s="304" t="str">
        <f>CONCATENATE([2]Cover!$D$6,"fdd/view?i=",I30)</f>
        <v>https://www.dgiwg.org/FAD/fdd/view?i=110037</v>
      </c>
      <c r="K30" s="304" t="s">
        <v>34079</v>
      </c>
      <c r="L30" s="188">
        <v>1</v>
      </c>
      <c r="M30" s="179" t="s">
        <v>151</v>
      </c>
    </row>
    <row r="31" spans="1:13" ht="25.5">
      <c r="A31" s="313" t="str">
        <f t="shared" si="0"/>
        <v>AbsVertAccEvalMethodCode_geodeticSurveySmall</v>
      </c>
      <c r="B31" s="330"/>
      <c r="C31" s="334"/>
      <c r="D31" s="188" t="s">
        <v>13265</v>
      </c>
      <c r="E31" s="189" t="s">
        <v>13266</v>
      </c>
      <c r="F31" s="162" t="s">
        <v>13267</v>
      </c>
      <c r="G31" s="190"/>
      <c r="H31" s="219"/>
      <c r="I31" s="169">
        <v>110048</v>
      </c>
      <c r="J31" s="304" t="str">
        <f>CONCATENATE([2]Cover!$D$6,"fdd/view?i=",I31)</f>
        <v>https://www.dgiwg.org/FAD/fdd/view?i=110048</v>
      </c>
      <c r="K31" s="304" t="s">
        <v>34080</v>
      </c>
      <c r="L31" s="188">
        <v>2</v>
      </c>
      <c r="M31" s="179" t="s">
        <v>151</v>
      </c>
    </row>
    <row r="32" spans="1:13" ht="25.5">
      <c r="A32" s="313" t="str">
        <f t="shared" si="0"/>
        <v>AbsVertAccEvalMethodCode_insufficientControl</v>
      </c>
      <c r="B32" s="330"/>
      <c r="C32" s="334"/>
      <c r="D32" s="188" t="s">
        <v>13268</v>
      </c>
      <c r="E32" s="189" t="s">
        <v>13269</v>
      </c>
      <c r="F32" s="162" t="s">
        <v>13270</v>
      </c>
      <c r="G32" s="190"/>
      <c r="H32" s="219"/>
      <c r="I32" s="169">
        <v>110038</v>
      </c>
      <c r="J32" s="304" t="str">
        <f>CONCATENATE([2]Cover!$D$6,"fdd/view?i=",I32)</f>
        <v>https://www.dgiwg.org/FAD/fdd/view?i=110038</v>
      </c>
      <c r="K32" s="304" t="s">
        <v>34081</v>
      </c>
      <c r="L32" s="188">
        <v>10</v>
      </c>
      <c r="M32" s="179" t="s">
        <v>151</v>
      </c>
    </row>
    <row r="33" spans="1:13" ht="25.5">
      <c r="A33" s="313" t="str">
        <f t="shared" si="0"/>
        <v>AbsVertAccEvalMethodCode_insufficientGraticule</v>
      </c>
      <c r="B33" s="330"/>
      <c r="C33" s="334"/>
      <c r="D33" s="188" t="s">
        <v>13271</v>
      </c>
      <c r="E33" s="189" t="s">
        <v>13272</v>
      </c>
      <c r="F33" s="162" t="s">
        <v>13273</v>
      </c>
      <c r="G33" s="190"/>
      <c r="H33" s="219"/>
      <c r="I33" s="169">
        <v>110046</v>
      </c>
      <c r="J33" s="304" t="str">
        <f>CONCATENATE([2]Cover!$D$6,"fdd/view?i=",I33)</f>
        <v>https://www.dgiwg.org/FAD/fdd/view?i=110046</v>
      </c>
      <c r="K33" s="304" t="s">
        <v>34082</v>
      </c>
      <c r="L33" s="188">
        <v>18</v>
      </c>
      <c r="M33" s="179" t="s">
        <v>151</v>
      </c>
    </row>
    <row r="34" spans="1:13" ht="25.5">
      <c r="A34" s="313" t="str">
        <f t="shared" si="0"/>
        <v>AbsVertAccEvalMethodCode_insufficientIdentFeatures</v>
      </c>
      <c r="B34" s="330"/>
      <c r="C34" s="334"/>
      <c r="D34" s="188" t="s">
        <v>13274</v>
      </c>
      <c r="E34" s="189" t="s">
        <v>13275</v>
      </c>
      <c r="F34" s="162" t="s">
        <v>13276</v>
      </c>
      <c r="G34" s="190"/>
      <c r="H34" s="219"/>
      <c r="I34" s="169">
        <v>110039</v>
      </c>
      <c r="J34" s="304" t="str">
        <f>CONCATENATE([2]Cover!$D$6,"fdd/view?i=",I34)</f>
        <v>https://www.dgiwg.org/FAD/fdd/view?i=110039</v>
      </c>
      <c r="K34" s="304" t="s">
        <v>34083</v>
      </c>
      <c r="L34" s="188">
        <v>11</v>
      </c>
      <c r="M34" s="179" t="s">
        <v>151</v>
      </c>
    </row>
    <row r="35" spans="1:13" ht="25.5">
      <c r="A35" s="313" t="str">
        <f t="shared" si="0"/>
        <v>AbsVertAccEvalMethodCode_oldEvaluation</v>
      </c>
      <c r="B35" s="330"/>
      <c r="C35" s="334"/>
      <c r="D35" s="188" t="s">
        <v>13277</v>
      </c>
      <c r="E35" s="189" t="s">
        <v>13278</v>
      </c>
      <c r="F35" s="162" t="s">
        <v>13279</v>
      </c>
      <c r="G35" s="190"/>
      <c r="H35" s="219"/>
      <c r="I35" s="169">
        <v>110044</v>
      </c>
      <c r="J35" s="304" t="str">
        <f>CONCATENATE([2]Cover!$D$6,"fdd/view?i=",I35)</f>
        <v>https://www.dgiwg.org/FAD/fdd/view?i=110044</v>
      </c>
      <c r="K35" s="304" t="s">
        <v>34084</v>
      </c>
      <c r="L35" s="188">
        <v>16</v>
      </c>
      <c r="M35" s="179" t="s">
        <v>151</v>
      </c>
    </row>
    <row r="36" spans="1:13" ht="25.5">
      <c r="A36" s="313" t="str">
        <f t="shared" si="0"/>
        <v>AbsVertAccEvalMethodCode_photogrammAdequate</v>
      </c>
      <c r="B36" s="330"/>
      <c r="C36" s="334"/>
      <c r="D36" s="188" t="s">
        <v>13280</v>
      </c>
      <c r="E36" s="189" t="s">
        <v>13281</v>
      </c>
      <c r="F36" s="162" t="s">
        <v>13282</v>
      </c>
      <c r="G36" s="190"/>
      <c r="H36" s="219"/>
      <c r="I36" s="169">
        <v>117826</v>
      </c>
      <c r="J36" s="304" t="str">
        <f>CONCATENATE([2]Cover!$D$6,"fdd/view?i=",I36)</f>
        <v>https://www.dgiwg.org/FAD/fdd/view?i=117826</v>
      </c>
      <c r="K36" s="304" t="s">
        <v>34085</v>
      </c>
      <c r="L36" s="188">
        <v>22</v>
      </c>
      <c r="M36" s="179" t="s">
        <v>151</v>
      </c>
    </row>
    <row r="37" spans="1:13" ht="51">
      <c r="A37" s="313" t="str">
        <f t="shared" si="0"/>
        <v>AbsVertAccEvalMethodCode_photogrammGdasAdequate</v>
      </c>
      <c r="B37" s="330"/>
      <c r="C37" s="334"/>
      <c r="D37" s="188" t="s">
        <v>13283</v>
      </c>
      <c r="E37" s="189" t="s">
        <v>13284</v>
      </c>
      <c r="F37" s="162" t="s">
        <v>13285</v>
      </c>
      <c r="G37" s="162" t="s">
        <v>13286</v>
      </c>
      <c r="H37" s="219"/>
      <c r="I37" s="169">
        <v>110052</v>
      </c>
      <c r="J37" s="304" t="str">
        <f>CONCATENATE([2]Cover!$D$6,"fdd/view?i=",I37)</f>
        <v>https://www.dgiwg.org/FAD/fdd/view?i=110052</v>
      </c>
      <c r="K37" s="304" t="s">
        <v>34086</v>
      </c>
      <c r="L37" s="188">
        <v>4</v>
      </c>
      <c r="M37" s="179" t="s">
        <v>151</v>
      </c>
    </row>
    <row r="38" spans="1:13" ht="51">
      <c r="A38" s="313" t="str">
        <f t="shared" si="0"/>
        <v>AbsVertAccEvalMethodCode_photogrammGdasSmall</v>
      </c>
      <c r="B38" s="330"/>
      <c r="C38" s="334"/>
      <c r="D38" s="188" t="s">
        <v>13287</v>
      </c>
      <c r="E38" s="189" t="s">
        <v>13288</v>
      </c>
      <c r="F38" s="162" t="s">
        <v>13289</v>
      </c>
      <c r="G38" s="162" t="s">
        <v>13286</v>
      </c>
      <c r="H38" s="219"/>
      <c r="I38" s="169">
        <v>110053</v>
      </c>
      <c r="J38" s="304" t="str">
        <f>CONCATENATE([2]Cover!$D$6,"fdd/view?i=",I38)</f>
        <v>https://www.dgiwg.org/FAD/fdd/view?i=110053</v>
      </c>
      <c r="K38" s="304" t="s">
        <v>34087</v>
      </c>
      <c r="L38" s="188">
        <v>5</v>
      </c>
      <c r="M38" s="179" t="s">
        <v>151</v>
      </c>
    </row>
    <row r="39" spans="1:13" ht="51">
      <c r="A39" s="313" t="str">
        <f t="shared" si="0"/>
        <v>AbsVertAccEvalMethodCode_photogrammNonGdasAdequate</v>
      </c>
      <c r="B39" s="330"/>
      <c r="C39" s="334"/>
      <c r="D39" s="188" t="s">
        <v>13290</v>
      </c>
      <c r="E39" s="189" t="s">
        <v>13291</v>
      </c>
      <c r="F39" s="162" t="s">
        <v>13292</v>
      </c>
      <c r="G39" s="162" t="s">
        <v>13286</v>
      </c>
      <c r="H39" s="219"/>
      <c r="I39" s="169">
        <v>110054</v>
      </c>
      <c r="J39" s="304" t="str">
        <f>CONCATENATE([2]Cover!$D$6,"fdd/view?i=",I39)</f>
        <v>https://www.dgiwg.org/FAD/fdd/view?i=110054</v>
      </c>
      <c r="K39" s="304" t="s">
        <v>34088</v>
      </c>
      <c r="L39" s="188">
        <v>6</v>
      </c>
      <c r="M39" s="179" t="s">
        <v>151</v>
      </c>
    </row>
    <row r="40" spans="1:13" ht="51">
      <c r="A40" s="313" t="str">
        <f t="shared" si="0"/>
        <v>AbsVertAccEvalMethodCode_photogrammNonGdasSmall</v>
      </c>
      <c r="B40" s="330"/>
      <c r="C40" s="334"/>
      <c r="D40" s="188" t="s">
        <v>13293</v>
      </c>
      <c r="E40" s="189" t="s">
        <v>13294</v>
      </c>
      <c r="F40" s="162" t="s">
        <v>13295</v>
      </c>
      <c r="G40" s="162" t="s">
        <v>13286</v>
      </c>
      <c r="H40" s="219"/>
      <c r="I40" s="169">
        <v>110055</v>
      </c>
      <c r="J40" s="304" t="str">
        <f>CONCATENATE([2]Cover!$D$6,"fdd/view?i=",I40)</f>
        <v>https://www.dgiwg.org/FAD/fdd/view?i=110055</v>
      </c>
      <c r="K40" s="304" t="s">
        <v>34089</v>
      </c>
      <c r="L40" s="188">
        <v>7</v>
      </c>
      <c r="M40" s="179" t="s">
        <v>151</v>
      </c>
    </row>
    <row r="41" spans="1:13" ht="25.5">
      <c r="A41" s="313" t="str">
        <f t="shared" si="0"/>
        <v>AbsVertAccEvalMethodCode_photogrammSmall</v>
      </c>
      <c r="B41" s="330"/>
      <c r="C41" s="334"/>
      <c r="D41" s="188" t="s">
        <v>13296</v>
      </c>
      <c r="E41" s="189" t="s">
        <v>13297</v>
      </c>
      <c r="F41" s="162" t="s">
        <v>13298</v>
      </c>
      <c r="G41" s="190"/>
      <c r="H41" s="219"/>
      <c r="I41" s="169">
        <v>117827</v>
      </c>
      <c r="J41" s="304" t="str">
        <f>CONCATENATE([2]Cover!$D$6,"fdd/view?i=",I41)</f>
        <v>https://www.dgiwg.org/FAD/fdd/view?i=117827</v>
      </c>
      <c r="K41" s="304" t="s">
        <v>34090</v>
      </c>
      <c r="L41" s="188">
        <v>23</v>
      </c>
      <c r="M41" s="179" t="s">
        <v>151</v>
      </c>
    </row>
    <row r="42" spans="1:13" ht="38.25">
      <c r="A42" s="313" t="str">
        <f t="shared" si="0"/>
        <v>AbsVertAccEvalMethodCode_photogrammWithBias</v>
      </c>
      <c r="B42" s="330"/>
      <c r="C42" s="334"/>
      <c r="D42" s="188" t="s">
        <v>13299</v>
      </c>
      <c r="E42" s="189" t="s">
        <v>13300</v>
      </c>
      <c r="F42" s="162" t="s">
        <v>13301</v>
      </c>
      <c r="G42" s="190"/>
      <c r="H42" s="219"/>
      <c r="I42" s="169">
        <v>110051</v>
      </c>
      <c r="J42" s="304" t="str">
        <f>CONCATENATE([2]Cover!$D$6,"fdd/view?i=",I42)</f>
        <v>https://www.dgiwg.org/FAD/fdd/view?i=110051</v>
      </c>
      <c r="K42" s="304" t="s">
        <v>34091</v>
      </c>
      <c r="L42" s="188">
        <v>3</v>
      </c>
      <c r="M42" s="179" t="s">
        <v>151</v>
      </c>
    </row>
    <row r="43" spans="1:13" ht="25.5">
      <c r="A43" s="313" t="str">
        <f t="shared" si="0"/>
        <v>AbsVertAccEvalMethodCode_postProductionSampling</v>
      </c>
      <c r="B43" s="330"/>
      <c r="C43" s="334"/>
      <c r="D43" s="188" t="s">
        <v>13302</v>
      </c>
      <c r="E43" s="189" t="s">
        <v>13303</v>
      </c>
      <c r="F43" s="162" t="s">
        <v>13304</v>
      </c>
      <c r="G43" s="190"/>
      <c r="H43" s="219"/>
      <c r="I43" s="169">
        <v>110042</v>
      </c>
      <c r="J43" s="304" t="str">
        <f>CONCATENATE([2]Cover!$D$6,"fdd/view?i=",I43)</f>
        <v>https://www.dgiwg.org/FAD/fdd/view?i=110042</v>
      </c>
      <c r="K43" s="304" t="s">
        <v>34092</v>
      </c>
      <c r="L43" s="188">
        <v>14</v>
      </c>
      <c r="M43" s="179" t="s">
        <v>151</v>
      </c>
    </row>
    <row r="44" spans="1:13" ht="25.5">
      <c r="A44" s="313" t="str">
        <f t="shared" si="0"/>
        <v>AbsVertAccEvalMethodCode_productSpecification</v>
      </c>
      <c r="B44" s="330"/>
      <c r="C44" s="334"/>
      <c r="D44" s="188" t="s">
        <v>13305</v>
      </c>
      <c r="E44" s="189" t="s">
        <v>13306</v>
      </c>
      <c r="F44" s="162" t="s">
        <v>13307</v>
      </c>
      <c r="G44" s="190"/>
      <c r="H44" s="219"/>
      <c r="I44" s="169">
        <v>110043</v>
      </c>
      <c r="J44" s="304" t="str">
        <f>CONCATENATE([2]Cover!$D$6,"fdd/view?i=",I44)</f>
        <v>https://www.dgiwg.org/FAD/fdd/view?i=110043</v>
      </c>
      <c r="K44" s="304" t="s">
        <v>34093</v>
      </c>
      <c r="L44" s="188">
        <v>15</v>
      </c>
      <c r="M44" s="179" t="s">
        <v>151</v>
      </c>
    </row>
    <row r="45" spans="1:13" ht="25.5">
      <c r="A45" s="313" t="str">
        <f t="shared" si="0"/>
        <v>AbsVertAccEvalMethodCode_scaleTooSmall</v>
      </c>
      <c r="B45" s="330"/>
      <c r="C45" s="334"/>
      <c r="D45" s="188" t="s">
        <v>13308</v>
      </c>
      <c r="E45" s="189" t="s">
        <v>13309</v>
      </c>
      <c r="F45" s="162" t="s">
        <v>13310</v>
      </c>
      <c r="G45" s="190"/>
      <c r="H45" s="219"/>
      <c r="I45" s="169">
        <v>110047</v>
      </c>
      <c r="J45" s="304" t="str">
        <f>CONCATENATE([2]Cover!$D$6,"fdd/view?i=",I45)</f>
        <v>https://www.dgiwg.org/FAD/fdd/view?i=110047</v>
      </c>
      <c r="K45" s="304" t="s">
        <v>34094</v>
      </c>
      <c r="L45" s="188">
        <v>19</v>
      </c>
      <c r="M45" s="179" t="s">
        <v>151</v>
      </c>
    </row>
    <row r="46" spans="1:13" ht="25.5">
      <c r="A46" s="313" t="str">
        <f t="shared" si="0"/>
        <v>AbsVertAccEvalMethodCode_sourceAccuracy</v>
      </c>
      <c r="B46" s="330"/>
      <c r="C46" s="334"/>
      <c r="D46" s="188" t="s">
        <v>13311</v>
      </c>
      <c r="E46" s="189" t="s">
        <v>13312</v>
      </c>
      <c r="F46" s="162" t="s">
        <v>13313</v>
      </c>
      <c r="G46" s="190"/>
      <c r="H46" s="219"/>
      <c r="I46" s="169">
        <v>110041</v>
      </c>
      <c r="J46" s="304" t="str">
        <f>CONCATENATE([2]Cover!$D$6,"fdd/view?i=",I46)</f>
        <v>https://www.dgiwg.org/FAD/fdd/view?i=110041</v>
      </c>
      <c r="K46" s="304" t="s">
        <v>34095</v>
      </c>
      <c r="L46" s="188">
        <v>13</v>
      </c>
      <c r="M46" s="179" t="s">
        <v>151</v>
      </c>
    </row>
    <row r="47" spans="1:13" ht="51">
      <c r="A47" s="313" t="str">
        <f t="shared" si="0"/>
        <v>AbsVertAccEvalMethodCode_unableToPerformEvaluation</v>
      </c>
      <c r="B47" s="331"/>
      <c r="C47" s="335"/>
      <c r="D47" s="181" t="s">
        <v>13314</v>
      </c>
      <c r="E47" s="192" t="s">
        <v>13315</v>
      </c>
      <c r="F47" s="193" t="s">
        <v>13316</v>
      </c>
      <c r="G47" s="194"/>
      <c r="H47" s="220"/>
      <c r="I47" s="169">
        <v>110057</v>
      </c>
      <c r="J47" s="304" t="str">
        <f>CONCATENATE([2]Cover!$D$6,"fdd/view?i=",I47)</f>
        <v>https://www.dgiwg.org/FAD/fdd/view?i=110057</v>
      </c>
      <c r="K47" s="304" t="s">
        <v>34096</v>
      </c>
      <c r="L47" s="181">
        <v>9</v>
      </c>
      <c r="M47" s="179" t="s">
        <v>151</v>
      </c>
    </row>
    <row r="48" spans="1:13" ht="25.5">
      <c r="A48" s="313" t="str">
        <f t="shared" si="0"/>
        <v>AccessibilityStatusCode_closed</v>
      </c>
      <c r="B48" s="332" t="str">
        <f>HYPERLINK("[#]Datatypes!A6:L6","AccessibilityStatusCode")</f>
        <v>AccessibilityStatusCode</v>
      </c>
      <c r="C48" s="333" t="s">
        <v>11417</v>
      </c>
      <c r="D48" s="202" t="s">
        <v>13317</v>
      </c>
      <c r="E48" s="203" t="s">
        <v>13318</v>
      </c>
      <c r="F48" s="204" t="s">
        <v>13319</v>
      </c>
      <c r="G48" s="204" t="s">
        <v>13320</v>
      </c>
      <c r="H48" s="218"/>
      <c r="I48" s="169">
        <v>101605</v>
      </c>
      <c r="J48" s="304" t="str">
        <f>CONCATENATE([2]Cover!$D$6,"fdd/view?i=",I48)</f>
        <v>https://www.dgiwg.org/FAD/fdd/view?i=101605</v>
      </c>
      <c r="K48" s="304" t="s">
        <v>34097</v>
      </c>
      <c r="L48" s="202">
        <v>7</v>
      </c>
      <c r="M48" s="179" t="s">
        <v>151</v>
      </c>
    </row>
    <row r="49" spans="1:13">
      <c r="A49" s="313" t="str">
        <f t="shared" si="0"/>
        <v>AccessibilityStatusCode_limited</v>
      </c>
      <c r="B49" s="330"/>
      <c r="C49" s="334"/>
      <c r="D49" s="188" t="s">
        <v>13321</v>
      </c>
      <c r="E49" s="189" t="s">
        <v>13322</v>
      </c>
      <c r="F49" s="162" t="s">
        <v>13323</v>
      </c>
      <c r="G49" s="162" t="s">
        <v>13324</v>
      </c>
      <c r="H49" s="219"/>
      <c r="I49" s="169">
        <v>101604</v>
      </c>
      <c r="J49" s="304" t="str">
        <f>CONCATENATE([2]Cover!$D$6,"fdd/view?i=",I49)</f>
        <v>https://www.dgiwg.org/FAD/fdd/view?i=101604</v>
      </c>
      <c r="K49" s="304" t="s">
        <v>34098</v>
      </c>
      <c r="L49" s="188">
        <v>6</v>
      </c>
      <c r="M49" s="179" t="s">
        <v>151</v>
      </c>
    </row>
    <row r="50" spans="1:13" ht="25.5">
      <c r="A50" s="313" t="str">
        <f t="shared" si="0"/>
        <v>AccessibilityStatusCode_locked</v>
      </c>
      <c r="B50" s="330"/>
      <c r="C50" s="334"/>
      <c r="D50" s="188" t="s">
        <v>13325</v>
      </c>
      <c r="E50" s="189" t="s">
        <v>13326</v>
      </c>
      <c r="F50" s="162" t="s">
        <v>13327</v>
      </c>
      <c r="G50" s="190"/>
      <c r="H50" s="219"/>
      <c r="I50" s="169">
        <v>101599</v>
      </c>
      <c r="J50" s="304" t="str">
        <f>CONCATENATE([2]Cover!$D$6,"fdd/view?i=",I50)</f>
        <v>https://www.dgiwg.org/FAD/fdd/view?i=101599</v>
      </c>
      <c r="K50" s="304" t="s">
        <v>34099</v>
      </c>
      <c r="L50" s="188">
        <v>1</v>
      </c>
      <c r="M50" s="179" t="s">
        <v>151</v>
      </c>
    </row>
    <row r="51" spans="1:13" ht="25.5">
      <c r="A51" s="313" t="str">
        <f t="shared" si="0"/>
        <v>AccessibilityStatusCode_lockedClosed</v>
      </c>
      <c r="B51" s="330"/>
      <c r="C51" s="334"/>
      <c r="D51" s="188" t="s">
        <v>13328</v>
      </c>
      <c r="E51" s="189" t="s">
        <v>13329</v>
      </c>
      <c r="F51" s="162" t="s">
        <v>13330</v>
      </c>
      <c r="G51" s="190"/>
      <c r="H51" s="219"/>
      <c r="I51" s="169">
        <v>101601</v>
      </c>
      <c r="J51" s="304" t="str">
        <f>CONCATENATE([2]Cover!$D$6,"fdd/view?i=",I51)</f>
        <v>https://www.dgiwg.org/FAD/fdd/view?i=101601</v>
      </c>
      <c r="K51" s="304" t="s">
        <v>34100</v>
      </c>
      <c r="L51" s="188">
        <v>3</v>
      </c>
      <c r="M51" s="179" t="s">
        <v>151</v>
      </c>
    </row>
    <row r="52" spans="1:13" ht="38.25">
      <c r="A52" s="313" t="str">
        <f t="shared" si="0"/>
        <v>AccessibilityStatusCode_lockedOpen</v>
      </c>
      <c r="B52" s="330"/>
      <c r="C52" s="334"/>
      <c r="D52" s="188" t="s">
        <v>13331</v>
      </c>
      <c r="E52" s="189" t="s">
        <v>13332</v>
      </c>
      <c r="F52" s="162" t="s">
        <v>13333</v>
      </c>
      <c r="G52" s="190"/>
      <c r="H52" s="219"/>
      <c r="I52" s="169">
        <v>101602</v>
      </c>
      <c r="J52" s="304" t="str">
        <f>CONCATENATE([2]Cover!$D$6,"fdd/view?i=",I52)</f>
        <v>https://www.dgiwg.org/FAD/fdd/view?i=101602</v>
      </c>
      <c r="K52" s="304" t="s">
        <v>34101</v>
      </c>
      <c r="L52" s="188">
        <v>4</v>
      </c>
      <c r="M52" s="179" t="s">
        <v>151</v>
      </c>
    </row>
    <row r="53" spans="1:13" ht="25.5">
      <c r="A53" s="313" t="str">
        <f t="shared" si="0"/>
        <v>AccessibilityStatusCode_open</v>
      </c>
      <c r="B53" s="330"/>
      <c r="C53" s="334"/>
      <c r="D53" s="188" t="s">
        <v>13334</v>
      </c>
      <c r="E53" s="189" t="s">
        <v>13335</v>
      </c>
      <c r="F53" s="162" t="s">
        <v>13336</v>
      </c>
      <c r="G53" s="162" t="s">
        <v>13337</v>
      </c>
      <c r="H53" s="219"/>
      <c r="I53" s="169">
        <v>101600</v>
      </c>
      <c r="J53" s="304" t="str">
        <f>CONCATENATE([2]Cover!$D$6,"fdd/view?i=",I53)</f>
        <v>https://www.dgiwg.org/FAD/fdd/view?i=101600</v>
      </c>
      <c r="K53" s="304" t="s">
        <v>34102</v>
      </c>
      <c r="L53" s="188">
        <v>2</v>
      </c>
      <c r="M53" s="179" t="s">
        <v>151</v>
      </c>
    </row>
    <row r="54" spans="1:13" ht="25.5">
      <c r="A54" s="313" t="str">
        <f t="shared" si="0"/>
        <v>AccessibilityStatusCode_restricted</v>
      </c>
      <c r="B54" s="331"/>
      <c r="C54" s="335"/>
      <c r="D54" s="181" t="s">
        <v>13338</v>
      </c>
      <c r="E54" s="192" t="s">
        <v>13339</v>
      </c>
      <c r="F54" s="193" t="s">
        <v>13340</v>
      </c>
      <c r="G54" s="193" t="s">
        <v>13324</v>
      </c>
      <c r="H54" s="220"/>
      <c r="I54" s="169">
        <v>101603</v>
      </c>
      <c r="J54" s="304" t="str">
        <f>CONCATENATE([2]Cover!$D$6,"fdd/view?i=",I54)</f>
        <v>https://www.dgiwg.org/FAD/fdd/view?i=101603</v>
      </c>
      <c r="K54" s="304" t="s">
        <v>34103</v>
      </c>
      <c r="L54" s="181">
        <v>5</v>
      </c>
      <c r="M54" s="179" t="s">
        <v>151</v>
      </c>
    </row>
    <row r="55" spans="1:13" ht="25.5">
      <c r="A55" s="313" t="str">
        <f t="shared" si="0"/>
        <v>AccessibleUtilityTypeCode_cableTelevision</v>
      </c>
      <c r="B55" s="332" t="str">
        <f>HYPERLINK("[#]Datatypes!A8:L8","AccessibleUtilityTypeCode")</f>
        <v>AccessibleUtilityTypeCode</v>
      </c>
      <c r="C55" s="333" t="s">
        <v>11419</v>
      </c>
      <c r="D55" s="202" t="s">
        <v>13341</v>
      </c>
      <c r="E55" s="203" t="s">
        <v>13342</v>
      </c>
      <c r="F55" s="204" t="s">
        <v>13343</v>
      </c>
      <c r="G55" s="205"/>
      <c r="H55" s="218"/>
      <c r="I55" s="169">
        <v>118052</v>
      </c>
      <c r="J55" s="304" t="str">
        <f>CONCATENATE([2]Cover!$D$6,"fdd/view?i=",I55)</f>
        <v>https://www.dgiwg.org/FAD/fdd/view?i=118052</v>
      </c>
      <c r="K55" s="304" t="s">
        <v>34104</v>
      </c>
      <c r="L55" s="202">
        <v>1</v>
      </c>
      <c r="M55" s="179" t="s">
        <v>151</v>
      </c>
    </row>
    <row r="56" spans="1:13" ht="25.5">
      <c r="A56" s="313" t="str">
        <f t="shared" si="0"/>
        <v>AccessibleUtilityTypeCode_coolingFluidCirculation</v>
      </c>
      <c r="B56" s="330"/>
      <c r="C56" s="334"/>
      <c r="D56" s="188" t="s">
        <v>13344</v>
      </c>
      <c r="E56" s="189" t="s">
        <v>13345</v>
      </c>
      <c r="F56" s="162" t="s">
        <v>13346</v>
      </c>
      <c r="G56" s="190"/>
      <c r="H56" s="219"/>
      <c r="I56" s="169">
        <v>118053</v>
      </c>
      <c r="J56" s="304" t="str">
        <f>CONCATENATE([2]Cover!$D$6,"fdd/view?i=",I56)</f>
        <v>https://www.dgiwg.org/FAD/fdd/view?i=118053</v>
      </c>
      <c r="K56" s="304" t="s">
        <v>34105</v>
      </c>
      <c r="L56" s="188">
        <v>2</v>
      </c>
      <c r="M56" s="179" t="s">
        <v>151</v>
      </c>
    </row>
    <row r="57" spans="1:13" ht="25.5">
      <c r="A57" s="313" t="str">
        <f t="shared" si="0"/>
        <v>AccessibleUtilityTypeCode_digitalFibreOpticSystem</v>
      </c>
      <c r="B57" s="330"/>
      <c r="C57" s="334"/>
      <c r="D57" s="188" t="s">
        <v>13347</v>
      </c>
      <c r="E57" s="189" t="s">
        <v>13348</v>
      </c>
      <c r="F57" s="162" t="s">
        <v>13349</v>
      </c>
      <c r="G57" s="190"/>
      <c r="H57" s="219"/>
      <c r="I57" s="169">
        <v>118054</v>
      </c>
      <c r="J57" s="304" t="str">
        <f>CONCATENATE([2]Cover!$D$6,"fdd/view?i=",I57)</f>
        <v>https://www.dgiwg.org/FAD/fdd/view?i=118054</v>
      </c>
      <c r="K57" s="304" t="s">
        <v>34106</v>
      </c>
      <c r="L57" s="188">
        <v>3</v>
      </c>
      <c r="M57" s="179" t="s">
        <v>151</v>
      </c>
    </row>
    <row r="58" spans="1:13" ht="25.5">
      <c r="A58" s="313" t="str">
        <f t="shared" si="0"/>
        <v>AccessibleUtilityTypeCode_electricPowerDistribution</v>
      </c>
      <c r="B58" s="330"/>
      <c r="C58" s="334"/>
      <c r="D58" s="188" t="s">
        <v>13350</v>
      </c>
      <c r="E58" s="189" t="s">
        <v>13351</v>
      </c>
      <c r="F58" s="162" t="s">
        <v>13352</v>
      </c>
      <c r="G58" s="190"/>
      <c r="H58" s="219"/>
      <c r="I58" s="169">
        <v>118055</v>
      </c>
      <c r="J58" s="304" t="str">
        <f>CONCATENATE([2]Cover!$D$6,"fdd/view?i=",I58)</f>
        <v>https://www.dgiwg.org/FAD/fdd/view?i=118055</v>
      </c>
      <c r="K58" s="304" t="s">
        <v>34107</v>
      </c>
      <c r="L58" s="188">
        <v>4</v>
      </c>
      <c r="M58" s="179" t="s">
        <v>151</v>
      </c>
    </row>
    <row r="59" spans="1:13" ht="25.5">
      <c r="A59" s="313" t="str">
        <f t="shared" si="0"/>
        <v>AccessibleUtilityTypeCode_heatingFluidCirculation</v>
      </c>
      <c r="B59" s="330"/>
      <c r="C59" s="334"/>
      <c r="D59" s="188" t="s">
        <v>13353</v>
      </c>
      <c r="E59" s="189" t="s">
        <v>13354</v>
      </c>
      <c r="F59" s="162" t="s">
        <v>13355</v>
      </c>
      <c r="G59" s="190"/>
      <c r="H59" s="219"/>
      <c r="I59" s="169">
        <v>118056</v>
      </c>
      <c r="J59" s="304" t="str">
        <f>CONCATENATE([2]Cover!$D$6,"fdd/view?i=",I59)</f>
        <v>https://www.dgiwg.org/FAD/fdd/view?i=118056</v>
      </c>
      <c r="K59" s="304" t="s">
        <v>34108</v>
      </c>
      <c r="L59" s="188">
        <v>5</v>
      </c>
      <c r="M59" s="179" t="s">
        <v>151</v>
      </c>
    </row>
    <row r="60" spans="1:13" ht="38.25">
      <c r="A60" s="313" t="str">
        <f t="shared" si="0"/>
        <v>AccessibleUtilityTypeCode_naturalGasDistribution</v>
      </c>
      <c r="B60" s="330"/>
      <c r="C60" s="334"/>
      <c r="D60" s="188" t="s">
        <v>13356</v>
      </c>
      <c r="E60" s="189" t="s">
        <v>13357</v>
      </c>
      <c r="F60" s="162" t="s">
        <v>13358</v>
      </c>
      <c r="G60" s="162" t="s">
        <v>13359</v>
      </c>
      <c r="H60" s="219"/>
      <c r="I60" s="169">
        <v>118057</v>
      </c>
      <c r="J60" s="304" t="str">
        <f>CONCATENATE([2]Cover!$D$6,"fdd/view?i=",I60)</f>
        <v>https://www.dgiwg.org/FAD/fdd/view?i=118057</v>
      </c>
      <c r="K60" s="304" t="s">
        <v>34109</v>
      </c>
      <c r="L60" s="188">
        <v>6</v>
      </c>
      <c r="M60" s="179" t="s">
        <v>151</v>
      </c>
    </row>
    <row r="61" spans="1:13" ht="25.5">
      <c r="A61" s="313" t="str">
        <f t="shared" si="0"/>
        <v>AccessibleUtilityTypeCode_sewage</v>
      </c>
      <c r="B61" s="330"/>
      <c r="C61" s="334"/>
      <c r="D61" s="188" t="s">
        <v>13360</v>
      </c>
      <c r="E61" s="189" t="s">
        <v>13361</v>
      </c>
      <c r="F61" s="162" t="s">
        <v>13362</v>
      </c>
      <c r="G61" s="190"/>
      <c r="H61" s="219"/>
      <c r="I61" s="169">
        <v>118058</v>
      </c>
      <c r="J61" s="304" t="str">
        <f>CONCATENATE([2]Cover!$D$6,"fdd/view?i=",I61)</f>
        <v>https://www.dgiwg.org/FAD/fdd/view?i=118058</v>
      </c>
      <c r="K61" s="304" t="s">
        <v>34110</v>
      </c>
      <c r="L61" s="188">
        <v>7</v>
      </c>
      <c r="M61" s="179" t="s">
        <v>151</v>
      </c>
    </row>
    <row r="62" spans="1:13" ht="25.5">
      <c r="A62" s="313" t="str">
        <f t="shared" si="0"/>
        <v>AccessibleUtilityTypeCode_stormSewer</v>
      </c>
      <c r="B62" s="330"/>
      <c r="C62" s="334"/>
      <c r="D62" s="188" t="s">
        <v>13363</v>
      </c>
      <c r="E62" s="189" t="s">
        <v>13364</v>
      </c>
      <c r="F62" s="162" t="s">
        <v>13365</v>
      </c>
      <c r="G62" s="190"/>
      <c r="H62" s="219"/>
      <c r="I62" s="169">
        <v>118059</v>
      </c>
      <c r="J62" s="304" t="str">
        <f>CONCATENATE([2]Cover!$D$6,"fdd/view?i=",I62)</f>
        <v>https://www.dgiwg.org/FAD/fdd/view?i=118059</v>
      </c>
      <c r="K62" s="304" t="s">
        <v>34111</v>
      </c>
      <c r="L62" s="188">
        <v>8</v>
      </c>
      <c r="M62" s="179" t="s">
        <v>151</v>
      </c>
    </row>
    <row r="63" spans="1:13" ht="25.5">
      <c r="A63" s="313" t="str">
        <f t="shared" si="0"/>
        <v>AccessibleUtilityTypeCode_streetLight</v>
      </c>
      <c r="B63" s="330"/>
      <c r="C63" s="334"/>
      <c r="D63" s="188" t="s">
        <v>13366</v>
      </c>
      <c r="E63" s="189" t="s">
        <v>4130</v>
      </c>
      <c r="F63" s="162" t="s">
        <v>13367</v>
      </c>
      <c r="G63" s="190"/>
      <c r="H63" s="219"/>
      <c r="I63" s="169">
        <v>118060</v>
      </c>
      <c r="J63" s="304" t="str">
        <f>CONCATENATE([2]Cover!$D$6,"fdd/view?i=",I63)</f>
        <v>https://www.dgiwg.org/FAD/fdd/view?i=118060</v>
      </c>
      <c r="K63" s="304" t="s">
        <v>34112</v>
      </c>
      <c r="L63" s="188">
        <v>9</v>
      </c>
      <c r="M63" s="179" t="s">
        <v>151</v>
      </c>
    </row>
    <row r="64" spans="1:13" ht="25.5">
      <c r="A64" s="313" t="str">
        <f t="shared" si="0"/>
        <v>AccessibleUtilityTypeCode_telegraph</v>
      </c>
      <c r="B64" s="330"/>
      <c r="C64" s="334"/>
      <c r="D64" s="188" t="s">
        <v>13368</v>
      </c>
      <c r="E64" s="189" t="s">
        <v>13369</v>
      </c>
      <c r="F64" s="162" t="s">
        <v>13370</v>
      </c>
      <c r="G64" s="190"/>
      <c r="H64" s="219"/>
      <c r="I64" s="169">
        <v>118061</v>
      </c>
      <c r="J64" s="304" t="str">
        <f>CONCATENATE([2]Cover!$D$6,"fdd/view?i=",I64)</f>
        <v>https://www.dgiwg.org/FAD/fdd/view?i=118061</v>
      </c>
      <c r="K64" s="304" t="s">
        <v>34113</v>
      </c>
      <c r="L64" s="188">
        <v>10</v>
      </c>
      <c r="M64" s="179" t="s">
        <v>151</v>
      </c>
    </row>
    <row r="65" spans="1:13" ht="51">
      <c r="A65" s="313" t="str">
        <f t="shared" si="0"/>
        <v>AccessibleUtilityTypeCode_telephone</v>
      </c>
      <c r="B65" s="330"/>
      <c r="C65" s="334"/>
      <c r="D65" s="188" t="s">
        <v>13371</v>
      </c>
      <c r="E65" s="189" t="s">
        <v>11848</v>
      </c>
      <c r="F65" s="162" t="s">
        <v>13372</v>
      </c>
      <c r="G65" s="162" t="s">
        <v>13373</v>
      </c>
      <c r="H65" s="219"/>
      <c r="I65" s="169">
        <v>118062</v>
      </c>
      <c r="J65" s="304" t="str">
        <f>CONCATENATE([2]Cover!$D$6,"fdd/view?i=",I65)</f>
        <v>https://www.dgiwg.org/FAD/fdd/view?i=118062</v>
      </c>
      <c r="K65" s="304" t="s">
        <v>34114</v>
      </c>
      <c r="L65" s="188">
        <v>11</v>
      </c>
      <c r="M65" s="179" t="s">
        <v>151</v>
      </c>
    </row>
    <row r="66" spans="1:13" ht="25.5">
      <c r="A66" s="313" t="str">
        <f t="shared" si="0"/>
        <v>AccessibleUtilityTypeCode_trafficLight</v>
      </c>
      <c r="B66" s="330"/>
      <c r="C66" s="334"/>
      <c r="D66" s="188" t="s">
        <v>13374</v>
      </c>
      <c r="E66" s="189" t="s">
        <v>4312</v>
      </c>
      <c r="F66" s="162" t="s">
        <v>13375</v>
      </c>
      <c r="G66" s="190"/>
      <c r="H66" s="219"/>
      <c r="I66" s="169">
        <v>118063</v>
      </c>
      <c r="J66" s="304" t="str">
        <f>CONCATENATE([2]Cover!$D$6,"fdd/view?i=",I66)</f>
        <v>https://www.dgiwg.org/FAD/fdd/view?i=118063</v>
      </c>
      <c r="K66" s="304" t="s">
        <v>34115</v>
      </c>
      <c r="L66" s="188">
        <v>12</v>
      </c>
      <c r="M66" s="179" t="s">
        <v>151</v>
      </c>
    </row>
    <row r="67" spans="1:13" ht="38.25">
      <c r="A67" s="313" t="str">
        <f t="shared" ref="A67:A130" si="1">HYPERLINK(J67,K67)</f>
        <v>AccessibleUtilityTypeCode_waterDistribution</v>
      </c>
      <c r="B67" s="331"/>
      <c r="C67" s="335"/>
      <c r="D67" s="181" t="s">
        <v>13376</v>
      </c>
      <c r="E67" s="192" t="s">
        <v>13377</v>
      </c>
      <c r="F67" s="193" t="s">
        <v>13378</v>
      </c>
      <c r="G67" s="194"/>
      <c r="H67" s="220"/>
      <c r="I67" s="169">
        <v>118064</v>
      </c>
      <c r="J67" s="304" t="str">
        <f>CONCATENATE([2]Cover!$D$6,"fdd/view?i=",I67)</f>
        <v>https://www.dgiwg.org/FAD/fdd/view?i=118064</v>
      </c>
      <c r="K67" s="304" t="s">
        <v>34116</v>
      </c>
      <c r="L67" s="181">
        <v>13</v>
      </c>
      <c r="M67" s="179" t="s">
        <v>151</v>
      </c>
    </row>
    <row r="68" spans="1:13" ht="25.5">
      <c r="A68" s="313" t="str">
        <f t="shared" si="1"/>
        <v>AccomodationTypeCode_resident</v>
      </c>
      <c r="B68" s="332" t="str">
        <f>HYPERLINK("[#]Datatypes!A10:L10","AccomodationTypeCode")</f>
        <v>AccomodationTypeCode</v>
      </c>
      <c r="C68" s="333" t="s">
        <v>11421</v>
      </c>
      <c r="D68" s="202" t="s">
        <v>13379</v>
      </c>
      <c r="E68" s="203" t="s">
        <v>13380</v>
      </c>
      <c r="F68" s="204" t="s">
        <v>13381</v>
      </c>
      <c r="G68" s="204" t="s">
        <v>13382</v>
      </c>
      <c r="H68" s="218"/>
      <c r="I68" s="169">
        <v>207703</v>
      </c>
      <c r="J68" s="304" t="str">
        <f>CONCATENATE([2]Cover!$D$6,"fdd/view?i=",I68)</f>
        <v>https://www.dgiwg.org/FAD/fdd/view?i=207703</v>
      </c>
      <c r="K68" s="304" t="s">
        <v>34117</v>
      </c>
      <c r="L68" s="202">
        <v>1</v>
      </c>
      <c r="M68" s="179" t="s">
        <v>1295</v>
      </c>
    </row>
    <row r="69" spans="1:13" ht="51">
      <c r="A69" s="313" t="str">
        <f t="shared" si="1"/>
        <v>AccomodationTypeCode_transient</v>
      </c>
      <c r="B69" s="331"/>
      <c r="C69" s="335"/>
      <c r="D69" s="181" t="s">
        <v>13383</v>
      </c>
      <c r="E69" s="192" t="s">
        <v>13384</v>
      </c>
      <c r="F69" s="193" t="s">
        <v>13385</v>
      </c>
      <c r="G69" s="193" t="s">
        <v>13386</v>
      </c>
      <c r="H69" s="220"/>
      <c r="I69" s="169">
        <v>207704</v>
      </c>
      <c r="J69" s="304" t="str">
        <f>CONCATENATE([2]Cover!$D$6,"fdd/view?i=",I69)</f>
        <v>https://www.dgiwg.org/FAD/fdd/view?i=207704</v>
      </c>
      <c r="K69" s="304" t="s">
        <v>34118</v>
      </c>
      <c r="L69" s="181">
        <v>2</v>
      </c>
      <c r="M69" s="179" t="s">
        <v>1295</v>
      </c>
    </row>
    <row r="70" spans="1:13" ht="38.25">
      <c r="A70" s="313" t="str">
        <f t="shared" si="1"/>
        <v>AdminDivisionCode_interSupranational</v>
      </c>
      <c r="B70" s="332" t="str">
        <f>HYPERLINK("[#]Datatypes!A22:L22","AdminDivisionCode")</f>
        <v>AdminDivisionCode</v>
      </c>
      <c r="C70" s="333" t="s">
        <v>11452</v>
      </c>
      <c r="D70" s="202" t="s">
        <v>13387</v>
      </c>
      <c r="E70" s="203" t="s">
        <v>13388</v>
      </c>
      <c r="F70" s="204" t="s">
        <v>13389</v>
      </c>
      <c r="G70" s="205"/>
      <c r="H70" s="218"/>
      <c r="I70" s="169">
        <v>202298</v>
      </c>
      <c r="J70" s="304" t="str">
        <f>CONCATENATE([2]Cover!$D$6,"fdd/view?i=",I70)</f>
        <v>https://www.dgiwg.org/FAD/fdd/view?i=202298</v>
      </c>
      <c r="K70" s="304" t="s">
        <v>34119</v>
      </c>
      <c r="L70" s="202">
        <v>1</v>
      </c>
      <c r="M70" s="179" t="s">
        <v>1295</v>
      </c>
    </row>
    <row r="71" spans="1:13" ht="25.5">
      <c r="A71" s="313" t="str">
        <f t="shared" si="1"/>
        <v>AdminDivisionCode_local</v>
      </c>
      <c r="B71" s="330"/>
      <c r="C71" s="334"/>
      <c r="D71" s="188" t="s">
        <v>13390</v>
      </c>
      <c r="E71" s="189" t="s">
        <v>13391</v>
      </c>
      <c r="F71" s="162" t="s">
        <v>13392</v>
      </c>
      <c r="G71" s="162" t="s">
        <v>13393</v>
      </c>
      <c r="H71" s="219"/>
      <c r="I71" s="169">
        <v>202301</v>
      </c>
      <c r="J71" s="304" t="str">
        <f>CONCATENATE([2]Cover!$D$6,"fdd/view?i=",I71)</f>
        <v>https://www.dgiwg.org/FAD/fdd/view?i=202301</v>
      </c>
      <c r="K71" s="304" t="s">
        <v>34120</v>
      </c>
      <c r="L71" s="188">
        <v>4</v>
      </c>
      <c r="M71" s="179" t="s">
        <v>1295</v>
      </c>
    </row>
    <row r="72" spans="1:13" ht="25.5">
      <c r="A72" s="313" t="str">
        <f t="shared" si="1"/>
        <v>AdminDivisionCode_municipal</v>
      </c>
      <c r="B72" s="330"/>
      <c r="C72" s="334"/>
      <c r="D72" s="188" t="s">
        <v>13394</v>
      </c>
      <c r="E72" s="189" t="s">
        <v>13395</v>
      </c>
      <c r="F72" s="162" t="s">
        <v>13396</v>
      </c>
      <c r="G72" s="162" t="s">
        <v>13397</v>
      </c>
      <c r="H72" s="219"/>
      <c r="I72" s="169">
        <v>202303</v>
      </c>
      <c r="J72" s="304" t="str">
        <f>CONCATENATE([2]Cover!$D$6,"fdd/view?i=",I72)</f>
        <v>https://www.dgiwg.org/FAD/fdd/view?i=202303</v>
      </c>
      <c r="K72" s="304" t="s">
        <v>34121</v>
      </c>
      <c r="L72" s="188">
        <v>6</v>
      </c>
      <c r="M72" s="179" t="s">
        <v>1295</v>
      </c>
    </row>
    <row r="73" spans="1:13" ht="25.5">
      <c r="A73" s="313" t="str">
        <f t="shared" si="1"/>
        <v>AdminDivisionCode_national</v>
      </c>
      <c r="B73" s="330"/>
      <c r="C73" s="334"/>
      <c r="D73" s="188" t="s">
        <v>13398</v>
      </c>
      <c r="E73" s="189" t="s">
        <v>13399</v>
      </c>
      <c r="F73" s="162" t="s">
        <v>13400</v>
      </c>
      <c r="G73" s="162" t="s">
        <v>13401</v>
      </c>
      <c r="H73" s="219"/>
      <c r="I73" s="169">
        <v>202299</v>
      </c>
      <c r="J73" s="304" t="str">
        <f>CONCATENATE([2]Cover!$D$6,"fdd/view?i=",I73)</f>
        <v>https://www.dgiwg.org/FAD/fdd/view?i=202299</v>
      </c>
      <c r="K73" s="304" t="s">
        <v>34122</v>
      </c>
      <c r="L73" s="188">
        <v>2</v>
      </c>
      <c r="M73" s="179" t="s">
        <v>1295</v>
      </c>
    </row>
    <row r="74" spans="1:13" ht="25.5">
      <c r="A74" s="313" t="str">
        <f t="shared" si="1"/>
        <v>AdminDivisionCode_sublocal</v>
      </c>
      <c r="B74" s="330"/>
      <c r="C74" s="334"/>
      <c r="D74" s="188" t="s">
        <v>13402</v>
      </c>
      <c r="E74" s="189" t="s">
        <v>13403</v>
      </c>
      <c r="F74" s="162" t="s">
        <v>13404</v>
      </c>
      <c r="G74" s="162" t="s">
        <v>13405</v>
      </c>
      <c r="H74" s="219"/>
      <c r="I74" s="169">
        <v>202302</v>
      </c>
      <c r="J74" s="304" t="str">
        <f>CONCATENATE([2]Cover!$D$6,"fdd/view?i=",I74)</f>
        <v>https://www.dgiwg.org/FAD/fdd/view?i=202302</v>
      </c>
      <c r="K74" s="304" t="s">
        <v>34123</v>
      </c>
      <c r="L74" s="188">
        <v>5</v>
      </c>
      <c r="M74" s="179" t="s">
        <v>1295</v>
      </c>
    </row>
    <row r="75" spans="1:13" ht="38.25">
      <c r="A75" s="313" t="str">
        <f t="shared" si="1"/>
        <v>AdminDivisionCode_subnational</v>
      </c>
      <c r="B75" s="331"/>
      <c r="C75" s="335"/>
      <c r="D75" s="181" t="s">
        <v>13406</v>
      </c>
      <c r="E75" s="192" t="s">
        <v>13407</v>
      </c>
      <c r="F75" s="193" t="s">
        <v>13408</v>
      </c>
      <c r="G75" s="193" t="s">
        <v>13409</v>
      </c>
      <c r="H75" s="220"/>
      <c r="I75" s="169">
        <v>202300</v>
      </c>
      <c r="J75" s="304" t="str">
        <f>CONCATENATE([2]Cover!$D$6,"fdd/view?i=",I75)</f>
        <v>https://www.dgiwg.org/FAD/fdd/view?i=202300</v>
      </c>
      <c r="K75" s="304" t="s">
        <v>34124</v>
      </c>
      <c r="L75" s="181">
        <v>3</v>
      </c>
      <c r="M75" s="179" t="s">
        <v>1295</v>
      </c>
    </row>
    <row r="76" spans="1:13" ht="38.25">
      <c r="A76" s="313" t="str">
        <f t="shared" si="1"/>
        <v>AerialRefuelReceiveChanCode_chan001X</v>
      </c>
      <c r="B76" s="332" t="str">
        <f>HYPERLINK("[#]Datatypes!A24:L24","AerialRefuelReceiveChanCode")</f>
        <v>AerialRefuelReceiveChanCode</v>
      </c>
      <c r="C76" s="333" t="s">
        <v>11454</v>
      </c>
      <c r="D76" s="202" t="s">
        <v>13705</v>
      </c>
      <c r="E76" s="203" t="s">
        <v>13706</v>
      </c>
      <c r="F76" s="204" t="s">
        <v>13707</v>
      </c>
      <c r="G76" s="204" t="s">
        <v>13413</v>
      </c>
      <c r="H76" s="218"/>
      <c r="I76" s="169">
        <v>116976</v>
      </c>
      <c r="J76" s="304" t="str">
        <f>CONCATENATE([2]Cover!$D$6,"fdd/view?i=",I76)</f>
        <v>https://www.dgiwg.org/FAD/fdd/view?i=116976</v>
      </c>
      <c r="K76" s="304" t="s">
        <v>34125</v>
      </c>
      <c r="L76" s="202">
        <v>1</v>
      </c>
      <c r="M76" s="179" t="s">
        <v>151</v>
      </c>
    </row>
    <row r="77" spans="1:13" ht="38.25">
      <c r="A77" s="313" t="str">
        <f t="shared" si="1"/>
        <v>AerialRefuelReceiveChanCode_chan001Y</v>
      </c>
      <c r="B77" s="330"/>
      <c r="C77" s="334"/>
      <c r="D77" s="188" t="s">
        <v>13708</v>
      </c>
      <c r="E77" s="189" t="s">
        <v>13709</v>
      </c>
      <c r="F77" s="162" t="s">
        <v>13710</v>
      </c>
      <c r="G77" s="162" t="s">
        <v>13413</v>
      </c>
      <c r="H77" s="219"/>
      <c r="I77" s="169">
        <v>116977</v>
      </c>
      <c r="J77" s="304" t="str">
        <f>CONCATENATE([2]Cover!$D$6,"fdd/view?i=",I77)</f>
        <v>https://www.dgiwg.org/FAD/fdd/view?i=116977</v>
      </c>
      <c r="K77" s="304" t="s">
        <v>34126</v>
      </c>
      <c r="L77" s="188">
        <v>2</v>
      </c>
      <c r="M77" s="179" t="s">
        <v>151</v>
      </c>
    </row>
    <row r="78" spans="1:13" ht="38.25">
      <c r="A78" s="313" t="str">
        <f t="shared" si="1"/>
        <v>AerialRefuelReceiveChanCode_chan002X</v>
      </c>
      <c r="B78" s="330"/>
      <c r="C78" s="334"/>
      <c r="D78" s="188" t="s">
        <v>13816</v>
      </c>
      <c r="E78" s="189" t="s">
        <v>13817</v>
      </c>
      <c r="F78" s="162" t="s">
        <v>13818</v>
      </c>
      <c r="G78" s="162" t="s">
        <v>13413</v>
      </c>
      <c r="H78" s="219"/>
      <c r="I78" s="169">
        <v>116978</v>
      </c>
      <c r="J78" s="304" t="str">
        <f>CONCATENATE([2]Cover!$D$6,"fdd/view?i=",I78)</f>
        <v>https://www.dgiwg.org/FAD/fdd/view?i=116978</v>
      </c>
      <c r="K78" s="304" t="s">
        <v>34127</v>
      </c>
      <c r="L78" s="188">
        <v>3</v>
      </c>
      <c r="M78" s="179" t="s">
        <v>151</v>
      </c>
    </row>
    <row r="79" spans="1:13" ht="38.25">
      <c r="A79" s="313" t="str">
        <f t="shared" si="1"/>
        <v>AerialRefuelReceiveChanCode_chan002Y</v>
      </c>
      <c r="B79" s="330"/>
      <c r="C79" s="334"/>
      <c r="D79" s="188" t="s">
        <v>13819</v>
      </c>
      <c r="E79" s="189" t="s">
        <v>13820</v>
      </c>
      <c r="F79" s="162" t="s">
        <v>13821</v>
      </c>
      <c r="G79" s="162" t="s">
        <v>13413</v>
      </c>
      <c r="H79" s="219"/>
      <c r="I79" s="169">
        <v>116979</v>
      </c>
      <c r="J79" s="304" t="str">
        <f>CONCATENATE([2]Cover!$D$6,"fdd/view?i=",I79)</f>
        <v>https://www.dgiwg.org/FAD/fdd/view?i=116979</v>
      </c>
      <c r="K79" s="304" t="s">
        <v>34128</v>
      </c>
      <c r="L79" s="188">
        <v>4</v>
      </c>
      <c r="M79" s="179" t="s">
        <v>151</v>
      </c>
    </row>
    <row r="80" spans="1:13" ht="38.25">
      <c r="A80" s="313" t="str">
        <f t="shared" si="1"/>
        <v>AerialRefuelReceiveChanCode_chan003X</v>
      </c>
      <c r="B80" s="330"/>
      <c r="C80" s="334"/>
      <c r="D80" s="188" t="s">
        <v>13927</v>
      </c>
      <c r="E80" s="189" t="s">
        <v>13928</v>
      </c>
      <c r="F80" s="162" t="s">
        <v>13929</v>
      </c>
      <c r="G80" s="162" t="s">
        <v>13413</v>
      </c>
      <c r="H80" s="219"/>
      <c r="I80" s="169">
        <v>116980</v>
      </c>
      <c r="J80" s="304" t="str">
        <f>CONCATENATE([2]Cover!$D$6,"fdd/view?i=",I80)</f>
        <v>https://www.dgiwg.org/FAD/fdd/view?i=116980</v>
      </c>
      <c r="K80" s="304" t="s">
        <v>34129</v>
      </c>
      <c r="L80" s="188">
        <v>5</v>
      </c>
      <c r="M80" s="179" t="s">
        <v>151</v>
      </c>
    </row>
    <row r="81" spans="1:13" ht="38.25">
      <c r="A81" s="313" t="str">
        <f t="shared" si="1"/>
        <v>AerialRefuelReceiveChanCode_chan003Y</v>
      </c>
      <c r="B81" s="330"/>
      <c r="C81" s="334"/>
      <c r="D81" s="188" t="s">
        <v>13930</v>
      </c>
      <c r="E81" s="189" t="s">
        <v>13931</v>
      </c>
      <c r="F81" s="162" t="s">
        <v>13932</v>
      </c>
      <c r="G81" s="162" t="s">
        <v>13413</v>
      </c>
      <c r="H81" s="219"/>
      <c r="I81" s="169">
        <v>116981</v>
      </c>
      <c r="J81" s="304" t="str">
        <f>CONCATENATE([2]Cover!$D$6,"fdd/view?i=",I81)</f>
        <v>https://www.dgiwg.org/FAD/fdd/view?i=116981</v>
      </c>
      <c r="K81" s="304" t="s">
        <v>34130</v>
      </c>
      <c r="L81" s="188">
        <v>6</v>
      </c>
      <c r="M81" s="179" t="s">
        <v>151</v>
      </c>
    </row>
    <row r="82" spans="1:13" ht="38.25">
      <c r="A82" s="313" t="str">
        <f t="shared" si="1"/>
        <v>AerialRefuelReceiveChanCode_chan004X</v>
      </c>
      <c r="B82" s="330"/>
      <c r="C82" s="334"/>
      <c r="D82" s="188" t="s">
        <v>14038</v>
      </c>
      <c r="E82" s="189" t="s">
        <v>14039</v>
      </c>
      <c r="F82" s="162" t="s">
        <v>14040</v>
      </c>
      <c r="G82" s="162" t="s">
        <v>13413</v>
      </c>
      <c r="H82" s="219"/>
      <c r="I82" s="169">
        <v>116982</v>
      </c>
      <c r="J82" s="304" t="str">
        <f>CONCATENATE([2]Cover!$D$6,"fdd/view?i=",I82)</f>
        <v>https://www.dgiwg.org/FAD/fdd/view?i=116982</v>
      </c>
      <c r="K82" s="304" t="s">
        <v>34131</v>
      </c>
      <c r="L82" s="188">
        <v>7</v>
      </c>
      <c r="M82" s="179" t="s">
        <v>151</v>
      </c>
    </row>
    <row r="83" spans="1:13" ht="38.25">
      <c r="A83" s="313" t="str">
        <f t="shared" si="1"/>
        <v>AerialRefuelReceiveChanCode_chan004Y</v>
      </c>
      <c r="B83" s="330"/>
      <c r="C83" s="334"/>
      <c r="D83" s="188" t="s">
        <v>14041</v>
      </c>
      <c r="E83" s="189" t="s">
        <v>14042</v>
      </c>
      <c r="F83" s="162" t="s">
        <v>14043</v>
      </c>
      <c r="G83" s="162" t="s">
        <v>13413</v>
      </c>
      <c r="H83" s="219"/>
      <c r="I83" s="169">
        <v>116983</v>
      </c>
      <c r="J83" s="304" t="str">
        <f>CONCATENATE([2]Cover!$D$6,"fdd/view?i=",I83)</f>
        <v>https://www.dgiwg.org/FAD/fdd/view?i=116983</v>
      </c>
      <c r="K83" s="304" t="s">
        <v>34132</v>
      </c>
      <c r="L83" s="188">
        <v>8</v>
      </c>
      <c r="M83" s="179" t="s">
        <v>151</v>
      </c>
    </row>
    <row r="84" spans="1:13" ht="38.25">
      <c r="A84" s="313" t="str">
        <f t="shared" si="1"/>
        <v>AerialRefuelReceiveChanCode_chan005X</v>
      </c>
      <c r="B84" s="330"/>
      <c r="C84" s="334"/>
      <c r="D84" s="188" t="s">
        <v>14137</v>
      </c>
      <c r="E84" s="189" t="s">
        <v>14138</v>
      </c>
      <c r="F84" s="162" t="s">
        <v>14139</v>
      </c>
      <c r="G84" s="162" t="s">
        <v>13413</v>
      </c>
      <c r="H84" s="219"/>
      <c r="I84" s="169">
        <v>116984</v>
      </c>
      <c r="J84" s="304" t="str">
        <f>CONCATENATE([2]Cover!$D$6,"fdd/view?i=",I84)</f>
        <v>https://www.dgiwg.org/FAD/fdd/view?i=116984</v>
      </c>
      <c r="K84" s="304" t="s">
        <v>34133</v>
      </c>
      <c r="L84" s="188">
        <v>9</v>
      </c>
      <c r="M84" s="179" t="s">
        <v>151</v>
      </c>
    </row>
    <row r="85" spans="1:13" ht="38.25">
      <c r="A85" s="313" t="str">
        <f t="shared" si="1"/>
        <v>AerialRefuelReceiveChanCode_chan005Y</v>
      </c>
      <c r="B85" s="330"/>
      <c r="C85" s="334"/>
      <c r="D85" s="188" t="s">
        <v>14140</v>
      </c>
      <c r="E85" s="189" t="s">
        <v>14141</v>
      </c>
      <c r="F85" s="162" t="s">
        <v>14142</v>
      </c>
      <c r="G85" s="162" t="s">
        <v>13413</v>
      </c>
      <c r="H85" s="219"/>
      <c r="I85" s="169">
        <v>116985</v>
      </c>
      <c r="J85" s="304" t="str">
        <f>CONCATENATE([2]Cover!$D$6,"fdd/view?i=",I85)</f>
        <v>https://www.dgiwg.org/FAD/fdd/view?i=116985</v>
      </c>
      <c r="K85" s="304" t="s">
        <v>34134</v>
      </c>
      <c r="L85" s="188">
        <v>10</v>
      </c>
      <c r="M85" s="179" t="s">
        <v>151</v>
      </c>
    </row>
    <row r="86" spans="1:13" ht="38.25">
      <c r="A86" s="313" t="str">
        <f t="shared" si="1"/>
        <v>AerialRefuelReceiveChanCode_chan006X</v>
      </c>
      <c r="B86" s="330"/>
      <c r="C86" s="334"/>
      <c r="D86" s="188" t="s">
        <v>14203</v>
      </c>
      <c r="E86" s="189" t="s">
        <v>14204</v>
      </c>
      <c r="F86" s="162" t="s">
        <v>14205</v>
      </c>
      <c r="G86" s="162" t="s">
        <v>13413</v>
      </c>
      <c r="H86" s="219"/>
      <c r="I86" s="169">
        <v>116986</v>
      </c>
      <c r="J86" s="304" t="str">
        <f>CONCATENATE([2]Cover!$D$6,"fdd/view?i=",I86)</f>
        <v>https://www.dgiwg.org/FAD/fdd/view?i=116986</v>
      </c>
      <c r="K86" s="304" t="s">
        <v>34135</v>
      </c>
      <c r="L86" s="188">
        <v>11</v>
      </c>
      <c r="M86" s="179" t="s">
        <v>151</v>
      </c>
    </row>
    <row r="87" spans="1:13" ht="38.25">
      <c r="A87" s="313" t="str">
        <f t="shared" si="1"/>
        <v>AerialRefuelReceiveChanCode_chan006Y</v>
      </c>
      <c r="B87" s="330"/>
      <c r="C87" s="334"/>
      <c r="D87" s="188" t="s">
        <v>14206</v>
      </c>
      <c r="E87" s="189" t="s">
        <v>14207</v>
      </c>
      <c r="F87" s="162" t="s">
        <v>14208</v>
      </c>
      <c r="G87" s="162" t="s">
        <v>13413</v>
      </c>
      <c r="H87" s="219"/>
      <c r="I87" s="169">
        <v>116987</v>
      </c>
      <c r="J87" s="304" t="str">
        <f>CONCATENATE([2]Cover!$D$6,"fdd/view?i=",I87)</f>
        <v>https://www.dgiwg.org/FAD/fdd/view?i=116987</v>
      </c>
      <c r="K87" s="304" t="s">
        <v>34136</v>
      </c>
      <c r="L87" s="188">
        <v>12</v>
      </c>
      <c r="M87" s="179" t="s">
        <v>151</v>
      </c>
    </row>
    <row r="88" spans="1:13" ht="38.25">
      <c r="A88" s="313" t="str">
        <f t="shared" si="1"/>
        <v>AerialRefuelReceiveChanCode_chan007X</v>
      </c>
      <c r="B88" s="330"/>
      <c r="C88" s="334"/>
      <c r="D88" s="188" t="s">
        <v>14269</v>
      </c>
      <c r="E88" s="189" t="s">
        <v>14270</v>
      </c>
      <c r="F88" s="162" t="s">
        <v>14271</v>
      </c>
      <c r="G88" s="162" t="s">
        <v>13413</v>
      </c>
      <c r="H88" s="219"/>
      <c r="I88" s="169">
        <v>116988</v>
      </c>
      <c r="J88" s="304" t="str">
        <f>CONCATENATE([2]Cover!$D$6,"fdd/view?i=",I88)</f>
        <v>https://www.dgiwg.org/FAD/fdd/view?i=116988</v>
      </c>
      <c r="K88" s="304" t="s">
        <v>34137</v>
      </c>
      <c r="L88" s="188">
        <v>13</v>
      </c>
      <c r="M88" s="179" t="s">
        <v>151</v>
      </c>
    </row>
    <row r="89" spans="1:13" ht="38.25">
      <c r="A89" s="313" t="str">
        <f t="shared" si="1"/>
        <v>AerialRefuelReceiveChanCode_chan007Y</v>
      </c>
      <c r="B89" s="330"/>
      <c r="C89" s="334"/>
      <c r="D89" s="188" t="s">
        <v>14272</v>
      </c>
      <c r="E89" s="189" t="s">
        <v>14273</v>
      </c>
      <c r="F89" s="162" t="s">
        <v>14274</v>
      </c>
      <c r="G89" s="162" t="s">
        <v>13413</v>
      </c>
      <c r="H89" s="219"/>
      <c r="I89" s="169">
        <v>116989</v>
      </c>
      <c r="J89" s="304" t="str">
        <f>CONCATENATE([2]Cover!$D$6,"fdd/view?i=",I89)</f>
        <v>https://www.dgiwg.org/FAD/fdd/view?i=116989</v>
      </c>
      <c r="K89" s="304" t="s">
        <v>34138</v>
      </c>
      <c r="L89" s="188">
        <v>14</v>
      </c>
      <c r="M89" s="179" t="s">
        <v>151</v>
      </c>
    </row>
    <row r="90" spans="1:13" ht="38.25">
      <c r="A90" s="313" t="str">
        <f t="shared" si="1"/>
        <v>AerialRefuelReceiveChanCode_chan008X</v>
      </c>
      <c r="B90" s="330"/>
      <c r="C90" s="334"/>
      <c r="D90" s="188" t="s">
        <v>14365</v>
      </c>
      <c r="E90" s="189" t="s">
        <v>14366</v>
      </c>
      <c r="F90" s="162" t="s">
        <v>14367</v>
      </c>
      <c r="G90" s="162" t="s">
        <v>13413</v>
      </c>
      <c r="H90" s="219"/>
      <c r="I90" s="169">
        <v>116990</v>
      </c>
      <c r="J90" s="304" t="str">
        <f>CONCATENATE([2]Cover!$D$6,"fdd/view?i=",I90)</f>
        <v>https://www.dgiwg.org/FAD/fdd/view?i=116990</v>
      </c>
      <c r="K90" s="304" t="s">
        <v>34139</v>
      </c>
      <c r="L90" s="188">
        <v>15</v>
      </c>
      <c r="M90" s="179" t="s">
        <v>151</v>
      </c>
    </row>
    <row r="91" spans="1:13" ht="38.25">
      <c r="A91" s="313" t="str">
        <f t="shared" si="1"/>
        <v>AerialRefuelReceiveChanCode_chan008Y</v>
      </c>
      <c r="B91" s="330"/>
      <c r="C91" s="334"/>
      <c r="D91" s="188" t="s">
        <v>14368</v>
      </c>
      <c r="E91" s="189" t="s">
        <v>14369</v>
      </c>
      <c r="F91" s="162" t="s">
        <v>14370</v>
      </c>
      <c r="G91" s="162" t="s">
        <v>13413</v>
      </c>
      <c r="H91" s="219"/>
      <c r="I91" s="169">
        <v>116991</v>
      </c>
      <c r="J91" s="304" t="str">
        <f>CONCATENATE([2]Cover!$D$6,"fdd/view?i=",I91)</f>
        <v>https://www.dgiwg.org/FAD/fdd/view?i=116991</v>
      </c>
      <c r="K91" s="304" t="s">
        <v>34140</v>
      </c>
      <c r="L91" s="188">
        <v>16</v>
      </c>
      <c r="M91" s="179" t="s">
        <v>151</v>
      </c>
    </row>
    <row r="92" spans="1:13" ht="38.25">
      <c r="A92" s="313" t="str">
        <f t="shared" si="1"/>
        <v>AerialRefuelReceiveChanCode_chan009X</v>
      </c>
      <c r="B92" s="330"/>
      <c r="C92" s="334"/>
      <c r="D92" s="188" t="s">
        <v>14461</v>
      </c>
      <c r="E92" s="189" t="s">
        <v>14462</v>
      </c>
      <c r="F92" s="162" t="s">
        <v>14463</v>
      </c>
      <c r="G92" s="162" t="s">
        <v>13413</v>
      </c>
      <c r="H92" s="219"/>
      <c r="I92" s="169">
        <v>116992</v>
      </c>
      <c r="J92" s="304" t="str">
        <f>CONCATENATE([2]Cover!$D$6,"fdd/view?i=",I92)</f>
        <v>https://www.dgiwg.org/FAD/fdd/view?i=116992</v>
      </c>
      <c r="K92" s="304" t="s">
        <v>34141</v>
      </c>
      <c r="L92" s="188">
        <v>17</v>
      </c>
      <c r="M92" s="179" t="s">
        <v>151</v>
      </c>
    </row>
    <row r="93" spans="1:13" ht="38.25">
      <c r="A93" s="313" t="str">
        <f t="shared" si="1"/>
        <v>AerialRefuelReceiveChanCode_chan009Y</v>
      </c>
      <c r="B93" s="330"/>
      <c r="C93" s="334"/>
      <c r="D93" s="188" t="s">
        <v>14464</v>
      </c>
      <c r="E93" s="189" t="s">
        <v>14465</v>
      </c>
      <c r="F93" s="162" t="s">
        <v>14466</v>
      </c>
      <c r="G93" s="162" t="s">
        <v>13413</v>
      </c>
      <c r="H93" s="219"/>
      <c r="I93" s="169">
        <v>116993</v>
      </c>
      <c r="J93" s="304" t="str">
        <f>CONCATENATE([2]Cover!$D$6,"fdd/view?i=",I93)</f>
        <v>https://www.dgiwg.org/FAD/fdd/view?i=116993</v>
      </c>
      <c r="K93" s="304" t="s">
        <v>34142</v>
      </c>
      <c r="L93" s="188">
        <v>18</v>
      </c>
      <c r="M93" s="179" t="s">
        <v>151</v>
      </c>
    </row>
    <row r="94" spans="1:13" ht="38.25">
      <c r="A94" s="313" t="str">
        <f t="shared" si="1"/>
        <v>AerialRefuelReceiveChanCode_chan010X</v>
      </c>
      <c r="B94" s="330"/>
      <c r="C94" s="334"/>
      <c r="D94" s="188" t="s">
        <v>13501</v>
      </c>
      <c r="E94" s="189" t="s">
        <v>13502</v>
      </c>
      <c r="F94" s="162" t="s">
        <v>13503</v>
      </c>
      <c r="G94" s="162" t="s">
        <v>13413</v>
      </c>
      <c r="H94" s="219"/>
      <c r="I94" s="169">
        <v>116994</v>
      </c>
      <c r="J94" s="304" t="str">
        <f>CONCATENATE([2]Cover!$D$6,"fdd/view?i=",I94)</f>
        <v>https://www.dgiwg.org/FAD/fdd/view?i=116994</v>
      </c>
      <c r="K94" s="304" t="s">
        <v>34143</v>
      </c>
      <c r="L94" s="188">
        <v>19</v>
      </c>
      <c r="M94" s="179" t="s">
        <v>151</v>
      </c>
    </row>
    <row r="95" spans="1:13" ht="38.25">
      <c r="A95" s="313" t="str">
        <f t="shared" si="1"/>
        <v>AerialRefuelReceiveChanCode_chan010Y</v>
      </c>
      <c r="B95" s="330"/>
      <c r="C95" s="334"/>
      <c r="D95" s="188" t="s">
        <v>13504</v>
      </c>
      <c r="E95" s="189" t="s">
        <v>13505</v>
      </c>
      <c r="F95" s="162" t="s">
        <v>13506</v>
      </c>
      <c r="G95" s="162" t="s">
        <v>13413</v>
      </c>
      <c r="H95" s="219"/>
      <c r="I95" s="169">
        <v>116995</v>
      </c>
      <c r="J95" s="304" t="str">
        <f>CONCATENATE([2]Cover!$D$6,"fdd/view?i=",I95)</f>
        <v>https://www.dgiwg.org/FAD/fdd/view?i=116995</v>
      </c>
      <c r="K95" s="304" t="s">
        <v>34144</v>
      </c>
      <c r="L95" s="188">
        <v>20</v>
      </c>
      <c r="M95" s="179" t="s">
        <v>151</v>
      </c>
    </row>
    <row r="96" spans="1:13" ht="38.25">
      <c r="A96" s="313" t="str">
        <f t="shared" si="1"/>
        <v>AerialRefuelReceiveChanCode_chan011X</v>
      </c>
      <c r="B96" s="330"/>
      <c r="C96" s="334"/>
      <c r="D96" s="188" t="s">
        <v>13597</v>
      </c>
      <c r="E96" s="189" t="s">
        <v>13598</v>
      </c>
      <c r="F96" s="162" t="s">
        <v>13599</v>
      </c>
      <c r="G96" s="162" t="s">
        <v>13413</v>
      </c>
      <c r="H96" s="219"/>
      <c r="I96" s="169">
        <v>116996</v>
      </c>
      <c r="J96" s="304" t="str">
        <f>CONCATENATE([2]Cover!$D$6,"fdd/view?i=",I96)</f>
        <v>https://www.dgiwg.org/FAD/fdd/view?i=116996</v>
      </c>
      <c r="K96" s="304" t="s">
        <v>34145</v>
      </c>
      <c r="L96" s="188">
        <v>21</v>
      </c>
      <c r="M96" s="179" t="s">
        <v>151</v>
      </c>
    </row>
    <row r="97" spans="1:13" ht="38.25">
      <c r="A97" s="313" t="str">
        <f t="shared" si="1"/>
        <v>AerialRefuelReceiveChanCode_chan011Y</v>
      </c>
      <c r="B97" s="330"/>
      <c r="C97" s="334"/>
      <c r="D97" s="188" t="s">
        <v>13600</v>
      </c>
      <c r="E97" s="189" t="s">
        <v>13601</v>
      </c>
      <c r="F97" s="162" t="s">
        <v>13602</v>
      </c>
      <c r="G97" s="162" t="s">
        <v>13413</v>
      </c>
      <c r="H97" s="219"/>
      <c r="I97" s="169">
        <v>116997</v>
      </c>
      <c r="J97" s="304" t="str">
        <f>CONCATENATE([2]Cover!$D$6,"fdd/view?i=",I97)</f>
        <v>https://www.dgiwg.org/FAD/fdd/view?i=116997</v>
      </c>
      <c r="K97" s="304" t="s">
        <v>34146</v>
      </c>
      <c r="L97" s="188">
        <v>22</v>
      </c>
      <c r="M97" s="179" t="s">
        <v>151</v>
      </c>
    </row>
    <row r="98" spans="1:13" ht="38.25">
      <c r="A98" s="313" t="str">
        <f t="shared" si="1"/>
        <v>AerialRefuelReceiveChanCode_chan012X</v>
      </c>
      <c r="B98" s="330"/>
      <c r="C98" s="334"/>
      <c r="D98" s="188" t="s">
        <v>13645</v>
      </c>
      <c r="E98" s="189" t="s">
        <v>13646</v>
      </c>
      <c r="F98" s="162" t="s">
        <v>13647</v>
      </c>
      <c r="G98" s="162" t="s">
        <v>13413</v>
      </c>
      <c r="H98" s="219"/>
      <c r="I98" s="169">
        <v>116998</v>
      </c>
      <c r="J98" s="304" t="str">
        <f>CONCATENATE([2]Cover!$D$6,"fdd/view?i=",I98)</f>
        <v>https://www.dgiwg.org/FAD/fdd/view?i=116998</v>
      </c>
      <c r="K98" s="304" t="s">
        <v>34147</v>
      </c>
      <c r="L98" s="188">
        <v>23</v>
      </c>
      <c r="M98" s="179" t="s">
        <v>151</v>
      </c>
    </row>
    <row r="99" spans="1:13" ht="38.25">
      <c r="A99" s="313" t="str">
        <f t="shared" si="1"/>
        <v>AerialRefuelReceiveChanCode_chan012Y</v>
      </c>
      <c r="B99" s="330"/>
      <c r="C99" s="334"/>
      <c r="D99" s="188" t="s">
        <v>13648</v>
      </c>
      <c r="E99" s="189" t="s">
        <v>13649</v>
      </c>
      <c r="F99" s="162" t="s">
        <v>13650</v>
      </c>
      <c r="G99" s="162" t="s">
        <v>13413</v>
      </c>
      <c r="H99" s="219"/>
      <c r="I99" s="169">
        <v>116999</v>
      </c>
      <c r="J99" s="304" t="str">
        <f>CONCATENATE([2]Cover!$D$6,"fdd/view?i=",I99)</f>
        <v>https://www.dgiwg.org/FAD/fdd/view?i=116999</v>
      </c>
      <c r="K99" s="304" t="s">
        <v>34148</v>
      </c>
      <c r="L99" s="188">
        <v>24</v>
      </c>
      <c r="M99" s="179" t="s">
        <v>151</v>
      </c>
    </row>
    <row r="100" spans="1:13" ht="38.25">
      <c r="A100" s="313" t="str">
        <f t="shared" si="1"/>
        <v>AerialRefuelReceiveChanCode_chan013X</v>
      </c>
      <c r="B100" s="330"/>
      <c r="C100" s="334"/>
      <c r="D100" s="188" t="s">
        <v>13651</v>
      </c>
      <c r="E100" s="189" t="s">
        <v>13652</v>
      </c>
      <c r="F100" s="162" t="s">
        <v>13653</v>
      </c>
      <c r="G100" s="162" t="s">
        <v>13413</v>
      </c>
      <c r="H100" s="219"/>
      <c r="I100" s="169">
        <v>117000</v>
      </c>
      <c r="J100" s="304" t="str">
        <f>CONCATENATE([2]Cover!$D$6,"fdd/view?i=",I100)</f>
        <v>https://www.dgiwg.org/FAD/fdd/view?i=117000</v>
      </c>
      <c r="K100" s="304" t="s">
        <v>34149</v>
      </c>
      <c r="L100" s="188">
        <v>25</v>
      </c>
      <c r="M100" s="179" t="s">
        <v>151</v>
      </c>
    </row>
    <row r="101" spans="1:13" ht="38.25">
      <c r="A101" s="313" t="str">
        <f t="shared" si="1"/>
        <v>AerialRefuelReceiveChanCode_chan013Y</v>
      </c>
      <c r="B101" s="330"/>
      <c r="C101" s="334"/>
      <c r="D101" s="188" t="s">
        <v>13654</v>
      </c>
      <c r="E101" s="189" t="s">
        <v>13655</v>
      </c>
      <c r="F101" s="162" t="s">
        <v>13656</v>
      </c>
      <c r="G101" s="162" t="s">
        <v>13413</v>
      </c>
      <c r="H101" s="219"/>
      <c r="I101" s="169">
        <v>117001</v>
      </c>
      <c r="J101" s="304" t="str">
        <f>CONCATENATE([2]Cover!$D$6,"fdd/view?i=",I101)</f>
        <v>https://www.dgiwg.org/FAD/fdd/view?i=117001</v>
      </c>
      <c r="K101" s="304" t="s">
        <v>34150</v>
      </c>
      <c r="L101" s="188">
        <v>26</v>
      </c>
      <c r="M101" s="179" t="s">
        <v>151</v>
      </c>
    </row>
    <row r="102" spans="1:13" ht="38.25">
      <c r="A102" s="313" t="str">
        <f t="shared" si="1"/>
        <v>AerialRefuelReceiveChanCode_chan014X</v>
      </c>
      <c r="B102" s="330"/>
      <c r="C102" s="334"/>
      <c r="D102" s="188" t="s">
        <v>13657</v>
      </c>
      <c r="E102" s="189" t="s">
        <v>13658</v>
      </c>
      <c r="F102" s="162" t="s">
        <v>13659</v>
      </c>
      <c r="G102" s="162" t="s">
        <v>13413</v>
      </c>
      <c r="H102" s="219"/>
      <c r="I102" s="169">
        <v>117002</v>
      </c>
      <c r="J102" s="304" t="str">
        <f>CONCATENATE([2]Cover!$D$6,"fdd/view?i=",I102)</f>
        <v>https://www.dgiwg.org/FAD/fdd/view?i=117002</v>
      </c>
      <c r="K102" s="304" t="s">
        <v>34151</v>
      </c>
      <c r="L102" s="188">
        <v>27</v>
      </c>
      <c r="M102" s="179" t="s">
        <v>151</v>
      </c>
    </row>
    <row r="103" spans="1:13" ht="38.25">
      <c r="A103" s="313" t="str">
        <f t="shared" si="1"/>
        <v>AerialRefuelReceiveChanCode_chan014Y</v>
      </c>
      <c r="B103" s="330"/>
      <c r="C103" s="334"/>
      <c r="D103" s="188" t="s">
        <v>13660</v>
      </c>
      <c r="E103" s="189" t="s">
        <v>13661</v>
      </c>
      <c r="F103" s="162" t="s">
        <v>13662</v>
      </c>
      <c r="G103" s="162" t="s">
        <v>13413</v>
      </c>
      <c r="H103" s="219"/>
      <c r="I103" s="169">
        <v>117003</v>
      </c>
      <c r="J103" s="304" t="str">
        <f>CONCATENATE([2]Cover!$D$6,"fdd/view?i=",I103)</f>
        <v>https://www.dgiwg.org/FAD/fdd/view?i=117003</v>
      </c>
      <c r="K103" s="304" t="s">
        <v>34152</v>
      </c>
      <c r="L103" s="188">
        <v>28</v>
      </c>
      <c r="M103" s="179" t="s">
        <v>151</v>
      </c>
    </row>
    <row r="104" spans="1:13" ht="38.25">
      <c r="A104" s="313" t="str">
        <f t="shared" si="1"/>
        <v>AerialRefuelReceiveChanCode_chan015X</v>
      </c>
      <c r="B104" s="330"/>
      <c r="C104" s="334"/>
      <c r="D104" s="188" t="s">
        <v>13663</v>
      </c>
      <c r="E104" s="189" t="s">
        <v>13664</v>
      </c>
      <c r="F104" s="162" t="s">
        <v>13665</v>
      </c>
      <c r="G104" s="162" t="s">
        <v>13413</v>
      </c>
      <c r="H104" s="219"/>
      <c r="I104" s="169">
        <v>117004</v>
      </c>
      <c r="J104" s="304" t="str">
        <f>CONCATENATE([2]Cover!$D$6,"fdd/view?i=",I104)</f>
        <v>https://www.dgiwg.org/FAD/fdd/view?i=117004</v>
      </c>
      <c r="K104" s="304" t="s">
        <v>34153</v>
      </c>
      <c r="L104" s="188">
        <v>29</v>
      </c>
      <c r="M104" s="179" t="s">
        <v>151</v>
      </c>
    </row>
    <row r="105" spans="1:13" ht="38.25">
      <c r="A105" s="313" t="str">
        <f t="shared" si="1"/>
        <v>AerialRefuelReceiveChanCode_chan015Y</v>
      </c>
      <c r="B105" s="330"/>
      <c r="C105" s="334"/>
      <c r="D105" s="188" t="s">
        <v>13666</v>
      </c>
      <c r="E105" s="189" t="s">
        <v>13667</v>
      </c>
      <c r="F105" s="162" t="s">
        <v>13668</v>
      </c>
      <c r="G105" s="162" t="s">
        <v>13413</v>
      </c>
      <c r="H105" s="219"/>
      <c r="I105" s="169">
        <v>117005</v>
      </c>
      <c r="J105" s="304" t="str">
        <f>CONCATENATE([2]Cover!$D$6,"fdd/view?i=",I105)</f>
        <v>https://www.dgiwg.org/FAD/fdd/view?i=117005</v>
      </c>
      <c r="K105" s="304" t="s">
        <v>34154</v>
      </c>
      <c r="L105" s="188">
        <v>30</v>
      </c>
      <c r="M105" s="179" t="s">
        <v>151</v>
      </c>
    </row>
    <row r="106" spans="1:13" ht="38.25">
      <c r="A106" s="313" t="str">
        <f t="shared" si="1"/>
        <v>AerialRefuelReceiveChanCode_chan016X</v>
      </c>
      <c r="B106" s="330"/>
      <c r="C106" s="334"/>
      <c r="D106" s="188" t="s">
        <v>13669</v>
      </c>
      <c r="E106" s="189" t="s">
        <v>13670</v>
      </c>
      <c r="F106" s="162" t="s">
        <v>13671</v>
      </c>
      <c r="G106" s="162" t="s">
        <v>13413</v>
      </c>
      <c r="H106" s="219"/>
      <c r="I106" s="169">
        <v>117006</v>
      </c>
      <c r="J106" s="304" t="str">
        <f>CONCATENATE([2]Cover!$D$6,"fdd/view?i=",I106)</f>
        <v>https://www.dgiwg.org/FAD/fdd/view?i=117006</v>
      </c>
      <c r="K106" s="304" t="s">
        <v>34155</v>
      </c>
      <c r="L106" s="188">
        <v>31</v>
      </c>
      <c r="M106" s="179" t="s">
        <v>151</v>
      </c>
    </row>
    <row r="107" spans="1:13" ht="38.25">
      <c r="A107" s="313" t="str">
        <f t="shared" si="1"/>
        <v>AerialRefuelReceiveChanCode_chan016Y</v>
      </c>
      <c r="B107" s="330"/>
      <c r="C107" s="334"/>
      <c r="D107" s="188" t="s">
        <v>13672</v>
      </c>
      <c r="E107" s="189" t="s">
        <v>13673</v>
      </c>
      <c r="F107" s="162" t="s">
        <v>13674</v>
      </c>
      <c r="G107" s="162" t="s">
        <v>13413</v>
      </c>
      <c r="H107" s="219"/>
      <c r="I107" s="169">
        <v>117007</v>
      </c>
      <c r="J107" s="304" t="str">
        <f>CONCATENATE([2]Cover!$D$6,"fdd/view?i=",I107)</f>
        <v>https://www.dgiwg.org/FAD/fdd/view?i=117007</v>
      </c>
      <c r="K107" s="304" t="s">
        <v>34156</v>
      </c>
      <c r="L107" s="188">
        <v>32</v>
      </c>
      <c r="M107" s="179" t="s">
        <v>151</v>
      </c>
    </row>
    <row r="108" spans="1:13" ht="38.25">
      <c r="A108" s="313" t="str">
        <f t="shared" si="1"/>
        <v>AerialRefuelReceiveChanCode_chan017X</v>
      </c>
      <c r="B108" s="330"/>
      <c r="C108" s="334"/>
      <c r="D108" s="188" t="s">
        <v>13675</v>
      </c>
      <c r="E108" s="189" t="s">
        <v>13676</v>
      </c>
      <c r="F108" s="162" t="s">
        <v>13677</v>
      </c>
      <c r="G108" s="162" t="s">
        <v>13413</v>
      </c>
      <c r="H108" s="219"/>
      <c r="I108" s="169">
        <v>117008</v>
      </c>
      <c r="J108" s="304" t="str">
        <f>CONCATENATE([2]Cover!$D$6,"fdd/view?i=",I108)</f>
        <v>https://www.dgiwg.org/FAD/fdd/view?i=117008</v>
      </c>
      <c r="K108" s="304" t="s">
        <v>34157</v>
      </c>
      <c r="L108" s="188">
        <v>33</v>
      </c>
      <c r="M108" s="179" t="s">
        <v>151</v>
      </c>
    </row>
    <row r="109" spans="1:13" ht="38.25">
      <c r="A109" s="313" t="str">
        <f t="shared" si="1"/>
        <v>AerialRefuelReceiveChanCode_chan017Y</v>
      </c>
      <c r="B109" s="330"/>
      <c r="C109" s="334"/>
      <c r="D109" s="188" t="s">
        <v>13678</v>
      </c>
      <c r="E109" s="189" t="s">
        <v>13679</v>
      </c>
      <c r="F109" s="162" t="s">
        <v>13680</v>
      </c>
      <c r="G109" s="162" t="s">
        <v>13413</v>
      </c>
      <c r="H109" s="219"/>
      <c r="I109" s="169">
        <v>117009</v>
      </c>
      <c r="J109" s="304" t="str">
        <f>CONCATENATE([2]Cover!$D$6,"fdd/view?i=",I109)</f>
        <v>https://www.dgiwg.org/FAD/fdd/view?i=117009</v>
      </c>
      <c r="K109" s="304" t="s">
        <v>34158</v>
      </c>
      <c r="L109" s="188">
        <v>34</v>
      </c>
      <c r="M109" s="179" t="s">
        <v>151</v>
      </c>
    </row>
    <row r="110" spans="1:13" ht="38.25">
      <c r="A110" s="313" t="str">
        <f t="shared" si="1"/>
        <v>AerialRefuelReceiveChanCode_chan017Z</v>
      </c>
      <c r="B110" s="330"/>
      <c r="C110" s="334"/>
      <c r="D110" s="188" t="s">
        <v>13681</v>
      </c>
      <c r="E110" s="189" t="s">
        <v>13682</v>
      </c>
      <c r="F110" s="162" t="s">
        <v>13683</v>
      </c>
      <c r="G110" s="162" t="s">
        <v>13413</v>
      </c>
      <c r="H110" s="219"/>
      <c r="I110" s="169">
        <v>117010</v>
      </c>
      <c r="J110" s="304" t="str">
        <f>CONCATENATE([2]Cover!$D$6,"fdd/view?i=",I110)</f>
        <v>https://www.dgiwg.org/FAD/fdd/view?i=117010</v>
      </c>
      <c r="K110" s="304" t="s">
        <v>34159</v>
      </c>
      <c r="L110" s="188">
        <v>35</v>
      </c>
      <c r="M110" s="179" t="s">
        <v>151</v>
      </c>
    </row>
    <row r="111" spans="1:13" ht="38.25">
      <c r="A111" s="313" t="str">
        <f t="shared" si="1"/>
        <v>AerialRefuelReceiveChanCode_chan018W</v>
      </c>
      <c r="B111" s="330"/>
      <c r="C111" s="334"/>
      <c r="D111" s="188" t="s">
        <v>13684</v>
      </c>
      <c r="E111" s="189" t="s">
        <v>13685</v>
      </c>
      <c r="F111" s="162" t="s">
        <v>13686</v>
      </c>
      <c r="G111" s="162" t="s">
        <v>13413</v>
      </c>
      <c r="H111" s="219"/>
      <c r="I111" s="169">
        <v>117011</v>
      </c>
      <c r="J111" s="304" t="str">
        <f>CONCATENATE([2]Cover!$D$6,"fdd/view?i=",I111)</f>
        <v>https://www.dgiwg.org/FAD/fdd/view?i=117011</v>
      </c>
      <c r="K111" s="304" t="s">
        <v>34160</v>
      </c>
      <c r="L111" s="188">
        <v>36</v>
      </c>
      <c r="M111" s="179" t="s">
        <v>151</v>
      </c>
    </row>
    <row r="112" spans="1:13" ht="38.25">
      <c r="A112" s="313" t="str">
        <f t="shared" si="1"/>
        <v>AerialRefuelReceiveChanCode_chan018X</v>
      </c>
      <c r="B112" s="330"/>
      <c r="C112" s="334"/>
      <c r="D112" s="188" t="s">
        <v>13687</v>
      </c>
      <c r="E112" s="189" t="s">
        <v>13688</v>
      </c>
      <c r="F112" s="162" t="s">
        <v>13689</v>
      </c>
      <c r="G112" s="162" t="s">
        <v>13413</v>
      </c>
      <c r="H112" s="219"/>
      <c r="I112" s="169">
        <v>117012</v>
      </c>
      <c r="J112" s="304" t="str">
        <f>CONCATENATE([2]Cover!$D$6,"fdd/view?i=",I112)</f>
        <v>https://www.dgiwg.org/FAD/fdd/view?i=117012</v>
      </c>
      <c r="K112" s="304" t="s">
        <v>34161</v>
      </c>
      <c r="L112" s="188">
        <v>37</v>
      </c>
      <c r="M112" s="179" t="s">
        <v>151</v>
      </c>
    </row>
    <row r="113" spans="1:13" ht="38.25">
      <c r="A113" s="313" t="str">
        <f t="shared" si="1"/>
        <v>AerialRefuelReceiveChanCode_chan018Y</v>
      </c>
      <c r="B113" s="330"/>
      <c r="C113" s="334"/>
      <c r="D113" s="188" t="s">
        <v>13690</v>
      </c>
      <c r="E113" s="189" t="s">
        <v>13691</v>
      </c>
      <c r="F113" s="162" t="s">
        <v>13692</v>
      </c>
      <c r="G113" s="162" t="s">
        <v>13413</v>
      </c>
      <c r="H113" s="219"/>
      <c r="I113" s="169">
        <v>117013</v>
      </c>
      <c r="J113" s="304" t="str">
        <f>CONCATENATE([2]Cover!$D$6,"fdd/view?i=",I113)</f>
        <v>https://www.dgiwg.org/FAD/fdd/view?i=117013</v>
      </c>
      <c r="K113" s="304" t="s">
        <v>34162</v>
      </c>
      <c r="L113" s="188">
        <v>38</v>
      </c>
      <c r="M113" s="179" t="s">
        <v>151</v>
      </c>
    </row>
    <row r="114" spans="1:13" ht="38.25">
      <c r="A114" s="313" t="str">
        <f t="shared" si="1"/>
        <v>AerialRefuelReceiveChanCode_chan018Z</v>
      </c>
      <c r="B114" s="330"/>
      <c r="C114" s="334"/>
      <c r="D114" s="188" t="s">
        <v>13693</v>
      </c>
      <c r="E114" s="189" t="s">
        <v>13694</v>
      </c>
      <c r="F114" s="162" t="s">
        <v>13695</v>
      </c>
      <c r="G114" s="162" t="s">
        <v>13413</v>
      </c>
      <c r="H114" s="219"/>
      <c r="I114" s="169">
        <v>117014</v>
      </c>
      <c r="J114" s="304" t="str">
        <f>CONCATENATE([2]Cover!$D$6,"fdd/view?i=",I114)</f>
        <v>https://www.dgiwg.org/FAD/fdd/view?i=117014</v>
      </c>
      <c r="K114" s="304" t="s">
        <v>34163</v>
      </c>
      <c r="L114" s="188">
        <v>39</v>
      </c>
      <c r="M114" s="179" t="s">
        <v>151</v>
      </c>
    </row>
    <row r="115" spans="1:13" ht="38.25">
      <c r="A115" s="313" t="str">
        <f t="shared" si="1"/>
        <v>AerialRefuelReceiveChanCode_chan019X</v>
      </c>
      <c r="B115" s="330"/>
      <c r="C115" s="334"/>
      <c r="D115" s="188" t="s">
        <v>13696</v>
      </c>
      <c r="E115" s="189" t="s">
        <v>13697</v>
      </c>
      <c r="F115" s="162" t="s">
        <v>13698</v>
      </c>
      <c r="G115" s="162" t="s">
        <v>13413</v>
      </c>
      <c r="H115" s="219"/>
      <c r="I115" s="169">
        <v>117015</v>
      </c>
      <c r="J115" s="304" t="str">
        <f>CONCATENATE([2]Cover!$D$6,"fdd/view?i=",I115)</f>
        <v>https://www.dgiwg.org/FAD/fdd/view?i=117015</v>
      </c>
      <c r="K115" s="304" t="s">
        <v>34164</v>
      </c>
      <c r="L115" s="188">
        <v>40</v>
      </c>
      <c r="M115" s="179" t="s">
        <v>151</v>
      </c>
    </row>
    <row r="116" spans="1:13" ht="38.25">
      <c r="A116" s="313" t="str">
        <f t="shared" si="1"/>
        <v>AerialRefuelReceiveChanCode_chan019Y</v>
      </c>
      <c r="B116" s="330"/>
      <c r="C116" s="334"/>
      <c r="D116" s="188" t="s">
        <v>13699</v>
      </c>
      <c r="E116" s="189" t="s">
        <v>13700</v>
      </c>
      <c r="F116" s="162" t="s">
        <v>13701</v>
      </c>
      <c r="G116" s="162" t="s">
        <v>13413</v>
      </c>
      <c r="H116" s="219"/>
      <c r="I116" s="169">
        <v>117016</v>
      </c>
      <c r="J116" s="304" t="str">
        <f>CONCATENATE([2]Cover!$D$6,"fdd/view?i=",I116)</f>
        <v>https://www.dgiwg.org/FAD/fdd/view?i=117016</v>
      </c>
      <c r="K116" s="304" t="s">
        <v>34165</v>
      </c>
      <c r="L116" s="188">
        <v>41</v>
      </c>
      <c r="M116" s="179" t="s">
        <v>151</v>
      </c>
    </row>
    <row r="117" spans="1:13" ht="38.25">
      <c r="A117" s="313" t="str">
        <f t="shared" si="1"/>
        <v>AerialRefuelReceiveChanCode_chan019Z</v>
      </c>
      <c r="B117" s="330"/>
      <c r="C117" s="334"/>
      <c r="D117" s="188" t="s">
        <v>13702</v>
      </c>
      <c r="E117" s="189" t="s">
        <v>13703</v>
      </c>
      <c r="F117" s="162" t="s">
        <v>13704</v>
      </c>
      <c r="G117" s="162" t="s">
        <v>13413</v>
      </c>
      <c r="H117" s="219"/>
      <c r="I117" s="169">
        <v>117017</v>
      </c>
      <c r="J117" s="304" t="str">
        <f>CONCATENATE([2]Cover!$D$6,"fdd/view?i=",I117)</f>
        <v>https://www.dgiwg.org/FAD/fdd/view?i=117017</v>
      </c>
      <c r="K117" s="304" t="s">
        <v>34166</v>
      </c>
      <c r="L117" s="188">
        <v>42</v>
      </c>
      <c r="M117" s="179" t="s">
        <v>151</v>
      </c>
    </row>
    <row r="118" spans="1:13" ht="38.25">
      <c r="A118" s="313" t="str">
        <f t="shared" si="1"/>
        <v>AerialRefuelReceiveChanCode_chan020W</v>
      </c>
      <c r="B118" s="330"/>
      <c r="C118" s="334"/>
      <c r="D118" s="188" t="s">
        <v>13711</v>
      </c>
      <c r="E118" s="189" t="s">
        <v>13712</v>
      </c>
      <c r="F118" s="162" t="s">
        <v>13713</v>
      </c>
      <c r="G118" s="162" t="s">
        <v>13413</v>
      </c>
      <c r="H118" s="219"/>
      <c r="I118" s="169">
        <v>117018</v>
      </c>
      <c r="J118" s="304" t="str">
        <f>CONCATENATE([2]Cover!$D$6,"fdd/view?i=",I118)</f>
        <v>https://www.dgiwg.org/FAD/fdd/view?i=117018</v>
      </c>
      <c r="K118" s="304" t="s">
        <v>34167</v>
      </c>
      <c r="L118" s="188">
        <v>43</v>
      </c>
      <c r="M118" s="179" t="s">
        <v>151</v>
      </c>
    </row>
    <row r="119" spans="1:13" ht="38.25">
      <c r="A119" s="313" t="str">
        <f t="shared" si="1"/>
        <v>AerialRefuelReceiveChanCode_chan020X</v>
      </c>
      <c r="B119" s="330"/>
      <c r="C119" s="334"/>
      <c r="D119" s="188" t="s">
        <v>13714</v>
      </c>
      <c r="E119" s="189" t="s">
        <v>13715</v>
      </c>
      <c r="F119" s="162" t="s">
        <v>13716</v>
      </c>
      <c r="G119" s="162" t="s">
        <v>13413</v>
      </c>
      <c r="H119" s="219"/>
      <c r="I119" s="169">
        <v>117019</v>
      </c>
      <c r="J119" s="304" t="str">
        <f>CONCATENATE([2]Cover!$D$6,"fdd/view?i=",I119)</f>
        <v>https://www.dgiwg.org/FAD/fdd/view?i=117019</v>
      </c>
      <c r="K119" s="304" t="s">
        <v>34168</v>
      </c>
      <c r="L119" s="188">
        <v>44</v>
      </c>
      <c r="M119" s="179" t="s">
        <v>151</v>
      </c>
    </row>
    <row r="120" spans="1:13" ht="38.25">
      <c r="A120" s="313" t="str">
        <f t="shared" si="1"/>
        <v>AerialRefuelReceiveChanCode_chan020Y</v>
      </c>
      <c r="B120" s="330"/>
      <c r="C120" s="334"/>
      <c r="D120" s="188" t="s">
        <v>13717</v>
      </c>
      <c r="E120" s="189" t="s">
        <v>13718</v>
      </c>
      <c r="F120" s="162" t="s">
        <v>13719</v>
      </c>
      <c r="G120" s="162" t="s">
        <v>13413</v>
      </c>
      <c r="H120" s="219"/>
      <c r="I120" s="169">
        <v>117020</v>
      </c>
      <c r="J120" s="304" t="str">
        <f>CONCATENATE([2]Cover!$D$6,"fdd/view?i=",I120)</f>
        <v>https://www.dgiwg.org/FAD/fdd/view?i=117020</v>
      </c>
      <c r="K120" s="304" t="s">
        <v>34169</v>
      </c>
      <c r="L120" s="188">
        <v>45</v>
      </c>
      <c r="M120" s="179" t="s">
        <v>151</v>
      </c>
    </row>
    <row r="121" spans="1:13" ht="38.25">
      <c r="A121" s="313" t="str">
        <f t="shared" si="1"/>
        <v>AerialRefuelReceiveChanCode_chan020Z</v>
      </c>
      <c r="B121" s="330"/>
      <c r="C121" s="334"/>
      <c r="D121" s="188" t="s">
        <v>13720</v>
      </c>
      <c r="E121" s="189" t="s">
        <v>13721</v>
      </c>
      <c r="F121" s="162" t="s">
        <v>13722</v>
      </c>
      <c r="G121" s="162" t="s">
        <v>13413</v>
      </c>
      <c r="H121" s="219"/>
      <c r="I121" s="169">
        <v>117021</v>
      </c>
      <c r="J121" s="304" t="str">
        <f>CONCATENATE([2]Cover!$D$6,"fdd/view?i=",I121)</f>
        <v>https://www.dgiwg.org/FAD/fdd/view?i=117021</v>
      </c>
      <c r="K121" s="304" t="s">
        <v>34170</v>
      </c>
      <c r="L121" s="188">
        <v>46</v>
      </c>
      <c r="M121" s="179" t="s">
        <v>151</v>
      </c>
    </row>
    <row r="122" spans="1:13" ht="38.25">
      <c r="A122" s="313" t="str">
        <f t="shared" si="1"/>
        <v>AerialRefuelReceiveChanCode_chan021X</v>
      </c>
      <c r="B122" s="330"/>
      <c r="C122" s="334"/>
      <c r="D122" s="188" t="s">
        <v>13723</v>
      </c>
      <c r="E122" s="189" t="s">
        <v>13724</v>
      </c>
      <c r="F122" s="162" t="s">
        <v>13725</v>
      </c>
      <c r="G122" s="162" t="s">
        <v>13413</v>
      </c>
      <c r="H122" s="219"/>
      <c r="I122" s="169">
        <v>117022</v>
      </c>
      <c r="J122" s="304" t="str">
        <f>CONCATENATE([2]Cover!$D$6,"fdd/view?i=",I122)</f>
        <v>https://www.dgiwg.org/FAD/fdd/view?i=117022</v>
      </c>
      <c r="K122" s="304" t="s">
        <v>34171</v>
      </c>
      <c r="L122" s="188">
        <v>47</v>
      </c>
      <c r="M122" s="179" t="s">
        <v>151</v>
      </c>
    </row>
    <row r="123" spans="1:13" ht="38.25">
      <c r="A123" s="313" t="str">
        <f t="shared" si="1"/>
        <v>AerialRefuelReceiveChanCode_chan021Y</v>
      </c>
      <c r="B123" s="330"/>
      <c r="C123" s="334"/>
      <c r="D123" s="188" t="s">
        <v>13726</v>
      </c>
      <c r="E123" s="189" t="s">
        <v>13727</v>
      </c>
      <c r="F123" s="162" t="s">
        <v>13728</v>
      </c>
      <c r="G123" s="162" t="s">
        <v>13413</v>
      </c>
      <c r="H123" s="219"/>
      <c r="I123" s="169">
        <v>117023</v>
      </c>
      <c r="J123" s="304" t="str">
        <f>CONCATENATE([2]Cover!$D$6,"fdd/view?i=",I123)</f>
        <v>https://www.dgiwg.org/FAD/fdd/view?i=117023</v>
      </c>
      <c r="K123" s="304" t="s">
        <v>34172</v>
      </c>
      <c r="L123" s="188">
        <v>48</v>
      </c>
      <c r="M123" s="179" t="s">
        <v>151</v>
      </c>
    </row>
    <row r="124" spans="1:13" ht="38.25">
      <c r="A124" s="313" t="str">
        <f t="shared" si="1"/>
        <v>AerialRefuelReceiveChanCode_chan021Z</v>
      </c>
      <c r="B124" s="330"/>
      <c r="C124" s="334"/>
      <c r="D124" s="188" t="s">
        <v>13729</v>
      </c>
      <c r="E124" s="189" t="s">
        <v>13730</v>
      </c>
      <c r="F124" s="162" t="s">
        <v>13731</v>
      </c>
      <c r="G124" s="162" t="s">
        <v>13413</v>
      </c>
      <c r="H124" s="219"/>
      <c r="I124" s="169">
        <v>117024</v>
      </c>
      <c r="J124" s="304" t="str">
        <f>CONCATENATE([2]Cover!$D$6,"fdd/view?i=",I124)</f>
        <v>https://www.dgiwg.org/FAD/fdd/view?i=117024</v>
      </c>
      <c r="K124" s="304" t="s">
        <v>34173</v>
      </c>
      <c r="L124" s="188">
        <v>49</v>
      </c>
      <c r="M124" s="179" t="s">
        <v>151</v>
      </c>
    </row>
    <row r="125" spans="1:13" ht="38.25">
      <c r="A125" s="313" t="str">
        <f t="shared" si="1"/>
        <v>AerialRefuelReceiveChanCode_chan022W</v>
      </c>
      <c r="B125" s="330"/>
      <c r="C125" s="334"/>
      <c r="D125" s="188" t="s">
        <v>13732</v>
      </c>
      <c r="E125" s="189" t="s">
        <v>13733</v>
      </c>
      <c r="F125" s="162" t="s">
        <v>13734</v>
      </c>
      <c r="G125" s="162" t="s">
        <v>13413</v>
      </c>
      <c r="H125" s="219"/>
      <c r="I125" s="169">
        <v>117025</v>
      </c>
      <c r="J125" s="304" t="str">
        <f>CONCATENATE([2]Cover!$D$6,"fdd/view?i=",I125)</f>
        <v>https://www.dgiwg.org/FAD/fdd/view?i=117025</v>
      </c>
      <c r="K125" s="304" t="s">
        <v>34174</v>
      </c>
      <c r="L125" s="188">
        <v>50</v>
      </c>
      <c r="M125" s="179" t="s">
        <v>151</v>
      </c>
    </row>
    <row r="126" spans="1:13" ht="38.25">
      <c r="A126" s="313" t="str">
        <f t="shared" si="1"/>
        <v>AerialRefuelReceiveChanCode_chan022X</v>
      </c>
      <c r="B126" s="330"/>
      <c r="C126" s="334"/>
      <c r="D126" s="188" t="s">
        <v>13735</v>
      </c>
      <c r="E126" s="189" t="s">
        <v>13736</v>
      </c>
      <c r="F126" s="162" t="s">
        <v>13737</v>
      </c>
      <c r="G126" s="162" t="s">
        <v>13413</v>
      </c>
      <c r="H126" s="219"/>
      <c r="I126" s="169">
        <v>117026</v>
      </c>
      <c r="J126" s="304" t="str">
        <f>CONCATENATE([2]Cover!$D$6,"fdd/view?i=",I126)</f>
        <v>https://www.dgiwg.org/FAD/fdd/view?i=117026</v>
      </c>
      <c r="K126" s="304" t="s">
        <v>34175</v>
      </c>
      <c r="L126" s="188">
        <v>51</v>
      </c>
      <c r="M126" s="179" t="s">
        <v>151</v>
      </c>
    </row>
    <row r="127" spans="1:13" ht="38.25">
      <c r="A127" s="313" t="str">
        <f t="shared" si="1"/>
        <v>AerialRefuelReceiveChanCode_chan022Y</v>
      </c>
      <c r="B127" s="330"/>
      <c r="C127" s="334"/>
      <c r="D127" s="188" t="s">
        <v>13738</v>
      </c>
      <c r="E127" s="189" t="s">
        <v>13739</v>
      </c>
      <c r="F127" s="162" t="s">
        <v>13740</v>
      </c>
      <c r="G127" s="162" t="s">
        <v>13413</v>
      </c>
      <c r="H127" s="219"/>
      <c r="I127" s="169">
        <v>117027</v>
      </c>
      <c r="J127" s="304" t="str">
        <f>CONCATENATE([2]Cover!$D$6,"fdd/view?i=",I127)</f>
        <v>https://www.dgiwg.org/FAD/fdd/view?i=117027</v>
      </c>
      <c r="K127" s="304" t="s">
        <v>34176</v>
      </c>
      <c r="L127" s="188">
        <v>52</v>
      </c>
      <c r="M127" s="179" t="s">
        <v>151</v>
      </c>
    </row>
    <row r="128" spans="1:13" ht="38.25">
      <c r="A128" s="313" t="str">
        <f t="shared" si="1"/>
        <v>AerialRefuelReceiveChanCode_chan022Z</v>
      </c>
      <c r="B128" s="330"/>
      <c r="C128" s="334"/>
      <c r="D128" s="188" t="s">
        <v>13741</v>
      </c>
      <c r="E128" s="189" t="s">
        <v>13742</v>
      </c>
      <c r="F128" s="162" t="s">
        <v>13743</v>
      </c>
      <c r="G128" s="162" t="s">
        <v>13413</v>
      </c>
      <c r="H128" s="219"/>
      <c r="I128" s="169">
        <v>117028</v>
      </c>
      <c r="J128" s="304" t="str">
        <f>CONCATENATE([2]Cover!$D$6,"fdd/view?i=",I128)</f>
        <v>https://www.dgiwg.org/FAD/fdd/view?i=117028</v>
      </c>
      <c r="K128" s="304" t="s">
        <v>34177</v>
      </c>
      <c r="L128" s="188">
        <v>53</v>
      </c>
      <c r="M128" s="179" t="s">
        <v>151</v>
      </c>
    </row>
    <row r="129" spans="1:13" ht="38.25">
      <c r="A129" s="313" t="str">
        <f t="shared" si="1"/>
        <v>AerialRefuelReceiveChanCode_chan023X</v>
      </c>
      <c r="B129" s="330"/>
      <c r="C129" s="334"/>
      <c r="D129" s="188" t="s">
        <v>13744</v>
      </c>
      <c r="E129" s="189" t="s">
        <v>13745</v>
      </c>
      <c r="F129" s="162" t="s">
        <v>13746</v>
      </c>
      <c r="G129" s="162" t="s">
        <v>13413</v>
      </c>
      <c r="H129" s="219"/>
      <c r="I129" s="169">
        <v>117029</v>
      </c>
      <c r="J129" s="304" t="str">
        <f>CONCATENATE([2]Cover!$D$6,"fdd/view?i=",I129)</f>
        <v>https://www.dgiwg.org/FAD/fdd/view?i=117029</v>
      </c>
      <c r="K129" s="304" t="s">
        <v>34178</v>
      </c>
      <c r="L129" s="188">
        <v>54</v>
      </c>
      <c r="M129" s="179" t="s">
        <v>151</v>
      </c>
    </row>
    <row r="130" spans="1:13" ht="38.25">
      <c r="A130" s="313" t="str">
        <f t="shared" si="1"/>
        <v>AerialRefuelReceiveChanCode_chan023Y</v>
      </c>
      <c r="B130" s="330"/>
      <c r="C130" s="334"/>
      <c r="D130" s="188" t="s">
        <v>13747</v>
      </c>
      <c r="E130" s="189" t="s">
        <v>13748</v>
      </c>
      <c r="F130" s="162" t="s">
        <v>13749</v>
      </c>
      <c r="G130" s="162" t="s">
        <v>13413</v>
      </c>
      <c r="H130" s="219"/>
      <c r="I130" s="169">
        <v>117030</v>
      </c>
      <c r="J130" s="304" t="str">
        <f>CONCATENATE([2]Cover!$D$6,"fdd/view?i=",I130)</f>
        <v>https://www.dgiwg.org/FAD/fdd/view?i=117030</v>
      </c>
      <c r="K130" s="304" t="s">
        <v>34179</v>
      </c>
      <c r="L130" s="188">
        <v>55</v>
      </c>
      <c r="M130" s="179" t="s">
        <v>151</v>
      </c>
    </row>
    <row r="131" spans="1:13" ht="38.25">
      <c r="A131" s="313" t="str">
        <f t="shared" ref="A131:A194" si="2">HYPERLINK(J131,K131)</f>
        <v>AerialRefuelReceiveChanCode_chan023Z</v>
      </c>
      <c r="B131" s="330"/>
      <c r="C131" s="334"/>
      <c r="D131" s="188" t="s">
        <v>13750</v>
      </c>
      <c r="E131" s="189" t="s">
        <v>13751</v>
      </c>
      <c r="F131" s="162" t="s">
        <v>13752</v>
      </c>
      <c r="G131" s="162" t="s">
        <v>13413</v>
      </c>
      <c r="H131" s="219"/>
      <c r="I131" s="169">
        <v>117031</v>
      </c>
      <c r="J131" s="304" t="str">
        <f>CONCATENATE([2]Cover!$D$6,"fdd/view?i=",I131)</f>
        <v>https://www.dgiwg.org/FAD/fdd/view?i=117031</v>
      </c>
      <c r="K131" s="304" t="s">
        <v>34180</v>
      </c>
      <c r="L131" s="188">
        <v>56</v>
      </c>
      <c r="M131" s="179" t="s">
        <v>151</v>
      </c>
    </row>
    <row r="132" spans="1:13" ht="38.25">
      <c r="A132" s="313" t="str">
        <f t="shared" si="2"/>
        <v>AerialRefuelReceiveChanCode_chan024W</v>
      </c>
      <c r="B132" s="330"/>
      <c r="C132" s="334"/>
      <c r="D132" s="188" t="s">
        <v>13753</v>
      </c>
      <c r="E132" s="189" t="s">
        <v>13754</v>
      </c>
      <c r="F132" s="162" t="s">
        <v>13755</v>
      </c>
      <c r="G132" s="162" t="s">
        <v>13413</v>
      </c>
      <c r="H132" s="219"/>
      <c r="I132" s="169">
        <v>117032</v>
      </c>
      <c r="J132" s="304" t="str">
        <f>CONCATENATE([2]Cover!$D$6,"fdd/view?i=",I132)</f>
        <v>https://www.dgiwg.org/FAD/fdd/view?i=117032</v>
      </c>
      <c r="K132" s="304" t="s">
        <v>34181</v>
      </c>
      <c r="L132" s="188">
        <v>57</v>
      </c>
      <c r="M132" s="179" t="s">
        <v>151</v>
      </c>
    </row>
    <row r="133" spans="1:13" ht="38.25">
      <c r="A133" s="313" t="str">
        <f t="shared" si="2"/>
        <v>AerialRefuelReceiveChanCode_chan024X</v>
      </c>
      <c r="B133" s="330"/>
      <c r="C133" s="334"/>
      <c r="D133" s="188" t="s">
        <v>13756</v>
      </c>
      <c r="E133" s="189" t="s">
        <v>13757</v>
      </c>
      <c r="F133" s="162" t="s">
        <v>13758</v>
      </c>
      <c r="G133" s="162" t="s">
        <v>13413</v>
      </c>
      <c r="H133" s="219"/>
      <c r="I133" s="169">
        <v>117033</v>
      </c>
      <c r="J133" s="304" t="str">
        <f>CONCATENATE([2]Cover!$D$6,"fdd/view?i=",I133)</f>
        <v>https://www.dgiwg.org/FAD/fdd/view?i=117033</v>
      </c>
      <c r="K133" s="304" t="s">
        <v>34182</v>
      </c>
      <c r="L133" s="188">
        <v>58</v>
      </c>
      <c r="M133" s="179" t="s">
        <v>151</v>
      </c>
    </row>
    <row r="134" spans="1:13" ht="38.25">
      <c r="A134" s="313" t="str">
        <f t="shared" si="2"/>
        <v>AerialRefuelReceiveChanCode_chan024Y</v>
      </c>
      <c r="B134" s="330"/>
      <c r="C134" s="334"/>
      <c r="D134" s="188" t="s">
        <v>13759</v>
      </c>
      <c r="E134" s="189" t="s">
        <v>13760</v>
      </c>
      <c r="F134" s="162" t="s">
        <v>13761</v>
      </c>
      <c r="G134" s="162" t="s">
        <v>13413</v>
      </c>
      <c r="H134" s="219"/>
      <c r="I134" s="169">
        <v>117034</v>
      </c>
      <c r="J134" s="304" t="str">
        <f>CONCATENATE([2]Cover!$D$6,"fdd/view?i=",I134)</f>
        <v>https://www.dgiwg.org/FAD/fdd/view?i=117034</v>
      </c>
      <c r="K134" s="304" t="s">
        <v>34183</v>
      </c>
      <c r="L134" s="188">
        <v>59</v>
      </c>
      <c r="M134" s="179" t="s">
        <v>151</v>
      </c>
    </row>
    <row r="135" spans="1:13" ht="38.25">
      <c r="A135" s="313" t="str">
        <f t="shared" si="2"/>
        <v>AerialRefuelReceiveChanCode_chan024Z</v>
      </c>
      <c r="B135" s="330"/>
      <c r="C135" s="334"/>
      <c r="D135" s="188" t="s">
        <v>13762</v>
      </c>
      <c r="E135" s="189" t="s">
        <v>13763</v>
      </c>
      <c r="F135" s="162" t="s">
        <v>13764</v>
      </c>
      <c r="G135" s="162" t="s">
        <v>13413</v>
      </c>
      <c r="H135" s="219"/>
      <c r="I135" s="169">
        <v>117035</v>
      </c>
      <c r="J135" s="304" t="str">
        <f>CONCATENATE([2]Cover!$D$6,"fdd/view?i=",I135)</f>
        <v>https://www.dgiwg.org/FAD/fdd/view?i=117035</v>
      </c>
      <c r="K135" s="304" t="s">
        <v>34184</v>
      </c>
      <c r="L135" s="188">
        <v>60</v>
      </c>
      <c r="M135" s="179" t="s">
        <v>151</v>
      </c>
    </row>
    <row r="136" spans="1:13" ht="38.25">
      <c r="A136" s="313" t="str">
        <f t="shared" si="2"/>
        <v>AerialRefuelReceiveChanCode_chan025X</v>
      </c>
      <c r="B136" s="330"/>
      <c r="C136" s="334"/>
      <c r="D136" s="188" t="s">
        <v>13765</v>
      </c>
      <c r="E136" s="189" t="s">
        <v>13766</v>
      </c>
      <c r="F136" s="162" t="s">
        <v>13767</v>
      </c>
      <c r="G136" s="162" t="s">
        <v>13413</v>
      </c>
      <c r="H136" s="219"/>
      <c r="I136" s="169">
        <v>117036</v>
      </c>
      <c r="J136" s="304" t="str">
        <f>CONCATENATE([2]Cover!$D$6,"fdd/view?i=",I136)</f>
        <v>https://www.dgiwg.org/FAD/fdd/view?i=117036</v>
      </c>
      <c r="K136" s="304" t="s">
        <v>34185</v>
      </c>
      <c r="L136" s="188">
        <v>61</v>
      </c>
      <c r="M136" s="179" t="s">
        <v>151</v>
      </c>
    </row>
    <row r="137" spans="1:13" ht="38.25">
      <c r="A137" s="313" t="str">
        <f t="shared" si="2"/>
        <v>AerialRefuelReceiveChanCode_chan025Y</v>
      </c>
      <c r="B137" s="330"/>
      <c r="C137" s="334"/>
      <c r="D137" s="188" t="s">
        <v>13768</v>
      </c>
      <c r="E137" s="189" t="s">
        <v>13769</v>
      </c>
      <c r="F137" s="162" t="s">
        <v>13770</v>
      </c>
      <c r="G137" s="162" t="s">
        <v>13413</v>
      </c>
      <c r="H137" s="219"/>
      <c r="I137" s="169">
        <v>117037</v>
      </c>
      <c r="J137" s="304" t="str">
        <f>CONCATENATE([2]Cover!$D$6,"fdd/view?i=",I137)</f>
        <v>https://www.dgiwg.org/FAD/fdd/view?i=117037</v>
      </c>
      <c r="K137" s="304" t="s">
        <v>34186</v>
      </c>
      <c r="L137" s="188">
        <v>62</v>
      </c>
      <c r="M137" s="179" t="s">
        <v>151</v>
      </c>
    </row>
    <row r="138" spans="1:13" ht="38.25">
      <c r="A138" s="313" t="str">
        <f t="shared" si="2"/>
        <v>AerialRefuelReceiveChanCode_chan025Z</v>
      </c>
      <c r="B138" s="330"/>
      <c r="C138" s="334"/>
      <c r="D138" s="188" t="s">
        <v>13771</v>
      </c>
      <c r="E138" s="189" t="s">
        <v>13772</v>
      </c>
      <c r="F138" s="162" t="s">
        <v>13773</v>
      </c>
      <c r="G138" s="162" t="s">
        <v>13413</v>
      </c>
      <c r="H138" s="219"/>
      <c r="I138" s="169">
        <v>117038</v>
      </c>
      <c r="J138" s="304" t="str">
        <f>CONCATENATE([2]Cover!$D$6,"fdd/view?i=",I138)</f>
        <v>https://www.dgiwg.org/FAD/fdd/view?i=117038</v>
      </c>
      <c r="K138" s="304" t="s">
        <v>34187</v>
      </c>
      <c r="L138" s="188">
        <v>63</v>
      </c>
      <c r="M138" s="179" t="s">
        <v>151</v>
      </c>
    </row>
    <row r="139" spans="1:13" ht="38.25">
      <c r="A139" s="313" t="str">
        <f t="shared" si="2"/>
        <v>AerialRefuelReceiveChanCode_chan026W</v>
      </c>
      <c r="B139" s="330"/>
      <c r="C139" s="334"/>
      <c r="D139" s="188" t="s">
        <v>13774</v>
      </c>
      <c r="E139" s="189" t="s">
        <v>13775</v>
      </c>
      <c r="F139" s="162" t="s">
        <v>13776</v>
      </c>
      <c r="G139" s="162" t="s">
        <v>13413</v>
      </c>
      <c r="H139" s="219"/>
      <c r="I139" s="169">
        <v>117039</v>
      </c>
      <c r="J139" s="304" t="str">
        <f>CONCATENATE([2]Cover!$D$6,"fdd/view?i=",I139)</f>
        <v>https://www.dgiwg.org/FAD/fdd/view?i=117039</v>
      </c>
      <c r="K139" s="304" t="s">
        <v>34188</v>
      </c>
      <c r="L139" s="188">
        <v>64</v>
      </c>
      <c r="M139" s="179" t="s">
        <v>151</v>
      </c>
    </row>
    <row r="140" spans="1:13" ht="38.25">
      <c r="A140" s="313" t="str">
        <f t="shared" si="2"/>
        <v>AerialRefuelReceiveChanCode_chan026X</v>
      </c>
      <c r="B140" s="330"/>
      <c r="C140" s="334"/>
      <c r="D140" s="188" t="s">
        <v>13777</v>
      </c>
      <c r="E140" s="189" t="s">
        <v>13778</v>
      </c>
      <c r="F140" s="162" t="s">
        <v>13779</v>
      </c>
      <c r="G140" s="162" t="s">
        <v>13413</v>
      </c>
      <c r="H140" s="219"/>
      <c r="I140" s="169">
        <v>117040</v>
      </c>
      <c r="J140" s="304" t="str">
        <f>CONCATENATE([2]Cover!$D$6,"fdd/view?i=",I140)</f>
        <v>https://www.dgiwg.org/FAD/fdd/view?i=117040</v>
      </c>
      <c r="K140" s="304" t="s">
        <v>34189</v>
      </c>
      <c r="L140" s="188">
        <v>65</v>
      </c>
      <c r="M140" s="179" t="s">
        <v>151</v>
      </c>
    </row>
    <row r="141" spans="1:13" ht="38.25">
      <c r="A141" s="313" t="str">
        <f t="shared" si="2"/>
        <v>AerialRefuelReceiveChanCode_chan026Y</v>
      </c>
      <c r="B141" s="330"/>
      <c r="C141" s="334"/>
      <c r="D141" s="188" t="s">
        <v>13780</v>
      </c>
      <c r="E141" s="189" t="s">
        <v>13781</v>
      </c>
      <c r="F141" s="162" t="s">
        <v>13782</v>
      </c>
      <c r="G141" s="162" t="s">
        <v>13413</v>
      </c>
      <c r="H141" s="219"/>
      <c r="I141" s="169">
        <v>117041</v>
      </c>
      <c r="J141" s="304" t="str">
        <f>CONCATENATE([2]Cover!$D$6,"fdd/view?i=",I141)</f>
        <v>https://www.dgiwg.org/FAD/fdd/view?i=117041</v>
      </c>
      <c r="K141" s="304" t="s">
        <v>34190</v>
      </c>
      <c r="L141" s="188">
        <v>66</v>
      </c>
      <c r="M141" s="179" t="s">
        <v>151</v>
      </c>
    </row>
    <row r="142" spans="1:13" ht="38.25">
      <c r="A142" s="313" t="str">
        <f t="shared" si="2"/>
        <v>AerialRefuelReceiveChanCode_chan026Z</v>
      </c>
      <c r="B142" s="330"/>
      <c r="C142" s="334"/>
      <c r="D142" s="188" t="s">
        <v>13783</v>
      </c>
      <c r="E142" s="189" t="s">
        <v>13784</v>
      </c>
      <c r="F142" s="162" t="s">
        <v>13785</v>
      </c>
      <c r="G142" s="162" t="s">
        <v>13413</v>
      </c>
      <c r="H142" s="219"/>
      <c r="I142" s="169">
        <v>117042</v>
      </c>
      <c r="J142" s="304" t="str">
        <f>CONCATENATE([2]Cover!$D$6,"fdd/view?i=",I142)</f>
        <v>https://www.dgiwg.org/FAD/fdd/view?i=117042</v>
      </c>
      <c r="K142" s="304" t="s">
        <v>34191</v>
      </c>
      <c r="L142" s="188">
        <v>67</v>
      </c>
      <c r="M142" s="179" t="s">
        <v>151</v>
      </c>
    </row>
    <row r="143" spans="1:13" ht="38.25">
      <c r="A143" s="313" t="str">
        <f t="shared" si="2"/>
        <v>AerialRefuelReceiveChanCode_chan027X</v>
      </c>
      <c r="B143" s="330"/>
      <c r="C143" s="334"/>
      <c r="D143" s="188" t="s">
        <v>13786</v>
      </c>
      <c r="E143" s="189" t="s">
        <v>13787</v>
      </c>
      <c r="F143" s="162" t="s">
        <v>13788</v>
      </c>
      <c r="G143" s="162" t="s">
        <v>13413</v>
      </c>
      <c r="H143" s="219"/>
      <c r="I143" s="169">
        <v>117043</v>
      </c>
      <c r="J143" s="304" t="str">
        <f>CONCATENATE([2]Cover!$D$6,"fdd/view?i=",I143)</f>
        <v>https://www.dgiwg.org/FAD/fdd/view?i=117043</v>
      </c>
      <c r="K143" s="304" t="s">
        <v>34192</v>
      </c>
      <c r="L143" s="188">
        <v>68</v>
      </c>
      <c r="M143" s="179" t="s">
        <v>151</v>
      </c>
    </row>
    <row r="144" spans="1:13" ht="38.25">
      <c r="A144" s="313" t="str">
        <f t="shared" si="2"/>
        <v>AerialRefuelReceiveChanCode_chan027Y</v>
      </c>
      <c r="B144" s="330"/>
      <c r="C144" s="334"/>
      <c r="D144" s="188" t="s">
        <v>13789</v>
      </c>
      <c r="E144" s="189" t="s">
        <v>13790</v>
      </c>
      <c r="F144" s="162" t="s">
        <v>13791</v>
      </c>
      <c r="G144" s="162" t="s">
        <v>13413</v>
      </c>
      <c r="H144" s="219"/>
      <c r="I144" s="169">
        <v>117044</v>
      </c>
      <c r="J144" s="304" t="str">
        <f>CONCATENATE([2]Cover!$D$6,"fdd/view?i=",I144)</f>
        <v>https://www.dgiwg.org/FAD/fdd/view?i=117044</v>
      </c>
      <c r="K144" s="304" t="s">
        <v>34193</v>
      </c>
      <c r="L144" s="188">
        <v>69</v>
      </c>
      <c r="M144" s="179" t="s">
        <v>151</v>
      </c>
    </row>
    <row r="145" spans="1:13" ht="38.25">
      <c r="A145" s="313" t="str">
        <f t="shared" si="2"/>
        <v>AerialRefuelReceiveChanCode_chan027Z</v>
      </c>
      <c r="B145" s="330"/>
      <c r="C145" s="334"/>
      <c r="D145" s="188" t="s">
        <v>13792</v>
      </c>
      <c r="E145" s="189" t="s">
        <v>13793</v>
      </c>
      <c r="F145" s="162" t="s">
        <v>13794</v>
      </c>
      <c r="G145" s="162" t="s">
        <v>13413</v>
      </c>
      <c r="H145" s="219"/>
      <c r="I145" s="169">
        <v>117045</v>
      </c>
      <c r="J145" s="304" t="str">
        <f>CONCATENATE([2]Cover!$D$6,"fdd/view?i=",I145)</f>
        <v>https://www.dgiwg.org/FAD/fdd/view?i=117045</v>
      </c>
      <c r="K145" s="304" t="s">
        <v>34194</v>
      </c>
      <c r="L145" s="188">
        <v>70</v>
      </c>
      <c r="M145" s="179" t="s">
        <v>151</v>
      </c>
    </row>
    <row r="146" spans="1:13" ht="38.25">
      <c r="A146" s="313" t="str">
        <f t="shared" si="2"/>
        <v>AerialRefuelReceiveChanCode_chan028W</v>
      </c>
      <c r="B146" s="330"/>
      <c r="C146" s="334"/>
      <c r="D146" s="188" t="s">
        <v>13795</v>
      </c>
      <c r="E146" s="189" t="s">
        <v>13796</v>
      </c>
      <c r="F146" s="162" t="s">
        <v>13797</v>
      </c>
      <c r="G146" s="162" t="s">
        <v>13413</v>
      </c>
      <c r="H146" s="219"/>
      <c r="I146" s="169">
        <v>117046</v>
      </c>
      <c r="J146" s="304" t="str">
        <f>CONCATENATE([2]Cover!$D$6,"fdd/view?i=",I146)</f>
        <v>https://www.dgiwg.org/FAD/fdd/view?i=117046</v>
      </c>
      <c r="K146" s="304" t="s">
        <v>34195</v>
      </c>
      <c r="L146" s="188">
        <v>71</v>
      </c>
      <c r="M146" s="179" t="s">
        <v>151</v>
      </c>
    </row>
    <row r="147" spans="1:13" ht="38.25">
      <c r="A147" s="313" t="str">
        <f t="shared" si="2"/>
        <v>AerialRefuelReceiveChanCode_chan028X</v>
      </c>
      <c r="B147" s="330"/>
      <c r="C147" s="334"/>
      <c r="D147" s="188" t="s">
        <v>13798</v>
      </c>
      <c r="E147" s="189" t="s">
        <v>13799</v>
      </c>
      <c r="F147" s="162" t="s">
        <v>13800</v>
      </c>
      <c r="G147" s="162" t="s">
        <v>13413</v>
      </c>
      <c r="H147" s="219"/>
      <c r="I147" s="169">
        <v>117047</v>
      </c>
      <c r="J147" s="304" t="str">
        <f>CONCATENATE([2]Cover!$D$6,"fdd/view?i=",I147)</f>
        <v>https://www.dgiwg.org/FAD/fdd/view?i=117047</v>
      </c>
      <c r="K147" s="304" t="s">
        <v>34196</v>
      </c>
      <c r="L147" s="188">
        <v>72</v>
      </c>
      <c r="M147" s="179" t="s">
        <v>151</v>
      </c>
    </row>
    <row r="148" spans="1:13" ht="38.25">
      <c r="A148" s="313" t="str">
        <f t="shared" si="2"/>
        <v>AerialRefuelReceiveChanCode_chan028Y</v>
      </c>
      <c r="B148" s="330"/>
      <c r="C148" s="334"/>
      <c r="D148" s="188" t="s">
        <v>13801</v>
      </c>
      <c r="E148" s="189" t="s">
        <v>13802</v>
      </c>
      <c r="F148" s="162" t="s">
        <v>13803</v>
      </c>
      <c r="G148" s="162" t="s">
        <v>13413</v>
      </c>
      <c r="H148" s="219"/>
      <c r="I148" s="169">
        <v>117048</v>
      </c>
      <c r="J148" s="304" t="str">
        <f>CONCATENATE([2]Cover!$D$6,"fdd/view?i=",I148)</f>
        <v>https://www.dgiwg.org/FAD/fdd/view?i=117048</v>
      </c>
      <c r="K148" s="304" t="s">
        <v>34197</v>
      </c>
      <c r="L148" s="188">
        <v>73</v>
      </c>
      <c r="M148" s="179" t="s">
        <v>151</v>
      </c>
    </row>
    <row r="149" spans="1:13" ht="38.25">
      <c r="A149" s="313" t="str">
        <f t="shared" si="2"/>
        <v>AerialRefuelReceiveChanCode_chan028Z</v>
      </c>
      <c r="B149" s="330"/>
      <c r="C149" s="334"/>
      <c r="D149" s="188" t="s">
        <v>13804</v>
      </c>
      <c r="E149" s="189" t="s">
        <v>13805</v>
      </c>
      <c r="F149" s="162" t="s">
        <v>13806</v>
      </c>
      <c r="G149" s="162" t="s">
        <v>13413</v>
      </c>
      <c r="H149" s="219"/>
      <c r="I149" s="169">
        <v>117049</v>
      </c>
      <c r="J149" s="304" t="str">
        <f>CONCATENATE([2]Cover!$D$6,"fdd/view?i=",I149)</f>
        <v>https://www.dgiwg.org/FAD/fdd/view?i=117049</v>
      </c>
      <c r="K149" s="304" t="s">
        <v>34198</v>
      </c>
      <c r="L149" s="188">
        <v>74</v>
      </c>
      <c r="M149" s="179" t="s">
        <v>151</v>
      </c>
    </row>
    <row r="150" spans="1:13" ht="38.25">
      <c r="A150" s="313" t="str">
        <f t="shared" si="2"/>
        <v>AerialRefuelReceiveChanCode_chan029X</v>
      </c>
      <c r="B150" s="330"/>
      <c r="C150" s="334"/>
      <c r="D150" s="188" t="s">
        <v>13807</v>
      </c>
      <c r="E150" s="189" t="s">
        <v>13808</v>
      </c>
      <c r="F150" s="162" t="s">
        <v>13809</v>
      </c>
      <c r="G150" s="162" t="s">
        <v>13413</v>
      </c>
      <c r="H150" s="219"/>
      <c r="I150" s="169">
        <v>117050</v>
      </c>
      <c r="J150" s="304" t="str">
        <f>CONCATENATE([2]Cover!$D$6,"fdd/view?i=",I150)</f>
        <v>https://www.dgiwg.org/FAD/fdd/view?i=117050</v>
      </c>
      <c r="K150" s="304" t="s">
        <v>34199</v>
      </c>
      <c r="L150" s="188">
        <v>75</v>
      </c>
      <c r="M150" s="179" t="s">
        <v>151</v>
      </c>
    </row>
    <row r="151" spans="1:13" ht="38.25">
      <c r="A151" s="313" t="str">
        <f t="shared" si="2"/>
        <v>AerialRefuelReceiveChanCode_chan029Y</v>
      </c>
      <c r="B151" s="330"/>
      <c r="C151" s="334"/>
      <c r="D151" s="188" t="s">
        <v>13810</v>
      </c>
      <c r="E151" s="189" t="s">
        <v>13811</v>
      </c>
      <c r="F151" s="162" t="s">
        <v>13812</v>
      </c>
      <c r="G151" s="162" t="s">
        <v>13413</v>
      </c>
      <c r="H151" s="219"/>
      <c r="I151" s="169">
        <v>117051</v>
      </c>
      <c r="J151" s="304" t="str">
        <f>CONCATENATE([2]Cover!$D$6,"fdd/view?i=",I151)</f>
        <v>https://www.dgiwg.org/FAD/fdd/view?i=117051</v>
      </c>
      <c r="K151" s="304" t="s">
        <v>34200</v>
      </c>
      <c r="L151" s="188">
        <v>76</v>
      </c>
      <c r="M151" s="179" t="s">
        <v>151</v>
      </c>
    </row>
    <row r="152" spans="1:13" ht="38.25">
      <c r="A152" s="313" t="str">
        <f t="shared" si="2"/>
        <v>AerialRefuelReceiveChanCode_chan029Z</v>
      </c>
      <c r="B152" s="330"/>
      <c r="C152" s="334"/>
      <c r="D152" s="188" t="s">
        <v>13813</v>
      </c>
      <c r="E152" s="189" t="s">
        <v>13814</v>
      </c>
      <c r="F152" s="162" t="s">
        <v>13815</v>
      </c>
      <c r="G152" s="162" t="s">
        <v>13413</v>
      </c>
      <c r="H152" s="219"/>
      <c r="I152" s="169">
        <v>117052</v>
      </c>
      <c r="J152" s="304" t="str">
        <f>CONCATENATE([2]Cover!$D$6,"fdd/view?i=",I152)</f>
        <v>https://www.dgiwg.org/FAD/fdd/view?i=117052</v>
      </c>
      <c r="K152" s="304" t="s">
        <v>34201</v>
      </c>
      <c r="L152" s="188">
        <v>77</v>
      </c>
      <c r="M152" s="179" t="s">
        <v>151</v>
      </c>
    </row>
    <row r="153" spans="1:13" ht="38.25">
      <c r="A153" s="313" t="str">
        <f t="shared" si="2"/>
        <v>AerialRefuelReceiveChanCode_chan030W</v>
      </c>
      <c r="B153" s="330"/>
      <c r="C153" s="334"/>
      <c r="D153" s="188" t="s">
        <v>13822</v>
      </c>
      <c r="E153" s="189" t="s">
        <v>13823</v>
      </c>
      <c r="F153" s="162" t="s">
        <v>13824</v>
      </c>
      <c r="G153" s="162" t="s">
        <v>13413</v>
      </c>
      <c r="H153" s="219"/>
      <c r="I153" s="169">
        <v>117053</v>
      </c>
      <c r="J153" s="304" t="str">
        <f>CONCATENATE([2]Cover!$D$6,"fdd/view?i=",I153)</f>
        <v>https://www.dgiwg.org/FAD/fdd/view?i=117053</v>
      </c>
      <c r="K153" s="304" t="s">
        <v>34202</v>
      </c>
      <c r="L153" s="188">
        <v>78</v>
      </c>
      <c r="M153" s="179" t="s">
        <v>151</v>
      </c>
    </row>
    <row r="154" spans="1:13" ht="38.25">
      <c r="A154" s="313" t="str">
        <f t="shared" si="2"/>
        <v>AerialRefuelReceiveChanCode_chan030X</v>
      </c>
      <c r="B154" s="330"/>
      <c r="C154" s="334"/>
      <c r="D154" s="188" t="s">
        <v>13825</v>
      </c>
      <c r="E154" s="189" t="s">
        <v>13826</v>
      </c>
      <c r="F154" s="162" t="s">
        <v>13827</v>
      </c>
      <c r="G154" s="162" t="s">
        <v>13413</v>
      </c>
      <c r="H154" s="219"/>
      <c r="I154" s="169">
        <v>117054</v>
      </c>
      <c r="J154" s="304" t="str">
        <f>CONCATENATE([2]Cover!$D$6,"fdd/view?i=",I154)</f>
        <v>https://www.dgiwg.org/FAD/fdd/view?i=117054</v>
      </c>
      <c r="K154" s="304" t="s">
        <v>34203</v>
      </c>
      <c r="L154" s="188">
        <v>79</v>
      </c>
      <c r="M154" s="179" t="s">
        <v>151</v>
      </c>
    </row>
    <row r="155" spans="1:13" ht="38.25">
      <c r="A155" s="313" t="str">
        <f t="shared" si="2"/>
        <v>AerialRefuelReceiveChanCode_chan030Y</v>
      </c>
      <c r="B155" s="330"/>
      <c r="C155" s="334"/>
      <c r="D155" s="188" t="s">
        <v>13828</v>
      </c>
      <c r="E155" s="189" t="s">
        <v>13829</v>
      </c>
      <c r="F155" s="162" t="s">
        <v>13830</v>
      </c>
      <c r="G155" s="162" t="s">
        <v>13413</v>
      </c>
      <c r="H155" s="219"/>
      <c r="I155" s="169">
        <v>117055</v>
      </c>
      <c r="J155" s="304" t="str">
        <f>CONCATENATE([2]Cover!$D$6,"fdd/view?i=",I155)</f>
        <v>https://www.dgiwg.org/FAD/fdd/view?i=117055</v>
      </c>
      <c r="K155" s="304" t="s">
        <v>34204</v>
      </c>
      <c r="L155" s="188">
        <v>80</v>
      </c>
      <c r="M155" s="179" t="s">
        <v>151</v>
      </c>
    </row>
    <row r="156" spans="1:13" ht="38.25">
      <c r="A156" s="313" t="str">
        <f t="shared" si="2"/>
        <v>AerialRefuelReceiveChanCode_chan030Z</v>
      </c>
      <c r="B156" s="330"/>
      <c r="C156" s="334"/>
      <c r="D156" s="188" t="s">
        <v>13831</v>
      </c>
      <c r="E156" s="189" t="s">
        <v>13832</v>
      </c>
      <c r="F156" s="162" t="s">
        <v>13833</v>
      </c>
      <c r="G156" s="162" t="s">
        <v>13413</v>
      </c>
      <c r="H156" s="219"/>
      <c r="I156" s="169">
        <v>117056</v>
      </c>
      <c r="J156" s="304" t="str">
        <f>CONCATENATE([2]Cover!$D$6,"fdd/view?i=",I156)</f>
        <v>https://www.dgiwg.org/FAD/fdd/view?i=117056</v>
      </c>
      <c r="K156" s="304" t="s">
        <v>34205</v>
      </c>
      <c r="L156" s="188">
        <v>81</v>
      </c>
      <c r="M156" s="179" t="s">
        <v>151</v>
      </c>
    </row>
    <row r="157" spans="1:13" ht="38.25">
      <c r="A157" s="313" t="str">
        <f t="shared" si="2"/>
        <v>AerialRefuelReceiveChanCode_chan031X</v>
      </c>
      <c r="B157" s="330"/>
      <c r="C157" s="334"/>
      <c r="D157" s="188" t="s">
        <v>13834</v>
      </c>
      <c r="E157" s="189" t="s">
        <v>13835</v>
      </c>
      <c r="F157" s="162" t="s">
        <v>13836</v>
      </c>
      <c r="G157" s="162" t="s">
        <v>13413</v>
      </c>
      <c r="H157" s="219"/>
      <c r="I157" s="169">
        <v>117057</v>
      </c>
      <c r="J157" s="304" t="str">
        <f>CONCATENATE([2]Cover!$D$6,"fdd/view?i=",I157)</f>
        <v>https://www.dgiwg.org/FAD/fdd/view?i=117057</v>
      </c>
      <c r="K157" s="304" t="s">
        <v>34206</v>
      </c>
      <c r="L157" s="188">
        <v>82</v>
      </c>
      <c r="M157" s="179" t="s">
        <v>151</v>
      </c>
    </row>
    <row r="158" spans="1:13" ht="38.25">
      <c r="A158" s="313" t="str">
        <f t="shared" si="2"/>
        <v>AerialRefuelReceiveChanCode_chan031Y</v>
      </c>
      <c r="B158" s="330"/>
      <c r="C158" s="334"/>
      <c r="D158" s="188" t="s">
        <v>13837</v>
      </c>
      <c r="E158" s="189" t="s">
        <v>13838</v>
      </c>
      <c r="F158" s="162" t="s">
        <v>13839</v>
      </c>
      <c r="G158" s="162" t="s">
        <v>13413</v>
      </c>
      <c r="H158" s="219"/>
      <c r="I158" s="169">
        <v>117058</v>
      </c>
      <c r="J158" s="304" t="str">
        <f>CONCATENATE([2]Cover!$D$6,"fdd/view?i=",I158)</f>
        <v>https://www.dgiwg.org/FAD/fdd/view?i=117058</v>
      </c>
      <c r="K158" s="304" t="s">
        <v>34207</v>
      </c>
      <c r="L158" s="188">
        <v>83</v>
      </c>
      <c r="M158" s="179" t="s">
        <v>151</v>
      </c>
    </row>
    <row r="159" spans="1:13" ht="38.25">
      <c r="A159" s="313" t="str">
        <f t="shared" si="2"/>
        <v>AerialRefuelReceiveChanCode_chan031Z</v>
      </c>
      <c r="B159" s="330"/>
      <c r="C159" s="334"/>
      <c r="D159" s="188" t="s">
        <v>13840</v>
      </c>
      <c r="E159" s="189" t="s">
        <v>13841</v>
      </c>
      <c r="F159" s="162" t="s">
        <v>13842</v>
      </c>
      <c r="G159" s="162" t="s">
        <v>13413</v>
      </c>
      <c r="H159" s="219"/>
      <c r="I159" s="169">
        <v>117059</v>
      </c>
      <c r="J159" s="304" t="str">
        <f>CONCATENATE([2]Cover!$D$6,"fdd/view?i=",I159)</f>
        <v>https://www.dgiwg.org/FAD/fdd/view?i=117059</v>
      </c>
      <c r="K159" s="304" t="s">
        <v>34208</v>
      </c>
      <c r="L159" s="188">
        <v>84</v>
      </c>
      <c r="M159" s="179" t="s">
        <v>151</v>
      </c>
    </row>
    <row r="160" spans="1:13" ht="38.25">
      <c r="A160" s="313" t="str">
        <f t="shared" si="2"/>
        <v>AerialRefuelReceiveChanCode_chan032W</v>
      </c>
      <c r="B160" s="330"/>
      <c r="C160" s="334"/>
      <c r="D160" s="188" t="s">
        <v>13843</v>
      </c>
      <c r="E160" s="189" t="s">
        <v>13844</v>
      </c>
      <c r="F160" s="162" t="s">
        <v>13845</v>
      </c>
      <c r="G160" s="162" t="s">
        <v>13413</v>
      </c>
      <c r="H160" s="219"/>
      <c r="I160" s="169">
        <v>117060</v>
      </c>
      <c r="J160" s="304" t="str">
        <f>CONCATENATE([2]Cover!$D$6,"fdd/view?i=",I160)</f>
        <v>https://www.dgiwg.org/FAD/fdd/view?i=117060</v>
      </c>
      <c r="K160" s="304" t="s">
        <v>34209</v>
      </c>
      <c r="L160" s="188">
        <v>85</v>
      </c>
      <c r="M160" s="179" t="s">
        <v>151</v>
      </c>
    </row>
    <row r="161" spans="1:13" ht="38.25">
      <c r="A161" s="313" t="str">
        <f t="shared" si="2"/>
        <v>AerialRefuelReceiveChanCode_chan032X</v>
      </c>
      <c r="B161" s="330"/>
      <c r="C161" s="334"/>
      <c r="D161" s="188" t="s">
        <v>13846</v>
      </c>
      <c r="E161" s="189" t="s">
        <v>13847</v>
      </c>
      <c r="F161" s="162" t="s">
        <v>13848</v>
      </c>
      <c r="G161" s="162" t="s">
        <v>13413</v>
      </c>
      <c r="H161" s="219"/>
      <c r="I161" s="169">
        <v>117061</v>
      </c>
      <c r="J161" s="304" t="str">
        <f>CONCATENATE([2]Cover!$D$6,"fdd/view?i=",I161)</f>
        <v>https://www.dgiwg.org/FAD/fdd/view?i=117061</v>
      </c>
      <c r="K161" s="304" t="s">
        <v>34210</v>
      </c>
      <c r="L161" s="188">
        <v>86</v>
      </c>
      <c r="M161" s="179" t="s">
        <v>151</v>
      </c>
    </row>
    <row r="162" spans="1:13" ht="38.25">
      <c r="A162" s="313" t="str">
        <f t="shared" si="2"/>
        <v>AerialRefuelReceiveChanCode_chan032Y</v>
      </c>
      <c r="B162" s="330"/>
      <c r="C162" s="334"/>
      <c r="D162" s="188" t="s">
        <v>13849</v>
      </c>
      <c r="E162" s="189" t="s">
        <v>13850</v>
      </c>
      <c r="F162" s="162" t="s">
        <v>13851</v>
      </c>
      <c r="G162" s="162" t="s">
        <v>13413</v>
      </c>
      <c r="H162" s="219"/>
      <c r="I162" s="169">
        <v>117062</v>
      </c>
      <c r="J162" s="304" t="str">
        <f>CONCATENATE([2]Cover!$D$6,"fdd/view?i=",I162)</f>
        <v>https://www.dgiwg.org/FAD/fdd/view?i=117062</v>
      </c>
      <c r="K162" s="304" t="s">
        <v>34211</v>
      </c>
      <c r="L162" s="188">
        <v>87</v>
      </c>
      <c r="M162" s="179" t="s">
        <v>151</v>
      </c>
    </row>
    <row r="163" spans="1:13" ht="38.25">
      <c r="A163" s="313" t="str">
        <f t="shared" si="2"/>
        <v>AerialRefuelReceiveChanCode_chan032Z</v>
      </c>
      <c r="B163" s="330"/>
      <c r="C163" s="334"/>
      <c r="D163" s="188" t="s">
        <v>13852</v>
      </c>
      <c r="E163" s="189" t="s">
        <v>13853</v>
      </c>
      <c r="F163" s="162" t="s">
        <v>13854</v>
      </c>
      <c r="G163" s="162" t="s">
        <v>13413</v>
      </c>
      <c r="H163" s="219"/>
      <c r="I163" s="169">
        <v>117063</v>
      </c>
      <c r="J163" s="304" t="str">
        <f>CONCATENATE([2]Cover!$D$6,"fdd/view?i=",I163)</f>
        <v>https://www.dgiwg.org/FAD/fdd/view?i=117063</v>
      </c>
      <c r="K163" s="304" t="s">
        <v>34212</v>
      </c>
      <c r="L163" s="188">
        <v>88</v>
      </c>
      <c r="M163" s="179" t="s">
        <v>151</v>
      </c>
    </row>
    <row r="164" spans="1:13" ht="38.25">
      <c r="A164" s="313" t="str">
        <f t="shared" si="2"/>
        <v>AerialRefuelReceiveChanCode_chan033X</v>
      </c>
      <c r="B164" s="330"/>
      <c r="C164" s="334"/>
      <c r="D164" s="188" t="s">
        <v>13855</v>
      </c>
      <c r="E164" s="189" t="s">
        <v>13856</v>
      </c>
      <c r="F164" s="162" t="s">
        <v>13857</v>
      </c>
      <c r="G164" s="162" t="s">
        <v>13413</v>
      </c>
      <c r="H164" s="219"/>
      <c r="I164" s="169">
        <v>117064</v>
      </c>
      <c r="J164" s="304" t="str">
        <f>CONCATENATE([2]Cover!$D$6,"fdd/view?i=",I164)</f>
        <v>https://www.dgiwg.org/FAD/fdd/view?i=117064</v>
      </c>
      <c r="K164" s="304" t="s">
        <v>34213</v>
      </c>
      <c r="L164" s="188">
        <v>89</v>
      </c>
      <c r="M164" s="179" t="s">
        <v>151</v>
      </c>
    </row>
    <row r="165" spans="1:13" ht="38.25">
      <c r="A165" s="313" t="str">
        <f t="shared" si="2"/>
        <v>AerialRefuelReceiveChanCode_chan033Y</v>
      </c>
      <c r="B165" s="330"/>
      <c r="C165" s="334"/>
      <c r="D165" s="188" t="s">
        <v>13858</v>
      </c>
      <c r="E165" s="189" t="s">
        <v>13859</v>
      </c>
      <c r="F165" s="162" t="s">
        <v>13860</v>
      </c>
      <c r="G165" s="162" t="s">
        <v>13413</v>
      </c>
      <c r="H165" s="219"/>
      <c r="I165" s="169">
        <v>117065</v>
      </c>
      <c r="J165" s="304" t="str">
        <f>CONCATENATE([2]Cover!$D$6,"fdd/view?i=",I165)</f>
        <v>https://www.dgiwg.org/FAD/fdd/view?i=117065</v>
      </c>
      <c r="K165" s="304" t="s">
        <v>34214</v>
      </c>
      <c r="L165" s="188">
        <v>90</v>
      </c>
      <c r="M165" s="179" t="s">
        <v>151</v>
      </c>
    </row>
    <row r="166" spans="1:13" ht="38.25">
      <c r="A166" s="313" t="str">
        <f t="shared" si="2"/>
        <v>AerialRefuelReceiveChanCode_chan033Z</v>
      </c>
      <c r="B166" s="330"/>
      <c r="C166" s="334"/>
      <c r="D166" s="188" t="s">
        <v>13861</v>
      </c>
      <c r="E166" s="189" t="s">
        <v>13862</v>
      </c>
      <c r="F166" s="162" t="s">
        <v>13863</v>
      </c>
      <c r="G166" s="162" t="s">
        <v>13413</v>
      </c>
      <c r="H166" s="219"/>
      <c r="I166" s="169">
        <v>117066</v>
      </c>
      <c r="J166" s="304" t="str">
        <f>CONCATENATE([2]Cover!$D$6,"fdd/view?i=",I166)</f>
        <v>https://www.dgiwg.org/FAD/fdd/view?i=117066</v>
      </c>
      <c r="K166" s="304" t="s">
        <v>34215</v>
      </c>
      <c r="L166" s="188">
        <v>91</v>
      </c>
      <c r="M166" s="179" t="s">
        <v>151</v>
      </c>
    </row>
    <row r="167" spans="1:13" ht="38.25">
      <c r="A167" s="313" t="str">
        <f t="shared" si="2"/>
        <v>AerialRefuelReceiveChanCode_chan034W</v>
      </c>
      <c r="B167" s="330"/>
      <c r="C167" s="334"/>
      <c r="D167" s="188" t="s">
        <v>13864</v>
      </c>
      <c r="E167" s="189" t="s">
        <v>13865</v>
      </c>
      <c r="F167" s="162" t="s">
        <v>13866</v>
      </c>
      <c r="G167" s="162" t="s">
        <v>13413</v>
      </c>
      <c r="H167" s="219"/>
      <c r="I167" s="169">
        <v>117067</v>
      </c>
      <c r="J167" s="304" t="str">
        <f>CONCATENATE([2]Cover!$D$6,"fdd/view?i=",I167)</f>
        <v>https://www.dgiwg.org/FAD/fdd/view?i=117067</v>
      </c>
      <c r="K167" s="304" t="s">
        <v>34216</v>
      </c>
      <c r="L167" s="188">
        <v>92</v>
      </c>
      <c r="M167" s="179" t="s">
        <v>151</v>
      </c>
    </row>
    <row r="168" spans="1:13" ht="38.25">
      <c r="A168" s="313" t="str">
        <f t="shared" si="2"/>
        <v>AerialRefuelReceiveChanCode_chan034X</v>
      </c>
      <c r="B168" s="330"/>
      <c r="C168" s="334"/>
      <c r="D168" s="188" t="s">
        <v>13867</v>
      </c>
      <c r="E168" s="189" t="s">
        <v>13868</v>
      </c>
      <c r="F168" s="162" t="s">
        <v>13869</v>
      </c>
      <c r="G168" s="162" t="s">
        <v>13413</v>
      </c>
      <c r="H168" s="219"/>
      <c r="I168" s="169">
        <v>117068</v>
      </c>
      <c r="J168" s="304" t="str">
        <f>CONCATENATE([2]Cover!$D$6,"fdd/view?i=",I168)</f>
        <v>https://www.dgiwg.org/FAD/fdd/view?i=117068</v>
      </c>
      <c r="K168" s="304" t="s">
        <v>34217</v>
      </c>
      <c r="L168" s="188">
        <v>93</v>
      </c>
      <c r="M168" s="179" t="s">
        <v>151</v>
      </c>
    </row>
    <row r="169" spans="1:13" ht="38.25">
      <c r="A169" s="313" t="str">
        <f t="shared" si="2"/>
        <v>AerialRefuelReceiveChanCode_chan034Y</v>
      </c>
      <c r="B169" s="330"/>
      <c r="C169" s="334"/>
      <c r="D169" s="188" t="s">
        <v>13870</v>
      </c>
      <c r="E169" s="189" t="s">
        <v>13871</v>
      </c>
      <c r="F169" s="162" t="s">
        <v>13872</v>
      </c>
      <c r="G169" s="162" t="s">
        <v>13413</v>
      </c>
      <c r="H169" s="219"/>
      <c r="I169" s="169">
        <v>117069</v>
      </c>
      <c r="J169" s="304" t="str">
        <f>CONCATENATE([2]Cover!$D$6,"fdd/view?i=",I169)</f>
        <v>https://www.dgiwg.org/FAD/fdd/view?i=117069</v>
      </c>
      <c r="K169" s="304" t="s">
        <v>34218</v>
      </c>
      <c r="L169" s="188">
        <v>94</v>
      </c>
      <c r="M169" s="179" t="s">
        <v>151</v>
      </c>
    </row>
    <row r="170" spans="1:13" ht="38.25">
      <c r="A170" s="313" t="str">
        <f t="shared" si="2"/>
        <v>AerialRefuelReceiveChanCode_chan034Z</v>
      </c>
      <c r="B170" s="330"/>
      <c r="C170" s="334"/>
      <c r="D170" s="188" t="s">
        <v>13873</v>
      </c>
      <c r="E170" s="189" t="s">
        <v>13874</v>
      </c>
      <c r="F170" s="162" t="s">
        <v>13875</v>
      </c>
      <c r="G170" s="162" t="s">
        <v>13413</v>
      </c>
      <c r="H170" s="219"/>
      <c r="I170" s="169">
        <v>117070</v>
      </c>
      <c r="J170" s="304" t="str">
        <f>CONCATENATE([2]Cover!$D$6,"fdd/view?i=",I170)</f>
        <v>https://www.dgiwg.org/FAD/fdd/view?i=117070</v>
      </c>
      <c r="K170" s="304" t="s">
        <v>34219</v>
      </c>
      <c r="L170" s="188">
        <v>95</v>
      </c>
      <c r="M170" s="179" t="s">
        <v>151</v>
      </c>
    </row>
    <row r="171" spans="1:13" ht="38.25">
      <c r="A171" s="313" t="str">
        <f t="shared" si="2"/>
        <v>AerialRefuelReceiveChanCode_chan035X</v>
      </c>
      <c r="B171" s="330"/>
      <c r="C171" s="334"/>
      <c r="D171" s="188" t="s">
        <v>13876</v>
      </c>
      <c r="E171" s="189" t="s">
        <v>13877</v>
      </c>
      <c r="F171" s="162" t="s">
        <v>13878</v>
      </c>
      <c r="G171" s="162" t="s">
        <v>13413</v>
      </c>
      <c r="H171" s="219"/>
      <c r="I171" s="169">
        <v>117071</v>
      </c>
      <c r="J171" s="304" t="str">
        <f>CONCATENATE([2]Cover!$D$6,"fdd/view?i=",I171)</f>
        <v>https://www.dgiwg.org/FAD/fdd/view?i=117071</v>
      </c>
      <c r="K171" s="304" t="s">
        <v>34220</v>
      </c>
      <c r="L171" s="188">
        <v>96</v>
      </c>
      <c r="M171" s="179" t="s">
        <v>151</v>
      </c>
    </row>
    <row r="172" spans="1:13" ht="38.25">
      <c r="A172" s="313" t="str">
        <f t="shared" si="2"/>
        <v>AerialRefuelReceiveChanCode_chan035Y</v>
      </c>
      <c r="B172" s="330"/>
      <c r="C172" s="334"/>
      <c r="D172" s="188" t="s">
        <v>13879</v>
      </c>
      <c r="E172" s="189" t="s">
        <v>13880</v>
      </c>
      <c r="F172" s="162" t="s">
        <v>13881</v>
      </c>
      <c r="G172" s="162" t="s">
        <v>13413</v>
      </c>
      <c r="H172" s="219"/>
      <c r="I172" s="169">
        <v>117072</v>
      </c>
      <c r="J172" s="304" t="str">
        <f>CONCATENATE([2]Cover!$D$6,"fdd/view?i=",I172)</f>
        <v>https://www.dgiwg.org/FAD/fdd/view?i=117072</v>
      </c>
      <c r="K172" s="304" t="s">
        <v>34221</v>
      </c>
      <c r="L172" s="188">
        <v>97</v>
      </c>
      <c r="M172" s="179" t="s">
        <v>151</v>
      </c>
    </row>
    <row r="173" spans="1:13" ht="38.25">
      <c r="A173" s="313" t="str">
        <f t="shared" si="2"/>
        <v>AerialRefuelReceiveChanCode_chan035Z</v>
      </c>
      <c r="B173" s="330"/>
      <c r="C173" s="334"/>
      <c r="D173" s="188" t="s">
        <v>13882</v>
      </c>
      <c r="E173" s="189" t="s">
        <v>13883</v>
      </c>
      <c r="F173" s="162" t="s">
        <v>13884</v>
      </c>
      <c r="G173" s="162" t="s">
        <v>13413</v>
      </c>
      <c r="H173" s="219"/>
      <c r="I173" s="169">
        <v>117073</v>
      </c>
      <c r="J173" s="304" t="str">
        <f>CONCATENATE([2]Cover!$D$6,"fdd/view?i=",I173)</f>
        <v>https://www.dgiwg.org/FAD/fdd/view?i=117073</v>
      </c>
      <c r="K173" s="304" t="s">
        <v>34222</v>
      </c>
      <c r="L173" s="188">
        <v>98</v>
      </c>
      <c r="M173" s="179" t="s">
        <v>151</v>
      </c>
    </row>
    <row r="174" spans="1:13" ht="38.25">
      <c r="A174" s="313" t="str">
        <f t="shared" si="2"/>
        <v>AerialRefuelReceiveChanCode_chan036W</v>
      </c>
      <c r="B174" s="330"/>
      <c r="C174" s="334"/>
      <c r="D174" s="188" t="s">
        <v>13885</v>
      </c>
      <c r="E174" s="189" t="s">
        <v>13886</v>
      </c>
      <c r="F174" s="162" t="s">
        <v>13887</v>
      </c>
      <c r="G174" s="162" t="s">
        <v>13413</v>
      </c>
      <c r="H174" s="219"/>
      <c r="I174" s="169">
        <v>117074</v>
      </c>
      <c r="J174" s="304" t="str">
        <f>CONCATENATE([2]Cover!$D$6,"fdd/view?i=",I174)</f>
        <v>https://www.dgiwg.org/FAD/fdd/view?i=117074</v>
      </c>
      <c r="K174" s="304" t="s">
        <v>34223</v>
      </c>
      <c r="L174" s="188">
        <v>99</v>
      </c>
      <c r="M174" s="179" t="s">
        <v>151</v>
      </c>
    </row>
    <row r="175" spans="1:13" ht="38.25">
      <c r="A175" s="313" t="str">
        <f t="shared" si="2"/>
        <v>AerialRefuelReceiveChanCode_chan036X</v>
      </c>
      <c r="B175" s="330"/>
      <c r="C175" s="334"/>
      <c r="D175" s="188" t="s">
        <v>13888</v>
      </c>
      <c r="E175" s="189" t="s">
        <v>13889</v>
      </c>
      <c r="F175" s="162" t="s">
        <v>13890</v>
      </c>
      <c r="G175" s="162" t="s">
        <v>13413</v>
      </c>
      <c r="H175" s="219"/>
      <c r="I175" s="169">
        <v>117075</v>
      </c>
      <c r="J175" s="304" t="str">
        <f>CONCATENATE([2]Cover!$D$6,"fdd/view?i=",I175)</f>
        <v>https://www.dgiwg.org/FAD/fdd/view?i=117075</v>
      </c>
      <c r="K175" s="304" t="s">
        <v>34224</v>
      </c>
      <c r="L175" s="188">
        <v>100</v>
      </c>
      <c r="M175" s="179" t="s">
        <v>151</v>
      </c>
    </row>
    <row r="176" spans="1:13" ht="38.25">
      <c r="A176" s="313" t="str">
        <f t="shared" si="2"/>
        <v>AerialRefuelReceiveChanCode_chan036Y</v>
      </c>
      <c r="B176" s="330"/>
      <c r="C176" s="334"/>
      <c r="D176" s="188" t="s">
        <v>13891</v>
      </c>
      <c r="E176" s="189" t="s">
        <v>13892</v>
      </c>
      <c r="F176" s="162" t="s">
        <v>13893</v>
      </c>
      <c r="G176" s="162" t="s">
        <v>13413</v>
      </c>
      <c r="H176" s="219"/>
      <c r="I176" s="169">
        <v>117076</v>
      </c>
      <c r="J176" s="304" t="str">
        <f>CONCATENATE([2]Cover!$D$6,"fdd/view?i=",I176)</f>
        <v>https://www.dgiwg.org/FAD/fdd/view?i=117076</v>
      </c>
      <c r="K176" s="304" t="s">
        <v>34225</v>
      </c>
      <c r="L176" s="188">
        <v>101</v>
      </c>
      <c r="M176" s="179" t="s">
        <v>151</v>
      </c>
    </row>
    <row r="177" spans="1:13" ht="38.25">
      <c r="A177" s="313" t="str">
        <f t="shared" si="2"/>
        <v>AerialRefuelReceiveChanCode_chan036Z</v>
      </c>
      <c r="B177" s="330"/>
      <c r="C177" s="334"/>
      <c r="D177" s="188" t="s">
        <v>13894</v>
      </c>
      <c r="E177" s="189" t="s">
        <v>13895</v>
      </c>
      <c r="F177" s="162" t="s">
        <v>13896</v>
      </c>
      <c r="G177" s="162" t="s">
        <v>13413</v>
      </c>
      <c r="H177" s="219"/>
      <c r="I177" s="169">
        <v>117077</v>
      </c>
      <c r="J177" s="304" t="str">
        <f>CONCATENATE([2]Cover!$D$6,"fdd/view?i=",I177)</f>
        <v>https://www.dgiwg.org/FAD/fdd/view?i=117077</v>
      </c>
      <c r="K177" s="304" t="s">
        <v>34226</v>
      </c>
      <c r="L177" s="188">
        <v>102</v>
      </c>
      <c r="M177" s="179" t="s">
        <v>151</v>
      </c>
    </row>
    <row r="178" spans="1:13" ht="38.25">
      <c r="A178" s="313" t="str">
        <f t="shared" si="2"/>
        <v>AerialRefuelReceiveChanCode_chan037X</v>
      </c>
      <c r="B178" s="330"/>
      <c r="C178" s="334"/>
      <c r="D178" s="188" t="s">
        <v>13897</v>
      </c>
      <c r="E178" s="189" t="s">
        <v>13898</v>
      </c>
      <c r="F178" s="162" t="s">
        <v>13899</v>
      </c>
      <c r="G178" s="162" t="s">
        <v>13413</v>
      </c>
      <c r="H178" s="219"/>
      <c r="I178" s="169">
        <v>117078</v>
      </c>
      <c r="J178" s="304" t="str">
        <f>CONCATENATE([2]Cover!$D$6,"fdd/view?i=",I178)</f>
        <v>https://www.dgiwg.org/FAD/fdd/view?i=117078</v>
      </c>
      <c r="K178" s="304" t="s">
        <v>34227</v>
      </c>
      <c r="L178" s="188">
        <v>103</v>
      </c>
      <c r="M178" s="179" t="s">
        <v>151</v>
      </c>
    </row>
    <row r="179" spans="1:13" ht="38.25">
      <c r="A179" s="313" t="str">
        <f t="shared" si="2"/>
        <v>AerialRefuelReceiveChanCode_chan037Y</v>
      </c>
      <c r="B179" s="330"/>
      <c r="C179" s="334"/>
      <c r="D179" s="188" t="s">
        <v>13900</v>
      </c>
      <c r="E179" s="189" t="s">
        <v>13901</v>
      </c>
      <c r="F179" s="162" t="s">
        <v>13902</v>
      </c>
      <c r="G179" s="162" t="s">
        <v>13413</v>
      </c>
      <c r="H179" s="219"/>
      <c r="I179" s="169">
        <v>117079</v>
      </c>
      <c r="J179" s="304" t="str">
        <f>CONCATENATE([2]Cover!$D$6,"fdd/view?i=",I179)</f>
        <v>https://www.dgiwg.org/FAD/fdd/view?i=117079</v>
      </c>
      <c r="K179" s="304" t="s">
        <v>34228</v>
      </c>
      <c r="L179" s="188">
        <v>104</v>
      </c>
      <c r="M179" s="179" t="s">
        <v>151</v>
      </c>
    </row>
    <row r="180" spans="1:13" ht="38.25">
      <c r="A180" s="313" t="str">
        <f t="shared" si="2"/>
        <v>AerialRefuelReceiveChanCode_chan037Z</v>
      </c>
      <c r="B180" s="330"/>
      <c r="C180" s="334"/>
      <c r="D180" s="188" t="s">
        <v>13903</v>
      </c>
      <c r="E180" s="189" t="s">
        <v>13904</v>
      </c>
      <c r="F180" s="162" t="s">
        <v>13905</v>
      </c>
      <c r="G180" s="162" t="s">
        <v>13413</v>
      </c>
      <c r="H180" s="219"/>
      <c r="I180" s="169">
        <v>117080</v>
      </c>
      <c r="J180" s="304" t="str">
        <f>CONCATENATE([2]Cover!$D$6,"fdd/view?i=",I180)</f>
        <v>https://www.dgiwg.org/FAD/fdd/view?i=117080</v>
      </c>
      <c r="K180" s="304" t="s">
        <v>34229</v>
      </c>
      <c r="L180" s="188">
        <v>105</v>
      </c>
      <c r="M180" s="179" t="s">
        <v>151</v>
      </c>
    </row>
    <row r="181" spans="1:13" ht="38.25">
      <c r="A181" s="313" t="str">
        <f t="shared" si="2"/>
        <v>AerialRefuelReceiveChanCode_chan038W</v>
      </c>
      <c r="B181" s="330"/>
      <c r="C181" s="334"/>
      <c r="D181" s="188" t="s">
        <v>13906</v>
      </c>
      <c r="E181" s="189" t="s">
        <v>13907</v>
      </c>
      <c r="F181" s="162" t="s">
        <v>13908</v>
      </c>
      <c r="G181" s="162" t="s">
        <v>13413</v>
      </c>
      <c r="H181" s="219"/>
      <c r="I181" s="169">
        <v>117081</v>
      </c>
      <c r="J181" s="304" t="str">
        <f>CONCATENATE([2]Cover!$D$6,"fdd/view?i=",I181)</f>
        <v>https://www.dgiwg.org/FAD/fdd/view?i=117081</v>
      </c>
      <c r="K181" s="304" t="s">
        <v>34230</v>
      </c>
      <c r="L181" s="188">
        <v>106</v>
      </c>
      <c r="M181" s="179" t="s">
        <v>151</v>
      </c>
    </row>
    <row r="182" spans="1:13" ht="38.25">
      <c r="A182" s="313" t="str">
        <f t="shared" si="2"/>
        <v>AerialRefuelReceiveChanCode_chan038X</v>
      </c>
      <c r="B182" s="330"/>
      <c r="C182" s="334"/>
      <c r="D182" s="188" t="s">
        <v>13909</v>
      </c>
      <c r="E182" s="189" t="s">
        <v>13910</v>
      </c>
      <c r="F182" s="162" t="s">
        <v>13911</v>
      </c>
      <c r="G182" s="162" t="s">
        <v>13413</v>
      </c>
      <c r="H182" s="219"/>
      <c r="I182" s="169">
        <v>117082</v>
      </c>
      <c r="J182" s="304" t="str">
        <f>CONCATENATE([2]Cover!$D$6,"fdd/view?i=",I182)</f>
        <v>https://www.dgiwg.org/FAD/fdd/view?i=117082</v>
      </c>
      <c r="K182" s="304" t="s">
        <v>34231</v>
      </c>
      <c r="L182" s="188">
        <v>107</v>
      </c>
      <c r="M182" s="179" t="s">
        <v>151</v>
      </c>
    </row>
    <row r="183" spans="1:13" ht="38.25">
      <c r="A183" s="313" t="str">
        <f t="shared" si="2"/>
        <v>AerialRefuelReceiveChanCode_chan038Y</v>
      </c>
      <c r="B183" s="330"/>
      <c r="C183" s="334"/>
      <c r="D183" s="188" t="s">
        <v>13912</v>
      </c>
      <c r="E183" s="189" t="s">
        <v>13913</v>
      </c>
      <c r="F183" s="162" t="s">
        <v>13914</v>
      </c>
      <c r="G183" s="162" t="s">
        <v>13413</v>
      </c>
      <c r="H183" s="219"/>
      <c r="I183" s="169">
        <v>117083</v>
      </c>
      <c r="J183" s="304" t="str">
        <f>CONCATENATE([2]Cover!$D$6,"fdd/view?i=",I183)</f>
        <v>https://www.dgiwg.org/FAD/fdd/view?i=117083</v>
      </c>
      <c r="K183" s="304" t="s">
        <v>34232</v>
      </c>
      <c r="L183" s="188">
        <v>108</v>
      </c>
      <c r="M183" s="179" t="s">
        <v>151</v>
      </c>
    </row>
    <row r="184" spans="1:13" ht="38.25">
      <c r="A184" s="313" t="str">
        <f t="shared" si="2"/>
        <v>AerialRefuelReceiveChanCode_chan038Z</v>
      </c>
      <c r="B184" s="330"/>
      <c r="C184" s="334"/>
      <c r="D184" s="188" t="s">
        <v>13915</v>
      </c>
      <c r="E184" s="189" t="s">
        <v>13916</v>
      </c>
      <c r="F184" s="162" t="s">
        <v>13917</v>
      </c>
      <c r="G184" s="162" t="s">
        <v>13413</v>
      </c>
      <c r="H184" s="219"/>
      <c r="I184" s="169">
        <v>117084</v>
      </c>
      <c r="J184" s="304" t="str">
        <f>CONCATENATE([2]Cover!$D$6,"fdd/view?i=",I184)</f>
        <v>https://www.dgiwg.org/FAD/fdd/view?i=117084</v>
      </c>
      <c r="K184" s="304" t="s">
        <v>34233</v>
      </c>
      <c r="L184" s="188">
        <v>109</v>
      </c>
      <c r="M184" s="179" t="s">
        <v>151</v>
      </c>
    </row>
    <row r="185" spans="1:13" ht="38.25">
      <c r="A185" s="313" t="str">
        <f t="shared" si="2"/>
        <v>AerialRefuelReceiveChanCode_chan039X</v>
      </c>
      <c r="B185" s="330"/>
      <c r="C185" s="334"/>
      <c r="D185" s="188" t="s">
        <v>13918</v>
      </c>
      <c r="E185" s="189" t="s">
        <v>13919</v>
      </c>
      <c r="F185" s="162" t="s">
        <v>13920</v>
      </c>
      <c r="G185" s="162" t="s">
        <v>13413</v>
      </c>
      <c r="H185" s="219"/>
      <c r="I185" s="169">
        <v>117085</v>
      </c>
      <c r="J185" s="304" t="str">
        <f>CONCATENATE([2]Cover!$D$6,"fdd/view?i=",I185)</f>
        <v>https://www.dgiwg.org/FAD/fdd/view?i=117085</v>
      </c>
      <c r="K185" s="304" t="s">
        <v>34234</v>
      </c>
      <c r="L185" s="188">
        <v>110</v>
      </c>
      <c r="M185" s="179" t="s">
        <v>151</v>
      </c>
    </row>
    <row r="186" spans="1:13" ht="38.25">
      <c r="A186" s="313" t="str">
        <f t="shared" si="2"/>
        <v>AerialRefuelReceiveChanCode_chan039Y</v>
      </c>
      <c r="B186" s="330"/>
      <c r="C186" s="334"/>
      <c r="D186" s="188" t="s">
        <v>13921</v>
      </c>
      <c r="E186" s="189" t="s">
        <v>13922</v>
      </c>
      <c r="F186" s="162" t="s">
        <v>13923</v>
      </c>
      <c r="G186" s="162" t="s">
        <v>13413</v>
      </c>
      <c r="H186" s="219"/>
      <c r="I186" s="169">
        <v>117086</v>
      </c>
      <c r="J186" s="304" t="str">
        <f>CONCATENATE([2]Cover!$D$6,"fdd/view?i=",I186)</f>
        <v>https://www.dgiwg.org/FAD/fdd/view?i=117086</v>
      </c>
      <c r="K186" s="304" t="s">
        <v>34235</v>
      </c>
      <c r="L186" s="188">
        <v>111</v>
      </c>
      <c r="M186" s="179" t="s">
        <v>151</v>
      </c>
    </row>
    <row r="187" spans="1:13" ht="38.25">
      <c r="A187" s="313" t="str">
        <f t="shared" si="2"/>
        <v>AerialRefuelReceiveChanCode_chan039Z</v>
      </c>
      <c r="B187" s="330"/>
      <c r="C187" s="334"/>
      <c r="D187" s="188" t="s">
        <v>13924</v>
      </c>
      <c r="E187" s="189" t="s">
        <v>13925</v>
      </c>
      <c r="F187" s="162" t="s">
        <v>13926</v>
      </c>
      <c r="G187" s="162" t="s">
        <v>13413</v>
      </c>
      <c r="H187" s="219"/>
      <c r="I187" s="169">
        <v>117087</v>
      </c>
      <c r="J187" s="304" t="str">
        <f>CONCATENATE([2]Cover!$D$6,"fdd/view?i=",I187)</f>
        <v>https://www.dgiwg.org/FAD/fdd/view?i=117087</v>
      </c>
      <c r="K187" s="304" t="s">
        <v>34236</v>
      </c>
      <c r="L187" s="188">
        <v>112</v>
      </c>
      <c r="M187" s="179" t="s">
        <v>151</v>
      </c>
    </row>
    <row r="188" spans="1:13" ht="38.25">
      <c r="A188" s="313" t="str">
        <f t="shared" si="2"/>
        <v>AerialRefuelReceiveChanCode_chan040W</v>
      </c>
      <c r="B188" s="330"/>
      <c r="C188" s="334"/>
      <c r="D188" s="188" t="s">
        <v>13933</v>
      </c>
      <c r="E188" s="189" t="s">
        <v>13934</v>
      </c>
      <c r="F188" s="162" t="s">
        <v>13935</v>
      </c>
      <c r="G188" s="162" t="s">
        <v>13413</v>
      </c>
      <c r="H188" s="219"/>
      <c r="I188" s="169">
        <v>117088</v>
      </c>
      <c r="J188" s="304" t="str">
        <f>CONCATENATE([2]Cover!$D$6,"fdd/view?i=",I188)</f>
        <v>https://www.dgiwg.org/FAD/fdd/view?i=117088</v>
      </c>
      <c r="K188" s="304" t="s">
        <v>34237</v>
      </c>
      <c r="L188" s="188">
        <v>113</v>
      </c>
      <c r="M188" s="179" t="s">
        <v>151</v>
      </c>
    </row>
    <row r="189" spans="1:13" ht="38.25">
      <c r="A189" s="313" t="str">
        <f t="shared" si="2"/>
        <v>AerialRefuelReceiveChanCode_chan040X</v>
      </c>
      <c r="B189" s="330"/>
      <c r="C189" s="334"/>
      <c r="D189" s="188" t="s">
        <v>13936</v>
      </c>
      <c r="E189" s="189" t="s">
        <v>13937</v>
      </c>
      <c r="F189" s="162" t="s">
        <v>13938</v>
      </c>
      <c r="G189" s="162" t="s">
        <v>13413</v>
      </c>
      <c r="H189" s="219"/>
      <c r="I189" s="169">
        <v>117089</v>
      </c>
      <c r="J189" s="304" t="str">
        <f>CONCATENATE([2]Cover!$D$6,"fdd/view?i=",I189)</f>
        <v>https://www.dgiwg.org/FAD/fdd/view?i=117089</v>
      </c>
      <c r="K189" s="304" t="s">
        <v>34238</v>
      </c>
      <c r="L189" s="188">
        <v>114</v>
      </c>
      <c r="M189" s="179" t="s">
        <v>151</v>
      </c>
    </row>
    <row r="190" spans="1:13" ht="38.25">
      <c r="A190" s="313" t="str">
        <f t="shared" si="2"/>
        <v>AerialRefuelReceiveChanCode_chan040Y</v>
      </c>
      <c r="B190" s="330"/>
      <c r="C190" s="334"/>
      <c r="D190" s="188" t="s">
        <v>13939</v>
      </c>
      <c r="E190" s="189" t="s">
        <v>13940</v>
      </c>
      <c r="F190" s="162" t="s">
        <v>13941</v>
      </c>
      <c r="G190" s="162" t="s">
        <v>13413</v>
      </c>
      <c r="H190" s="219"/>
      <c r="I190" s="169">
        <v>117090</v>
      </c>
      <c r="J190" s="304" t="str">
        <f>CONCATENATE([2]Cover!$D$6,"fdd/view?i=",I190)</f>
        <v>https://www.dgiwg.org/FAD/fdd/view?i=117090</v>
      </c>
      <c r="K190" s="304" t="s">
        <v>34239</v>
      </c>
      <c r="L190" s="188">
        <v>115</v>
      </c>
      <c r="M190" s="179" t="s">
        <v>151</v>
      </c>
    </row>
    <row r="191" spans="1:13" ht="38.25">
      <c r="A191" s="313" t="str">
        <f t="shared" si="2"/>
        <v>AerialRefuelReceiveChanCode_chan040Z</v>
      </c>
      <c r="B191" s="330"/>
      <c r="C191" s="334"/>
      <c r="D191" s="188" t="s">
        <v>13942</v>
      </c>
      <c r="E191" s="189" t="s">
        <v>13943</v>
      </c>
      <c r="F191" s="162" t="s">
        <v>13944</v>
      </c>
      <c r="G191" s="162" t="s">
        <v>13413</v>
      </c>
      <c r="H191" s="219"/>
      <c r="I191" s="169">
        <v>117091</v>
      </c>
      <c r="J191" s="304" t="str">
        <f>CONCATENATE([2]Cover!$D$6,"fdd/view?i=",I191)</f>
        <v>https://www.dgiwg.org/FAD/fdd/view?i=117091</v>
      </c>
      <c r="K191" s="304" t="s">
        <v>34240</v>
      </c>
      <c r="L191" s="188">
        <v>116</v>
      </c>
      <c r="M191" s="179" t="s">
        <v>151</v>
      </c>
    </row>
    <row r="192" spans="1:13" ht="38.25">
      <c r="A192" s="313" t="str">
        <f t="shared" si="2"/>
        <v>AerialRefuelReceiveChanCode_chan041X</v>
      </c>
      <c r="B192" s="330"/>
      <c r="C192" s="334"/>
      <c r="D192" s="188" t="s">
        <v>13945</v>
      </c>
      <c r="E192" s="189" t="s">
        <v>13946</v>
      </c>
      <c r="F192" s="162" t="s">
        <v>13947</v>
      </c>
      <c r="G192" s="162" t="s">
        <v>13413</v>
      </c>
      <c r="H192" s="219"/>
      <c r="I192" s="169">
        <v>117092</v>
      </c>
      <c r="J192" s="304" t="str">
        <f>CONCATENATE([2]Cover!$D$6,"fdd/view?i=",I192)</f>
        <v>https://www.dgiwg.org/FAD/fdd/view?i=117092</v>
      </c>
      <c r="K192" s="304" t="s">
        <v>34241</v>
      </c>
      <c r="L192" s="188">
        <v>117</v>
      </c>
      <c r="M192" s="179" t="s">
        <v>151</v>
      </c>
    </row>
    <row r="193" spans="1:13" ht="38.25">
      <c r="A193" s="313" t="str">
        <f t="shared" si="2"/>
        <v>AerialRefuelReceiveChanCode_chan041Y</v>
      </c>
      <c r="B193" s="330"/>
      <c r="C193" s="334"/>
      <c r="D193" s="188" t="s">
        <v>13948</v>
      </c>
      <c r="E193" s="189" t="s">
        <v>13949</v>
      </c>
      <c r="F193" s="162" t="s">
        <v>13950</v>
      </c>
      <c r="G193" s="162" t="s">
        <v>13413</v>
      </c>
      <c r="H193" s="219"/>
      <c r="I193" s="169">
        <v>117093</v>
      </c>
      <c r="J193" s="304" t="str">
        <f>CONCATENATE([2]Cover!$D$6,"fdd/view?i=",I193)</f>
        <v>https://www.dgiwg.org/FAD/fdd/view?i=117093</v>
      </c>
      <c r="K193" s="304" t="s">
        <v>34242</v>
      </c>
      <c r="L193" s="188">
        <v>118</v>
      </c>
      <c r="M193" s="179" t="s">
        <v>151</v>
      </c>
    </row>
    <row r="194" spans="1:13" ht="38.25">
      <c r="A194" s="313" t="str">
        <f t="shared" si="2"/>
        <v>AerialRefuelReceiveChanCode_chan041Z</v>
      </c>
      <c r="B194" s="330"/>
      <c r="C194" s="334"/>
      <c r="D194" s="188" t="s">
        <v>13951</v>
      </c>
      <c r="E194" s="189" t="s">
        <v>13952</v>
      </c>
      <c r="F194" s="162" t="s">
        <v>13953</v>
      </c>
      <c r="G194" s="162" t="s">
        <v>13413</v>
      </c>
      <c r="H194" s="219"/>
      <c r="I194" s="169">
        <v>117094</v>
      </c>
      <c r="J194" s="304" t="str">
        <f>CONCATENATE([2]Cover!$D$6,"fdd/view?i=",I194)</f>
        <v>https://www.dgiwg.org/FAD/fdd/view?i=117094</v>
      </c>
      <c r="K194" s="304" t="s">
        <v>34243</v>
      </c>
      <c r="L194" s="188">
        <v>119</v>
      </c>
      <c r="M194" s="179" t="s">
        <v>151</v>
      </c>
    </row>
    <row r="195" spans="1:13" ht="38.25">
      <c r="A195" s="313" t="str">
        <f t="shared" ref="A195:A258" si="3">HYPERLINK(J195,K195)</f>
        <v>AerialRefuelReceiveChanCode_chan042W</v>
      </c>
      <c r="B195" s="330"/>
      <c r="C195" s="334"/>
      <c r="D195" s="188" t="s">
        <v>13954</v>
      </c>
      <c r="E195" s="189" t="s">
        <v>13955</v>
      </c>
      <c r="F195" s="162" t="s">
        <v>13956</v>
      </c>
      <c r="G195" s="162" t="s">
        <v>13413</v>
      </c>
      <c r="H195" s="219"/>
      <c r="I195" s="169">
        <v>117095</v>
      </c>
      <c r="J195" s="304" t="str">
        <f>CONCATENATE([2]Cover!$D$6,"fdd/view?i=",I195)</f>
        <v>https://www.dgiwg.org/FAD/fdd/view?i=117095</v>
      </c>
      <c r="K195" s="304" t="s">
        <v>34244</v>
      </c>
      <c r="L195" s="188">
        <v>120</v>
      </c>
      <c r="M195" s="179" t="s">
        <v>151</v>
      </c>
    </row>
    <row r="196" spans="1:13" ht="38.25">
      <c r="A196" s="313" t="str">
        <f t="shared" si="3"/>
        <v>AerialRefuelReceiveChanCode_chan042X</v>
      </c>
      <c r="B196" s="330"/>
      <c r="C196" s="334"/>
      <c r="D196" s="188" t="s">
        <v>13957</v>
      </c>
      <c r="E196" s="189" t="s">
        <v>13958</v>
      </c>
      <c r="F196" s="162" t="s">
        <v>13959</v>
      </c>
      <c r="G196" s="162" t="s">
        <v>13413</v>
      </c>
      <c r="H196" s="219"/>
      <c r="I196" s="169">
        <v>117096</v>
      </c>
      <c r="J196" s="304" t="str">
        <f>CONCATENATE([2]Cover!$D$6,"fdd/view?i=",I196)</f>
        <v>https://www.dgiwg.org/FAD/fdd/view?i=117096</v>
      </c>
      <c r="K196" s="304" t="s">
        <v>34245</v>
      </c>
      <c r="L196" s="188">
        <v>121</v>
      </c>
      <c r="M196" s="179" t="s">
        <v>151</v>
      </c>
    </row>
    <row r="197" spans="1:13" ht="38.25">
      <c r="A197" s="313" t="str">
        <f t="shared" si="3"/>
        <v>AerialRefuelReceiveChanCode_chan042Y</v>
      </c>
      <c r="B197" s="330"/>
      <c r="C197" s="334"/>
      <c r="D197" s="188" t="s">
        <v>13960</v>
      </c>
      <c r="E197" s="189" t="s">
        <v>13961</v>
      </c>
      <c r="F197" s="162" t="s">
        <v>13962</v>
      </c>
      <c r="G197" s="162" t="s">
        <v>13413</v>
      </c>
      <c r="H197" s="219"/>
      <c r="I197" s="169">
        <v>117097</v>
      </c>
      <c r="J197" s="304" t="str">
        <f>CONCATENATE([2]Cover!$D$6,"fdd/view?i=",I197)</f>
        <v>https://www.dgiwg.org/FAD/fdd/view?i=117097</v>
      </c>
      <c r="K197" s="304" t="s">
        <v>34246</v>
      </c>
      <c r="L197" s="188">
        <v>122</v>
      </c>
      <c r="M197" s="179" t="s">
        <v>151</v>
      </c>
    </row>
    <row r="198" spans="1:13" ht="38.25">
      <c r="A198" s="313" t="str">
        <f t="shared" si="3"/>
        <v>AerialRefuelReceiveChanCode_chan042Z</v>
      </c>
      <c r="B198" s="330"/>
      <c r="C198" s="334"/>
      <c r="D198" s="188" t="s">
        <v>13963</v>
      </c>
      <c r="E198" s="189" t="s">
        <v>13964</v>
      </c>
      <c r="F198" s="162" t="s">
        <v>13965</v>
      </c>
      <c r="G198" s="162" t="s">
        <v>13413</v>
      </c>
      <c r="H198" s="219"/>
      <c r="I198" s="169">
        <v>117098</v>
      </c>
      <c r="J198" s="304" t="str">
        <f>CONCATENATE([2]Cover!$D$6,"fdd/view?i=",I198)</f>
        <v>https://www.dgiwg.org/FAD/fdd/view?i=117098</v>
      </c>
      <c r="K198" s="304" t="s">
        <v>34247</v>
      </c>
      <c r="L198" s="188">
        <v>123</v>
      </c>
      <c r="M198" s="179" t="s">
        <v>151</v>
      </c>
    </row>
    <row r="199" spans="1:13" ht="38.25">
      <c r="A199" s="313" t="str">
        <f t="shared" si="3"/>
        <v>AerialRefuelReceiveChanCode_chan043X</v>
      </c>
      <c r="B199" s="330"/>
      <c r="C199" s="334"/>
      <c r="D199" s="188" t="s">
        <v>13966</v>
      </c>
      <c r="E199" s="189" t="s">
        <v>13967</v>
      </c>
      <c r="F199" s="162" t="s">
        <v>13968</v>
      </c>
      <c r="G199" s="162" t="s">
        <v>13413</v>
      </c>
      <c r="H199" s="219"/>
      <c r="I199" s="169">
        <v>117099</v>
      </c>
      <c r="J199" s="304" t="str">
        <f>CONCATENATE([2]Cover!$D$6,"fdd/view?i=",I199)</f>
        <v>https://www.dgiwg.org/FAD/fdd/view?i=117099</v>
      </c>
      <c r="K199" s="304" t="s">
        <v>34248</v>
      </c>
      <c r="L199" s="188">
        <v>124</v>
      </c>
      <c r="M199" s="179" t="s">
        <v>151</v>
      </c>
    </row>
    <row r="200" spans="1:13" ht="38.25">
      <c r="A200" s="313" t="str">
        <f t="shared" si="3"/>
        <v>AerialRefuelReceiveChanCode_chan043Y</v>
      </c>
      <c r="B200" s="330"/>
      <c r="C200" s="334"/>
      <c r="D200" s="188" t="s">
        <v>13969</v>
      </c>
      <c r="E200" s="189" t="s">
        <v>13970</v>
      </c>
      <c r="F200" s="162" t="s">
        <v>13971</v>
      </c>
      <c r="G200" s="162" t="s">
        <v>13413</v>
      </c>
      <c r="H200" s="219"/>
      <c r="I200" s="169">
        <v>117100</v>
      </c>
      <c r="J200" s="304" t="str">
        <f>CONCATENATE([2]Cover!$D$6,"fdd/view?i=",I200)</f>
        <v>https://www.dgiwg.org/FAD/fdd/view?i=117100</v>
      </c>
      <c r="K200" s="304" t="s">
        <v>34249</v>
      </c>
      <c r="L200" s="188">
        <v>125</v>
      </c>
      <c r="M200" s="179" t="s">
        <v>151</v>
      </c>
    </row>
    <row r="201" spans="1:13" ht="38.25">
      <c r="A201" s="313" t="str">
        <f t="shared" si="3"/>
        <v>AerialRefuelReceiveChanCode_chan043Z</v>
      </c>
      <c r="B201" s="330"/>
      <c r="C201" s="334"/>
      <c r="D201" s="188" t="s">
        <v>13972</v>
      </c>
      <c r="E201" s="189" t="s">
        <v>13973</v>
      </c>
      <c r="F201" s="162" t="s">
        <v>13974</v>
      </c>
      <c r="G201" s="162" t="s">
        <v>13413</v>
      </c>
      <c r="H201" s="219"/>
      <c r="I201" s="169">
        <v>117101</v>
      </c>
      <c r="J201" s="304" t="str">
        <f>CONCATENATE([2]Cover!$D$6,"fdd/view?i=",I201)</f>
        <v>https://www.dgiwg.org/FAD/fdd/view?i=117101</v>
      </c>
      <c r="K201" s="304" t="s">
        <v>34250</v>
      </c>
      <c r="L201" s="188">
        <v>126</v>
      </c>
      <c r="M201" s="179" t="s">
        <v>151</v>
      </c>
    </row>
    <row r="202" spans="1:13" ht="38.25">
      <c r="A202" s="313" t="str">
        <f t="shared" si="3"/>
        <v>AerialRefuelReceiveChanCode_chan044W</v>
      </c>
      <c r="B202" s="330"/>
      <c r="C202" s="334"/>
      <c r="D202" s="188" t="s">
        <v>13975</v>
      </c>
      <c r="E202" s="189" t="s">
        <v>13976</v>
      </c>
      <c r="F202" s="162" t="s">
        <v>13977</v>
      </c>
      <c r="G202" s="162" t="s">
        <v>13413</v>
      </c>
      <c r="H202" s="219"/>
      <c r="I202" s="169">
        <v>117102</v>
      </c>
      <c r="J202" s="304" t="str">
        <f>CONCATENATE([2]Cover!$D$6,"fdd/view?i=",I202)</f>
        <v>https://www.dgiwg.org/FAD/fdd/view?i=117102</v>
      </c>
      <c r="K202" s="304" t="s">
        <v>34251</v>
      </c>
      <c r="L202" s="188">
        <v>127</v>
      </c>
      <c r="M202" s="179" t="s">
        <v>151</v>
      </c>
    </row>
    <row r="203" spans="1:13" ht="38.25">
      <c r="A203" s="313" t="str">
        <f t="shared" si="3"/>
        <v>AerialRefuelReceiveChanCode_chan044X</v>
      </c>
      <c r="B203" s="330"/>
      <c r="C203" s="334"/>
      <c r="D203" s="188" t="s">
        <v>13978</v>
      </c>
      <c r="E203" s="189" t="s">
        <v>13979</v>
      </c>
      <c r="F203" s="162" t="s">
        <v>13980</v>
      </c>
      <c r="G203" s="162" t="s">
        <v>13413</v>
      </c>
      <c r="H203" s="219"/>
      <c r="I203" s="169">
        <v>117103</v>
      </c>
      <c r="J203" s="304" t="str">
        <f>CONCATENATE([2]Cover!$D$6,"fdd/view?i=",I203)</f>
        <v>https://www.dgiwg.org/FAD/fdd/view?i=117103</v>
      </c>
      <c r="K203" s="304" t="s">
        <v>34252</v>
      </c>
      <c r="L203" s="188">
        <v>128</v>
      </c>
      <c r="M203" s="179" t="s">
        <v>151</v>
      </c>
    </row>
    <row r="204" spans="1:13" ht="38.25">
      <c r="A204" s="313" t="str">
        <f t="shared" si="3"/>
        <v>AerialRefuelReceiveChanCode_chan044Y</v>
      </c>
      <c r="B204" s="330"/>
      <c r="C204" s="334"/>
      <c r="D204" s="188" t="s">
        <v>13981</v>
      </c>
      <c r="E204" s="189" t="s">
        <v>13982</v>
      </c>
      <c r="F204" s="162" t="s">
        <v>13983</v>
      </c>
      <c r="G204" s="162" t="s">
        <v>13413</v>
      </c>
      <c r="H204" s="219"/>
      <c r="I204" s="169">
        <v>117104</v>
      </c>
      <c r="J204" s="304" t="str">
        <f>CONCATENATE([2]Cover!$D$6,"fdd/view?i=",I204)</f>
        <v>https://www.dgiwg.org/FAD/fdd/view?i=117104</v>
      </c>
      <c r="K204" s="304" t="s">
        <v>34253</v>
      </c>
      <c r="L204" s="188">
        <v>129</v>
      </c>
      <c r="M204" s="179" t="s">
        <v>151</v>
      </c>
    </row>
    <row r="205" spans="1:13" ht="38.25">
      <c r="A205" s="313" t="str">
        <f t="shared" si="3"/>
        <v>AerialRefuelReceiveChanCode_chan044Z</v>
      </c>
      <c r="B205" s="330"/>
      <c r="C205" s="334"/>
      <c r="D205" s="188" t="s">
        <v>13984</v>
      </c>
      <c r="E205" s="189" t="s">
        <v>13985</v>
      </c>
      <c r="F205" s="162" t="s">
        <v>13986</v>
      </c>
      <c r="G205" s="162" t="s">
        <v>13413</v>
      </c>
      <c r="H205" s="219"/>
      <c r="I205" s="169">
        <v>117105</v>
      </c>
      <c r="J205" s="304" t="str">
        <f>CONCATENATE([2]Cover!$D$6,"fdd/view?i=",I205)</f>
        <v>https://www.dgiwg.org/FAD/fdd/view?i=117105</v>
      </c>
      <c r="K205" s="304" t="s">
        <v>34254</v>
      </c>
      <c r="L205" s="188">
        <v>130</v>
      </c>
      <c r="M205" s="179" t="s">
        <v>151</v>
      </c>
    </row>
    <row r="206" spans="1:13" ht="38.25">
      <c r="A206" s="313" t="str">
        <f t="shared" si="3"/>
        <v>AerialRefuelReceiveChanCode_chan045X</v>
      </c>
      <c r="B206" s="330"/>
      <c r="C206" s="334"/>
      <c r="D206" s="188" t="s">
        <v>13987</v>
      </c>
      <c r="E206" s="189" t="s">
        <v>13988</v>
      </c>
      <c r="F206" s="162" t="s">
        <v>13989</v>
      </c>
      <c r="G206" s="162" t="s">
        <v>13413</v>
      </c>
      <c r="H206" s="219"/>
      <c r="I206" s="169">
        <v>117106</v>
      </c>
      <c r="J206" s="304" t="str">
        <f>CONCATENATE([2]Cover!$D$6,"fdd/view?i=",I206)</f>
        <v>https://www.dgiwg.org/FAD/fdd/view?i=117106</v>
      </c>
      <c r="K206" s="304" t="s">
        <v>34255</v>
      </c>
      <c r="L206" s="188">
        <v>131</v>
      </c>
      <c r="M206" s="179" t="s">
        <v>151</v>
      </c>
    </row>
    <row r="207" spans="1:13" ht="38.25">
      <c r="A207" s="313" t="str">
        <f t="shared" si="3"/>
        <v>AerialRefuelReceiveChanCode_chan045Y</v>
      </c>
      <c r="B207" s="330"/>
      <c r="C207" s="334"/>
      <c r="D207" s="188" t="s">
        <v>13990</v>
      </c>
      <c r="E207" s="189" t="s">
        <v>13991</v>
      </c>
      <c r="F207" s="162" t="s">
        <v>13992</v>
      </c>
      <c r="G207" s="162" t="s">
        <v>13413</v>
      </c>
      <c r="H207" s="219"/>
      <c r="I207" s="169">
        <v>117107</v>
      </c>
      <c r="J207" s="304" t="str">
        <f>CONCATENATE([2]Cover!$D$6,"fdd/view?i=",I207)</f>
        <v>https://www.dgiwg.org/FAD/fdd/view?i=117107</v>
      </c>
      <c r="K207" s="304" t="s">
        <v>34256</v>
      </c>
      <c r="L207" s="188">
        <v>132</v>
      </c>
      <c r="M207" s="179" t="s">
        <v>151</v>
      </c>
    </row>
    <row r="208" spans="1:13" ht="38.25">
      <c r="A208" s="313" t="str">
        <f t="shared" si="3"/>
        <v>AerialRefuelReceiveChanCode_chan045Z</v>
      </c>
      <c r="B208" s="330"/>
      <c r="C208" s="334"/>
      <c r="D208" s="188" t="s">
        <v>13993</v>
      </c>
      <c r="E208" s="189" t="s">
        <v>13994</v>
      </c>
      <c r="F208" s="162" t="s">
        <v>13995</v>
      </c>
      <c r="G208" s="162" t="s">
        <v>13413</v>
      </c>
      <c r="H208" s="219"/>
      <c r="I208" s="169">
        <v>117108</v>
      </c>
      <c r="J208" s="304" t="str">
        <f>CONCATENATE([2]Cover!$D$6,"fdd/view?i=",I208)</f>
        <v>https://www.dgiwg.org/FAD/fdd/view?i=117108</v>
      </c>
      <c r="K208" s="304" t="s">
        <v>34257</v>
      </c>
      <c r="L208" s="188">
        <v>133</v>
      </c>
      <c r="M208" s="179" t="s">
        <v>151</v>
      </c>
    </row>
    <row r="209" spans="1:13" ht="38.25">
      <c r="A209" s="313" t="str">
        <f t="shared" si="3"/>
        <v>AerialRefuelReceiveChanCode_chan046W</v>
      </c>
      <c r="B209" s="330"/>
      <c r="C209" s="334"/>
      <c r="D209" s="188" t="s">
        <v>13996</v>
      </c>
      <c r="E209" s="189" t="s">
        <v>13997</v>
      </c>
      <c r="F209" s="162" t="s">
        <v>13998</v>
      </c>
      <c r="G209" s="162" t="s">
        <v>13413</v>
      </c>
      <c r="H209" s="219"/>
      <c r="I209" s="169">
        <v>117109</v>
      </c>
      <c r="J209" s="304" t="str">
        <f>CONCATENATE([2]Cover!$D$6,"fdd/view?i=",I209)</f>
        <v>https://www.dgiwg.org/FAD/fdd/view?i=117109</v>
      </c>
      <c r="K209" s="304" t="s">
        <v>34258</v>
      </c>
      <c r="L209" s="188">
        <v>134</v>
      </c>
      <c r="M209" s="179" t="s">
        <v>151</v>
      </c>
    </row>
    <row r="210" spans="1:13" ht="38.25">
      <c r="A210" s="313" t="str">
        <f t="shared" si="3"/>
        <v>AerialRefuelReceiveChanCode_chan046X</v>
      </c>
      <c r="B210" s="330"/>
      <c r="C210" s="334"/>
      <c r="D210" s="188" t="s">
        <v>13999</v>
      </c>
      <c r="E210" s="189" t="s">
        <v>14000</v>
      </c>
      <c r="F210" s="162" t="s">
        <v>14001</v>
      </c>
      <c r="G210" s="162" t="s">
        <v>13413</v>
      </c>
      <c r="H210" s="219"/>
      <c r="I210" s="169">
        <v>117110</v>
      </c>
      <c r="J210" s="304" t="str">
        <f>CONCATENATE([2]Cover!$D$6,"fdd/view?i=",I210)</f>
        <v>https://www.dgiwg.org/FAD/fdd/view?i=117110</v>
      </c>
      <c r="K210" s="304" t="s">
        <v>34259</v>
      </c>
      <c r="L210" s="188">
        <v>135</v>
      </c>
      <c r="M210" s="179" t="s">
        <v>151</v>
      </c>
    </row>
    <row r="211" spans="1:13" ht="38.25">
      <c r="A211" s="313" t="str">
        <f t="shared" si="3"/>
        <v>AerialRefuelReceiveChanCode_chan046Y</v>
      </c>
      <c r="B211" s="330"/>
      <c r="C211" s="334"/>
      <c r="D211" s="188" t="s">
        <v>14002</v>
      </c>
      <c r="E211" s="189" t="s">
        <v>14003</v>
      </c>
      <c r="F211" s="162" t="s">
        <v>14004</v>
      </c>
      <c r="G211" s="162" t="s">
        <v>13413</v>
      </c>
      <c r="H211" s="219"/>
      <c r="I211" s="169">
        <v>117111</v>
      </c>
      <c r="J211" s="304" t="str">
        <f>CONCATENATE([2]Cover!$D$6,"fdd/view?i=",I211)</f>
        <v>https://www.dgiwg.org/FAD/fdd/view?i=117111</v>
      </c>
      <c r="K211" s="304" t="s">
        <v>34260</v>
      </c>
      <c r="L211" s="188">
        <v>136</v>
      </c>
      <c r="M211" s="179" t="s">
        <v>151</v>
      </c>
    </row>
    <row r="212" spans="1:13" ht="38.25">
      <c r="A212" s="313" t="str">
        <f t="shared" si="3"/>
        <v>AerialRefuelReceiveChanCode_chan046Z</v>
      </c>
      <c r="B212" s="330"/>
      <c r="C212" s="334"/>
      <c r="D212" s="188" t="s">
        <v>14005</v>
      </c>
      <c r="E212" s="189" t="s">
        <v>14006</v>
      </c>
      <c r="F212" s="162" t="s">
        <v>14007</v>
      </c>
      <c r="G212" s="162" t="s">
        <v>13413</v>
      </c>
      <c r="H212" s="219"/>
      <c r="I212" s="169">
        <v>117112</v>
      </c>
      <c r="J212" s="304" t="str">
        <f>CONCATENATE([2]Cover!$D$6,"fdd/view?i=",I212)</f>
        <v>https://www.dgiwg.org/FAD/fdd/view?i=117112</v>
      </c>
      <c r="K212" s="304" t="s">
        <v>34261</v>
      </c>
      <c r="L212" s="188">
        <v>137</v>
      </c>
      <c r="M212" s="179" t="s">
        <v>151</v>
      </c>
    </row>
    <row r="213" spans="1:13" ht="38.25">
      <c r="A213" s="313" t="str">
        <f t="shared" si="3"/>
        <v>AerialRefuelReceiveChanCode_chan047X</v>
      </c>
      <c r="B213" s="330"/>
      <c r="C213" s="334"/>
      <c r="D213" s="188" t="s">
        <v>14008</v>
      </c>
      <c r="E213" s="189" t="s">
        <v>14009</v>
      </c>
      <c r="F213" s="162" t="s">
        <v>14010</v>
      </c>
      <c r="G213" s="162" t="s">
        <v>13413</v>
      </c>
      <c r="H213" s="219"/>
      <c r="I213" s="169">
        <v>117113</v>
      </c>
      <c r="J213" s="304" t="str">
        <f>CONCATENATE([2]Cover!$D$6,"fdd/view?i=",I213)</f>
        <v>https://www.dgiwg.org/FAD/fdd/view?i=117113</v>
      </c>
      <c r="K213" s="304" t="s">
        <v>34262</v>
      </c>
      <c r="L213" s="188">
        <v>138</v>
      </c>
      <c r="M213" s="179" t="s">
        <v>151</v>
      </c>
    </row>
    <row r="214" spans="1:13" ht="38.25">
      <c r="A214" s="313" t="str">
        <f t="shared" si="3"/>
        <v>AerialRefuelReceiveChanCode_chan047Y</v>
      </c>
      <c r="B214" s="330"/>
      <c r="C214" s="334"/>
      <c r="D214" s="188" t="s">
        <v>14011</v>
      </c>
      <c r="E214" s="189" t="s">
        <v>14012</v>
      </c>
      <c r="F214" s="162" t="s">
        <v>14013</v>
      </c>
      <c r="G214" s="162" t="s">
        <v>13413</v>
      </c>
      <c r="H214" s="219"/>
      <c r="I214" s="169">
        <v>117114</v>
      </c>
      <c r="J214" s="304" t="str">
        <f>CONCATENATE([2]Cover!$D$6,"fdd/view?i=",I214)</f>
        <v>https://www.dgiwg.org/FAD/fdd/view?i=117114</v>
      </c>
      <c r="K214" s="304" t="s">
        <v>34263</v>
      </c>
      <c r="L214" s="188">
        <v>139</v>
      </c>
      <c r="M214" s="179" t="s">
        <v>151</v>
      </c>
    </row>
    <row r="215" spans="1:13" ht="38.25">
      <c r="A215" s="313" t="str">
        <f t="shared" si="3"/>
        <v>AerialRefuelReceiveChanCode_chan047Z</v>
      </c>
      <c r="B215" s="330"/>
      <c r="C215" s="334"/>
      <c r="D215" s="188" t="s">
        <v>14014</v>
      </c>
      <c r="E215" s="189" t="s">
        <v>14015</v>
      </c>
      <c r="F215" s="162" t="s">
        <v>14016</v>
      </c>
      <c r="G215" s="162" t="s">
        <v>13413</v>
      </c>
      <c r="H215" s="219"/>
      <c r="I215" s="169">
        <v>117115</v>
      </c>
      <c r="J215" s="304" t="str">
        <f>CONCATENATE([2]Cover!$D$6,"fdd/view?i=",I215)</f>
        <v>https://www.dgiwg.org/FAD/fdd/view?i=117115</v>
      </c>
      <c r="K215" s="304" t="s">
        <v>34264</v>
      </c>
      <c r="L215" s="188">
        <v>140</v>
      </c>
      <c r="M215" s="179" t="s">
        <v>151</v>
      </c>
    </row>
    <row r="216" spans="1:13" ht="38.25">
      <c r="A216" s="313" t="str">
        <f t="shared" si="3"/>
        <v>AerialRefuelReceiveChanCode_chan048W</v>
      </c>
      <c r="B216" s="330"/>
      <c r="C216" s="334"/>
      <c r="D216" s="188" t="s">
        <v>14017</v>
      </c>
      <c r="E216" s="189" t="s">
        <v>14018</v>
      </c>
      <c r="F216" s="162" t="s">
        <v>14019</v>
      </c>
      <c r="G216" s="162" t="s">
        <v>13413</v>
      </c>
      <c r="H216" s="219"/>
      <c r="I216" s="169">
        <v>117116</v>
      </c>
      <c r="J216" s="304" t="str">
        <f>CONCATENATE([2]Cover!$D$6,"fdd/view?i=",I216)</f>
        <v>https://www.dgiwg.org/FAD/fdd/view?i=117116</v>
      </c>
      <c r="K216" s="304" t="s">
        <v>34265</v>
      </c>
      <c r="L216" s="188">
        <v>141</v>
      </c>
      <c r="M216" s="179" t="s">
        <v>151</v>
      </c>
    </row>
    <row r="217" spans="1:13" ht="38.25">
      <c r="A217" s="313" t="str">
        <f t="shared" si="3"/>
        <v>AerialRefuelReceiveChanCode_chan048X</v>
      </c>
      <c r="B217" s="330"/>
      <c r="C217" s="334"/>
      <c r="D217" s="188" t="s">
        <v>14020</v>
      </c>
      <c r="E217" s="189" t="s">
        <v>14021</v>
      </c>
      <c r="F217" s="162" t="s">
        <v>14022</v>
      </c>
      <c r="G217" s="162" t="s">
        <v>13413</v>
      </c>
      <c r="H217" s="219"/>
      <c r="I217" s="169">
        <v>117117</v>
      </c>
      <c r="J217" s="304" t="str">
        <f>CONCATENATE([2]Cover!$D$6,"fdd/view?i=",I217)</f>
        <v>https://www.dgiwg.org/FAD/fdd/view?i=117117</v>
      </c>
      <c r="K217" s="304" t="s">
        <v>34266</v>
      </c>
      <c r="L217" s="188">
        <v>142</v>
      </c>
      <c r="M217" s="179" t="s">
        <v>151</v>
      </c>
    </row>
    <row r="218" spans="1:13" ht="38.25">
      <c r="A218" s="313" t="str">
        <f t="shared" si="3"/>
        <v>AerialRefuelReceiveChanCode_chan048Y</v>
      </c>
      <c r="B218" s="330"/>
      <c r="C218" s="334"/>
      <c r="D218" s="188" t="s">
        <v>14023</v>
      </c>
      <c r="E218" s="189" t="s">
        <v>14024</v>
      </c>
      <c r="F218" s="162" t="s">
        <v>14025</v>
      </c>
      <c r="G218" s="162" t="s">
        <v>13413</v>
      </c>
      <c r="H218" s="219"/>
      <c r="I218" s="169">
        <v>117118</v>
      </c>
      <c r="J218" s="304" t="str">
        <f>CONCATENATE([2]Cover!$D$6,"fdd/view?i=",I218)</f>
        <v>https://www.dgiwg.org/FAD/fdd/view?i=117118</v>
      </c>
      <c r="K218" s="304" t="s">
        <v>34267</v>
      </c>
      <c r="L218" s="188">
        <v>143</v>
      </c>
      <c r="M218" s="179" t="s">
        <v>151</v>
      </c>
    </row>
    <row r="219" spans="1:13" ht="38.25">
      <c r="A219" s="313" t="str">
        <f t="shared" si="3"/>
        <v>AerialRefuelReceiveChanCode_chan048Z</v>
      </c>
      <c r="B219" s="330"/>
      <c r="C219" s="334"/>
      <c r="D219" s="188" t="s">
        <v>14026</v>
      </c>
      <c r="E219" s="189" t="s">
        <v>14027</v>
      </c>
      <c r="F219" s="162" t="s">
        <v>14028</v>
      </c>
      <c r="G219" s="162" t="s">
        <v>13413</v>
      </c>
      <c r="H219" s="219"/>
      <c r="I219" s="169">
        <v>117119</v>
      </c>
      <c r="J219" s="304" t="str">
        <f>CONCATENATE([2]Cover!$D$6,"fdd/view?i=",I219)</f>
        <v>https://www.dgiwg.org/FAD/fdd/view?i=117119</v>
      </c>
      <c r="K219" s="304" t="s">
        <v>34268</v>
      </c>
      <c r="L219" s="188">
        <v>144</v>
      </c>
      <c r="M219" s="179" t="s">
        <v>151</v>
      </c>
    </row>
    <row r="220" spans="1:13" ht="38.25">
      <c r="A220" s="313" t="str">
        <f t="shared" si="3"/>
        <v>AerialRefuelReceiveChanCode_chan049X</v>
      </c>
      <c r="B220" s="330"/>
      <c r="C220" s="334"/>
      <c r="D220" s="188" t="s">
        <v>14029</v>
      </c>
      <c r="E220" s="189" t="s">
        <v>14030</v>
      </c>
      <c r="F220" s="162" t="s">
        <v>14031</v>
      </c>
      <c r="G220" s="162" t="s">
        <v>13413</v>
      </c>
      <c r="H220" s="219"/>
      <c r="I220" s="169">
        <v>117120</v>
      </c>
      <c r="J220" s="304" t="str">
        <f>CONCATENATE([2]Cover!$D$6,"fdd/view?i=",I220)</f>
        <v>https://www.dgiwg.org/FAD/fdd/view?i=117120</v>
      </c>
      <c r="K220" s="304" t="s">
        <v>34269</v>
      </c>
      <c r="L220" s="188">
        <v>145</v>
      </c>
      <c r="M220" s="179" t="s">
        <v>151</v>
      </c>
    </row>
    <row r="221" spans="1:13" ht="38.25">
      <c r="A221" s="313" t="str">
        <f t="shared" si="3"/>
        <v>AerialRefuelReceiveChanCode_chan049Y</v>
      </c>
      <c r="B221" s="330"/>
      <c r="C221" s="334"/>
      <c r="D221" s="188" t="s">
        <v>14032</v>
      </c>
      <c r="E221" s="189" t="s">
        <v>14033</v>
      </c>
      <c r="F221" s="162" t="s">
        <v>14034</v>
      </c>
      <c r="G221" s="162" t="s">
        <v>13413</v>
      </c>
      <c r="H221" s="219"/>
      <c r="I221" s="169">
        <v>117121</v>
      </c>
      <c r="J221" s="304" t="str">
        <f>CONCATENATE([2]Cover!$D$6,"fdd/view?i=",I221)</f>
        <v>https://www.dgiwg.org/FAD/fdd/view?i=117121</v>
      </c>
      <c r="K221" s="304" t="s">
        <v>34270</v>
      </c>
      <c r="L221" s="188">
        <v>146</v>
      </c>
      <c r="M221" s="179" t="s">
        <v>151</v>
      </c>
    </row>
    <row r="222" spans="1:13" ht="38.25">
      <c r="A222" s="313" t="str">
        <f t="shared" si="3"/>
        <v>AerialRefuelReceiveChanCode_chan049Z</v>
      </c>
      <c r="B222" s="330"/>
      <c r="C222" s="334"/>
      <c r="D222" s="188" t="s">
        <v>14035</v>
      </c>
      <c r="E222" s="189" t="s">
        <v>14036</v>
      </c>
      <c r="F222" s="162" t="s">
        <v>14037</v>
      </c>
      <c r="G222" s="162" t="s">
        <v>13413</v>
      </c>
      <c r="H222" s="219"/>
      <c r="I222" s="169">
        <v>117122</v>
      </c>
      <c r="J222" s="304" t="str">
        <f>CONCATENATE([2]Cover!$D$6,"fdd/view?i=",I222)</f>
        <v>https://www.dgiwg.org/FAD/fdd/view?i=117122</v>
      </c>
      <c r="K222" s="304" t="s">
        <v>34271</v>
      </c>
      <c r="L222" s="188">
        <v>147</v>
      </c>
      <c r="M222" s="179" t="s">
        <v>151</v>
      </c>
    </row>
    <row r="223" spans="1:13" ht="38.25">
      <c r="A223" s="313" t="str">
        <f t="shared" si="3"/>
        <v>AerialRefuelReceiveChanCode_chan050W</v>
      </c>
      <c r="B223" s="330"/>
      <c r="C223" s="334"/>
      <c r="D223" s="188" t="s">
        <v>14044</v>
      </c>
      <c r="E223" s="189" t="s">
        <v>14045</v>
      </c>
      <c r="F223" s="162" t="s">
        <v>14046</v>
      </c>
      <c r="G223" s="162" t="s">
        <v>13413</v>
      </c>
      <c r="H223" s="219"/>
      <c r="I223" s="169">
        <v>117123</v>
      </c>
      <c r="J223" s="304" t="str">
        <f>CONCATENATE([2]Cover!$D$6,"fdd/view?i=",I223)</f>
        <v>https://www.dgiwg.org/FAD/fdd/view?i=117123</v>
      </c>
      <c r="K223" s="304" t="s">
        <v>34272</v>
      </c>
      <c r="L223" s="188">
        <v>148</v>
      </c>
      <c r="M223" s="179" t="s">
        <v>151</v>
      </c>
    </row>
    <row r="224" spans="1:13" ht="38.25">
      <c r="A224" s="313" t="str">
        <f t="shared" si="3"/>
        <v>AerialRefuelReceiveChanCode_chan050X</v>
      </c>
      <c r="B224" s="330"/>
      <c r="C224" s="334"/>
      <c r="D224" s="188" t="s">
        <v>14047</v>
      </c>
      <c r="E224" s="189" t="s">
        <v>14048</v>
      </c>
      <c r="F224" s="162" t="s">
        <v>14049</v>
      </c>
      <c r="G224" s="162" t="s">
        <v>13413</v>
      </c>
      <c r="H224" s="219"/>
      <c r="I224" s="169">
        <v>117124</v>
      </c>
      <c r="J224" s="304" t="str">
        <f>CONCATENATE([2]Cover!$D$6,"fdd/view?i=",I224)</f>
        <v>https://www.dgiwg.org/FAD/fdd/view?i=117124</v>
      </c>
      <c r="K224" s="304" t="s">
        <v>34273</v>
      </c>
      <c r="L224" s="188">
        <v>149</v>
      </c>
      <c r="M224" s="179" t="s">
        <v>151</v>
      </c>
    </row>
    <row r="225" spans="1:13" ht="38.25">
      <c r="A225" s="313" t="str">
        <f t="shared" si="3"/>
        <v>AerialRefuelReceiveChanCode_chan050Y</v>
      </c>
      <c r="B225" s="330"/>
      <c r="C225" s="334"/>
      <c r="D225" s="188" t="s">
        <v>14050</v>
      </c>
      <c r="E225" s="189" t="s">
        <v>14051</v>
      </c>
      <c r="F225" s="162" t="s">
        <v>14052</v>
      </c>
      <c r="G225" s="162" t="s">
        <v>13413</v>
      </c>
      <c r="H225" s="219"/>
      <c r="I225" s="169">
        <v>117125</v>
      </c>
      <c r="J225" s="304" t="str">
        <f>CONCATENATE([2]Cover!$D$6,"fdd/view?i=",I225)</f>
        <v>https://www.dgiwg.org/FAD/fdd/view?i=117125</v>
      </c>
      <c r="K225" s="304" t="s">
        <v>34274</v>
      </c>
      <c r="L225" s="188">
        <v>150</v>
      </c>
      <c r="M225" s="179" t="s">
        <v>151</v>
      </c>
    </row>
    <row r="226" spans="1:13" ht="38.25">
      <c r="A226" s="313" t="str">
        <f t="shared" si="3"/>
        <v>AerialRefuelReceiveChanCode_chan050Z</v>
      </c>
      <c r="B226" s="330"/>
      <c r="C226" s="334"/>
      <c r="D226" s="188" t="s">
        <v>14053</v>
      </c>
      <c r="E226" s="189" t="s">
        <v>14054</v>
      </c>
      <c r="F226" s="162" t="s">
        <v>14055</v>
      </c>
      <c r="G226" s="162" t="s">
        <v>13413</v>
      </c>
      <c r="H226" s="219"/>
      <c r="I226" s="169">
        <v>117126</v>
      </c>
      <c r="J226" s="304" t="str">
        <f>CONCATENATE([2]Cover!$D$6,"fdd/view?i=",I226)</f>
        <v>https://www.dgiwg.org/FAD/fdd/view?i=117126</v>
      </c>
      <c r="K226" s="304" t="s">
        <v>34275</v>
      </c>
      <c r="L226" s="188">
        <v>151</v>
      </c>
      <c r="M226" s="179" t="s">
        <v>151</v>
      </c>
    </row>
    <row r="227" spans="1:13" ht="38.25">
      <c r="A227" s="313" t="str">
        <f t="shared" si="3"/>
        <v>AerialRefuelReceiveChanCode_chan051X</v>
      </c>
      <c r="B227" s="330"/>
      <c r="C227" s="334"/>
      <c r="D227" s="188" t="s">
        <v>14056</v>
      </c>
      <c r="E227" s="189" t="s">
        <v>14057</v>
      </c>
      <c r="F227" s="162" t="s">
        <v>14058</v>
      </c>
      <c r="G227" s="162" t="s">
        <v>13413</v>
      </c>
      <c r="H227" s="219"/>
      <c r="I227" s="169">
        <v>117127</v>
      </c>
      <c r="J227" s="304" t="str">
        <f>CONCATENATE([2]Cover!$D$6,"fdd/view?i=",I227)</f>
        <v>https://www.dgiwg.org/FAD/fdd/view?i=117127</v>
      </c>
      <c r="K227" s="304" t="s">
        <v>34276</v>
      </c>
      <c r="L227" s="188">
        <v>152</v>
      </c>
      <c r="M227" s="179" t="s">
        <v>151</v>
      </c>
    </row>
    <row r="228" spans="1:13" ht="38.25">
      <c r="A228" s="313" t="str">
        <f t="shared" si="3"/>
        <v>AerialRefuelReceiveChanCode_chan051Y</v>
      </c>
      <c r="B228" s="330"/>
      <c r="C228" s="334"/>
      <c r="D228" s="188" t="s">
        <v>14059</v>
      </c>
      <c r="E228" s="189" t="s">
        <v>14060</v>
      </c>
      <c r="F228" s="162" t="s">
        <v>14061</v>
      </c>
      <c r="G228" s="162" t="s">
        <v>13413</v>
      </c>
      <c r="H228" s="219"/>
      <c r="I228" s="169">
        <v>117128</v>
      </c>
      <c r="J228" s="304" t="str">
        <f>CONCATENATE([2]Cover!$D$6,"fdd/view?i=",I228)</f>
        <v>https://www.dgiwg.org/FAD/fdd/view?i=117128</v>
      </c>
      <c r="K228" s="304" t="s">
        <v>34277</v>
      </c>
      <c r="L228" s="188">
        <v>153</v>
      </c>
      <c r="M228" s="179" t="s">
        <v>151</v>
      </c>
    </row>
    <row r="229" spans="1:13" ht="38.25">
      <c r="A229" s="313" t="str">
        <f t="shared" si="3"/>
        <v>AerialRefuelReceiveChanCode_chan051Z</v>
      </c>
      <c r="B229" s="330"/>
      <c r="C229" s="334"/>
      <c r="D229" s="188" t="s">
        <v>14062</v>
      </c>
      <c r="E229" s="189" t="s">
        <v>14063</v>
      </c>
      <c r="F229" s="162" t="s">
        <v>14064</v>
      </c>
      <c r="G229" s="162" t="s">
        <v>13413</v>
      </c>
      <c r="H229" s="219"/>
      <c r="I229" s="169">
        <v>117129</v>
      </c>
      <c r="J229" s="304" t="str">
        <f>CONCATENATE([2]Cover!$D$6,"fdd/view?i=",I229)</f>
        <v>https://www.dgiwg.org/FAD/fdd/view?i=117129</v>
      </c>
      <c r="K229" s="304" t="s">
        <v>34278</v>
      </c>
      <c r="L229" s="188">
        <v>154</v>
      </c>
      <c r="M229" s="179" t="s">
        <v>151</v>
      </c>
    </row>
    <row r="230" spans="1:13" ht="38.25">
      <c r="A230" s="313" t="str">
        <f t="shared" si="3"/>
        <v>AerialRefuelReceiveChanCode_chan052W</v>
      </c>
      <c r="B230" s="330"/>
      <c r="C230" s="334"/>
      <c r="D230" s="188" t="s">
        <v>14065</v>
      </c>
      <c r="E230" s="189" t="s">
        <v>14066</v>
      </c>
      <c r="F230" s="162" t="s">
        <v>14067</v>
      </c>
      <c r="G230" s="162" t="s">
        <v>13413</v>
      </c>
      <c r="H230" s="219"/>
      <c r="I230" s="169">
        <v>117130</v>
      </c>
      <c r="J230" s="304" t="str">
        <f>CONCATENATE([2]Cover!$D$6,"fdd/view?i=",I230)</f>
        <v>https://www.dgiwg.org/FAD/fdd/view?i=117130</v>
      </c>
      <c r="K230" s="304" t="s">
        <v>34279</v>
      </c>
      <c r="L230" s="188">
        <v>155</v>
      </c>
      <c r="M230" s="179" t="s">
        <v>151</v>
      </c>
    </row>
    <row r="231" spans="1:13" ht="38.25">
      <c r="A231" s="313" t="str">
        <f t="shared" si="3"/>
        <v>AerialRefuelReceiveChanCode_chan052X</v>
      </c>
      <c r="B231" s="330"/>
      <c r="C231" s="334"/>
      <c r="D231" s="188" t="s">
        <v>14068</v>
      </c>
      <c r="E231" s="189" t="s">
        <v>14069</v>
      </c>
      <c r="F231" s="162" t="s">
        <v>14070</v>
      </c>
      <c r="G231" s="162" t="s">
        <v>13413</v>
      </c>
      <c r="H231" s="219"/>
      <c r="I231" s="169">
        <v>117131</v>
      </c>
      <c r="J231" s="304" t="str">
        <f>CONCATENATE([2]Cover!$D$6,"fdd/view?i=",I231)</f>
        <v>https://www.dgiwg.org/FAD/fdd/view?i=117131</v>
      </c>
      <c r="K231" s="304" t="s">
        <v>34280</v>
      </c>
      <c r="L231" s="188">
        <v>156</v>
      </c>
      <c r="M231" s="179" t="s">
        <v>151</v>
      </c>
    </row>
    <row r="232" spans="1:13" ht="38.25">
      <c r="A232" s="313" t="str">
        <f t="shared" si="3"/>
        <v>AerialRefuelReceiveChanCode_chan052Y</v>
      </c>
      <c r="B232" s="330"/>
      <c r="C232" s="334"/>
      <c r="D232" s="188" t="s">
        <v>14071</v>
      </c>
      <c r="E232" s="189" t="s">
        <v>14072</v>
      </c>
      <c r="F232" s="162" t="s">
        <v>14073</v>
      </c>
      <c r="G232" s="162" t="s">
        <v>13413</v>
      </c>
      <c r="H232" s="219"/>
      <c r="I232" s="169">
        <v>117132</v>
      </c>
      <c r="J232" s="304" t="str">
        <f>CONCATENATE([2]Cover!$D$6,"fdd/view?i=",I232)</f>
        <v>https://www.dgiwg.org/FAD/fdd/view?i=117132</v>
      </c>
      <c r="K232" s="304" t="s">
        <v>34281</v>
      </c>
      <c r="L232" s="188">
        <v>157</v>
      </c>
      <c r="M232" s="179" t="s">
        <v>151</v>
      </c>
    </row>
    <row r="233" spans="1:13" ht="38.25">
      <c r="A233" s="313" t="str">
        <f t="shared" si="3"/>
        <v>AerialRefuelReceiveChanCode_chan052Z</v>
      </c>
      <c r="B233" s="330"/>
      <c r="C233" s="334"/>
      <c r="D233" s="188" t="s">
        <v>14074</v>
      </c>
      <c r="E233" s="189" t="s">
        <v>14075</v>
      </c>
      <c r="F233" s="162" t="s">
        <v>14076</v>
      </c>
      <c r="G233" s="162" t="s">
        <v>13413</v>
      </c>
      <c r="H233" s="219"/>
      <c r="I233" s="169">
        <v>117133</v>
      </c>
      <c r="J233" s="304" t="str">
        <f>CONCATENATE([2]Cover!$D$6,"fdd/view?i=",I233)</f>
        <v>https://www.dgiwg.org/FAD/fdd/view?i=117133</v>
      </c>
      <c r="K233" s="304" t="s">
        <v>34282</v>
      </c>
      <c r="L233" s="188">
        <v>158</v>
      </c>
      <c r="M233" s="179" t="s">
        <v>151</v>
      </c>
    </row>
    <row r="234" spans="1:13" ht="38.25">
      <c r="A234" s="313" t="str">
        <f t="shared" si="3"/>
        <v>AerialRefuelReceiveChanCode_chan053X</v>
      </c>
      <c r="B234" s="330"/>
      <c r="C234" s="334"/>
      <c r="D234" s="188" t="s">
        <v>14077</v>
      </c>
      <c r="E234" s="189" t="s">
        <v>14078</v>
      </c>
      <c r="F234" s="162" t="s">
        <v>14079</v>
      </c>
      <c r="G234" s="162" t="s">
        <v>13413</v>
      </c>
      <c r="H234" s="219"/>
      <c r="I234" s="169">
        <v>117134</v>
      </c>
      <c r="J234" s="304" t="str">
        <f>CONCATENATE([2]Cover!$D$6,"fdd/view?i=",I234)</f>
        <v>https://www.dgiwg.org/FAD/fdd/view?i=117134</v>
      </c>
      <c r="K234" s="304" t="s">
        <v>34283</v>
      </c>
      <c r="L234" s="188">
        <v>159</v>
      </c>
      <c r="M234" s="179" t="s">
        <v>151</v>
      </c>
    </row>
    <row r="235" spans="1:13" ht="38.25">
      <c r="A235" s="313" t="str">
        <f t="shared" si="3"/>
        <v>AerialRefuelReceiveChanCode_chan053Y</v>
      </c>
      <c r="B235" s="330"/>
      <c r="C235" s="334"/>
      <c r="D235" s="188" t="s">
        <v>14080</v>
      </c>
      <c r="E235" s="189" t="s">
        <v>14081</v>
      </c>
      <c r="F235" s="162" t="s">
        <v>14082</v>
      </c>
      <c r="G235" s="162" t="s">
        <v>13413</v>
      </c>
      <c r="H235" s="219"/>
      <c r="I235" s="169">
        <v>117135</v>
      </c>
      <c r="J235" s="304" t="str">
        <f>CONCATENATE([2]Cover!$D$6,"fdd/view?i=",I235)</f>
        <v>https://www.dgiwg.org/FAD/fdd/view?i=117135</v>
      </c>
      <c r="K235" s="304" t="s">
        <v>34284</v>
      </c>
      <c r="L235" s="188">
        <v>160</v>
      </c>
      <c r="M235" s="179" t="s">
        <v>151</v>
      </c>
    </row>
    <row r="236" spans="1:13" ht="38.25">
      <c r="A236" s="313" t="str">
        <f t="shared" si="3"/>
        <v>AerialRefuelReceiveChanCode_chan053Z</v>
      </c>
      <c r="B236" s="330"/>
      <c r="C236" s="334"/>
      <c r="D236" s="188" t="s">
        <v>14083</v>
      </c>
      <c r="E236" s="189" t="s">
        <v>14084</v>
      </c>
      <c r="F236" s="162" t="s">
        <v>14085</v>
      </c>
      <c r="G236" s="162" t="s">
        <v>13413</v>
      </c>
      <c r="H236" s="219"/>
      <c r="I236" s="169">
        <v>117136</v>
      </c>
      <c r="J236" s="304" t="str">
        <f>CONCATENATE([2]Cover!$D$6,"fdd/view?i=",I236)</f>
        <v>https://www.dgiwg.org/FAD/fdd/view?i=117136</v>
      </c>
      <c r="K236" s="304" t="s">
        <v>34285</v>
      </c>
      <c r="L236" s="188">
        <v>161</v>
      </c>
      <c r="M236" s="179" t="s">
        <v>151</v>
      </c>
    </row>
    <row r="237" spans="1:13" ht="38.25">
      <c r="A237" s="313" t="str">
        <f t="shared" si="3"/>
        <v>AerialRefuelReceiveChanCode_chan054W</v>
      </c>
      <c r="B237" s="330"/>
      <c r="C237" s="334"/>
      <c r="D237" s="188" t="s">
        <v>14086</v>
      </c>
      <c r="E237" s="189" t="s">
        <v>14087</v>
      </c>
      <c r="F237" s="162" t="s">
        <v>14088</v>
      </c>
      <c r="G237" s="162" t="s">
        <v>13413</v>
      </c>
      <c r="H237" s="219"/>
      <c r="I237" s="169">
        <v>117137</v>
      </c>
      <c r="J237" s="304" t="str">
        <f>CONCATENATE([2]Cover!$D$6,"fdd/view?i=",I237)</f>
        <v>https://www.dgiwg.org/FAD/fdd/view?i=117137</v>
      </c>
      <c r="K237" s="304" t="s">
        <v>34286</v>
      </c>
      <c r="L237" s="188">
        <v>162</v>
      </c>
      <c r="M237" s="179" t="s">
        <v>151</v>
      </c>
    </row>
    <row r="238" spans="1:13" ht="38.25">
      <c r="A238" s="313" t="str">
        <f t="shared" si="3"/>
        <v>AerialRefuelReceiveChanCode_chan054X</v>
      </c>
      <c r="B238" s="330"/>
      <c r="C238" s="334"/>
      <c r="D238" s="188" t="s">
        <v>14089</v>
      </c>
      <c r="E238" s="189" t="s">
        <v>14090</v>
      </c>
      <c r="F238" s="162" t="s">
        <v>14091</v>
      </c>
      <c r="G238" s="162" t="s">
        <v>13413</v>
      </c>
      <c r="H238" s="219"/>
      <c r="I238" s="169">
        <v>117138</v>
      </c>
      <c r="J238" s="304" t="str">
        <f>CONCATENATE([2]Cover!$D$6,"fdd/view?i=",I238)</f>
        <v>https://www.dgiwg.org/FAD/fdd/view?i=117138</v>
      </c>
      <c r="K238" s="304" t="s">
        <v>34287</v>
      </c>
      <c r="L238" s="188">
        <v>163</v>
      </c>
      <c r="M238" s="179" t="s">
        <v>151</v>
      </c>
    </row>
    <row r="239" spans="1:13" ht="38.25">
      <c r="A239" s="313" t="str">
        <f t="shared" si="3"/>
        <v>AerialRefuelReceiveChanCode_chan054Y</v>
      </c>
      <c r="B239" s="330"/>
      <c r="C239" s="334"/>
      <c r="D239" s="188" t="s">
        <v>14092</v>
      </c>
      <c r="E239" s="189" t="s">
        <v>14093</v>
      </c>
      <c r="F239" s="162" t="s">
        <v>14094</v>
      </c>
      <c r="G239" s="162" t="s">
        <v>13413</v>
      </c>
      <c r="H239" s="219"/>
      <c r="I239" s="169">
        <v>117139</v>
      </c>
      <c r="J239" s="304" t="str">
        <f>CONCATENATE([2]Cover!$D$6,"fdd/view?i=",I239)</f>
        <v>https://www.dgiwg.org/FAD/fdd/view?i=117139</v>
      </c>
      <c r="K239" s="304" t="s">
        <v>34288</v>
      </c>
      <c r="L239" s="188">
        <v>164</v>
      </c>
      <c r="M239" s="179" t="s">
        <v>151</v>
      </c>
    </row>
    <row r="240" spans="1:13" ht="38.25">
      <c r="A240" s="313" t="str">
        <f t="shared" si="3"/>
        <v>AerialRefuelReceiveChanCode_chan054Z</v>
      </c>
      <c r="B240" s="330"/>
      <c r="C240" s="334"/>
      <c r="D240" s="188" t="s">
        <v>14095</v>
      </c>
      <c r="E240" s="189" t="s">
        <v>14096</v>
      </c>
      <c r="F240" s="162" t="s">
        <v>14097</v>
      </c>
      <c r="G240" s="162" t="s">
        <v>13413</v>
      </c>
      <c r="H240" s="219"/>
      <c r="I240" s="169">
        <v>117140</v>
      </c>
      <c r="J240" s="304" t="str">
        <f>CONCATENATE([2]Cover!$D$6,"fdd/view?i=",I240)</f>
        <v>https://www.dgiwg.org/FAD/fdd/view?i=117140</v>
      </c>
      <c r="K240" s="304" t="s">
        <v>34289</v>
      </c>
      <c r="L240" s="188">
        <v>165</v>
      </c>
      <c r="M240" s="179" t="s">
        <v>151</v>
      </c>
    </row>
    <row r="241" spans="1:13" ht="38.25">
      <c r="A241" s="313" t="str">
        <f t="shared" si="3"/>
        <v>AerialRefuelReceiveChanCode_chan055X</v>
      </c>
      <c r="B241" s="330"/>
      <c r="C241" s="334"/>
      <c r="D241" s="188" t="s">
        <v>14098</v>
      </c>
      <c r="E241" s="189" t="s">
        <v>14099</v>
      </c>
      <c r="F241" s="162" t="s">
        <v>14100</v>
      </c>
      <c r="G241" s="162" t="s">
        <v>13413</v>
      </c>
      <c r="H241" s="219"/>
      <c r="I241" s="169">
        <v>117141</v>
      </c>
      <c r="J241" s="304" t="str">
        <f>CONCATENATE([2]Cover!$D$6,"fdd/view?i=",I241)</f>
        <v>https://www.dgiwg.org/FAD/fdd/view?i=117141</v>
      </c>
      <c r="K241" s="304" t="s">
        <v>34290</v>
      </c>
      <c r="L241" s="188">
        <v>166</v>
      </c>
      <c r="M241" s="179" t="s">
        <v>151</v>
      </c>
    </row>
    <row r="242" spans="1:13" ht="38.25">
      <c r="A242" s="313" t="str">
        <f t="shared" si="3"/>
        <v>AerialRefuelReceiveChanCode_chan055Y</v>
      </c>
      <c r="B242" s="330"/>
      <c r="C242" s="334"/>
      <c r="D242" s="188" t="s">
        <v>14101</v>
      </c>
      <c r="E242" s="189" t="s">
        <v>14102</v>
      </c>
      <c r="F242" s="162" t="s">
        <v>14103</v>
      </c>
      <c r="G242" s="162" t="s">
        <v>13413</v>
      </c>
      <c r="H242" s="219"/>
      <c r="I242" s="169">
        <v>117142</v>
      </c>
      <c r="J242" s="304" t="str">
        <f>CONCATENATE([2]Cover!$D$6,"fdd/view?i=",I242)</f>
        <v>https://www.dgiwg.org/FAD/fdd/view?i=117142</v>
      </c>
      <c r="K242" s="304" t="s">
        <v>34291</v>
      </c>
      <c r="L242" s="188">
        <v>167</v>
      </c>
      <c r="M242" s="179" t="s">
        <v>151</v>
      </c>
    </row>
    <row r="243" spans="1:13" ht="38.25">
      <c r="A243" s="313" t="str">
        <f t="shared" si="3"/>
        <v>AerialRefuelReceiveChanCode_chan055Z</v>
      </c>
      <c r="B243" s="330"/>
      <c r="C243" s="334"/>
      <c r="D243" s="188" t="s">
        <v>14104</v>
      </c>
      <c r="E243" s="189" t="s">
        <v>14105</v>
      </c>
      <c r="F243" s="162" t="s">
        <v>14106</v>
      </c>
      <c r="G243" s="162" t="s">
        <v>13413</v>
      </c>
      <c r="H243" s="219"/>
      <c r="I243" s="169">
        <v>117143</v>
      </c>
      <c r="J243" s="304" t="str">
        <f>CONCATENATE([2]Cover!$D$6,"fdd/view?i=",I243)</f>
        <v>https://www.dgiwg.org/FAD/fdd/view?i=117143</v>
      </c>
      <c r="K243" s="304" t="s">
        <v>34292</v>
      </c>
      <c r="L243" s="188">
        <v>168</v>
      </c>
      <c r="M243" s="179" t="s">
        <v>151</v>
      </c>
    </row>
    <row r="244" spans="1:13" ht="38.25">
      <c r="A244" s="313" t="str">
        <f t="shared" si="3"/>
        <v>AerialRefuelReceiveChanCode_chan056W</v>
      </c>
      <c r="B244" s="330"/>
      <c r="C244" s="334"/>
      <c r="D244" s="188" t="s">
        <v>14107</v>
      </c>
      <c r="E244" s="189" t="s">
        <v>14108</v>
      </c>
      <c r="F244" s="162" t="s">
        <v>14109</v>
      </c>
      <c r="G244" s="162" t="s">
        <v>13413</v>
      </c>
      <c r="H244" s="219"/>
      <c r="I244" s="169">
        <v>117144</v>
      </c>
      <c r="J244" s="304" t="str">
        <f>CONCATENATE([2]Cover!$D$6,"fdd/view?i=",I244)</f>
        <v>https://www.dgiwg.org/FAD/fdd/view?i=117144</v>
      </c>
      <c r="K244" s="304" t="s">
        <v>34293</v>
      </c>
      <c r="L244" s="188">
        <v>169</v>
      </c>
      <c r="M244" s="179" t="s">
        <v>151</v>
      </c>
    </row>
    <row r="245" spans="1:13" ht="38.25">
      <c r="A245" s="313" t="str">
        <f t="shared" si="3"/>
        <v>AerialRefuelReceiveChanCode_chan056X</v>
      </c>
      <c r="B245" s="330"/>
      <c r="C245" s="334"/>
      <c r="D245" s="188" t="s">
        <v>14110</v>
      </c>
      <c r="E245" s="189" t="s">
        <v>14111</v>
      </c>
      <c r="F245" s="162" t="s">
        <v>14112</v>
      </c>
      <c r="G245" s="162" t="s">
        <v>13413</v>
      </c>
      <c r="H245" s="219"/>
      <c r="I245" s="169">
        <v>117145</v>
      </c>
      <c r="J245" s="304" t="str">
        <f>CONCATENATE([2]Cover!$D$6,"fdd/view?i=",I245)</f>
        <v>https://www.dgiwg.org/FAD/fdd/view?i=117145</v>
      </c>
      <c r="K245" s="304" t="s">
        <v>34294</v>
      </c>
      <c r="L245" s="188">
        <v>170</v>
      </c>
      <c r="M245" s="179" t="s">
        <v>151</v>
      </c>
    </row>
    <row r="246" spans="1:13" ht="38.25">
      <c r="A246" s="313" t="str">
        <f t="shared" si="3"/>
        <v>AerialRefuelReceiveChanCode_chan056Y</v>
      </c>
      <c r="B246" s="330"/>
      <c r="C246" s="334"/>
      <c r="D246" s="188" t="s">
        <v>14113</v>
      </c>
      <c r="E246" s="189" t="s">
        <v>14114</v>
      </c>
      <c r="F246" s="162" t="s">
        <v>14115</v>
      </c>
      <c r="G246" s="162" t="s">
        <v>13413</v>
      </c>
      <c r="H246" s="219"/>
      <c r="I246" s="169">
        <v>117146</v>
      </c>
      <c r="J246" s="304" t="str">
        <f>CONCATENATE([2]Cover!$D$6,"fdd/view?i=",I246)</f>
        <v>https://www.dgiwg.org/FAD/fdd/view?i=117146</v>
      </c>
      <c r="K246" s="304" t="s">
        <v>34295</v>
      </c>
      <c r="L246" s="188">
        <v>171</v>
      </c>
      <c r="M246" s="179" t="s">
        <v>151</v>
      </c>
    </row>
    <row r="247" spans="1:13" ht="38.25">
      <c r="A247" s="313" t="str">
        <f t="shared" si="3"/>
        <v>AerialRefuelReceiveChanCode_chan056Z</v>
      </c>
      <c r="B247" s="330"/>
      <c r="C247" s="334"/>
      <c r="D247" s="188" t="s">
        <v>14116</v>
      </c>
      <c r="E247" s="189" t="s">
        <v>14117</v>
      </c>
      <c r="F247" s="162" t="s">
        <v>14118</v>
      </c>
      <c r="G247" s="162" t="s">
        <v>13413</v>
      </c>
      <c r="H247" s="219"/>
      <c r="I247" s="169">
        <v>117147</v>
      </c>
      <c r="J247" s="304" t="str">
        <f>CONCATENATE([2]Cover!$D$6,"fdd/view?i=",I247)</f>
        <v>https://www.dgiwg.org/FAD/fdd/view?i=117147</v>
      </c>
      <c r="K247" s="304" t="s">
        <v>34296</v>
      </c>
      <c r="L247" s="188">
        <v>172</v>
      </c>
      <c r="M247" s="179" t="s">
        <v>151</v>
      </c>
    </row>
    <row r="248" spans="1:13" ht="38.25">
      <c r="A248" s="313" t="str">
        <f t="shared" si="3"/>
        <v>AerialRefuelReceiveChanCode_chan057X</v>
      </c>
      <c r="B248" s="330"/>
      <c r="C248" s="334"/>
      <c r="D248" s="188" t="s">
        <v>14119</v>
      </c>
      <c r="E248" s="189" t="s">
        <v>14120</v>
      </c>
      <c r="F248" s="162" t="s">
        <v>14121</v>
      </c>
      <c r="G248" s="162" t="s">
        <v>13413</v>
      </c>
      <c r="H248" s="219"/>
      <c r="I248" s="169">
        <v>117148</v>
      </c>
      <c r="J248" s="304" t="str">
        <f>CONCATENATE([2]Cover!$D$6,"fdd/view?i=",I248)</f>
        <v>https://www.dgiwg.org/FAD/fdd/view?i=117148</v>
      </c>
      <c r="K248" s="304" t="s">
        <v>34297</v>
      </c>
      <c r="L248" s="188">
        <v>173</v>
      </c>
      <c r="M248" s="179" t="s">
        <v>151</v>
      </c>
    </row>
    <row r="249" spans="1:13" ht="38.25">
      <c r="A249" s="313" t="str">
        <f t="shared" si="3"/>
        <v>AerialRefuelReceiveChanCode_chan057Y</v>
      </c>
      <c r="B249" s="330"/>
      <c r="C249" s="334"/>
      <c r="D249" s="188" t="s">
        <v>14122</v>
      </c>
      <c r="E249" s="189" t="s">
        <v>14123</v>
      </c>
      <c r="F249" s="162" t="s">
        <v>14124</v>
      </c>
      <c r="G249" s="162" t="s">
        <v>13413</v>
      </c>
      <c r="H249" s="219"/>
      <c r="I249" s="169">
        <v>117149</v>
      </c>
      <c r="J249" s="304" t="str">
        <f>CONCATENATE([2]Cover!$D$6,"fdd/view?i=",I249)</f>
        <v>https://www.dgiwg.org/FAD/fdd/view?i=117149</v>
      </c>
      <c r="K249" s="304" t="s">
        <v>34298</v>
      </c>
      <c r="L249" s="188">
        <v>174</v>
      </c>
      <c r="M249" s="179" t="s">
        <v>151</v>
      </c>
    </row>
    <row r="250" spans="1:13" ht="38.25">
      <c r="A250" s="313" t="str">
        <f t="shared" si="3"/>
        <v>AerialRefuelReceiveChanCode_chan058X</v>
      </c>
      <c r="B250" s="330"/>
      <c r="C250" s="334"/>
      <c r="D250" s="188" t="s">
        <v>14125</v>
      </c>
      <c r="E250" s="189" t="s">
        <v>14126</v>
      </c>
      <c r="F250" s="162" t="s">
        <v>14127</v>
      </c>
      <c r="G250" s="162" t="s">
        <v>13413</v>
      </c>
      <c r="H250" s="219"/>
      <c r="I250" s="169">
        <v>117150</v>
      </c>
      <c r="J250" s="304" t="str">
        <f>CONCATENATE([2]Cover!$D$6,"fdd/view?i=",I250)</f>
        <v>https://www.dgiwg.org/FAD/fdd/view?i=117150</v>
      </c>
      <c r="K250" s="304" t="s">
        <v>34299</v>
      </c>
      <c r="L250" s="188">
        <v>175</v>
      </c>
      <c r="M250" s="179" t="s">
        <v>151</v>
      </c>
    </row>
    <row r="251" spans="1:13" ht="38.25">
      <c r="A251" s="313" t="str">
        <f t="shared" si="3"/>
        <v>AerialRefuelReceiveChanCode_chan058Y</v>
      </c>
      <c r="B251" s="330"/>
      <c r="C251" s="334"/>
      <c r="D251" s="188" t="s">
        <v>14128</v>
      </c>
      <c r="E251" s="189" t="s">
        <v>14129</v>
      </c>
      <c r="F251" s="162" t="s">
        <v>14130</v>
      </c>
      <c r="G251" s="162" t="s">
        <v>13413</v>
      </c>
      <c r="H251" s="219"/>
      <c r="I251" s="169">
        <v>117151</v>
      </c>
      <c r="J251" s="304" t="str">
        <f>CONCATENATE([2]Cover!$D$6,"fdd/view?i=",I251)</f>
        <v>https://www.dgiwg.org/FAD/fdd/view?i=117151</v>
      </c>
      <c r="K251" s="304" t="s">
        <v>34300</v>
      </c>
      <c r="L251" s="188">
        <v>176</v>
      </c>
      <c r="M251" s="179" t="s">
        <v>151</v>
      </c>
    </row>
    <row r="252" spans="1:13" ht="38.25">
      <c r="A252" s="313" t="str">
        <f t="shared" si="3"/>
        <v>AerialRefuelReceiveChanCode_chan059X</v>
      </c>
      <c r="B252" s="330"/>
      <c r="C252" s="334"/>
      <c r="D252" s="188" t="s">
        <v>14131</v>
      </c>
      <c r="E252" s="189" t="s">
        <v>14132</v>
      </c>
      <c r="F252" s="162" t="s">
        <v>14133</v>
      </c>
      <c r="G252" s="162" t="s">
        <v>13413</v>
      </c>
      <c r="H252" s="219"/>
      <c r="I252" s="169">
        <v>117152</v>
      </c>
      <c r="J252" s="304" t="str">
        <f>CONCATENATE([2]Cover!$D$6,"fdd/view?i=",I252)</f>
        <v>https://www.dgiwg.org/FAD/fdd/view?i=117152</v>
      </c>
      <c r="K252" s="304" t="s">
        <v>34301</v>
      </c>
      <c r="L252" s="188">
        <v>177</v>
      </c>
      <c r="M252" s="179" t="s">
        <v>151</v>
      </c>
    </row>
    <row r="253" spans="1:13" ht="38.25">
      <c r="A253" s="313" t="str">
        <f t="shared" si="3"/>
        <v>AerialRefuelReceiveChanCode_chan059Y</v>
      </c>
      <c r="B253" s="330"/>
      <c r="C253" s="334"/>
      <c r="D253" s="188" t="s">
        <v>14134</v>
      </c>
      <c r="E253" s="189" t="s">
        <v>14135</v>
      </c>
      <c r="F253" s="162" t="s">
        <v>14136</v>
      </c>
      <c r="G253" s="162" t="s">
        <v>13413</v>
      </c>
      <c r="H253" s="219"/>
      <c r="I253" s="169">
        <v>117153</v>
      </c>
      <c r="J253" s="304" t="str">
        <f>CONCATENATE([2]Cover!$D$6,"fdd/view?i=",I253)</f>
        <v>https://www.dgiwg.org/FAD/fdd/view?i=117153</v>
      </c>
      <c r="K253" s="304" t="s">
        <v>34302</v>
      </c>
      <c r="L253" s="188">
        <v>178</v>
      </c>
      <c r="M253" s="179" t="s">
        <v>151</v>
      </c>
    </row>
    <row r="254" spans="1:13" ht="38.25">
      <c r="A254" s="313" t="str">
        <f t="shared" si="3"/>
        <v>AerialRefuelReceiveChanCode_chan060X</v>
      </c>
      <c r="B254" s="330"/>
      <c r="C254" s="334"/>
      <c r="D254" s="188" t="s">
        <v>14143</v>
      </c>
      <c r="E254" s="189" t="s">
        <v>14144</v>
      </c>
      <c r="F254" s="162" t="s">
        <v>14145</v>
      </c>
      <c r="G254" s="162" t="s">
        <v>13413</v>
      </c>
      <c r="H254" s="219"/>
      <c r="I254" s="169">
        <v>117154</v>
      </c>
      <c r="J254" s="304" t="str">
        <f>CONCATENATE([2]Cover!$D$6,"fdd/view?i=",I254)</f>
        <v>https://www.dgiwg.org/FAD/fdd/view?i=117154</v>
      </c>
      <c r="K254" s="304" t="s">
        <v>34303</v>
      </c>
      <c r="L254" s="188">
        <v>179</v>
      </c>
      <c r="M254" s="179" t="s">
        <v>151</v>
      </c>
    </row>
    <row r="255" spans="1:13" ht="38.25">
      <c r="A255" s="313" t="str">
        <f t="shared" si="3"/>
        <v>AerialRefuelReceiveChanCode_chan060Y</v>
      </c>
      <c r="B255" s="330"/>
      <c r="C255" s="334"/>
      <c r="D255" s="188" t="s">
        <v>14146</v>
      </c>
      <c r="E255" s="189" t="s">
        <v>14147</v>
      </c>
      <c r="F255" s="162" t="s">
        <v>14148</v>
      </c>
      <c r="G255" s="162" t="s">
        <v>13413</v>
      </c>
      <c r="H255" s="219"/>
      <c r="I255" s="169">
        <v>117155</v>
      </c>
      <c r="J255" s="304" t="str">
        <f>CONCATENATE([2]Cover!$D$6,"fdd/view?i=",I255)</f>
        <v>https://www.dgiwg.org/FAD/fdd/view?i=117155</v>
      </c>
      <c r="K255" s="304" t="s">
        <v>34304</v>
      </c>
      <c r="L255" s="188">
        <v>180</v>
      </c>
      <c r="M255" s="179" t="s">
        <v>151</v>
      </c>
    </row>
    <row r="256" spans="1:13" ht="38.25">
      <c r="A256" s="313" t="str">
        <f t="shared" si="3"/>
        <v>AerialRefuelReceiveChanCode_chan061X</v>
      </c>
      <c r="B256" s="330"/>
      <c r="C256" s="334"/>
      <c r="D256" s="188" t="s">
        <v>14149</v>
      </c>
      <c r="E256" s="189" t="s">
        <v>14150</v>
      </c>
      <c r="F256" s="162" t="s">
        <v>14151</v>
      </c>
      <c r="G256" s="162" t="s">
        <v>13413</v>
      </c>
      <c r="H256" s="219"/>
      <c r="I256" s="169">
        <v>117156</v>
      </c>
      <c r="J256" s="304" t="str">
        <f>CONCATENATE([2]Cover!$D$6,"fdd/view?i=",I256)</f>
        <v>https://www.dgiwg.org/FAD/fdd/view?i=117156</v>
      </c>
      <c r="K256" s="304" t="s">
        <v>34305</v>
      </c>
      <c r="L256" s="188">
        <v>181</v>
      </c>
      <c r="M256" s="179" t="s">
        <v>151</v>
      </c>
    </row>
    <row r="257" spans="1:13" ht="38.25">
      <c r="A257" s="313" t="str">
        <f t="shared" si="3"/>
        <v>AerialRefuelReceiveChanCode_chan061Y</v>
      </c>
      <c r="B257" s="330"/>
      <c r="C257" s="334"/>
      <c r="D257" s="188" t="s">
        <v>14152</v>
      </c>
      <c r="E257" s="189" t="s">
        <v>14153</v>
      </c>
      <c r="F257" s="162" t="s">
        <v>14154</v>
      </c>
      <c r="G257" s="162" t="s">
        <v>13413</v>
      </c>
      <c r="H257" s="219"/>
      <c r="I257" s="169">
        <v>117157</v>
      </c>
      <c r="J257" s="304" t="str">
        <f>CONCATENATE([2]Cover!$D$6,"fdd/view?i=",I257)</f>
        <v>https://www.dgiwg.org/FAD/fdd/view?i=117157</v>
      </c>
      <c r="K257" s="304" t="s">
        <v>34306</v>
      </c>
      <c r="L257" s="188">
        <v>182</v>
      </c>
      <c r="M257" s="179" t="s">
        <v>151</v>
      </c>
    </row>
    <row r="258" spans="1:13" ht="38.25">
      <c r="A258" s="313" t="str">
        <f t="shared" si="3"/>
        <v>AerialRefuelReceiveChanCode_chan062X</v>
      </c>
      <c r="B258" s="330"/>
      <c r="C258" s="334"/>
      <c r="D258" s="188" t="s">
        <v>14155</v>
      </c>
      <c r="E258" s="189" t="s">
        <v>14156</v>
      </c>
      <c r="F258" s="162" t="s">
        <v>14157</v>
      </c>
      <c r="G258" s="162" t="s">
        <v>13413</v>
      </c>
      <c r="H258" s="219"/>
      <c r="I258" s="169">
        <v>117158</v>
      </c>
      <c r="J258" s="304" t="str">
        <f>CONCATENATE([2]Cover!$D$6,"fdd/view?i=",I258)</f>
        <v>https://www.dgiwg.org/FAD/fdd/view?i=117158</v>
      </c>
      <c r="K258" s="304" t="s">
        <v>34307</v>
      </c>
      <c r="L258" s="188">
        <v>183</v>
      </c>
      <c r="M258" s="179" t="s">
        <v>151</v>
      </c>
    </row>
    <row r="259" spans="1:13" ht="38.25">
      <c r="A259" s="313" t="str">
        <f t="shared" ref="A259:A322" si="4">HYPERLINK(J259,K259)</f>
        <v>AerialRefuelReceiveChanCode_chan062Y</v>
      </c>
      <c r="B259" s="330"/>
      <c r="C259" s="334"/>
      <c r="D259" s="188" t="s">
        <v>14158</v>
      </c>
      <c r="E259" s="189" t="s">
        <v>14159</v>
      </c>
      <c r="F259" s="162" t="s">
        <v>14160</v>
      </c>
      <c r="G259" s="162" t="s">
        <v>13413</v>
      </c>
      <c r="H259" s="219"/>
      <c r="I259" s="169">
        <v>117159</v>
      </c>
      <c r="J259" s="304" t="str">
        <f>CONCATENATE([2]Cover!$D$6,"fdd/view?i=",I259)</f>
        <v>https://www.dgiwg.org/FAD/fdd/view?i=117159</v>
      </c>
      <c r="K259" s="304" t="s">
        <v>34308</v>
      </c>
      <c r="L259" s="188">
        <v>184</v>
      </c>
      <c r="M259" s="179" t="s">
        <v>151</v>
      </c>
    </row>
    <row r="260" spans="1:13" ht="38.25">
      <c r="A260" s="313" t="str">
        <f t="shared" si="4"/>
        <v>AerialRefuelReceiveChanCode_chan063X</v>
      </c>
      <c r="B260" s="330"/>
      <c r="C260" s="334"/>
      <c r="D260" s="188" t="s">
        <v>14161</v>
      </c>
      <c r="E260" s="189" t="s">
        <v>14162</v>
      </c>
      <c r="F260" s="162" t="s">
        <v>14163</v>
      </c>
      <c r="G260" s="162" t="s">
        <v>13413</v>
      </c>
      <c r="H260" s="219"/>
      <c r="I260" s="169">
        <v>117160</v>
      </c>
      <c r="J260" s="304" t="str">
        <f>CONCATENATE([2]Cover!$D$6,"fdd/view?i=",I260)</f>
        <v>https://www.dgiwg.org/FAD/fdd/view?i=117160</v>
      </c>
      <c r="K260" s="304" t="s">
        <v>34309</v>
      </c>
      <c r="L260" s="188">
        <v>185</v>
      </c>
      <c r="M260" s="179" t="s">
        <v>151</v>
      </c>
    </row>
    <row r="261" spans="1:13" ht="38.25">
      <c r="A261" s="313" t="str">
        <f t="shared" si="4"/>
        <v>AerialRefuelReceiveChanCode_chan063Y</v>
      </c>
      <c r="B261" s="330"/>
      <c r="C261" s="334"/>
      <c r="D261" s="188" t="s">
        <v>14164</v>
      </c>
      <c r="E261" s="189" t="s">
        <v>14165</v>
      </c>
      <c r="F261" s="162" t="s">
        <v>14166</v>
      </c>
      <c r="G261" s="162" t="s">
        <v>13413</v>
      </c>
      <c r="H261" s="219"/>
      <c r="I261" s="169">
        <v>117161</v>
      </c>
      <c r="J261" s="304" t="str">
        <f>CONCATENATE([2]Cover!$D$6,"fdd/view?i=",I261)</f>
        <v>https://www.dgiwg.org/FAD/fdd/view?i=117161</v>
      </c>
      <c r="K261" s="304" t="s">
        <v>34310</v>
      </c>
      <c r="L261" s="188">
        <v>186</v>
      </c>
      <c r="M261" s="179" t="s">
        <v>151</v>
      </c>
    </row>
    <row r="262" spans="1:13" ht="38.25">
      <c r="A262" s="313" t="str">
        <f t="shared" si="4"/>
        <v>AerialRefuelReceiveChanCode_chan064X</v>
      </c>
      <c r="B262" s="330"/>
      <c r="C262" s="334"/>
      <c r="D262" s="188" t="s">
        <v>14167</v>
      </c>
      <c r="E262" s="189" t="s">
        <v>14168</v>
      </c>
      <c r="F262" s="162" t="s">
        <v>14169</v>
      </c>
      <c r="G262" s="162" t="s">
        <v>13413</v>
      </c>
      <c r="H262" s="219"/>
      <c r="I262" s="169">
        <v>117162</v>
      </c>
      <c r="J262" s="304" t="str">
        <f>CONCATENATE([2]Cover!$D$6,"fdd/view?i=",I262)</f>
        <v>https://www.dgiwg.org/FAD/fdd/view?i=117162</v>
      </c>
      <c r="K262" s="304" t="s">
        <v>34311</v>
      </c>
      <c r="L262" s="188">
        <v>187</v>
      </c>
      <c r="M262" s="179" t="s">
        <v>151</v>
      </c>
    </row>
    <row r="263" spans="1:13" ht="38.25">
      <c r="A263" s="313" t="str">
        <f t="shared" si="4"/>
        <v>AerialRefuelReceiveChanCode_chan064Y</v>
      </c>
      <c r="B263" s="330"/>
      <c r="C263" s="334"/>
      <c r="D263" s="188" t="s">
        <v>14170</v>
      </c>
      <c r="E263" s="189" t="s">
        <v>14171</v>
      </c>
      <c r="F263" s="162" t="s">
        <v>14172</v>
      </c>
      <c r="G263" s="162" t="s">
        <v>13413</v>
      </c>
      <c r="H263" s="219"/>
      <c r="I263" s="169">
        <v>117163</v>
      </c>
      <c r="J263" s="304" t="str">
        <f>CONCATENATE([2]Cover!$D$6,"fdd/view?i=",I263)</f>
        <v>https://www.dgiwg.org/FAD/fdd/view?i=117163</v>
      </c>
      <c r="K263" s="304" t="s">
        <v>34312</v>
      </c>
      <c r="L263" s="188">
        <v>188</v>
      </c>
      <c r="M263" s="179" t="s">
        <v>151</v>
      </c>
    </row>
    <row r="264" spans="1:13" ht="38.25">
      <c r="A264" s="313" t="str">
        <f t="shared" si="4"/>
        <v>AerialRefuelReceiveChanCode_chan065X</v>
      </c>
      <c r="B264" s="330"/>
      <c r="C264" s="334"/>
      <c r="D264" s="188" t="s">
        <v>14173</v>
      </c>
      <c r="E264" s="189" t="s">
        <v>14174</v>
      </c>
      <c r="F264" s="162" t="s">
        <v>14175</v>
      </c>
      <c r="G264" s="162" t="s">
        <v>13413</v>
      </c>
      <c r="H264" s="219"/>
      <c r="I264" s="169">
        <v>117164</v>
      </c>
      <c r="J264" s="304" t="str">
        <f>CONCATENATE([2]Cover!$D$6,"fdd/view?i=",I264)</f>
        <v>https://www.dgiwg.org/FAD/fdd/view?i=117164</v>
      </c>
      <c r="K264" s="304" t="s">
        <v>34313</v>
      </c>
      <c r="L264" s="188">
        <v>189</v>
      </c>
      <c r="M264" s="179" t="s">
        <v>151</v>
      </c>
    </row>
    <row r="265" spans="1:13" ht="38.25">
      <c r="A265" s="313" t="str">
        <f t="shared" si="4"/>
        <v>AerialRefuelReceiveChanCode_chan065Y</v>
      </c>
      <c r="B265" s="330"/>
      <c r="C265" s="334"/>
      <c r="D265" s="188" t="s">
        <v>14176</v>
      </c>
      <c r="E265" s="189" t="s">
        <v>14177</v>
      </c>
      <c r="F265" s="162" t="s">
        <v>14178</v>
      </c>
      <c r="G265" s="162" t="s">
        <v>13413</v>
      </c>
      <c r="H265" s="219"/>
      <c r="I265" s="169">
        <v>117165</v>
      </c>
      <c r="J265" s="304" t="str">
        <f>CONCATENATE([2]Cover!$D$6,"fdd/view?i=",I265)</f>
        <v>https://www.dgiwg.org/FAD/fdd/view?i=117165</v>
      </c>
      <c r="K265" s="304" t="s">
        <v>34314</v>
      </c>
      <c r="L265" s="188">
        <v>190</v>
      </c>
      <c r="M265" s="179" t="s">
        <v>151</v>
      </c>
    </row>
    <row r="266" spans="1:13" ht="38.25">
      <c r="A266" s="313" t="str">
        <f t="shared" si="4"/>
        <v>AerialRefuelReceiveChanCode_chan066X</v>
      </c>
      <c r="B266" s="330"/>
      <c r="C266" s="334"/>
      <c r="D266" s="188" t="s">
        <v>14179</v>
      </c>
      <c r="E266" s="189" t="s">
        <v>14180</v>
      </c>
      <c r="F266" s="162" t="s">
        <v>14181</v>
      </c>
      <c r="G266" s="162" t="s">
        <v>13413</v>
      </c>
      <c r="H266" s="219"/>
      <c r="I266" s="169">
        <v>117166</v>
      </c>
      <c r="J266" s="304" t="str">
        <f>CONCATENATE([2]Cover!$D$6,"fdd/view?i=",I266)</f>
        <v>https://www.dgiwg.org/FAD/fdd/view?i=117166</v>
      </c>
      <c r="K266" s="304" t="s">
        <v>34315</v>
      </c>
      <c r="L266" s="188">
        <v>191</v>
      </c>
      <c r="M266" s="179" t="s">
        <v>151</v>
      </c>
    </row>
    <row r="267" spans="1:13" ht="38.25">
      <c r="A267" s="313" t="str">
        <f t="shared" si="4"/>
        <v>AerialRefuelReceiveChanCode_chan066Y</v>
      </c>
      <c r="B267" s="330"/>
      <c r="C267" s="334"/>
      <c r="D267" s="188" t="s">
        <v>14182</v>
      </c>
      <c r="E267" s="189" t="s">
        <v>14183</v>
      </c>
      <c r="F267" s="162" t="s">
        <v>14184</v>
      </c>
      <c r="G267" s="162" t="s">
        <v>13413</v>
      </c>
      <c r="H267" s="219"/>
      <c r="I267" s="169">
        <v>117167</v>
      </c>
      <c r="J267" s="304" t="str">
        <f>CONCATENATE([2]Cover!$D$6,"fdd/view?i=",I267)</f>
        <v>https://www.dgiwg.org/FAD/fdd/view?i=117167</v>
      </c>
      <c r="K267" s="304" t="s">
        <v>34316</v>
      </c>
      <c r="L267" s="188">
        <v>192</v>
      </c>
      <c r="M267" s="179" t="s">
        <v>151</v>
      </c>
    </row>
    <row r="268" spans="1:13" ht="38.25">
      <c r="A268" s="313" t="str">
        <f t="shared" si="4"/>
        <v>AerialRefuelReceiveChanCode_chan067X</v>
      </c>
      <c r="B268" s="330"/>
      <c r="C268" s="334"/>
      <c r="D268" s="188" t="s">
        <v>14185</v>
      </c>
      <c r="E268" s="189" t="s">
        <v>14186</v>
      </c>
      <c r="F268" s="162" t="s">
        <v>14187</v>
      </c>
      <c r="G268" s="162" t="s">
        <v>13413</v>
      </c>
      <c r="H268" s="219"/>
      <c r="I268" s="169">
        <v>117168</v>
      </c>
      <c r="J268" s="304" t="str">
        <f>CONCATENATE([2]Cover!$D$6,"fdd/view?i=",I268)</f>
        <v>https://www.dgiwg.org/FAD/fdd/view?i=117168</v>
      </c>
      <c r="K268" s="304" t="s">
        <v>34317</v>
      </c>
      <c r="L268" s="188">
        <v>193</v>
      </c>
      <c r="M268" s="179" t="s">
        <v>151</v>
      </c>
    </row>
    <row r="269" spans="1:13" ht="38.25">
      <c r="A269" s="313" t="str">
        <f t="shared" si="4"/>
        <v>AerialRefuelReceiveChanCode_chan067Y</v>
      </c>
      <c r="B269" s="330"/>
      <c r="C269" s="334"/>
      <c r="D269" s="188" t="s">
        <v>14188</v>
      </c>
      <c r="E269" s="189" t="s">
        <v>14189</v>
      </c>
      <c r="F269" s="162" t="s">
        <v>14190</v>
      </c>
      <c r="G269" s="162" t="s">
        <v>13413</v>
      </c>
      <c r="H269" s="219"/>
      <c r="I269" s="169">
        <v>117169</v>
      </c>
      <c r="J269" s="304" t="str">
        <f>CONCATENATE([2]Cover!$D$6,"fdd/view?i=",I269)</f>
        <v>https://www.dgiwg.org/FAD/fdd/view?i=117169</v>
      </c>
      <c r="K269" s="304" t="s">
        <v>34318</v>
      </c>
      <c r="L269" s="188">
        <v>194</v>
      </c>
      <c r="M269" s="179" t="s">
        <v>151</v>
      </c>
    </row>
    <row r="270" spans="1:13" ht="38.25">
      <c r="A270" s="313" t="str">
        <f t="shared" si="4"/>
        <v>AerialRefuelReceiveChanCode_chan068X</v>
      </c>
      <c r="B270" s="330"/>
      <c r="C270" s="334"/>
      <c r="D270" s="188" t="s">
        <v>14191</v>
      </c>
      <c r="E270" s="189" t="s">
        <v>14192</v>
      </c>
      <c r="F270" s="162" t="s">
        <v>14193</v>
      </c>
      <c r="G270" s="162" t="s">
        <v>13413</v>
      </c>
      <c r="H270" s="219"/>
      <c r="I270" s="169">
        <v>117170</v>
      </c>
      <c r="J270" s="304" t="str">
        <f>CONCATENATE([2]Cover!$D$6,"fdd/view?i=",I270)</f>
        <v>https://www.dgiwg.org/FAD/fdd/view?i=117170</v>
      </c>
      <c r="K270" s="304" t="s">
        <v>34319</v>
      </c>
      <c r="L270" s="188">
        <v>195</v>
      </c>
      <c r="M270" s="179" t="s">
        <v>151</v>
      </c>
    </row>
    <row r="271" spans="1:13" ht="38.25">
      <c r="A271" s="313" t="str">
        <f t="shared" si="4"/>
        <v>AerialRefuelReceiveChanCode_chan068Y</v>
      </c>
      <c r="B271" s="330"/>
      <c r="C271" s="334"/>
      <c r="D271" s="188" t="s">
        <v>14194</v>
      </c>
      <c r="E271" s="189" t="s">
        <v>14195</v>
      </c>
      <c r="F271" s="162" t="s">
        <v>14196</v>
      </c>
      <c r="G271" s="162" t="s">
        <v>13413</v>
      </c>
      <c r="H271" s="219"/>
      <c r="I271" s="169">
        <v>117171</v>
      </c>
      <c r="J271" s="304" t="str">
        <f>CONCATENATE([2]Cover!$D$6,"fdd/view?i=",I271)</f>
        <v>https://www.dgiwg.org/FAD/fdd/view?i=117171</v>
      </c>
      <c r="K271" s="304" t="s">
        <v>34320</v>
      </c>
      <c r="L271" s="188">
        <v>196</v>
      </c>
      <c r="M271" s="179" t="s">
        <v>151</v>
      </c>
    </row>
    <row r="272" spans="1:13" ht="38.25">
      <c r="A272" s="313" t="str">
        <f t="shared" si="4"/>
        <v>AerialRefuelReceiveChanCode_chan069X</v>
      </c>
      <c r="B272" s="330"/>
      <c r="C272" s="334"/>
      <c r="D272" s="188" t="s">
        <v>14197</v>
      </c>
      <c r="E272" s="189" t="s">
        <v>14198</v>
      </c>
      <c r="F272" s="162" t="s">
        <v>14199</v>
      </c>
      <c r="G272" s="162" t="s">
        <v>13413</v>
      </c>
      <c r="H272" s="219"/>
      <c r="I272" s="169">
        <v>117172</v>
      </c>
      <c r="J272" s="304" t="str">
        <f>CONCATENATE([2]Cover!$D$6,"fdd/view?i=",I272)</f>
        <v>https://www.dgiwg.org/FAD/fdd/view?i=117172</v>
      </c>
      <c r="K272" s="304" t="s">
        <v>34321</v>
      </c>
      <c r="L272" s="188">
        <v>197</v>
      </c>
      <c r="M272" s="179" t="s">
        <v>151</v>
      </c>
    </row>
    <row r="273" spans="1:13" ht="38.25">
      <c r="A273" s="313" t="str">
        <f t="shared" si="4"/>
        <v>AerialRefuelReceiveChanCode_chan069Y</v>
      </c>
      <c r="B273" s="330"/>
      <c r="C273" s="334"/>
      <c r="D273" s="188" t="s">
        <v>14200</v>
      </c>
      <c r="E273" s="189" t="s">
        <v>14201</v>
      </c>
      <c r="F273" s="162" t="s">
        <v>14202</v>
      </c>
      <c r="G273" s="162" t="s">
        <v>13413</v>
      </c>
      <c r="H273" s="219"/>
      <c r="I273" s="169">
        <v>117173</v>
      </c>
      <c r="J273" s="304" t="str">
        <f>CONCATENATE([2]Cover!$D$6,"fdd/view?i=",I273)</f>
        <v>https://www.dgiwg.org/FAD/fdd/view?i=117173</v>
      </c>
      <c r="K273" s="304" t="s">
        <v>34322</v>
      </c>
      <c r="L273" s="188">
        <v>198</v>
      </c>
      <c r="M273" s="179" t="s">
        <v>151</v>
      </c>
    </row>
    <row r="274" spans="1:13" ht="38.25">
      <c r="A274" s="313" t="str">
        <f t="shared" si="4"/>
        <v>AerialRefuelReceiveChanCode_chan070X</v>
      </c>
      <c r="B274" s="330"/>
      <c r="C274" s="334"/>
      <c r="D274" s="188" t="s">
        <v>14209</v>
      </c>
      <c r="E274" s="189" t="s">
        <v>14210</v>
      </c>
      <c r="F274" s="162" t="s">
        <v>14211</v>
      </c>
      <c r="G274" s="162" t="s">
        <v>13413</v>
      </c>
      <c r="H274" s="219"/>
      <c r="I274" s="169">
        <v>117174</v>
      </c>
      <c r="J274" s="304" t="str">
        <f>CONCATENATE([2]Cover!$D$6,"fdd/view?i=",I274)</f>
        <v>https://www.dgiwg.org/FAD/fdd/view?i=117174</v>
      </c>
      <c r="K274" s="304" t="s">
        <v>34323</v>
      </c>
      <c r="L274" s="188">
        <v>199</v>
      </c>
      <c r="M274" s="179" t="s">
        <v>151</v>
      </c>
    </row>
    <row r="275" spans="1:13" ht="38.25">
      <c r="A275" s="313" t="str">
        <f t="shared" si="4"/>
        <v>AerialRefuelReceiveChanCode_chan070Y</v>
      </c>
      <c r="B275" s="330"/>
      <c r="C275" s="334"/>
      <c r="D275" s="188" t="s">
        <v>14212</v>
      </c>
      <c r="E275" s="189" t="s">
        <v>14213</v>
      </c>
      <c r="F275" s="162" t="s">
        <v>14214</v>
      </c>
      <c r="G275" s="162" t="s">
        <v>13413</v>
      </c>
      <c r="H275" s="219"/>
      <c r="I275" s="169">
        <v>117175</v>
      </c>
      <c r="J275" s="304" t="str">
        <f>CONCATENATE([2]Cover!$D$6,"fdd/view?i=",I275)</f>
        <v>https://www.dgiwg.org/FAD/fdd/view?i=117175</v>
      </c>
      <c r="K275" s="304" t="s">
        <v>34324</v>
      </c>
      <c r="L275" s="188">
        <v>200</v>
      </c>
      <c r="M275" s="179" t="s">
        <v>151</v>
      </c>
    </row>
    <row r="276" spans="1:13" ht="38.25">
      <c r="A276" s="313" t="str">
        <f t="shared" si="4"/>
        <v>AerialRefuelReceiveChanCode_chan071X</v>
      </c>
      <c r="B276" s="330"/>
      <c r="C276" s="334"/>
      <c r="D276" s="188" t="s">
        <v>14215</v>
      </c>
      <c r="E276" s="189" t="s">
        <v>14216</v>
      </c>
      <c r="F276" s="162" t="s">
        <v>14217</v>
      </c>
      <c r="G276" s="162" t="s">
        <v>13413</v>
      </c>
      <c r="H276" s="219"/>
      <c r="I276" s="169">
        <v>117176</v>
      </c>
      <c r="J276" s="304" t="str">
        <f>CONCATENATE([2]Cover!$D$6,"fdd/view?i=",I276)</f>
        <v>https://www.dgiwg.org/FAD/fdd/view?i=117176</v>
      </c>
      <c r="K276" s="304" t="s">
        <v>34325</v>
      </c>
      <c r="L276" s="188">
        <v>201</v>
      </c>
      <c r="M276" s="179" t="s">
        <v>151</v>
      </c>
    </row>
    <row r="277" spans="1:13" ht="38.25">
      <c r="A277" s="313" t="str">
        <f t="shared" si="4"/>
        <v>AerialRefuelReceiveChanCode_chan071Y</v>
      </c>
      <c r="B277" s="330"/>
      <c r="C277" s="334"/>
      <c r="D277" s="188" t="s">
        <v>14218</v>
      </c>
      <c r="E277" s="189" t="s">
        <v>14219</v>
      </c>
      <c r="F277" s="162" t="s">
        <v>14220</v>
      </c>
      <c r="G277" s="162" t="s">
        <v>13413</v>
      </c>
      <c r="H277" s="219"/>
      <c r="I277" s="169">
        <v>117177</v>
      </c>
      <c r="J277" s="304" t="str">
        <f>CONCATENATE([2]Cover!$D$6,"fdd/view?i=",I277)</f>
        <v>https://www.dgiwg.org/FAD/fdd/view?i=117177</v>
      </c>
      <c r="K277" s="304" t="s">
        <v>34326</v>
      </c>
      <c r="L277" s="188">
        <v>202</v>
      </c>
      <c r="M277" s="179" t="s">
        <v>151</v>
      </c>
    </row>
    <row r="278" spans="1:13" ht="38.25">
      <c r="A278" s="313" t="str">
        <f t="shared" si="4"/>
        <v>AerialRefuelReceiveChanCode_chan072X</v>
      </c>
      <c r="B278" s="330"/>
      <c r="C278" s="334"/>
      <c r="D278" s="188" t="s">
        <v>14221</v>
      </c>
      <c r="E278" s="189" t="s">
        <v>14222</v>
      </c>
      <c r="F278" s="162" t="s">
        <v>14223</v>
      </c>
      <c r="G278" s="162" t="s">
        <v>13413</v>
      </c>
      <c r="H278" s="219"/>
      <c r="I278" s="169">
        <v>117178</v>
      </c>
      <c r="J278" s="304" t="str">
        <f>CONCATENATE([2]Cover!$D$6,"fdd/view?i=",I278)</f>
        <v>https://www.dgiwg.org/FAD/fdd/view?i=117178</v>
      </c>
      <c r="K278" s="304" t="s">
        <v>34327</v>
      </c>
      <c r="L278" s="188">
        <v>203</v>
      </c>
      <c r="M278" s="179" t="s">
        <v>151</v>
      </c>
    </row>
    <row r="279" spans="1:13" ht="38.25">
      <c r="A279" s="313" t="str">
        <f t="shared" si="4"/>
        <v>AerialRefuelReceiveChanCode_chan072Y</v>
      </c>
      <c r="B279" s="330"/>
      <c r="C279" s="334"/>
      <c r="D279" s="188" t="s">
        <v>14224</v>
      </c>
      <c r="E279" s="189" t="s">
        <v>14225</v>
      </c>
      <c r="F279" s="162" t="s">
        <v>14226</v>
      </c>
      <c r="G279" s="162" t="s">
        <v>13413</v>
      </c>
      <c r="H279" s="219"/>
      <c r="I279" s="169">
        <v>117179</v>
      </c>
      <c r="J279" s="304" t="str">
        <f>CONCATENATE([2]Cover!$D$6,"fdd/view?i=",I279)</f>
        <v>https://www.dgiwg.org/FAD/fdd/view?i=117179</v>
      </c>
      <c r="K279" s="304" t="s">
        <v>34328</v>
      </c>
      <c r="L279" s="188">
        <v>204</v>
      </c>
      <c r="M279" s="179" t="s">
        <v>151</v>
      </c>
    </row>
    <row r="280" spans="1:13" ht="38.25">
      <c r="A280" s="313" t="str">
        <f t="shared" si="4"/>
        <v>AerialRefuelReceiveChanCode_chan073X</v>
      </c>
      <c r="B280" s="330"/>
      <c r="C280" s="334"/>
      <c r="D280" s="188" t="s">
        <v>14227</v>
      </c>
      <c r="E280" s="189" t="s">
        <v>14228</v>
      </c>
      <c r="F280" s="162" t="s">
        <v>14229</v>
      </c>
      <c r="G280" s="162" t="s">
        <v>13413</v>
      </c>
      <c r="H280" s="219"/>
      <c r="I280" s="169">
        <v>117180</v>
      </c>
      <c r="J280" s="304" t="str">
        <f>CONCATENATE([2]Cover!$D$6,"fdd/view?i=",I280)</f>
        <v>https://www.dgiwg.org/FAD/fdd/view?i=117180</v>
      </c>
      <c r="K280" s="304" t="s">
        <v>34329</v>
      </c>
      <c r="L280" s="188">
        <v>205</v>
      </c>
      <c r="M280" s="179" t="s">
        <v>151</v>
      </c>
    </row>
    <row r="281" spans="1:13" ht="38.25">
      <c r="A281" s="313" t="str">
        <f t="shared" si="4"/>
        <v>AerialRefuelReceiveChanCode_chan073Y</v>
      </c>
      <c r="B281" s="330"/>
      <c r="C281" s="334"/>
      <c r="D281" s="188" t="s">
        <v>14230</v>
      </c>
      <c r="E281" s="189" t="s">
        <v>14231</v>
      </c>
      <c r="F281" s="162" t="s">
        <v>14232</v>
      </c>
      <c r="G281" s="162" t="s">
        <v>13413</v>
      </c>
      <c r="H281" s="219"/>
      <c r="I281" s="169">
        <v>117181</v>
      </c>
      <c r="J281" s="304" t="str">
        <f>CONCATENATE([2]Cover!$D$6,"fdd/view?i=",I281)</f>
        <v>https://www.dgiwg.org/FAD/fdd/view?i=117181</v>
      </c>
      <c r="K281" s="304" t="s">
        <v>34330</v>
      </c>
      <c r="L281" s="188">
        <v>206</v>
      </c>
      <c r="M281" s="179" t="s">
        <v>151</v>
      </c>
    </row>
    <row r="282" spans="1:13" ht="38.25">
      <c r="A282" s="313" t="str">
        <f t="shared" si="4"/>
        <v>AerialRefuelReceiveChanCode_chan074X</v>
      </c>
      <c r="B282" s="330"/>
      <c r="C282" s="334"/>
      <c r="D282" s="188" t="s">
        <v>14233</v>
      </c>
      <c r="E282" s="189" t="s">
        <v>14234</v>
      </c>
      <c r="F282" s="162" t="s">
        <v>14235</v>
      </c>
      <c r="G282" s="162" t="s">
        <v>13413</v>
      </c>
      <c r="H282" s="219"/>
      <c r="I282" s="169">
        <v>117182</v>
      </c>
      <c r="J282" s="304" t="str">
        <f>CONCATENATE([2]Cover!$D$6,"fdd/view?i=",I282)</f>
        <v>https://www.dgiwg.org/FAD/fdd/view?i=117182</v>
      </c>
      <c r="K282" s="304" t="s">
        <v>34331</v>
      </c>
      <c r="L282" s="188">
        <v>207</v>
      </c>
      <c r="M282" s="179" t="s">
        <v>151</v>
      </c>
    </row>
    <row r="283" spans="1:13" ht="38.25">
      <c r="A283" s="313" t="str">
        <f t="shared" si="4"/>
        <v>AerialRefuelReceiveChanCode_chan074Y</v>
      </c>
      <c r="B283" s="330"/>
      <c r="C283" s="334"/>
      <c r="D283" s="188" t="s">
        <v>14236</v>
      </c>
      <c r="E283" s="189" t="s">
        <v>14237</v>
      </c>
      <c r="F283" s="162" t="s">
        <v>14238</v>
      </c>
      <c r="G283" s="162" t="s">
        <v>13413</v>
      </c>
      <c r="H283" s="219"/>
      <c r="I283" s="169">
        <v>117183</v>
      </c>
      <c r="J283" s="304" t="str">
        <f>CONCATENATE([2]Cover!$D$6,"fdd/view?i=",I283)</f>
        <v>https://www.dgiwg.org/FAD/fdd/view?i=117183</v>
      </c>
      <c r="K283" s="304" t="s">
        <v>34332</v>
      </c>
      <c r="L283" s="188">
        <v>208</v>
      </c>
      <c r="M283" s="179" t="s">
        <v>151</v>
      </c>
    </row>
    <row r="284" spans="1:13" ht="38.25">
      <c r="A284" s="313" t="str">
        <f t="shared" si="4"/>
        <v>AerialRefuelReceiveChanCode_chan075X</v>
      </c>
      <c r="B284" s="330"/>
      <c r="C284" s="334"/>
      <c r="D284" s="188" t="s">
        <v>14239</v>
      </c>
      <c r="E284" s="189" t="s">
        <v>14240</v>
      </c>
      <c r="F284" s="162" t="s">
        <v>14241</v>
      </c>
      <c r="G284" s="162" t="s">
        <v>13413</v>
      </c>
      <c r="H284" s="219"/>
      <c r="I284" s="169">
        <v>117184</v>
      </c>
      <c r="J284" s="304" t="str">
        <f>CONCATENATE([2]Cover!$D$6,"fdd/view?i=",I284)</f>
        <v>https://www.dgiwg.org/FAD/fdd/view?i=117184</v>
      </c>
      <c r="K284" s="304" t="s">
        <v>34333</v>
      </c>
      <c r="L284" s="188">
        <v>209</v>
      </c>
      <c r="M284" s="179" t="s">
        <v>151</v>
      </c>
    </row>
    <row r="285" spans="1:13" ht="38.25">
      <c r="A285" s="313" t="str">
        <f t="shared" si="4"/>
        <v>AerialRefuelReceiveChanCode_chan075Y</v>
      </c>
      <c r="B285" s="330"/>
      <c r="C285" s="334"/>
      <c r="D285" s="188" t="s">
        <v>14242</v>
      </c>
      <c r="E285" s="189" t="s">
        <v>14243</v>
      </c>
      <c r="F285" s="162" t="s">
        <v>14244</v>
      </c>
      <c r="G285" s="162" t="s">
        <v>13413</v>
      </c>
      <c r="H285" s="219"/>
      <c r="I285" s="169">
        <v>117185</v>
      </c>
      <c r="J285" s="304" t="str">
        <f>CONCATENATE([2]Cover!$D$6,"fdd/view?i=",I285)</f>
        <v>https://www.dgiwg.org/FAD/fdd/view?i=117185</v>
      </c>
      <c r="K285" s="304" t="s">
        <v>34334</v>
      </c>
      <c r="L285" s="188">
        <v>210</v>
      </c>
      <c r="M285" s="179" t="s">
        <v>151</v>
      </c>
    </row>
    <row r="286" spans="1:13" ht="38.25">
      <c r="A286" s="313" t="str">
        <f t="shared" si="4"/>
        <v>AerialRefuelReceiveChanCode_chan076X</v>
      </c>
      <c r="B286" s="330"/>
      <c r="C286" s="334"/>
      <c r="D286" s="188" t="s">
        <v>14245</v>
      </c>
      <c r="E286" s="189" t="s">
        <v>14246</v>
      </c>
      <c r="F286" s="162" t="s">
        <v>14247</v>
      </c>
      <c r="G286" s="162" t="s">
        <v>13413</v>
      </c>
      <c r="H286" s="219"/>
      <c r="I286" s="169">
        <v>117186</v>
      </c>
      <c r="J286" s="304" t="str">
        <f>CONCATENATE([2]Cover!$D$6,"fdd/view?i=",I286)</f>
        <v>https://www.dgiwg.org/FAD/fdd/view?i=117186</v>
      </c>
      <c r="K286" s="304" t="s">
        <v>34335</v>
      </c>
      <c r="L286" s="188">
        <v>211</v>
      </c>
      <c r="M286" s="179" t="s">
        <v>151</v>
      </c>
    </row>
    <row r="287" spans="1:13" ht="38.25">
      <c r="A287" s="313" t="str">
        <f t="shared" si="4"/>
        <v>AerialRefuelReceiveChanCode_chan076Y</v>
      </c>
      <c r="B287" s="330"/>
      <c r="C287" s="334"/>
      <c r="D287" s="188" t="s">
        <v>14248</v>
      </c>
      <c r="E287" s="189" t="s">
        <v>14249</v>
      </c>
      <c r="F287" s="162" t="s">
        <v>14250</v>
      </c>
      <c r="G287" s="162" t="s">
        <v>13413</v>
      </c>
      <c r="H287" s="219"/>
      <c r="I287" s="169">
        <v>117187</v>
      </c>
      <c r="J287" s="304" t="str">
        <f>CONCATENATE([2]Cover!$D$6,"fdd/view?i=",I287)</f>
        <v>https://www.dgiwg.org/FAD/fdd/view?i=117187</v>
      </c>
      <c r="K287" s="304" t="s">
        <v>34336</v>
      </c>
      <c r="L287" s="188">
        <v>212</v>
      </c>
      <c r="M287" s="179" t="s">
        <v>151</v>
      </c>
    </row>
    <row r="288" spans="1:13" ht="38.25">
      <c r="A288" s="313" t="str">
        <f t="shared" si="4"/>
        <v>AerialRefuelReceiveChanCode_chan077X</v>
      </c>
      <c r="B288" s="330"/>
      <c r="C288" s="334"/>
      <c r="D288" s="188" t="s">
        <v>14251</v>
      </c>
      <c r="E288" s="189" t="s">
        <v>14252</v>
      </c>
      <c r="F288" s="162" t="s">
        <v>14253</v>
      </c>
      <c r="G288" s="162" t="s">
        <v>13413</v>
      </c>
      <c r="H288" s="219"/>
      <c r="I288" s="169">
        <v>117188</v>
      </c>
      <c r="J288" s="304" t="str">
        <f>CONCATENATE([2]Cover!$D$6,"fdd/view?i=",I288)</f>
        <v>https://www.dgiwg.org/FAD/fdd/view?i=117188</v>
      </c>
      <c r="K288" s="304" t="s">
        <v>34337</v>
      </c>
      <c r="L288" s="188">
        <v>213</v>
      </c>
      <c r="M288" s="179" t="s">
        <v>151</v>
      </c>
    </row>
    <row r="289" spans="1:13" ht="38.25">
      <c r="A289" s="313" t="str">
        <f t="shared" si="4"/>
        <v>AerialRefuelReceiveChanCode_chan077Y</v>
      </c>
      <c r="B289" s="330"/>
      <c r="C289" s="334"/>
      <c r="D289" s="188" t="s">
        <v>14254</v>
      </c>
      <c r="E289" s="189" t="s">
        <v>14255</v>
      </c>
      <c r="F289" s="162" t="s">
        <v>14256</v>
      </c>
      <c r="G289" s="162" t="s">
        <v>13413</v>
      </c>
      <c r="H289" s="219"/>
      <c r="I289" s="169">
        <v>117189</v>
      </c>
      <c r="J289" s="304" t="str">
        <f>CONCATENATE([2]Cover!$D$6,"fdd/view?i=",I289)</f>
        <v>https://www.dgiwg.org/FAD/fdd/view?i=117189</v>
      </c>
      <c r="K289" s="304" t="s">
        <v>34338</v>
      </c>
      <c r="L289" s="188">
        <v>214</v>
      </c>
      <c r="M289" s="179" t="s">
        <v>151</v>
      </c>
    </row>
    <row r="290" spans="1:13" ht="38.25">
      <c r="A290" s="313" t="str">
        <f t="shared" si="4"/>
        <v>AerialRefuelReceiveChanCode_chan078X</v>
      </c>
      <c r="B290" s="330"/>
      <c r="C290" s="334"/>
      <c r="D290" s="188" t="s">
        <v>14257</v>
      </c>
      <c r="E290" s="189" t="s">
        <v>14258</v>
      </c>
      <c r="F290" s="162" t="s">
        <v>14259</v>
      </c>
      <c r="G290" s="162" t="s">
        <v>13413</v>
      </c>
      <c r="H290" s="219"/>
      <c r="I290" s="169">
        <v>117190</v>
      </c>
      <c r="J290" s="304" t="str">
        <f>CONCATENATE([2]Cover!$D$6,"fdd/view?i=",I290)</f>
        <v>https://www.dgiwg.org/FAD/fdd/view?i=117190</v>
      </c>
      <c r="K290" s="304" t="s">
        <v>34339</v>
      </c>
      <c r="L290" s="188">
        <v>215</v>
      </c>
      <c r="M290" s="179" t="s">
        <v>151</v>
      </c>
    </row>
    <row r="291" spans="1:13" ht="38.25">
      <c r="A291" s="313" t="str">
        <f t="shared" si="4"/>
        <v>AerialRefuelReceiveChanCode_chan078Y</v>
      </c>
      <c r="B291" s="330"/>
      <c r="C291" s="334"/>
      <c r="D291" s="188" t="s">
        <v>14260</v>
      </c>
      <c r="E291" s="189" t="s">
        <v>14261</v>
      </c>
      <c r="F291" s="162" t="s">
        <v>14262</v>
      </c>
      <c r="G291" s="162" t="s">
        <v>13413</v>
      </c>
      <c r="H291" s="219"/>
      <c r="I291" s="169">
        <v>117191</v>
      </c>
      <c r="J291" s="304" t="str">
        <f>CONCATENATE([2]Cover!$D$6,"fdd/view?i=",I291)</f>
        <v>https://www.dgiwg.org/FAD/fdd/view?i=117191</v>
      </c>
      <c r="K291" s="304" t="s">
        <v>34340</v>
      </c>
      <c r="L291" s="188">
        <v>216</v>
      </c>
      <c r="M291" s="179" t="s">
        <v>151</v>
      </c>
    </row>
    <row r="292" spans="1:13" ht="38.25">
      <c r="A292" s="313" t="str">
        <f t="shared" si="4"/>
        <v>AerialRefuelReceiveChanCode_chan079X</v>
      </c>
      <c r="B292" s="330"/>
      <c r="C292" s="334"/>
      <c r="D292" s="188" t="s">
        <v>14263</v>
      </c>
      <c r="E292" s="189" t="s">
        <v>14264</v>
      </c>
      <c r="F292" s="162" t="s">
        <v>14265</v>
      </c>
      <c r="G292" s="162" t="s">
        <v>13413</v>
      </c>
      <c r="H292" s="219"/>
      <c r="I292" s="169">
        <v>117192</v>
      </c>
      <c r="J292" s="304" t="str">
        <f>CONCATENATE([2]Cover!$D$6,"fdd/view?i=",I292)</f>
        <v>https://www.dgiwg.org/FAD/fdd/view?i=117192</v>
      </c>
      <c r="K292" s="304" t="s">
        <v>34341</v>
      </c>
      <c r="L292" s="188">
        <v>217</v>
      </c>
      <c r="M292" s="179" t="s">
        <v>151</v>
      </c>
    </row>
    <row r="293" spans="1:13" ht="38.25">
      <c r="A293" s="313" t="str">
        <f t="shared" si="4"/>
        <v>AerialRefuelReceiveChanCode_chan079Y</v>
      </c>
      <c r="B293" s="330"/>
      <c r="C293" s="334"/>
      <c r="D293" s="188" t="s">
        <v>14266</v>
      </c>
      <c r="E293" s="189" t="s">
        <v>14267</v>
      </c>
      <c r="F293" s="162" t="s">
        <v>14268</v>
      </c>
      <c r="G293" s="162" t="s">
        <v>13413</v>
      </c>
      <c r="H293" s="219"/>
      <c r="I293" s="169">
        <v>117193</v>
      </c>
      <c r="J293" s="304" t="str">
        <f>CONCATENATE([2]Cover!$D$6,"fdd/view?i=",I293)</f>
        <v>https://www.dgiwg.org/FAD/fdd/view?i=117193</v>
      </c>
      <c r="K293" s="304" t="s">
        <v>34342</v>
      </c>
      <c r="L293" s="188">
        <v>218</v>
      </c>
      <c r="M293" s="179" t="s">
        <v>151</v>
      </c>
    </row>
    <row r="294" spans="1:13" ht="38.25">
      <c r="A294" s="313" t="str">
        <f t="shared" si="4"/>
        <v>AerialRefuelReceiveChanCode_chan080X</v>
      </c>
      <c r="B294" s="330"/>
      <c r="C294" s="334"/>
      <c r="D294" s="188" t="s">
        <v>14275</v>
      </c>
      <c r="E294" s="189" t="s">
        <v>14276</v>
      </c>
      <c r="F294" s="162" t="s">
        <v>14277</v>
      </c>
      <c r="G294" s="162" t="s">
        <v>13413</v>
      </c>
      <c r="H294" s="219"/>
      <c r="I294" s="169">
        <v>117194</v>
      </c>
      <c r="J294" s="304" t="str">
        <f>CONCATENATE([2]Cover!$D$6,"fdd/view?i=",I294)</f>
        <v>https://www.dgiwg.org/FAD/fdd/view?i=117194</v>
      </c>
      <c r="K294" s="304" t="s">
        <v>34343</v>
      </c>
      <c r="L294" s="188">
        <v>219</v>
      </c>
      <c r="M294" s="179" t="s">
        <v>151</v>
      </c>
    </row>
    <row r="295" spans="1:13" ht="38.25">
      <c r="A295" s="313" t="str">
        <f t="shared" si="4"/>
        <v>AerialRefuelReceiveChanCode_chan080Y</v>
      </c>
      <c r="B295" s="330"/>
      <c r="C295" s="334"/>
      <c r="D295" s="188" t="s">
        <v>14278</v>
      </c>
      <c r="E295" s="189" t="s">
        <v>14279</v>
      </c>
      <c r="F295" s="162" t="s">
        <v>14280</v>
      </c>
      <c r="G295" s="162" t="s">
        <v>13413</v>
      </c>
      <c r="H295" s="219"/>
      <c r="I295" s="169">
        <v>117195</v>
      </c>
      <c r="J295" s="304" t="str">
        <f>CONCATENATE([2]Cover!$D$6,"fdd/view?i=",I295)</f>
        <v>https://www.dgiwg.org/FAD/fdd/view?i=117195</v>
      </c>
      <c r="K295" s="304" t="s">
        <v>34344</v>
      </c>
      <c r="L295" s="188">
        <v>220</v>
      </c>
      <c r="M295" s="179" t="s">
        <v>151</v>
      </c>
    </row>
    <row r="296" spans="1:13" ht="38.25">
      <c r="A296" s="313" t="str">
        <f t="shared" si="4"/>
        <v>AerialRefuelReceiveChanCode_chan080Z</v>
      </c>
      <c r="B296" s="330"/>
      <c r="C296" s="334"/>
      <c r="D296" s="188" t="s">
        <v>14281</v>
      </c>
      <c r="E296" s="189" t="s">
        <v>14282</v>
      </c>
      <c r="F296" s="162" t="s">
        <v>14283</v>
      </c>
      <c r="G296" s="162" t="s">
        <v>13413</v>
      </c>
      <c r="H296" s="219"/>
      <c r="I296" s="169">
        <v>117196</v>
      </c>
      <c r="J296" s="304" t="str">
        <f>CONCATENATE([2]Cover!$D$6,"fdd/view?i=",I296)</f>
        <v>https://www.dgiwg.org/FAD/fdd/view?i=117196</v>
      </c>
      <c r="K296" s="304" t="s">
        <v>34345</v>
      </c>
      <c r="L296" s="188">
        <v>221</v>
      </c>
      <c r="M296" s="179" t="s">
        <v>151</v>
      </c>
    </row>
    <row r="297" spans="1:13" ht="38.25">
      <c r="A297" s="313" t="str">
        <f t="shared" si="4"/>
        <v>AerialRefuelReceiveChanCode_chan081X</v>
      </c>
      <c r="B297" s="330"/>
      <c r="C297" s="334"/>
      <c r="D297" s="188" t="s">
        <v>14284</v>
      </c>
      <c r="E297" s="189" t="s">
        <v>14285</v>
      </c>
      <c r="F297" s="162" t="s">
        <v>14286</v>
      </c>
      <c r="G297" s="162" t="s">
        <v>13413</v>
      </c>
      <c r="H297" s="219"/>
      <c r="I297" s="169">
        <v>117197</v>
      </c>
      <c r="J297" s="304" t="str">
        <f>CONCATENATE([2]Cover!$D$6,"fdd/view?i=",I297)</f>
        <v>https://www.dgiwg.org/FAD/fdd/view?i=117197</v>
      </c>
      <c r="K297" s="304" t="s">
        <v>34346</v>
      </c>
      <c r="L297" s="188">
        <v>222</v>
      </c>
      <c r="M297" s="179" t="s">
        <v>151</v>
      </c>
    </row>
    <row r="298" spans="1:13" ht="38.25">
      <c r="A298" s="313" t="str">
        <f t="shared" si="4"/>
        <v>AerialRefuelReceiveChanCode_chan081Y</v>
      </c>
      <c r="B298" s="330"/>
      <c r="C298" s="334"/>
      <c r="D298" s="188" t="s">
        <v>14287</v>
      </c>
      <c r="E298" s="189" t="s">
        <v>14288</v>
      </c>
      <c r="F298" s="162" t="s">
        <v>14289</v>
      </c>
      <c r="G298" s="162" t="s">
        <v>13413</v>
      </c>
      <c r="H298" s="219"/>
      <c r="I298" s="169">
        <v>117198</v>
      </c>
      <c r="J298" s="304" t="str">
        <f>CONCATENATE([2]Cover!$D$6,"fdd/view?i=",I298)</f>
        <v>https://www.dgiwg.org/FAD/fdd/view?i=117198</v>
      </c>
      <c r="K298" s="304" t="s">
        <v>34347</v>
      </c>
      <c r="L298" s="188">
        <v>223</v>
      </c>
      <c r="M298" s="179" t="s">
        <v>151</v>
      </c>
    </row>
    <row r="299" spans="1:13" ht="38.25">
      <c r="A299" s="313" t="str">
        <f t="shared" si="4"/>
        <v>AerialRefuelReceiveChanCode_chan081Z</v>
      </c>
      <c r="B299" s="330"/>
      <c r="C299" s="334"/>
      <c r="D299" s="188" t="s">
        <v>14290</v>
      </c>
      <c r="E299" s="189" t="s">
        <v>14291</v>
      </c>
      <c r="F299" s="162" t="s">
        <v>14292</v>
      </c>
      <c r="G299" s="162" t="s">
        <v>13413</v>
      </c>
      <c r="H299" s="219"/>
      <c r="I299" s="169">
        <v>117199</v>
      </c>
      <c r="J299" s="304" t="str">
        <f>CONCATENATE([2]Cover!$D$6,"fdd/view?i=",I299)</f>
        <v>https://www.dgiwg.org/FAD/fdd/view?i=117199</v>
      </c>
      <c r="K299" s="304" t="s">
        <v>34348</v>
      </c>
      <c r="L299" s="188">
        <v>224</v>
      </c>
      <c r="M299" s="179" t="s">
        <v>151</v>
      </c>
    </row>
    <row r="300" spans="1:13" ht="38.25">
      <c r="A300" s="313" t="str">
        <f t="shared" si="4"/>
        <v>AerialRefuelReceiveChanCode_chan082X</v>
      </c>
      <c r="B300" s="330"/>
      <c r="C300" s="334"/>
      <c r="D300" s="188" t="s">
        <v>14293</v>
      </c>
      <c r="E300" s="189" t="s">
        <v>14294</v>
      </c>
      <c r="F300" s="162" t="s">
        <v>14295</v>
      </c>
      <c r="G300" s="162" t="s">
        <v>13413</v>
      </c>
      <c r="H300" s="219"/>
      <c r="I300" s="169">
        <v>117200</v>
      </c>
      <c r="J300" s="304" t="str">
        <f>CONCATENATE([2]Cover!$D$6,"fdd/view?i=",I300)</f>
        <v>https://www.dgiwg.org/FAD/fdd/view?i=117200</v>
      </c>
      <c r="K300" s="304" t="s">
        <v>34349</v>
      </c>
      <c r="L300" s="188">
        <v>225</v>
      </c>
      <c r="M300" s="179" t="s">
        <v>151</v>
      </c>
    </row>
    <row r="301" spans="1:13" ht="38.25">
      <c r="A301" s="313" t="str">
        <f t="shared" si="4"/>
        <v>AerialRefuelReceiveChanCode_chan082Y</v>
      </c>
      <c r="B301" s="330"/>
      <c r="C301" s="334"/>
      <c r="D301" s="188" t="s">
        <v>14296</v>
      </c>
      <c r="E301" s="189" t="s">
        <v>14297</v>
      </c>
      <c r="F301" s="162" t="s">
        <v>14298</v>
      </c>
      <c r="G301" s="162" t="s">
        <v>13413</v>
      </c>
      <c r="H301" s="219"/>
      <c r="I301" s="169">
        <v>117201</v>
      </c>
      <c r="J301" s="304" t="str">
        <f>CONCATENATE([2]Cover!$D$6,"fdd/view?i=",I301)</f>
        <v>https://www.dgiwg.org/FAD/fdd/view?i=117201</v>
      </c>
      <c r="K301" s="304" t="s">
        <v>34350</v>
      </c>
      <c r="L301" s="188">
        <v>226</v>
      </c>
      <c r="M301" s="179" t="s">
        <v>151</v>
      </c>
    </row>
    <row r="302" spans="1:13" ht="38.25">
      <c r="A302" s="313" t="str">
        <f t="shared" si="4"/>
        <v>AerialRefuelReceiveChanCode_chan082Z</v>
      </c>
      <c r="B302" s="330"/>
      <c r="C302" s="334"/>
      <c r="D302" s="188" t="s">
        <v>14299</v>
      </c>
      <c r="E302" s="189" t="s">
        <v>14300</v>
      </c>
      <c r="F302" s="162" t="s">
        <v>14301</v>
      </c>
      <c r="G302" s="162" t="s">
        <v>13413</v>
      </c>
      <c r="H302" s="219"/>
      <c r="I302" s="169">
        <v>117202</v>
      </c>
      <c r="J302" s="304" t="str">
        <f>CONCATENATE([2]Cover!$D$6,"fdd/view?i=",I302)</f>
        <v>https://www.dgiwg.org/FAD/fdd/view?i=117202</v>
      </c>
      <c r="K302" s="304" t="s">
        <v>34351</v>
      </c>
      <c r="L302" s="188">
        <v>227</v>
      </c>
      <c r="M302" s="179" t="s">
        <v>151</v>
      </c>
    </row>
    <row r="303" spans="1:13" ht="38.25">
      <c r="A303" s="313" t="str">
        <f t="shared" si="4"/>
        <v>AerialRefuelReceiveChanCode_chan083X</v>
      </c>
      <c r="B303" s="330"/>
      <c r="C303" s="334"/>
      <c r="D303" s="188" t="s">
        <v>14302</v>
      </c>
      <c r="E303" s="189" t="s">
        <v>14303</v>
      </c>
      <c r="F303" s="162" t="s">
        <v>14304</v>
      </c>
      <c r="G303" s="162" t="s">
        <v>13413</v>
      </c>
      <c r="H303" s="219"/>
      <c r="I303" s="169">
        <v>117203</v>
      </c>
      <c r="J303" s="304" t="str">
        <f>CONCATENATE([2]Cover!$D$6,"fdd/view?i=",I303)</f>
        <v>https://www.dgiwg.org/FAD/fdd/view?i=117203</v>
      </c>
      <c r="K303" s="304" t="s">
        <v>34352</v>
      </c>
      <c r="L303" s="188">
        <v>228</v>
      </c>
      <c r="M303" s="179" t="s">
        <v>151</v>
      </c>
    </row>
    <row r="304" spans="1:13" ht="38.25">
      <c r="A304" s="313" t="str">
        <f t="shared" si="4"/>
        <v>AerialRefuelReceiveChanCode_chan083Y</v>
      </c>
      <c r="B304" s="330"/>
      <c r="C304" s="334"/>
      <c r="D304" s="188" t="s">
        <v>14305</v>
      </c>
      <c r="E304" s="189" t="s">
        <v>14306</v>
      </c>
      <c r="F304" s="162" t="s">
        <v>14307</v>
      </c>
      <c r="G304" s="162" t="s">
        <v>13413</v>
      </c>
      <c r="H304" s="219"/>
      <c r="I304" s="169">
        <v>117204</v>
      </c>
      <c r="J304" s="304" t="str">
        <f>CONCATENATE([2]Cover!$D$6,"fdd/view?i=",I304)</f>
        <v>https://www.dgiwg.org/FAD/fdd/view?i=117204</v>
      </c>
      <c r="K304" s="304" t="s">
        <v>34353</v>
      </c>
      <c r="L304" s="188">
        <v>229</v>
      </c>
      <c r="M304" s="179" t="s">
        <v>151</v>
      </c>
    </row>
    <row r="305" spans="1:13" ht="38.25">
      <c r="A305" s="313" t="str">
        <f t="shared" si="4"/>
        <v>AerialRefuelReceiveChanCode_chan083Z</v>
      </c>
      <c r="B305" s="330"/>
      <c r="C305" s="334"/>
      <c r="D305" s="188" t="s">
        <v>14308</v>
      </c>
      <c r="E305" s="189" t="s">
        <v>14309</v>
      </c>
      <c r="F305" s="162" t="s">
        <v>14310</v>
      </c>
      <c r="G305" s="162" t="s">
        <v>13413</v>
      </c>
      <c r="H305" s="219"/>
      <c r="I305" s="169">
        <v>117205</v>
      </c>
      <c r="J305" s="304" t="str">
        <f>CONCATENATE([2]Cover!$D$6,"fdd/view?i=",I305)</f>
        <v>https://www.dgiwg.org/FAD/fdd/view?i=117205</v>
      </c>
      <c r="K305" s="304" t="s">
        <v>34354</v>
      </c>
      <c r="L305" s="188">
        <v>230</v>
      </c>
      <c r="M305" s="179" t="s">
        <v>151</v>
      </c>
    </row>
    <row r="306" spans="1:13" ht="38.25">
      <c r="A306" s="313" t="str">
        <f t="shared" si="4"/>
        <v>AerialRefuelReceiveChanCode_chan084X</v>
      </c>
      <c r="B306" s="330"/>
      <c r="C306" s="334"/>
      <c r="D306" s="188" t="s">
        <v>14311</v>
      </c>
      <c r="E306" s="189" t="s">
        <v>14312</v>
      </c>
      <c r="F306" s="162" t="s">
        <v>14313</v>
      </c>
      <c r="G306" s="162" t="s">
        <v>13413</v>
      </c>
      <c r="H306" s="219"/>
      <c r="I306" s="169">
        <v>117206</v>
      </c>
      <c r="J306" s="304" t="str">
        <f>CONCATENATE([2]Cover!$D$6,"fdd/view?i=",I306)</f>
        <v>https://www.dgiwg.org/FAD/fdd/view?i=117206</v>
      </c>
      <c r="K306" s="304" t="s">
        <v>34355</v>
      </c>
      <c r="L306" s="188">
        <v>231</v>
      </c>
      <c r="M306" s="179" t="s">
        <v>151</v>
      </c>
    </row>
    <row r="307" spans="1:13" ht="38.25">
      <c r="A307" s="313" t="str">
        <f t="shared" si="4"/>
        <v>AerialRefuelReceiveChanCode_chan084Y</v>
      </c>
      <c r="B307" s="330"/>
      <c r="C307" s="334"/>
      <c r="D307" s="188" t="s">
        <v>14314</v>
      </c>
      <c r="E307" s="189" t="s">
        <v>14315</v>
      </c>
      <c r="F307" s="162" t="s">
        <v>14316</v>
      </c>
      <c r="G307" s="162" t="s">
        <v>13413</v>
      </c>
      <c r="H307" s="219"/>
      <c r="I307" s="169">
        <v>117207</v>
      </c>
      <c r="J307" s="304" t="str">
        <f>CONCATENATE([2]Cover!$D$6,"fdd/view?i=",I307)</f>
        <v>https://www.dgiwg.org/FAD/fdd/view?i=117207</v>
      </c>
      <c r="K307" s="304" t="s">
        <v>34356</v>
      </c>
      <c r="L307" s="188">
        <v>232</v>
      </c>
      <c r="M307" s="179" t="s">
        <v>151</v>
      </c>
    </row>
    <row r="308" spans="1:13" ht="38.25">
      <c r="A308" s="313" t="str">
        <f t="shared" si="4"/>
        <v>AerialRefuelReceiveChanCode_chan084Z</v>
      </c>
      <c r="B308" s="330"/>
      <c r="C308" s="334"/>
      <c r="D308" s="188" t="s">
        <v>14317</v>
      </c>
      <c r="E308" s="189" t="s">
        <v>14318</v>
      </c>
      <c r="F308" s="162" t="s">
        <v>14319</v>
      </c>
      <c r="G308" s="162" t="s">
        <v>13413</v>
      </c>
      <c r="H308" s="219"/>
      <c r="I308" s="169">
        <v>117208</v>
      </c>
      <c r="J308" s="304" t="str">
        <f>CONCATENATE([2]Cover!$D$6,"fdd/view?i=",I308)</f>
        <v>https://www.dgiwg.org/FAD/fdd/view?i=117208</v>
      </c>
      <c r="K308" s="304" t="s">
        <v>34357</v>
      </c>
      <c r="L308" s="188">
        <v>233</v>
      </c>
      <c r="M308" s="179" t="s">
        <v>151</v>
      </c>
    </row>
    <row r="309" spans="1:13" ht="38.25">
      <c r="A309" s="313" t="str">
        <f t="shared" si="4"/>
        <v>AerialRefuelReceiveChanCode_chan085X</v>
      </c>
      <c r="B309" s="330"/>
      <c r="C309" s="334"/>
      <c r="D309" s="188" t="s">
        <v>14320</v>
      </c>
      <c r="E309" s="189" t="s">
        <v>14321</v>
      </c>
      <c r="F309" s="162" t="s">
        <v>14322</v>
      </c>
      <c r="G309" s="162" t="s">
        <v>13413</v>
      </c>
      <c r="H309" s="219"/>
      <c r="I309" s="169">
        <v>117209</v>
      </c>
      <c r="J309" s="304" t="str">
        <f>CONCATENATE([2]Cover!$D$6,"fdd/view?i=",I309)</f>
        <v>https://www.dgiwg.org/FAD/fdd/view?i=117209</v>
      </c>
      <c r="K309" s="304" t="s">
        <v>34358</v>
      </c>
      <c r="L309" s="188">
        <v>234</v>
      </c>
      <c r="M309" s="179" t="s">
        <v>151</v>
      </c>
    </row>
    <row r="310" spans="1:13" ht="38.25">
      <c r="A310" s="313" t="str">
        <f t="shared" si="4"/>
        <v>AerialRefuelReceiveChanCode_chan085Y</v>
      </c>
      <c r="B310" s="330"/>
      <c r="C310" s="334"/>
      <c r="D310" s="188" t="s">
        <v>14323</v>
      </c>
      <c r="E310" s="189" t="s">
        <v>14324</v>
      </c>
      <c r="F310" s="162" t="s">
        <v>14325</v>
      </c>
      <c r="G310" s="162" t="s">
        <v>13413</v>
      </c>
      <c r="H310" s="219"/>
      <c r="I310" s="169">
        <v>117210</v>
      </c>
      <c r="J310" s="304" t="str">
        <f>CONCATENATE([2]Cover!$D$6,"fdd/view?i=",I310)</f>
        <v>https://www.dgiwg.org/FAD/fdd/view?i=117210</v>
      </c>
      <c r="K310" s="304" t="s">
        <v>34359</v>
      </c>
      <c r="L310" s="188">
        <v>235</v>
      </c>
      <c r="M310" s="179" t="s">
        <v>151</v>
      </c>
    </row>
    <row r="311" spans="1:13" ht="38.25">
      <c r="A311" s="313" t="str">
        <f t="shared" si="4"/>
        <v>AerialRefuelReceiveChanCode_chan085Z</v>
      </c>
      <c r="B311" s="330"/>
      <c r="C311" s="334"/>
      <c r="D311" s="188" t="s">
        <v>14326</v>
      </c>
      <c r="E311" s="189" t="s">
        <v>14327</v>
      </c>
      <c r="F311" s="162" t="s">
        <v>14328</v>
      </c>
      <c r="G311" s="162" t="s">
        <v>13413</v>
      </c>
      <c r="H311" s="219"/>
      <c r="I311" s="169">
        <v>117211</v>
      </c>
      <c r="J311" s="304" t="str">
        <f>CONCATENATE([2]Cover!$D$6,"fdd/view?i=",I311)</f>
        <v>https://www.dgiwg.org/FAD/fdd/view?i=117211</v>
      </c>
      <c r="K311" s="304" t="s">
        <v>34360</v>
      </c>
      <c r="L311" s="188">
        <v>236</v>
      </c>
      <c r="M311" s="179" t="s">
        <v>151</v>
      </c>
    </row>
    <row r="312" spans="1:13" ht="38.25">
      <c r="A312" s="313" t="str">
        <f t="shared" si="4"/>
        <v>AerialRefuelReceiveChanCode_chan086X</v>
      </c>
      <c r="B312" s="330"/>
      <c r="C312" s="334"/>
      <c r="D312" s="188" t="s">
        <v>14329</v>
      </c>
      <c r="E312" s="189" t="s">
        <v>14330</v>
      </c>
      <c r="F312" s="162" t="s">
        <v>14331</v>
      </c>
      <c r="G312" s="162" t="s">
        <v>13413</v>
      </c>
      <c r="H312" s="219"/>
      <c r="I312" s="169">
        <v>117212</v>
      </c>
      <c r="J312" s="304" t="str">
        <f>CONCATENATE([2]Cover!$D$6,"fdd/view?i=",I312)</f>
        <v>https://www.dgiwg.org/FAD/fdd/view?i=117212</v>
      </c>
      <c r="K312" s="304" t="s">
        <v>34361</v>
      </c>
      <c r="L312" s="188">
        <v>237</v>
      </c>
      <c r="M312" s="179" t="s">
        <v>151</v>
      </c>
    </row>
    <row r="313" spans="1:13" ht="38.25">
      <c r="A313" s="313" t="str">
        <f t="shared" si="4"/>
        <v>AerialRefuelReceiveChanCode_chan086Y</v>
      </c>
      <c r="B313" s="330"/>
      <c r="C313" s="334"/>
      <c r="D313" s="188" t="s">
        <v>14332</v>
      </c>
      <c r="E313" s="189" t="s">
        <v>14333</v>
      </c>
      <c r="F313" s="162" t="s">
        <v>14334</v>
      </c>
      <c r="G313" s="162" t="s">
        <v>13413</v>
      </c>
      <c r="H313" s="219"/>
      <c r="I313" s="169">
        <v>117213</v>
      </c>
      <c r="J313" s="304" t="str">
        <f>CONCATENATE([2]Cover!$D$6,"fdd/view?i=",I313)</f>
        <v>https://www.dgiwg.org/FAD/fdd/view?i=117213</v>
      </c>
      <c r="K313" s="304" t="s">
        <v>34362</v>
      </c>
      <c r="L313" s="188">
        <v>238</v>
      </c>
      <c r="M313" s="179" t="s">
        <v>151</v>
      </c>
    </row>
    <row r="314" spans="1:13" ht="38.25">
      <c r="A314" s="313" t="str">
        <f t="shared" si="4"/>
        <v>AerialRefuelReceiveChanCode_chan086Z</v>
      </c>
      <c r="B314" s="330"/>
      <c r="C314" s="334"/>
      <c r="D314" s="188" t="s">
        <v>14335</v>
      </c>
      <c r="E314" s="189" t="s">
        <v>14336</v>
      </c>
      <c r="F314" s="162" t="s">
        <v>14337</v>
      </c>
      <c r="G314" s="162" t="s">
        <v>13413</v>
      </c>
      <c r="H314" s="219"/>
      <c r="I314" s="169">
        <v>117214</v>
      </c>
      <c r="J314" s="304" t="str">
        <f>CONCATENATE([2]Cover!$D$6,"fdd/view?i=",I314)</f>
        <v>https://www.dgiwg.org/FAD/fdd/view?i=117214</v>
      </c>
      <c r="K314" s="304" t="s">
        <v>34363</v>
      </c>
      <c r="L314" s="188">
        <v>239</v>
      </c>
      <c r="M314" s="179" t="s">
        <v>151</v>
      </c>
    </row>
    <row r="315" spans="1:13" ht="38.25">
      <c r="A315" s="313" t="str">
        <f t="shared" si="4"/>
        <v>AerialRefuelReceiveChanCode_chan087X</v>
      </c>
      <c r="B315" s="330"/>
      <c r="C315" s="334"/>
      <c r="D315" s="188" t="s">
        <v>14338</v>
      </c>
      <c r="E315" s="189" t="s">
        <v>14339</v>
      </c>
      <c r="F315" s="162" t="s">
        <v>14340</v>
      </c>
      <c r="G315" s="162" t="s">
        <v>13413</v>
      </c>
      <c r="H315" s="219"/>
      <c r="I315" s="169">
        <v>117215</v>
      </c>
      <c r="J315" s="304" t="str">
        <f>CONCATENATE([2]Cover!$D$6,"fdd/view?i=",I315)</f>
        <v>https://www.dgiwg.org/FAD/fdd/view?i=117215</v>
      </c>
      <c r="K315" s="304" t="s">
        <v>34364</v>
      </c>
      <c r="L315" s="188">
        <v>240</v>
      </c>
      <c r="M315" s="179" t="s">
        <v>151</v>
      </c>
    </row>
    <row r="316" spans="1:13" ht="38.25">
      <c r="A316" s="313" t="str">
        <f t="shared" si="4"/>
        <v>AerialRefuelReceiveChanCode_chan087Y</v>
      </c>
      <c r="B316" s="330"/>
      <c r="C316" s="334"/>
      <c r="D316" s="188" t="s">
        <v>14341</v>
      </c>
      <c r="E316" s="189" t="s">
        <v>14342</v>
      </c>
      <c r="F316" s="162" t="s">
        <v>14343</v>
      </c>
      <c r="G316" s="162" t="s">
        <v>13413</v>
      </c>
      <c r="H316" s="219"/>
      <c r="I316" s="169">
        <v>117216</v>
      </c>
      <c r="J316" s="304" t="str">
        <f>CONCATENATE([2]Cover!$D$6,"fdd/view?i=",I316)</f>
        <v>https://www.dgiwg.org/FAD/fdd/view?i=117216</v>
      </c>
      <c r="K316" s="304" t="s">
        <v>34365</v>
      </c>
      <c r="L316" s="188">
        <v>241</v>
      </c>
      <c r="M316" s="179" t="s">
        <v>151</v>
      </c>
    </row>
    <row r="317" spans="1:13" ht="38.25">
      <c r="A317" s="313" t="str">
        <f t="shared" si="4"/>
        <v>AerialRefuelReceiveChanCode_chan087Z</v>
      </c>
      <c r="B317" s="330"/>
      <c r="C317" s="334"/>
      <c r="D317" s="188" t="s">
        <v>14344</v>
      </c>
      <c r="E317" s="189" t="s">
        <v>14345</v>
      </c>
      <c r="F317" s="162" t="s">
        <v>14346</v>
      </c>
      <c r="G317" s="162" t="s">
        <v>13413</v>
      </c>
      <c r="H317" s="219"/>
      <c r="I317" s="169">
        <v>117217</v>
      </c>
      <c r="J317" s="304" t="str">
        <f>CONCATENATE([2]Cover!$D$6,"fdd/view?i=",I317)</f>
        <v>https://www.dgiwg.org/FAD/fdd/view?i=117217</v>
      </c>
      <c r="K317" s="304" t="s">
        <v>34366</v>
      </c>
      <c r="L317" s="188">
        <v>242</v>
      </c>
      <c r="M317" s="179" t="s">
        <v>151</v>
      </c>
    </row>
    <row r="318" spans="1:13" ht="38.25">
      <c r="A318" s="313" t="str">
        <f t="shared" si="4"/>
        <v>AerialRefuelReceiveChanCode_chan088X</v>
      </c>
      <c r="B318" s="330"/>
      <c r="C318" s="334"/>
      <c r="D318" s="188" t="s">
        <v>14347</v>
      </c>
      <c r="E318" s="189" t="s">
        <v>14348</v>
      </c>
      <c r="F318" s="162" t="s">
        <v>14349</v>
      </c>
      <c r="G318" s="162" t="s">
        <v>13413</v>
      </c>
      <c r="H318" s="219"/>
      <c r="I318" s="169">
        <v>117218</v>
      </c>
      <c r="J318" s="304" t="str">
        <f>CONCATENATE([2]Cover!$D$6,"fdd/view?i=",I318)</f>
        <v>https://www.dgiwg.org/FAD/fdd/view?i=117218</v>
      </c>
      <c r="K318" s="304" t="s">
        <v>34367</v>
      </c>
      <c r="L318" s="188">
        <v>243</v>
      </c>
      <c r="M318" s="179" t="s">
        <v>151</v>
      </c>
    </row>
    <row r="319" spans="1:13" ht="38.25">
      <c r="A319" s="313" t="str">
        <f t="shared" si="4"/>
        <v>AerialRefuelReceiveChanCode_chan088Y</v>
      </c>
      <c r="B319" s="330"/>
      <c r="C319" s="334"/>
      <c r="D319" s="188" t="s">
        <v>14350</v>
      </c>
      <c r="E319" s="189" t="s">
        <v>14351</v>
      </c>
      <c r="F319" s="162" t="s">
        <v>14352</v>
      </c>
      <c r="G319" s="162" t="s">
        <v>13413</v>
      </c>
      <c r="H319" s="219"/>
      <c r="I319" s="169">
        <v>117219</v>
      </c>
      <c r="J319" s="304" t="str">
        <f>CONCATENATE([2]Cover!$D$6,"fdd/view?i=",I319)</f>
        <v>https://www.dgiwg.org/FAD/fdd/view?i=117219</v>
      </c>
      <c r="K319" s="304" t="s">
        <v>34368</v>
      </c>
      <c r="L319" s="188">
        <v>244</v>
      </c>
      <c r="M319" s="179" t="s">
        <v>151</v>
      </c>
    </row>
    <row r="320" spans="1:13" ht="38.25">
      <c r="A320" s="313" t="str">
        <f t="shared" si="4"/>
        <v>AerialRefuelReceiveChanCode_chan088Z</v>
      </c>
      <c r="B320" s="330"/>
      <c r="C320" s="334"/>
      <c r="D320" s="188" t="s">
        <v>14353</v>
      </c>
      <c r="E320" s="189" t="s">
        <v>14354</v>
      </c>
      <c r="F320" s="162" t="s">
        <v>14355</v>
      </c>
      <c r="G320" s="162" t="s">
        <v>13413</v>
      </c>
      <c r="H320" s="219"/>
      <c r="I320" s="169">
        <v>117220</v>
      </c>
      <c r="J320" s="304" t="str">
        <f>CONCATENATE([2]Cover!$D$6,"fdd/view?i=",I320)</f>
        <v>https://www.dgiwg.org/FAD/fdd/view?i=117220</v>
      </c>
      <c r="K320" s="304" t="s">
        <v>34369</v>
      </c>
      <c r="L320" s="188">
        <v>245</v>
      </c>
      <c r="M320" s="179" t="s">
        <v>151</v>
      </c>
    </row>
    <row r="321" spans="1:13" ht="38.25">
      <c r="A321" s="313" t="str">
        <f t="shared" si="4"/>
        <v>AerialRefuelReceiveChanCode_chan089X</v>
      </c>
      <c r="B321" s="330"/>
      <c r="C321" s="334"/>
      <c r="D321" s="188" t="s">
        <v>14356</v>
      </c>
      <c r="E321" s="189" t="s">
        <v>14357</v>
      </c>
      <c r="F321" s="162" t="s">
        <v>14358</v>
      </c>
      <c r="G321" s="162" t="s">
        <v>13413</v>
      </c>
      <c r="H321" s="219"/>
      <c r="I321" s="169">
        <v>117221</v>
      </c>
      <c r="J321" s="304" t="str">
        <f>CONCATENATE([2]Cover!$D$6,"fdd/view?i=",I321)</f>
        <v>https://www.dgiwg.org/FAD/fdd/view?i=117221</v>
      </c>
      <c r="K321" s="304" t="s">
        <v>34370</v>
      </c>
      <c r="L321" s="188">
        <v>246</v>
      </c>
      <c r="M321" s="179" t="s">
        <v>151</v>
      </c>
    </row>
    <row r="322" spans="1:13" ht="38.25">
      <c r="A322" s="313" t="str">
        <f t="shared" si="4"/>
        <v>AerialRefuelReceiveChanCode_chan089Y</v>
      </c>
      <c r="B322" s="330"/>
      <c r="C322" s="334"/>
      <c r="D322" s="188" t="s">
        <v>14359</v>
      </c>
      <c r="E322" s="189" t="s">
        <v>14360</v>
      </c>
      <c r="F322" s="162" t="s">
        <v>14361</v>
      </c>
      <c r="G322" s="162" t="s">
        <v>13413</v>
      </c>
      <c r="H322" s="219"/>
      <c r="I322" s="169">
        <v>117222</v>
      </c>
      <c r="J322" s="304" t="str">
        <f>CONCATENATE([2]Cover!$D$6,"fdd/view?i=",I322)</f>
        <v>https://www.dgiwg.org/FAD/fdd/view?i=117222</v>
      </c>
      <c r="K322" s="304" t="s">
        <v>34371</v>
      </c>
      <c r="L322" s="188">
        <v>247</v>
      </c>
      <c r="M322" s="179" t="s">
        <v>151</v>
      </c>
    </row>
    <row r="323" spans="1:13" ht="38.25">
      <c r="A323" s="313" t="str">
        <f t="shared" ref="A323:A386" si="5">HYPERLINK(J323,K323)</f>
        <v>AerialRefuelReceiveChanCode_chan089Z</v>
      </c>
      <c r="B323" s="330"/>
      <c r="C323" s="334"/>
      <c r="D323" s="188" t="s">
        <v>14362</v>
      </c>
      <c r="E323" s="189" t="s">
        <v>14363</v>
      </c>
      <c r="F323" s="162" t="s">
        <v>14364</v>
      </c>
      <c r="G323" s="162" t="s">
        <v>13413</v>
      </c>
      <c r="H323" s="219"/>
      <c r="I323" s="169">
        <v>117223</v>
      </c>
      <c r="J323" s="304" t="str">
        <f>CONCATENATE([2]Cover!$D$6,"fdd/view?i=",I323)</f>
        <v>https://www.dgiwg.org/FAD/fdd/view?i=117223</v>
      </c>
      <c r="K323" s="304" t="s">
        <v>34372</v>
      </c>
      <c r="L323" s="188">
        <v>248</v>
      </c>
      <c r="M323" s="179" t="s">
        <v>151</v>
      </c>
    </row>
    <row r="324" spans="1:13" ht="38.25">
      <c r="A324" s="313" t="str">
        <f t="shared" si="5"/>
        <v>AerialRefuelReceiveChanCode_chan090X</v>
      </c>
      <c r="B324" s="330"/>
      <c r="C324" s="334"/>
      <c r="D324" s="188" t="s">
        <v>14371</v>
      </c>
      <c r="E324" s="189" t="s">
        <v>14372</v>
      </c>
      <c r="F324" s="162" t="s">
        <v>14373</v>
      </c>
      <c r="G324" s="162" t="s">
        <v>13413</v>
      </c>
      <c r="H324" s="219"/>
      <c r="I324" s="169">
        <v>117224</v>
      </c>
      <c r="J324" s="304" t="str">
        <f>CONCATENATE([2]Cover!$D$6,"fdd/view?i=",I324)</f>
        <v>https://www.dgiwg.org/FAD/fdd/view?i=117224</v>
      </c>
      <c r="K324" s="304" t="s">
        <v>34373</v>
      </c>
      <c r="L324" s="188">
        <v>249</v>
      </c>
      <c r="M324" s="179" t="s">
        <v>151</v>
      </c>
    </row>
    <row r="325" spans="1:13" ht="38.25">
      <c r="A325" s="313" t="str">
        <f t="shared" si="5"/>
        <v>AerialRefuelReceiveChanCode_chan090Y</v>
      </c>
      <c r="B325" s="330"/>
      <c r="C325" s="334"/>
      <c r="D325" s="188" t="s">
        <v>14374</v>
      </c>
      <c r="E325" s="189" t="s">
        <v>14375</v>
      </c>
      <c r="F325" s="162" t="s">
        <v>14376</v>
      </c>
      <c r="G325" s="162" t="s">
        <v>13413</v>
      </c>
      <c r="H325" s="219"/>
      <c r="I325" s="169">
        <v>117225</v>
      </c>
      <c r="J325" s="304" t="str">
        <f>CONCATENATE([2]Cover!$D$6,"fdd/view?i=",I325)</f>
        <v>https://www.dgiwg.org/FAD/fdd/view?i=117225</v>
      </c>
      <c r="K325" s="304" t="s">
        <v>34374</v>
      </c>
      <c r="L325" s="188">
        <v>250</v>
      </c>
      <c r="M325" s="179" t="s">
        <v>151</v>
      </c>
    </row>
    <row r="326" spans="1:13" ht="38.25">
      <c r="A326" s="313" t="str">
        <f t="shared" si="5"/>
        <v>AerialRefuelReceiveChanCode_chan090Z</v>
      </c>
      <c r="B326" s="330"/>
      <c r="C326" s="334"/>
      <c r="D326" s="188" t="s">
        <v>14377</v>
      </c>
      <c r="E326" s="189" t="s">
        <v>14378</v>
      </c>
      <c r="F326" s="162" t="s">
        <v>14379</v>
      </c>
      <c r="G326" s="162" t="s">
        <v>13413</v>
      </c>
      <c r="H326" s="219"/>
      <c r="I326" s="169">
        <v>117226</v>
      </c>
      <c r="J326" s="304" t="str">
        <f>CONCATENATE([2]Cover!$D$6,"fdd/view?i=",I326)</f>
        <v>https://www.dgiwg.org/FAD/fdd/view?i=117226</v>
      </c>
      <c r="K326" s="304" t="s">
        <v>34375</v>
      </c>
      <c r="L326" s="188">
        <v>251</v>
      </c>
      <c r="M326" s="179" t="s">
        <v>151</v>
      </c>
    </row>
    <row r="327" spans="1:13" ht="38.25">
      <c r="A327" s="313" t="str">
        <f t="shared" si="5"/>
        <v>AerialRefuelReceiveChanCode_chan091X</v>
      </c>
      <c r="B327" s="330"/>
      <c r="C327" s="334"/>
      <c r="D327" s="188" t="s">
        <v>14380</v>
      </c>
      <c r="E327" s="189" t="s">
        <v>14381</v>
      </c>
      <c r="F327" s="162" t="s">
        <v>14382</v>
      </c>
      <c r="G327" s="162" t="s">
        <v>13413</v>
      </c>
      <c r="H327" s="219"/>
      <c r="I327" s="169">
        <v>117227</v>
      </c>
      <c r="J327" s="304" t="str">
        <f>CONCATENATE([2]Cover!$D$6,"fdd/view?i=",I327)</f>
        <v>https://www.dgiwg.org/FAD/fdd/view?i=117227</v>
      </c>
      <c r="K327" s="304" t="s">
        <v>34376</v>
      </c>
      <c r="L327" s="188">
        <v>252</v>
      </c>
      <c r="M327" s="179" t="s">
        <v>151</v>
      </c>
    </row>
    <row r="328" spans="1:13" ht="38.25">
      <c r="A328" s="313" t="str">
        <f t="shared" si="5"/>
        <v>AerialRefuelReceiveChanCode_chan091Y</v>
      </c>
      <c r="B328" s="330"/>
      <c r="C328" s="334"/>
      <c r="D328" s="188" t="s">
        <v>14383</v>
      </c>
      <c r="E328" s="189" t="s">
        <v>14384</v>
      </c>
      <c r="F328" s="162" t="s">
        <v>14385</v>
      </c>
      <c r="G328" s="162" t="s">
        <v>13413</v>
      </c>
      <c r="H328" s="219"/>
      <c r="I328" s="169">
        <v>117228</v>
      </c>
      <c r="J328" s="304" t="str">
        <f>CONCATENATE([2]Cover!$D$6,"fdd/view?i=",I328)</f>
        <v>https://www.dgiwg.org/FAD/fdd/view?i=117228</v>
      </c>
      <c r="K328" s="304" t="s">
        <v>34377</v>
      </c>
      <c r="L328" s="188">
        <v>253</v>
      </c>
      <c r="M328" s="179" t="s">
        <v>151</v>
      </c>
    </row>
    <row r="329" spans="1:13" ht="38.25">
      <c r="A329" s="313" t="str">
        <f t="shared" si="5"/>
        <v>AerialRefuelReceiveChanCode_chan091Z</v>
      </c>
      <c r="B329" s="330"/>
      <c r="C329" s="334"/>
      <c r="D329" s="188" t="s">
        <v>14386</v>
      </c>
      <c r="E329" s="189" t="s">
        <v>14387</v>
      </c>
      <c r="F329" s="162" t="s">
        <v>14388</v>
      </c>
      <c r="G329" s="162" t="s">
        <v>13413</v>
      </c>
      <c r="H329" s="219"/>
      <c r="I329" s="169">
        <v>117229</v>
      </c>
      <c r="J329" s="304" t="str">
        <f>CONCATENATE([2]Cover!$D$6,"fdd/view?i=",I329)</f>
        <v>https://www.dgiwg.org/FAD/fdd/view?i=117229</v>
      </c>
      <c r="K329" s="304" t="s">
        <v>34378</v>
      </c>
      <c r="L329" s="188">
        <v>254</v>
      </c>
      <c r="M329" s="179" t="s">
        <v>151</v>
      </c>
    </row>
    <row r="330" spans="1:13" ht="38.25">
      <c r="A330" s="313" t="str">
        <f t="shared" si="5"/>
        <v>AerialRefuelReceiveChanCode_chan092X</v>
      </c>
      <c r="B330" s="330"/>
      <c r="C330" s="334"/>
      <c r="D330" s="188" t="s">
        <v>14389</v>
      </c>
      <c r="E330" s="189" t="s">
        <v>14390</v>
      </c>
      <c r="F330" s="162" t="s">
        <v>14391</v>
      </c>
      <c r="G330" s="162" t="s">
        <v>13413</v>
      </c>
      <c r="H330" s="219"/>
      <c r="I330" s="169">
        <v>117230</v>
      </c>
      <c r="J330" s="304" t="str">
        <f>CONCATENATE([2]Cover!$D$6,"fdd/view?i=",I330)</f>
        <v>https://www.dgiwg.org/FAD/fdd/view?i=117230</v>
      </c>
      <c r="K330" s="304" t="s">
        <v>34379</v>
      </c>
      <c r="L330" s="188">
        <v>255</v>
      </c>
      <c r="M330" s="179" t="s">
        <v>151</v>
      </c>
    </row>
    <row r="331" spans="1:13" ht="38.25">
      <c r="A331" s="313" t="str">
        <f t="shared" si="5"/>
        <v>AerialRefuelReceiveChanCode_chan092Y</v>
      </c>
      <c r="B331" s="330"/>
      <c r="C331" s="334"/>
      <c r="D331" s="188" t="s">
        <v>14392</v>
      </c>
      <c r="E331" s="189" t="s">
        <v>14393</v>
      </c>
      <c r="F331" s="162" t="s">
        <v>14394</v>
      </c>
      <c r="G331" s="162" t="s">
        <v>13413</v>
      </c>
      <c r="H331" s="219"/>
      <c r="I331" s="169">
        <v>117231</v>
      </c>
      <c r="J331" s="304" t="str">
        <f>CONCATENATE([2]Cover!$D$6,"fdd/view?i=",I331)</f>
        <v>https://www.dgiwg.org/FAD/fdd/view?i=117231</v>
      </c>
      <c r="K331" s="304" t="s">
        <v>34380</v>
      </c>
      <c r="L331" s="188">
        <v>256</v>
      </c>
      <c r="M331" s="179" t="s">
        <v>151</v>
      </c>
    </row>
    <row r="332" spans="1:13" ht="38.25">
      <c r="A332" s="313" t="str">
        <f t="shared" si="5"/>
        <v>AerialRefuelReceiveChanCode_chan092Z</v>
      </c>
      <c r="B332" s="330"/>
      <c r="C332" s="334"/>
      <c r="D332" s="188" t="s">
        <v>14395</v>
      </c>
      <c r="E332" s="189" t="s">
        <v>14396</v>
      </c>
      <c r="F332" s="162" t="s">
        <v>14397</v>
      </c>
      <c r="G332" s="162" t="s">
        <v>13413</v>
      </c>
      <c r="H332" s="219"/>
      <c r="I332" s="169">
        <v>117232</v>
      </c>
      <c r="J332" s="304" t="str">
        <f>CONCATENATE([2]Cover!$D$6,"fdd/view?i=",I332)</f>
        <v>https://www.dgiwg.org/FAD/fdd/view?i=117232</v>
      </c>
      <c r="K332" s="304" t="s">
        <v>34381</v>
      </c>
      <c r="L332" s="188">
        <v>257</v>
      </c>
      <c r="M332" s="179" t="s">
        <v>151</v>
      </c>
    </row>
    <row r="333" spans="1:13" ht="38.25">
      <c r="A333" s="313" t="str">
        <f t="shared" si="5"/>
        <v>AerialRefuelReceiveChanCode_chan093X</v>
      </c>
      <c r="B333" s="330"/>
      <c r="C333" s="334"/>
      <c r="D333" s="188" t="s">
        <v>14398</v>
      </c>
      <c r="E333" s="189" t="s">
        <v>14399</v>
      </c>
      <c r="F333" s="162" t="s">
        <v>14400</v>
      </c>
      <c r="G333" s="162" t="s">
        <v>13413</v>
      </c>
      <c r="H333" s="219"/>
      <c r="I333" s="169">
        <v>117233</v>
      </c>
      <c r="J333" s="304" t="str">
        <f>CONCATENATE([2]Cover!$D$6,"fdd/view?i=",I333)</f>
        <v>https://www.dgiwg.org/FAD/fdd/view?i=117233</v>
      </c>
      <c r="K333" s="304" t="s">
        <v>34382</v>
      </c>
      <c r="L333" s="188">
        <v>258</v>
      </c>
      <c r="M333" s="179" t="s">
        <v>151</v>
      </c>
    </row>
    <row r="334" spans="1:13" ht="38.25">
      <c r="A334" s="313" t="str">
        <f t="shared" si="5"/>
        <v>AerialRefuelReceiveChanCode_chan093Y</v>
      </c>
      <c r="B334" s="330"/>
      <c r="C334" s="334"/>
      <c r="D334" s="188" t="s">
        <v>14401</v>
      </c>
      <c r="E334" s="189" t="s">
        <v>14402</v>
      </c>
      <c r="F334" s="162" t="s">
        <v>14403</v>
      </c>
      <c r="G334" s="162" t="s">
        <v>13413</v>
      </c>
      <c r="H334" s="219"/>
      <c r="I334" s="169">
        <v>117234</v>
      </c>
      <c r="J334" s="304" t="str">
        <f>CONCATENATE([2]Cover!$D$6,"fdd/view?i=",I334)</f>
        <v>https://www.dgiwg.org/FAD/fdd/view?i=117234</v>
      </c>
      <c r="K334" s="304" t="s">
        <v>34383</v>
      </c>
      <c r="L334" s="188">
        <v>259</v>
      </c>
      <c r="M334" s="179" t="s">
        <v>151</v>
      </c>
    </row>
    <row r="335" spans="1:13" ht="38.25">
      <c r="A335" s="313" t="str">
        <f t="shared" si="5"/>
        <v>AerialRefuelReceiveChanCode_chan093Z</v>
      </c>
      <c r="B335" s="330"/>
      <c r="C335" s="334"/>
      <c r="D335" s="188" t="s">
        <v>14404</v>
      </c>
      <c r="E335" s="189" t="s">
        <v>14405</v>
      </c>
      <c r="F335" s="162" t="s">
        <v>14406</v>
      </c>
      <c r="G335" s="162" t="s">
        <v>13413</v>
      </c>
      <c r="H335" s="219"/>
      <c r="I335" s="169">
        <v>117235</v>
      </c>
      <c r="J335" s="304" t="str">
        <f>CONCATENATE([2]Cover!$D$6,"fdd/view?i=",I335)</f>
        <v>https://www.dgiwg.org/FAD/fdd/view?i=117235</v>
      </c>
      <c r="K335" s="304" t="s">
        <v>34384</v>
      </c>
      <c r="L335" s="188">
        <v>260</v>
      </c>
      <c r="M335" s="179" t="s">
        <v>151</v>
      </c>
    </row>
    <row r="336" spans="1:13" ht="38.25">
      <c r="A336" s="313" t="str">
        <f t="shared" si="5"/>
        <v>AerialRefuelReceiveChanCode_chan094X</v>
      </c>
      <c r="B336" s="330"/>
      <c r="C336" s="334"/>
      <c r="D336" s="188" t="s">
        <v>14407</v>
      </c>
      <c r="E336" s="189" t="s">
        <v>14408</v>
      </c>
      <c r="F336" s="162" t="s">
        <v>14409</v>
      </c>
      <c r="G336" s="162" t="s">
        <v>13413</v>
      </c>
      <c r="H336" s="219"/>
      <c r="I336" s="169">
        <v>117236</v>
      </c>
      <c r="J336" s="304" t="str">
        <f>CONCATENATE([2]Cover!$D$6,"fdd/view?i=",I336)</f>
        <v>https://www.dgiwg.org/FAD/fdd/view?i=117236</v>
      </c>
      <c r="K336" s="304" t="s">
        <v>34385</v>
      </c>
      <c r="L336" s="188">
        <v>261</v>
      </c>
      <c r="M336" s="179" t="s">
        <v>151</v>
      </c>
    </row>
    <row r="337" spans="1:13" ht="38.25">
      <c r="A337" s="313" t="str">
        <f t="shared" si="5"/>
        <v>AerialRefuelReceiveChanCode_chan094Y</v>
      </c>
      <c r="B337" s="330"/>
      <c r="C337" s="334"/>
      <c r="D337" s="188" t="s">
        <v>14410</v>
      </c>
      <c r="E337" s="189" t="s">
        <v>14411</v>
      </c>
      <c r="F337" s="162" t="s">
        <v>14412</v>
      </c>
      <c r="G337" s="162" t="s">
        <v>13413</v>
      </c>
      <c r="H337" s="219"/>
      <c r="I337" s="169">
        <v>117237</v>
      </c>
      <c r="J337" s="304" t="str">
        <f>CONCATENATE([2]Cover!$D$6,"fdd/view?i=",I337)</f>
        <v>https://www.dgiwg.org/FAD/fdd/view?i=117237</v>
      </c>
      <c r="K337" s="304" t="s">
        <v>34386</v>
      </c>
      <c r="L337" s="188">
        <v>262</v>
      </c>
      <c r="M337" s="179" t="s">
        <v>151</v>
      </c>
    </row>
    <row r="338" spans="1:13" ht="38.25">
      <c r="A338" s="313" t="str">
        <f t="shared" si="5"/>
        <v>AerialRefuelReceiveChanCode_chan094Z</v>
      </c>
      <c r="B338" s="330"/>
      <c r="C338" s="334"/>
      <c r="D338" s="188" t="s">
        <v>14413</v>
      </c>
      <c r="E338" s="189" t="s">
        <v>14414</v>
      </c>
      <c r="F338" s="162" t="s">
        <v>14415</v>
      </c>
      <c r="G338" s="162" t="s">
        <v>13413</v>
      </c>
      <c r="H338" s="219"/>
      <c r="I338" s="169">
        <v>117238</v>
      </c>
      <c r="J338" s="304" t="str">
        <f>CONCATENATE([2]Cover!$D$6,"fdd/view?i=",I338)</f>
        <v>https://www.dgiwg.org/FAD/fdd/view?i=117238</v>
      </c>
      <c r="K338" s="304" t="s">
        <v>34387</v>
      </c>
      <c r="L338" s="188">
        <v>263</v>
      </c>
      <c r="M338" s="179" t="s">
        <v>151</v>
      </c>
    </row>
    <row r="339" spans="1:13" ht="38.25">
      <c r="A339" s="313" t="str">
        <f t="shared" si="5"/>
        <v>AerialRefuelReceiveChanCode_chan095X</v>
      </c>
      <c r="B339" s="330"/>
      <c r="C339" s="334"/>
      <c r="D339" s="188" t="s">
        <v>14416</v>
      </c>
      <c r="E339" s="189" t="s">
        <v>14417</v>
      </c>
      <c r="F339" s="162" t="s">
        <v>14418</v>
      </c>
      <c r="G339" s="162" t="s">
        <v>13413</v>
      </c>
      <c r="H339" s="219"/>
      <c r="I339" s="169">
        <v>117239</v>
      </c>
      <c r="J339" s="304" t="str">
        <f>CONCATENATE([2]Cover!$D$6,"fdd/view?i=",I339)</f>
        <v>https://www.dgiwg.org/FAD/fdd/view?i=117239</v>
      </c>
      <c r="K339" s="304" t="s">
        <v>34388</v>
      </c>
      <c r="L339" s="188">
        <v>264</v>
      </c>
      <c r="M339" s="179" t="s">
        <v>151</v>
      </c>
    </row>
    <row r="340" spans="1:13" ht="38.25">
      <c r="A340" s="313" t="str">
        <f t="shared" si="5"/>
        <v>AerialRefuelReceiveChanCode_chan095Y</v>
      </c>
      <c r="B340" s="330"/>
      <c r="C340" s="334"/>
      <c r="D340" s="188" t="s">
        <v>14419</v>
      </c>
      <c r="E340" s="189" t="s">
        <v>14420</v>
      </c>
      <c r="F340" s="162" t="s">
        <v>14421</v>
      </c>
      <c r="G340" s="162" t="s">
        <v>13413</v>
      </c>
      <c r="H340" s="219"/>
      <c r="I340" s="169">
        <v>117240</v>
      </c>
      <c r="J340" s="304" t="str">
        <f>CONCATENATE([2]Cover!$D$6,"fdd/view?i=",I340)</f>
        <v>https://www.dgiwg.org/FAD/fdd/view?i=117240</v>
      </c>
      <c r="K340" s="304" t="s">
        <v>34389</v>
      </c>
      <c r="L340" s="188">
        <v>265</v>
      </c>
      <c r="M340" s="179" t="s">
        <v>151</v>
      </c>
    </row>
    <row r="341" spans="1:13" ht="38.25">
      <c r="A341" s="313" t="str">
        <f t="shared" si="5"/>
        <v>AerialRefuelReceiveChanCode_chan095Z</v>
      </c>
      <c r="B341" s="330"/>
      <c r="C341" s="334"/>
      <c r="D341" s="188" t="s">
        <v>14422</v>
      </c>
      <c r="E341" s="189" t="s">
        <v>14423</v>
      </c>
      <c r="F341" s="162" t="s">
        <v>14424</v>
      </c>
      <c r="G341" s="162" t="s">
        <v>13413</v>
      </c>
      <c r="H341" s="219"/>
      <c r="I341" s="169">
        <v>117241</v>
      </c>
      <c r="J341" s="304" t="str">
        <f>CONCATENATE([2]Cover!$D$6,"fdd/view?i=",I341)</f>
        <v>https://www.dgiwg.org/FAD/fdd/view?i=117241</v>
      </c>
      <c r="K341" s="304" t="s">
        <v>34390</v>
      </c>
      <c r="L341" s="188">
        <v>266</v>
      </c>
      <c r="M341" s="179" t="s">
        <v>151</v>
      </c>
    </row>
    <row r="342" spans="1:13" ht="38.25">
      <c r="A342" s="313" t="str">
        <f t="shared" si="5"/>
        <v>AerialRefuelReceiveChanCode_chan096X</v>
      </c>
      <c r="B342" s="330"/>
      <c r="C342" s="334"/>
      <c r="D342" s="188" t="s">
        <v>14425</v>
      </c>
      <c r="E342" s="189" t="s">
        <v>14426</v>
      </c>
      <c r="F342" s="162" t="s">
        <v>14427</v>
      </c>
      <c r="G342" s="162" t="s">
        <v>13413</v>
      </c>
      <c r="H342" s="219"/>
      <c r="I342" s="169">
        <v>117242</v>
      </c>
      <c r="J342" s="304" t="str">
        <f>CONCATENATE([2]Cover!$D$6,"fdd/view?i=",I342)</f>
        <v>https://www.dgiwg.org/FAD/fdd/view?i=117242</v>
      </c>
      <c r="K342" s="304" t="s">
        <v>34391</v>
      </c>
      <c r="L342" s="188">
        <v>267</v>
      </c>
      <c r="M342" s="179" t="s">
        <v>151</v>
      </c>
    </row>
    <row r="343" spans="1:13" ht="38.25">
      <c r="A343" s="313" t="str">
        <f t="shared" si="5"/>
        <v>AerialRefuelReceiveChanCode_chan096Y</v>
      </c>
      <c r="B343" s="330"/>
      <c r="C343" s="334"/>
      <c r="D343" s="188" t="s">
        <v>14428</v>
      </c>
      <c r="E343" s="189" t="s">
        <v>14429</v>
      </c>
      <c r="F343" s="162" t="s">
        <v>14430</v>
      </c>
      <c r="G343" s="162" t="s">
        <v>13413</v>
      </c>
      <c r="H343" s="219"/>
      <c r="I343" s="169">
        <v>117243</v>
      </c>
      <c r="J343" s="304" t="str">
        <f>CONCATENATE([2]Cover!$D$6,"fdd/view?i=",I343)</f>
        <v>https://www.dgiwg.org/FAD/fdd/view?i=117243</v>
      </c>
      <c r="K343" s="304" t="s">
        <v>34392</v>
      </c>
      <c r="L343" s="188">
        <v>268</v>
      </c>
      <c r="M343" s="179" t="s">
        <v>151</v>
      </c>
    </row>
    <row r="344" spans="1:13" ht="38.25">
      <c r="A344" s="313" t="str">
        <f t="shared" si="5"/>
        <v>AerialRefuelReceiveChanCode_chan096Z</v>
      </c>
      <c r="B344" s="330"/>
      <c r="C344" s="334"/>
      <c r="D344" s="188" t="s">
        <v>14431</v>
      </c>
      <c r="E344" s="189" t="s">
        <v>14432</v>
      </c>
      <c r="F344" s="162" t="s">
        <v>14433</v>
      </c>
      <c r="G344" s="162" t="s">
        <v>13413</v>
      </c>
      <c r="H344" s="219"/>
      <c r="I344" s="169">
        <v>117244</v>
      </c>
      <c r="J344" s="304" t="str">
        <f>CONCATENATE([2]Cover!$D$6,"fdd/view?i=",I344)</f>
        <v>https://www.dgiwg.org/FAD/fdd/view?i=117244</v>
      </c>
      <c r="K344" s="304" t="s">
        <v>34393</v>
      </c>
      <c r="L344" s="188">
        <v>269</v>
      </c>
      <c r="M344" s="179" t="s">
        <v>151</v>
      </c>
    </row>
    <row r="345" spans="1:13" ht="38.25">
      <c r="A345" s="313" t="str">
        <f t="shared" si="5"/>
        <v>AerialRefuelReceiveChanCode_chan097X</v>
      </c>
      <c r="B345" s="330"/>
      <c r="C345" s="334"/>
      <c r="D345" s="188" t="s">
        <v>14434</v>
      </c>
      <c r="E345" s="189" t="s">
        <v>14435</v>
      </c>
      <c r="F345" s="162" t="s">
        <v>14436</v>
      </c>
      <c r="G345" s="162" t="s">
        <v>13413</v>
      </c>
      <c r="H345" s="219"/>
      <c r="I345" s="169">
        <v>117245</v>
      </c>
      <c r="J345" s="304" t="str">
        <f>CONCATENATE([2]Cover!$D$6,"fdd/view?i=",I345)</f>
        <v>https://www.dgiwg.org/FAD/fdd/view?i=117245</v>
      </c>
      <c r="K345" s="304" t="s">
        <v>34394</v>
      </c>
      <c r="L345" s="188">
        <v>270</v>
      </c>
      <c r="M345" s="179" t="s">
        <v>151</v>
      </c>
    </row>
    <row r="346" spans="1:13" ht="38.25">
      <c r="A346" s="313" t="str">
        <f t="shared" si="5"/>
        <v>AerialRefuelReceiveChanCode_chan097Y</v>
      </c>
      <c r="B346" s="330"/>
      <c r="C346" s="334"/>
      <c r="D346" s="188" t="s">
        <v>14437</v>
      </c>
      <c r="E346" s="189" t="s">
        <v>14438</v>
      </c>
      <c r="F346" s="162" t="s">
        <v>14439</v>
      </c>
      <c r="G346" s="162" t="s">
        <v>13413</v>
      </c>
      <c r="H346" s="219"/>
      <c r="I346" s="169">
        <v>117246</v>
      </c>
      <c r="J346" s="304" t="str">
        <f>CONCATENATE([2]Cover!$D$6,"fdd/view?i=",I346)</f>
        <v>https://www.dgiwg.org/FAD/fdd/view?i=117246</v>
      </c>
      <c r="K346" s="304" t="s">
        <v>34395</v>
      </c>
      <c r="L346" s="188">
        <v>271</v>
      </c>
      <c r="M346" s="179" t="s">
        <v>151</v>
      </c>
    </row>
    <row r="347" spans="1:13" ht="38.25">
      <c r="A347" s="313" t="str">
        <f t="shared" si="5"/>
        <v>AerialRefuelReceiveChanCode_chan097Z</v>
      </c>
      <c r="B347" s="330"/>
      <c r="C347" s="334"/>
      <c r="D347" s="188" t="s">
        <v>14440</v>
      </c>
      <c r="E347" s="189" t="s">
        <v>14441</v>
      </c>
      <c r="F347" s="162" t="s">
        <v>14442</v>
      </c>
      <c r="G347" s="162" t="s">
        <v>13413</v>
      </c>
      <c r="H347" s="219"/>
      <c r="I347" s="169">
        <v>117247</v>
      </c>
      <c r="J347" s="304" t="str">
        <f>CONCATENATE([2]Cover!$D$6,"fdd/view?i=",I347)</f>
        <v>https://www.dgiwg.org/FAD/fdd/view?i=117247</v>
      </c>
      <c r="K347" s="304" t="s">
        <v>34396</v>
      </c>
      <c r="L347" s="188">
        <v>272</v>
      </c>
      <c r="M347" s="179" t="s">
        <v>151</v>
      </c>
    </row>
    <row r="348" spans="1:13" ht="38.25">
      <c r="A348" s="313" t="str">
        <f t="shared" si="5"/>
        <v>AerialRefuelReceiveChanCode_chan098X</v>
      </c>
      <c r="B348" s="330"/>
      <c r="C348" s="334"/>
      <c r="D348" s="188" t="s">
        <v>14443</v>
      </c>
      <c r="E348" s="189" t="s">
        <v>14444</v>
      </c>
      <c r="F348" s="162" t="s">
        <v>14445</v>
      </c>
      <c r="G348" s="162" t="s">
        <v>13413</v>
      </c>
      <c r="H348" s="219"/>
      <c r="I348" s="169">
        <v>117248</v>
      </c>
      <c r="J348" s="304" t="str">
        <f>CONCATENATE([2]Cover!$D$6,"fdd/view?i=",I348)</f>
        <v>https://www.dgiwg.org/FAD/fdd/view?i=117248</v>
      </c>
      <c r="K348" s="304" t="s">
        <v>34397</v>
      </c>
      <c r="L348" s="188">
        <v>273</v>
      </c>
      <c r="M348" s="179" t="s">
        <v>151</v>
      </c>
    </row>
    <row r="349" spans="1:13" ht="38.25">
      <c r="A349" s="313" t="str">
        <f t="shared" si="5"/>
        <v>AerialRefuelReceiveChanCode_chan098Y</v>
      </c>
      <c r="B349" s="330"/>
      <c r="C349" s="334"/>
      <c r="D349" s="188" t="s">
        <v>14446</v>
      </c>
      <c r="E349" s="189" t="s">
        <v>14447</v>
      </c>
      <c r="F349" s="162" t="s">
        <v>14448</v>
      </c>
      <c r="G349" s="162" t="s">
        <v>13413</v>
      </c>
      <c r="H349" s="219"/>
      <c r="I349" s="169">
        <v>117249</v>
      </c>
      <c r="J349" s="304" t="str">
        <f>CONCATENATE([2]Cover!$D$6,"fdd/view?i=",I349)</f>
        <v>https://www.dgiwg.org/FAD/fdd/view?i=117249</v>
      </c>
      <c r="K349" s="304" t="s">
        <v>34398</v>
      </c>
      <c r="L349" s="188">
        <v>274</v>
      </c>
      <c r="M349" s="179" t="s">
        <v>151</v>
      </c>
    </row>
    <row r="350" spans="1:13" ht="38.25">
      <c r="A350" s="313" t="str">
        <f t="shared" si="5"/>
        <v>AerialRefuelReceiveChanCode_chan098Z</v>
      </c>
      <c r="B350" s="330"/>
      <c r="C350" s="334"/>
      <c r="D350" s="188" t="s">
        <v>14449</v>
      </c>
      <c r="E350" s="189" t="s">
        <v>14450</v>
      </c>
      <c r="F350" s="162" t="s">
        <v>14451</v>
      </c>
      <c r="G350" s="162" t="s">
        <v>13413</v>
      </c>
      <c r="H350" s="219"/>
      <c r="I350" s="169">
        <v>117250</v>
      </c>
      <c r="J350" s="304" t="str">
        <f>CONCATENATE([2]Cover!$D$6,"fdd/view?i=",I350)</f>
        <v>https://www.dgiwg.org/FAD/fdd/view?i=117250</v>
      </c>
      <c r="K350" s="304" t="s">
        <v>34399</v>
      </c>
      <c r="L350" s="188">
        <v>275</v>
      </c>
      <c r="M350" s="179" t="s">
        <v>151</v>
      </c>
    </row>
    <row r="351" spans="1:13" ht="38.25">
      <c r="A351" s="313" t="str">
        <f t="shared" si="5"/>
        <v>AerialRefuelReceiveChanCode_chan099X</v>
      </c>
      <c r="B351" s="330"/>
      <c r="C351" s="334"/>
      <c r="D351" s="188" t="s">
        <v>14452</v>
      </c>
      <c r="E351" s="189" t="s">
        <v>14453</v>
      </c>
      <c r="F351" s="162" t="s">
        <v>14454</v>
      </c>
      <c r="G351" s="162" t="s">
        <v>13413</v>
      </c>
      <c r="H351" s="219"/>
      <c r="I351" s="169">
        <v>117251</v>
      </c>
      <c r="J351" s="304" t="str">
        <f>CONCATENATE([2]Cover!$D$6,"fdd/view?i=",I351)</f>
        <v>https://www.dgiwg.org/FAD/fdd/view?i=117251</v>
      </c>
      <c r="K351" s="304" t="s">
        <v>34400</v>
      </c>
      <c r="L351" s="188">
        <v>276</v>
      </c>
      <c r="M351" s="179" t="s">
        <v>151</v>
      </c>
    </row>
    <row r="352" spans="1:13" ht="38.25">
      <c r="A352" s="313" t="str">
        <f t="shared" si="5"/>
        <v>AerialRefuelReceiveChanCode_chan099Y</v>
      </c>
      <c r="B352" s="330"/>
      <c r="C352" s="334"/>
      <c r="D352" s="188" t="s">
        <v>14455</v>
      </c>
      <c r="E352" s="189" t="s">
        <v>14456</v>
      </c>
      <c r="F352" s="162" t="s">
        <v>14457</v>
      </c>
      <c r="G352" s="162" t="s">
        <v>13413</v>
      </c>
      <c r="H352" s="219"/>
      <c r="I352" s="169">
        <v>117252</v>
      </c>
      <c r="J352" s="304" t="str">
        <f>CONCATENATE([2]Cover!$D$6,"fdd/view?i=",I352)</f>
        <v>https://www.dgiwg.org/FAD/fdd/view?i=117252</v>
      </c>
      <c r="K352" s="304" t="s">
        <v>34401</v>
      </c>
      <c r="L352" s="188">
        <v>277</v>
      </c>
      <c r="M352" s="179" t="s">
        <v>151</v>
      </c>
    </row>
    <row r="353" spans="1:13" ht="38.25">
      <c r="A353" s="313" t="str">
        <f t="shared" si="5"/>
        <v>AerialRefuelReceiveChanCode_chan099Z</v>
      </c>
      <c r="B353" s="330"/>
      <c r="C353" s="334"/>
      <c r="D353" s="188" t="s">
        <v>14458</v>
      </c>
      <c r="E353" s="189" t="s">
        <v>14459</v>
      </c>
      <c r="F353" s="162" t="s">
        <v>14460</v>
      </c>
      <c r="G353" s="162" t="s">
        <v>13413</v>
      </c>
      <c r="H353" s="219"/>
      <c r="I353" s="169">
        <v>117253</v>
      </c>
      <c r="J353" s="304" t="str">
        <f>CONCATENATE([2]Cover!$D$6,"fdd/view?i=",I353)</f>
        <v>https://www.dgiwg.org/FAD/fdd/view?i=117253</v>
      </c>
      <c r="K353" s="304" t="s">
        <v>34402</v>
      </c>
      <c r="L353" s="188">
        <v>278</v>
      </c>
      <c r="M353" s="179" t="s">
        <v>151</v>
      </c>
    </row>
    <row r="354" spans="1:13" ht="38.25">
      <c r="A354" s="313" t="str">
        <f t="shared" si="5"/>
        <v>AerialRefuelReceiveChanCode_chan100X</v>
      </c>
      <c r="B354" s="330"/>
      <c r="C354" s="334"/>
      <c r="D354" s="188" t="s">
        <v>13410</v>
      </c>
      <c r="E354" s="189" t="s">
        <v>13411</v>
      </c>
      <c r="F354" s="162" t="s">
        <v>13412</v>
      </c>
      <c r="G354" s="162" t="s">
        <v>13413</v>
      </c>
      <c r="H354" s="219"/>
      <c r="I354" s="169">
        <v>117254</v>
      </c>
      <c r="J354" s="304" t="str">
        <f>CONCATENATE([2]Cover!$D$6,"fdd/view?i=",I354)</f>
        <v>https://www.dgiwg.org/FAD/fdd/view?i=117254</v>
      </c>
      <c r="K354" s="304" t="s">
        <v>34403</v>
      </c>
      <c r="L354" s="188">
        <v>279</v>
      </c>
      <c r="M354" s="179" t="s">
        <v>151</v>
      </c>
    </row>
    <row r="355" spans="1:13" ht="38.25">
      <c r="A355" s="313" t="str">
        <f t="shared" si="5"/>
        <v>AerialRefuelReceiveChanCode_chan100Y</v>
      </c>
      <c r="B355" s="330"/>
      <c r="C355" s="334"/>
      <c r="D355" s="188" t="s">
        <v>13414</v>
      </c>
      <c r="E355" s="189" t="s">
        <v>13415</v>
      </c>
      <c r="F355" s="162" t="s">
        <v>13416</v>
      </c>
      <c r="G355" s="162" t="s">
        <v>13413</v>
      </c>
      <c r="H355" s="219"/>
      <c r="I355" s="169">
        <v>117255</v>
      </c>
      <c r="J355" s="304" t="str">
        <f>CONCATENATE([2]Cover!$D$6,"fdd/view?i=",I355)</f>
        <v>https://www.dgiwg.org/FAD/fdd/view?i=117255</v>
      </c>
      <c r="K355" s="304" t="s">
        <v>34404</v>
      </c>
      <c r="L355" s="188">
        <v>280</v>
      </c>
      <c r="M355" s="179" t="s">
        <v>151</v>
      </c>
    </row>
    <row r="356" spans="1:13" ht="38.25">
      <c r="A356" s="313" t="str">
        <f t="shared" si="5"/>
        <v>AerialRefuelReceiveChanCode_chan100Z</v>
      </c>
      <c r="B356" s="330"/>
      <c r="C356" s="334"/>
      <c r="D356" s="188" t="s">
        <v>13417</v>
      </c>
      <c r="E356" s="189" t="s">
        <v>13418</v>
      </c>
      <c r="F356" s="162" t="s">
        <v>13419</v>
      </c>
      <c r="G356" s="162" t="s">
        <v>13413</v>
      </c>
      <c r="H356" s="219"/>
      <c r="I356" s="169">
        <v>117256</v>
      </c>
      <c r="J356" s="304" t="str">
        <f>CONCATENATE([2]Cover!$D$6,"fdd/view?i=",I356)</f>
        <v>https://www.dgiwg.org/FAD/fdd/view?i=117256</v>
      </c>
      <c r="K356" s="304" t="s">
        <v>34405</v>
      </c>
      <c r="L356" s="188">
        <v>281</v>
      </c>
      <c r="M356" s="179" t="s">
        <v>151</v>
      </c>
    </row>
    <row r="357" spans="1:13" ht="38.25">
      <c r="A357" s="313" t="str">
        <f t="shared" si="5"/>
        <v>AerialRefuelReceiveChanCode_chan101X</v>
      </c>
      <c r="B357" s="330"/>
      <c r="C357" s="334"/>
      <c r="D357" s="188" t="s">
        <v>13420</v>
      </c>
      <c r="E357" s="189" t="s">
        <v>13421</v>
      </c>
      <c r="F357" s="162" t="s">
        <v>13422</v>
      </c>
      <c r="G357" s="162" t="s">
        <v>13413</v>
      </c>
      <c r="H357" s="219"/>
      <c r="I357" s="169">
        <v>117257</v>
      </c>
      <c r="J357" s="304" t="str">
        <f>CONCATENATE([2]Cover!$D$6,"fdd/view?i=",I357)</f>
        <v>https://www.dgiwg.org/FAD/fdd/view?i=117257</v>
      </c>
      <c r="K357" s="304" t="s">
        <v>34406</v>
      </c>
      <c r="L357" s="188">
        <v>282</v>
      </c>
      <c r="M357" s="179" t="s">
        <v>151</v>
      </c>
    </row>
    <row r="358" spans="1:13" ht="38.25">
      <c r="A358" s="313" t="str">
        <f t="shared" si="5"/>
        <v>AerialRefuelReceiveChanCode_chan101Y</v>
      </c>
      <c r="B358" s="330"/>
      <c r="C358" s="334"/>
      <c r="D358" s="188" t="s">
        <v>13423</v>
      </c>
      <c r="E358" s="189" t="s">
        <v>13424</v>
      </c>
      <c r="F358" s="162" t="s">
        <v>13425</v>
      </c>
      <c r="G358" s="162" t="s">
        <v>13413</v>
      </c>
      <c r="H358" s="219"/>
      <c r="I358" s="169">
        <v>117258</v>
      </c>
      <c r="J358" s="304" t="str">
        <f>CONCATENATE([2]Cover!$D$6,"fdd/view?i=",I358)</f>
        <v>https://www.dgiwg.org/FAD/fdd/view?i=117258</v>
      </c>
      <c r="K358" s="304" t="s">
        <v>34407</v>
      </c>
      <c r="L358" s="188">
        <v>283</v>
      </c>
      <c r="M358" s="179" t="s">
        <v>151</v>
      </c>
    </row>
    <row r="359" spans="1:13" ht="38.25">
      <c r="A359" s="313" t="str">
        <f t="shared" si="5"/>
        <v>AerialRefuelReceiveChanCode_chan101Z</v>
      </c>
      <c r="B359" s="330"/>
      <c r="C359" s="334"/>
      <c r="D359" s="188" t="s">
        <v>13426</v>
      </c>
      <c r="E359" s="189" t="s">
        <v>13427</v>
      </c>
      <c r="F359" s="162" t="s">
        <v>13428</v>
      </c>
      <c r="G359" s="162" t="s">
        <v>13413</v>
      </c>
      <c r="H359" s="219"/>
      <c r="I359" s="169">
        <v>117259</v>
      </c>
      <c r="J359" s="304" t="str">
        <f>CONCATENATE([2]Cover!$D$6,"fdd/view?i=",I359)</f>
        <v>https://www.dgiwg.org/FAD/fdd/view?i=117259</v>
      </c>
      <c r="K359" s="304" t="s">
        <v>34408</v>
      </c>
      <c r="L359" s="188">
        <v>284</v>
      </c>
      <c r="M359" s="179" t="s">
        <v>151</v>
      </c>
    </row>
    <row r="360" spans="1:13" ht="38.25">
      <c r="A360" s="313" t="str">
        <f t="shared" si="5"/>
        <v>AerialRefuelReceiveChanCode_chan102X</v>
      </c>
      <c r="B360" s="330"/>
      <c r="C360" s="334"/>
      <c r="D360" s="188" t="s">
        <v>13429</v>
      </c>
      <c r="E360" s="189" t="s">
        <v>13430</v>
      </c>
      <c r="F360" s="162" t="s">
        <v>13431</v>
      </c>
      <c r="G360" s="162" t="s">
        <v>13413</v>
      </c>
      <c r="H360" s="219"/>
      <c r="I360" s="169">
        <v>117260</v>
      </c>
      <c r="J360" s="304" t="str">
        <f>CONCATENATE([2]Cover!$D$6,"fdd/view?i=",I360)</f>
        <v>https://www.dgiwg.org/FAD/fdd/view?i=117260</v>
      </c>
      <c r="K360" s="304" t="s">
        <v>34409</v>
      </c>
      <c r="L360" s="188">
        <v>285</v>
      </c>
      <c r="M360" s="179" t="s">
        <v>151</v>
      </c>
    </row>
    <row r="361" spans="1:13" ht="38.25">
      <c r="A361" s="313" t="str">
        <f t="shared" si="5"/>
        <v>AerialRefuelReceiveChanCode_chan102Y</v>
      </c>
      <c r="B361" s="330"/>
      <c r="C361" s="334"/>
      <c r="D361" s="188" t="s">
        <v>13432</v>
      </c>
      <c r="E361" s="189" t="s">
        <v>13433</v>
      </c>
      <c r="F361" s="162" t="s">
        <v>13434</v>
      </c>
      <c r="G361" s="162" t="s">
        <v>13413</v>
      </c>
      <c r="H361" s="219"/>
      <c r="I361" s="169">
        <v>117261</v>
      </c>
      <c r="J361" s="304" t="str">
        <f>CONCATENATE([2]Cover!$D$6,"fdd/view?i=",I361)</f>
        <v>https://www.dgiwg.org/FAD/fdd/view?i=117261</v>
      </c>
      <c r="K361" s="304" t="s">
        <v>34410</v>
      </c>
      <c r="L361" s="188">
        <v>286</v>
      </c>
      <c r="M361" s="179" t="s">
        <v>151</v>
      </c>
    </row>
    <row r="362" spans="1:13" ht="38.25">
      <c r="A362" s="313" t="str">
        <f t="shared" si="5"/>
        <v>AerialRefuelReceiveChanCode_chan102Z</v>
      </c>
      <c r="B362" s="330"/>
      <c r="C362" s="334"/>
      <c r="D362" s="188" t="s">
        <v>13435</v>
      </c>
      <c r="E362" s="189" t="s">
        <v>13436</v>
      </c>
      <c r="F362" s="162" t="s">
        <v>13437</v>
      </c>
      <c r="G362" s="162" t="s">
        <v>13413</v>
      </c>
      <c r="H362" s="219"/>
      <c r="I362" s="169">
        <v>117262</v>
      </c>
      <c r="J362" s="304" t="str">
        <f>CONCATENATE([2]Cover!$D$6,"fdd/view?i=",I362)</f>
        <v>https://www.dgiwg.org/FAD/fdd/view?i=117262</v>
      </c>
      <c r="K362" s="304" t="s">
        <v>34411</v>
      </c>
      <c r="L362" s="188">
        <v>287</v>
      </c>
      <c r="M362" s="179" t="s">
        <v>151</v>
      </c>
    </row>
    <row r="363" spans="1:13" ht="38.25">
      <c r="A363" s="313" t="str">
        <f t="shared" si="5"/>
        <v>AerialRefuelReceiveChanCode_chan103X</v>
      </c>
      <c r="B363" s="330"/>
      <c r="C363" s="334"/>
      <c r="D363" s="188" t="s">
        <v>13438</v>
      </c>
      <c r="E363" s="189" t="s">
        <v>13439</v>
      </c>
      <c r="F363" s="162" t="s">
        <v>13440</v>
      </c>
      <c r="G363" s="162" t="s">
        <v>13413</v>
      </c>
      <c r="H363" s="219"/>
      <c r="I363" s="169">
        <v>117263</v>
      </c>
      <c r="J363" s="304" t="str">
        <f>CONCATENATE([2]Cover!$D$6,"fdd/view?i=",I363)</f>
        <v>https://www.dgiwg.org/FAD/fdd/view?i=117263</v>
      </c>
      <c r="K363" s="304" t="s">
        <v>34412</v>
      </c>
      <c r="L363" s="188">
        <v>288</v>
      </c>
      <c r="M363" s="179" t="s">
        <v>151</v>
      </c>
    </row>
    <row r="364" spans="1:13" ht="38.25">
      <c r="A364" s="313" t="str">
        <f t="shared" si="5"/>
        <v>AerialRefuelReceiveChanCode_chan103Y</v>
      </c>
      <c r="B364" s="330"/>
      <c r="C364" s="334"/>
      <c r="D364" s="188" t="s">
        <v>13441</v>
      </c>
      <c r="E364" s="189" t="s">
        <v>13442</v>
      </c>
      <c r="F364" s="162" t="s">
        <v>13443</v>
      </c>
      <c r="G364" s="162" t="s">
        <v>13413</v>
      </c>
      <c r="H364" s="219"/>
      <c r="I364" s="169">
        <v>117264</v>
      </c>
      <c r="J364" s="304" t="str">
        <f>CONCATENATE([2]Cover!$D$6,"fdd/view?i=",I364)</f>
        <v>https://www.dgiwg.org/FAD/fdd/view?i=117264</v>
      </c>
      <c r="K364" s="304" t="s">
        <v>34413</v>
      </c>
      <c r="L364" s="188">
        <v>289</v>
      </c>
      <c r="M364" s="179" t="s">
        <v>151</v>
      </c>
    </row>
    <row r="365" spans="1:13" ht="38.25">
      <c r="A365" s="313" t="str">
        <f t="shared" si="5"/>
        <v>AerialRefuelReceiveChanCode_chan103Z</v>
      </c>
      <c r="B365" s="330"/>
      <c r="C365" s="334"/>
      <c r="D365" s="188" t="s">
        <v>13444</v>
      </c>
      <c r="E365" s="189" t="s">
        <v>13445</v>
      </c>
      <c r="F365" s="162" t="s">
        <v>13446</v>
      </c>
      <c r="G365" s="162" t="s">
        <v>13413</v>
      </c>
      <c r="H365" s="219"/>
      <c r="I365" s="169">
        <v>117265</v>
      </c>
      <c r="J365" s="304" t="str">
        <f>CONCATENATE([2]Cover!$D$6,"fdd/view?i=",I365)</f>
        <v>https://www.dgiwg.org/FAD/fdd/view?i=117265</v>
      </c>
      <c r="K365" s="304" t="s">
        <v>34414</v>
      </c>
      <c r="L365" s="188">
        <v>290</v>
      </c>
      <c r="M365" s="179" t="s">
        <v>151</v>
      </c>
    </row>
    <row r="366" spans="1:13" ht="38.25">
      <c r="A366" s="313" t="str">
        <f t="shared" si="5"/>
        <v>AerialRefuelReceiveChanCode_chan104X</v>
      </c>
      <c r="B366" s="330"/>
      <c r="C366" s="334"/>
      <c r="D366" s="188" t="s">
        <v>13447</v>
      </c>
      <c r="E366" s="189" t="s">
        <v>13448</v>
      </c>
      <c r="F366" s="162" t="s">
        <v>13449</v>
      </c>
      <c r="G366" s="162" t="s">
        <v>13413</v>
      </c>
      <c r="H366" s="219"/>
      <c r="I366" s="169">
        <v>117266</v>
      </c>
      <c r="J366" s="304" t="str">
        <f>CONCATENATE([2]Cover!$D$6,"fdd/view?i=",I366)</f>
        <v>https://www.dgiwg.org/FAD/fdd/view?i=117266</v>
      </c>
      <c r="K366" s="304" t="s">
        <v>34415</v>
      </c>
      <c r="L366" s="188">
        <v>291</v>
      </c>
      <c r="M366" s="179" t="s">
        <v>151</v>
      </c>
    </row>
    <row r="367" spans="1:13" ht="38.25">
      <c r="A367" s="313" t="str">
        <f t="shared" si="5"/>
        <v>AerialRefuelReceiveChanCode_chan104Y</v>
      </c>
      <c r="B367" s="330"/>
      <c r="C367" s="334"/>
      <c r="D367" s="188" t="s">
        <v>13450</v>
      </c>
      <c r="E367" s="189" t="s">
        <v>13451</v>
      </c>
      <c r="F367" s="162" t="s">
        <v>13452</v>
      </c>
      <c r="G367" s="162" t="s">
        <v>13413</v>
      </c>
      <c r="H367" s="219"/>
      <c r="I367" s="169">
        <v>117267</v>
      </c>
      <c r="J367" s="304" t="str">
        <f>CONCATENATE([2]Cover!$D$6,"fdd/view?i=",I367)</f>
        <v>https://www.dgiwg.org/FAD/fdd/view?i=117267</v>
      </c>
      <c r="K367" s="304" t="s">
        <v>34416</v>
      </c>
      <c r="L367" s="188">
        <v>292</v>
      </c>
      <c r="M367" s="179" t="s">
        <v>151</v>
      </c>
    </row>
    <row r="368" spans="1:13" ht="38.25">
      <c r="A368" s="313" t="str">
        <f t="shared" si="5"/>
        <v>AerialRefuelReceiveChanCode_chan104Z</v>
      </c>
      <c r="B368" s="330"/>
      <c r="C368" s="334"/>
      <c r="D368" s="188" t="s">
        <v>13453</v>
      </c>
      <c r="E368" s="189" t="s">
        <v>13454</v>
      </c>
      <c r="F368" s="162" t="s">
        <v>13455</v>
      </c>
      <c r="G368" s="162" t="s">
        <v>13413</v>
      </c>
      <c r="H368" s="219"/>
      <c r="I368" s="169">
        <v>117268</v>
      </c>
      <c r="J368" s="304" t="str">
        <f>CONCATENATE([2]Cover!$D$6,"fdd/view?i=",I368)</f>
        <v>https://www.dgiwg.org/FAD/fdd/view?i=117268</v>
      </c>
      <c r="K368" s="304" t="s">
        <v>34417</v>
      </c>
      <c r="L368" s="188">
        <v>293</v>
      </c>
      <c r="M368" s="179" t="s">
        <v>151</v>
      </c>
    </row>
    <row r="369" spans="1:13" ht="38.25">
      <c r="A369" s="313" t="str">
        <f t="shared" si="5"/>
        <v>AerialRefuelReceiveChanCode_chan105X</v>
      </c>
      <c r="B369" s="330"/>
      <c r="C369" s="334"/>
      <c r="D369" s="188" t="s">
        <v>13456</v>
      </c>
      <c r="E369" s="189" t="s">
        <v>13457</v>
      </c>
      <c r="F369" s="162" t="s">
        <v>13458</v>
      </c>
      <c r="G369" s="162" t="s">
        <v>13413</v>
      </c>
      <c r="H369" s="219"/>
      <c r="I369" s="169">
        <v>117269</v>
      </c>
      <c r="J369" s="304" t="str">
        <f>CONCATENATE([2]Cover!$D$6,"fdd/view?i=",I369)</f>
        <v>https://www.dgiwg.org/FAD/fdd/view?i=117269</v>
      </c>
      <c r="K369" s="304" t="s">
        <v>34418</v>
      </c>
      <c r="L369" s="188">
        <v>294</v>
      </c>
      <c r="M369" s="179" t="s">
        <v>151</v>
      </c>
    </row>
    <row r="370" spans="1:13" ht="38.25">
      <c r="A370" s="313" t="str">
        <f t="shared" si="5"/>
        <v>AerialRefuelReceiveChanCode_chan105Y</v>
      </c>
      <c r="B370" s="330"/>
      <c r="C370" s="334"/>
      <c r="D370" s="188" t="s">
        <v>13459</v>
      </c>
      <c r="E370" s="189" t="s">
        <v>13460</v>
      </c>
      <c r="F370" s="162" t="s">
        <v>13461</v>
      </c>
      <c r="G370" s="162" t="s">
        <v>13413</v>
      </c>
      <c r="H370" s="219"/>
      <c r="I370" s="169">
        <v>117270</v>
      </c>
      <c r="J370" s="304" t="str">
        <f>CONCATENATE([2]Cover!$D$6,"fdd/view?i=",I370)</f>
        <v>https://www.dgiwg.org/FAD/fdd/view?i=117270</v>
      </c>
      <c r="K370" s="304" t="s">
        <v>34419</v>
      </c>
      <c r="L370" s="188">
        <v>295</v>
      </c>
      <c r="M370" s="179" t="s">
        <v>151</v>
      </c>
    </row>
    <row r="371" spans="1:13" ht="38.25">
      <c r="A371" s="313" t="str">
        <f t="shared" si="5"/>
        <v>AerialRefuelReceiveChanCode_chan105Z</v>
      </c>
      <c r="B371" s="330"/>
      <c r="C371" s="334"/>
      <c r="D371" s="188" t="s">
        <v>13462</v>
      </c>
      <c r="E371" s="189" t="s">
        <v>13463</v>
      </c>
      <c r="F371" s="162" t="s">
        <v>13464</v>
      </c>
      <c r="G371" s="162" t="s">
        <v>13413</v>
      </c>
      <c r="H371" s="219"/>
      <c r="I371" s="169">
        <v>117271</v>
      </c>
      <c r="J371" s="304" t="str">
        <f>CONCATENATE([2]Cover!$D$6,"fdd/view?i=",I371)</f>
        <v>https://www.dgiwg.org/FAD/fdd/view?i=117271</v>
      </c>
      <c r="K371" s="304" t="s">
        <v>34420</v>
      </c>
      <c r="L371" s="188">
        <v>296</v>
      </c>
      <c r="M371" s="179" t="s">
        <v>151</v>
      </c>
    </row>
    <row r="372" spans="1:13" ht="38.25">
      <c r="A372" s="313" t="str">
        <f t="shared" si="5"/>
        <v>AerialRefuelReceiveChanCode_chan106X</v>
      </c>
      <c r="B372" s="330"/>
      <c r="C372" s="334"/>
      <c r="D372" s="188" t="s">
        <v>13465</v>
      </c>
      <c r="E372" s="189" t="s">
        <v>13466</v>
      </c>
      <c r="F372" s="162" t="s">
        <v>13467</v>
      </c>
      <c r="G372" s="162" t="s">
        <v>13413</v>
      </c>
      <c r="H372" s="219"/>
      <c r="I372" s="169">
        <v>117272</v>
      </c>
      <c r="J372" s="304" t="str">
        <f>CONCATENATE([2]Cover!$D$6,"fdd/view?i=",I372)</f>
        <v>https://www.dgiwg.org/FAD/fdd/view?i=117272</v>
      </c>
      <c r="K372" s="304" t="s">
        <v>34421</v>
      </c>
      <c r="L372" s="188">
        <v>297</v>
      </c>
      <c r="M372" s="179" t="s">
        <v>151</v>
      </c>
    </row>
    <row r="373" spans="1:13" ht="38.25">
      <c r="A373" s="313" t="str">
        <f t="shared" si="5"/>
        <v>AerialRefuelReceiveChanCode_chan106Y</v>
      </c>
      <c r="B373" s="330"/>
      <c r="C373" s="334"/>
      <c r="D373" s="188" t="s">
        <v>13468</v>
      </c>
      <c r="E373" s="189" t="s">
        <v>13469</v>
      </c>
      <c r="F373" s="162" t="s">
        <v>13470</v>
      </c>
      <c r="G373" s="162" t="s">
        <v>13413</v>
      </c>
      <c r="H373" s="219"/>
      <c r="I373" s="169">
        <v>117273</v>
      </c>
      <c r="J373" s="304" t="str">
        <f>CONCATENATE([2]Cover!$D$6,"fdd/view?i=",I373)</f>
        <v>https://www.dgiwg.org/FAD/fdd/view?i=117273</v>
      </c>
      <c r="K373" s="304" t="s">
        <v>34422</v>
      </c>
      <c r="L373" s="188">
        <v>298</v>
      </c>
      <c r="M373" s="179" t="s">
        <v>151</v>
      </c>
    </row>
    <row r="374" spans="1:13" ht="38.25">
      <c r="A374" s="313" t="str">
        <f t="shared" si="5"/>
        <v>AerialRefuelReceiveChanCode_chan106Z</v>
      </c>
      <c r="B374" s="330"/>
      <c r="C374" s="334"/>
      <c r="D374" s="188" t="s">
        <v>13471</v>
      </c>
      <c r="E374" s="189" t="s">
        <v>13472</v>
      </c>
      <c r="F374" s="162" t="s">
        <v>13473</v>
      </c>
      <c r="G374" s="162" t="s">
        <v>13413</v>
      </c>
      <c r="H374" s="219"/>
      <c r="I374" s="169">
        <v>117274</v>
      </c>
      <c r="J374" s="304" t="str">
        <f>CONCATENATE([2]Cover!$D$6,"fdd/view?i=",I374)</f>
        <v>https://www.dgiwg.org/FAD/fdd/view?i=117274</v>
      </c>
      <c r="K374" s="304" t="s">
        <v>34423</v>
      </c>
      <c r="L374" s="188">
        <v>299</v>
      </c>
      <c r="M374" s="179" t="s">
        <v>151</v>
      </c>
    </row>
    <row r="375" spans="1:13" ht="38.25">
      <c r="A375" s="313" t="str">
        <f t="shared" si="5"/>
        <v>AerialRefuelReceiveChanCode_chan107X</v>
      </c>
      <c r="B375" s="330"/>
      <c r="C375" s="334"/>
      <c r="D375" s="188" t="s">
        <v>13474</v>
      </c>
      <c r="E375" s="189" t="s">
        <v>13475</v>
      </c>
      <c r="F375" s="162" t="s">
        <v>13476</v>
      </c>
      <c r="G375" s="162" t="s">
        <v>13413</v>
      </c>
      <c r="H375" s="219"/>
      <c r="I375" s="169">
        <v>117275</v>
      </c>
      <c r="J375" s="304" t="str">
        <f>CONCATENATE([2]Cover!$D$6,"fdd/view?i=",I375)</f>
        <v>https://www.dgiwg.org/FAD/fdd/view?i=117275</v>
      </c>
      <c r="K375" s="304" t="s">
        <v>34424</v>
      </c>
      <c r="L375" s="188">
        <v>300</v>
      </c>
      <c r="M375" s="179" t="s">
        <v>151</v>
      </c>
    </row>
    <row r="376" spans="1:13" ht="38.25">
      <c r="A376" s="313" t="str">
        <f t="shared" si="5"/>
        <v>AerialRefuelReceiveChanCode_chan107Y</v>
      </c>
      <c r="B376" s="330"/>
      <c r="C376" s="334"/>
      <c r="D376" s="188" t="s">
        <v>13477</v>
      </c>
      <c r="E376" s="189" t="s">
        <v>13478</v>
      </c>
      <c r="F376" s="162" t="s">
        <v>13479</v>
      </c>
      <c r="G376" s="162" t="s">
        <v>13413</v>
      </c>
      <c r="H376" s="219"/>
      <c r="I376" s="169">
        <v>117276</v>
      </c>
      <c r="J376" s="304" t="str">
        <f>CONCATENATE([2]Cover!$D$6,"fdd/view?i=",I376)</f>
        <v>https://www.dgiwg.org/FAD/fdd/view?i=117276</v>
      </c>
      <c r="K376" s="304" t="s">
        <v>34425</v>
      </c>
      <c r="L376" s="188">
        <v>301</v>
      </c>
      <c r="M376" s="179" t="s">
        <v>151</v>
      </c>
    </row>
    <row r="377" spans="1:13" ht="38.25">
      <c r="A377" s="313" t="str">
        <f t="shared" si="5"/>
        <v>AerialRefuelReceiveChanCode_chan107Z</v>
      </c>
      <c r="B377" s="330"/>
      <c r="C377" s="334"/>
      <c r="D377" s="188" t="s">
        <v>13480</v>
      </c>
      <c r="E377" s="189" t="s">
        <v>13481</v>
      </c>
      <c r="F377" s="162" t="s">
        <v>13482</v>
      </c>
      <c r="G377" s="162" t="s">
        <v>13413</v>
      </c>
      <c r="H377" s="219"/>
      <c r="I377" s="169">
        <v>117277</v>
      </c>
      <c r="J377" s="304" t="str">
        <f>CONCATENATE([2]Cover!$D$6,"fdd/view?i=",I377)</f>
        <v>https://www.dgiwg.org/FAD/fdd/view?i=117277</v>
      </c>
      <c r="K377" s="304" t="s">
        <v>34426</v>
      </c>
      <c r="L377" s="188">
        <v>302</v>
      </c>
      <c r="M377" s="179" t="s">
        <v>151</v>
      </c>
    </row>
    <row r="378" spans="1:13" ht="38.25">
      <c r="A378" s="313" t="str">
        <f t="shared" si="5"/>
        <v>AerialRefuelReceiveChanCode_chan108X</v>
      </c>
      <c r="B378" s="330"/>
      <c r="C378" s="334"/>
      <c r="D378" s="188" t="s">
        <v>13483</v>
      </c>
      <c r="E378" s="189" t="s">
        <v>13484</v>
      </c>
      <c r="F378" s="162" t="s">
        <v>13485</v>
      </c>
      <c r="G378" s="162" t="s">
        <v>13413</v>
      </c>
      <c r="H378" s="219"/>
      <c r="I378" s="169">
        <v>117278</v>
      </c>
      <c r="J378" s="304" t="str">
        <f>CONCATENATE([2]Cover!$D$6,"fdd/view?i=",I378)</f>
        <v>https://www.dgiwg.org/FAD/fdd/view?i=117278</v>
      </c>
      <c r="K378" s="304" t="s">
        <v>34427</v>
      </c>
      <c r="L378" s="188">
        <v>303</v>
      </c>
      <c r="M378" s="179" t="s">
        <v>151</v>
      </c>
    </row>
    <row r="379" spans="1:13" ht="38.25">
      <c r="A379" s="313" t="str">
        <f t="shared" si="5"/>
        <v>AerialRefuelReceiveChanCode_chan108Y</v>
      </c>
      <c r="B379" s="330"/>
      <c r="C379" s="334"/>
      <c r="D379" s="188" t="s">
        <v>13486</v>
      </c>
      <c r="E379" s="189" t="s">
        <v>13487</v>
      </c>
      <c r="F379" s="162" t="s">
        <v>13488</v>
      </c>
      <c r="G379" s="162" t="s">
        <v>13413</v>
      </c>
      <c r="H379" s="219"/>
      <c r="I379" s="169">
        <v>117279</v>
      </c>
      <c r="J379" s="304" t="str">
        <f>CONCATENATE([2]Cover!$D$6,"fdd/view?i=",I379)</f>
        <v>https://www.dgiwg.org/FAD/fdd/view?i=117279</v>
      </c>
      <c r="K379" s="304" t="s">
        <v>34428</v>
      </c>
      <c r="L379" s="188">
        <v>304</v>
      </c>
      <c r="M379" s="179" t="s">
        <v>151</v>
      </c>
    </row>
    <row r="380" spans="1:13" ht="38.25">
      <c r="A380" s="313" t="str">
        <f t="shared" si="5"/>
        <v>AerialRefuelReceiveChanCode_chan108Z</v>
      </c>
      <c r="B380" s="330"/>
      <c r="C380" s="334"/>
      <c r="D380" s="188" t="s">
        <v>13489</v>
      </c>
      <c r="E380" s="189" t="s">
        <v>13490</v>
      </c>
      <c r="F380" s="162" t="s">
        <v>13491</v>
      </c>
      <c r="G380" s="162" t="s">
        <v>13413</v>
      </c>
      <c r="H380" s="219"/>
      <c r="I380" s="169">
        <v>117280</v>
      </c>
      <c r="J380" s="304" t="str">
        <f>CONCATENATE([2]Cover!$D$6,"fdd/view?i=",I380)</f>
        <v>https://www.dgiwg.org/FAD/fdd/view?i=117280</v>
      </c>
      <c r="K380" s="304" t="s">
        <v>34429</v>
      </c>
      <c r="L380" s="188">
        <v>305</v>
      </c>
      <c r="M380" s="179" t="s">
        <v>151</v>
      </c>
    </row>
    <row r="381" spans="1:13" ht="38.25">
      <c r="A381" s="313" t="str">
        <f t="shared" si="5"/>
        <v>AerialRefuelReceiveChanCode_chan109X</v>
      </c>
      <c r="B381" s="330"/>
      <c r="C381" s="334"/>
      <c r="D381" s="188" t="s">
        <v>13492</v>
      </c>
      <c r="E381" s="189" t="s">
        <v>13493</v>
      </c>
      <c r="F381" s="162" t="s">
        <v>13494</v>
      </c>
      <c r="G381" s="162" t="s">
        <v>13413</v>
      </c>
      <c r="H381" s="219"/>
      <c r="I381" s="169">
        <v>117281</v>
      </c>
      <c r="J381" s="304" t="str">
        <f>CONCATENATE([2]Cover!$D$6,"fdd/view?i=",I381)</f>
        <v>https://www.dgiwg.org/FAD/fdd/view?i=117281</v>
      </c>
      <c r="K381" s="304" t="s">
        <v>34430</v>
      </c>
      <c r="L381" s="188">
        <v>306</v>
      </c>
      <c r="M381" s="179" t="s">
        <v>151</v>
      </c>
    </row>
    <row r="382" spans="1:13" ht="38.25">
      <c r="A382" s="313" t="str">
        <f t="shared" si="5"/>
        <v>AerialRefuelReceiveChanCode_chan109Y</v>
      </c>
      <c r="B382" s="330"/>
      <c r="C382" s="334"/>
      <c r="D382" s="188" t="s">
        <v>13495</v>
      </c>
      <c r="E382" s="189" t="s">
        <v>13496</v>
      </c>
      <c r="F382" s="162" t="s">
        <v>13497</v>
      </c>
      <c r="G382" s="162" t="s">
        <v>13413</v>
      </c>
      <c r="H382" s="219"/>
      <c r="I382" s="169">
        <v>117282</v>
      </c>
      <c r="J382" s="304" t="str">
        <f>CONCATENATE([2]Cover!$D$6,"fdd/view?i=",I382)</f>
        <v>https://www.dgiwg.org/FAD/fdd/view?i=117282</v>
      </c>
      <c r="K382" s="304" t="s">
        <v>34431</v>
      </c>
      <c r="L382" s="188">
        <v>307</v>
      </c>
      <c r="M382" s="179" t="s">
        <v>151</v>
      </c>
    </row>
    <row r="383" spans="1:13" ht="38.25">
      <c r="A383" s="313" t="str">
        <f t="shared" si="5"/>
        <v>AerialRefuelReceiveChanCode_chan109Z</v>
      </c>
      <c r="B383" s="330"/>
      <c r="C383" s="334"/>
      <c r="D383" s="188" t="s">
        <v>13498</v>
      </c>
      <c r="E383" s="189" t="s">
        <v>13499</v>
      </c>
      <c r="F383" s="162" t="s">
        <v>13500</v>
      </c>
      <c r="G383" s="162" t="s">
        <v>13413</v>
      </c>
      <c r="H383" s="219"/>
      <c r="I383" s="169">
        <v>117283</v>
      </c>
      <c r="J383" s="304" t="str">
        <f>CONCATENATE([2]Cover!$D$6,"fdd/view?i=",I383)</f>
        <v>https://www.dgiwg.org/FAD/fdd/view?i=117283</v>
      </c>
      <c r="K383" s="304" t="s">
        <v>34432</v>
      </c>
      <c r="L383" s="188">
        <v>308</v>
      </c>
      <c r="M383" s="179" t="s">
        <v>151</v>
      </c>
    </row>
    <row r="384" spans="1:13" ht="38.25">
      <c r="A384" s="313" t="str">
        <f t="shared" si="5"/>
        <v>AerialRefuelReceiveChanCode_chan110X</v>
      </c>
      <c r="B384" s="330"/>
      <c r="C384" s="334"/>
      <c r="D384" s="188" t="s">
        <v>13507</v>
      </c>
      <c r="E384" s="189" t="s">
        <v>13508</v>
      </c>
      <c r="F384" s="162" t="s">
        <v>13509</v>
      </c>
      <c r="G384" s="162" t="s">
        <v>13413</v>
      </c>
      <c r="H384" s="219"/>
      <c r="I384" s="169">
        <v>117284</v>
      </c>
      <c r="J384" s="304" t="str">
        <f>CONCATENATE([2]Cover!$D$6,"fdd/view?i=",I384)</f>
        <v>https://www.dgiwg.org/FAD/fdd/view?i=117284</v>
      </c>
      <c r="K384" s="304" t="s">
        <v>34433</v>
      </c>
      <c r="L384" s="188">
        <v>309</v>
      </c>
      <c r="M384" s="179" t="s">
        <v>151</v>
      </c>
    </row>
    <row r="385" spans="1:13" ht="38.25">
      <c r="A385" s="313" t="str">
        <f t="shared" si="5"/>
        <v>AerialRefuelReceiveChanCode_chan110Y</v>
      </c>
      <c r="B385" s="330"/>
      <c r="C385" s="334"/>
      <c r="D385" s="188" t="s">
        <v>13510</v>
      </c>
      <c r="E385" s="189" t="s">
        <v>13511</v>
      </c>
      <c r="F385" s="162" t="s">
        <v>13512</v>
      </c>
      <c r="G385" s="162" t="s">
        <v>13413</v>
      </c>
      <c r="H385" s="219"/>
      <c r="I385" s="169">
        <v>117285</v>
      </c>
      <c r="J385" s="304" t="str">
        <f>CONCATENATE([2]Cover!$D$6,"fdd/view?i=",I385)</f>
        <v>https://www.dgiwg.org/FAD/fdd/view?i=117285</v>
      </c>
      <c r="K385" s="304" t="s">
        <v>34434</v>
      </c>
      <c r="L385" s="188">
        <v>310</v>
      </c>
      <c r="M385" s="179" t="s">
        <v>151</v>
      </c>
    </row>
    <row r="386" spans="1:13" ht="38.25">
      <c r="A386" s="313" t="str">
        <f t="shared" si="5"/>
        <v>AerialRefuelReceiveChanCode_chan110Z</v>
      </c>
      <c r="B386" s="330"/>
      <c r="C386" s="334"/>
      <c r="D386" s="188" t="s">
        <v>13513</v>
      </c>
      <c r="E386" s="189" t="s">
        <v>13514</v>
      </c>
      <c r="F386" s="162" t="s">
        <v>13515</v>
      </c>
      <c r="G386" s="162" t="s">
        <v>13413</v>
      </c>
      <c r="H386" s="219"/>
      <c r="I386" s="169">
        <v>117286</v>
      </c>
      <c r="J386" s="304" t="str">
        <f>CONCATENATE([2]Cover!$D$6,"fdd/view?i=",I386)</f>
        <v>https://www.dgiwg.org/FAD/fdd/view?i=117286</v>
      </c>
      <c r="K386" s="304" t="s">
        <v>34435</v>
      </c>
      <c r="L386" s="188">
        <v>311</v>
      </c>
      <c r="M386" s="179" t="s">
        <v>151</v>
      </c>
    </row>
    <row r="387" spans="1:13" ht="38.25">
      <c r="A387" s="313" t="str">
        <f t="shared" ref="A387:A450" si="6">HYPERLINK(J387,K387)</f>
        <v>AerialRefuelReceiveChanCode_chan111X</v>
      </c>
      <c r="B387" s="330"/>
      <c r="C387" s="334"/>
      <c r="D387" s="188" t="s">
        <v>13516</v>
      </c>
      <c r="E387" s="189" t="s">
        <v>13517</v>
      </c>
      <c r="F387" s="162" t="s">
        <v>13518</v>
      </c>
      <c r="G387" s="162" t="s">
        <v>13413</v>
      </c>
      <c r="H387" s="219"/>
      <c r="I387" s="169">
        <v>117287</v>
      </c>
      <c r="J387" s="304" t="str">
        <f>CONCATENATE([2]Cover!$D$6,"fdd/view?i=",I387)</f>
        <v>https://www.dgiwg.org/FAD/fdd/view?i=117287</v>
      </c>
      <c r="K387" s="304" t="s">
        <v>34436</v>
      </c>
      <c r="L387" s="188">
        <v>312</v>
      </c>
      <c r="M387" s="179" t="s">
        <v>151</v>
      </c>
    </row>
    <row r="388" spans="1:13" ht="38.25">
      <c r="A388" s="313" t="str">
        <f t="shared" si="6"/>
        <v>AerialRefuelReceiveChanCode_chan111Y</v>
      </c>
      <c r="B388" s="330"/>
      <c r="C388" s="334"/>
      <c r="D388" s="188" t="s">
        <v>13519</v>
      </c>
      <c r="E388" s="189" t="s">
        <v>13520</v>
      </c>
      <c r="F388" s="162" t="s">
        <v>13521</v>
      </c>
      <c r="G388" s="162" t="s">
        <v>13413</v>
      </c>
      <c r="H388" s="219"/>
      <c r="I388" s="169">
        <v>117288</v>
      </c>
      <c r="J388" s="304" t="str">
        <f>CONCATENATE([2]Cover!$D$6,"fdd/view?i=",I388)</f>
        <v>https://www.dgiwg.org/FAD/fdd/view?i=117288</v>
      </c>
      <c r="K388" s="304" t="s">
        <v>34437</v>
      </c>
      <c r="L388" s="188">
        <v>313</v>
      </c>
      <c r="M388" s="179" t="s">
        <v>151</v>
      </c>
    </row>
    <row r="389" spans="1:13" ht="38.25">
      <c r="A389" s="313" t="str">
        <f t="shared" si="6"/>
        <v>AerialRefuelReceiveChanCode_chan111Z</v>
      </c>
      <c r="B389" s="330"/>
      <c r="C389" s="334"/>
      <c r="D389" s="188" t="s">
        <v>13522</v>
      </c>
      <c r="E389" s="189" t="s">
        <v>13523</v>
      </c>
      <c r="F389" s="162" t="s">
        <v>13524</v>
      </c>
      <c r="G389" s="162" t="s">
        <v>13413</v>
      </c>
      <c r="H389" s="219"/>
      <c r="I389" s="169">
        <v>117289</v>
      </c>
      <c r="J389" s="304" t="str">
        <f>CONCATENATE([2]Cover!$D$6,"fdd/view?i=",I389)</f>
        <v>https://www.dgiwg.org/FAD/fdd/view?i=117289</v>
      </c>
      <c r="K389" s="304" t="s">
        <v>34438</v>
      </c>
      <c r="L389" s="188">
        <v>314</v>
      </c>
      <c r="M389" s="179" t="s">
        <v>151</v>
      </c>
    </row>
    <row r="390" spans="1:13" ht="38.25">
      <c r="A390" s="313" t="str">
        <f t="shared" si="6"/>
        <v>AerialRefuelReceiveChanCode_chan112X</v>
      </c>
      <c r="B390" s="330"/>
      <c r="C390" s="334"/>
      <c r="D390" s="188" t="s">
        <v>13525</v>
      </c>
      <c r="E390" s="189" t="s">
        <v>13526</v>
      </c>
      <c r="F390" s="162" t="s">
        <v>13527</v>
      </c>
      <c r="G390" s="162" t="s">
        <v>13413</v>
      </c>
      <c r="H390" s="219"/>
      <c r="I390" s="169">
        <v>117290</v>
      </c>
      <c r="J390" s="304" t="str">
        <f>CONCATENATE([2]Cover!$D$6,"fdd/view?i=",I390)</f>
        <v>https://www.dgiwg.org/FAD/fdd/view?i=117290</v>
      </c>
      <c r="K390" s="304" t="s">
        <v>34439</v>
      </c>
      <c r="L390" s="188">
        <v>315</v>
      </c>
      <c r="M390" s="179" t="s">
        <v>151</v>
      </c>
    </row>
    <row r="391" spans="1:13" ht="38.25">
      <c r="A391" s="313" t="str">
        <f t="shared" si="6"/>
        <v>AerialRefuelReceiveChanCode_chan112Y</v>
      </c>
      <c r="B391" s="330"/>
      <c r="C391" s="334"/>
      <c r="D391" s="188" t="s">
        <v>13528</v>
      </c>
      <c r="E391" s="189" t="s">
        <v>13529</v>
      </c>
      <c r="F391" s="162" t="s">
        <v>13530</v>
      </c>
      <c r="G391" s="162" t="s">
        <v>13413</v>
      </c>
      <c r="H391" s="219"/>
      <c r="I391" s="169">
        <v>117291</v>
      </c>
      <c r="J391" s="304" t="str">
        <f>CONCATENATE([2]Cover!$D$6,"fdd/view?i=",I391)</f>
        <v>https://www.dgiwg.org/FAD/fdd/view?i=117291</v>
      </c>
      <c r="K391" s="304" t="s">
        <v>34440</v>
      </c>
      <c r="L391" s="188">
        <v>316</v>
      </c>
      <c r="M391" s="179" t="s">
        <v>151</v>
      </c>
    </row>
    <row r="392" spans="1:13" ht="38.25">
      <c r="A392" s="313" t="str">
        <f t="shared" si="6"/>
        <v>AerialRefuelReceiveChanCode_chan112Z</v>
      </c>
      <c r="B392" s="330"/>
      <c r="C392" s="334"/>
      <c r="D392" s="188" t="s">
        <v>13531</v>
      </c>
      <c r="E392" s="189" t="s">
        <v>13532</v>
      </c>
      <c r="F392" s="162" t="s">
        <v>13533</v>
      </c>
      <c r="G392" s="162" t="s">
        <v>13413</v>
      </c>
      <c r="H392" s="219"/>
      <c r="I392" s="169">
        <v>117292</v>
      </c>
      <c r="J392" s="304" t="str">
        <f>CONCATENATE([2]Cover!$D$6,"fdd/view?i=",I392)</f>
        <v>https://www.dgiwg.org/FAD/fdd/view?i=117292</v>
      </c>
      <c r="K392" s="304" t="s">
        <v>34441</v>
      </c>
      <c r="L392" s="188">
        <v>317</v>
      </c>
      <c r="M392" s="179" t="s">
        <v>151</v>
      </c>
    </row>
    <row r="393" spans="1:13" ht="38.25">
      <c r="A393" s="313" t="str">
        <f t="shared" si="6"/>
        <v>AerialRefuelReceiveChanCode_chan113X</v>
      </c>
      <c r="B393" s="330"/>
      <c r="C393" s="334"/>
      <c r="D393" s="188" t="s">
        <v>13534</v>
      </c>
      <c r="E393" s="189" t="s">
        <v>13535</v>
      </c>
      <c r="F393" s="162" t="s">
        <v>13536</v>
      </c>
      <c r="G393" s="162" t="s">
        <v>13413</v>
      </c>
      <c r="H393" s="219"/>
      <c r="I393" s="169">
        <v>117293</v>
      </c>
      <c r="J393" s="304" t="str">
        <f>CONCATENATE([2]Cover!$D$6,"fdd/view?i=",I393)</f>
        <v>https://www.dgiwg.org/FAD/fdd/view?i=117293</v>
      </c>
      <c r="K393" s="304" t="s">
        <v>34442</v>
      </c>
      <c r="L393" s="188">
        <v>318</v>
      </c>
      <c r="M393" s="179" t="s">
        <v>151</v>
      </c>
    </row>
    <row r="394" spans="1:13" ht="38.25">
      <c r="A394" s="313" t="str">
        <f t="shared" si="6"/>
        <v>AerialRefuelReceiveChanCode_chan113Y</v>
      </c>
      <c r="B394" s="330"/>
      <c r="C394" s="334"/>
      <c r="D394" s="188" t="s">
        <v>13537</v>
      </c>
      <c r="E394" s="189" t="s">
        <v>13538</v>
      </c>
      <c r="F394" s="162" t="s">
        <v>13539</v>
      </c>
      <c r="G394" s="162" t="s">
        <v>13413</v>
      </c>
      <c r="H394" s="219"/>
      <c r="I394" s="169">
        <v>117294</v>
      </c>
      <c r="J394" s="304" t="str">
        <f>CONCATENATE([2]Cover!$D$6,"fdd/view?i=",I394)</f>
        <v>https://www.dgiwg.org/FAD/fdd/view?i=117294</v>
      </c>
      <c r="K394" s="304" t="s">
        <v>34443</v>
      </c>
      <c r="L394" s="188">
        <v>319</v>
      </c>
      <c r="M394" s="179" t="s">
        <v>151</v>
      </c>
    </row>
    <row r="395" spans="1:13" ht="38.25">
      <c r="A395" s="313" t="str">
        <f t="shared" si="6"/>
        <v>AerialRefuelReceiveChanCode_chan113Z</v>
      </c>
      <c r="B395" s="330"/>
      <c r="C395" s="334"/>
      <c r="D395" s="188" t="s">
        <v>13540</v>
      </c>
      <c r="E395" s="189" t="s">
        <v>13541</v>
      </c>
      <c r="F395" s="162" t="s">
        <v>13542</v>
      </c>
      <c r="G395" s="162" t="s">
        <v>13413</v>
      </c>
      <c r="H395" s="219"/>
      <c r="I395" s="169">
        <v>117295</v>
      </c>
      <c r="J395" s="304" t="str">
        <f>CONCATENATE([2]Cover!$D$6,"fdd/view?i=",I395)</f>
        <v>https://www.dgiwg.org/FAD/fdd/view?i=117295</v>
      </c>
      <c r="K395" s="304" t="s">
        <v>34444</v>
      </c>
      <c r="L395" s="188">
        <v>320</v>
      </c>
      <c r="M395" s="179" t="s">
        <v>151</v>
      </c>
    </row>
    <row r="396" spans="1:13" ht="38.25">
      <c r="A396" s="313" t="str">
        <f t="shared" si="6"/>
        <v>AerialRefuelReceiveChanCode_chan114X</v>
      </c>
      <c r="B396" s="330"/>
      <c r="C396" s="334"/>
      <c r="D396" s="188" t="s">
        <v>13543</v>
      </c>
      <c r="E396" s="189" t="s">
        <v>13544</v>
      </c>
      <c r="F396" s="162" t="s">
        <v>13545</v>
      </c>
      <c r="G396" s="162" t="s">
        <v>13413</v>
      </c>
      <c r="H396" s="219"/>
      <c r="I396" s="169">
        <v>117296</v>
      </c>
      <c r="J396" s="304" t="str">
        <f>CONCATENATE([2]Cover!$D$6,"fdd/view?i=",I396)</f>
        <v>https://www.dgiwg.org/FAD/fdd/view?i=117296</v>
      </c>
      <c r="K396" s="304" t="s">
        <v>34445</v>
      </c>
      <c r="L396" s="188">
        <v>321</v>
      </c>
      <c r="M396" s="179" t="s">
        <v>151</v>
      </c>
    </row>
    <row r="397" spans="1:13" ht="38.25">
      <c r="A397" s="313" t="str">
        <f t="shared" si="6"/>
        <v>AerialRefuelReceiveChanCode_chan114Y</v>
      </c>
      <c r="B397" s="330"/>
      <c r="C397" s="334"/>
      <c r="D397" s="188" t="s">
        <v>13546</v>
      </c>
      <c r="E397" s="189" t="s">
        <v>13547</v>
      </c>
      <c r="F397" s="162" t="s">
        <v>13548</v>
      </c>
      <c r="G397" s="162" t="s">
        <v>13413</v>
      </c>
      <c r="H397" s="219"/>
      <c r="I397" s="169">
        <v>117297</v>
      </c>
      <c r="J397" s="304" t="str">
        <f>CONCATENATE([2]Cover!$D$6,"fdd/view?i=",I397)</f>
        <v>https://www.dgiwg.org/FAD/fdd/view?i=117297</v>
      </c>
      <c r="K397" s="304" t="s">
        <v>34446</v>
      </c>
      <c r="L397" s="188">
        <v>322</v>
      </c>
      <c r="M397" s="179" t="s">
        <v>151</v>
      </c>
    </row>
    <row r="398" spans="1:13" ht="38.25">
      <c r="A398" s="313" t="str">
        <f t="shared" si="6"/>
        <v>AerialRefuelReceiveChanCode_chan114Z</v>
      </c>
      <c r="B398" s="330"/>
      <c r="C398" s="334"/>
      <c r="D398" s="188" t="s">
        <v>13549</v>
      </c>
      <c r="E398" s="189" t="s">
        <v>13550</v>
      </c>
      <c r="F398" s="162" t="s">
        <v>13551</v>
      </c>
      <c r="G398" s="162" t="s">
        <v>13413</v>
      </c>
      <c r="H398" s="219"/>
      <c r="I398" s="169">
        <v>117298</v>
      </c>
      <c r="J398" s="304" t="str">
        <f>CONCATENATE([2]Cover!$D$6,"fdd/view?i=",I398)</f>
        <v>https://www.dgiwg.org/FAD/fdd/view?i=117298</v>
      </c>
      <c r="K398" s="304" t="s">
        <v>34447</v>
      </c>
      <c r="L398" s="188">
        <v>323</v>
      </c>
      <c r="M398" s="179" t="s">
        <v>151</v>
      </c>
    </row>
    <row r="399" spans="1:13" ht="38.25">
      <c r="A399" s="313" t="str">
        <f t="shared" si="6"/>
        <v>AerialRefuelReceiveChanCode_chan115X</v>
      </c>
      <c r="B399" s="330"/>
      <c r="C399" s="334"/>
      <c r="D399" s="188" t="s">
        <v>13552</v>
      </c>
      <c r="E399" s="189" t="s">
        <v>13553</v>
      </c>
      <c r="F399" s="162" t="s">
        <v>13554</v>
      </c>
      <c r="G399" s="162" t="s">
        <v>13413</v>
      </c>
      <c r="H399" s="219"/>
      <c r="I399" s="169">
        <v>117299</v>
      </c>
      <c r="J399" s="304" t="str">
        <f>CONCATENATE([2]Cover!$D$6,"fdd/view?i=",I399)</f>
        <v>https://www.dgiwg.org/FAD/fdd/view?i=117299</v>
      </c>
      <c r="K399" s="304" t="s">
        <v>34448</v>
      </c>
      <c r="L399" s="188">
        <v>324</v>
      </c>
      <c r="M399" s="179" t="s">
        <v>151</v>
      </c>
    </row>
    <row r="400" spans="1:13" ht="38.25">
      <c r="A400" s="313" t="str">
        <f t="shared" si="6"/>
        <v>AerialRefuelReceiveChanCode_chan115Y</v>
      </c>
      <c r="B400" s="330"/>
      <c r="C400" s="334"/>
      <c r="D400" s="188" t="s">
        <v>13555</v>
      </c>
      <c r="E400" s="189" t="s">
        <v>13556</v>
      </c>
      <c r="F400" s="162" t="s">
        <v>13557</v>
      </c>
      <c r="G400" s="162" t="s">
        <v>13413</v>
      </c>
      <c r="H400" s="219"/>
      <c r="I400" s="169">
        <v>117300</v>
      </c>
      <c r="J400" s="304" t="str">
        <f>CONCATENATE([2]Cover!$D$6,"fdd/view?i=",I400)</f>
        <v>https://www.dgiwg.org/FAD/fdd/view?i=117300</v>
      </c>
      <c r="K400" s="304" t="s">
        <v>34449</v>
      </c>
      <c r="L400" s="188">
        <v>325</v>
      </c>
      <c r="M400" s="179" t="s">
        <v>151</v>
      </c>
    </row>
    <row r="401" spans="1:13" ht="38.25">
      <c r="A401" s="313" t="str">
        <f t="shared" si="6"/>
        <v>AerialRefuelReceiveChanCode_chan115Z</v>
      </c>
      <c r="B401" s="330"/>
      <c r="C401" s="334"/>
      <c r="D401" s="188" t="s">
        <v>13558</v>
      </c>
      <c r="E401" s="189" t="s">
        <v>13559</v>
      </c>
      <c r="F401" s="162" t="s">
        <v>13560</v>
      </c>
      <c r="G401" s="162" t="s">
        <v>13413</v>
      </c>
      <c r="H401" s="219"/>
      <c r="I401" s="169">
        <v>117301</v>
      </c>
      <c r="J401" s="304" t="str">
        <f>CONCATENATE([2]Cover!$D$6,"fdd/view?i=",I401)</f>
        <v>https://www.dgiwg.org/FAD/fdd/view?i=117301</v>
      </c>
      <c r="K401" s="304" t="s">
        <v>34450</v>
      </c>
      <c r="L401" s="188">
        <v>326</v>
      </c>
      <c r="M401" s="179" t="s">
        <v>151</v>
      </c>
    </row>
    <row r="402" spans="1:13" ht="38.25">
      <c r="A402" s="313" t="str">
        <f t="shared" si="6"/>
        <v>AerialRefuelReceiveChanCode_chan116X</v>
      </c>
      <c r="B402" s="330"/>
      <c r="C402" s="334"/>
      <c r="D402" s="188" t="s">
        <v>13561</v>
      </c>
      <c r="E402" s="189" t="s">
        <v>13562</v>
      </c>
      <c r="F402" s="162" t="s">
        <v>13563</v>
      </c>
      <c r="G402" s="162" t="s">
        <v>13413</v>
      </c>
      <c r="H402" s="219"/>
      <c r="I402" s="169">
        <v>117302</v>
      </c>
      <c r="J402" s="304" t="str">
        <f>CONCATENATE([2]Cover!$D$6,"fdd/view?i=",I402)</f>
        <v>https://www.dgiwg.org/FAD/fdd/view?i=117302</v>
      </c>
      <c r="K402" s="304" t="s">
        <v>34451</v>
      </c>
      <c r="L402" s="188">
        <v>327</v>
      </c>
      <c r="M402" s="179" t="s">
        <v>151</v>
      </c>
    </row>
    <row r="403" spans="1:13" ht="38.25">
      <c r="A403" s="313" t="str">
        <f t="shared" si="6"/>
        <v>AerialRefuelReceiveChanCode_chan116Y</v>
      </c>
      <c r="B403" s="330"/>
      <c r="C403" s="334"/>
      <c r="D403" s="188" t="s">
        <v>13564</v>
      </c>
      <c r="E403" s="189" t="s">
        <v>13565</v>
      </c>
      <c r="F403" s="162" t="s">
        <v>13566</v>
      </c>
      <c r="G403" s="162" t="s">
        <v>13413</v>
      </c>
      <c r="H403" s="219"/>
      <c r="I403" s="169">
        <v>117303</v>
      </c>
      <c r="J403" s="304" t="str">
        <f>CONCATENATE([2]Cover!$D$6,"fdd/view?i=",I403)</f>
        <v>https://www.dgiwg.org/FAD/fdd/view?i=117303</v>
      </c>
      <c r="K403" s="304" t="s">
        <v>34452</v>
      </c>
      <c r="L403" s="188">
        <v>328</v>
      </c>
      <c r="M403" s="179" t="s">
        <v>151</v>
      </c>
    </row>
    <row r="404" spans="1:13" ht="38.25">
      <c r="A404" s="313" t="str">
        <f t="shared" si="6"/>
        <v>AerialRefuelReceiveChanCode_chan116Z</v>
      </c>
      <c r="B404" s="330"/>
      <c r="C404" s="334"/>
      <c r="D404" s="188" t="s">
        <v>13567</v>
      </c>
      <c r="E404" s="189" t="s">
        <v>13568</v>
      </c>
      <c r="F404" s="162" t="s">
        <v>13569</v>
      </c>
      <c r="G404" s="162" t="s">
        <v>13413</v>
      </c>
      <c r="H404" s="219"/>
      <c r="I404" s="169">
        <v>117304</v>
      </c>
      <c r="J404" s="304" t="str">
        <f>CONCATENATE([2]Cover!$D$6,"fdd/view?i=",I404)</f>
        <v>https://www.dgiwg.org/FAD/fdd/view?i=117304</v>
      </c>
      <c r="K404" s="304" t="s">
        <v>34453</v>
      </c>
      <c r="L404" s="188">
        <v>329</v>
      </c>
      <c r="M404" s="179" t="s">
        <v>151</v>
      </c>
    </row>
    <row r="405" spans="1:13" ht="38.25">
      <c r="A405" s="313" t="str">
        <f t="shared" si="6"/>
        <v>AerialRefuelReceiveChanCode_chan117X</v>
      </c>
      <c r="B405" s="330"/>
      <c r="C405" s="334"/>
      <c r="D405" s="188" t="s">
        <v>13570</v>
      </c>
      <c r="E405" s="189" t="s">
        <v>13571</v>
      </c>
      <c r="F405" s="162" t="s">
        <v>13572</v>
      </c>
      <c r="G405" s="162" t="s">
        <v>13413</v>
      </c>
      <c r="H405" s="219"/>
      <c r="I405" s="169">
        <v>117305</v>
      </c>
      <c r="J405" s="304" t="str">
        <f>CONCATENATE([2]Cover!$D$6,"fdd/view?i=",I405)</f>
        <v>https://www.dgiwg.org/FAD/fdd/view?i=117305</v>
      </c>
      <c r="K405" s="304" t="s">
        <v>34454</v>
      </c>
      <c r="L405" s="188">
        <v>330</v>
      </c>
      <c r="M405" s="179" t="s">
        <v>151</v>
      </c>
    </row>
    <row r="406" spans="1:13" ht="38.25">
      <c r="A406" s="313" t="str">
        <f t="shared" si="6"/>
        <v>AerialRefuelReceiveChanCode_chan117Y</v>
      </c>
      <c r="B406" s="330"/>
      <c r="C406" s="334"/>
      <c r="D406" s="188" t="s">
        <v>13573</v>
      </c>
      <c r="E406" s="189" t="s">
        <v>13574</v>
      </c>
      <c r="F406" s="162" t="s">
        <v>13575</v>
      </c>
      <c r="G406" s="162" t="s">
        <v>13413</v>
      </c>
      <c r="H406" s="219"/>
      <c r="I406" s="169">
        <v>117306</v>
      </c>
      <c r="J406" s="304" t="str">
        <f>CONCATENATE([2]Cover!$D$6,"fdd/view?i=",I406)</f>
        <v>https://www.dgiwg.org/FAD/fdd/view?i=117306</v>
      </c>
      <c r="K406" s="304" t="s">
        <v>34455</v>
      </c>
      <c r="L406" s="188">
        <v>331</v>
      </c>
      <c r="M406" s="179" t="s">
        <v>151</v>
      </c>
    </row>
    <row r="407" spans="1:13" ht="38.25">
      <c r="A407" s="313" t="str">
        <f t="shared" si="6"/>
        <v>AerialRefuelReceiveChanCode_chan117Z</v>
      </c>
      <c r="B407" s="330"/>
      <c r="C407" s="334"/>
      <c r="D407" s="188" t="s">
        <v>13576</v>
      </c>
      <c r="E407" s="189" t="s">
        <v>13577</v>
      </c>
      <c r="F407" s="162" t="s">
        <v>13578</v>
      </c>
      <c r="G407" s="162" t="s">
        <v>13413</v>
      </c>
      <c r="H407" s="219"/>
      <c r="I407" s="169">
        <v>117307</v>
      </c>
      <c r="J407" s="304" t="str">
        <f>CONCATENATE([2]Cover!$D$6,"fdd/view?i=",I407)</f>
        <v>https://www.dgiwg.org/FAD/fdd/view?i=117307</v>
      </c>
      <c r="K407" s="304" t="s">
        <v>34456</v>
      </c>
      <c r="L407" s="188">
        <v>332</v>
      </c>
      <c r="M407" s="179" t="s">
        <v>151</v>
      </c>
    </row>
    <row r="408" spans="1:13" ht="38.25">
      <c r="A408" s="313" t="str">
        <f t="shared" si="6"/>
        <v>AerialRefuelReceiveChanCode_chan118X</v>
      </c>
      <c r="B408" s="330"/>
      <c r="C408" s="334"/>
      <c r="D408" s="188" t="s">
        <v>13579</v>
      </c>
      <c r="E408" s="189" t="s">
        <v>13580</v>
      </c>
      <c r="F408" s="162" t="s">
        <v>13581</v>
      </c>
      <c r="G408" s="162" t="s">
        <v>13413</v>
      </c>
      <c r="H408" s="219"/>
      <c r="I408" s="169">
        <v>117308</v>
      </c>
      <c r="J408" s="304" t="str">
        <f>CONCATENATE([2]Cover!$D$6,"fdd/view?i=",I408)</f>
        <v>https://www.dgiwg.org/FAD/fdd/view?i=117308</v>
      </c>
      <c r="K408" s="304" t="s">
        <v>34457</v>
      </c>
      <c r="L408" s="188">
        <v>333</v>
      </c>
      <c r="M408" s="179" t="s">
        <v>151</v>
      </c>
    </row>
    <row r="409" spans="1:13" ht="38.25">
      <c r="A409" s="313" t="str">
        <f t="shared" si="6"/>
        <v>AerialRefuelReceiveChanCode_chan118Y</v>
      </c>
      <c r="B409" s="330"/>
      <c r="C409" s="334"/>
      <c r="D409" s="188" t="s">
        <v>13582</v>
      </c>
      <c r="E409" s="189" t="s">
        <v>13583</v>
      </c>
      <c r="F409" s="162" t="s">
        <v>13584</v>
      </c>
      <c r="G409" s="162" t="s">
        <v>13413</v>
      </c>
      <c r="H409" s="219"/>
      <c r="I409" s="169">
        <v>117309</v>
      </c>
      <c r="J409" s="304" t="str">
        <f>CONCATENATE([2]Cover!$D$6,"fdd/view?i=",I409)</f>
        <v>https://www.dgiwg.org/FAD/fdd/view?i=117309</v>
      </c>
      <c r="K409" s="304" t="s">
        <v>34458</v>
      </c>
      <c r="L409" s="188">
        <v>334</v>
      </c>
      <c r="M409" s="179" t="s">
        <v>151</v>
      </c>
    </row>
    <row r="410" spans="1:13" ht="38.25">
      <c r="A410" s="313" t="str">
        <f t="shared" si="6"/>
        <v>AerialRefuelReceiveChanCode_chan118Z</v>
      </c>
      <c r="B410" s="330"/>
      <c r="C410" s="334"/>
      <c r="D410" s="188" t="s">
        <v>13585</v>
      </c>
      <c r="E410" s="189" t="s">
        <v>13586</v>
      </c>
      <c r="F410" s="162" t="s">
        <v>13587</v>
      </c>
      <c r="G410" s="162" t="s">
        <v>13413</v>
      </c>
      <c r="H410" s="219"/>
      <c r="I410" s="169">
        <v>117310</v>
      </c>
      <c r="J410" s="304" t="str">
        <f>CONCATENATE([2]Cover!$D$6,"fdd/view?i=",I410)</f>
        <v>https://www.dgiwg.org/FAD/fdd/view?i=117310</v>
      </c>
      <c r="K410" s="304" t="s">
        <v>34459</v>
      </c>
      <c r="L410" s="188">
        <v>335</v>
      </c>
      <c r="M410" s="179" t="s">
        <v>151</v>
      </c>
    </row>
    <row r="411" spans="1:13" ht="38.25">
      <c r="A411" s="313" t="str">
        <f t="shared" si="6"/>
        <v>AerialRefuelReceiveChanCode_chan119X</v>
      </c>
      <c r="B411" s="330"/>
      <c r="C411" s="334"/>
      <c r="D411" s="188" t="s">
        <v>13588</v>
      </c>
      <c r="E411" s="189" t="s">
        <v>13589</v>
      </c>
      <c r="F411" s="162" t="s">
        <v>13590</v>
      </c>
      <c r="G411" s="162" t="s">
        <v>13413</v>
      </c>
      <c r="H411" s="219"/>
      <c r="I411" s="169">
        <v>117311</v>
      </c>
      <c r="J411" s="304" t="str">
        <f>CONCATENATE([2]Cover!$D$6,"fdd/view?i=",I411)</f>
        <v>https://www.dgiwg.org/FAD/fdd/view?i=117311</v>
      </c>
      <c r="K411" s="304" t="s">
        <v>34460</v>
      </c>
      <c r="L411" s="188">
        <v>336</v>
      </c>
      <c r="M411" s="179" t="s">
        <v>151</v>
      </c>
    </row>
    <row r="412" spans="1:13" ht="38.25">
      <c r="A412" s="313" t="str">
        <f t="shared" si="6"/>
        <v>AerialRefuelReceiveChanCode_chan119Y</v>
      </c>
      <c r="B412" s="330"/>
      <c r="C412" s="334"/>
      <c r="D412" s="188" t="s">
        <v>13591</v>
      </c>
      <c r="E412" s="189" t="s">
        <v>13592</v>
      </c>
      <c r="F412" s="162" t="s">
        <v>13593</v>
      </c>
      <c r="G412" s="162" t="s">
        <v>13413</v>
      </c>
      <c r="H412" s="219"/>
      <c r="I412" s="169">
        <v>117312</v>
      </c>
      <c r="J412" s="304" t="str">
        <f>CONCATENATE([2]Cover!$D$6,"fdd/view?i=",I412)</f>
        <v>https://www.dgiwg.org/FAD/fdd/view?i=117312</v>
      </c>
      <c r="K412" s="304" t="s">
        <v>34461</v>
      </c>
      <c r="L412" s="188">
        <v>337</v>
      </c>
      <c r="M412" s="179" t="s">
        <v>151</v>
      </c>
    </row>
    <row r="413" spans="1:13" ht="38.25">
      <c r="A413" s="313" t="str">
        <f t="shared" si="6"/>
        <v>AerialRefuelReceiveChanCode_chan119Z</v>
      </c>
      <c r="B413" s="330"/>
      <c r="C413" s="334"/>
      <c r="D413" s="188" t="s">
        <v>13594</v>
      </c>
      <c r="E413" s="189" t="s">
        <v>13595</v>
      </c>
      <c r="F413" s="162" t="s">
        <v>13596</v>
      </c>
      <c r="G413" s="162" t="s">
        <v>13413</v>
      </c>
      <c r="H413" s="219"/>
      <c r="I413" s="169">
        <v>117313</v>
      </c>
      <c r="J413" s="304" t="str">
        <f>CONCATENATE([2]Cover!$D$6,"fdd/view?i=",I413)</f>
        <v>https://www.dgiwg.org/FAD/fdd/view?i=117313</v>
      </c>
      <c r="K413" s="304" t="s">
        <v>34462</v>
      </c>
      <c r="L413" s="188">
        <v>338</v>
      </c>
      <c r="M413" s="179" t="s">
        <v>151</v>
      </c>
    </row>
    <row r="414" spans="1:13" ht="38.25">
      <c r="A414" s="313" t="str">
        <f t="shared" si="6"/>
        <v>AerialRefuelReceiveChanCode_chan120X</v>
      </c>
      <c r="B414" s="330"/>
      <c r="C414" s="334"/>
      <c r="D414" s="188" t="s">
        <v>13603</v>
      </c>
      <c r="E414" s="189" t="s">
        <v>13604</v>
      </c>
      <c r="F414" s="162" t="s">
        <v>13605</v>
      </c>
      <c r="G414" s="162" t="s">
        <v>13413</v>
      </c>
      <c r="H414" s="219"/>
      <c r="I414" s="169">
        <v>117314</v>
      </c>
      <c r="J414" s="304" t="str">
        <f>CONCATENATE([2]Cover!$D$6,"fdd/view?i=",I414)</f>
        <v>https://www.dgiwg.org/FAD/fdd/view?i=117314</v>
      </c>
      <c r="K414" s="304" t="s">
        <v>34463</v>
      </c>
      <c r="L414" s="188">
        <v>339</v>
      </c>
      <c r="M414" s="179" t="s">
        <v>151</v>
      </c>
    </row>
    <row r="415" spans="1:13" ht="38.25">
      <c r="A415" s="313" t="str">
        <f t="shared" si="6"/>
        <v>AerialRefuelReceiveChanCode_chan120Y</v>
      </c>
      <c r="B415" s="330"/>
      <c r="C415" s="334"/>
      <c r="D415" s="188" t="s">
        <v>13606</v>
      </c>
      <c r="E415" s="189" t="s">
        <v>13607</v>
      </c>
      <c r="F415" s="162" t="s">
        <v>13608</v>
      </c>
      <c r="G415" s="162" t="s">
        <v>13413</v>
      </c>
      <c r="H415" s="219"/>
      <c r="I415" s="169">
        <v>117315</v>
      </c>
      <c r="J415" s="304" t="str">
        <f>CONCATENATE([2]Cover!$D$6,"fdd/view?i=",I415)</f>
        <v>https://www.dgiwg.org/FAD/fdd/view?i=117315</v>
      </c>
      <c r="K415" s="304" t="s">
        <v>34464</v>
      </c>
      <c r="L415" s="188">
        <v>340</v>
      </c>
      <c r="M415" s="179" t="s">
        <v>151</v>
      </c>
    </row>
    <row r="416" spans="1:13" ht="38.25">
      <c r="A416" s="313" t="str">
        <f t="shared" si="6"/>
        <v>AerialRefuelReceiveChanCode_chan121X</v>
      </c>
      <c r="B416" s="330"/>
      <c r="C416" s="334"/>
      <c r="D416" s="188" t="s">
        <v>13609</v>
      </c>
      <c r="E416" s="189" t="s">
        <v>13610</v>
      </c>
      <c r="F416" s="162" t="s">
        <v>13611</v>
      </c>
      <c r="G416" s="162" t="s">
        <v>13413</v>
      </c>
      <c r="H416" s="219"/>
      <c r="I416" s="169">
        <v>117316</v>
      </c>
      <c r="J416" s="304" t="str">
        <f>CONCATENATE([2]Cover!$D$6,"fdd/view?i=",I416)</f>
        <v>https://www.dgiwg.org/FAD/fdd/view?i=117316</v>
      </c>
      <c r="K416" s="304" t="s">
        <v>34465</v>
      </c>
      <c r="L416" s="188">
        <v>341</v>
      </c>
      <c r="M416" s="179" t="s">
        <v>151</v>
      </c>
    </row>
    <row r="417" spans="1:13" ht="38.25">
      <c r="A417" s="313" t="str">
        <f t="shared" si="6"/>
        <v>AerialRefuelReceiveChanCode_chan121Y</v>
      </c>
      <c r="B417" s="330"/>
      <c r="C417" s="334"/>
      <c r="D417" s="188" t="s">
        <v>13612</v>
      </c>
      <c r="E417" s="189" t="s">
        <v>13613</v>
      </c>
      <c r="F417" s="162" t="s">
        <v>13614</v>
      </c>
      <c r="G417" s="162" t="s">
        <v>13413</v>
      </c>
      <c r="H417" s="219"/>
      <c r="I417" s="169">
        <v>117317</v>
      </c>
      <c r="J417" s="304" t="str">
        <f>CONCATENATE([2]Cover!$D$6,"fdd/view?i=",I417)</f>
        <v>https://www.dgiwg.org/FAD/fdd/view?i=117317</v>
      </c>
      <c r="K417" s="304" t="s">
        <v>34466</v>
      </c>
      <c r="L417" s="188">
        <v>342</v>
      </c>
      <c r="M417" s="179" t="s">
        <v>151</v>
      </c>
    </row>
    <row r="418" spans="1:13" ht="38.25">
      <c r="A418" s="313" t="str">
        <f t="shared" si="6"/>
        <v>AerialRefuelReceiveChanCode_chan122X</v>
      </c>
      <c r="B418" s="330"/>
      <c r="C418" s="334"/>
      <c r="D418" s="188" t="s">
        <v>13615</v>
      </c>
      <c r="E418" s="189" t="s">
        <v>13616</v>
      </c>
      <c r="F418" s="162" t="s">
        <v>13617</v>
      </c>
      <c r="G418" s="162" t="s">
        <v>13413</v>
      </c>
      <c r="H418" s="219"/>
      <c r="I418" s="169">
        <v>117318</v>
      </c>
      <c r="J418" s="304" t="str">
        <f>CONCATENATE([2]Cover!$D$6,"fdd/view?i=",I418)</f>
        <v>https://www.dgiwg.org/FAD/fdd/view?i=117318</v>
      </c>
      <c r="K418" s="304" t="s">
        <v>34467</v>
      </c>
      <c r="L418" s="188">
        <v>343</v>
      </c>
      <c r="M418" s="179" t="s">
        <v>151</v>
      </c>
    </row>
    <row r="419" spans="1:13" ht="38.25">
      <c r="A419" s="313" t="str">
        <f t="shared" si="6"/>
        <v>AerialRefuelReceiveChanCode_chan122Y</v>
      </c>
      <c r="B419" s="330"/>
      <c r="C419" s="334"/>
      <c r="D419" s="188" t="s">
        <v>13618</v>
      </c>
      <c r="E419" s="189" t="s">
        <v>13619</v>
      </c>
      <c r="F419" s="162" t="s">
        <v>13620</v>
      </c>
      <c r="G419" s="162" t="s">
        <v>13413</v>
      </c>
      <c r="H419" s="219"/>
      <c r="I419" s="169">
        <v>117319</v>
      </c>
      <c r="J419" s="304" t="str">
        <f>CONCATENATE([2]Cover!$D$6,"fdd/view?i=",I419)</f>
        <v>https://www.dgiwg.org/FAD/fdd/view?i=117319</v>
      </c>
      <c r="K419" s="304" t="s">
        <v>34468</v>
      </c>
      <c r="L419" s="188">
        <v>344</v>
      </c>
      <c r="M419" s="179" t="s">
        <v>151</v>
      </c>
    </row>
    <row r="420" spans="1:13" ht="38.25">
      <c r="A420" s="313" t="str">
        <f t="shared" si="6"/>
        <v>AerialRefuelReceiveChanCode_chan123X</v>
      </c>
      <c r="B420" s="330"/>
      <c r="C420" s="334"/>
      <c r="D420" s="188" t="s">
        <v>13621</v>
      </c>
      <c r="E420" s="189" t="s">
        <v>13622</v>
      </c>
      <c r="F420" s="162" t="s">
        <v>13623</v>
      </c>
      <c r="G420" s="162" t="s">
        <v>13413</v>
      </c>
      <c r="H420" s="219"/>
      <c r="I420" s="169">
        <v>117320</v>
      </c>
      <c r="J420" s="304" t="str">
        <f>CONCATENATE([2]Cover!$D$6,"fdd/view?i=",I420)</f>
        <v>https://www.dgiwg.org/FAD/fdd/view?i=117320</v>
      </c>
      <c r="K420" s="304" t="s">
        <v>34469</v>
      </c>
      <c r="L420" s="188">
        <v>345</v>
      </c>
      <c r="M420" s="179" t="s">
        <v>151</v>
      </c>
    </row>
    <row r="421" spans="1:13" ht="38.25">
      <c r="A421" s="313" t="str">
        <f t="shared" si="6"/>
        <v>AerialRefuelReceiveChanCode_chan123Y</v>
      </c>
      <c r="B421" s="330"/>
      <c r="C421" s="334"/>
      <c r="D421" s="188" t="s">
        <v>13624</v>
      </c>
      <c r="E421" s="189" t="s">
        <v>13625</v>
      </c>
      <c r="F421" s="162" t="s">
        <v>13626</v>
      </c>
      <c r="G421" s="162" t="s">
        <v>13413</v>
      </c>
      <c r="H421" s="219"/>
      <c r="I421" s="169">
        <v>117321</v>
      </c>
      <c r="J421" s="304" t="str">
        <f>CONCATENATE([2]Cover!$D$6,"fdd/view?i=",I421)</f>
        <v>https://www.dgiwg.org/FAD/fdd/view?i=117321</v>
      </c>
      <c r="K421" s="304" t="s">
        <v>34470</v>
      </c>
      <c r="L421" s="188">
        <v>346</v>
      </c>
      <c r="M421" s="179" t="s">
        <v>151</v>
      </c>
    </row>
    <row r="422" spans="1:13" ht="38.25">
      <c r="A422" s="313" t="str">
        <f t="shared" si="6"/>
        <v>AerialRefuelReceiveChanCode_chan124X</v>
      </c>
      <c r="B422" s="330"/>
      <c r="C422" s="334"/>
      <c r="D422" s="188" t="s">
        <v>13627</v>
      </c>
      <c r="E422" s="189" t="s">
        <v>13628</v>
      </c>
      <c r="F422" s="162" t="s">
        <v>13629</v>
      </c>
      <c r="G422" s="162" t="s">
        <v>13413</v>
      </c>
      <c r="H422" s="219"/>
      <c r="I422" s="169">
        <v>117322</v>
      </c>
      <c r="J422" s="304" t="str">
        <f>CONCATENATE([2]Cover!$D$6,"fdd/view?i=",I422)</f>
        <v>https://www.dgiwg.org/FAD/fdd/view?i=117322</v>
      </c>
      <c r="K422" s="304" t="s">
        <v>34471</v>
      </c>
      <c r="L422" s="188">
        <v>347</v>
      </c>
      <c r="M422" s="179" t="s">
        <v>151</v>
      </c>
    </row>
    <row r="423" spans="1:13" ht="38.25">
      <c r="A423" s="313" t="str">
        <f t="shared" si="6"/>
        <v>AerialRefuelReceiveChanCode_chan124Y</v>
      </c>
      <c r="B423" s="330"/>
      <c r="C423" s="334"/>
      <c r="D423" s="188" t="s">
        <v>13630</v>
      </c>
      <c r="E423" s="189" t="s">
        <v>13631</v>
      </c>
      <c r="F423" s="162" t="s">
        <v>13632</v>
      </c>
      <c r="G423" s="162" t="s">
        <v>13413</v>
      </c>
      <c r="H423" s="219"/>
      <c r="I423" s="169">
        <v>117323</v>
      </c>
      <c r="J423" s="304" t="str">
        <f>CONCATENATE([2]Cover!$D$6,"fdd/view?i=",I423)</f>
        <v>https://www.dgiwg.org/FAD/fdd/view?i=117323</v>
      </c>
      <c r="K423" s="304" t="s">
        <v>34472</v>
      </c>
      <c r="L423" s="188">
        <v>348</v>
      </c>
      <c r="M423" s="179" t="s">
        <v>151</v>
      </c>
    </row>
    <row r="424" spans="1:13" ht="38.25">
      <c r="A424" s="313" t="str">
        <f t="shared" si="6"/>
        <v>AerialRefuelReceiveChanCode_chan125X</v>
      </c>
      <c r="B424" s="330"/>
      <c r="C424" s="334"/>
      <c r="D424" s="188" t="s">
        <v>13633</v>
      </c>
      <c r="E424" s="189" t="s">
        <v>13634</v>
      </c>
      <c r="F424" s="162" t="s">
        <v>13635</v>
      </c>
      <c r="G424" s="162" t="s">
        <v>13413</v>
      </c>
      <c r="H424" s="219"/>
      <c r="I424" s="169">
        <v>117324</v>
      </c>
      <c r="J424" s="304" t="str">
        <f>CONCATENATE([2]Cover!$D$6,"fdd/view?i=",I424)</f>
        <v>https://www.dgiwg.org/FAD/fdd/view?i=117324</v>
      </c>
      <c r="K424" s="304" t="s">
        <v>34473</v>
      </c>
      <c r="L424" s="188">
        <v>349</v>
      </c>
      <c r="M424" s="179" t="s">
        <v>151</v>
      </c>
    </row>
    <row r="425" spans="1:13" ht="38.25">
      <c r="A425" s="313" t="str">
        <f t="shared" si="6"/>
        <v>AerialRefuelReceiveChanCode_chan125Y</v>
      </c>
      <c r="B425" s="330"/>
      <c r="C425" s="334"/>
      <c r="D425" s="188" t="s">
        <v>13636</v>
      </c>
      <c r="E425" s="189" t="s">
        <v>13637</v>
      </c>
      <c r="F425" s="162" t="s">
        <v>13638</v>
      </c>
      <c r="G425" s="162" t="s">
        <v>13413</v>
      </c>
      <c r="H425" s="219"/>
      <c r="I425" s="169">
        <v>117325</v>
      </c>
      <c r="J425" s="304" t="str">
        <f>CONCATENATE([2]Cover!$D$6,"fdd/view?i=",I425)</f>
        <v>https://www.dgiwg.org/FAD/fdd/view?i=117325</v>
      </c>
      <c r="K425" s="304" t="s">
        <v>34474</v>
      </c>
      <c r="L425" s="188">
        <v>350</v>
      </c>
      <c r="M425" s="179" t="s">
        <v>151</v>
      </c>
    </row>
    <row r="426" spans="1:13" ht="38.25">
      <c r="A426" s="313" t="str">
        <f t="shared" si="6"/>
        <v>AerialRefuelReceiveChanCode_chan126X</v>
      </c>
      <c r="B426" s="330"/>
      <c r="C426" s="334"/>
      <c r="D426" s="188" t="s">
        <v>13639</v>
      </c>
      <c r="E426" s="189" t="s">
        <v>13640</v>
      </c>
      <c r="F426" s="162" t="s">
        <v>13641</v>
      </c>
      <c r="G426" s="162" t="s">
        <v>13413</v>
      </c>
      <c r="H426" s="219"/>
      <c r="I426" s="169">
        <v>117326</v>
      </c>
      <c r="J426" s="304" t="str">
        <f>CONCATENATE([2]Cover!$D$6,"fdd/view?i=",I426)</f>
        <v>https://www.dgiwg.org/FAD/fdd/view?i=117326</v>
      </c>
      <c r="K426" s="304" t="s">
        <v>34475</v>
      </c>
      <c r="L426" s="188">
        <v>351</v>
      </c>
      <c r="M426" s="179" t="s">
        <v>151</v>
      </c>
    </row>
    <row r="427" spans="1:13" ht="38.25">
      <c r="A427" s="313" t="str">
        <f t="shared" si="6"/>
        <v>AerialRefuelReceiveChanCode_chan126Y</v>
      </c>
      <c r="B427" s="331"/>
      <c r="C427" s="335"/>
      <c r="D427" s="181" t="s">
        <v>13642</v>
      </c>
      <c r="E427" s="192" t="s">
        <v>13643</v>
      </c>
      <c r="F427" s="193" t="s">
        <v>13644</v>
      </c>
      <c r="G427" s="193" t="s">
        <v>13413</v>
      </c>
      <c r="H427" s="220"/>
      <c r="I427" s="169">
        <v>117327</v>
      </c>
      <c r="J427" s="304" t="str">
        <f>CONCATENATE([2]Cover!$D$6,"fdd/view?i=",I427)</f>
        <v>https://www.dgiwg.org/FAD/fdd/view?i=117327</v>
      </c>
      <c r="K427" s="304" t="s">
        <v>34476</v>
      </c>
      <c r="L427" s="181">
        <v>352</v>
      </c>
      <c r="M427" s="179" t="s">
        <v>151</v>
      </c>
    </row>
    <row r="428" spans="1:13" ht="38.25">
      <c r="A428" s="313" t="str">
        <f t="shared" si="6"/>
        <v>AerialRefuelTankerChanCode_chan001X</v>
      </c>
      <c r="B428" s="332" t="str">
        <f>HYPERLINK("[#]Datatypes!A26:L26","AerialRefuelTankerChanCode")</f>
        <v>AerialRefuelTankerChanCode</v>
      </c>
      <c r="C428" s="333" t="s">
        <v>11456</v>
      </c>
      <c r="D428" s="202" t="s">
        <v>13705</v>
      </c>
      <c r="E428" s="203" t="s">
        <v>13706</v>
      </c>
      <c r="F428" s="204" t="s">
        <v>14565</v>
      </c>
      <c r="G428" s="204" t="s">
        <v>13413</v>
      </c>
      <c r="H428" s="218"/>
      <c r="I428" s="169">
        <v>116624</v>
      </c>
      <c r="J428" s="304" t="str">
        <f>CONCATENATE([2]Cover!$D$6,"fdd/view?i=",I428)</f>
        <v>https://www.dgiwg.org/FAD/fdd/view?i=116624</v>
      </c>
      <c r="K428" s="304" t="s">
        <v>34477</v>
      </c>
      <c r="L428" s="202">
        <v>1</v>
      </c>
      <c r="M428" s="179" t="s">
        <v>151</v>
      </c>
    </row>
    <row r="429" spans="1:13" ht="38.25">
      <c r="A429" s="313" t="str">
        <f t="shared" si="6"/>
        <v>AerialRefuelTankerChanCode_chan001Y</v>
      </c>
      <c r="B429" s="330"/>
      <c r="C429" s="334"/>
      <c r="D429" s="188" t="s">
        <v>13708</v>
      </c>
      <c r="E429" s="189" t="s">
        <v>13709</v>
      </c>
      <c r="F429" s="162" t="s">
        <v>14566</v>
      </c>
      <c r="G429" s="162" t="s">
        <v>13413</v>
      </c>
      <c r="H429" s="219"/>
      <c r="I429" s="169">
        <v>116625</v>
      </c>
      <c r="J429" s="304" t="str">
        <f>CONCATENATE([2]Cover!$D$6,"fdd/view?i=",I429)</f>
        <v>https://www.dgiwg.org/FAD/fdd/view?i=116625</v>
      </c>
      <c r="K429" s="304" t="s">
        <v>34478</v>
      </c>
      <c r="L429" s="188">
        <v>2</v>
      </c>
      <c r="M429" s="179" t="s">
        <v>151</v>
      </c>
    </row>
    <row r="430" spans="1:13" ht="38.25">
      <c r="A430" s="313" t="str">
        <f t="shared" si="6"/>
        <v>AerialRefuelTankerChanCode_chan002X</v>
      </c>
      <c r="B430" s="330"/>
      <c r="C430" s="334"/>
      <c r="D430" s="188" t="s">
        <v>13816</v>
      </c>
      <c r="E430" s="189" t="s">
        <v>13817</v>
      </c>
      <c r="F430" s="162" t="s">
        <v>14602</v>
      </c>
      <c r="G430" s="162" t="s">
        <v>13413</v>
      </c>
      <c r="H430" s="219"/>
      <c r="I430" s="169">
        <v>116626</v>
      </c>
      <c r="J430" s="304" t="str">
        <f>CONCATENATE([2]Cover!$D$6,"fdd/view?i=",I430)</f>
        <v>https://www.dgiwg.org/FAD/fdd/view?i=116626</v>
      </c>
      <c r="K430" s="304" t="s">
        <v>34479</v>
      </c>
      <c r="L430" s="188">
        <v>3</v>
      </c>
      <c r="M430" s="179" t="s">
        <v>151</v>
      </c>
    </row>
    <row r="431" spans="1:13" ht="38.25">
      <c r="A431" s="313" t="str">
        <f t="shared" si="6"/>
        <v>AerialRefuelTankerChanCode_chan002Y</v>
      </c>
      <c r="B431" s="330"/>
      <c r="C431" s="334"/>
      <c r="D431" s="188" t="s">
        <v>13819</v>
      </c>
      <c r="E431" s="189" t="s">
        <v>13820</v>
      </c>
      <c r="F431" s="162" t="s">
        <v>14603</v>
      </c>
      <c r="G431" s="162" t="s">
        <v>13413</v>
      </c>
      <c r="H431" s="219"/>
      <c r="I431" s="169">
        <v>116627</v>
      </c>
      <c r="J431" s="304" t="str">
        <f>CONCATENATE([2]Cover!$D$6,"fdd/view?i=",I431)</f>
        <v>https://www.dgiwg.org/FAD/fdd/view?i=116627</v>
      </c>
      <c r="K431" s="304" t="s">
        <v>34480</v>
      </c>
      <c r="L431" s="188">
        <v>4</v>
      </c>
      <c r="M431" s="179" t="s">
        <v>151</v>
      </c>
    </row>
    <row r="432" spans="1:13" ht="38.25">
      <c r="A432" s="313" t="str">
        <f t="shared" si="6"/>
        <v>AerialRefuelTankerChanCode_chan003X</v>
      </c>
      <c r="B432" s="330"/>
      <c r="C432" s="334"/>
      <c r="D432" s="188" t="s">
        <v>13927</v>
      </c>
      <c r="E432" s="189" t="s">
        <v>13928</v>
      </c>
      <c r="F432" s="162" t="s">
        <v>14639</v>
      </c>
      <c r="G432" s="162" t="s">
        <v>13413</v>
      </c>
      <c r="H432" s="219"/>
      <c r="I432" s="169">
        <v>116628</v>
      </c>
      <c r="J432" s="304" t="str">
        <f>CONCATENATE([2]Cover!$D$6,"fdd/view?i=",I432)</f>
        <v>https://www.dgiwg.org/FAD/fdd/view?i=116628</v>
      </c>
      <c r="K432" s="304" t="s">
        <v>34481</v>
      </c>
      <c r="L432" s="188">
        <v>5</v>
      </c>
      <c r="M432" s="179" t="s">
        <v>151</v>
      </c>
    </row>
    <row r="433" spans="1:13" ht="38.25">
      <c r="A433" s="313" t="str">
        <f t="shared" si="6"/>
        <v>AerialRefuelTankerChanCode_chan003Y</v>
      </c>
      <c r="B433" s="330"/>
      <c r="C433" s="334"/>
      <c r="D433" s="188" t="s">
        <v>13930</v>
      </c>
      <c r="E433" s="189" t="s">
        <v>13931</v>
      </c>
      <c r="F433" s="162" t="s">
        <v>14640</v>
      </c>
      <c r="G433" s="162" t="s">
        <v>13413</v>
      </c>
      <c r="H433" s="219"/>
      <c r="I433" s="169">
        <v>116629</v>
      </c>
      <c r="J433" s="304" t="str">
        <f>CONCATENATE([2]Cover!$D$6,"fdd/view?i=",I433)</f>
        <v>https://www.dgiwg.org/FAD/fdd/view?i=116629</v>
      </c>
      <c r="K433" s="304" t="s">
        <v>34482</v>
      </c>
      <c r="L433" s="188">
        <v>6</v>
      </c>
      <c r="M433" s="179" t="s">
        <v>151</v>
      </c>
    </row>
    <row r="434" spans="1:13" ht="38.25">
      <c r="A434" s="313" t="str">
        <f t="shared" si="6"/>
        <v>AerialRefuelTankerChanCode_chan004X</v>
      </c>
      <c r="B434" s="330"/>
      <c r="C434" s="334"/>
      <c r="D434" s="188" t="s">
        <v>14038</v>
      </c>
      <c r="E434" s="189" t="s">
        <v>14039</v>
      </c>
      <c r="F434" s="162" t="s">
        <v>14676</v>
      </c>
      <c r="G434" s="162" t="s">
        <v>13413</v>
      </c>
      <c r="H434" s="219"/>
      <c r="I434" s="169">
        <v>116630</v>
      </c>
      <c r="J434" s="304" t="str">
        <f>CONCATENATE([2]Cover!$D$6,"fdd/view?i=",I434)</f>
        <v>https://www.dgiwg.org/FAD/fdd/view?i=116630</v>
      </c>
      <c r="K434" s="304" t="s">
        <v>34483</v>
      </c>
      <c r="L434" s="188">
        <v>7</v>
      </c>
      <c r="M434" s="179" t="s">
        <v>151</v>
      </c>
    </row>
    <row r="435" spans="1:13" ht="38.25">
      <c r="A435" s="313" t="str">
        <f t="shared" si="6"/>
        <v>AerialRefuelTankerChanCode_chan004Y</v>
      </c>
      <c r="B435" s="330"/>
      <c r="C435" s="334"/>
      <c r="D435" s="188" t="s">
        <v>14041</v>
      </c>
      <c r="E435" s="189" t="s">
        <v>14042</v>
      </c>
      <c r="F435" s="162" t="s">
        <v>14677</v>
      </c>
      <c r="G435" s="162" t="s">
        <v>13413</v>
      </c>
      <c r="H435" s="219"/>
      <c r="I435" s="169">
        <v>116631</v>
      </c>
      <c r="J435" s="304" t="str">
        <f>CONCATENATE([2]Cover!$D$6,"fdd/view?i=",I435)</f>
        <v>https://www.dgiwg.org/FAD/fdd/view?i=116631</v>
      </c>
      <c r="K435" s="304" t="s">
        <v>34484</v>
      </c>
      <c r="L435" s="188">
        <v>8</v>
      </c>
      <c r="M435" s="179" t="s">
        <v>151</v>
      </c>
    </row>
    <row r="436" spans="1:13" ht="38.25">
      <c r="A436" s="313" t="str">
        <f t="shared" si="6"/>
        <v>AerialRefuelTankerChanCode_chan005X</v>
      </c>
      <c r="B436" s="330"/>
      <c r="C436" s="334"/>
      <c r="D436" s="188" t="s">
        <v>14137</v>
      </c>
      <c r="E436" s="189" t="s">
        <v>14138</v>
      </c>
      <c r="F436" s="162" t="s">
        <v>14709</v>
      </c>
      <c r="G436" s="162" t="s">
        <v>13413</v>
      </c>
      <c r="H436" s="219"/>
      <c r="I436" s="169">
        <v>116632</v>
      </c>
      <c r="J436" s="304" t="str">
        <f>CONCATENATE([2]Cover!$D$6,"fdd/view?i=",I436)</f>
        <v>https://www.dgiwg.org/FAD/fdd/view?i=116632</v>
      </c>
      <c r="K436" s="304" t="s">
        <v>34485</v>
      </c>
      <c r="L436" s="188">
        <v>9</v>
      </c>
      <c r="M436" s="179" t="s">
        <v>151</v>
      </c>
    </row>
    <row r="437" spans="1:13" ht="38.25">
      <c r="A437" s="313" t="str">
        <f t="shared" si="6"/>
        <v>AerialRefuelTankerChanCode_chan005Y</v>
      </c>
      <c r="B437" s="330"/>
      <c r="C437" s="334"/>
      <c r="D437" s="188" t="s">
        <v>14140</v>
      </c>
      <c r="E437" s="189" t="s">
        <v>14141</v>
      </c>
      <c r="F437" s="162" t="s">
        <v>14710</v>
      </c>
      <c r="G437" s="162" t="s">
        <v>13413</v>
      </c>
      <c r="H437" s="219"/>
      <c r="I437" s="169">
        <v>116633</v>
      </c>
      <c r="J437" s="304" t="str">
        <f>CONCATENATE([2]Cover!$D$6,"fdd/view?i=",I437)</f>
        <v>https://www.dgiwg.org/FAD/fdd/view?i=116633</v>
      </c>
      <c r="K437" s="304" t="s">
        <v>34486</v>
      </c>
      <c r="L437" s="188">
        <v>10</v>
      </c>
      <c r="M437" s="179" t="s">
        <v>151</v>
      </c>
    </row>
    <row r="438" spans="1:13" ht="38.25">
      <c r="A438" s="313" t="str">
        <f t="shared" si="6"/>
        <v>AerialRefuelTankerChanCode_chan006X</v>
      </c>
      <c r="B438" s="330"/>
      <c r="C438" s="334"/>
      <c r="D438" s="188" t="s">
        <v>14203</v>
      </c>
      <c r="E438" s="189" t="s">
        <v>14204</v>
      </c>
      <c r="F438" s="162" t="s">
        <v>14731</v>
      </c>
      <c r="G438" s="162" t="s">
        <v>13413</v>
      </c>
      <c r="H438" s="219"/>
      <c r="I438" s="169">
        <v>116634</v>
      </c>
      <c r="J438" s="304" t="str">
        <f>CONCATENATE([2]Cover!$D$6,"fdd/view?i=",I438)</f>
        <v>https://www.dgiwg.org/FAD/fdd/view?i=116634</v>
      </c>
      <c r="K438" s="304" t="s">
        <v>34487</v>
      </c>
      <c r="L438" s="188">
        <v>11</v>
      </c>
      <c r="M438" s="179" t="s">
        <v>151</v>
      </c>
    </row>
    <row r="439" spans="1:13" ht="38.25">
      <c r="A439" s="313" t="str">
        <f t="shared" si="6"/>
        <v>AerialRefuelTankerChanCode_chan006Y</v>
      </c>
      <c r="B439" s="330"/>
      <c r="C439" s="334"/>
      <c r="D439" s="188" t="s">
        <v>14206</v>
      </c>
      <c r="E439" s="189" t="s">
        <v>14207</v>
      </c>
      <c r="F439" s="162" t="s">
        <v>14732</v>
      </c>
      <c r="G439" s="162" t="s">
        <v>13413</v>
      </c>
      <c r="H439" s="219"/>
      <c r="I439" s="169">
        <v>116635</v>
      </c>
      <c r="J439" s="304" t="str">
        <f>CONCATENATE([2]Cover!$D$6,"fdd/view?i=",I439)</f>
        <v>https://www.dgiwg.org/FAD/fdd/view?i=116635</v>
      </c>
      <c r="K439" s="304" t="s">
        <v>34488</v>
      </c>
      <c r="L439" s="188">
        <v>12</v>
      </c>
      <c r="M439" s="179" t="s">
        <v>151</v>
      </c>
    </row>
    <row r="440" spans="1:13" ht="38.25">
      <c r="A440" s="313" t="str">
        <f t="shared" si="6"/>
        <v>AerialRefuelTankerChanCode_chan007X</v>
      </c>
      <c r="B440" s="330"/>
      <c r="C440" s="334"/>
      <c r="D440" s="188" t="s">
        <v>14269</v>
      </c>
      <c r="E440" s="189" t="s">
        <v>14270</v>
      </c>
      <c r="F440" s="162" t="s">
        <v>14753</v>
      </c>
      <c r="G440" s="162" t="s">
        <v>13413</v>
      </c>
      <c r="H440" s="219"/>
      <c r="I440" s="169">
        <v>116636</v>
      </c>
      <c r="J440" s="304" t="str">
        <f>CONCATENATE([2]Cover!$D$6,"fdd/view?i=",I440)</f>
        <v>https://www.dgiwg.org/FAD/fdd/view?i=116636</v>
      </c>
      <c r="K440" s="304" t="s">
        <v>34489</v>
      </c>
      <c r="L440" s="188">
        <v>13</v>
      </c>
      <c r="M440" s="179" t="s">
        <v>151</v>
      </c>
    </row>
    <row r="441" spans="1:13" ht="38.25">
      <c r="A441" s="313" t="str">
        <f t="shared" si="6"/>
        <v>AerialRefuelTankerChanCode_chan007Y</v>
      </c>
      <c r="B441" s="330"/>
      <c r="C441" s="334"/>
      <c r="D441" s="188" t="s">
        <v>14272</v>
      </c>
      <c r="E441" s="189" t="s">
        <v>14273</v>
      </c>
      <c r="F441" s="162" t="s">
        <v>14754</v>
      </c>
      <c r="G441" s="162" t="s">
        <v>13413</v>
      </c>
      <c r="H441" s="219"/>
      <c r="I441" s="169">
        <v>116637</v>
      </c>
      <c r="J441" s="304" t="str">
        <f>CONCATENATE([2]Cover!$D$6,"fdd/view?i=",I441)</f>
        <v>https://www.dgiwg.org/FAD/fdd/view?i=116637</v>
      </c>
      <c r="K441" s="304" t="s">
        <v>34490</v>
      </c>
      <c r="L441" s="188">
        <v>14</v>
      </c>
      <c r="M441" s="179" t="s">
        <v>151</v>
      </c>
    </row>
    <row r="442" spans="1:13" ht="38.25">
      <c r="A442" s="313" t="str">
        <f t="shared" si="6"/>
        <v>AerialRefuelTankerChanCode_chan008X</v>
      </c>
      <c r="B442" s="330"/>
      <c r="C442" s="334"/>
      <c r="D442" s="188" t="s">
        <v>14365</v>
      </c>
      <c r="E442" s="189" t="s">
        <v>14366</v>
      </c>
      <c r="F442" s="162" t="s">
        <v>14785</v>
      </c>
      <c r="G442" s="162" t="s">
        <v>13413</v>
      </c>
      <c r="H442" s="219"/>
      <c r="I442" s="169">
        <v>116638</v>
      </c>
      <c r="J442" s="304" t="str">
        <f>CONCATENATE([2]Cover!$D$6,"fdd/view?i=",I442)</f>
        <v>https://www.dgiwg.org/FAD/fdd/view?i=116638</v>
      </c>
      <c r="K442" s="304" t="s">
        <v>34491</v>
      </c>
      <c r="L442" s="188">
        <v>15</v>
      </c>
      <c r="M442" s="179" t="s">
        <v>151</v>
      </c>
    </row>
    <row r="443" spans="1:13" ht="38.25">
      <c r="A443" s="313" t="str">
        <f t="shared" si="6"/>
        <v>AerialRefuelTankerChanCode_chan008Y</v>
      </c>
      <c r="B443" s="330"/>
      <c r="C443" s="334"/>
      <c r="D443" s="188" t="s">
        <v>14368</v>
      </c>
      <c r="E443" s="189" t="s">
        <v>14369</v>
      </c>
      <c r="F443" s="162" t="s">
        <v>14786</v>
      </c>
      <c r="G443" s="162" t="s">
        <v>13413</v>
      </c>
      <c r="H443" s="219"/>
      <c r="I443" s="169">
        <v>116639</v>
      </c>
      <c r="J443" s="304" t="str">
        <f>CONCATENATE([2]Cover!$D$6,"fdd/view?i=",I443)</f>
        <v>https://www.dgiwg.org/FAD/fdd/view?i=116639</v>
      </c>
      <c r="K443" s="304" t="s">
        <v>34492</v>
      </c>
      <c r="L443" s="188">
        <v>16</v>
      </c>
      <c r="M443" s="179" t="s">
        <v>151</v>
      </c>
    </row>
    <row r="444" spans="1:13" ht="38.25">
      <c r="A444" s="313" t="str">
        <f t="shared" si="6"/>
        <v>AerialRefuelTankerChanCode_chan009X</v>
      </c>
      <c r="B444" s="330"/>
      <c r="C444" s="334"/>
      <c r="D444" s="188" t="s">
        <v>14461</v>
      </c>
      <c r="E444" s="189" t="s">
        <v>14462</v>
      </c>
      <c r="F444" s="162" t="s">
        <v>14817</v>
      </c>
      <c r="G444" s="162" t="s">
        <v>13413</v>
      </c>
      <c r="H444" s="219"/>
      <c r="I444" s="169">
        <v>116640</v>
      </c>
      <c r="J444" s="304" t="str">
        <f>CONCATENATE([2]Cover!$D$6,"fdd/view?i=",I444)</f>
        <v>https://www.dgiwg.org/FAD/fdd/view?i=116640</v>
      </c>
      <c r="K444" s="304" t="s">
        <v>34493</v>
      </c>
      <c r="L444" s="188">
        <v>17</v>
      </c>
      <c r="M444" s="179" t="s">
        <v>151</v>
      </c>
    </row>
    <row r="445" spans="1:13" ht="38.25">
      <c r="A445" s="313" t="str">
        <f t="shared" si="6"/>
        <v>AerialRefuelTankerChanCode_chan009Y</v>
      </c>
      <c r="B445" s="330"/>
      <c r="C445" s="334"/>
      <c r="D445" s="188" t="s">
        <v>14464</v>
      </c>
      <c r="E445" s="189" t="s">
        <v>14465</v>
      </c>
      <c r="F445" s="162" t="s">
        <v>14818</v>
      </c>
      <c r="G445" s="162" t="s">
        <v>13413</v>
      </c>
      <c r="H445" s="219"/>
      <c r="I445" s="169">
        <v>116641</v>
      </c>
      <c r="J445" s="304" t="str">
        <f>CONCATENATE([2]Cover!$D$6,"fdd/view?i=",I445)</f>
        <v>https://www.dgiwg.org/FAD/fdd/view?i=116641</v>
      </c>
      <c r="K445" s="304" t="s">
        <v>34494</v>
      </c>
      <c r="L445" s="188">
        <v>18</v>
      </c>
      <c r="M445" s="179" t="s">
        <v>151</v>
      </c>
    </row>
    <row r="446" spans="1:13" ht="38.25">
      <c r="A446" s="313" t="str">
        <f t="shared" si="6"/>
        <v>AerialRefuelTankerChanCode_chan010X</v>
      </c>
      <c r="B446" s="330"/>
      <c r="C446" s="334"/>
      <c r="D446" s="188" t="s">
        <v>13501</v>
      </c>
      <c r="E446" s="189" t="s">
        <v>13502</v>
      </c>
      <c r="F446" s="162" t="s">
        <v>14497</v>
      </c>
      <c r="G446" s="162" t="s">
        <v>13413</v>
      </c>
      <c r="H446" s="219"/>
      <c r="I446" s="169">
        <v>116642</v>
      </c>
      <c r="J446" s="304" t="str">
        <f>CONCATENATE([2]Cover!$D$6,"fdd/view?i=",I446)</f>
        <v>https://www.dgiwg.org/FAD/fdd/view?i=116642</v>
      </c>
      <c r="K446" s="304" t="s">
        <v>34495</v>
      </c>
      <c r="L446" s="188">
        <v>19</v>
      </c>
      <c r="M446" s="179" t="s">
        <v>151</v>
      </c>
    </row>
    <row r="447" spans="1:13" ht="38.25">
      <c r="A447" s="313" t="str">
        <f t="shared" si="6"/>
        <v>AerialRefuelTankerChanCode_chan010Y</v>
      </c>
      <c r="B447" s="330"/>
      <c r="C447" s="334"/>
      <c r="D447" s="188" t="s">
        <v>13504</v>
      </c>
      <c r="E447" s="189" t="s">
        <v>13505</v>
      </c>
      <c r="F447" s="162" t="s">
        <v>14498</v>
      </c>
      <c r="G447" s="162" t="s">
        <v>13413</v>
      </c>
      <c r="H447" s="219"/>
      <c r="I447" s="169">
        <v>116643</v>
      </c>
      <c r="J447" s="304" t="str">
        <f>CONCATENATE([2]Cover!$D$6,"fdd/view?i=",I447)</f>
        <v>https://www.dgiwg.org/FAD/fdd/view?i=116643</v>
      </c>
      <c r="K447" s="304" t="s">
        <v>34496</v>
      </c>
      <c r="L447" s="188">
        <v>20</v>
      </c>
      <c r="M447" s="179" t="s">
        <v>151</v>
      </c>
    </row>
    <row r="448" spans="1:13" ht="38.25">
      <c r="A448" s="313" t="str">
        <f t="shared" si="6"/>
        <v>AerialRefuelTankerChanCode_chan011X</v>
      </c>
      <c r="B448" s="330"/>
      <c r="C448" s="334"/>
      <c r="D448" s="188" t="s">
        <v>13597</v>
      </c>
      <c r="E448" s="189" t="s">
        <v>13598</v>
      </c>
      <c r="F448" s="162" t="s">
        <v>14529</v>
      </c>
      <c r="G448" s="162" t="s">
        <v>13413</v>
      </c>
      <c r="H448" s="219"/>
      <c r="I448" s="169">
        <v>116644</v>
      </c>
      <c r="J448" s="304" t="str">
        <f>CONCATENATE([2]Cover!$D$6,"fdd/view?i=",I448)</f>
        <v>https://www.dgiwg.org/FAD/fdd/view?i=116644</v>
      </c>
      <c r="K448" s="304" t="s">
        <v>34497</v>
      </c>
      <c r="L448" s="188">
        <v>21</v>
      </c>
      <c r="M448" s="179" t="s">
        <v>151</v>
      </c>
    </row>
    <row r="449" spans="1:13" ht="38.25">
      <c r="A449" s="313" t="str">
        <f t="shared" si="6"/>
        <v>AerialRefuelTankerChanCode_chan011Y</v>
      </c>
      <c r="B449" s="330"/>
      <c r="C449" s="334"/>
      <c r="D449" s="188" t="s">
        <v>13600</v>
      </c>
      <c r="E449" s="189" t="s">
        <v>13601</v>
      </c>
      <c r="F449" s="162" t="s">
        <v>14530</v>
      </c>
      <c r="G449" s="162" t="s">
        <v>13413</v>
      </c>
      <c r="H449" s="219"/>
      <c r="I449" s="169">
        <v>116645</v>
      </c>
      <c r="J449" s="304" t="str">
        <f>CONCATENATE([2]Cover!$D$6,"fdd/view?i=",I449)</f>
        <v>https://www.dgiwg.org/FAD/fdd/view?i=116645</v>
      </c>
      <c r="K449" s="304" t="s">
        <v>34498</v>
      </c>
      <c r="L449" s="188">
        <v>22</v>
      </c>
      <c r="M449" s="179" t="s">
        <v>151</v>
      </c>
    </row>
    <row r="450" spans="1:13" ht="38.25">
      <c r="A450" s="313" t="str">
        <f t="shared" si="6"/>
        <v>AerialRefuelTankerChanCode_chan012X</v>
      </c>
      <c r="B450" s="330"/>
      <c r="C450" s="334"/>
      <c r="D450" s="188" t="s">
        <v>13645</v>
      </c>
      <c r="E450" s="189" t="s">
        <v>13646</v>
      </c>
      <c r="F450" s="162" t="s">
        <v>14545</v>
      </c>
      <c r="G450" s="162" t="s">
        <v>13413</v>
      </c>
      <c r="H450" s="219"/>
      <c r="I450" s="169">
        <v>116646</v>
      </c>
      <c r="J450" s="304" t="str">
        <f>CONCATENATE([2]Cover!$D$6,"fdd/view?i=",I450)</f>
        <v>https://www.dgiwg.org/FAD/fdd/view?i=116646</v>
      </c>
      <c r="K450" s="304" t="s">
        <v>34499</v>
      </c>
      <c r="L450" s="188">
        <v>23</v>
      </c>
      <c r="M450" s="179" t="s">
        <v>151</v>
      </c>
    </row>
    <row r="451" spans="1:13" ht="38.25">
      <c r="A451" s="313" t="str">
        <f t="shared" ref="A451:A514" si="7">HYPERLINK(J451,K451)</f>
        <v>AerialRefuelTankerChanCode_chan012Y</v>
      </c>
      <c r="B451" s="330"/>
      <c r="C451" s="334"/>
      <c r="D451" s="188" t="s">
        <v>13648</v>
      </c>
      <c r="E451" s="189" t="s">
        <v>13649</v>
      </c>
      <c r="F451" s="162" t="s">
        <v>14546</v>
      </c>
      <c r="G451" s="162" t="s">
        <v>13413</v>
      </c>
      <c r="H451" s="219"/>
      <c r="I451" s="169">
        <v>116647</v>
      </c>
      <c r="J451" s="304" t="str">
        <f>CONCATENATE([2]Cover!$D$6,"fdd/view?i=",I451)</f>
        <v>https://www.dgiwg.org/FAD/fdd/view?i=116647</v>
      </c>
      <c r="K451" s="304" t="s">
        <v>34500</v>
      </c>
      <c r="L451" s="188">
        <v>24</v>
      </c>
      <c r="M451" s="179" t="s">
        <v>151</v>
      </c>
    </row>
    <row r="452" spans="1:13" ht="38.25">
      <c r="A452" s="313" t="str">
        <f t="shared" si="7"/>
        <v>AerialRefuelTankerChanCode_chan013X</v>
      </c>
      <c r="B452" s="330"/>
      <c r="C452" s="334"/>
      <c r="D452" s="188" t="s">
        <v>13651</v>
      </c>
      <c r="E452" s="189" t="s">
        <v>13652</v>
      </c>
      <c r="F452" s="162" t="s">
        <v>14547</v>
      </c>
      <c r="G452" s="162" t="s">
        <v>13413</v>
      </c>
      <c r="H452" s="219"/>
      <c r="I452" s="169">
        <v>116648</v>
      </c>
      <c r="J452" s="304" t="str">
        <f>CONCATENATE([2]Cover!$D$6,"fdd/view?i=",I452)</f>
        <v>https://www.dgiwg.org/FAD/fdd/view?i=116648</v>
      </c>
      <c r="K452" s="304" t="s">
        <v>34501</v>
      </c>
      <c r="L452" s="188">
        <v>25</v>
      </c>
      <c r="M452" s="179" t="s">
        <v>151</v>
      </c>
    </row>
    <row r="453" spans="1:13" ht="38.25">
      <c r="A453" s="313" t="str">
        <f t="shared" si="7"/>
        <v>AerialRefuelTankerChanCode_chan013Y</v>
      </c>
      <c r="B453" s="330"/>
      <c r="C453" s="334"/>
      <c r="D453" s="188" t="s">
        <v>13654</v>
      </c>
      <c r="E453" s="189" t="s">
        <v>13655</v>
      </c>
      <c r="F453" s="162" t="s">
        <v>14548</v>
      </c>
      <c r="G453" s="162" t="s">
        <v>13413</v>
      </c>
      <c r="H453" s="219"/>
      <c r="I453" s="169">
        <v>116649</v>
      </c>
      <c r="J453" s="304" t="str">
        <f>CONCATENATE([2]Cover!$D$6,"fdd/view?i=",I453)</f>
        <v>https://www.dgiwg.org/FAD/fdd/view?i=116649</v>
      </c>
      <c r="K453" s="304" t="s">
        <v>34502</v>
      </c>
      <c r="L453" s="188">
        <v>26</v>
      </c>
      <c r="M453" s="179" t="s">
        <v>151</v>
      </c>
    </row>
    <row r="454" spans="1:13" ht="38.25">
      <c r="A454" s="313" t="str">
        <f t="shared" si="7"/>
        <v>AerialRefuelTankerChanCode_chan014X</v>
      </c>
      <c r="B454" s="330"/>
      <c r="C454" s="334"/>
      <c r="D454" s="188" t="s">
        <v>13657</v>
      </c>
      <c r="E454" s="189" t="s">
        <v>13658</v>
      </c>
      <c r="F454" s="162" t="s">
        <v>14549</v>
      </c>
      <c r="G454" s="162" t="s">
        <v>13413</v>
      </c>
      <c r="H454" s="219"/>
      <c r="I454" s="169">
        <v>116650</v>
      </c>
      <c r="J454" s="304" t="str">
        <f>CONCATENATE([2]Cover!$D$6,"fdd/view?i=",I454)</f>
        <v>https://www.dgiwg.org/FAD/fdd/view?i=116650</v>
      </c>
      <c r="K454" s="304" t="s">
        <v>34503</v>
      </c>
      <c r="L454" s="188">
        <v>27</v>
      </c>
      <c r="M454" s="179" t="s">
        <v>151</v>
      </c>
    </row>
    <row r="455" spans="1:13" ht="38.25">
      <c r="A455" s="313" t="str">
        <f t="shared" si="7"/>
        <v>AerialRefuelTankerChanCode_chan014Y</v>
      </c>
      <c r="B455" s="330"/>
      <c r="C455" s="334"/>
      <c r="D455" s="188" t="s">
        <v>13660</v>
      </c>
      <c r="E455" s="189" t="s">
        <v>13661</v>
      </c>
      <c r="F455" s="162" t="s">
        <v>14550</v>
      </c>
      <c r="G455" s="162" t="s">
        <v>13413</v>
      </c>
      <c r="H455" s="219"/>
      <c r="I455" s="169">
        <v>116651</v>
      </c>
      <c r="J455" s="304" t="str">
        <f>CONCATENATE([2]Cover!$D$6,"fdd/view?i=",I455)</f>
        <v>https://www.dgiwg.org/FAD/fdd/view?i=116651</v>
      </c>
      <c r="K455" s="304" t="s">
        <v>34504</v>
      </c>
      <c r="L455" s="188">
        <v>28</v>
      </c>
      <c r="M455" s="179" t="s">
        <v>151</v>
      </c>
    </row>
    <row r="456" spans="1:13" ht="38.25">
      <c r="A456" s="313" t="str">
        <f t="shared" si="7"/>
        <v>AerialRefuelTankerChanCode_chan015X</v>
      </c>
      <c r="B456" s="330"/>
      <c r="C456" s="334"/>
      <c r="D456" s="188" t="s">
        <v>13663</v>
      </c>
      <c r="E456" s="189" t="s">
        <v>13664</v>
      </c>
      <c r="F456" s="162" t="s">
        <v>14551</v>
      </c>
      <c r="G456" s="162" t="s">
        <v>13413</v>
      </c>
      <c r="H456" s="219"/>
      <c r="I456" s="169">
        <v>116652</v>
      </c>
      <c r="J456" s="304" t="str">
        <f>CONCATENATE([2]Cover!$D$6,"fdd/view?i=",I456)</f>
        <v>https://www.dgiwg.org/FAD/fdd/view?i=116652</v>
      </c>
      <c r="K456" s="304" t="s">
        <v>34505</v>
      </c>
      <c r="L456" s="188">
        <v>29</v>
      </c>
      <c r="M456" s="179" t="s">
        <v>151</v>
      </c>
    </row>
    <row r="457" spans="1:13" ht="38.25">
      <c r="A457" s="313" t="str">
        <f t="shared" si="7"/>
        <v>AerialRefuelTankerChanCode_chan015Y</v>
      </c>
      <c r="B457" s="330"/>
      <c r="C457" s="334"/>
      <c r="D457" s="188" t="s">
        <v>13666</v>
      </c>
      <c r="E457" s="189" t="s">
        <v>13667</v>
      </c>
      <c r="F457" s="162" t="s">
        <v>14552</v>
      </c>
      <c r="G457" s="162" t="s">
        <v>13413</v>
      </c>
      <c r="H457" s="219"/>
      <c r="I457" s="169">
        <v>116653</v>
      </c>
      <c r="J457" s="304" t="str">
        <f>CONCATENATE([2]Cover!$D$6,"fdd/view?i=",I457)</f>
        <v>https://www.dgiwg.org/FAD/fdd/view?i=116653</v>
      </c>
      <c r="K457" s="304" t="s">
        <v>34506</v>
      </c>
      <c r="L457" s="188">
        <v>30</v>
      </c>
      <c r="M457" s="179" t="s">
        <v>151</v>
      </c>
    </row>
    <row r="458" spans="1:13" ht="38.25">
      <c r="A458" s="313" t="str">
        <f t="shared" si="7"/>
        <v>AerialRefuelTankerChanCode_chan016X</v>
      </c>
      <c r="B458" s="330"/>
      <c r="C458" s="334"/>
      <c r="D458" s="188" t="s">
        <v>13669</v>
      </c>
      <c r="E458" s="189" t="s">
        <v>13670</v>
      </c>
      <c r="F458" s="162" t="s">
        <v>14553</v>
      </c>
      <c r="G458" s="162" t="s">
        <v>13413</v>
      </c>
      <c r="H458" s="219"/>
      <c r="I458" s="169">
        <v>116654</v>
      </c>
      <c r="J458" s="304" t="str">
        <f>CONCATENATE([2]Cover!$D$6,"fdd/view?i=",I458)</f>
        <v>https://www.dgiwg.org/FAD/fdd/view?i=116654</v>
      </c>
      <c r="K458" s="304" t="s">
        <v>34507</v>
      </c>
      <c r="L458" s="188">
        <v>31</v>
      </c>
      <c r="M458" s="179" t="s">
        <v>151</v>
      </c>
    </row>
    <row r="459" spans="1:13" ht="38.25">
      <c r="A459" s="313" t="str">
        <f t="shared" si="7"/>
        <v>AerialRefuelTankerChanCode_chan016Y</v>
      </c>
      <c r="B459" s="330"/>
      <c r="C459" s="334"/>
      <c r="D459" s="188" t="s">
        <v>13672</v>
      </c>
      <c r="E459" s="189" t="s">
        <v>13673</v>
      </c>
      <c r="F459" s="162" t="s">
        <v>14554</v>
      </c>
      <c r="G459" s="162" t="s">
        <v>13413</v>
      </c>
      <c r="H459" s="219"/>
      <c r="I459" s="169">
        <v>116655</v>
      </c>
      <c r="J459" s="304" t="str">
        <f>CONCATENATE([2]Cover!$D$6,"fdd/view?i=",I459)</f>
        <v>https://www.dgiwg.org/FAD/fdd/view?i=116655</v>
      </c>
      <c r="K459" s="304" t="s">
        <v>34508</v>
      </c>
      <c r="L459" s="188">
        <v>32</v>
      </c>
      <c r="M459" s="179" t="s">
        <v>151</v>
      </c>
    </row>
    <row r="460" spans="1:13" ht="38.25">
      <c r="A460" s="313" t="str">
        <f t="shared" si="7"/>
        <v>AerialRefuelTankerChanCode_chan017X</v>
      </c>
      <c r="B460" s="330"/>
      <c r="C460" s="334"/>
      <c r="D460" s="188" t="s">
        <v>13675</v>
      </c>
      <c r="E460" s="189" t="s">
        <v>13676</v>
      </c>
      <c r="F460" s="162" t="s">
        <v>14555</v>
      </c>
      <c r="G460" s="162" t="s">
        <v>13413</v>
      </c>
      <c r="H460" s="219"/>
      <c r="I460" s="169">
        <v>116656</v>
      </c>
      <c r="J460" s="304" t="str">
        <f>CONCATENATE([2]Cover!$D$6,"fdd/view?i=",I460)</f>
        <v>https://www.dgiwg.org/FAD/fdd/view?i=116656</v>
      </c>
      <c r="K460" s="304" t="s">
        <v>34509</v>
      </c>
      <c r="L460" s="188">
        <v>33</v>
      </c>
      <c r="M460" s="179" t="s">
        <v>151</v>
      </c>
    </row>
    <row r="461" spans="1:13" ht="38.25">
      <c r="A461" s="313" t="str">
        <f t="shared" si="7"/>
        <v>AerialRefuelTankerChanCode_chan017Y</v>
      </c>
      <c r="B461" s="330"/>
      <c r="C461" s="334"/>
      <c r="D461" s="188" t="s">
        <v>13678</v>
      </c>
      <c r="E461" s="189" t="s">
        <v>13679</v>
      </c>
      <c r="F461" s="162" t="s">
        <v>14556</v>
      </c>
      <c r="G461" s="162" t="s">
        <v>13413</v>
      </c>
      <c r="H461" s="219"/>
      <c r="I461" s="169">
        <v>116657</v>
      </c>
      <c r="J461" s="304" t="str">
        <f>CONCATENATE([2]Cover!$D$6,"fdd/view?i=",I461)</f>
        <v>https://www.dgiwg.org/FAD/fdd/view?i=116657</v>
      </c>
      <c r="K461" s="304" t="s">
        <v>34510</v>
      </c>
      <c r="L461" s="188">
        <v>34</v>
      </c>
      <c r="M461" s="179" t="s">
        <v>151</v>
      </c>
    </row>
    <row r="462" spans="1:13" ht="38.25">
      <c r="A462" s="313" t="str">
        <f t="shared" si="7"/>
        <v>AerialRefuelTankerChanCode_chan017Z</v>
      </c>
      <c r="B462" s="330"/>
      <c r="C462" s="334"/>
      <c r="D462" s="188" t="s">
        <v>13681</v>
      </c>
      <c r="E462" s="189" t="s">
        <v>13682</v>
      </c>
      <c r="F462" s="162" t="s">
        <v>14557</v>
      </c>
      <c r="G462" s="162" t="s">
        <v>13413</v>
      </c>
      <c r="H462" s="219"/>
      <c r="I462" s="169">
        <v>116658</v>
      </c>
      <c r="J462" s="304" t="str">
        <f>CONCATENATE([2]Cover!$D$6,"fdd/view?i=",I462)</f>
        <v>https://www.dgiwg.org/FAD/fdd/view?i=116658</v>
      </c>
      <c r="K462" s="304" t="s">
        <v>34511</v>
      </c>
      <c r="L462" s="188">
        <v>35</v>
      </c>
      <c r="M462" s="179" t="s">
        <v>151</v>
      </c>
    </row>
    <row r="463" spans="1:13" ht="38.25">
      <c r="A463" s="313" t="str">
        <f t="shared" si="7"/>
        <v>AerialRefuelTankerChanCode_chan018W</v>
      </c>
      <c r="B463" s="330"/>
      <c r="C463" s="334"/>
      <c r="D463" s="188" t="s">
        <v>13684</v>
      </c>
      <c r="E463" s="189" t="s">
        <v>13685</v>
      </c>
      <c r="F463" s="162" t="s">
        <v>14558</v>
      </c>
      <c r="G463" s="162" t="s">
        <v>13413</v>
      </c>
      <c r="H463" s="219"/>
      <c r="I463" s="169">
        <v>116659</v>
      </c>
      <c r="J463" s="304" t="str">
        <f>CONCATENATE([2]Cover!$D$6,"fdd/view?i=",I463)</f>
        <v>https://www.dgiwg.org/FAD/fdd/view?i=116659</v>
      </c>
      <c r="K463" s="304" t="s">
        <v>34512</v>
      </c>
      <c r="L463" s="188">
        <v>36</v>
      </c>
      <c r="M463" s="179" t="s">
        <v>151</v>
      </c>
    </row>
    <row r="464" spans="1:13" ht="38.25">
      <c r="A464" s="313" t="str">
        <f t="shared" si="7"/>
        <v>AerialRefuelTankerChanCode_chan018X</v>
      </c>
      <c r="B464" s="330"/>
      <c r="C464" s="334"/>
      <c r="D464" s="188" t="s">
        <v>13687</v>
      </c>
      <c r="E464" s="189" t="s">
        <v>13688</v>
      </c>
      <c r="F464" s="162" t="s">
        <v>14559</v>
      </c>
      <c r="G464" s="162" t="s">
        <v>13413</v>
      </c>
      <c r="H464" s="219"/>
      <c r="I464" s="169">
        <v>116660</v>
      </c>
      <c r="J464" s="304" t="str">
        <f>CONCATENATE([2]Cover!$D$6,"fdd/view?i=",I464)</f>
        <v>https://www.dgiwg.org/FAD/fdd/view?i=116660</v>
      </c>
      <c r="K464" s="304" t="s">
        <v>34513</v>
      </c>
      <c r="L464" s="188">
        <v>37</v>
      </c>
      <c r="M464" s="179" t="s">
        <v>151</v>
      </c>
    </row>
    <row r="465" spans="1:13" ht="38.25">
      <c r="A465" s="313" t="str">
        <f t="shared" si="7"/>
        <v>AerialRefuelTankerChanCode_chan018Y</v>
      </c>
      <c r="B465" s="330"/>
      <c r="C465" s="334"/>
      <c r="D465" s="188" t="s">
        <v>13690</v>
      </c>
      <c r="E465" s="189" t="s">
        <v>13691</v>
      </c>
      <c r="F465" s="162" t="s">
        <v>14560</v>
      </c>
      <c r="G465" s="162" t="s">
        <v>13413</v>
      </c>
      <c r="H465" s="219"/>
      <c r="I465" s="169">
        <v>116661</v>
      </c>
      <c r="J465" s="304" t="str">
        <f>CONCATENATE([2]Cover!$D$6,"fdd/view?i=",I465)</f>
        <v>https://www.dgiwg.org/FAD/fdd/view?i=116661</v>
      </c>
      <c r="K465" s="304" t="s">
        <v>34514</v>
      </c>
      <c r="L465" s="188">
        <v>38</v>
      </c>
      <c r="M465" s="179" t="s">
        <v>151</v>
      </c>
    </row>
    <row r="466" spans="1:13" ht="38.25">
      <c r="A466" s="313" t="str">
        <f t="shared" si="7"/>
        <v>AerialRefuelTankerChanCode_chan018Z</v>
      </c>
      <c r="B466" s="330"/>
      <c r="C466" s="334"/>
      <c r="D466" s="188" t="s">
        <v>13693</v>
      </c>
      <c r="E466" s="189" t="s">
        <v>13694</v>
      </c>
      <c r="F466" s="162" t="s">
        <v>14561</v>
      </c>
      <c r="G466" s="162" t="s">
        <v>13413</v>
      </c>
      <c r="H466" s="219"/>
      <c r="I466" s="169">
        <v>116662</v>
      </c>
      <c r="J466" s="304" t="str">
        <f>CONCATENATE([2]Cover!$D$6,"fdd/view?i=",I466)</f>
        <v>https://www.dgiwg.org/FAD/fdd/view?i=116662</v>
      </c>
      <c r="K466" s="304" t="s">
        <v>34515</v>
      </c>
      <c r="L466" s="188">
        <v>39</v>
      </c>
      <c r="M466" s="179" t="s">
        <v>151</v>
      </c>
    </row>
    <row r="467" spans="1:13" ht="38.25">
      <c r="A467" s="313" t="str">
        <f t="shared" si="7"/>
        <v>AerialRefuelTankerChanCode_chan019X</v>
      </c>
      <c r="B467" s="330"/>
      <c r="C467" s="334"/>
      <c r="D467" s="188" t="s">
        <v>13696</v>
      </c>
      <c r="E467" s="189" t="s">
        <v>13697</v>
      </c>
      <c r="F467" s="162" t="s">
        <v>14562</v>
      </c>
      <c r="G467" s="162" t="s">
        <v>13413</v>
      </c>
      <c r="H467" s="219"/>
      <c r="I467" s="169">
        <v>116663</v>
      </c>
      <c r="J467" s="304" t="str">
        <f>CONCATENATE([2]Cover!$D$6,"fdd/view?i=",I467)</f>
        <v>https://www.dgiwg.org/FAD/fdd/view?i=116663</v>
      </c>
      <c r="K467" s="304" t="s">
        <v>34516</v>
      </c>
      <c r="L467" s="188">
        <v>40</v>
      </c>
      <c r="M467" s="179" t="s">
        <v>151</v>
      </c>
    </row>
    <row r="468" spans="1:13" ht="38.25">
      <c r="A468" s="313" t="str">
        <f t="shared" si="7"/>
        <v>AerialRefuelTankerChanCode_chan019Y</v>
      </c>
      <c r="B468" s="330"/>
      <c r="C468" s="334"/>
      <c r="D468" s="188" t="s">
        <v>13699</v>
      </c>
      <c r="E468" s="189" t="s">
        <v>13700</v>
      </c>
      <c r="F468" s="162" t="s">
        <v>14563</v>
      </c>
      <c r="G468" s="162" t="s">
        <v>13413</v>
      </c>
      <c r="H468" s="219"/>
      <c r="I468" s="169">
        <v>116664</v>
      </c>
      <c r="J468" s="304" t="str">
        <f>CONCATENATE([2]Cover!$D$6,"fdd/view?i=",I468)</f>
        <v>https://www.dgiwg.org/FAD/fdd/view?i=116664</v>
      </c>
      <c r="K468" s="304" t="s">
        <v>34517</v>
      </c>
      <c r="L468" s="188">
        <v>41</v>
      </c>
      <c r="M468" s="179" t="s">
        <v>151</v>
      </c>
    </row>
    <row r="469" spans="1:13" ht="38.25">
      <c r="A469" s="313" t="str">
        <f t="shared" si="7"/>
        <v>AerialRefuelTankerChanCode_chan019Z</v>
      </c>
      <c r="B469" s="330"/>
      <c r="C469" s="334"/>
      <c r="D469" s="188" t="s">
        <v>13702</v>
      </c>
      <c r="E469" s="189" t="s">
        <v>13703</v>
      </c>
      <c r="F469" s="162" t="s">
        <v>14564</v>
      </c>
      <c r="G469" s="162" t="s">
        <v>13413</v>
      </c>
      <c r="H469" s="219"/>
      <c r="I469" s="169">
        <v>116665</v>
      </c>
      <c r="J469" s="304" t="str">
        <f>CONCATENATE([2]Cover!$D$6,"fdd/view?i=",I469)</f>
        <v>https://www.dgiwg.org/FAD/fdd/view?i=116665</v>
      </c>
      <c r="K469" s="304" t="s">
        <v>34518</v>
      </c>
      <c r="L469" s="188">
        <v>42</v>
      </c>
      <c r="M469" s="179" t="s">
        <v>151</v>
      </c>
    </row>
    <row r="470" spans="1:13" ht="38.25">
      <c r="A470" s="313" t="str">
        <f t="shared" si="7"/>
        <v>AerialRefuelTankerChanCode_chan020W</v>
      </c>
      <c r="B470" s="330"/>
      <c r="C470" s="334"/>
      <c r="D470" s="188" t="s">
        <v>13711</v>
      </c>
      <c r="E470" s="189" t="s">
        <v>13712</v>
      </c>
      <c r="F470" s="162" t="s">
        <v>14567</v>
      </c>
      <c r="G470" s="162" t="s">
        <v>13413</v>
      </c>
      <c r="H470" s="219"/>
      <c r="I470" s="169">
        <v>116666</v>
      </c>
      <c r="J470" s="304" t="str">
        <f>CONCATENATE([2]Cover!$D$6,"fdd/view?i=",I470)</f>
        <v>https://www.dgiwg.org/FAD/fdd/view?i=116666</v>
      </c>
      <c r="K470" s="304" t="s">
        <v>34519</v>
      </c>
      <c r="L470" s="188">
        <v>43</v>
      </c>
      <c r="M470" s="179" t="s">
        <v>151</v>
      </c>
    </row>
    <row r="471" spans="1:13" ht="38.25">
      <c r="A471" s="313" t="str">
        <f t="shared" si="7"/>
        <v>AerialRefuelTankerChanCode_chan020X</v>
      </c>
      <c r="B471" s="330"/>
      <c r="C471" s="334"/>
      <c r="D471" s="188" t="s">
        <v>13714</v>
      </c>
      <c r="E471" s="189" t="s">
        <v>13715</v>
      </c>
      <c r="F471" s="162" t="s">
        <v>14568</v>
      </c>
      <c r="G471" s="162" t="s">
        <v>13413</v>
      </c>
      <c r="H471" s="219"/>
      <c r="I471" s="169">
        <v>116667</v>
      </c>
      <c r="J471" s="304" t="str">
        <f>CONCATENATE([2]Cover!$D$6,"fdd/view?i=",I471)</f>
        <v>https://www.dgiwg.org/FAD/fdd/view?i=116667</v>
      </c>
      <c r="K471" s="304" t="s">
        <v>34520</v>
      </c>
      <c r="L471" s="188">
        <v>44</v>
      </c>
      <c r="M471" s="179" t="s">
        <v>151</v>
      </c>
    </row>
    <row r="472" spans="1:13" ht="38.25">
      <c r="A472" s="313" t="str">
        <f t="shared" si="7"/>
        <v>AerialRefuelTankerChanCode_chan020Y</v>
      </c>
      <c r="B472" s="330"/>
      <c r="C472" s="334"/>
      <c r="D472" s="188" t="s">
        <v>13717</v>
      </c>
      <c r="E472" s="189" t="s">
        <v>13718</v>
      </c>
      <c r="F472" s="162" t="s">
        <v>14569</v>
      </c>
      <c r="G472" s="162" t="s">
        <v>13413</v>
      </c>
      <c r="H472" s="219"/>
      <c r="I472" s="169">
        <v>116668</v>
      </c>
      <c r="J472" s="304" t="str">
        <f>CONCATENATE([2]Cover!$D$6,"fdd/view?i=",I472)</f>
        <v>https://www.dgiwg.org/FAD/fdd/view?i=116668</v>
      </c>
      <c r="K472" s="304" t="s">
        <v>34521</v>
      </c>
      <c r="L472" s="188">
        <v>45</v>
      </c>
      <c r="M472" s="179" t="s">
        <v>151</v>
      </c>
    </row>
    <row r="473" spans="1:13" ht="38.25">
      <c r="A473" s="313" t="str">
        <f t="shared" si="7"/>
        <v>AerialRefuelTankerChanCode_chan020Z</v>
      </c>
      <c r="B473" s="330"/>
      <c r="C473" s="334"/>
      <c r="D473" s="188" t="s">
        <v>13720</v>
      </c>
      <c r="E473" s="189" t="s">
        <v>13721</v>
      </c>
      <c r="F473" s="162" t="s">
        <v>14570</v>
      </c>
      <c r="G473" s="162" t="s">
        <v>13413</v>
      </c>
      <c r="H473" s="219"/>
      <c r="I473" s="169">
        <v>116669</v>
      </c>
      <c r="J473" s="304" t="str">
        <f>CONCATENATE([2]Cover!$D$6,"fdd/view?i=",I473)</f>
        <v>https://www.dgiwg.org/FAD/fdd/view?i=116669</v>
      </c>
      <c r="K473" s="304" t="s">
        <v>34522</v>
      </c>
      <c r="L473" s="188">
        <v>46</v>
      </c>
      <c r="M473" s="179" t="s">
        <v>151</v>
      </c>
    </row>
    <row r="474" spans="1:13" ht="38.25">
      <c r="A474" s="313" t="str">
        <f t="shared" si="7"/>
        <v>AerialRefuelTankerChanCode_chan021X</v>
      </c>
      <c r="B474" s="330"/>
      <c r="C474" s="334"/>
      <c r="D474" s="188" t="s">
        <v>13723</v>
      </c>
      <c r="E474" s="189" t="s">
        <v>13724</v>
      </c>
      <c r="F474" s="162" t="s">
        <v>14571</v>
      </c>
      <c r="G474" s="162" t="s">
        <v>13413</v>
      </c>
      <c r="H474" s="219"/>
      <c r="I474" s="169">
        <v>116670</v>
      </c>
      <c r="J474" s="304" t="str">
        <f>CONCATENATE([2]Cover!$D$6,"fdd/view?i=",I474)</f>
        <v>https://www.dgiwg.org/FAD/fdd/view?i=116670</v>
      </c>
      <c r="K474" s="304" t="s">
        <v>34523</v>
      </c>
      <c r="L474" s="188">
        <v>47</v>
      </c>
      <c r="M474" s="179" t="s">
        <v>151</v>
      </c>
    </row>
    <row r="475" spans="1:13" ht="38.25">
      <c r="A475" s="313" t="str">
        <f t="shared" si="7"/>
        <v>AerialRefuelTankerChanCode_chan021Y</v>
      </c>
      <c r="B475" s="330"/>
      <c r="C475" s="334"/>
      <c r="D475" s="188" t="s">
        <v>13726</v>
      </c>
      <c r="E475" s="189" t="s">
        <v>13727</v>
      </c>
      <c r="F475" s="162" t="s">
        <v>14572</v>
      </c>
      <c r="G475" s="162" t="s">
        <v>13413</v>
      </c>
      <c r="H475" s="219"/>
      <c r="I475" s="169">
        <v>116671</v>
      </c>
      <c r="J475" s="304" t="str">
        <f>CONCATENATE([2]Cover!$D$6,"fdd/view?i=",I475)</f>
        <v>https://www.dgiwg.org/FAD/fdd/view?i=116671</v>
      </c>
      <c r="K475" s="304" t="s">
        <v>34524</v>
      </c>
      <c r="L475" s="188">
        <v>48</v>
      </c>
      <c r="M475" s="179" t="s">
        <v>151</v>
      </c>
    </row>
    <row r="476" spans="1:13" ht="38.25">
      <c r="A476" s="313" t="str">
        <f t="shared" si="7"/>
        <v>AerialRefuelTankerChanCode_chan021Z</v>
      </c>
      <c r="B476" s="330"/>
      <c r="C476" s="334"/>
      <c r="D476" s="188" t="s">
        <v>13729</v>
      </c>
      <c r="E476" s="189" t="s">
        <v>13730</v>
      </c>
      <c r="F476" s="162" t="s">
        <v>14573</v>
      </c>
      <c r="G476" s="162" t="s">
        <v>13413</v>
      </c>
      <c r="H476" s="219"/>
      <c r="I476" s="169">
        <v>116672</v>
      </c>
      <c r="J476" s="304" t="str">
        <f>CONCATENATE([2]Cover!$D$6,"fdd/view?i=",I476)</f>
        <v>https://www.dgiwg.org/FAD/fdd/view?i=116672</v>
      </c>
      <c r="K476" s="304" t="s">
        <v>34525</v>
      </c>
      <c r="L476" s="188">
        <v>49</v>
      </c>
      <c r="M476" s="179" t="s">
        <v>151</v>
      </c>
    </row>
    <row r="477" spans="1:13" ht="38.25">
      <c r="A477" s="313" t="str">
        <f t="shared" si="7"/>
        <v>AerialRefuelTankerChanCode_chan022W</v>
      </c>
      <c r="B477" s="330"/>
      <c r="C477" s="334"/>
      <c r="D477" s="188" t="s">
        <v>13732</v>
      </c>
      <c r="E477" s="189" t="s">
        <v>13733</v>
      </c>
      <c r="F477" s="162" t="s">
        <v>14574</v>
      </c>
      <c r="G477" s="162" t="s">
        <v>13413</v>
      </c>
      <c r="H477" s="219"/>
      <c r="I477" s="169">
        <v>116673</v>
      </c>
      <c r="J477" s="304" t="str">
        <f>CONCATENATE([2]Cover!$D$6,"fdd/view?i=",I477)</f>
        <v>https://www.dgiwg.org/FAD/fdd/view?i=116673</v>
      </c>
      <c r="K477" s="304" t="s">
        <v>34526</v>
      </c>
      <c r="L477" s="188">
        <v>50</v>
      </c>
      <c r="M477" s="179" t="s">
        <v>151</v>
      </c>
    </row>
    <row r="478" spans="1:13" ht="38.25">
      <c r="A478" s="313" t="str">
        <f t="shared" si="7"/>
        <v>AerialRefuelTankerChanCode_chan022X</v>
      </c>
      <c r="B478" s="330"/>
      <c r="C478" s="334"/>
      <c r="D478" s="188" t="s">
        <v>13735</v>
      </c>
      <c r="E478" s="189" t="s">
        <v>13736</v>
      </c>
      <c r="F478" s="162" t="s">
        <v>14575</v>
      </c>
      <c r="G478" s="162" t="s">
        <v>13413</v>
      </c>
      <c r="H478" s="219"/>
      <c r="I478" s="169">
        <v>116674</v>
      </c>
      <c r="J478" s="304" t="str">
        <f>CONCATENATE([2]Cover!$D$6,"fdd/view?i=",I478)</f>
        <v>https://www.dgiwg.org/FAD/fdd/view?i=116674</v>
      </c>
      <c r="K478" s="304" t="s">
        <v>34527</v>
      </c>
      <c r="L478" s="188">
        <v>51</v>
      </c>
      <c r="M478" s="179" t="s">
        <v>151</v>
      </c>
    </row>
    <row r="479" spans="1:13" ht="38.25">
      <c r="A479" s="313" t="str">
        <f t="shared" si="7"/>
        <v>AerialRefuelTankerChanCode_chan022Y</v>
      </c>
      <c r="B479" s="330"/>
      <c r="C479" s="334"/>
      <c r="D479" s="188" t="s">
        <v>13738</v>
      </c>
      <c r="E479" s="189" t="s">
        <v>13739</v>
      </c>
      <c r="F479" s="162" t="s">
        <v>14576</v>
      </c>
      <c r="G479" s="162" t="s">
        <v>13413</v>
      </c>
      <c r="H479" s="219"/>
      <c r="I479" s="169">
        <v>116675</v>
      </c>
      <c r="J479" s="304" t="str">
        <f>CONCATENATE([2]Cover!$D$6,"fdd/view?i=",I479)</f>
        <v>https://www.dgiwg.org/FAD/fdd/view?i=116675</v>
      </c>
      <c r="K479" s="304" t="s">
        <v>34528</v>
      </c>
      <c r="L479" s="188">
        <v>52</v>
      </c>
      <c r="M479" s="179" t="s">
        <v>151</v>
      </c>
    </row>
    <row r="480" spans="1:13" ht="38.25">
      <c r="A480" s="313" t="str">
        <f t="shared" si="7"/>
        <v>AerialRefuelTankerChanCode_chan022Z</v>
      </c>
      <c r="B480" s="330"/>
      <c r="C480" s="334"/>
      <c r="D480" s="188" t="s">
        <v>13741</v>
      </c>
      <c r="E480" s="189" t="s">
        <v>13742</v>
      </c>
      <c r="F480" s="162" t="s">
        <v>14577</v>
      </c>
      <c r="G480" s="162" t="s">
        <v>13413</v>
      </c>
      <c r="H480" s="219"/>
      <c r="I480" s="169">
        <v>116676</v>
      </c>
      <c r="J480" s="304" t="str">
        <f>CONCATENATE([2]Cover!$D$6,"fdd/view?i=",I480)</f>
        <v>https://www.dgiwg.org/FAD/fdd/view?i=116676</v>
      </c>
      <c r="K480" s="304" t="s">
        <v>34529</v>
      </c>
      <c r="L480" s="188">
        <v>53</v>
      </c>
      <c r="M480" s="179" t="s">
        <v>151</v>
      </c>
    </row>
    <row r="481" spans="1:13" ht="38.25">
      <c r="A481" s="313" t="str">
        <f t="shared" si="7"/>
        <v>AerialRefuelTankerChanCode_chan023X</v>
      </c>
      <c r="B481" s="330"/>
      <c r="C481" s="334"/>
      <c r="D481" s="188" t="s">
        <v>13744</v>
      </c>
      <c r="E481" s="189" t="s">
        <v>13745</v>
      </c>
      <c r="F481" s="162" t="s">
        <v>14578</v>
      </c>
      <c r="G481" s="162" t="s">
        <v>13413</v>
      </c>
      <c r="H481" s="219"/>
      <c r="I481" s="169">
        <v>116677</v>
      </c>
      <c r="J481" s="304" t="str">
        <f>CONCATENATE([2]Cover!$D$6,"fdd/view?i=",I481)</f>
        <v>https://www.dgiwg.org/FAD/fdd/view?i=116677</v>
      </c>
      <c r="K481" s="304" t="s">
        <v>34530</v>
      </c>
      <c r="L481" s="188">
        <v>54</v>
      </c>
      <c r="M481" s="179" t="s">
        <v>151</v>
      </c>
    </row>
    <row r="482" spans="1:13" ht="38.25">
      <c r="A482" s="313" t="str">
        <f t="shared" si="7"/>
        <v>AerialRefuelTankerChanCode_chan023Y</v>
      </c>
      <c r="B482" s="330"/>
      <c r="C482" s="334"/>
      <c r="D482" s="188" t="s">
        <v>13747</v>
      </c>
      <c r="E482" s="189" t="s">
        <v>13748</v>
      </c>
      <c r="F482" s="162" t="s">
        <v>14579</v>
      </c>
      <c r="G482" s="162" t="s">
        <v>13413</v>
      </c>
      <c r="H482" s="219"/>
      <c r="I482" s="169">
        <v>116678</v>
      </c>
      <c r="J482" s="304" t="str">
        <f>CONCATENATE([2]Cover!$D$6,"fdd/view?i=",I482)</f>
        <v>https://www.dgiwg.org/FAD/fdd/view?i=116678</v>
      </c>
      <c r="K482" s="304" t="s">
        <v>34531</v>
      </c>
      <c r="L482" s="188">
        <v>55</v>
      </c>
      <c r="M482" s="179" t="s">
        <v>151</v>
      </c>
    </row>
    <row r="483" spans="1:13" ht="38.25">
      <c r="A483" s="313" t="str">
        <f t="shared" si="7"/>
        <v>AerialRefuelTankerChanCode_chan023Z</v>
      </c>
      <c r="B483" s="330"/>
      <c r="C483" s="334"/>
      <c r="D483" s="188" t="s">
        <v>13750</v>
      </c>
      <c r="E483" s="189" t="s">
        <v>13751</v>
      </c>
      <c r="F483" s="162" t="s">
        <v>14580</v>
      </c>
      <c r="G483" s="162" t="s">
        <v>13413</v>
      </c>
      <c r="H483" s="219"/>
      <c r="I483" s="169">
        <v>116679</v>
      </c>
      <c r="J483" s="304" t="str">
        <f>CONCATENATE([2]Cover!$D$6,"fdd/view?i=",I483)</f>
        <v>https://www.dgiwg.org/FAD/fdd/view?i=116679</v>
      </c>
      <c r="K483" s="304" t="s">
        <v>34532</v>
      </c>
      <c r="L483" s="188">
        <v>56</v>
      </c>
      <c r="M483" s="179" t="s">
        <v>151</v>
      </c>
    </row>
    <row r="484" spans="1:13" ht="38.25">
      <c r="A484" s="313" t="str">
        <f t="shared" si="7"/>
        <v>AerialRefuelTankerChanCode_chan024W</v>
      </c>
      <c r="B484" s="330"/>
      <c r="C484" s="334"/>
      <c r="D484" s="188" t="s">
        <v>13753</v>
      </c>
      <c r="E484" s="189" t="s">
        <v>13754</v>
      </c>
      <c r="F484" s="162" t="s">
        <v>14581</v>
      </c>
      <c r="G484" s="162" t="s">
        <v>13413</v>
      </c>
      <c r="H484" s="219"/>
      <c r="I484" s="169">
        <v>116680</v>
      </c>
      <c r="J484" s="304" t="str">
        <f>CONCATENATE([2]Cover!$D$6,"fdd/view?i=",I484)</f>
        <v>https://www.dgiwg.org/FAD/fdd/view?i=116680</v>
      </c>
      <c r="K484" s="304" t="s">
        <v>34533</v>
      </c>
      <c r="L484" s="188">
        <v>57</v>
      </c>
      <c r="M484" s="179" t="s">
        <v>151</v>
      </c>
    </row>
    <row r="485" spans="1:13" ht="38.25">
      <c r="A485" s="313" t="str">
        <f t="shared" si="7"/>
        <v>AerialRefuelTankerChanCode_chan024X</v>
      </c>
      <c r="B485" s="330"/>
      <c r="C485" s="334"/>
      <c r="D485" s="188" t="s">
        <v>13756</v>
      </c>
      <c r="E485" s="189" t="s">
        <v>13757</v>
      </c>
      <c r="F485" s="162" t="s">
        <v>14582</v>
      </c>
      <c r="G485" s="162" t="s">
        <v>13413</v>
      </c>
      <c r="H485" s="219"/>
      <c r="I485" s="169">
        <v>116681</v>
      </c>
      <c r="J485" s="304" t="str">
        <f>CONCATENATE([2]Cover!$D$6,"fdd/view?i=",I485)</f>
        <v>https://www.dgiwg.org/FAD/fdd/view?i=116681</v>
      </c>
      <c r="K485" s="304" t="s">
        <v>34534</v>
      </c>
      <c r="L485" s="188">
        <v>58</v>
      </c>
      <c r="M485" s="179" t="s">
        <v>151</v>
      </c>
    </row>
    <row r="486" spans="1:13" ht="38.25">
      <c r="A486" s="313" t="str">
        <f t="shared" si="7"/>
        <v>AerialRefuelTankerChanCode_chan024Y</v>
      </c>
      <c r="B486" s="330"/>
      <c r="C486" s="334"/>
      <c r="D486" s="188" t="s">
        <v>13759</v>
      </c>
      <c r="E486" s="189" t="s">
        <v>13760</v>
      </c>
      <c r="F486" s="162" t="s">
        <v>14583</v>
      </c>
      <c r="G486" s="162" t="s">
        <v>13413</v>
      </c>
      <c r="H486" s="219"/>
      <c r="I486" s="169">
        <v>116682</v>
      </c>
      <c r="J486" s="304" t="str">
        <f>CONCATENATE([2]Cover!$D$6,"fdd/view?i=",I486)</f>
        <v>https://www.dgiwg.org/FAD/fdd/view?i=116682</v>
      </c>
      <c r="K486" s="304" t="s">
        <v>34535</v>
      </c>
      <c r="L486" s="188">
        <v>59</v>
      </c>
      <c r="M486" s="179" t="s">
        <v>151</v>
      </c>
    </row>
    <row r="487" spans="1:13" ht="38.25">
      <c r="A487" s="313" t="str">
        <f t="shared" si="7"/>
        <v>AerialRefuelTankerChanCode_chan024Z</v>
      </c>
      <c r="B487" s="330"/>
      <c r="C487" s="334"/>
      <c r="D487" s="188" t="s">
        <v>13762</v>
      </c>
      <c r="E487" s="189" t="s">
        <v>13763</v>
      </c>
      <c r="F487" s="162" t="s">
        <v>14584</v>
      </c>
      <c r="G487" s="162" t="s">
        <v>13413</v>
      </c>
      <c r="H487" s="219"/>
      <c r="I487" s="169">
        <v>116683</v>
      </c>
      <c r="J487" s="304" t="str">
        <f>CONCATENATE([2]Cover!$D$6,"fdd/view?i=",I487)</f>
        <v>https://www.dgiwg.org/FAD/fdd/view?i=116683</v>
      </c>
      <c r="K487" s="304" t="s">
        <v>34536</v>
      </c>
      <c r="L487" s="188">
        <v>60</v>
      </c>
      <c r="M487" s="179" t="s">
        <v>151</v>
      </c>
    </row>
    <row r="488" spans="1:13" ht="38.25">
      <c r="A488" s="313" t="str">
        <f t="shared" si="7"/>
        <v>AerialRefuelTankerChanCode_chan025X</v>
      </c>
      <c r="B488" s="330"/>
      <c r="C488" s="334"/>
      <c r="D488" s="188" t="s">
        <v>13765</v>
      </c>
      <c r="E488" s="189" t="s">
        <v>13766</v>
      </c>
      <c r="F488" s="162" t="s">
        <v>14585</v>
      </c>
      <c r="G488" s="162" t="s">
        <v>13413</v>
      </c>
      <c r="H488" s="219"/>
      <c r="I488" s="169">
        <v>116684</v>
      </c>
      <c r="J488" s="304" t="str">
        <f>CONCATENATE([2]Cover!$D$6,"fdd/view?i=",I488)</f>
        <v>https://www.dgiwg.org/FAD/fdd/view?i=116684</v>
      </c>
      <c r="K488" s="304" t="s">
        <v>34537</v>
      </c>
      <c r="L488" s="188">
        <v>61</v>
      </c>
      <c r="M488" s="179" t="s">
        <v>151</v>
      </c>
    </row>
    <row r="489" spans="1:13" ht="38.25">
      <c r="A489" s="313" t="str">
        <f t="shared" si="7"/>
        <v>AerialRefuelTankerChanCode_chan025Y</v>
      </c>
      <c r="B489" s="330"/>
      <c r="C489" s="334"/>
      <c r="D489" s="188" t="s">
        <v>13768</v>
      </c>
      <c r="E489" s="189" t="s">
        <v>13769</v>
      </c>
      <c r="F489" s="162" t="s">
        <v>14586</v>
      </c>
      <c r="G489" s="162" t="s">
        <v>13413</v>
      </c>
      <c r="H489" s="219"/>
      <c r="I489" s="169">
        <v>116685</v>
      </c>
      <c r="J489" s="304" t="str">
        <f>CONCATENATE([2]Cover!$D$6,"fdd/view?i=",I489)</f>
        <v>https://www.dgiwg.org/FAD/fdd/view?i=116685</v>
      </c>
      <c r="K489" s="304" t="s">
        <v>34538</v>
      </c>
      <c r="L489" s="188">
        <v>62</v>
      </c>
      <c r="M489" s="179" t="s">
        <v>151</v>
      </c>
    </row>
    <row r="490" spans="1:13" ht="38.25">
      <c r="A490" s="313" t="str">
        <f t="shared" si="7"/>
        <v>AerialRefuelTankerChanCode_chan025Z</v>
      </c>
      <c r="B490" s="330"/>
      <c r="C490" s="334"/>
      <c r="D490" s="188" t="s">
        <v>13771</v>
      </c>
      <c r="E490" s="189" t="s">
        <v>13772</v>
      </c>
      <c r="F490" s="162" t="s">
        <v>14587</v>
      </c>
      <c r="G490" s="162" t="s">
        <v>13413</v>
      </c>
      <c r="H490" s="219"/>
      <c r="I490" s="169">
        <v>116686</v>
      </c>
      <c r="J490" s="304" t="str">
        <f>CONCATENATE([2]Cover!$D$6,"fdd/view?i=",I490)</f>
        <v>https://www.dgiwg.org/FAD/fdd/view?i=116686</v>
      </c>
      <c r="K490" s="304" t="s">
        <v>34539</v>
      </c>
      <c r="L490" s="188">
        <v>63</v>
      </c>
      <c r="M490" s="179" t="s">
        <v>151</v>
      </c>
    </row>
    <row r="491" spans="1:13" ht="38.25">
      <c r="A491" s="313" t="str">
        <f t="shared" si="7"/>
        <v>AerialRefuelTankerChanCode_chan026W</v>
      </c>
      <c r="B491" s="330"/>
      <c r="C491" s="334"/>
      <c r="D491" s="188" t="s">
        <v>13774</v>
      </c>
      <c r="E491" s="189" t="s">
        <v>13775</v>
      </c>
      <c r="F491" s="162" t="s">
        <v>14588</v>
      </c>
      <c r="G491" s="162" t="s">
        <v>13413</v>
      </c>
      <c r="H491" s="219"/>
      <c r="I491" s="169">
        <v>116687</v>
      </c>
      <c r="J491" s="304" t="str">
        <f>CONCATENATE([2]Cover!$D$6,"fdd/view?i=",I491)</f>
        <v>https://www.dgiwg.org/FAD/fdd/view?i=116687</v>
      </c>
      <c r="K491" s="304" t="s">
        <v>34540</v>
      </c>
      <c r="L491" s="188">
        <v>64</v>
      </c>
      <c r="M491" s="179" t="s">
        <v>151</v>
      </c>
    </row>
    <row r="492" spans="1:13" ht="38.25">
      <c r="A492" s="313" t="str">
        <f t="shared" si="7"/>
        <v>AerialRefuelTankerChanCode_chan026X</v>
      </c>
      <c r="B492" s="330"/>
      <c r="C492" s="334"/>
      <c r="D492" s="188" t="s">
        <v>13777</v>
      </c>
      <c r="E492" s="189" t="s">
        <v>13778</v>
      </c>
      <c r="F492" s="162" t="s">
        <v>14589</v>
      </c>
      <c r="G492" s="162" t="s">
        <v>13413</v>
      </c>
      <c r="H492" s="219"/>
      <c r="I492" s="169">
        <v>116688</v>
      </c>
      <c r="J492" s="304" t="str">
        <f>CONCATENATE([2]Cover!$D$6,"fdd/view?i=",I492)</f>
        <v>https://www.dgiwg.org/FAD/fdd/view?i=116688</v>
      </c>
      <c r="K492" s="304" t="s">
        <v>34541</v>
      </c>
      <c r="L492" s="188">
        <v>65</v>
      </c>
      <c r="M492" s="179" t="s">
        <v>151</v>
      </c>
    </row>
    <row r="493" spans="1:13" ht="38.25">
      <c r="A493" s="313" t="str">
        <f t="shared" si="7"/>
        <v>AerialRefuelTankerChanCode_chan026Y</v>
      </c>
      <c r="B493" s="330"/>
      <c r="C493" s="334"/>
      <c r="D493" s="188" t="s">
        <v>13780</v>
      </c>
      <c r="E493" s="189" t="s">
        <v>13781</v>
      </c>
      <c r="F493" s="162" t="s">
        <v>14590</v>
      </c>
      <c r="G493" s="162" t="s">
        <v>13413</v>
      </c>
      <c r="H493" s="219"/>
      <c r="I493" s="169">
        <v>116689</v>
      </c>
      <c r="J493" s="304" t="str">
        <f>CONCATENATE([2]Cover!$D$6,"fdd/view?i=",I493)</f>
        <v>https://www.dgiwg.org/FAD/fdd/view?i=116689</v>
      </c>
      <c r="K493" s="304" t="s">
        <v>34542</v>
      </c>
      <c r="L493" s="188">
        <v>66</v>
      </c>
      <c r="M493" s="179" t="s">
        <v>151</v>
      </c>
    </row>
    <row r="494" spans="1:13" ht="38.25">
      <c r="A494" s="313" t="str">
        <f t="shared" si="7"/>
        <v>AerialRefuelTankerChanCode_chan026Z</v>
      </c>
      <c r="B494" s="330"/>
      <c r="C494" s="334"/>
      <c r="D494" s="188" t="s">
        <v>13783</v>
      </c>
      <c r="E494" s="189" t="s">
        <v>13784</v>
      </c>
      <c r="F494" s="162" t="s">
        <v>14591</v>
      </c>
      <c r="G494" s="162" t="s">
        <v>13413</v>
      </c>
      <c r="H494" s="219"/>
      <c r="I494" s="169">
        <v>116690</v>
      </c>
      <c r="J494" s="304" t="str">
        <f>CONCATENATE([2]Cover!$D$6,"fdd/view?i=",I494)</f>
        <v>https://www.dgiwg.org/FAD/fdd/view?i=116690</v>
      </c>
      <c r="K494" s="304" t="s">
        <v>34543</v>
      </c>
      <c r="L494" s="188">
        <v>67</v>
      </c>
      <c r="M494" s="179" t="s">
        <v>151</v>
      </c>
    </row>
    <row r="495" spans="1:13" ht="38.25">
      <c r="A495" s="313" t="str">
        <f t="shared" si="7"/>
        <v>AerialRefuelTankerChanCode_chan027X</v>
      </c>
      <c r="B495" s="330"/>
      <c r="C495" s="334"/>
      <c r="D495" s="188" t="s">
        <v>13786</v>
      </c>
      <c r="E495" s="189" t="s">
        <v>13787</v>
      </c>
      <c r="F495" s="162" t="s">
        <v>14592</v>
      </c>
      <c r="G495" s="162" t="s">
        <v>13413</v>
      </c>
      <c r="H495" s="219"/>
      <c r="I495" s="169">
        <v>116691</v>
      </c>
      <c r="J495" s="304" t="str">
        <f>CONCATENATE([2]Cover!$D$6,"fdd/view?i=",I495)</f>
        <v>https://www.dgiwg.org/FAD/fdd/view?i=116691</v>
      </c>
      <c r="K495" s="304" t="s">
        <v>34544</v>
      </c>
      <c r="L495" s="188">
        <v>68</v>
      </c>
      <c r="M495" s="179" t="s">
        <v>151</v>
      </c>
    </row>
    <row r="496" spans="1:13" ht="38.25">
      <c r="A496" s="313" t="str">
        <f t="shared" si="7"/>
        <v>AerialRefuelTankerChanCode_chan027Y</v>
      </c>
      <c r="B496" s="330"/>
      <c r="C496" s="334"/>
      <c r="D496" s="188" t="s">
        <v>13789</v>
      </c>
      <c r="E496" s="189" t="s">
        <v>13790</v>
      </c>
      <c r="F496" s="162" t="s">
        <v>14593</v>
      </c>
      <c r="G496" s="162" t="s">
        <v>13413</v>
      </c>
      <c r="H496" s="219"/>
      <c r="I496" s="169">
        <v>116692</v>
      </c>
      <c r="J496" s="304" t="str">
        <f>CONCATENATE([2]Cover!$D$6,"fdd/view?i=",I496)</f>
        <v>https://www.dgiwg.org/FAD/fdd/view?i=116692</v>
      </c>
      <c r="K496" s="304" t="s">
        <v>34545</v>
      </c>
      <c r="L496" s="188">
        <v>69</v>
      </c>
      <c r="M496" s="179" t="s">
        <v>151</v>
      </c>
    </row>
    <row r="497" spans="1:13" ht="38.25">
      <c r="A497" s="313" t="str">
        <f t="shared" si="7"/>
        <v>AerialRefuelTankerChanCode_chan027Z</v>
      </c>
      <c r="B497" s="330"/>
      <c r="C497" s="334"/>
      <c r="D497" s="188" t="s">
        <v>13792</v>
      </c>
      <c r="E497" s="189" t="s">
        <v>13793</v>
      </c>
      <c r="F497" s="162" t="s">
        <v>14594</v>
      </c>
      <c r="G497" s="162" t="s">
        <v>13413</v>
      </c>
      <c r="H497" s="219"/>
      <c r="I497" s="169">
        <v>116693</v>
      </c>
      <c r="J497" s="304" t="str">
        <f>CONCATENATE([2]Cover!$D$6,"fdd/view?i=",I497)</f>
        <v>https://www.dgiwg.org/FAD/fdd/view?i=116693</v>
      </c>
      <c r="K497" s="304" t="s">
        <v>34546</v>
      </c>
      <c r="L497" s="188">
        <v>70</v>
      </c>
      <c r="M497" s="179" t="s">
        <v>151</v>
      </c>
    </row>
    <row r="498" spans="1:13" ht="38.25">
      <c r="A498" s="313" t="str">
        <f t="shared" si="7"/>
        <v>AerialRefuelTankerChanCode_chan028W</v>
      </c>
      <c r="B498" s="330"/>
      <c r="C498" s="334"/>
      <c r="D498" s="188" t="s">
        <v>13795</v>
      </c>
      <c r="E498" s="189" t="s">
        <v>13796</v>
      </c>
      <c r="F498" s="162" t="s">
        <v>14595</v>
      </c>
      <c r="G498" s="162" t="s">
        <v>13413</v>
      </c>
      <c r="H498" s="219"/>
      <c r="I498" s="169">
        <v>116694</v>
      </c>
      <c r="J498" s="304" t="str">
        <f>CONCATENATE([2]Cover!$D$6,"fdd/view?i=",I498)</f>
        <v>https://www.dgiwg.org/FAD/fdd/view?i=116694</v>
      </c>
      <c r="K498" s="304" t="s">
        <v>34547</v>
      </c>
      <c r="L498" s="188">
        <v>71</v>
      </c>
      <c r="M498" s="179" t="s">
        <v>151</v>
      </c>
    </row>
    <row r="499" spans="1:13" ht="38.25">
      <c r="A499" s="313" t="str">
        <f t="shared" si="7"/>
        <v>AerialRefuelTankerChanCode_chan028X</v>
      </c>
      <c r="B499" s="330"/>
      <c r="C499" s="334"/>
      <c r="D499" s="188" t="s">
        <v>13798</v>
      </c>
      <c r="E499" s="189" t="s">
        <v>13799</v>
      </c>
      <c r="F499" s="162" t="s">
        <v>14596</v>
      </c>
      <c r="G499" s="162" t="s">
        <v>13413</v>
      </c>
      <c r="H499" s="219"/>
      <c r="I499" s="169">
        <v>116695</v>
      </c>
      <c r="J499" s="304" t="str">
        <f>CONCATENATE([2]Cover!$D$6,"fdd/view?i=",I499)</f>
        <v>https://www.dgiwg.org/FAD/fdd/view?i=116695</v>
      </c>
      <c r="K499" s="304" t="s">
        <v>34548</v>
      </c>
      <c r="L499" s="188">
        <v>72</v>
      </c>
      <c r="M499" s="179" t="s">
        <v>151</v>
      </c>
    </row>
    <row r="500" spans="1:13" ht="38.25">
      <c r="A500" s="313" t="str">
        <f t="shared" si="7"/>
        <v>AerialRefuelTankerChanCode_chan028Y</v>
      </c>
      <c r="B500" s="330"/>
      <c r="C500" s="334"/>
      <c r="D500" s="188" t="s">
        <v>13801</v>
      </c>
      <c r="E500" s="189" t="s">
        <v>13802</v>
      </c>
      <c r="F500" s="162" t="s">
        <v>14597</v>
      </c>
      <c r="G500" s="162" t="s">
        <v>13413</v>
      </c>
      <c r="H500" s="219"/>
      <c r="I500" s="169">
        <v>116696</v>
      </c>
      <c r="J500" s="304" t="str">
        <f>CONCATENATE([2]Cover!$D$6,"fdd/view?i=",I500)</f>
        <v>https://www.dgiwg.org/FAD/fdd/view?i=116696</v>
      </c>
      <c r="K500" s="304" t="s">
        <v>34549</v>
      </c>
      <c r="L500" s="188">
        <v>73</v>
      </c>
      <c r="M500" s="179" t="s">
        <v>151</v>
      </c>
    </row>
    <row r="501" spans="1:13" ht="38.25">
      <c r="A501" s="313" t="str">
        <f t="shared" si="7"/>
        <v>AerialRefuelTankerChanCode_chan028Z</v>
      </c>
      <c r="B501" s="330"/>
      <c r="C501" s="334"/>
      <c r="D501" s="188" t="s">
        <v>13804</v>
      </c>
      <c r="E501" s="189" t="s">
        <v>13805</v>
      </c>
      <c r="F501" s="162" t="s">
        <v>14598</v>
      </c>
      <c r="G501" s="162" t="s">
        <v>13413</v>
      </c>
      <c r="H501" s="219"/>
      <c r="I501" s="169">
        <v>116697</v>
      </c>
      <c r="J501" s="304" t="str">
        <f>CONCATENATE([2]Cover!$D$6,"fdd/view?i=",I501)</f>
        <v>https://www.dgiwg.org/FAD/fdd/view?i=116697</v>
      </c>
      <c r="K501" s="304" t="s">
        <v>34550</v>
      </c>
      <c r="L501" s="188">
        <v>74</v>
      </c>
      <c r="M501" s="179" t="s">
        <v>151</v>
      </c>
    </row>
    <row r="502" spans="1:13" ht="38.25">
      <c r="A502" s="313" t="str">
        <f t="shared" si="7"/>
        <v>AerialRefuelTankerChanCode_chan029X</v>
      </c>
      <c r="B502" s="330"/>
      <c r="C502" s="334"/>
      <c r="D502" s="188" t="s">
        <v>13807</v>
      </c>
      <c r="E502" s="189" t="s">
        <v>13808</v>
      </c>
      <c r="F502" s="162" t="s">
        <v>14599</v>
      </c>
      <c r="G502" s="162" t="s">
        <v>13413</v>
      </c>
      <c r="H502" s="219"/>
      <c r="I502" s="169">
        <v>116698</v>
      </c>
      <c r="J502" s="304" t="str">
        <f>CONCATENATE([2]Cover!$D$6,"fdd/view?i=",I502)</f>
        <v>https://www.dgiwg.org/FAD/fdd/view?i=116698</v>
      </c>
      <c r="K502" s="304" t="s">
        <v>34551</v>
      </c>
      <c r="L502" s="188">
        <v>75</v>
      </c>
      <c r="M502" s="179" t="s">
        <v>151</v>
      </c>
    </row>
    <row r="503" spans="1:13" ht="38.25">
      <c r="A503" s="313" t="str">
        <f t="shared" si="7"/>
        <v>AerialRefuelTankerChanCode_chan029Y</v>
      </c>
      <c r="B503" s="330"/>
      <c r="C503" s="334"/>
      <c r="D503" s="188" t="s">
        <v>13810</v>
      </c>
      <c r="E503" s="189" t="s">
        <v>13811</v>
      </c>
      <c r="F503" s="162" t="s">
        <v>14600</v>
      </c>
      <c r="G503" s="162" t="s">
        <v>13413</v>
      </c>
      <c r="H503" s="219"/>
      <c r="I503" s="169">
        <v>116699</v>
      </c>
      <c r="J503" s="304" t="str">
        <f>CONCATENATE([2]Cover!$D$6,"fdd/view?i=",I503)</f>
        <v>https://www.dgiwg.org/FAD/fdd/view?i=116699</v>
      </c>
      <c r="K503" s="304" t="s">
        <v>34552</v>
      </c>
      <c r="L503" s="188">
        <v>76</v>
      </c>
      <c r="M503" s="179" t="s">
        <v>151</v>
      </c>
    </row>
    <row r="504" spans="1:13" ht="38.25">
      <c r="A504" s="313" t="str">
        <f t="shared" si="7"/>
        <v>AerialRefuelTankerChanCode_chan029Z</v>
      </c>
      <c r="B504" s="330"/>
      <c r="C504" s="334"/>
      <c r="D504" s="188" t="s">
        <v>13813</v>
      </c>
      <c r="E504" s="189" t="s">
        <v>13814</v>
      </c>
      <c r="F504" s="162" t="s">
        <v>14601</v>
      </c>
      <c r="G504" s="162" t="s">
        <v>13413</v>
      </c>
      <c r="H504" s="219"/>
      <c r="I504" s="169">
        <v>116700</v>
      </c>
      <c r="J504" s="304" t="str">
        <f>CONCATENATE([2]Cover!$D$6,"fdd/view?i=",I504)</f>
        <v>https://www.dgiwg.org/FAD/fdd/view?i=116700</v>
      </c>
      <c r="K504" s="304" t="s">
        <v>34553</v>
      </c>
      <c r="L504" s="188">
        <v>77</v>
      </c>
      <c r="M504" s="179" t="s">
        <v>151</v>
      </c>
    </row>
    <row r="505" spans="1:13" ht="38.25">
      <c r="A505" s="313" t="str">
        <f t="shared" si="7"/>
        <v>AerialRefuelTankerChanCode_chan030W</v>
      </c>
      <c r="B505" s="330"/>
      <c r="C505" s="334"/>
      <c r="D505" s="188" t="s">
        <v>13822</v>
      </c>
      <c r="E505" s="189" t="s">
        <v>13823</v>
      </c>
      <c r="F505" s="162" t="s">
        <v>14604</v>
      </c>
      <c r="G505" s="162" t="s">
        <v>13413</v>
      </c>
      <c r="H505" s="219"/>
      <c r="I505" s="169">
        <v>116701</v>
      </c>
      <c r="J505" s="304" t="str">
        <f>CONCATENATE([2]Cover!$D$6,"fdd/view?i=",I505)</f>
        <v>https://www.dgiwg.org/FAD/fdd/view?i=116701</v>
      </c>
      <c r="K505" s="304" t="s">
        <v>34554</v>
      </c>
      <c r="L505" s="188">
        <v>78</v>
      </c>
      <c r="M505" s="179" t="s">
        <v>151</v>
      </c>
    </row>
    <row r="506" spans="1:13" ht="38.25">
      <c r="A506" s="313" t="str">
        <f t="shared" si="7"/>
        <v>AerialRefuelTankerChanCode_chan030X</v>
      </c>
      <c r="B506" s="330"/>
      <c r="C506" s="334"/>
      <c r="D506" s="188" t="s">
        <v>13825</v>
      </c>
      <c r="E506" s="189" t="s">
        <v>13826</v>
      </c>
      <c r="F506" s="162" t="s">
        <v>14605</v>
      </c>
      <c r="G506" s="162" t="s">
        <v>13413</v>
      </c>
      <c r="H506" s="219"/>
      <c r="I506" s="169">
        <v>116702</v>
      </c>
      <c r="J506" s="304" t="str">
        <f>CONCATENATE([2]Cover!$D$6,"fdd/view?i=",I506)</f>
        <v>https://www.dgiwg.org/FAD/fdd/view?i=116702</v>
      </c>
      <c r="K506" s="304" t="s">
        <v>34555</v>
      </c>
      <c r="L506" s="188">
        <v>79</v>
      </c>
      <c r="M506" s="179" t="s">
        <v>151</v>
      </c>
    </row>
    <row r="507" spans="1:13" ht="38.25">
      <c r="A507" s="313" t="str">
        <f t="shared" si="7"/>
        <v>AerialRefuelTankerChanCode_chan030Y</v>
      </c>
      <c r="B507" s="330"/>
      <c r="C507" s="334"/>
      <c r="D507" s="188" t="s">
        <v>13828</v>
      </c>
      <c r="E507" s="189" t="s">
        <v>13829</v>
      </c>
      <c r="F507" s="162" t="s">
        <v>14606</v>
      </c>
      <c r="G507" s="162" t="s">
        <v>13413</v>
      </c>
      <c r="H507" s="219"/>
      <c r="I507" s="169">
        <v>116703</v>
      </c>
      <c r="J507" s="304" t="str">
        <f>CONCATENATE([2]Cover!$D$6,"fdd/view?i=",I507)</f>
        <v>https://www.dgiwg.org/FAD/fdd/view?i=116703</v>
      </c>
      <c r="K507" s="304" t="s">
        <v>34556</v>
      </c>
      <c r="L507" s="188">
        <v>80</v>
      </c>
      <c r="M507" s="179" t="s">
        <v>151</v>
      </c>
    </row>
    <row r="508" spans="1:13" ht="38.25">
      <c r="A508" s="313" t="str">
        <f t="shared" si="7"/>
        <v>AerialRefuelTankerChanCode_chan030Z</v>
      </c>
      <c r="B508" s="330"/>
      <c r="C508" s="334"/>
      <c r="D508" s="188" t="s">
        <v>13831</v>
      </c>
      <c r="E508" s="189" t="s">
        <v>13832</v>
      </c>
      <c r="F508" s="162" t="s">
        <v>14607</v>
      </c>
      <c r="G508" s="162" t="s">
        <v>13413</v>
      </c>
      <c r="H508" s="219"/>
      <c r="I508" s="169">
        <v>116704</v>
      </c>
      <c r="J508" s="304" t="str">
        <f>CONCATENATE([2]Cover!$D$6,"fdd/view?i=",I508)</f>
        <v>https://www.dgiwg.org/FAD/fdd/view?i=116704</v>
      </c>
      <c r="K508" s="304" t="s">
        <v>34557</v>
      </c>
      <c r="L508" s="188">
        <v>81</v>
      </c>
      <c r="M508" s="179" t="s">
        <v>151</v>
      </c>
    </row>
    <row r="509" spans="1:13" ht="38.25">
      <c r="A509" s="313" t="str">
        <f t="shared" si="7"/>
        <v>AerialRefuelTankerChanCode_chan031X</v>
      </c>
      <c r="B509" s="330"/>
      <c r="C509" s="334"/>
      <c r="D509" s="188" t="s">
        <v>13834</v>
      </c>
      <c r="E509" s="189" t="s">
        <v>13835</v>
      </c>
      <c r="F509" s="162" t="s">
        <v>14608</v>
      </c>
      <c r="G509" s="162" t="s">
        <v>13413</v>
      </c>
      <c r="H509" s="219"/>
      <c r="I509" s="169">
        <v>116705</v>
      </c>
      <c r="J509" s="304" t="str">
        <f>CONCATENATE([2]Cover!$D$6,"fdd/view?i=",I509)</f>
        <v>https://www.dgiwg.org/FAD/fdd/view?i=116705</v>
      </c>
      <c r="K509" s="304" t="s">
        <v>34558</v>
      </c>
      <c r="L509" s="188">
        <v>82</v>
      </c>
      <c r="M509" s="179" t="s">
        <v>151</v>
      </c>
    </row>
    <row r="510" spans="1:13" ht="38.25">
      <c r="A510" s="313" t="str">
        <f t="shared" si="7"/>
        <v>AerialRefuelTankerChanCode_chan031Y</v>
      </c>
      <c r="B510" s="330"/>
      <c r="C510" s="334"/>
      <c r="D510" s="188" t="s">
        <v>13837</v>
      </c>
      <c r="E510" s="189" t="s">
        <v>13838</v>
      </c>
      <c r="F510" s="162" t="s">
        <v>14609</v>
      </c>
      <c r="G510" s="162" t="s">
        <v>13413</v>
      </c>
      <c r="H510" s="219"/>
      <c r="I510" s="169">
        <v>116706</v>
      </c>
      <c r="J510" s="304" t="str">
        <f>CONCATENATE([2]Cover!$D$6,"fdd/view?i=",I510)</f>
        <v>https://www.dgiwg.org/FAD/fdd/view?i=116706</v>
      </c>
      <c r="K510" s="304" t="s">
        <v>34559</v>
      </c>
      <c r="L510" s="188">
        <v>83</v>
      </c>
      <c r="M510" s="179" t="s">
        <v>151</v>
      </c>
    </row>
    <row r="511" spans="1:13" ht="38.25">
      <c r="A511" s="313" t="str">
        <f t="shared" si="7"/>
        <v>AerialRefuelTankerChanCode_chan031Z</v>
      </c>
      <c r="B511" s="330"/>
      <c r="C511" s="334"/>
      <c r="D511" s="188" t="s">
        <v>13840</v>
      </c>
      <c r="E511" s="189" t="s">
        <v>13841</v>
      </c>
      <c r="F511" s="162" t="s">
        <v>14610</v>
      </c>
      <c r="G511" s="162" t="s">
        <v>13413</v>
      </c>
      <c r="H511" s="219"/>
      <c r="I511" s="169">
        <v>116707</v>
      </c>
      <c r="J511" s="304" t="str">
        <f>CONCATENATE([2]Cover!$D$6,"fdd/view?i=",I511)</f>
        <v>https://www.dgiwg.org/FAD/fdd/view?i=116707</v>
      </c>
      <c r="K511" s="304" t="s">
        <v>34560</v>
      </c>
      <c r="L511" s="188">
        <v>84</v>
      </c>
      <c r="M511" s="179" t="s">
        <v>151</v>
      </c>
    </row>
    <row r="512" spans="1:13" ht="38.25">
      <c r="A512" s="313" t="str">
        <f t="shared" si="7"/>
        <v>AerialRefuelTankerChanCode_chan032W</v>
      </c>
      <c r="B512" s="330"/>
      <c r="C512" s="334"/>
      <c r="D512" s="188" t="s">
        <v>13843</v>
      </c>
      <c r="E512" s="189" t="s">
        <v>13844</v>
      </c>
      <c r="F512" s="162" t="s">
        <v>14611</v>
      </c>
      <c r="G512" s="162" t="s">
        <v>13413</v>
      </c>
      <c r="H512" s="219"/>
      <c r="I512" s="169">
        <v>116708</v>
      </c>
      <c r="J512" s="304" t="str">
        <f>CONCATENATE([2]Cover!$D$6,"fdd/view?i=",I512)</f>
        <v>https://www.dgiwg.org/FAD/fdd/view?i=116708</v>
      </c>
      <c r="K512" s="304" t="s">
        <v>34561</v>
      </c>
      <c r="L512" s="188">
        <v>85</v>
      </c>
      <c r="M512" s="179" t="s">
        <v>151</v>
      </c>
    </row>
    <row r="513" spans="1:13" ht="38.25">
      <c r="A513" s="313" t="str">
        <f t="shared" si="7"/>
        <v>AerialRefuelTankerChanCode_chan032X</v>
      </c>
      <c r="B513" s="330"/>
      <c r="C513" s="334"/>
      <c r="D513" s="188" t="s">
        <v>13846</v>
      </c>
      <c r="E513" s="189" t="s">
        <v>13847</v>
      </c>
      <c r="F513" s="162" t="s">
        <v>14612</v>
      </c>
      <c r="G513" s="162" t="s">
        <v>13413</v>
      </c>
      <c r="H513" s="219"/>
      <c r="I513" s="169">
        <v>116709</v>
      </c>
      <c r="J513" s="304" t="str">
        <f>CONCATENATE([2]Cover!$D$6,"fdd/view?i=",I513)</f>
        <v>https://www.dgiwg.org/FAD/fdd/view?i=116709</v>
      </c>
      <c r="K513" s="304" t="s">
        <v>34562</v>
      </c>
      <c r="L513" s="188">
        <v>86</v>
      </c>
      <c r="M513" s="179" t="s">
        <v>151</v>
      </c>
    </row>
    <row r="514" spans="1:13" ht="38.25">
      <c r="A514" s="313" t="str">
        <f t="shared" si="7"/>
        <v>AerialRefuelTankerChanCode_chan032Y</v>
      </c>
      <c r="B514" s="330"/>
      <c r="C514" s="334"/>
      <c r="D514" s="188" t="s">
        <v>13849</v>
      </c>
      <c r="E514" s="189" t="s">
        <v>13850</v>
      </c>
      <c r="F514" s="162" t="s">
        <v>14613</v>
      </c>
      <c r="G514" s="162" t="s">
        <v>13413</v>
      </c>
      <c r="H514" s="219"/>
      <c r="I514" s="169">
        <v>116710</v>
      </c>
      <c r="J514" s="304" t="str">
        <f>CONCATENATE([2]Cover!$D$6,"fdd/view?i=",I514)</f>
        <v>https://www.dgiwg.org/FAD/fdd/view?i=116710</v>
      </c>
      <c r="K514" s="304" t="s">
        <v>34563</v>
      </c>
      <c r="L514" s="188">
        <v>87</v>
      </c>
      <c r="M514" s="179" t="s">
        <v>151</v>
      </c>
    </row>
    <row r="515" spans="1:13" ht="38.25">
      <c r="A515" s="313" t="str">
        <f t="shared" ref="A515:A578" si="8">HYPERLINK(J515,K515)</f>
        <v>AerialRefuelTankerChanCode_chan032Z</v>
      </c>
      <c r="B515" s="330"/>
      <c r="C515" s="334"/>
      <c r="D515" s="188" t="s">
        <v>13852</v>
      </c>
      <c r="E515" s="189" t="s">
        <v>13853</v>
      </c>
      <c r="F515" s="162" t="s">
        <v>14614</v>
      </c>
      <c r="G515" s="162" t="s">
        <v>13413</v>
      </c>
      <c r="H515" s="219"/>
      <c r="I515" s="169">
        <v>116711</v>
      </c>
      <c r="J515" s="304" t="str">
        <f>CONCATENATE([2]Cover!$D$6,"fdd/view?i=",I515)</f>
        <v>https://www.dgiwg.org/FAD/fdd/view?i=116711</v>
      </c>
      <c r="K515" s="304" t="s">
        <v>34564</v>
      </c>
      <c r="L515" s="188">
        <v>88</v>
      </c>
      <c r="M515" s="179" t="s">
        <v>151</v>
      </c>
    </row>
    <row r="516" spans="1:13" ht="38.25">
      <c r="A516" s="313" t="str">
        <f t="shared" si="8"/>
        <v>AerialRefuelTankerChanCode_chan033X</v>
      </c>
      <c r="B516" s="330"/>
      <c r="C516" s="334"/>
      <c r="D516" s="188" t="s">
        <v>13855</v>
      </c>
      <c r="E516" s="189" t="s">
        <v>13856</v>
      </c>
      <c r="F516" s="162" t="s">
        <v>14615</v>
      </c>
      <c r="G516" s="162" t="s">
        <v>13413</v>
      </c>
      <c r="H516" s="219"/>
      <c r="I516" s="169">
        <v>116712</v>
      </c>
      <c r="J516" s="304" t="str">
        <f>CONCATENATE([2]Cover!$D$6,"fdd/view?i=",I516)</f>
        <v>https://www.dgiwg.org/FAD/fdd/view?i=116712</v>
      </c>
      <c r="K516" s="304" t="s">
        <v>34565</v>
      </c>
      <c r="L516" s="188">
        <v>89</v>
      </c>
      <c r="M516" s="179" t="s">
        <v>151</v>
      </c>
    </row>
    <row r="517" spans="1:13" ht="38.25">
      <c r="A517" s="313" t="str">
        <f t="shared" si="8"/>
        <v>AerialRefuelTankerChanCode_chan033Y</v>
      </c>
      <c r="B517" s="330"/>
      <c r="C517" s="334"/>
      <c r="D517" s="188" t="s">
        <v>13858</v>
      </c>
      <c r="E517" s="189" t="s">
        <v>13859</v>
      </c>
      <c r="F517" s="162" t="s">
        <v>14616</v>
      </c>
      <c r="G517" s="162" t="s">
        <v>13413</v>
      </c>
      <c r="H517" s="219"/>
      <c r="I517" s="169">
        <v>116713</v>
      </c>
      <c r="J517" s="304" t="str">
        <f>CONCATENATE([2]Cover!$D$6,"fdd/view?i=",I517)</f>
        <v>https://www.dgiwg.org/FAD/fdd/view?i=116713</v>
      </c>
      <c r="K517" s="304" t="s">
        <v>34566</v>
      </c>
      <c r="L517" s="188">
        <v>90</v>
      </c>
      <c r="M517" s="179" t="s">
        <v>151</v>
      </c>
    </row>
    <row r="518" spans="1:13" ht="38.25">
      <c r="A518" s="313" t="str">
        <f t="shared" si="8"/>
        <v>AerialRefuelTankerChanCode_chan033Z</v>
      </c>
      <c r="B518" s="330"/>
      <c r="C518" s="334"/>
      <c r="D518" s="188" t="s">
        <v>13861</v>
      </c>
      <c r="E518" s="189" t="s">
        <v>13862</v>
      </c>
      <c r="F518" s="162" t="s">
        <v>14617</v>
      </c>
      <c r="G518" s="162" t="s">
        <v>13413</v>
      </c>
      <c r="H518" s="219"/>
      <c r="I518" s="169">
        <v>116714</v>
      </c>
      <c r="J518" s="304" t="str">
        <f>CONCATENATE([2]Cover!$D$6,"fdd/view?i=",I518)</f>
        <v>https://www.dgiwg.org/FAD/fdd/view?i=116714</v>
      </c>
      <c r="K518" s="304" t="s">
        <v>34567</v>
      </c>
      <c r="L518" s="188">
        <v>91</v>
      </c>
      <c r="M518" s="179" t="s">
        <v>151</v>
      </c>
    </row>
    <row r="519" spans="1:13" ht="38.25">
      <c r="A519" s="313" t="str">
        <f t="shared" si="8"/>
        <v>AerialRefuelTankerChanCode_chan034W</v>
      </c>
      <c r="B519" s="330"/>
      <c r="C519" s="334"/>
      <c r="D519" s="188" t="s">
        <v>13864</v>
      </c>
      <c r="E519" s="189" t="s">
        <v>13865</v>
      </c>
      <c r="F519" s="162" t="s">
        <v>14618</v>
      </c>
      <c r="G519" s="162" t="s">
        <v>13413</v>
      </c>
      <c r="H519" s="219"/>
      <c r="I519" s="169">
        <v>116715</v>
      </c>
      <c r="J519" s="304" t="str">
        <f>CONCATENATE([2]Cover!$D$6,"fdd/view?i=",I519)</f>
        <v>https://www.dgiwg.org/FAD/fdd/view?i=116715</v>
      </c>
      <c r="K519" s="304" t="s">
        <v>34568</v>
      </c>
      <c r="L519" s="188">
        <v>92</v>
      </c>
      <c r="M519" s="179" t="s">
        <v>151</v>
      </c>
    </row>
    <row r="520" spans="1:13" ht="38.25">
      <c r="A520" s="313" t="str">
        <f t="shared" si="8"/>
        <v>AerialRefuelTankerChanCode_chan034X</v>
      </c>
      <c r="B520" s="330"/>
      <c r="C520" s="334"/>
      <c r="D520" s="188" t="s">
        <v>13867</v>
      </c>
      <c r="E520" s="189" t="s">
        <v>13868</v>
      </c>
      <c r="F520" s="162" t="s">
        <v>14619</v>
      </c>
      <c r="G520" s="162" t="s">
        <v>13413</v>
      </c>
      <c r="H520" s="219"/>
      <c r="I520" s="169">
        <v>116716</v>
      </c>
      <c r="J520" s="304" t="str">
        <f>CONCATENATE([2]Cover!$D$6,"fdd/view?i=",I520)</f>
        <v>https://www.dgiwg.org/FAD/fdd/view?i=116716</v>
      </c>
      <c r="K520" s="304" t="s">
        <v>34569</v>
      </c>
      <c r="L520" s="188">
        <v>93</v>
      </c>
      <c r="M520" s="179" t="s">
        <v>151</v>
      </c>
    </row>
    <row r="521" spans="1:13" ht="38.25">
      <c r="A521" s="313" t="str">
        <f t="shared" si="8"/>
        <v>AerialRefuelTankerChanCode_chan034Y</v>
      </c>
      <c r="B521" s="330"/>
      <c r="C521" s="334"/>
      <c r="D521" s="188" t="s">
        <v>13870</v>
      </c>
      <c r="E521" s="189" t="s">
        <v>13871</v>
      </c>
      <c r="F521" s="162" t="s">
        <v>14620</v>
      </c>
      <c r="G521" s="162" t="s">
        <v>13413</v>
      </c>
      <c r="H521" s="219"/>
      <c r="I521" s="169">
        <v>116717</v>
      </c>
      <c r="J521" s="304" t="str">
        <f>CONCATENATE([2]Cover!$D$6,"fdd/view?i=",I521)</f>
        <v>https://www.dgiwg.org/FAD/fdd/view?i=116717</v>
      </c>
      <c r="K521" s="304" t="s">
        <v>34570</v>
      </c>
      <c r="L521" s="188">
        <v>94</v>
      </c>
      <c r="M521" s="179" t="s">
        <v>151</v>
      </c>
    </row>
    <row r="522" spans="1:13" ht="38.25">
      <c r="A522" s="313" t="str">
        <f t="shared" si="8"/>
        <v>AerialRefuelTankerChanCode_chan034Z</v>
      </c>
      <c r="B522" s="330"/>
      <c r="C522" s="334"/>
      <c r="D522" s="188" t="s">
        <v>13873</v>
      </c>
      <c r="E522" s="189" t="s">
        <v>13874</v>
      </c>
      <c r="F522" s="162" t="s">
        <v>14621</v>
      </c>
      <c r="G522" s="162" t="s">
        <v>13413</v>
      </c>
      <c r="H522" s="219"/>
      <c r="I522" s="169">
        <v>116718</v>
      </c>
      <c r="J522" s="304" t="str">
        <f>CONCATENATE([2]Cover!$D$6,"fdd/view?i=",I522)</f>
        <v>https://www.dgiwg.org/FAD/fdd/view?i=116718</v>
      </c>
      <c r="K522" s="304" t="s">
        <v>34571</v>
      </c>
      <c r="L522" s="188">
        <v>95</v>
      </c>
      <c r="M522" s="179" t="s">
        <v>151</v>
      </c>
    </row>
    <row r="523" spans="1:13" ht="38.25">
      <c r="A523" s="313" t="str">
        <f t="shared" si="8"/>
        <v>AerialRefuelTankerChanCode_chan035X</v>
      </c>
      <c r="B523" s="330"/>
      <c r="C523" s="334"/>
      <c r="D523" s="188" t="s">
        <v>13876</v>
      </c>
      <c r="E523" s="189" t="s">
        <v>13877</v>
      </c>
      <c r="F523" s="162" t="s">
        <v>14622</v>
      </c>
      <c r="G523" s="162" t="s">
        <v>13413</v>
      </c>
      <c r="H523" s="219"/>
      <c r="I523" s="169">
        <v>116719</v>
      </c>
      <c r="J523" s="304" t="str">
        <f>CONCATENATE([2]Cover!$D$6,"fdd/view?i=",I523)</f>
        <v>https://www.dgiwg.org/FAD/fdd/view?i=116719</v>
      </c>
      <c r="K523" s="304" t="s">
        <v>34572</v>
      </c>
      <c r="L523" s="188">
        <v>96</v>
      </c>
      <c r="M523" s="179" t="s">
        <v>151</v>
      </c>
    </row>
    <row r="524" spans="1:13" ht="38.25">
      <c r="A524" s="313" t="str">
        <f t="shared" si="8"/>
        <v>AerialRefuelTankerChanCode_chan035Y</v>
      </c>
      <c r="B524" s="330"/>
      <c r="C524" s="334"/>
      <c r="D524" s="188" t="s">
        <v>13879</v>
      </c>
      <c r="E524" s="189" t="s">
        <v>13880</v>
      </c>
      <c r="F524" s="162" t="s">
        <v>14623</v>
      </c>
      <c r="G524" s="162" t="s">
        <v>13413</v>
      </c>
      <c r="H524" s="219"/>
      <c r="I524" s="169">
        <v>116720</v>
      </c>
      <c r="J524" s="304" t="str">
        <f>CONCATENATE([2]Cover!$D$6,"fdd/view?i=",I524)</f>
        <v>https://www.dgiwg.org/FAD/fdd/view?i=116720</v>
      </c>
      <c r="K524" s="304" t="s">
        <v>34573</v>
      </c>
      <c r="L524" s="188">
        <v>97</v>
      </c>
      <c r="M524" s="179" t="s">
        <v>151</v>
      </c>
    </row>
    <row r="525" spans="1:13" ht="38.25">
      <c r="A525" s="313" t="str">
        <f t="shared" si="8"/>
        <v>AerialRefuelTankerChanCode_chan035Z</v>
      </c>
      <c r="B525" s="330"/>
      <c r="C525" s="334"/>
      <c r="D525" s="188" t="s">
        <v>13882</v>
      </c>
      <c r="E525" s="189" t="s">
        <v>13883</v>
      </c>
      <c r="F525" s="162" t="s">
        <v>14624</v>
      </c>
      <c r="G525" s="162" t="s">
        <v>13413</v>
      </c>
      <c r="H525" s="219"/>
      <c r="I525" s="169">
        <v>116721</v>
      </c>
      <c r="J525" s="304" t="str">
        <f>CONCATENATE([2]Cover!$D$6,"fdd/view?i=",I525)</f>
        <v>https://www.dgiwg.org/FAD/fdd/view?i=116721</v>
      </c>
      <c r="K525" s="304" t="s">
        <v>34574</v>
      </c>
      <c r="L525" s="188">
        <v>98</v>
      </c>
      <c r="M525" s="179" t="s">
        <v>151</v>
      </c>
    </row>
    <row r="526" spans="1:13" ht="38.25">
      <c r="A526" s="313" t="str">
        <f t="shared" si="8"/>
        <v>AerialRefuelTankerChanCode_chan036W</v>
      </c>
      <c r="B526" s="330"/>
      <c r="C526" s="334"/>
      <c r="D526" s="188" t="s">
        <v>13885</v>
      </c>
      <c r="E526" s="189" t="s">
        <v>13886</v>
      </c>
      <c r="F526" s="162" t="s">
        <v>14625</v>
      </c>
      <c r="G526" s="162" t="s">
        <v>13413</v>
      </c>
      <c r="H526" s="219"/>
      <c r="I526" s="169">
        <v>116722</v>
      </c>
      <c r="J526" s="304" t="str">
        <f>CONCATENATE([2]Cover!$D$6,"fdd/view?i=",I526)</f>
        <v>https://www.dgiwg.org/FAD/fdd/view?i=116722</v>
      </c>
      <c r="K526" s="304" t="s">
        <v>34575</v>
      </c>
      <c r="L526" s="188">
        <v>99</v>
      </c>
      <c r="M526" s="179" t="s">
        <v>151</v>
      </c>
    </row>
    <row r="527" spans="1:13" ht="38.25">
      <c r="A527" s="313" t="str">
        <f t="shared" si="8"/>
        <v>AerialRefuelTankerChanCode_chan036X</v>
      </c>
      <c r="B527" s="330"/>
      <c r="C527" s="334"/>
      <c r="D527" s="188" t="s">
        <v>13888</v>
      </c>
      <c r="E527" s="189" t="s">
        <v>13889</v>
      </c>
      <c r="F527" s="162" t="s">
        <v>14626</v>
      </c>
      <c r="G527" s="162" t="s">
        <v>13413</v>
      </c>
      <c r="H527" s="219"/>
      <c r="I527" s="169">
        <v>116723</v>
      </c>
      <c r="J527" s="304" t="str">
        <f>CONCATENATE([2]Cover!$D$6,"fdd/view?i=",I527)</f>
        <v>https://www.dgiwg.org/FAD/fdd/view?i=116723</v>
      </c>
      <c r="K527" s="304" t="s">
        <v>34576</v>
      </c>
      <c r="L527" s="188">
        <v>100</v>
      </c>
      <c r="M527" s="179" t="s">
        <v>151</v>
      </c>
    </row>
    <row r="528" spans="1:13" ht="38.25">
      <c r="A528" s="313" t="str">
        <f t="shared" si="8"/>
        <v>AerialRefuelTankerChanCode_chan036Y</v>
      </c>
      <c r="B528" s="330"/>
      <c r="C528" s="334"/>
      <c r="D528" s="188" t="s">
        <v>13891</v>
      </c>
      <c r="E528" s="189" t="s">
        <v>13892</v>
      </c>
      <c r="F528" s="162" t="s">
        <v>14627</v>
      </c>
      <c r="G528" s="162" t="s">
        <v>13413</v>
      </c>
      <c r="H528" s="219"/>
      <c r="I528" s="169">
        <v>116724</v>
      </c>
      <c r="J528" s="304" t="str">
        <f>CONCATENATE([2]Cover!$D$6,"fdd/view?i=",I528)</f>
        <v>https://www.dgiwg.org/FAD/fdd/view?i=116724</v>
      </c>
      <c r="K528" s="304" t="s">
        <v>34577</v>
      </c>
      <c r="L528" s="188">
        <v>101</v>
      </c>
      <c r="M528" s="179" t="s">
        <v>151</v>
      </c>
    </row>
    <row r="529" spans="1:13" ht="38.25">
      <c r="A529" s="313" t="str">
        <f t="shared" si="8"/>
        <v>AerialRefuelTankerChanCode_chan036Z</v>
      </c>
      <c r="B529" s="330"/>
      <c r="C529" s="334"/>
      <c r="D529" s="188" t="s">
        <v>13894</v>
      </c>
      <c r="E529" s="189" t="s">
        <v>13895</v>
      </c>
      <c r="F529" s="162" t="s">
        <v>14628</v>
      </c>
      <c r="G529" s="162" t="s">
        <v>13413</v>
      </c>
      <c r="H529" s="219"/>
      <c r="I529" s="169">
        <v>116725</v>
      </c>
      <c r="J529" s="304" t="str">
        <f>CONCATENATE([2]Cover!$D$6,"fdd/view?i=",I529)</f>
        <v>https://www.dgiwg.org/FAD/fdd/view?i=116725</v>
      </c>
      <c r="K529" s="304" t="s">
        <v>34578</v>
      </c>
      <c r="L529" s="188">
        <v>102</v>
      </c>
      <c r="M529" s="179" t="s">
        <v>151</v>
      </c>
    </row>
    <row r="530" spans="1:13" ht="38.25">
      <c r="A530" s="313" t="str">
        <f t="shared" si="8"/>
        <v>AerialRefuelTankerChanCode_chan037X</v>
      </c>
      <c r="B530" s="330"/>
      <c r="C530" s="334"/>
      <c r="D530" s="188" t="s">
        <v>13897</v>
      </c>
      <c r="E530" s="189" t="s">
        <v>13898</v>
      </c>
      <c r="F530" s="162" t="s">
        <v>14629</v>
      </c>
      <c r="G530" s="162" t="s">
        <v>13413</v>
      </c>
      <c r="H530" s="219"/>
      <c r="I530" s="169">
        <v>116726</v>
      </c>
      <c r="J530" s="304" t="str">
        <f>CONCATENATE([2]Cover!$D$6,"fdd/view?i=",I530)</f>
        <v>https://www.dgiwg.org/FAD/fdd/view?i=116726</v>
      </c>
      <c r="K530" s="304" t="s">
        <v>34579</v>
      </c>
      <c r="L530" s="188">
        <v>103</v>
      </c>
      <c r="M530" s="179" t="s">
        <v>151</v>
      </c>
    </row>
    <row r="531" spans="1:13" ht="38.25">
      <c r="A531" s="313" t="str">
        <f t="shared" si="8"/>
        <v>AerialRefuelTankerChanCode_chan037Y</v>
      </c>
      <c r="B531" s="330"/>
      <c r="C531" s="334"/>
      <c r="D531" s="188" t="s">
        <v>13900</v>
      </c>
      <c r="E531" s="189" t="s">
        <v>13901</v>
      </c>
      <c r="F531" s="162" t="s">
        <v>14630</v>
      </c>
      <c r="G531" s="162" t="s">
        <v>13413</v>
      </c>
      <c r="H531" s="219"/>
      <c r="I531" s="169">
        <v>116727</v>
      </c>
      <c r="J531" s="304" t="str">
        <f>CONCATENATE([2]Cover!$D$6,"fdd/view?i=",I531)</f>
        <v>https://www.dgiwg.org/FAD/fdd/view?i=116727</v>
      </c>
      <c r="K531" s="304" t="s">
        <v>34580</v>
      </c>
      <c r="L531" s="188">
        <v>104</v>
      </c>
      <c r="M531" s="179" t="s">
        <v>151</v>
      </c>
    </row>
    <row r="532" spans="1:13" ht="38.25">
      <c r="A532" s="313" t="str">
        <f t="shared" si="8"/>
        <v>AerialRefuelTankerChanCode_chan037Z</v>
      </c>
      <c r="B532" s="330"/>
      <c r="C532" s="334"/>
      <c r="D532" s="188" t="s">
        <v>13903</v>
      </c>
      <c r="E532" s="189" t="s">
        <v>13904</v>
      </c>
      <c r="F532" s="162" t="s">
        <v>14631</v>
      </c>
      <c r="G532" s="162" t="s">
        <v>13413</v>
      </c>
      <c r="H532" s="219"/>
      <c r="I532" s="169">
        <v>116728</v>
      </c>
      <c r="J532" s="304" t="str">
        <f>CONCATENATE([2]Cover!$D$6,"fdd/view?i=",I532)</f>
        <v>https://www.dgiwg.org/FAD/fdd/view?i=116728</v>
      </c>
      <c r="K532" s="304" t="s">
        <v>34581</v>
      </c>
      <c r="L532" s="188">
        <v>105</v>
      </c>
      <c r="M532" s="179" t="s">
        <v>151</v>
      </c>
    </row>
    <row r="533" spans="1:13" ht="38.25">
      <c r="A533" s="313" t="str">
        <f t="shared" si="8"/>
        <v>AerialRefuelTankerChanCode_chan038W</v>
      </c>
      <c r="B533" s="330"/>
      <c r="C533" s="334"/>
      <c r="D533" s="188" t="s">
        <v>13906</v>
      </c>
      <c r="E533" s="189" t="s">
        <v>13907</v>
      </c>
      <c r="F533" s="162" t="s">
        <v>14632</v>
      </c>
      <c r="G533" s="162" t="s">
        <v>13413</v>
      </c>
      <c r="H533" s="219"/>
      <c r="I533" s="169">
        <v>116729</v>
      </c>
      <c r="J533" s="304" t="str">
        <f>CONCATENATE([2]Cover!$D$6,"fdd/view?i=",I533)</f>
        <v>https://www.dgiwg.org/FAD/fdd/view?i=116729</v>
      </c>
      <c r="K533" s="304" t="s">
        <v>34582</v>
      </c>
      <c r="L533" s="188">
        <v>106</v>
      </c>
      <c r="M533" s="179" t="s">
        <v>151</v>
      </c>
    </row>
    <row r="534" spans="1:13" ht="38.25">
      <c r="A534" s="313" t="str">
        <f t="shared" si="8"/>
        <v>AerialRefuelTankerChanCode_chan038X</v>
      </c>
      <c r="B534" s="330"/>
      <c r="C534" s="334"/>
      <c r="D534" s="188" t="s">
        <v>13909</v>
      </c>
      <c r="E534" s="189" t="s">
        <v>13910</v>
      </c>
      <c r="F534" s="162" t="s">
        <v>14633</v>
      </c>
      <c r="G534" s="162" t="s">
        <v>13413</v>
      </c>
      <c r="H534" s="219"/>
      <c r="I534" s="169">
        <v>116730</v>
      </c>
      <c r="J534" s="304" t="str">
        <f>CONCATENATE([2]Cover!$D$6,"fdd/view?i=",I534)</f>
        <v>https://www.dgiwg.org/FAD/fdd/view?i=116730</v>
      </c>
      <c r="K534" s="304" t="s">
        <v>34583</v>
      </c>
      <c r="L534" s="188">
        <v>107</v>
      </c>
      <c r="M534" s="179" t="s">
        <v>151</v>
      </c>
    </row>
    <row r="535" spans="1:13" ht="38.25">
      <c r="A535" s="313" t="str">
        <f t="shared" si="8"/>
        <v>AerialRefuelTankerChanCode_chan038Y</v>
      </c>
      <c r="B535" s="330"/>
      <c r="C535" s="334"/>
      <c r="D535" s="188" t="s">
        <v>13912</v>
      </c>
      <c r="E535" s="189" t="s">
        <v>13913</v>
      </c>
      <c r="F535" s="162" t="s">
        <v>14634</v>
      </c>
      <c r="G535" s="162" t="s">
        <v>13413</v>
      </c>
      <c r="H535" s="219"/>
      <c r="I535" s="169">
        <v>116731</v>
      </c>
      <c r="J535" s="304" t="str">
        <f>CONCATENATE([2]Cover!$D$6,"fdd/view?i=",I535)</f>
        <v>https://www.dgiwg.org/FAD/fdd/view?i=116731</v>
      </c>
      <c r="K535" s="304" t="s">
        <v>34584</v>
      </c>
      <c r="L535" s="188">
        <v>108</v>
      </c>
      <c r="M535" s="179" t="s">
        <v>151</v>
      </c>
    </row>
    <row r="536" spans="1:13" ht="38.25">
      <c r="A536" s="313" t="str">
        <f t="shared" si="8"/>
        <v>AerialRefuelTankerChanCode_chan038Z</v>
      </c>
      <c r="B536" s="330"/>
      <c r="C536" s="334"/>
      <c r="D536" s="188" t="s">
        <v>13915</v>
      </c>
      <c r="E536" s="189" t="s">
        <v>13916</v>
      </c>
      <c r="F536" s="162" t="s">
        <v>14635</v>
      </c>
      <c r="G536" s="162" t="s">
        <v>13413</v>
      </c>
      <c r="H536" s="219"/>
      <c r="I536" s="169">
        <v>116732</v>
      </c>
      <c r="J536" s="304" t="str">
        <f>CONCATENATE([2]Cover!$D$6,"fdd/view?i=",I536)</f>
        <v>https://www.dgiwg.org/FAD/fdd/view?i=116732</v>
      </c>
      <c r="K536" s="304" t="s">
        <v>34585</v>
      </c>
      <c r="L536" s="188">
        <v>109</v>
      </c>
      <c r="M536" s="179" t="s">
        <v>151</v>
      </c>
    </row>
    <row r="537" spans="1:13" ht="38.25">
      <c r="A537" s="313" t="str">
        <f t="shared" si="8"/>
        <v>AerialRefuelTankerChanCode_chan039X</v>
      </c>
      <c r="B537" s="330"/>
      <c r="C537" s="334"/>
      <c r="D537" s="188" t="s">
        <v>13918</v>
      </c>
      <c r="E537" s="189" t="s">
        <v>13919</v>
      </c>
      <c r="F537" s="162" t="s">
        <v>14636</v>
      </c>
      <c r="G537" s="162" t="s">
        <v>13413</v>
      </c>
      <c r="H537" s="219"/>
      <c r="I537" s="169">
        <v>116733</v>
      </c>
      <c r="J537" s="304" t="str">
        <f>CONCATENATE([2]Cover!$D$6,"fdd/view?i=",I537)</f>
        <v>https://www.dgiwg.org/FAD/fdd/view?i=116733</v>
      </c>
      <c r="K537" s="304" t="s">
        <v>34586</v>
      </c>
      <c r="L537" s="188">
        <v>110</v>
      </c>
      <c r="M537" s="179" t="s">
        <v>151</v>
      </c>
    </row>
    <row r="538" spans="1:13" ht="38.25">
      <c r="A538" s="313" t="str">
        <f t="shared" si="8"/>
        <v>AerialRefuelTankerChanCode_chan039Y</v>
      </c>
      <c r="B538" s="330"/>
      <c r="C538" s="334"/>
      <c r="D538" s="188" t="s">
        <v>13921</v>
      </c>
      <c r="E538" s="189" t="s">
        <v>13922</v>
      </c>
      <c r="F538" s="162" t="s">
        <v>14637</v>
      </c>
      <c r="G538" s="162" t="s">
        <v>13413</v>
      </c>
      <c r="H538" s="219"/>
      <c r="I538" s="169">
        <v>116734</v>
      </c>
      <c r="J538" s="304" t="str">
        <f>CONCATENATE([2]Cover!$D$6,"fdd/view?i=",I538)</f>
        <v>https://www.dgiwg.org/FAD/fdd/view?i=116734</v>
      </c>
      <c r="K538" s="304" t="s">
        <v>34587</v>
      </c>
      <c r="L538" s="188">
        <v>111</v>
      </c>
      <c r="M538" s="179" t="s">
        <v>151</v>
      </c>
    </row>
    <row r="539" spans="1:13" ht="38.25">
      <c r="A539" s="313" t="str">
        <f t="shared" si="8"/>
        <v>AerialRefuelTankerChanCode_chan039Z</v>
      </c>
      <c r="B539" s="330"/>
      <c r="C539" s="334"/>
      <c r="D539" s="188" t="s">
        <v>13924</v>
      </c>
      <c r="E539" s="189" t="s">
        <v>13925</v>
      </c>
      <c r="F539" s="162" t="s">
        <v>14638</v>
      </c>
      <c r="G539" s="162" t="s">
        <v>13413</v>
      </c>
      <c r="H539" s="219"/>
      <c r="I539" s="169">
        <v>116735</v>
      </c>
      <c r="J539" s="304" t="str">
        <f>CONCATENATE([2]Cover!$D$6,"fdd/view?i=",I539)</f>
        <v>https://www.dgiwg.org/FAD/fdd/view?i=116735</v>
      </c>
      <c r="K539" s="304" t="s">
        <v>34588</v>
      </c>
      <c r="L539" s="188">
        <v>112</v>
      </c>
      <c r="M539" s="179" t="s">
        <v>151</v>
      </c>
    </row>
    <row r="540" spans="1:13" ht="38.25">
      <c r="A540" s="313" t="str">
        <f t="shared" si="8"/>
        <v>AerialRefuelTankerChanCode_chan040W</v>
      </c>
      <c r="B540" s="330"/>
      <c r="C540" s="334"/>
      <c r="D540" s="188" t="s">
        <v>13933</v>
      </c>
      <c r="E540" s="189" t="s">
        <v>13934</v>
      </c>
      <c r="F540" s="162" t="s">
        <v>14641</v>
      </c>
      <c r="G540" s="162" t="s">
        <v>13413</v>
      </c>
      <c r="H540" s="219"/>
      <c r="I540" s="169">
        <v>116736</v>
      </c>
      <c r="J540" s="304" t="str">
        <f>CONCATENATE([2]Cover!$D$6,"fdd/view?i=",I540)</f>
        <v>https://www.dgiwg.org/FAD/fdd/view?i=116736</v>
      </c>
      <c r="K540" s="304" t="s">
        <v>34589</v>
      </c>
      <c r="L540" s="188">
        <v>113</v>
      </c>
      <c r="M540" s="179" t="s">
        <v>151</v>
      </c>
    </row>
    <row r="541" spans="1:13" ht="38.25">
      <c r="A541" s="313" t="str">
        <f t="shared" si="8"/>
        <v>AerialRefuelTankerChanCode_chan040X</v>
      </c>
      <c r="B541" s="330"/>
      <c r="C541" s="334"/>
      <c r="D541" s="188" t="s">
        <v>13936</v>
      </c>
      <c r="E541" s="189" t="s">
        <v>13937</v>
      </c>
      <c r="F541" s="162" t="s">
        <v>14642</v>
      </c>
      <c r="G541" s="162" t="s">
        <v>13413</v>
      </c>
      <c r="H541" s="219"/>
      <c r="I541" s="169">
        <v>116737</v>
      </c>
      <c r="J541" s="304" t="str">
        <f>CONCATENATE([2]Cover!$D$6,"fdd/view?i=",I541)</f>
        <v>https://www.dgiwg.org/FAD/fdd/view?i=116737</v>
      </c>
      <c r="K541" s="304" t="s">
        <v>34590</v>
      </c>
      <c r="L541" s="188">
        <v>114</v>
      </c>
      <c r="M541" s="179" t="s">
        <v>151</v>
      </c>
    </row>
    <row r="542" spans="1:13" ht="38.25">
      <c r="A542" s="313" t="str">
        <f t="shared" si="8"/>
        <v>AerialRefuelTankerChanCode_chan040Y</v>
      </c>
      <c r="B542" s="330"/>
      <c r="C542" s="334"/>
      <c r="D542" s="188" t="s">
        <v>13939</v>
      </c>
      <c r="E542" s="189" t="s">
        <v>13940</v>
      </c>
      <c r="F542" s="162" t="s">
        <v>14643</v>
      </c>
      <c r="G542" s="162" t="s">
        <v>13413</v>
      </c>
      <c r="H542" s="219"/>
      <c r="I542" s="169">
        <v>116738</v>
      </c>
      <c r="J542" s="304" t="str">
        <f>CONCATENATE([2]Cover!$D$6,"fdd/view?i=",I542)</f>
        <v>https://www.dgiwg.org/FAD/fdd/view?i=116738</v>
      </c>
      <c r="K542" s="304" t="s">
        <v>34591</v>
      </c>
      <c r="L542" s="188">
        <v>115</v>
      </c>
      <c r="M542" s="179" t="s">
        <v>151</v>
      </c>
    </row>
    <row r="543" spans="1:13" ht="38.25">
      <c r="A543" s="313" t="str">
        <f t="shared" si="8"/>
        <v>AerialRefuelTankerChanCode_chan040Z</v>
      </c>
      <c r="B543" s="330"/>
      <c r="C543" s="334"/>
      <c r="D543" s="188" t="s">
        <v>13942</v>
      </c>
      <c r="E543" s="189" t="s">
        <v>13943</v>
      </c>
      <c r="F543" s="162" t="s">
        <v>14644</v>
      </c>
      <c r="G543" s="162" t="s">
        <v>13413</v>
      </c>
      <c r="H543" s="219"/>
      <c r="I543" s="169">
        <v>116739</v>
      </c>
      <c r="J543" s="304" t="str">
        <f>CONCATENATE([2]Cover!$D$6,"fdd/view?i=",I543)</f>
        <v>https://www.dgiwg.org/FAD/fdd/view?i=116739</v>
      </c>
      <c r="K543" s="304" t="s">
        <v>34592</v>
      </c>
      <c r="L543" s="188">
        <v>116</v>
      </c>
      <c r="M543" s="179" t="s">
        <v>151</v>
      </c>
    </row>
    <row r="544" spans="1:13" ht="38.25">
      <c r="A544" s="313" t="str">
        <f t="shared" si="8"/>
        <v>AerialRefuelTankerChanCode_chan041X</v>
      </c>
      <c r="B544" s="330"/>
      <c r="C544" s="334"/>
      <c r="D544" s="188" t="s">
        <v>13945</v>
      </c>
      <c r="E544" s="189" t="s">
        <v>13946</v>
      </c>
      <c r="F544" s="162" t="s">
        <v>14645</v>
      </c>
      <c r="G544" s="162" t="s">
        <v>13413</v>
      </c>
      <c r="H544" s="219"/>
      <c r="I544" s="169">
        <v>116740</v>
      </c>
      <c r="J544" s="304" t="str">
        <f>CONCATENATE([2]Cover!$D$6,"fdd/view?i=",I544)</f>
        <v>https://www.dgiwg.org/FAD/fdd/view?i=116740</v>
      </c>
      <c r="K544" s="304" t="s">
        <v>34593</v>
      </c>
      <c r="L544" s="188">
        <v>117</v>
      </c>
      <c r="M544" s="179" t="s">
        <v>151</v>
      </c>
    </row>
    <row r="545" spans="1:13" ht="38.25">
      <c r="A545" s="313" t="str">
        <f t="shared" si="8"/>
        <v>AerialRefuelTankerChanCode_chan041Y</v>
      </c>
      <c r="B545" s="330"/>
      <c r="C545" s="334"/>
      <c r="D545" s="188" t="s">
        <v>13948</v>
      </c>
      <c r="E545" s="189" t="s">
        <v>13949</v>
      </c>
      <c r="F545" s="162" t="s">
        <v>14646</v>
      </c>
      <c r="G545" s="162" t="s">
        <v>13413</v>
      </c>
      <c r="H545" s="219"/>
      <c r="I545" s="169">
        <v>116741</v>
      </c>
      <c r="J545" s="304" t="str">
        <f>CONCATENATE([2]Cover!$D$6,"fdd/view?i=",I545)</f>
        <v>https://www.dgiwg.org/FAD/fdd/view?i=116741</v>
      </c>
      <c r="K545" s="304" t="s">
        <v>34594</v>
      </c>
      <c r="L545" s="188">
        <v>118</v>
      </c>
      <c r="M545" s="179" t="s">
        <v>151</v>
      </c>
    </row>
    <row r="546" spans="1:13" ht="38.25">
      <c r="A546" s="313" t="str">
        <f t="shared" si="8"/>
        <v>AerialRefuelTankerChanCode_chan041Z</v>
      </c>
      <c r="B546" s="330"/>
      <c r="C546" s="334"/>
      <c r="D546" s="188" t="s">
        <v>13951</v>
      </c>
      <c r="E546" s="189" t="s">
        <v>13952</v>
      </c>
      <c r="F546" s="162" t="s">
        <v>14647</v>
      </c>
      <c r="G546" s="162" t="s">
        <v>13413</v>
      </c>
      <c r="H546" s="219"/>
      <c r="I546" s="169">
        <v>116742</v>
      </c>
      <c r="J546" s="304" t="str">
        <f>CONCATENATE([2]Cover!$D$6,"fdd/view?i=",I546)</f>
        <v>https://www.dgiwg.org/FAD/fdd/view?i=116742</v>
      </c>
      <c r="K546" s="304" t="s">
        <v>34595</v>
      </c>
      <c r="L546" s="188">
        <v>119</v>
      </c>
      <c r="M546" s="179" t="s">
        <v>151</v>
      </c>
    </row>
    <row r="547" spans="1:13" ht="38.25">
      <c r="A547" s="313" t="str">
        <f t="shared" si="8"/>
        <v>AerialRefuelTankerChanCode_chan042W</v>
      </c>
      <c r="B547" s="330"/>
      <c r="C547" s="334"/>
      <c r="D547" s="188" t="s">
        <v>13954</v>
      </c>
      <c r="E547" s="189" t="s">
        <v>13955</v>
      </c>
      <c r="F547" s="162" t="s">
        <v>14648</v>
      </c>
      <c r="G547" s="162" t="s">
        <v>13413</v>
      </c>
      <c r="H547" s="219"/>
      <c r="I547" s="169">
        <v>116743</v>
      </c>
      <c r="J547" s="304" t="str">
        <f>CONCATENATE([2]Cover!$D$6,"fdd/view?i=",I547)</f>
        <v>https://www.dgiwg.org/FAD/fdd/view?i=116743</v>
      </c>
      <c r="K547" s="304" t="s">
        <v>34596</v>
      </c>
      <c r="L547" s="188">
        <v>120</v>
      </c>
      <c r="M547" s="179" t="s">
        <v>151</v>
      </c>
    </row>
    <row r="548" spans="1:13" ht="38.25">
      <c r="A548" s="313" t="str">
        <f t="shared" si="8"/>
        <v>AerialRefuelTankerChanCode_chan042X</v>
      </c>
      <c r="B548" s="330"/>
      <c r="C548" s="334"/>
      <c r="D548" s="188" t="s">
        <v>13957</v>
      </c>
      <c r="E548" s="189" t="s">
        <v>13958</v>
      </c>
      <c r="F548" s="162" t="s">
        <v>14649</v>
      </c>
      <c r="G548" s="162" t="s">
        <v>13413</v>
      </c>
      <c r="H548" s="219"/>
      <c r="I548" s="169">
        <v>116744</v>
      </c>
      <c r="J548" s="304" t="str">
        <f>CONCATENATE([2]Cover!$D$6,"fdd/view?i=",I548)</f>
        <v>https://www.dgiwg.org/FAD/fdd/view?i=116744</v>
      </c>
      <c r="K548" s="304" t="s">
        <v>34597</v>
      </c>
      <c r="L548" s="188">
        <v>121</v>
      </c>
      <c r="M548" s="179" t="s">
        <v>151</v>
      </c>
    </row>
    <row r="549" spans="1:13" ht="38.25">
      <c r="A549" s="313" t="str">
        <f t="shared" si="8"/>
        <v>AerialRefuelTankerChanCode_chan042Y</v>
      </c>
      <c r="B549" s="330"/>
      <c r="C549" s="334"/>
      <c r="D549" s="188" t="s">
        <v>13960</v>
      </c>
      <c r="E549" s="189" t="s">
        <v>13961</v>
      </c>
      <c r="F549" s="162" t="s">
        <v>14650</v>
      </c>
      <c r="G549" s="162" t="s">
        <v>13413</v>
      </c>
      <c r="H549" s="219"/>
      <c r="I549" s="169">
        <v>116745</v>
      </c>
      <c r="J549" s="304" t="str">
        <f>CONCATENATE([2]Cover!$D$6,"fdd/view?i=",I549)</f>
        <v>https://www.dgiwg.org/FAD/fdd/view?i=116745</v>
      </c>
      <c r="K549" s="304" t="s">
        <v>34598</v>
      </c>
      <c r="L549" s="188">
        <v>122</v>
      </c>
      <c r="M549" s="179" t="s">
        <v>151</v>
      </c>
    </row>
    <row r="550" spans="1:13" ht="38.25">
      <c r="A550" s="313" t="str">
        <f t="shared" si="8"/>
        <v>AerialRefuelTankerChanCode_chan042Z</v>
      </c>
      <c r="B550" s="330"/>
      <c r="C550" s="334"/>
      <c r="D550" s="188" t="s">
        <v>13963</v>
      </c>
      <c r="E550" s="189" t="s">
        <v>13964</v>
      </c>
      <c r="F550" s="162" t="s">
        <v>14651</v>
      </c>
      <c r="G550" s="162" t="s">
        <v>13413</v>
      </c>
      <c r="H550" s="219"/>
      <c r="I550" s="169">
        <v>116746</v>
      </c>
      <c r="J550" s="304" t="str">
        <f>CONCATENATE([2]Cover!$D$6,"fdd/view?i=",I550)</f>
        <v>https://www.dgiwg.org/FAD/fdd/view?i=116746</v>
      </c>
      <c r="K550" s="304" t="s">
        <v>34599</v>
      </c>
      <c r="L550" s="188">
        <v>123</v>
      </c>
      <c r="M550" s="179" t="s">
        <v>151</v>
      </c>
    </row>
    <row r="551" spans="1:13" ht="38.25">
      <c r="A551" s="313" t="str">
        <f t="shared" si="8"/>
        <v>AerialRefuelTankerChanCode_chan043X</v>
      </c>
      <c r="B551" s="330"/>
      <c r="C551" s="334"/>
      <c r="D551" s="188" t="s">
        <v>13966</v>
      </c>
      <c r="E551" s="189" t="s">
        <v>13967</v>
      </c>
      <c r="F551" s="162" t="s">
        <v>14652</v>
      </c>
      <c r="G551" s="162" t="s">
        <v>13413</v>
      </c>
      <c r="H551" s="219"/>
      <c r="I551" s="169">
        <v>116747</v>
      </c>
      <c r="J551" s="304" t="str">
        <f>CONCATENATE([2]Cover!$D$6,"fdd/view?i=",I551)</f>
        <v>https://www.dgiwg.org/FAD/fdd/view?i=116747</v>
      </c>
      <c r="K551" s="304" t="s">
        <v>34600</v>
      </c>
      <c r="L551" s="188">
        <v>124</v>
      </c>
      <c r="M551" s="179" t="s">
        <v>151</v>
      </c>
    </row>
    <row r="552" spans="1:13" ht="38.25">
      <c r="A552" s="313" t="str">
        <f t="shared" si="8"/>
        <v>AerialRefuelTankerChanCode_chan043Y</v>
      </c>
      <c r="B552" s="330"/>
      <c r="C552" s="334"/>
      <c r="D552" s="188" t="s">
        <v>13969</v>
      </c>
      <c r="E552" s="189" t="s">
        <v>13970</v>
      </c>
      <c r="F552" s="162" t="s">
        <v>14653</v>
      </c>
      <c r="G552" s="162" t="s">
        <v>13413</v>
      </c>
      <c r="H552" s="219"/>
      <c r="I552" s="169">
        <v>116748</v>
      </c>
      <c r="J552" s="304" t="str">
        <f>CONCATENATE([2]Cover!$D$6,"fdd/view?i=",I552)</f>
        <v>https://www.dgiwg.org/FAD/fdd/view?i=116748</v>
      </c>
      <c r="K552" s="304" t="s">
        <v>34601</v>
      </c>
      <c r="L552" s="188">
        <v>125</v>
      </c>
      <c r="M552" s="179" t="s">
        <v>151</v>
      </c>
    </row>
    <row r="553" spans="1:13" ht="38.25">
      <c r="A553" s="313" t="str">
        <f t="shared" si="8"/>
        <v>AerialRefuelTankerChanCode_chan043Z</v>
      </c>
      <c r="B553" s="330"/>
      <c r="C553" s="334"/>
      <c r="D553" s="188" t="s">
        <v>13972</v>
      </c>
      <c r="E553" s="189" t="s">
        <v>13973</v>
      </c>
      <c r="F553" s="162" t="s">
        <v>14654</v>
      </c>
      <c r="G553" s="162" t="s">
        <v>13413</v>
      </c>
      <c r="H553" s="219"/>
      <c r="I553" s="169">
        <v>116749</v>
      </c>
      <c r="J553" s="304" t="str">
        <f>CONCATENATE([2]Cover!$D$6,"fdd/view?i=",I553)</f>
        <v>https://www.dgiwg.org/FAD/fdd/view?i=116749</v>
      </c>
      <c r="K553" s="304" t="s">
        <v>34602</v>
      </c>
      <c r="L553" s="188">
        <v>126</v>
      </c>
      <c r="M553" s="179" t="s">
        <v>151</v>
      </c>
    </row>
    <row r="554" spans="1:13" ht="38.25">
      <c r="A554" s="313" t="str">
        <f t="shared" si="8"/>
        <v>AerialRefuelTankerChanCode_chan044W</v>
      </c>
      <c r="B554" s="330"/>
      <c r="C554" s="334"/>
      <c r="D554" s="188" t="s">
        <v>13975</v>
      </c>
      <c r="E554" s="189" t="s">
        <v>13976</v>
      </c>
      <c r="F554" s="162" t="s">
        <v>14655</v>
      </c>
      <c r="G554" s="162" t="s">
        <v>13413</v>
      </c>
      <c r="H554" s="219"/>
      <c r="I554" s="169">
        <v>116750</v>
      </c>
      <c r="J554" s="304" t="str">
        <f>CONCATENATE([2]Cover!$D$6,"fdd/view?i=",I554)</f>
        <v>https://www.dgiwg.org/FAD/fdd/view?i=116750</v>
      </c>
      <c r="K554" s="304" t="s">
        <v>34603</v>
      </c>
      <c r="L554" s="188">
        <v>127</v>
      </c>
      <c r="M554" s="179" t="s">
        <v>151</v>
      </c>
    </row>
    <row r="555" spans="1:13" ht="38.25">
      <c r="A555" s="313" t="str">
        <f t="shared" si="8"/>
        <v>AerialRefuelTankerChanCode_chan044X</v>
      </c>
      <c r="B555" s="330"/>
      <c r="C555" s="334"/>
      <c r="D555" s="188" t="s">
        <v>13978</v>
      </c>
      <c r="E555" s="189" t="s">
        <v>13979</v>
      </c>
      <c r="F555" s="162" t="s">
        <v>14656</v>
      </c>
      <c r="G555" s="162" t="s">
        <v>13413</v>
      </c>
      <c r="H555" s="219"/>
      <c r="I555" s="169">
        <v>116751</v>
      </c>
      <c r="J555" s="304" t="str">
        <f>CONCATENATE([2]Cover!$D$6,"fdd/view?i=",I555)</f>
        <v>https://www.dgiwg.org/FAD/fdd/view?i=116751</v>
      </c>
      <c r="K555" s="304" t="s">
        <v>34604</v>
      </c>
      <c r="L555" s="188">
        <v>128</v>
      </c>
      <c r="M555" s="179" t="s">
        <v>151</v>
      </c>
    </row>
    <row r="556" spans="1:13" ht="38.25">
      <c r="A556" s="313" t="str">
        <f t="shared" si="8"/>
        <v>AerialRefuelTankerChanCode_chan044Y</v>
      </c>
      <c r="B556" s="330"/>
      <c r="C556" s="334"/>
      <c r="D556" s="188" t="s">
        <v>13981</v>
      </c>
      <c r="E556" s="189" t="s">
        <v>13982</v>
      </c>
      <c r="F556" s="162" t="s">
        <v>14657</v>
      </c>
      <c r="G556" s="162" t="s">
        <v>13413</v>
      </c>
      <c r="H556" s="219"/>
      <c r="I556" s="169">
        <v>116752</v>
      </c>
      <c r="J556" s="304" t="str">
        <f>CONCATENATE([2]Cover!$D$6,"fdd/view?i=",I556)</f>
        <v>https://www.dgiwg.org/FAD/fdd/view?i=116752</v>
      </c>
      <c r="K556" s="304" t="s">
        <v>34605</v>
      </c>
      <c r="L556" s="188">
        <v>129</v>
      </c>
      <c r="M556" s="179" t="s">
        <v>151</v>
      </c>
    </row>
    <row r="557" spans="1:13" ht="38.25">
      <c r="A557" s="313" t="str">
        <f t="shared" si="8"/>
        <v>AerialRefuelTankerChanCode_chan044Z</v>
      </c>
      <c r="B557" s="330"/>
      <c r="C557" s="334"/>
      <c r="D557" s="188" t="s">
        <v>13984</v>
      </c>
      <c r="E557" s="189" t="s">
        <v>13985</v>
      </c>
      <c r="F557" s="162" t="s">
        <v>14658</v>
      </c>
      <c r="G557" s="162" t="s">
        <v>13413</v>
      </c>
      <c r="H557" s="219"/>
      <c r="I557" s="169">
        <v>116753</v>
      </c>
      <c r="J557" s="304" t="str">
        <f>CONCATENATE([2]Cover!$D$6,"fdd/view?i=",I557)</f>
        <v>https://www.dgiwg.org/FAD/fdd/view?i=116753</v>
      </c>
      <c r="K557" s="304" t="s">
        <v>34606</v>
      </c>
      <c r="L557" s="188">
        <v>130</v>
      </c>
      <c r="M557" s="179" t="s">
        <v>151</v>
      </c>
    </row>
    <row r="558" spans="1:13" ht="38.25">
      <c r="A558" s="313" t="str">
        <f t="shared" si="8"/>
        <v>AerialRefuelTankerChanCode_chan045X</v>
      </c>
      <c r="B558" s="330"/>
      <c r="C558" s="334"/>
      <c r="D558" s="188" t="s">
        <v>13987</v>
      </c>
      <c r="E558" s="189" t="s">
        <v>13988</v>
      </c>
      <c r="F558" s="162" t="s">
        <v>14659</v>
      </c>
      <c r="G558" s="162" t="s">
        <v>13413</v>
      </c>
      <c r="H558" s="219"/>
      <c r="I558" s="169">
        <v>116754</v>
      </c>
      <c r="J558" s="304" t="str">
        <f>CONCATENATE([2]Cover!$D$6,"fdd/view?i=",I558)</f>
        <v>https://www.dgiwg.org/FAD/fdd/view?i=116754</v>
      </c>
      <c r="K558" s="304" t="s">
        <v>34607</v>
      </c>
      <c r="L558" s="188">
        <v>131</v>
      </c>
      <c r="M558" s="179" t="s">
        <v>151</v>
      </c>
    </row>
    <row r="559" spans="1:13" ht="38.25">
      <c r="A559" s="313" t="str">
        <f t="shared" si="8"/>
        <v>AerialRefuelTankerChanCode_chan045Y</v>
      </c>
      <c r="B559" s="330"/>
      <c r="C559" s="334"/>
      <c r="D559" s="188" t="s">
        <v>13990</v>
      </c>
      <c r="E559" s="189" t="s">
        <v>13991</v>
      </c>
      <c r="F559" s="162" t="s">
        <v>14660</v>
      </c>
      <c r="G559" s="162" t="s">
        <v>13413</v>
      </c>
      <c r="H559" s="219"/>
      <c r="I559" s="169">
        <v>116755</v>
      </c>
      <c r="J559" s="304" t="str">
        <f>CONCATENATE([2]Cover!$D$6,"fdd/view?i=",I559)</f>
        <v>https://www.dgiwg.org/FAD/fdd/view?i=116755</v>
      </c>
      <c r="K559" s="304" t="s">
        <v>34608</v>
      </c>
      <c r="L559" s="188">
        <v>132</v>
      </c>
      <c r="M559" s="179" t="s">
        <v>151</v>
      </c>
    </row>
    <row r="560" spans="1:13" ht="38.25">
      <c r="A560" s="313" t="str">
        <f t="shared" si="8"/>
        <v>AerialRefuelTankerChanCode_chan045Z</v>
      </c>
      <c r="B560" s="330"/>
      <c r="C560" s="334"/>
      <c r="D560" s="188" t="s">
        <v>13993</v>
      </c>
      <c r="E560" s="189" t="s">
        <v>13994</v>
      </c>
      <c r="F560" s="162" t="s">
        <v>14661</v>
      </c>
      <c r="G560" s="162" t="s">
        <v>13413</v>
      </c>
      <c r="H560" s="219"/>
      <c r="I560" s="169">
        <v>116756</v>
      </c>
      <c r="J560" s="304" t="str">
        <f>CONCATENATE([2]Cover!$D$6,"fdd/view?i=",I560)</f>
        <v>https://www.dgiwg.org/FAD/fdd/view?i=116756</v>
      </c>
      <c r="K560" s="304" t="s">
        <v>34609</v>
      </c>
      <c r="L560" s="188">
        <v>133</v>
      </c>
      <c r="M560" s="179" t="s">
        <v>151</v>
      </c>
    </row>
    <row r="561" spans="1:13" ht="38.25">
      <c r="A561" s="313" t="str">
        <f t="shared" si="8"/>
        <v>AerialRefuelTankerChanCode_chan046W</v>
      </c>
      <c r="B561" s="330"/>
      <c r="C561" s="334"/>
      <c r="D561" s="188" t="s">
        <v>13996</v>
      </c>
      <c r="E561" s="189" t="s">
        <v>13997</v>
      </c>
      <c r="F561" s="162" t="s">
        <v>14662</v>
      </c>
      <c r="G561" s="162" t="s">
        <v>13413</v>
      </c>
      <c r="H561" s="219"/>
      <c r="I561" s="169">
        <v>116757</v>
      </c>
      <c r="J561" s="304" t="str">
        <f>CONCATENATE([2]Cover!$D$6,"fdd/view?i=",I561)</f>
        <v>https://www.dgiwg.org/FAD/fdd/view?i=116757</v>
      </c>
      <c r="K561" s="304" t="s">
        <v>34610</v>
      </c>
      <c r="L561" s="188">
        <v>134</v>
      </c>
      <c r="M561" s="179" t="s">
        <v>151</v>
      </c>
    </row>
    <row r="562" spans="1:13" ht="38.25">
      <c r="A562" s="313" t="str">
        <f t="shared" si="8"/>
        <v>AerialRefuelTankerChanCode_chan046X</v>
      </c>
      <c r="B562" s="330"/>
      <c r="C562" s="334"/>
      <c r="D562" s="188" t="s">
        <v>13999</v>
      </c>
      <c r="E562" s="189" t="s">
        <v>14000</v>
      </c>
      <c r="F562" s="162" t="s">
        <v>14663</v>
      </c>
      <c r="G562" s="162" t="s">
        <v>13413</v>
      </c>
      <c r="H562" s="219"/>
      <c r="I562" s="169">
        <v>116758</v>
      </c>
      <c r="J562" s="304" t="str">
        <f>CONCATENATE([2]Cover!$D$6,"fdd/view?i=",I562)</f>
        <v>https://www.dgiwg.org/FAD/fdd/view?i=116758</v>
      </c>
      <c r="K562" s="304" t="s">
        <v>34611</v>
      </c>
      <c r="L562" s="188">
        <v>135</v>
      </c>
      <c r="M562" s="179" t="s">
        <v>151</v>
      </c>
    </row>
    <row r="563" spans="1:13" ht="38.25">
      <c r="A563" s="313" t="str">
        <f t="shared" si="8"/>
        <v>AerialRefuelTankerChanCode_chan046Y</v>
      </c>
      <c r="B563" s="330"/>
      <c r="C563" s="334"/>
      <c r="D563" s="188" t="s">
        <v>14002</v>
      </c>
      <c r="E563" s="189" t="s">
        <v>14003</v>
      </c>
      <c r="F563" s="162" t="s">
        <v>14664</v>
      </c>
      <c r="G563" s="162" t="s">
        <v>13413</v>
      </c>
      <c r="H563" s="219"/>
      <c r="I563" s="169">
        <v>116759</v>
      </c>
      <c r="J563" s="304" t="str">
        <f>CONCATENATE([2]Cover!$D$6,"fdd/view?i=",I563)</f>
        <v>https://www.dgiwg.org/FAD/fdd/view?i=116759</v>
      </c>
      <c r="K563" s="304" t="s">
        <v>34612</v>
      </c>
      <c r="L563" s="188">
        <v>136</v>
      </c>
      <c r="M563" s="179" t="s">
        <v>151</v>
      </c>
    </row>
    <row r="564" spans="1:13" ht="38.25">
      <c r="A564" s="313" t="str">
        <f t="shared" si="8"/>
        <v>AerialRefuelTankerChanCode_chan046Z</v>
      </c>
      <c r="B564" s="330"/>
      <c r="C564" s="334"/>
      <c r="D564" s="188" t="s">
        <v>14005</v>
      </c>
      <c r="E564" s="189" t="s">
        <v>14006</v>
      </c>
      <c r="F564" s="162" t="s">
        <v>14665</v>
      </c>
      <c r="G564" s="162" t="s">
        <v>13413</v>
      </c>
      <c r="H564" s="219"/>
      <c r="I564" s="169">
        <v>116760</v>
      </c>
      <c r="J564" s="304" t="str">
        <f>CONCATENATE([2]Cover!$D$6,"fdd/view?i=",I564)</f>
        <v>https://www.dgiwg.org/FAD/fdd/view?i=116760</v>
      </c>
      <c r="K564" s="304" t="s">
        <v>34613</v>
      </c>
      <c r="L564" s="188">
        <v>137</v>
      </c>
      <c r="M564" s="179" t="s">
        <v>151</v>
      </c>
    </row>
    <row r="565" spans="1:13" ht="38.25">
      <c r="A565" s="313" t="str">
        <f t="shared" si="8"/>
        <v>AerialRefuelTankerChanCode_chan047X</v>
      </c>
      <c r="B565" s="330"/>
      <c r="C565" s="334"/>
      <c r="D565" s="188" t="s">
        <v>14008</v>
      </c>
      <c r="E565" s="189" t="s">
        <v>14009</v>
      </c>
      <c r="F565" s="162" t="s">
        <v>14666</v>
      </c>
      <c r="G565" s="162" t="s">
        <v>13413</v>
      </c>
      <c r="H565" s="219"/>
      <c r="I565" s="169">
        <v>116761</v>
      </c>
      <c r="J565" s="304" t="str">
        <f>CONCATENATE([2]Cover!$D$6,"fdd/view?i=",I565)</f>
        <v>https://www.dgiwg.org/FAD/fdd/view?i=116761</v>
      </c>
      <c r="K565" s="304" t="s">
        <v>34614</v>
      </c>
      <c r="L565" s="188">
        <v>138</v>
      </c>
      <c r="M565" s="179" t="s">
        <v>151</v>
      </c>
    </row>
    <row r="566" spans="1:13" ht="38.25">
      <c r="A566" s="313" t="str">
        <f t="shared" si="8"/>
        <v>AerialRefuelTankerChanCode_chan047Y</v>
      </c>
      <c r="B566" s="330"/>
      <c r="C566" s="334"/>
      <c r="D566" s="188" t="s">
        <v>14011</v>
      </c>
      <c r="E566" s="189" t="s">
        <v>14012</v>
      </c>
      <c r="F566" s="162" t="s">
        <v>14667</v>
      </c>
      <c r="G566" s="162" t="s">
        <v>13413</v>
      </c>
      <c r="H566" s="219"/>
      <c r="I566" s="169">
        <v>116762</v>
      </c>
      <c r="J566" s="304" t="str">
        <f>CONCATENATE([2]Cover!$D$6,"fdd/view?i=",I566)</f>
        <v>https://www.dgiwg.org/FAD/fdd/view?i=116762</v>
      </c>
      <c r="K566" s="304" t="s">
        <v>34615</v>
      </c>
      <c r="L566" s="188">
        <v>139</v>
      </c>
      <c r="M566" s="179" t="s">
        <v>151</v>
      </c>
    </row>
    <row r="567" spans="1:13" ht="38.25">
      <c r="A567" s="313" t="str">
        <f t="shared" si="8"/>
        <v>AerialRefuelTankerChanCode_chan047Z</v>
      </c>
      <c r="B567" s="330"/>
      <c r="C567" s="334"/>
      <c r="D567" s="188" t="s">
        <v>14014</v>
      </c>
      <c r="E567" s="189" t="s">
        <v>14015</v>
      </c>
      <c r="F567" s="162" t="s">
        <v>14668</v>
      </c>
      <c r="G567" s="162" t="s">
        <v>13413</v>
      </c>
      <c r="H567" s="219"/>
      <c r="I567" s="169">
        <v>116763</v>
      </c>
      <c r="J567" s="304" t="str">
        <f>CONCATENATE([2]Cover!$D$6,"fdd/view?i=",I567)</f>
        <v>https://www.dgiwg.org/FAD/fdd/view?i=116763</v>
      </c>
      <c r="K567" s="304" t="s">
        <v>34616</v>
      </c>
      <c r="L567" s="188">
        <v>140</v>
      </c>
      <c r="M567" s="179" t="s">
        <v>151</v>
      </c>
    </row>
    <row r="568" spans="1:13" ht="38.25">
      <c r="A568" s="313" t="str">
        <f t="shared" si="8"/>
        <v>AerialRefuelTankerChanCode_chan048W</v>
      </c>
      <c r="B568" s="330"/>
      <c r="C568" s="334"/>
      <c r="D568" s="188" t="s">
        <v>14017</v>
      </c>
      <c r="E568" s="189" t="s">
        <v>14018</v>
      </c>
      <c r="F568" s="162" t="s">
        <v>14669</v>
      </c>
      <c r="G568" s="162" t="s">
        <v>13413</v>
      </c>
      <c r="H568" s="219"/>
      <c r="I568" s="169">
        <v>116764</v>
      </c>
      <c r="J568" s="304" t="str">
        <f>CONCATENATE([2]Cover!$D$6,"fdd/view?i=",I568)</f>
        <v>https://www.dgiwg.org/FAD/fdd/view?i=116764</v>
      </c>
      <c r="K568" s="304" t="s">
        <v>34617</v>
      </c>
      <c r="L568" s="188">
        <v>141</v>
      </c>
      <c r="M568" s="179" t="s">
        <v>151</v>
      </c>
    </row>
    <row r="569" spans="1:13" ht="38.25">
      <c r="A569" s="313" t="str">
        <f t="shared" si="8"/>
        <v>AerialRefuelTankerChanCode_chan048X</v>
      </c>
      <c r="B569" s="330"/>
      <c r="C569" s="334"/>
      <c r="D569" s="188" t="s">
        <v>14020</v>
      </c>
      <c r="E569" s="189" t="s">
        <v>14021</v>
      </c>
      <c r="F569" s="162" t="s">
        <v>14670</v>
      </c>
      <c r="G569" s="162" t="s">
        <v>13413</v>
      </c>
      <c r="H569" s="219"/>
      <c r="I569" s="169">
        <v>116765</v>
      </c>
      <c r="J569" s="304" t="str">
        <f>CONCATENATE([2]Cover!$D$6,"fdd/view?i=",I569)</f>
        <v>https://www.dgiwg.org/FAD/fdd/view?i=116765</v>
      </c>
      <c r="K569" s="304" t="s">
        <v>34618</v>
      </c>
      <c r="L569" s="188">
        <v>142</v>
      </c>
      <c r="M569" s="179" t="s">
        <v>151</v>
      </c>
    </row>
    <row r="570" spans="1:13" ht="38.25">
      <c r="A570" s="313" t="str">
        <f t="shared" si="8"/>
        <v>AerialRefuelTankerChanCode_chan048Y</v>
      </c>
      <c r="B570" s="330"/>
      <c r="C570" s="334"/>
      <c r="D570" s="188" t="s">
        <v>14023</v>
      </c>
      <c r="E570" s="189" t="s">
        <v>14024</v>
      </c>
      <c r="F570" s="162" t="s">
        <v>14671</v>
      </c>
      <c r="G570" s="162" t="s">
        <v>13413</v>
      </c>
      <c r="H570" s="219"/>
      <c r="I570" s="169">
        <v>116766</v>
      </c>
      <c r="J570" s="304" t="str">
        <f>CONCATENATE([2]Cover!$D$6,"fdd/view?i=",I570)</f>
        <v>https://www.dgiwg.org/FAD/fdd/view?i=116766</v>
      </c>
      <c r="K570" s="304" t="s">
        <v>34619</v>
      </c>
      <c r="L570" s="188">
        <v>143</v>
      </c>
      <c r="M570" s="179" t="s">
        <v>151</v>
      </c>
    </row>
    <row r="571" spans="1:13" ht="38.25">
      <c r="A571" s="313" t="str">
        <f t="shared" si="8"/>
        <v>AerialRefuelTankerChanCode_chan048Z</v>
      </c>
      <c r="B571" s="330"/>
      <c r="C571" s="334"/>
      <c r="D571" s="188" t="s">
        <v>14026</v>
      </c>
      <c r="E571" s="189" t="s">
        <v>14027</v>
      </c>
      <c r="F571" s="162" t="s">
        <v>14672</v>
      </c>
      <c r="G571" s="162" t="s">
        <v>13413</v>
      </c>
      <c r="H571" s="219"/>
      <c r="I571" s="169">
        <v>116767</v>
      </c>
      <c r="J571" s="304" t="str">
        <f>CONCATENATE([2]Cover!$D$6,"fdd/view?i=",I571)</f>
        <v>https://www.dgiwg.org/FAD/fdd/view?i=116767</v>
      </c>
      <c r="K571" s="304" t="s">
        <v>34620</v>
      </c>
      <c r="L571" s="188">
        <v>144</v>
      </c>
      <c r="M571" s="179" t="s">
        <v>151</v>
      </c>
    </row>
    <row r="572" spans="1:13" ht="38.25">
      <c r="A572" s="313" t="str">
        <f t="shared" si="8"/>
        <v>AerialRefuelTankerChanCode_chan049X</v>
      </c>
      <c r="B572" s="330"/>
      <c r="C572" s="334"/>
      <c r="D572" s="188" t="s">
        <v>14029</v>
      </c>
      <c r="E572" s="189" t="s">
        <v>14030</v>
      </c>
      <c r="F572" s="162" t="s">
        <v>14673</v>
      </c>
      <c r="G572" s="162" t="s">
        <v>13413</v>
      </c>
      <c r="H572" s="219"/>
      <c r="I572" s="169">
        <v>116768</v>
      </c>
      <c r="J572" s="304" t="str">
        <f>CONCATENATE([2]Cover!$D$6,"fdd/view?i=",I572)</f>
        <v>https://www.dgiwg.org/FAD/fdd/view?i=116768</v>
      </c>
      <c r="K572" s="304" t="s">
        <v>34621</v>
      </c>
      <c r="L572" s="188">
        <v>145</v>
      </c>
      <c r="M572" s="179" t="s">
        <v>151</v>
      </c>
    </row>
    <row r="573" spans="1:13" ht="38.25">
      <c r="A573" s="313" t="str">
        <f t="shared" si="8"/>
        <v>AerialRefuelTankerChanCode_chan049Y</v>
      </c>
      <c r="B573" s="330"/>
      <c r="C573" s="334"/>
      <c r="D573" s="188" t="s">
        <v>14032</v>
      </c>
      <c r="E573" s="189" t="s">
        <v>14033</v>
      </c>
      <c r="F573" s="162" t="s">
        <v>14674</v>
      </c>
      <c r="G573" s="162" t="s">
        <v>13413</v>
      </c>
      <c r="H573" s="219"/>
      <c r="I573" s="169">
        <v>116769</v>
      </c>
      <c r="J573" s="304" t="str">
        <f>CONCATENATE([2]Cover!$D$6,"fdd/view?i=",I573)</f>
        <v>https://www.dgiwg.org/FAD/fdd/view?i=116769</v>
      </c>
      <c r="K573" s="304" t="s">
        <v>34622</v>
      </c>
      <c r="L573" s="188">
        <v>146</v>
      </c>
      <c r="M573" s="179" t="s">
        <v>151</v>
      </c>
    </row>
    <row r="574" spans="1:13" ht="38.25">
      <c r="A574" s="313" t="str">
        <f t="shared" si="8"/>
        <v>AerialRefuelTankerChanCode_chan049Z</v>
      </c>
      <c r="B574" s="330"/>
      <c r="C574" s="334"/>
      <c r="D574" s="188" t="s">
        <v>14035</v>
      </c>
      <c r="E574" s="189" t="s">
        <v>14036</v>
      </c>
      <c r="F574" s="162" t="s">
        <v>14675</v>
      </c>
      <c r="G574" s="162" t="s">
        <v>13413</v>
      </c>
      <c r="H574" s="219"/>
      <c r="I574" s="169">
        <v>116770</v>
      </c>
      <c r="J574" s="304" t="str">
        <f>CONCATENATE([2]Cover!$D$6,"fdd/view?i=",I574)</f>
        <v>https://www.dgiwg.org/FAD/fdd/view?i=116770</v>
      </c>
      <c r="K574" s="304" t="s">
        <v>34623</v>
      </c>
      <c r="L574" s="188">
        <v>147</v>
      </c>
      <c r="M574" s="179" t="s">
        <v>151</v>
      </c>
    </row>
    <row r="575" spans="1:13" ht="38.25">
      <c r="A575" s="313" t="str">
        <f t="shared" si="8"/>
        <v>AerialRefuelTankerChanCode_chan050W</v>
      </c>
      <c r="B575" s="330"/>
      <c r="C575" s="334"/>
      <c r="D575" s="188" t="s">
        <v>14044</v>
      </c>
      <c r="E575" s="189" t="s">
        <v>14045</v>
      </c>
      <c r="F575" s="162" t="s">
        <v>14678</v>
      </c>
      <c r="G575" s="162" t="s">
        <v>13413</v>
      </c>
      <c r="H575" s="219"/>
      <c r="I575" s="169">
        <v>116771</v>
      </c>
      <c r="J575" s="304" t="str">
        <f>CONCATENATE([2]Cover!$D$6,"fdd/view?i=",I575)</f>
        <v>https://www.dgiwg.org/FAD/fdd/view?i=116771</v>
      </c>
      <c r="K575" s="304" t="s">
        <v>34624</v>
      </c>
      <c r="L575" s="188">
        <v>148</v>
      </c>
      <c r="M575" s="179" t="s">
        <v>151</v>
      </c>
    </row>
    <row r="576" spans="1:13" ht="38.25">
      <c r="A576" s="313" t="str">
        <f t="shared" si="8"/>
        <v>AerialRefuelTankerChanCode_chan050X</v>
      </c>
      <c r="B576" s="330"/>
      <c r="C576" s="334"/>
      <c r="D576" s="188" t="s">
        <v>14047</v>
      </c>
      <c r="E576" s="189" t="s">
        <v>14048</v>
      </c>
      <c r="F576" s="162" t="s">
        <v>14679</v>
      </c>
      <c r="G576" s="162" t="s">
        <v>13413</v>
      </c>
      <c r="H576" s="219"/>
      <c r="I576" s="169">
        <v>116772</v>
      </c>
      <c r="J576" s="304" t="str">
        <f>CONCATENATE([2]Cover!$D$6,"fdd/view?i=",I576)</f>
        <v>https://www.dgiwg.org/FAD/fdd/view?i=116772</v>
      </c>
      <c r="K576" s="304" t="s">
        <v>34625</v>
      </c>
      <c r="L576" s="188">
        <v>149</v>
      </c>
      <c r="M576" s="179" t="s">
        <v>151</v>
      </c>
    </row>
    <row r="577" spans="1:13" ht="38.25">
      <c r="A577" s="313" t="str">
        <f t="shared" si="8"/>
        <v>AerialRefuelTankerChanCode_chan050Y</v>
      </c>
      <c r="B577" s="330"/>
      <c r="C577" s="334"/>
      <c r="D577" s="188" t="s">
        <v>14050</v>
      </c>
      <c r="E577" s="189" t="s">
        <v>14051</v>
      </c>
      <c r="F577" s="162" t="s">
        <v>14680</v>
      </c>
      <c r="G577" s="162" t="s">
        <v>13413</v>
      </c>
      <c r="H577" s="219"/>
      <c r="I577" s="169">
        <v>116773</v>
      </c>
      <c r="J577" s="304" t="str">
        <f>CONCATENATE([2]Cover!$D$6,"fdd/view?i=",I577)</f>
        <v>https://www.dgiwg.org/FAD/fdd/view?i=116773</v>
      </c>
      <c r="K577" s="304" t="s">
        <v>34626</v>
      </c>
      <c r="L577" s="188">
        <v>150</v>
      </c>
      <c r="M577" s="179" t="s">
        <v>151</v>
      </c>
    </row>
    <row r="578" spans="1:13" ht="38.25">
      <c r="A578" s="313" t="str">
        <f t="shared" si="8"/>
        <v>AerialRefuelTankerChanCode_chan050Z</v>
      </c>
      <c r="B578" s="330"/>
      <c r="C578" s="334"/>
      <c r="D578" s="188" t="s">
        <v>14053</v>
      </c>
      <c r="E578" s="189" t="s">
        <v>14054</v>
      </c>
      <c r="F578" s="162" t="s">
        <v>14681</v>
      </c>
      <c r="G578" s="162" t="s">
        <v>13413</v>
      </c>
      <c r="H578" s="219"/>
      <c r="I578" s="169">
        <v>116774</v>
      </c>
      <c r="J578" s="304" t="str">
        <f>CONCATENATE([2]Cover!$D$6,"fdd/view?i=",I578)</f>
        <v>https://www.dgiwg.org/FAD/fdd/view?i=116774</v>
      </c>
      <c r="K578" s="304" t="s">
        <v>34627</v>
      </c>
      <c r="L578" s="188">
        <v>151</v>
      </c>
      <c r="M578" s="179" t="s">
        <v>151</v>
      </c>
    </row>
    <row r="579" spans="1:13" ht="38.25">
      <c r="A579" s="313" t="str">
        <f t="shared" ref="A579:A642" si="9">HYPERLINK(J579,K579)</f>
        <v>AerialRefuelTankerChanCode_chan051X</v>
      </c>
      <c r="B579" s="330"/>
      <c r="C579" s="334"/>
      <c r="D579" s="188" t="s">
        <v>14056</v>
      </c>
      <c r="E579" s="189" t="s">
        <v>14057</v>
      </c>
      <c r="F579" s="162" t="s">
        <v>14682</v>
      </c>
      <c r="G579" s="162" t="s">
        <v>13413</v>
      </c>
      <c r="H579" s="219"/>
      <c r="I579" s="169">
        <v>116775</v>
      </c>
      <c r="J579" s="304" t="str">
        <f>CONCATENATE([2]Cover!$D$6,"fdd/view?i=",I579)</f>
        <v>https://www.dgiwg.org/FAD/fdd/view?i=116775</v>
      </c>
      <c r="K579" s="304" t="s">
        <v>34628</v>
      </c>
      <c r="L579" s="188">
        <v>152</v>
      </c>
      <c r="M579" s="179" t="s">
        <v>151</v>
      </c>
    </row>
    <row r="580" spans="1:13" ht="38.25">
      <c r="A580" s="313" t="str">
        <f t="shared" si="9"/>
        <v>AerialRefuelTankerChanCode_chan051Y</v>
      </c>
      <c r="B580" s="330"/>
      <c r="C580" s="334"/>
      <c r="D580" s="188" t="s">
        <v>14059</v>
      </c>
      <c r="E580" s="189" t="s">
        <v>14060</v>
      </c>
      <c r="F580" s="162" t="s">
        <v>14683</v>
      </c>
      <c r="G580" s="162" t="s">
        <v>13413</v>
      </c>
      <c r="H580" s="219"/>
      <c r="I580" s="169">
        <v>116776</v>
      </c>
      <c r="J580" s="304" t="str">
        <f>CONCATENATE([2]Cover!$D$6,"fdd/view?i=",I580)</f>
        <v>https://www.dgiwg.org/FAD/fdd/view?i=116776</v>
      </c>
      <c r="K580" s="304" t="s">
        <v>34629</v>
      </c>
      <c r="L580" s="188">
        <v>153</v>
      </c>
      <c r="M580" s="179" t="s">
        <v>151</v>
      </c>
    </row>
    <row r="581" spans="1:13" ht="38.25">
      <c r="A581" s="313" t="str">
        <f t="shared" si="9"/>
        <v>AerialRefuelTankerChanCode_chan051Z</v>
      </c>
      <c r="B581" s="330"/>
      <c r="C581" s="334"/>
      <c r="D581" s="188" t="s">
        <v>14062</v>
      </c>
      <c r="E581" s="189" t="s">
        <v>14063</v>
      </c>
      <c r="F581" s="162" t="s">
        <v>14684</v>
      </c>
      <c r="G581" s="162" t="s">
        <v>13413</v>
      </c>
      <c r="H581" s="219"/>
      <c r="I581" s="169">
        <v>116777</v>
      </c>
      <c r="J581" s="304" t="str">
        <f>CONCATENATE([2]Cover!$D$6,"fdd/view?i=",I581)</f>
        <v>https://www.dgiwg.org/FAD/fdd/view?i=116777</v>
      </c>
      <c r="K581" s="304" t="s">
        <v>34630</v>
      </c>
      <c r="L581" s="188">
        <v>154</v>
      </c>
      <c r="M581" s="179" t="s">
        <v>151</v>
      </c>
    </row>
    <row r="582" spans="1:13" ht="38.25">
      <c r="A582" s="313" t="str">
        <f t="shared" si="9"/>
        <v>AerialRefuelTankerChanCode_chan052W</v>
      </c>
      <c r="B582" s="330"/>
      <c r="C582" s="334"/>
      <c r="D582" s="188" t="s">
        <v>14065</v>
      </c>
      <c r="E582" s="189" t="s">
        <v>14066</v>
      </c>
      <c r="F582" s="162" t="s">
        <v>14685</v>
      </c>
      <c r="G582" s="162" t="s">
        <v>13413</v>
      </c>
      <c r="H582" s="219"/>
      <c r="I582" s="169">
        <v>116778</v>
      </c>
      <c r="J582" s="304" t="str">
        <f>CONCATENATE([2]Cover!$D$6,"fdd/view?i=",I582)</f>
        <v>https://www.dgiwg.org/FAD/fdd/view?i=116778</v>
      </c>
      <c r="K582" s="304" t="s">
        <v>34631</v>
      </c>
      <c r="L582" s="188">
        <v>155</v>
      </c>
      <c r="M582" s="179" t="s">
        <v>151</v>
      </c>
    </row>
    <row r="583" spans="1:13" ht="38.25">
      <c r="A583" s="313" t="str">
        <f t="shared" si="9"/>
        <v>AerialRefuelTankerChanCode_chan052X</v>
      </c>
      <c r="B583" s="330"/>
      <c r="C583" s="334"/>
      <c r="D583" s="188" t="s">
        <v>14068</v>
      </c>
      <c r="E583" s="189" t="s">
        <v>14069</v>
      </c>
      <c r="F583" s="162" t="s">
        <v>14686</v>
      </c>
      <c r="G583" s="162" t="s">
        <v>13413</v>
      </c>
      <c r="H583" s="219"/>
      <c r="I583" s="169">
        <v>116779</v>
      </c>
      <c r="J583" s="304" t="str">
        <f>CONCATENATE([2]Cover!$D$6,"fdd/view?i=",I583)</f>
        <v>https://www.dgiwg.org/FAD/fdd/view?i=116779</v>
      </c>
      <c r="K583" s="304" t="s">
        <v>34632</v>
      </c>
      <c r="L583" s="188">
        <v>156</v>
      </c>
      <c r="M583" s="179" t="s">
        <v>151</v>
      </c>
    </row>
    <row r="584" spans="1:13" ht="38.25">
      <c r="A584" s="313" t="str">
        <f t="shared" si="9"/>
        <v>AerialRefuelTankerChanCode_chan052Y</v>
      </c>
      <c r="B584" s="330"/>
      <c r="C584" s="334"/>
      <c r="D584" s="188" t="s">
        <v>14071</v>
      </c>
      <c r="E584" s="189" t="s">
        <v>14072</v>
      </c>
      <c r="F584" s="162" t="s">
        <v>14687</v>
      </c>
      <c r="G584" s="162" t="s">
        <v>13413</v>
      </c>
      <c r="H584" s="219"/>
      <c r="I584" s="169">
        <v>116780</v>
      </c>
      <c r="J584" s="304" t="str">
        <f>CONCATENATE([2]Cover!$D$6,"fdd/view?i=",I584)</f>
        <v>https://www.dgiwg.org/FAD/fdd/view?i=116780</v>
      </c>
      <c r="K584" s="304" t="s">
        <v>34633</v>
      </c>
      <c r="L584" s="188">
        <v>157</v>
      </c>
      <c r="M584" s="179" t="s">
        <v>151</v>
      </c>
    </row>
    <row r="585" spans="1:13" ht="38.25">
      <c r="A585" s="313" t="str">
        <f t="shared" si="9"/>
        <v>AerialRefuelTankerChanCode_chan052Z</v>
      </c>
      <c r="B585" s="330"/>
      <c r="C585" s="334"/>
      <c r="D585" s="188" t="s">
        <v>14074</v>
      </c>
      <c r="E585" s="189" t="s">
        <v>14075</v>
      </c>
      <c r="F585" s="162" t="s">
        <v>14688</v>
      </c>
      <c r="G585" s="162" t="s">
        <v>13413</v>
      </c>
      <c r="H585" s="219"/>
      <c r="I585" s="169">
        <v>116781</v>
      </c>
      <c r="J585" s="304" t="str">
        <f>CONCATENATE([2]Cover!$D$6,"fdd/view?i=",I585)</f>
        <v>https://www.dgiwg.org/FAD/fdd/view?i=116781</v>
      </c>
      <c r="K585" s="304" t="s">
        <v>34634</v>
      </c>
      <c r="L585" s="188">
        <v>158</v>
      </c>
      <c r="M585" s="179" t="s">
        <v>151</v>
      </c>
    </row>
    <row r="586" spans="1:13" ht="38.25">
      <c r="A586" s="313" t="str">
        <f t="shared" si="9"/>
        <v>AerialRefuelTankerChanCode_chan053X</v>
      </c>
      <c r="B586" s="330"/>
      <c r="C586" s="334"/>
      <c r="D586" s="188" t="s">
        <v>14077</v>
      </c>
      <c r="E586" s="189" t="s">
        <v>14078</v>
      </c>
      <c r="F586" s="162" t="s">
        <v>14689</v>
      </c>
      <c r="G586" s="162" t="s">
        <v>13413</v>
      </c>
      <c r="H586" s="219"/>
      <c r="I586" s="169">
        <v>116782</v>
      </c>
      <c r="J586" s="304" t="str">
        <f>CONCATENATE([2]Cover!$D$6,"fdd/view?i=",I586)</f>
        <v>https://www.dgiwg.org/FAD/fdd/view?i=116782</v>
      </c>
      <c r="K586" s="304" t="s">
        <v>34635</v>
      </c>
      <c r="L586" s="188">
        <v>159</v>
      </c>
      <c r="M586" s="179" t="s">
        <v>151</v>
      </c>
    </row>
    <row r="587" spans="1:13" ht="38.25">
      <c r="A587" s="313" t="str">
        <f t="shared" si="9"/>
        <v>AerialRefuelTankerChanCode_chan053Y</v>
      </c>
      <c r="B587" s="330"/>
      <c r="C587" s="334"/>
      <c r="D587" s="188" t="s">
        <v>14080</v>
      </c>
      <c r="E587" s="189" t="s">
        <v>14081</v>
      </c>
      <c r="F587" s="162" t="s">
        <v>14690</v>
      </c>
      <c r="G587" s="162" t="s">
        <v>13413</v>
      </c>
      <c r="H587" s="219"/>
      <c r="I587" s="169">
        <v>116783</v>
      </c>
      <c r="J587" s="304" t="str">
        <f>CONCATENATE([2]Cover!$D$6,"fdd/view?i=",I587)</f>
        <v>https://www.dgiwg.org/FAD/fdd/view?i=116783</v>
      </c>
      <c r="K587" s="304" t="s">
        <v>34636</v>
      </c>
      <c r="L587" s="188">
        <v>160</v>
      </c>
      <c r="M587" s="179" t="s">
        <v>151</v>
      </c>
    </row>
    <row r="588" spans="1:13" ht="38.25">
      <c r="A588" s="313" t="str">
        <f t="shared" si="9"/>
        <v>AerialRefuelTankerChanCode_chan053Z</v>
      </c>
      <c r="B588" s="330"/>
      <c r="C588" s="334"/>
      <c r="D588" s="188" t="s">
        <v>14083</v>
      </c>
      <c r="E588" s="189" t="s">
        <v>14084</v>
      </c>
      <c r="F588" s="162" t="s">
        <v>14691</v>
      </c>
      <c r="G588" s="162" t="s">
        <v>13413</v>
      </c>
      <c r="H588" s="219"/>
      <c r="I588" s="169">
        <v>116784</v>
      </c>
      <c r="J588" s="304" t="str">
        <f>CONCATENATE([2]Cover!$D$6,"fdd/view?i=",I588)</f>
        <v>https://www.dgiwg.org/FAD/fdd/view?i=116784</v>
      </c>
      <c r="K588" s="304" t="s">
        <v>34637</v>
      </c>
      <c r="L588" s="188">
        <v>161</v>
      </c>
      <c r="M588" s="179" t="s">
        <v>151</v>
      </c>
    </row>
    <row r="589" spans="1:13" ht="38.25">
      <c r="A589" s="313" t="str">
        <f t="shared" si="9"/>
        <v>AerialRefuelTankerChanCode_chan054W</v>
      </c>
      <c r="B589" s="330"/>
      <c r="C589" s="334"/>
      <c r="D589" s="188" t="s">
        <v>14086</v>
      </c>
      <c r="E589" s="189" t="s">
        <v>14087</v>
      </c>
      <c r="F589" s="162" t="s">
        <v>14692</v>
      </c>
      <c r="G589" s="162" t="s">
        <v>13413</v>
      </c>
      <c r="H589" s="219"/>
      <c r="I589" s="169">
        <v>116785</v>
      </c>
      <c r="J589" s="304" t="str">
        <f>CONCATENATE([2]Cover!$D$6,"fdd/view?i=",I589)</f>
        <v>https://www.dgiwg.org/FAD/fdd/view?i=116785</v>
      </c>
      <c r="K589" s="304" t="s">
        <v>34638</v>
      </c>
      <c r="L589" s="188">
        <v>162</v>
      </c>
      <c r="M589" s="179" t="s">
        <v>151</v>
      </c>
    </row>
    <row r="590" spans="1:13" ht="38.25">
      <c r="A590" s="313" t="str">
        <f t="shared" si="9"/>
        <v>AerialRefuelTankerChanCode_chan054X</v>
      </c>
      <c r="B590" s="330"/>
      <c r="C590" s="334"/>
      <c r="D590" s="188" t="s">
        <v>14089</v>
      </c>
      <c r="E590" s="189" t="s">
        <v>14090</v>
      </c>
      <c r="F590" s="162" t="s">
        <v>14693</v>
      </c>
      <c r="G590" s="162" t="s">
        <v>13413</v>
      </c>
      <c r="H590" s="219"/>
      <c r="I590" s="169">
        <v>116786</v>
      </c>
      <c r="J590" s="304" t="str">
        <f>CONCATENATE([2]Cover!$D$6,"fdd/view?i=",I590)</f>
        <v>https://www.dgiwg.org/FAD/fdd/view?i=116786</v>
      </c>
      <c r="K590" s="304" t="s">
        <v>34639</v>
      </c>
      <c r="L590" s="188">
        <v>163</v>
      </c>
      <c r="M590" s="179" t="s">
        <v>151</v>
      </c>
    </row>
    <row r="591" spans="1:13" ht="38.25">
      <c r="A591" s="313" t="str">
        <f t="shared" si="9"/>
        <v>AerialRefuelTankerChanCode_chan054Y</v>
      </c>
      <c r="B591" s="330"/>
      <c r="C591" s="334"/>
      <c r="D591" s="188" t="s">
        <v>14092</v>
      </c>
      <c r="E591" s="189" t="s">
        <v>14093</v>
      </c>
      <c r="F591" s="162" t="s">
        <v>14694</v>
      </c>
      <c r="G591" s="162" t="s">
        <v>13413</v>
      </c>
      <c r="H591" s="219"/>
      <c r="I591" s="169">
        <v>116787</v>
      </c>
      <c r="J591" s="304" t="str">
        <f>CONCATENATE([2]Cover!$D$6,"fdd/view?i=",I591)</f>
        <v>https://www.dgiwg.org/FAD/fdd/view?i=116787</v>
      </c>
      <c r="K591" s="304" t="s">
        <v>34640</v>
      </c>
      <c r="L591" s="188">
        <v>164</v>
      </c>
      <c r="M591" s="179" t="s">
        <v>151</v>
      </c>
    </row>
    <row r="592" spans="1:13" ht="38.25">
      <c r="A592" s="313" t="str">
        <f t="shared" si="9"/>
        <v>AerialRefuelTankerChanCode_chan054Z</v>
      </c>
      <c r="B592" s="330"/>
      <c r="C592" s="334"/>
      <c r="D592" s="188" t="s">
        <v>14095</v>
      </c>
      <c r="E592" s="189" t="s">
        <v>14096</v>
      </c>
      <c r="F592" s="162" t="s">
        <v>14695</v>
      </c>
      <c r="G592" s="162" t="s">
        <v>13413</v>
      </c>
      <c r="H592" s="219"/>
      <c r="I592" s="169">
        <v>116788</v>
      </c>
      <c r="J592" s="304" t="str">
        <f>CONCATENATE([2]Cover!$D$6,"fdd/view?i=",I592)</f>
        <v>https://www.dgiwg.org/FAD/fdd/view?i=116788</v>
      </c>
      <c r="K592" s="304" t="s">
        <v>34641</v>
      </c>
      <c r="L592" s="188">
        <v>165</v>
      </c>
      <c r="M592" s="179" t="s">
        <v>151</v>
      </c>
    </row>
    <row r="593" spans="1:13" ht="38.25">
      <c r="A593" s="313" t="str">
        <f t="shared" si="9"/>
        <v>AerialRefuelTankerChanCode_chan055X</v>
      </c>
      <c r="B593" s="330"/>
      <c r="C593" s="334"/>
      <c r="D593" s="188" t="s">
        <v>14098</v>
      </c>
      <c r="E593" s="189" t="s">
        <v>14099</v>
      </c>
      <c r="F593" s="162" t="s">
        <v>14696</v>
      </c>
      <c r="G593" s="162" t="s">
        <v>13413</v>
      </c>
      <c r="H593" s="219"/>
      <c r="I593" s="169">
        <v>116789</v>
      </c>
      <c r="J593" s="304" t="str">
        <f>CONCATENATE([2]Cover!$D$6,"fdd/view?i=",I593)</f>
        <v>https://www.dgiwg.org/FAD/fdd/view?i=116789</v>
      </c>
      <c r="K593" s="304" t="s">
        <v>34642</v>
      </c>
      <c r="L593" s="188">
        <v>166</v>
      </c>
      <c r="M593" s="179" t="s">
        <v>151</v>
      </c>
    </row>
    <row r="594" spans="1:13" ht="38.25">
      <c r="A594" s="313" t="str">
        <f t="shared" si="9"/>
        <v>AerialRefuelTankerChanCode_chan055Y</v>
      </c>
      <c r="B594" s="330"/>
      <c r="C594" s="334"/>
      <c r="D594" s="188" t="s">
        <v>14101</v>
      </c>
      <c r="E594" s="189" t="s">
        <v>14102</v>
      </c>
      <c r="F594" s="162" t="s">
        <v>14697</v>
      </c>
      <c r="G594" s="162" t="s">
        <v>13413</v>
      </c>
      <c r="H594" s="219"/>
      <c r="I594" s="169">
        <v>116790</v>
      </c>
      <c r="J594" s="304" t="str">
        <f>CONCATENATE([2]Cover!$D$6,"fdd/view?i=",I594)</f>
        <v>https://www.dgiwg.org/FAD/fdd/view?i=116790</v>
      </c>
      <c r="K594" s="304" t="s">
        <v>34643</v>
      </c>
      <c r="L594" s="188">
        <v>167</v>
      </c>
      <c r="M594" s="179" t="s">
        <v>151</v>
      </c>
    </row>
    <row r="595" spans="1:13" ht="38.25">
      <c r="A595" s="313" t="str">
        <f t="shared" si="9"/>
        <v>AerialRefuelTankerChanCode_chan055Z</v>
      </c>
      <c r="B595" s="330"/>
      <c r="C595" s="334"/>
      <c r="D595" s="188" t="s">
        <v>14104</v>
      </c>
      <c r="E595" s="189" t="s">
        <v>14105</v>
      </c>
      <c r="F595" s="162" t="s">
        <v>14698</v>
      </c>
      <c r="G595" s="162" t="s">
        <v>13413</v>
      </c>
      <c r="H595" s="219"/>
      <c r="I595" s="169">
        <v>116791</v>
      </c>
      <c r="J595" s="304" t="str">
        <f>CONCATENATE([2]Cover!$D$6,"fdd/view?i=",I595)</f>
        <v>https://www.dgiwg.org/FAD/fdd/view?i=116791</v>
      </c>
      <c r="K595" s="304" t="s">
        <v>34644</v>
      </c>
      <c r="L595" s="188">
        <v>168</v>
      </c>
      <c r="M595" s="179" t="s">
        <v>151</v>
      </c>
    </row>
    <row r="596" spans="1:13" ht="38.25">
      <c r="A596" s="313" t="str">
        <f t="shared" si="9"/>
        <v>AerialRefuelTankerChanCode_chan056W</v>
      </c>
      <c r="B596" s="330"/>
      <c r="C596" s="334"/>
      <c r="D596" s="188" t="s">
        <v>14107</v>
      </c>
      <c r="E596" s="189" t="s">
        <v>14108</v>
      </c>
      <c r="F596" s="162" t="s">
        <v>14699</v>
      </c>
      <c r="G596" s="162" t="s">
        <v>13413</v>
      </c>
      <c r="H596" s="219"/>
      <c r="I596" s="169">
        <v>116792</v>
      </c>
      <c r="J596" s="304" t="str">
        <f>CONCATENATE([2]Cover!$D$6,"fdd/view?i=",I596)</f>
        <v>https://www.dgiwg.org/FAD/fdd/view?i=116792</v>
      </c>
      <c r="K596" s="304" t="s">
        <v>34645</v>
      </c>
      <c r="L596" s="188">
        <v>169</v>
      </c>
      <c r="M596" s="179" t="s">
        <v>151</v>
      </c>
    </row>
    <row r="597" spans="1:13" ht="38.25">
      <c r="A597" s="313" t="str">
        <f t="shared" si="9"/>
        <v>AerialRefuelTankerChanCode_chan056X</v>
      </c>
      <c r="B597" s="330"/>
      <c r="C597" s="334"/>
      <c r="D597" s="188" t="s">
        <v>14110</v>
      </c>
      <c r="E597" s="189" t="s">
        <v>14111</v>
      </c>
      <c r="F597" s="162" t="s">
        <v>14700</v>
      </c>
      <c r="G597" s="162" t="s">
        <v>13413</v>
      </c>
      <c r="H597" s="219"/>
      <c r="I597" s="169">
        <v>116793</v>
      </c>
      <c r="J597" s="304" t="str">
        <f>CONCATENATE([2]Cover!$D$6,"fdd/view?i=",I597)</f>
        <v>https://www.dgiwg.org/FAD/fdd/view?i=116793</v>
      </c>
      <c r="K597" s="304" t="s">
        <v>34646</v>
      </c>
      <c r="L597" s="188">
        <v>170</v>
      </c>
      <c r="M597" s="179" t="s">
        <v>151</v>
      </c>
    </row>
    <row r="598" spans="1:13" ht="38.25">
      <c r="A598" s="313" t="str">
        <f t="shared" si="9"/>
        <v>AerialRefuelTankerChanCode_chan056Y</v>
      </c>
      <c r="B598" s="330"/>
      <c r="C598" s="334"/>
      <c r="D598" s="188" t="s">
        <v>14113</v>
      </c>
      <c r="E598" s="189" t="s">
        <v>14114</v>
      </c>
      <c r="F598" s="162" t="s">
        <v>14701</v>
      </c>
      <c r="G598" s="162" t="s">
        <v>13413</v>
      </c>
      <c r="H598" s="219"/>
      <c r="I598" s="169">
        <v>116794</v>
      </c>
      <c r="J598" s="304" t="str">
        <f>CONCATENATE([2]Cover!$D$6,"fdd/view?i=",I598)</f>
        <v>https://www.dgiwg.org/FAD/fdd/view?i=116794</v>
      </c>
      <c r="K598" s="304" t="s">
        <v>34647</v>
      </c>
      <c r="L598" s="188">
        <v>171</v>
      </c>
      <c r="M598" s="179" t="s">
        <v>151</v>
      </c>
    </row>
    <row r="599" spans="1:13" ht="38.25">
      <c r="A599" s="313" t="str">
        <f t="shared" si="9"/>
        <v>AerialRefuelTankerChanCode_chan056Z</v>
      </c>
      <c r="B599" s="330"/>
      <c r="C599" s="334"/>
      <c r="D599" s="188" t="s">
        <v>14116</v>
      </c>
      <c r="E599" s="189" t="s">
        <v>14117</v>
      </c>
      <c r="F599" s="162" t="s">
        <v>14702</v>
      </c>
      <c r="G599" s="162" t="s">
        <v>13413</v>
      </c>
      <c r="H599" s="219"/>
      <c r="I599" s="169">
        <v>116795</v>
      </c>
      <c r="J599" s="304" t="str">
        <f>CONCATENATE([2]Cover!$D$6,"fdd/view?i=",I599)</f>
        <v>https://www.dgiwg.org/FAD/fdd/view?i=116795</v>
      </c>
      <c r="K599" s="304" t="s">
        <v>34648</v>
      </c>
      <c r="L599" s="188">
        <v>172</v>
      </c>
      <c r="M599" s="179" t="s">
        <v>151</v>
      </c>
    </row>
    <row r="600" spans="1:13" ht="38.25">
      <c r="A600" s="313" t="str">
        <f t="shared" si="9"/>
        <v>AerialRefuelTankerChanCode_chan057X</v>
      </c>
      <c r="B600" s="330"/>
      <c r="C600" s="334"/>
      <c r="D600" s="188" t="s">
        <v>14119</v>
      </c>
      <c r="E600" s="189" t="s">
        <v>14120</v>
      </c>
      <c r="F600" s="162" t="s">
        <v>14703</v>
      </c>
      <c r="G600" s="162" t="s">
        <v>13413</v>
      </c>
      <c r="H600" s="219"/>
      <c r="I600" s="169">
        <v>116796</v>
      </c>
      <c r="J600" s="304" t="str">
        <f>CONCATENATE([2]Cover!$D$6,"fdd/view?i=",I600)</f>
        <v>https://www.dgiwg.org/FAD/fdd/view?i=116796</v>
      </c>
      <c r="K600" s="304" t="s">
        <v>34649</v>
      </c>
      <c r="L600" s="188">
        <v>173</v>
      </c>
      <c r="M600" s="179" t="s">
        <v>151</v>
      </c>
    </row>
    <row r="601" spans="1:13" ht="38.25">
      <c r="A601" s="313" t="str">
        <f t="shared" si="9"/>
        <v>AerialRefuelTankerChanCode_chan057Y</v>
      </c>
      <c r="B601" s="330"/>
      <c r="C601" s="334"/>
      <c r="D601" s="188" t="s">
        <v>14122</v>
      </c>
      <c r="E601" s="189" t="s">
        <v>14123</v>
      </c>
      <c r="F601" s="162" t="s">
        <v>14704</v>
      </c>
      <c r="G601" s="162" t="s">
        <v>13413</v>
      </c>
      <c r="H601" s="219"/>
      <c r="I601" s="169">
        <v>116797</v>
      </c>
      <c r="J601" s="304" t="str">
        <f>CONCATENATE([2]Cover!$D$6,"fdd/view?i=",I601)</f>
        <v>https://www.dgiwg.org/FAD/fdd/view?i=116797</v>
      </c>
      <c r="K601" s="304" t="s">
        <v>34650</v>
      </c>
      <c r="L601" s="188">
        <v>174</v>
      </c>
      <c r="M601" s="179" t="s">
        <v>151</v>
      </c>
    </row>
    <row r="602" spans="1:13" ht="38.25">
      <c r="A602" s="313" t="str">
        <f t="shared" si="9"/>
        <v>AerialRefuelTankerChanCode_chan058X</v>
      </c>
      <c r="B602" s="330"/>
      <c r="C602" s="334"/>
      <c r="D602" s="188" t="s">
        <v>14125</v>
      </c>
      <c r="E602" s="189" t="s">
        <v>14126</v>
      </c>
      <c r="F602" s="162" t="s">
        <v>14705</v>
      </c>
      <c r="G602" s="162" t="s">
        <v>13413</v>
      </c>
      <c r="H602" s="219"/>
      <c r="I602" s="169">
        <v>116798</v>
      </c>
      <c r="J602" s="304" t="str">
        <f>CONCATENATE([2]Cover!$D$6,"fdd/view?i=",I602)</f>
        <v>https://www.dgiwg.org/FAD/fdd/view?i=116798</v>
      </c>
      <c r="K602" s="304" t="s">
        <v>34651</v>
      </c>
      <c r="L602" s="188">
        <v>175</v>
      </c>
      <c r="M602" s="179" t="s">
        <v>151</v>
      </c>
    </row>
    <row r="603" spans="1:13" ht="38.25">
      <c r="A603" s="313" t="str">
        <f t="shared" si="9"/>
        <v>AerialRefuelTankerChanCode_chan058Y</v>
      </c>
      <c r="B603" s="330"/>
      <c r="C603" s="334"/>
      <c r="D603" s="188" t="s">
        <v>14128</v>
      </c>
      <c r="E603" s="189" t="s">
        <v>14129</v>
      </c>
      <c r="F603" s="162" t="s">
        <v>14706</v>
      </c>
      <c r="G603" s="162" t="s">
        <v>13413</v>
      </c>
      <c r="H603" s="219"/>
      <c r="I603" s="169">
        <v>116799</v>
      </c>
      <c r="J603" s="304" t="str">
        <f>CONCATENATE([2]Cover!$D$6,"fdd/view?i=",I603)</f>
        <v>https://www.dgiwg.org/FAD/fdd/view?i=116799</v>
      </c>
      <c r="K603" s="304" t="s">
        <v>34652</v>
      </c>
      <c r="L603" s="188">
        <v>176</v>
      </c>
      <c r="M603" s="179" t="s">
        <v>151</v>
      </c>
    </row>
    <row r="604" spans="1:13" ht="38.25">
      <c r="A604" s="313" t="str">
        <f t="shared" si="9"/>
        <v>AerialRefuelTankerChanCode_chan059X</v>
      </c>
      <c r="B604" s="330"/>
      <c r="C604" s="334"/>
      <c r="D604" s="188" t="s">
        <v>14131</v>
      </c>
      <c r="E604" s="189" t="s">
        <v>14132</v>
      </c>
      <c r="F604" s="162" t="s">
        <v>14707</v>
      </c>
      <c r="G604" s="162" t="s">
        <v>13413</v>
      </c>
      <c r="H604" s="219"/>
      <c r="I604" s="169">
        <v>116800</v>
      </c>
      <c r="J604" s="304" t="str">
        <f>CONCATENATE([2]Cover!$D$6,"fdd/view?i=",I604)</f>
        <v>https://www.dgiwg.org/FAD/fdd/view?i=116800</v>
      </c>
      <c r="K604" s="304" t="s">
        <v>34653</v>
      </c>
      <c r="L604" s="188">
        <v>177</v>
      </c>
      <c r="M604" s="179" t="s">
        <v>151</v>
      </c>
    </row>
    <row r="605" spans="1:13" ht="38.25">
      <c r="A605" s="313" t="str">
        <f t="shared" si="9"/>
        <v>AerialRefuelTankerChanCode_chan059Y</v>
      </c>
      <c r="B605" s="330"/>
      <c r="C605" s="334"/>
      <c r="D605" s="188" t="s">
        <v>14134</v>
      </c>
      <c r="E605" s="189" t="s">
        <v>14135</v>
      </c>
      <c r="F605" s="162" t="s">
        <v>14708</v>
      </c>
      <c r="G605" s="162" t="s">
        <v>13413</v>
      </c>
      <c r="H605" s="219"/>
      <c r="I605" s="169">
        <v>116801</v>
      </c>
      <c r="J605" s="304" t="str">
        <f>CONCATENATE([2]Cover!$D$6,"fdd/view?i=",I605)</f>
        <v>https://www.dgiwg.org/FAD/fdd/view?i=116801</v>
      </c>
      <c r="K605" s="304" t="s">
        <v>34654</v>
      </c>
      <c r="L605" s="188">
        <v>178</v>
      </c>
      <c r="M605" s="179" t="s">
        <v>151</v>
      </c>
    </row>
    <row r="606" spans="1:13" ht="38.25">
      <c r="A606" s="313" t="str">
        <f t="shared" si="9"/>
        <v>AerialRefuelTankerChanCode_chan060X</v>
      </c>
      <c r="B606" s="330"/>
      <c r="C606" s="334"/>
      <c r="D606" s="188" t="s">
        <v>14143</v>
      </c>
      <c r="E606" s="189" t="s">
        <v>14144</v>
      </c>
      <c r="F606" s="162" t="s">
        <v>14711</v>
      </c>
      <c r="G606" s="162" t="s">
        <v>13413</v>
      </c>
      <c r="H606" s="219"/>
      <c r="I606" s="169">
        <v>116802</v>
      </c>
      <c r="J606" s="304" t="str">
        <f>CONCATENATE([2]Cover!$D$6,"fdd/view?i=",I606)</f>
        <v>https://www.dgiwg.org/FAD/fdd/view?i=116802</v>
      </c>
      <c r="K606" s="304" t="s">
        <v>34655</v>
      </c>
      <c r="L606" s="188">
        <v>179</v>
      </c>
      <c r="M606" s="179" t="s">
        <v>151</v>
      </c>
    </row>
    <row r="607" spans="1:13" ht="38.25">
      <c r="A607" s="313" t="str">
        <f t="shared" si="9"/>
        <v>AerialRefuelTankerChanCode_chan060Y</v>
      </c>
      <c r="B607" s="330"/>
      <c r="C607" s="334"/>
      <c r="D607" s="188" t="s">
        <v>14146</v>
      </c>
      <c r="E607" s="189" t="s">
        <v>14147</v>
      </c>
      <c r="F607" s="162" t="s">
        <v>14712</v>
      </c>
      <c r="G607" s="162" t="s">
        <v>13413</v>
      </c>
      <c r="H607" s="219"/>
      <c r="I607" s="169">
        <v>116803</v>
      </c>
      <c r="J607" s="304" t="str">
        <f>CONCATENATE([2]Cover!$D$6,"fdd/view?i=",I607)</f>
        <v>https://www.dgiwg.org/FAD/fdd/view?i=116803</v>
      </c>
      <c r="K607" s="304" t="s">
        <v>34656</v>
      </c>
      <c r="L607" s="188">
        <v>180</v>
      </c>
      <c r="M607" s="179" t="s">
        <v>151</v>
      </c>
    </row>
    <row r="608" spans="1:13" ht="38.25">
      <c r="A608" s="313" t="str">
        <f t="shared" si="9"/>
        <v>AerialRefuelTankerChanCode_chan061X</v>
      </c>
      <c r="B608" s="330"/>
      <c r="C608" s="334"/>
      <c r="D608" s="188" t="s">
        <v>14149</v>
      </c>
      <c r="E608" s="189" t="s">
        <v>14150</v>
      </c>
      <c r="F608" s="162" t="s">
        <v>14713</v>
      </c>
      <c r="G608" s="162" t="s">
        <v>13413</v>
      </c>
      <c r="H608" s="219"/>
      <c r="I608" s="169">
        <v>116804</v>
      </c>
      <c r="J608" s="304" t="str">
        <f>CONCATENATE([2]Cover!$D$6,"fdd/view?i=",I608)</f>
        <v>https://www.dgiwg.org/FAD/fdd/view?i=116804</v>
      </c>
      <c r="K608" s="304" t="s">
        <v>34657</v>
      </c>
      <c r="L608" s="188">
        <v>181</v>
      </c>
      <c r="M608" s="179" t="s">
        <v>151</v>
      </c>
    </row>
    <row r="609" spans="1:13" ht="38.25">
      <c r="A609" s="313" t="str">
        <f t="shared" si="9"/>
        <v>AerialRefuelTankerChanCode_chan061Y</v>
      </c>
      <c r="B609" s="330"/>
      <c r="C609" s="334"/>
      <c r="D609" s="188" t="s">
        <v>14152</v>
      </c>
      <c r="E609" s="189" t="s">
        <v>14153</v>
      </c>
      <c r="F609" s="162" t="s">
        <v>14714</v>
      </c>
      <c r="G609" s="162" t="s">
        <v>13413</v>
      </c>
      <c r="H609" s="219"/>
      <c r="I609" s="169">
        <v>116805</v>
      </c>
      <c r="J609" s="304" t="str">
        <f>CONCATENATE([2]Cover!$D$6,"fdd/view?i=",I609)</f>
        <v>https://www.dgiwg.org/FAD/fdd/view?i=116805</v>
      </c>
      <c r="K609" s="304" t="s">
        <v>34658</v>
      </c>
      <c r="L609" s="188">
        <v>182</v>
      </c>
      <c r="M609" s="179" t="s">
        <v>151</v>
      </c>
    </row>
    <row r="610" spans="1:13" ht="38.25">
      <c r="A610" s="313" t="str">
        <f t="shared" si="9"/>
        <v>AerialRefuelTankerChanCode_chan062X</v>
      </c>
      <c r="B610" s="330"/>
      <c r="C610" s="334"/>
      <c r="D610" s="188" t="s">
        <v>14155</v>
      </c>
      <c r="E610" s="189" t="s">
        <v>14156</v>
      </c>
      <c r="F610" s="162" t="s">
        <v>14715</v>
      </c>
      <c r="G610" s="162" t="s">
        <v>13413</v>
      </c>
      <c r="H610" s="219"/>
      <c r="I610" s="169">
        <v>116806</v>
      </c>
      <c r="J610" s="304" t="str">
        <f>CONCATENATE([2]Cover!$D$6,"fdd/view?i=",I610)</f>
        <v>https://www.dgiwg.org/FAD/fdd/view?i=116806</v>
      </c>
      <c r="K610" s="304" t="s">
        <v>34659</v>
      </c>
      <c r="L610" s="188">
        <v>183</v>
      </c>
      <c r="M610" s="179" t="s">
        <v>151</v>
      </c>
    </row>
    <row r="611" spans="1:13" ht="38.25">
      <c r="A611" s="313" t="str">
        <f t="shared" si="9"/>
        <v>AerialRefuelTankerChanCode_chan062Y</v>
      </c>
      <c r="B611" s="330"/>
      <c r="C611" s="334"/>
      <c r="D611" s="188" t="s">
        <v>14158</v>
      </c>
      <c r="E611" s="189" t="s">
        <v>14159</v>
      </c>
      <c r="F611" s="162" t="s">
        <v>14716</v>
      </c>
      <c r="G611" s="162" t="s">
        <v>13413</v>
      </c>
      <c r="H611" s="219"/>
      <c r="I611" s="169">
        <v>116807</v>
      </c>
      <c r="J611" s="304" t="str">
        <f>CONCATENATE([2]Cover!$D$6,"fdd/view?i=",I611)</f>
        <v>https://www.dgiwg.org/FAD/fdd/view?i=116807</v>
      </c>
      <c r="K611" s="304" t="s">
        <v>34660</v>
      </c>
      <c r="L611" s="188">
        <v>184</v>
      </c>
      <c r="M611" s="179" t="s">
        <v>151</v>
      </c>
    </row>
    <row r="612" spans="1:13" ht="38.25">
      <c r="A612" s="313" t="str">
        <f t="shared" si="9"/>
        <v>AerialRefuelTankerChanCode_chan063X</v>
      </c>
      <c r="B612" s="330"/>
      <c r="C612" s="334"/>
      <c r="D612" s="188" t="s">
        <v>14161</v>
      </c>
      <c r="E612" s="189" t="s">
        <v>14162</v>
      </c>
      <c r="F612" s="162" t="s">
        <v>14717</v>
      </c>
      <c r="G612" s="162" t="s">
        <v>13413</v>
      </c>
      <c r="H612" s="219"/>
      <c r="I612" s="169">
        <v>116808</v>
      </c>
      <c r="J612" s="304" t="str">
        <f>CONCATENATE([2]Cover!$D$6,"fdd/view?i=",I612)</f>
        <v>https://www.dgiwg.org/FAD/fdd/view?i=116808</v>
      </c>
      <c r="K612" s="304" t="s">
        <v>34661</v>
      </c>
      <c r="L612" s="188">
        <v>185</v>
      </c>
      <c r="M612" s="179" t="s">
        <v>151</v>
      </c>
    </row>
    <row r="613" spans="1:13" ht="38.25">
      <c r="A613" s="313" t="str">
        <f t="shared" si="9"/>
        <v>AerialRefuelTankerChanCode_chan063Y</v>
      </c>
      <c r="B613" s="330"/>
      <c r="C613" s="334"/>
      <c r="D613" s="188" t="s">
        <v>14164</v>
      </c>
      <c r="E613" s="189" t="s">
        <v>14165</v>
      </c>
      <c r="F613" s="162" t="s">
        <v>14718</v>
      </c>
      <c r="G613" s="162" t="s">
        <v>13413</v>
      </c>
      <c r="H613" s="219"/>
      <c r="I613" s="169">
        <v>116809</v>
      </c>
      <c r="J613" s="304" t="str">
        <f>CONCATENATE([2]Cover!$D$6,"fdd/view?i=",I613)</f>
        <v>https://www.dgiwg.org/FAD/fdd/view?i=116809</v>
      </c>
      <c r="K613" s="304" t="s">
        <v>34662</v>
      </c>
      <c r="L613" s="188">
        <v>186</v>
      </c>
      <c r="M613" s="179" t="s">
        <v>151</v>
      </c>
    </row>
    <row r="614" spans="1:13" ht="38.25">
      <c r="A614" s="313" t="str">
        <f t="shared" si="9"/>
        <v>AerialRefuelTankerChanCode_chan064X</v>
      </c>
      <c r="B614" s="330"/>
      <c r="C614" s="334"/>
      <c r="D614" s="188" t="s">
        <v>14167</v>
      </c>
      <c r="E614" s="189" t="s">
        <v>14168</v>
      </c>
      <c r="F614" s="162" t="s">
        <v>14719</v>
      </c>
      <c r="G614" s="162" t="s">
        <v>13413</v>
      </c>
      <c r="H614" s="219"/>
      <c r="I614" s="169">
        <v>116810</v>
      </c>
      <c r="J614" s="304" t="str">
        <f>CONCATENATE([2]Cover!$D$6,"fdd/view?i=",I614)</f>
        <v>https://www.dgiwg.org/FAD/fdd/view?i=116810</v>
      </c>
      <c r="K614" s="304" t="s">
        <v>34663</v>
      </c>
      <c r="L614" s="188">
        <v>187</v>
      </c>
      <c r="M614" s="179" t="s">
        <v>151</v>
      </c>
    </row>
    <row r="615" spans="1:13" ht="38.25">
      <c r="A615" s="313" t="str">
        <f t="shared" si="9"/>
        <v>AerialRefuelTankerChanCode_chan064Y</v>
      </c>
      <c r="B615" s="330"/>
      <c r="C615" s="334"/>
      <c r="D615" s="188" t="s">
        <v>14170</v>
      </c>
      <c r="E615" s="189" t="s">
        <v>14171</v>
      </c>
      <c r="F615" s="162" t="s">
        <v>14720</v>
      </c>
      <c r="G615" s="162" t="s">
        <v>13413</v>
      </c>
      <c r="H615" s="219"/>
      <c r="I615" s="169">
        <v>116811</v>
      </c>
      <c r="J615" s="304" t="str">
        <f>CONCATENATE([2]Cover!$D$6,"fdd/view?i=",I615)</f>
        <v>https://www.dgiwg.org/FAD/fdd/view?i=116811</v>
      </c>
      <c r="K615" s="304" t="s">
        <v>34664</v>
      </c>
      <c r="L615" s="188">
        <v>188</v>
      </c>
      <c r="M615" s="179" t="s">
        <v>151</v>
      </c>
    </row>
    <row r="616" spans="1:13" ht="38.25">
      <c r="A616" s="313" t="str">
        <f t="shared" si="9"/>
        <v>AerialRefuelTankerChanCode_chan065X</v>
      </c>
      <c r="B616" s="330"/>
      <c r="C616" s="334"/>
      <c r="D616" s="188" t="s">
        <v>14173</v>
      </c>
      <c r="E616" s="189" t="s">
        <v>14174</v>
      </c>
      <c r="F616" s="162" t="s">
        <v>14721</v>
      </c>
      <c r="G616" s="162" t="s">
        <v>13413</v>
      </c>
      <c r="H616" s="219"/>
      <c r="I616" s="169">
        <v>116812</v>
      </c>
      <c r="J616" s="304" t="str">
        <f>CONCATENATE([2]Cover!$D$6,"fdd/view?i=",I616)</f>
        <v>https://www.dgiwg.org/FAD/fdd/view?i=116812</v>
      </c>
      <c r="K616" s="304" t="s">
        <v>34665</v>
      </c>
      <c r="L616" s="188">
        <v>189</v>
      </c>
      <c r="M616" s="179" t="s">
        <v>151</v>
      </c>
    </row>
    <row r="617" spans="1:13" ht="38.25">
      <c r="A617" s="313" t="str">
        <f t="shared" si="9"/>
        <v>AerialRefuelTankerChanCode_chan065Y</v>
      </c>
      <c r="B617" s="330"/>
      <c r="C617" s="334"/>
      <c r="D617" s="188" t="s">
        <v>14176</v>
      </c>
      <c r="E617" s="189" t="s">
        <v>14177</v>
      </c>
      <c r="F617" s="162" t="s">
        <v>14722</v>
      </c>
      <c r="G617" s="162" t="s">
        <v>13413</v>
      </c>
      <c r="H617" s="219"/>
      <c r="I617" s="169">
        <v>116813</v>
      </c>
      <c r="J617" s="304" t="str">
        <f>CONCATENATE([2]Cover!$D$6,"fdd/view?i=",I617)</f>
        <v>https://www.dgiwg.org/FAD/fdd/view?i=116813</v>
      </c>
      <c r="K617" s="304" t="s">
        <v>34666</v>
      </c>
      <c r="L617" s="188">
        <v>190</v>
      </c>
      <c r="M617" s="179" t="s">
        <v>151</v>
      </c>
    </row>
    <row r="618" spans="1:13" ht="38.25">
      <c r="A618" s="313" t="str">
        <f t="shared" si="9"/>
        <v>AerialRefuelTankerChanCode_chan066X</v>
      </c>
      <c r="B618" s="330"/>
      <c r="C618" s="334"/>
      <c r="D618" s="188" t="s">
        <v>14179</v>
      </c>
      <c r="E618" s="189" t="s">
        <v>14180</v>
      </c>
      <c r="F618" s="162" t="s">
        <v>14723</v>
      </c>
      <c r="G618" s="162" t="s">
        <v>13413</v>
      </c>
      <c r="H618" s="219"/>
      <c r="I618" s="169">
        <v>116814</v>
      </c>
      <c r="J618" s="304" t="str">
        <f>CONCATENATE([2]Cover!$D$6,"fdd/view?i=",I618)</f>
        <v>https://www.dgiwg.org/FAD/fdd/view?i=116814</v>
      </c>
      <c r="K618" s="304" t="s">
        <v>34667</v>
      </c>
      <c r="L618" s="188">
        <v>191</v>
      </c>
      <c r="M618" s="179" t="s">
        <v>151</v>
      </c>
    </row>
    <row r="619" spans="1:13" ht="38.25">
      <c r="A619" s="313" t="str">
        <f t="shared" si="9"/>
        <v>AerialRefuelTankerChanCode_chan066Y</v>
      </c>
      <c r="B619" s="330"/>
      <c r="C619" s="334"/>
      <c r="D619" s="188" t="s">
        <v>14182</v>
      </c>
      <c r="E619" s="189" t="s">
        <v>14183</v>
      </c>
      <c r="F619" s="162" t="s">
        <v>14724</v>
      </c>
      <c r="G619" s="162" t="s">
        <v>13413</v>
      </c>
      <c r="H619" s="219"/>
      <c r="I619" s="169">
        <v>116815</v>
      </c>
      <c r="J619" s="304" t="str">
        <f>CONCATENATE([2]Cover!$D$6,"fdd/view?i=",I619)</f>
        <v>https://www.dgiwg.org/FAD/fdd/view?i=116815</v>
      </c>
      <c r="K619" s="304" t="s">
        <v>34668</v>
      </c>
      <c r="L619" s="188">
        <v>192</v>
      </c>
      <c r="M619" s="179" t="s">
        <v>151</v>
      </c>
    </row>
    <row r="620" spans="1:13" ht="38.25">
      <c r="A620" s="313" t="str">
        <f t="shared" si="9"/>
        <v>AerialRefuelTankerChanCode_chan067X</v>
      </c>
      <c r="B620" s="330"/>
      <c r="C620" s="334"/>
      <c r="D620" s="188" t="s">
        <v>14185</v>
      </c>
      <c r="E620" s="189" t="s">
        <v>14186</v>
      </c>
      <c r="F620" s="162" t="s">
        <v>14725</v>
      </c>
      <c r="G620" s="162" t="s">
        <v>13413</v>
      </c>
      <c r="H620" s="219"/>
      <c r="I620" s="169">
        <v>116816</v>
      </c>
      <c r="J620" s="304" t="str">
        <f>CONCATENATE([2]Cover!$D$6,"fdd/view?i=",I620)</f>
        <v>https://www.dgiwg.org/FAD/fdd/view?i=116816</v>
      </c>
      <c r="K620" s="304" t="s">
        <v>34669</v>
      </c>
      <c r="L620" s="188">
        <v>193</v>
      </c>
      <c r="M620" s="179" t="s">
        <v>151</v>
      </c>
    </row>
    <row r="621" spans="1:13" ht="38.25">
      <c r="A621" s="313" t="str">
        <f t="shared" si="9"/>
        <v>AerialRefuelTankerChanCode_chan067Y</v>
      </c>
      <c r="B621" s="330"/>
      <c r="C621" s="334"/>
      <c r="D621" s="188" t="s">
        <v>14188</v>
      </c>
      <c r="E621" s="189" t="s">
        <v>14189</v>
      </c>
      <c r="F621" s="162" t="s">
        <v>14726</v>
      </c>
      <c r="G621" s="162" t="s">
        <v>13413</v>
      </c>
      <c r="H621" s="219"/>
      <c r="I621" s="169">
        <v>116817</v>
      </c>
      <c r="J621" s="304" t="str">
        <f>CONCATENATE([2]Cover!$D$6,"fdd/view?i=",I621)</f>
        <v>https://www.dgiwg.org/FAD/fdd/view?i=116817</v>
      </c>
      <c r="K621" s="304" t="s">
        <v>34670</v>
      </c>
      <c r="L621" s="188">
        <v>194</v>
      </c>
      <c r="M621" s="179" t="s">
        <v>151</v>
      </c>
    </row>
    <row r="622" spans="1:13" ht="38.25">
      <c r="A622" s="313" t="str">
        <f t="shared" si="9"/>
        <v>AerialRefuelTankerChanCode_chan068X</v>
      </c>
      <c r="B622" s="330"/>
      <c r="C622" s="334"/>
      <c r="D622" s="188" t="s">
        <v>14191</v>
      </c>
      <c r="E622" s="189" t="s">
        <v>14192</v>
      </c>
      <c r="F622" s="162" t="s">
        <v>14727</v>
      </c>
      <c r="G622" s="162" t="s">
        <v>13413</v>
      </c>
      <c r="H622" s="219"/>
      <c r="I622" s="169">
        <v>116818</v>
      </c>
      <c r="J622" s="304" t="str">
        <f>CONCATENATE([2]Cover!$D$6,"fdd/view?i=",I622)</f>
        <v>https://www.dgiwg.org/FAD/fdd/view?i=116818</v>
      </c>
      <c r="K622" s="304" t="s">
        <v>34671</v>
      </c>
      <c r="L622" s="188">
        <v>195</v>
      </c>
      <c r="M622" s="179" t="s">
        <v>151</v>
      </c>
    </row>
    <row r="623" spans="1:13" ht="38.25">
      <c r="A623" s="313" t="str">
        <f t="shared" si="9"/>
        <v>AerialRefuelTankerChanCode_chan068Y</v>
      </c>
      <c r="B623" s="330"/>
      <c r="C623" s="334"/>
      <c r="D623" s="188" t="s">
        <v>14194</v>
      </c>
      <c r="E623" s="189" t="s">
        <v>14195</v>
      </c>
      <c r="F623" s="162" t="s">
        <v>14728</v>
      </c>
      <c r="G623" s="162" t="s">
        <v>13413</v>
      </c>
      <c r="H623" s="219"/>
      <c r="I623" s="169">
        <v>116819</v>
      </c>
      <c r="J623" s="304" t="str">
        <f>CONCATENATE([2]Cover!$D$6,"fdd/view?i=",I623)</f>
        <v>https://www.dgiwg.org/FAD/fdd/view?i=116819</v>
      </c>
      <c r="K623" s="304" t="s">
        <v>34672</v>
      </c>
      <c r="L623" s="188">
        <v>196</v>
      </c>
      <c r="M623" s="179" t="s">
        <v>151</v>
      </c>
    </row>
    <row r="624" spans="1:13" ht="38.25">
      <c r="A624" s="313" t="str">
        <f t="shared" si="9"/>
        <v>AerialRefuelTankerChanCode_chan069X</v>
      </c>
      <c r="B624" s="330"/>
      <c r="C624" s="334"/>
      <c r="D624" s="188" t="s">
        <v>14197</v>
      </c>
      <c r="E624" s="189" t="s">
        <v>14198</v>
      </c>
      <c r="F624" s="162" t="s">
        <v>14729</v>
      </c>
      <c r="G624" s="162" t="s">
        <v>13413</v>
      </c>
      <c r="H624" s="219"/>
      <c r="I624" s="169">
        <v>116820</v>
      </c>
      <c r="J624" s="304" t="str">
        <f>CONCATENATE([2]Cover!$D$6,"fdd/view?i=",I624)</f>
        <v>https://www.dgiwg.org/FAD/fdd/view?i=116820</v>
      </c>
      <c r="K624" s="304" t="s">
        <v>34673</v>
      </c>
      <c r="L624" s="188">
        <v>197</v>
      </c>
      <c r="M624" s="179" t="s">
        <v>151</v>
      </c>
    </row>
    <row r="625" spans="1:13" ht="38.25">
      <c r="A625" s="313" t="str">
        <f t="shared" si="9"/>
        <v>AerialRefuelTankerChanCode_chan069Y</v>
      </c>
      <c r="B625" s="330"/>
      <c r="C625" s="334"/>
      <c r="D625" s="188" t="s">
        <v>14200</v>
      </c>
      <c r="E625" s="189" t="s">
        <v>14201</v>
      </c>
      <c r="F625" s="162" t="s">
        <v>14730</v>
      </c>
      <c r="G625" s="162" t="s">
        <v>13413</v>
      </c>
      <c r="H625" s="219"/>
      <c r="I625" s="169">
        <v>116821</v>
      </c>
      <c r="J625" s="304" t="str">
        <f>CONCATENATE([2]Cover!$D$6,"fdd/view?i=",I625)</f>
        <v>https://www.dgiwg.org/FAD/fdd/view?i=116821</v>
      </c>
      <c r="K625" s="304" t="s">
        <v>34674</v>
      </c>
      <c r="L625" s="188">
        <v>198</v>
      </c>
      <c r="M625" s="179" t="s">
        <v>151</v>
      </c>
    </row>
    <row r="626" spans="1:13" ht="38.25">
      <c r="A626" s="313" t="str">
        <f t="shared" si="9"/>
        <v>AerialRefuelTankerChanCode_chan070X</v>
      </c>
      <c r="B626" s="330"/>
      <c r="C626" s="334"/>
      <c r="D626" s="188" t="s">
        <v>14209</v>
      </c>
      <c r="E626" s="189" t="s">
        <v>14210</v>
      </c>
      <c r="F626" s="162" t="s">
        <v>14733</v>
      </c>
      <c r="G626" s="162" t="s">
        <v>13413</v>
      </c>
      <c r="H626" s="219"/>
      <c r="I626" s="169">
        <v>116822</v>
      </c>
      <c r="J626" s="304" t="str">
        <f>CONCATENATE([2]Cover!$D$6,"fdd/view?i=",I626)</f>
        <v>https://www.dgiwg.org/FAD/fdd/view?i=116822</v>
      </c>
      <c r="K626" s="304" t="s">
        <v>34675</v>
      </c>
      <c r="L626" s="188">
        <v>199</v>
      </c>
      <c r="M626" s="179" t="s">
        <v>151</v>
      </c>
    </row>
    <row r="627" spans="1:13" ht="38.25">
      <c r="A627" s="313" t="str">
        <f t="shared" si="9"/>
        <v>AerialRefuelTankerChanCode_chan070Y</v>
      </c>
      <c r="B627" s="330"/>
      <c r="C627" s="334"/>
      <c r="D627" s="188" t="s">
        <v>14212</v>
      </c>
      <c r="E627" s="189" t="s">
        <v>14213</v>
      </c>
      <c r="F627" s="162" t="s">
        <v>14734</v>
      </c>
      <c r="G627" s="162" t="s">
        <v>13413</v>
      </c>
      <c r="H627" s="219"/>
      <c r="I627" s="169">
        <v>116823</v>
      </c>
      <c r="J627" s="304" t="str">
        <f>CONCATENATE([2]Cover!$D$6,"fdd/view?i=",I627)</f>
        <v>https://www.dgiwg.org/FAD/fdd/view?i=116823</v>
      </c>
      <c r="K627" s="304" t="s">
        <v>34676</v>
      </c>
      <c r="L627" s="188">
        <v>200</v>
      </c>
      <c r="M627" s="179" t="s">
        <v>151</v>
      </c>
    </row>
    <row r="628" spans="1:13" ht="38.25">
      <c r="A628" s="313" t="str">
        <f t="shared" si="9"/>
        <v>AerialRefuelTankerChanCode_chan071X</v>
      </c>
      <c r="B628" s="330"/>
      <c r="C628" s="334"/>
      <c r="D628" s="188" t="s">
        <v>14215</v>
      </c>
      <c r="E628" s="189" t="s">
        <v>14216</v>
      </c>
      <c r="F628" s="162" t="s">
        <v>14735</v>
      </c>
      <c r="G628" s="162" t="s">
        <v>13413</v>
      </c>
      <c r="H628" s="219"/>
      <c r="I628" s="169">
        <v>116824</v>
      </c>
      <c r="J628" s="304" t="str">
        <f>CONCATENATE([2]Cover!$D$6,"fdd/view?i=",I628)</f>
        <v>https://www.dgiwg.org/FAD/fdd/view?i=116824</v>
      </c>
      <c r="K628" s="304" t="s">
        <v>34677</v>
      </c>
      <c r="L628" s="188">
        <v>201</v>
      </c>
      <c r="M628" s="179" t="s">
        <v>151</v>
      </c>
    </row>
    <row r="629" spans="1:13" ht="38.25">
      <c r="A629" s="313" t="str">
        <f t="shared" si="9"/>
        <v>AerialRefuelTankerChanCode_chan071Y</v>
      </c>
      <c r="B629" s="330"/>
      <c r="C629" s="334"/>
      <c r="D629" s="188" t="s">
        <v>14218</v>
      </c>
      <c r="E629" s="189" t="s">
        <v>14219</v>
      </c>
      <c r="F629" s="162" t="s">
        <v>14736</v>
      </c>
      <c r="G629" s="162" t="s">
        <v>13413</v>
      </c>
      <c r="H629" s="219"/>
      <c r="I629" s="169">
        <v>116825</v>
      </c>
      <c r="J629" s="304" t="str">
        <f>CONCATENATE([2]Cover!$D$6,"fdd/view?i=",I629)</f>
        <v>https://www.dgiwg.org/FAD/fdd/view?i=116825</v>
      </c>
      <c r="K629" s="304" t="s">
        <v>34678</v>
      </c>
      <c r="L629" s="188">
        <v>202</v>
      </c>
      <c r="M629" s="179" t="s">
        <v>151</v>
      </c>
    </row>
    <row r="630" spans="1:13" ht="38.25">
      <c r="A630" s="313" t="str">
        <f t="shared" si="9"/>
        <v>AerialRefuelTankerChanCode_chan072X</v>
      </c>
      <c r="B630" s="330"/>
      <c r="C630" s="334"/>
      <c r="D630" s="188" t="s">
        <v>14221</v>
      </c>
      <c r="E630" s="189" t="s">
        <v>14222</v>
      </c>
      <c r="F630" s="162" t="s">
        <v>14737</v>
      </c>
      <c r="G630" s="162" t="s">
        <v>13413</v>
      </c>
      <c r="H630" s="219"/>
      <c r="I630" s="169">
        <v>116826</v>
      </c>
      <c r="J630" s="304" t="str">
        <f>CONCATENATE([2]Cover!$D$6,"fdd/view?i=",I630)</f>
        <v>https://www.dgiwg.org/FAD/fdd/view?i=116826</v>
      </c>
      <c r="K630" s="304" t="s">
        <v>34679</v>
      </c>
      <c r="L630" s="188">
        <v>203</v>
      </c>
      <c r="M630" s="179" t="s">
        <v>151</v>
      </c>
    </row>
    <row r="631" spans="1:13" ht="38.25">
      <c r="A631" s="313" t="str">
        <f t="shared" si="9"/>
        <v>AerialRefuelTankerChanCode_chan072Y</v>
      </c>
      <c r="B631" s="330"/>
      <c r="C631" s="334"/>
      <c r="D631" s="188" t="s">
        <v>14224</v>
      </c>
      <c r="E631" s="189" t="s">
        <v>14225</v>
      </c>
      <c r="F631" s="162" t="s">
        <v>14738</v>
      </c>
      <c r="G631" s="162" t="s">
        <v>13413</v>
      </c>
      <c r="H631" s="219"/>
      <c r="I631" s="169">
        <v>116827</v>
      </c>
      <c r="J631" s="304" t="str">
        <f>CONCATENATE([2]Cover!$D$6,"fdd/view?i=",I631)</f>
        <v>https://www.dgiwg.org/FAD/fdd/view?i=116827</v>
      </c>
      <c r="K631" s="304" t="s">
        <v>34680</v>
      </c>
      <c r="L631" s="188">
        <v>204</v>
      </c>
      <c r="M631" s="179" t="s">
        <v>151</v>
      </c>
    </row>
    <row r="632" spans="1:13" ht="38.25">
      <c r="A632" s="313" t="str">
        <f t="shared" si="9"/>
        <v>AerialRefuelTankerChanCode_chan073X</v>
      </c>
      <c r="B632" s="330"/>
      <c r="C632" s="334"/>
      <c r="D632" s="188" t="s">
        <v>14227</v>
      </c>
      <c r="E632" s="189" t="s">
        <v>14228</v>
      </c>
      <c r="F632" s="162" t="s">
        <v>14739</v>
      </c>
      <c r="G632" s="162" t="s">
        <v>13413</v>
      </c>
      <c r="H632" s="219"/>
      <c r="I632" s="169">
        <v>116828</v>
      </c>
      <c r="J632" s="304" t="str">
        <f>CONCATENATE([2]Cover!$D$6,"fdd/view?i=",I632)</f>
        <v>https://www.dgiwg.org/FAD/fdd/view?i=116828</v>
      </c>
      <c r="K632" s="304" t="s">
        <v>34681</v>
      </c>
      <c r="L632" s="188">
        <v>205</v>
      </c>
      <c r="M632" s="179" t="s">
        <v>151</v>
      </c>
    </row>
    <row r="633" spans="1:13" ht="38.25">
      <c r="A633" s="313" t="str">
        <f t="shared" si="9"/>
        <v>AerialRefuelTankerChanCode_chan073Y</v>
      </c>
      <c r="B633" s="330"/>
      <c r="C633" s="334"/>
      <c r="D633" s="188" t="s">
        <v>14230</v>
      </c>
      <c r="E633" s="189" t="s">
        <v>14231</v>
      </c>
      <c r="F633" s="162" t="s">
        <v>14740</v>
      </c>
      <c r="G633" s="162" t="s">
        <v>13413</v>
      </c>
      <c r="H633" s="219"/>
      <c r="I633" s="169">
        <v>116829</v>
      </c>
      <c r="J633" s="304" t="str">
        <f>CONCATENATE([2]Cover!$D$6,"fdd/view?i=",I633)</f>
        <v>https://www.dgiwg.org/FAD/fdd/view?i=116829</v>
      </c>
      <c r="K633" s="304" t="s">
        <v>34682</v>
      </c>
      <c r="L633" s="188">
        <v>206</v>
      </c>
      <c r="M633" s="179" t="s">
        <v>151</v>
      </c>
    </row>
    <row r="634" spans="1:13" ht="38.25">
      <c r="A634" s="313" t="str">
        <f t="shared" si="9"/>
        <v>AerialRefuelTankerChanCode_chan074X</v>
      </c>
      <c r="B634" s="330"/>
      <c r="C634" s="334"/>
      <c r="D634" s="188" t="s">
        <v>14233</v>
      </c>
      <c r="E634" s="189" t="s">
        <v>14234</v>
      </c>
      <c r="F634" s="162" t="s">
        <v>14741</v>
      </c>
      <c r="G634" s="162" t="s">
        <v>13413</v>
      </c>
      <c r="H634" s="219"/>
      <c r="I634" s="169">
        <v>116830</v>
      </c>
      <c r="J634" s="304" t="str">
        <f>CONCATENATE([2]Cover!$D$6,"fdd/view?i=",I634)</f>
        <v>https://www.dgiwg.org/FAD/fdd/view?i=116830</v>
      </c>
      <c r="K634" s="304" t="s">
        <v>34683</v>
      </c>
      <c r="L634" s="188">
        <v>207</v>
      </c>
      <c r="M634" s="179" t="s">
        <v>151</v>
      </c>
    </row>
    <row r="635" spans="1:13" ht="38.25">
      <c r="A635" s="313" t="str">
        <f t="shared" si="9"/>
        <v>AerialRefuelTankerChanCode_chan074Y</v>
      </c>
      <c r="B635" s="330"/>
      <c r="C635" s="334"/>
      <c r="D635" s="188" t="s">
        <v>14236</v>
      </c>
      <c r="E635" s="189" t="s">
        <v>14237</v>
      </c>
      <c r="F635" s="162" t="s">
        <v>14742</v>
      </c>
      <c r="G635" s="162" t="s">
        <v>13413</v>
      </c>
      <c r="H635" s="219"/>
      <c r="I635" s="169">
        <v>116831</v>
      </c>
      <c r="J635" s="304" t="str">
        <f>CONCATENATE([2]Cover!$D$6,"fdd/view?i=",I635)</f>
        <v>https://www.dgiwg.org/FAD/fdd/view?i=116831</v>
      </c>
      <c r="K635" s="304" t="s">
        <v>34684</v>
      </c>
      <c r="L635" s="188">
        <v>208</v>
      </c>
      <c r="M635" s="179" t="s">
        <v>151</v>
      </c>
    </row>
    <row r="636" spans="1:13" ht="38.25">
      <c r="A636" s="313" t="str">
        <f t="shared" si="9"/>
        <v>AerialRefuelTankerChanCode_chan075X</v>
      </c>
      <c r="B636" s="330"/>
      <c r="C636" s="334"/>
      <c r="D636" s="188" t="s">
        <v>14239</v>
      </c>
      <c r="E636" s="189" t="s">
        <v>14240</v>
      </c>
      <c r="F636" s="162" t="s">
        <v>14743</v>
      </c>
      <c r="G636" s="162" t="s">
        <v>13413</v>
      </c>
      <c r="H636" s="219"/>
      <c r="I636" s="169">
        <v>116832</v>
      </c>
      <c r="J636" s="304" t="str">
        <f>CONCATENATE([2]Cover!$D$6,"fdd/view?i=",I636)</f>
        <v>https://www.dgiwg.org/FAD/fdd/view?i=116832</v>
      </c>
      <c r="K636" s="304" t="s">
        <v>34685</v>
      </c>
      <c r="L636" s="188">
        <v>209</v>
      </c>
      <c r="M636" s="179" t="s">
        <v>151</v>
      </c>
    </row>
    <row r="637" spans="1:13" ht="38.25">
      <c r="A637" s="313" t="str">
        <f t="shared" si="9"/>
        <v>AerialRefuelTankerChanCode_chan075Y</v>
      </c>
      <c r="B637" s="330"/>
      <c r="C637" s="334"/>
      <c r="D637" s="188" t="s">
        <v>14242</v>
      </c>
      <c r="E637" s="189" t="s">
        <v>14243</v>
      </c>
      <c r="F637" s="162" t="s">
        <v>14744</v>
      </c>
      <c r="G637" s="162" t="s">
        <v>13413</v>
      </c>
      <c r="H637" s="219"/>
      <c r="I637" s="169">
        <v>116833</v>
      </c>
      <c r="J637" s="304" t="str">
        <f>CONCATENATE([2]Cover!$D$6,"fdd/view?i=",I637)</f>
        <v>https://www.dgiwg.org/FAD/fdd/view?i=116833</v>
      </c>
      <c r="K637" s="304" t="s">
        <v>34686</v>
      </c>
      <c r="L637" s="188">
        <v>210</v>
      </c>
      <c r="M637" s="179" t="s">
        <v>151</v>
      </c>
    </row>
    <row r="638" spans="1:13" ht="38.25">
      <c r="A638" s="313" t="str">
        <f t="shared" si="9"/>
        <v>AerialRefuelTankerChanCode_chan076X</v>
      </c>
      <c r="B638" s="330"/>
      <c r="C638" s="334"/>
      <c r="D638" s="188" t="s">
        <v>14245</v>
      </c>
      <c r="E638" s="189" t="s">
        <v>14246</v>
      </c>
      <c r="F638" s="162" t="s">
        <v>14745</v>
      </c>
      <c r="G638" s="162" t="s">
        <v>13413</v>
      </c>
      <c r="H638" s="219"/>
      <c r="I638" s="169">
        <v>116834</v>
      </c>
      <c r="J638" s="304" t="str">
        <f>CONCATENATE([2]Cover!$D$6,"fdd/view?i=",I638)</f>
        <v>https://www.dgiwg.org/FAD/fdd/view?i=116834</v>
      </c>
      <c r="K638" s="304" t="s">
        <v>34687</v>
      </c>
      <c r="L638" s="188">
        <v>211</v>
      </c>
      <c r="M638" s="179" t="s">
        <v>151</v>
      </c>
    </row>
    <row r="639" spans="1:13" ht="38.25">
      <c r="A639" s="313" t="str">
        <f t="shared" si="9"/>
        <v>AerialRefuelTankerChanCode_chan076Y</v>
      </c>
      <c r="B639" s="330"/>
      <c r="C639" s="334"/>
      <c r="D639" s="188" t="s">
        <v>14248</v>
      </c>
      <c r="E639" s="189" t="s">
        <v>14249</v>
      </c>
      <c r="F639" s="162" t="s">
        <v>14746</v>
      </c>
      <c r="G639" s="162" t="s">
        <v>13413</v>
      </c>
      <c r="H639" s="219"/>
      <c r="I639" s="169">
        <v>116835</v>
      </c>
      <c r="J639" s="304" t="str">
        <f>CONCATENATE([2]Cover!$D$6,"fdd/view?i=",I639)</f>
        <v>https://www.dgiwg.org/FAD/fdd/view?i=116835</v>
      </c>
      <c r="K639" s="304" t="s">
        <v>34688</v>
      </c>
      <c r="L639" s="188">
        <v>212</v>
      </c>
      <c r="M639" s="179" t="s">
        <v>151</v>
      </c>
    </row>
    <row r="640" spans="1:13" ht="38.25">
      <c r="A640" s="313" t="str">
        <f t="shared" si="9"/>
        <v>AerialRefuelTankerChanCode_chan077X</v>
      </c>
      <c r="B640" s="330"/>
      <c r="C640" s="334"/>
      <c r="D640" s="188" t="s">
        <v>14251</v>
      </c>
      <c r="E640" s="189" t="s">
        <v>14252</v>
      </c>
      <c r="F640" s="162" t="s">
        <v>14747</v>
      </c>
      <c r="G640" s="162" t="s">
        <v>13413</v>
      </c>
      <c r="H640" s="219"/>
      <c r="I640" s="169">
        <v>116836</v>
      </c>
      <c r="J640" s="304" t="str">
        <f>CONCATENATE([2]Cover!$D$6,"fdd/view?i=",I640)</f>
        <v>https://www.dgiwg.org/FAD/fdd/view?i=116836</v>
      </c>
      <c r="K640" s="304" t="s">
        <v>34689</v>
      </c>
      <c r="L640" s="188">
        <v>213</v>
      </c>
      <c r="M640" s="179" t="s">
        <v>151</v>
      </c>
    </row>
    <row r="641" spans="1:13" ht="38.25">
      <c r="A641" s="313" t="str">
        <f t="shared" si="9"/>
        <v>AerialRefuelTankerChanCode_chan077Y</v>
      </c>
      <c r="B641" s="330"/>
      <c r="C641" s="334"/>
      <c r="D641" s="188" t="s">
        <v>14254</v>
      </c>
      <c r="E641" s="189" t="s">
        <v>14255</v>
      </c>
      <c r="F641" s="162" t="s">
        <v>14748</v>
      </c>
      <c r="G641" s="162" t="s">
        <v>13413</v>
      </c>
      <c r="H641" s="219"/>
      <c r="I641" s="169">
        <v>116837</v>
      </c>
      <c r="J641" s="304" t="str">
        <f>CONCATENATE([2]Cover!$D$6,"fdd/view?i=",I641)</f>
        <v>https://www.dgiwg.org/FAD/fdd/view?i=116837</v>
      </c>
      <c r="K641" s="304" t="s">
        <v>34690</v>
      </c>
      <c r="L641" s="188">
        <v>214</v>
      </c>
      <c r="M641" s="179" t="s">
        <v>151</v>
      </c>
    </row>
    <row r="642" spans="1:13" ht="38.25">
      <c r="A642" s="313" t="str">
        <f t="shared" si="9"/>
        <v>AerialRefuelTankerChanCode_chan078X</v>
      </c>
      <c r="B642" s="330"/>
      <c r="C642" s="334"/>
      <c r="D642" s="188" t="s">
        <v>14257</v>
      </c>
      <c r="E642" s="189" t="s">
        <v>14258</v>
      </c>
      <c r="F642" s="162" t="s">
        <v>14749</v>
      </c>
      <c r="G642" s="162" t="s">
        <v>13413</v>
      </c>
      <c r="H642" s="219"/>
      <c r="I642" s="169">
        <v>116838</v>
      </c>
      <c r="J642" s="304" t="str">
        <f>CONCATENATE([2]Cover!$D$6,"fdd/view?i=",I642)</f>
        <v>https://www.dgiwg.org/FAD/fdd/view?i=116838</v>
      </c>
      <c r="K642" s="304" t="s">
        <v>34691</v>
      </c>
      <c r="L642" s="188">
        <v>215</v>
      </c>
      <c r="M642" s="179" t="s">
        <v>151</v>
      </c>
    </row>
    <row r="643" spans="1:13" ht="38.25">
      <c r="A643" s="313" t="str">
        <f t="shared" ref="A643:A706" si="10">HYPERLINK(J643,K643)</f>
        <v>AerialRefuelTankerChanCode_chan078Y</v>
      </c>
      <c r="B643" s="330"/>
      <c r="C643" s="334"/>
      <c r="D643" s="188" t="s">
        <v>14260</v>
      </c>
      <c r="E643" s="189" t="s">
        <v>14261</v>
      </c>
      <c r="F643" s="162" t="s">
        <v>14750</v>
      </c>
      <c r="G643" s="162" t="s">
        <v>13413</v>
      </c>
      <c r="H643" s="219"/>
      <c r="I643" s="169">
        <v>116839</v>
      </c>
      <c r="J643" s="304" t="str">
        <f>CONCATENATE([2]Cover!$D$6,"fdd/view?i=",I643)</f>
        <v>https://www.dgiwg.org/FAD/fdd/view?i=116839</v>
      </c>
      <c r="K643" s="304" t="s">
        <v>34692</v>
      </c>
      <c r="L643" s="188">
        <v>216</v>
      </c>
      <c r="M643" s="179" t="s">
        <v>151</v>
      </c>
    </row>
    <row r="644" spans="1:13" ht="38.25">
      <c r="A644" s="313" t="str">
        <f t="shared" si="10"/>
        <v>AerialRefuelTankerChanCode_chan079X</v>
      </c>
      <c r="B644" s="330"/>
      <c r="C644" s="334"/>
      <c r="D644" s="188" t="s">
        <v>14263</v>
      </c>
      <c r="E644" s="189" t="s">
        <v>14264</v>
      </c>
      <c r="F644" s="162" t="s">
        <v>14751</v>
      </c>
      <c r="G644" s="162" t="s">
        <v>13413</v>
      </c>
      <c r="H644" s="219"/>
      <c r="I644" s="169">
        <v>116840</v>
      </c>
      <c r="J644" s="304" t="str">
        <f>CONCATENATE([2]Cover!$D$6,"fdd/view?i=",I644)</f>
        <v>https://www.dgiwg.org/FAD/fdd/view?i=116840</v>
      </c>
      <c r="K644" s="304" t="s">
        <v>34693</v>
      </c>
      <c r="L644" s="188">
        <v>217</v>
      </c>
      <c r="M644" s="179" t="s">
        <v>151</v>
      </c>
    </row>
    <row r="645" spans="1:13" ht="38.25">
      <c r="A645" s="313" t="str">
        <f t="shared" si="10"/>
        <v>AerialRefuelTankerChanCode_chan079Y</v>
      </c>
      <c r="B645" s="330"/>
      <c r="C645" s="334"/>
      <c r="D645" s="188" t="s">
        <v>14266</v>
      </c>
      <c r="E645" s="189" t="s">
        <v>14267</v>
      </c>
      <c r="F645" s="162" t="s">
        <v>14752</v>
      </c>
      <c r="G645" s="162" t="s">
        <v>13413</v>
      </c>
      <c r="H645" s="219"/>
      <c r="I645" s="169">
        <v>116841</v>
      </c>
      <c r="J645" s="304" t="str">
        <f>CONCATENATE([2]Cover!$D$6,"fdd/view?i=",I645)</f>
        <v>https://www.dgiwg.org/FAD/fdd/view?i=116841</v>
      </c>
      <c r="K645" s="304" t="s">
        <v>34694</v>
      </c>
      <c r="L645" s="188">
        <v>218</v>
      </c>
      <c r="M645" s="179" t="s">
        <v>151</v>
      </c>
    </row>
    <row r="646" spans="1:13" ht="38.25">
      <c r="A646" s="313" t="str">
        <f t="shared" si="10"/>
        <v>AerialRefuelTankerChanCode_chan080X</v>
      </c>
      <c r="B646" s="330"/>
      <c r="C646" s="334"/>
      <c r="D646" s="188" t="s">
        <v>14275</v>
      </c>
      <c r="E646" s="189" t="s">
        <v>14276</v>
      </c>
      <c r="F646" s="162" t="s">
        <v>14755</v>
      </c>
      <c r="G646" s="162" t="s">
        <v>13413</v>
      </c>
      <c r="H646" s="219"/>
      <c r="I646" s="169">
        <v>116842</v>
      </c>
      <c r="J646" s="304" t="str">
        <f>CONCATENATE([2]Cover!$D$6,"fdd/view?i=",I646)</f>
        <v>https://www.dgiwg.org/FAD/fdd/view?i=116842</v>
      </c>
      <c r="K646" s="304" t="s">
        <v>34695</v>
      </c>
      <c r="L646" s="188">
        <v>219</v>
      </c>
      <c r="M646" s="179" t="s">
        <v>151</v>
      </c>
    </row>
    <row r="647" spans="1:13" ht="38.25">
      <c r="A647" s="313" t="str">
        <f t="shared" si="10"/>
        <v>AerialRefuelTankerChanCode_chan080Y</v>
      </c>
      <c r="B647" s="330"/>
      <c r="C647" s="334"/>
      <c r="D647" s="188" t="s">
        <v>14278</v>
      </c>
      <c r="E647" s="189" t="s">
        <v>14279</v>
      </c>
      <c r="F647" s="162" t="s">
        <v>14756</v>
      </c>
      <c r="G647" s="162" t="s">
        <v>13413</v>
      </c>
      <c r="H647" s="219"/>
      <c r="I647" s="169">
        <v>116843</v>
      </c>
      <c r="J647" s="304" t="str">
        <f>CONCATENATE([2]Cover!$D$6,"fdd/view?i=",I647)</f>
        <v>https://www.dgiwg.org/FAD/fdd/view?i=116843</v>
      </c>
      <c r="K647" s="304" t="s">
        <v>34696</v>
      </c>
      <c r="L647" s="188">
        <v>220</v>
      </c>
      <c r="M647" s="179" t="s">
        <v>151</v>
      </c>
    </row>
    <row r="648" spans="1:13" ht="38.25">
      <c r="A648" s="313" t="str">
        <f t="shared" si="10"/>
        <v>AerialRefuelTankerChanCode_chan080Z</v>
      </c>
      <c r="B648" s="330"/>
      <c r="C648" s="334"/>
      <c r="D648" s="188" t="s">
        <v>14281</v>
      </c>
      <c r="E648" s="189" t="s">
        <v>14282</v>
      </c>
      <c r="F648" s="162" t="s">
        <v>14757</v>
      </c>
      <c r="G648" s="162" t="s">
        <v>13413</v>
      </c>
      <c r="H648" s="219"/>
      <c r="I648" s="169">
        <v>116844</v>
      </c>
      <c r="J648" s="304" t="str">
        <f>CONCATENATE([2]Cover!$D$6,"fdd/view?i=",I648)</f>
        <v>https://www.dgiwg.org/FAD/fdd/view?i=116844</v>
      </c>
      <c r="K648" s="304" t="s">
        <v>34697</v>
      </c>
      <c r="L648" s="188">
        <v>221</v>
      </c>
      <c r="M648" s="179" t="s">
        <v>151</v>
      </c>
    </row>
    <row r="649" spans="1:13" ht="38.25">
      <c r="A649" s="313" t="str">
        <f t="shared" si="10"/>
        <v>AerialRefuelTankerChanCode_chan081X</v>
      </c>
      <c r="B649" s="330"/>
      <c r="C649" s="334"/>
      <c r="D649" s="188" t="s">
        <v>14284</v>
      </c>
      <c r="E649" s="189" t="s">
        <v>14285</v>
      </c>
      <c r="F649" s="162" t="s">
        <v>14758</v>
      </c>
      <c r="G649" s="162" t="s">
        <v>13413</v>
      </c>
      <c r="H649" s="219"/>
      <c r="I649" s="169">
        <v>116845</v>
      </c>
      <c r="J649" s="304" t="str">
        <f>CONCATENATE([2]Cover!$D$6,"fdd/view?i=",I649)</f>
        <v>https://www.dgiwg.org/FAD/fdd/view?i=116845</v>
      </c>
      <c r="K649" s="304" t="s">
        <v>34698</v>
      </c>
      <c r="L649" s="188">
        <v>222</v>
      </c>
      <c r="M649" s="179" t="s">
        <v>151</v>
      </c>
    </row>
    <row r="650" spans="1:13" ht="38.25">
      <c r="A650" s="313" t="str">
        <f t="shared" si="10"/>
        <v>AerialRefuelTankerChanCode_chan081Y</v>
      </c>
      <c r="B650" s="330"/>
      <c r="C650" s="334"/>
      <c r="D650" s="188" t="s">
        <v>14287</v>
      </c>
      <c r="E650" s="189" t="s">
        <v>14288</v>
      </c>
      <c r="F650" s="162" t="s">
        <v>14759</v>
      </c>
      <c r="G650" s="162" t="s">
        <v>13413</v>
      </c>
      <c r="H650" s="219"/>
      <c r="I650" s="169">
        <v>116846</v>
      </c>
      <c r="J650" s="304" t="str">
        <f>CONCATENATE([2]Cover!$D$6,"fdd/view?i=",I650)</f>
        <v>https://www.dgiwg.org/FAD/fdd/view?i=116846</v>
      </c>
      <c r="K650" s="304" t="s">
        <v>34699</v>
      </c>
      <c r="L650" s="188">
        <v>223</v>
      </c>
      <c r="M650" s="179" t="s">
        <v>151</v>
      </c>
    </row>
    <row r="651" spans="1:13" ht="38.25">
      <c r="A651" s="313" t="str">
        <f t="shared" si="10"/>
        <v>AerialRefuelTankerChanCode_chan081Z</v>
      </c>
      <c r="B651" s="330"/>
      <c r="C651" s="334"/>
      <c r="D651" s="188" t="s">
        <v>14290</v>
      </c>
      <c r="E651" s="189" t="s">
        <v>14291</v>
      </c>
      <c r="F651" s="162" t="s">
        <v>14760</v>
      </c>
      <c r="G651" s="162" t="s">
        <v>13413</v>
      </c>
      <c r="H651" s="219"/>
      <c r="I651" s="169">
        <v>116847</v>
      </c>
      <c r="J651" s="304" t="str">
        <f>CONCATENATE([2]Cover!$D$6,"fdd/view?i=",I651)</f>
        <v>https://www.dgiwg.org/FAD/fdd/view?i=116847</v>
      </c>
      <c r="K651" s="304" t="s">
        <v>34700</v>
      </c>
      <c r="L651" s="188">
        <v>224</v>
      </c>
      <c r="M651" s="179" t="s">
        <v>151</v>
      </c>
    </row>
    <row r="652" spans="1:13" ht="38.25">
      <c r="A652" s="313" t="str">
        <f t="shared" si="10"/>
        <v>AerialRefuelTankerChanCode_chan082X</v>
      </c>
      <c r="B652" s="330"/>
      <c r="C652" s="334"/>
      <c r="D652" s="188" t="s">
        <v>14293</v>
      </c>
      <c r="E652" s="189" t="s">
        <v>14294</v>
      </c>
      <c r="F652" s="162" t="s">
        <v>14761</v>
      </c>
      <c r="G652" s="162" t="s">
        <v>13413</v>
      </c>
      <c r="H652" s="219"/>
      <c r="I652" s="169">
        <v>116848</v>
      </c>
      <c r="J652" s="304" t="str">
        <f>CONCATENATE([2]Cover!$D$6,"fdd/view?i=",I652)</f>
        <v>https://www.dgiwg.org/FAD/fdd/view?i=116848</v>
      </c>
      <c r="K652" s="304" t="s">
        <v>34701</v>
      </c>
      <c r="L652" s="188">
        <v>225</v>
      </c>
      <c r="M652" s="179" t="s">
        <v>151</v>
      </c>
    </row>
    <row r="653" spans="1:13" ht="38.25">
      <c r="A653" s="313" t="str">
        <f t="shared" si="10"/>
        <v>AerialRefuelTankerChanCode_chan082Y</v>
      </c>
      <c r="B653" s="330"/>
      <c r="C653" s="334"/>
      <c r="D653" s="188" t="s">
        <v>14296</v>
      </c>
      <c r="E653" s="189" t="s">
        <v>14297</v>
      </c>
      <c r="F653" s="162" t="s">
        <v>14762</v>
      </c>
      <c r="G653" s="162" t="s">
        <v>13413</v>
      </c>
      <c r="H653" s="219"/>
      <c r="I653" s="169">
        <v>116849</v>
      </c>
      <c r="J653" s="304" t="str">
        <f>CONCATENATE([2]Cover!$D$6,"fdd/view?i=",I653)</f>
        <v>https://www.dgiwg.org/FAD/fdd/view?i=116849</v>
      </c>
      <c r="K653" s="304" t="s">
        <v>34702</v>
      </c>
      <c r="L653" s="188">
        <v>226</v>
      </c>
      <c r="M653" s="179" t="s">
        <v>151</v>
      </c>
    </row>
    <row r="654" spans="1:13" ht="38.25">
      <c r="A654" s="313" t="str">
        <f t="shared" si="10"/>
        <v>AerialRefuelTankerChanCode_chan082Z</v>
      </c>
      <c r="B654" s="330"/>
      <c r="C654" s="334"/>
      <c r="D654" s="188" t="s">
        <v>14299</v>
      </c>
      <c r="E654" s="189" t="s">
        <v>14300</v>
      </c>
      <c r="F654" s="162" t="s">
        <v>14763</v>
      </c>
      <c r="G654" s="162" t="s">
        <v>13413</v>
      </c>
      <c r="H654" s="219"/>
      <c r="I654" s="169">
        <v>116850</v>
      </c>
      <c r="J654" s="304" t="str">
        <f>CONCATENATE([2]Cover!$D$6,"fdd/view?i=",I654)</f>
        <v>https://www.dgiwg.org/FAD/fdd/view?i=116850</v>
      </c>
      <c r="K654" s="304" t="s">
        <v>34703</v>
      </c>
      <c r="L654" s="188">
        <v>227</v>
      </c>
      <c r="M654" s="179" t="s">
        <v>151</v>
      </c>
    </row>
    <row r="655" spans="1:13" ht="38.25">
      <c r="A655" s="313" t="str">
        <f t="shared" si="10"/>
        <v>AerialRefuelTankerChanCode_chan083X</v>
      </c>
      <c r="B655" s="330"/>
      <c r="C655" s="334"/>
      <c r="D655" s="188" t="s">
        <v>14302</v>
      </c>
      <c r="E655" s="189" t="s">
        <v>14303</v>
      </c>
      <c r="F655" s="162" t="s">
        <v>14764</v>
      </c>
      <c r="G655" s="162" t="s">
        <v>13413</v>
      </c>
      <c r="H655" s="219"/>
      <c r="I655" s="169">
        <v>116851</v>
      </c>
      <c r="J655" s="304" t="str">
        <f>CONCATENATE([2]Cover!$D$6,"fdd/view?i=",I655)</f>
        <v>https://www.dgiwg.org/FAD/fdd/view?i=116851</v>
      </c>
      <c r="K655" s="304" t="s">
        <v>34704</v>
      </c>
      <c r="L655" s="188">
        <v>228</v>
      </c>
      <c r="M655" s="179" t="s">
        <v>151</v>
      </c>
    </row>
    <row r="656" spans="1:13" ht="38.25">
      <c r="A656" s="313" t="str">
        <f t="shared" si="10"/>
        <v>AerialRefuelTankerChanCode_chan083Y</v>
      </c>
      <c r="B656" s="330"/>
      <c r="C656" s="334"/>
      <c r="D656" s="188" t="s">
        <v>14305</v>
      </c>
      <c r="E656" s="189" t="s">
        <v>14306</v>
      </c>
      <c r="F656" s="162" t="s">
        <v>14765</v>
      </c>
      <c r="G656" s="162" t="s">
        <v>13413</v>
      </c>
      <c r="H656" s="219"/>
      <c r="I656" s="169">
        <v>116852</v>
      </c>
      <c r="J656" s="304" t="str">
        <f>CONCATENATE([2]Cover!$D$6,"fdd/view?i=",I656)</f>
        <v>https://www.dgiwg.org/FAD/fdd/view?i=116852</v>
      </c>
      <c r="K656" s="304" t="s">
        <v>34705</v>
      </c>
      <c r="L656" s="188">
        <v>229</v>
      </c>
      <c r="M656" s="179" t="s">
        <v>151</v>
      </c>
    </row>
    <row r="657" spans="1:13" ht="38.25">
      <c r="A657" s="313" t="str">
        <f t="shared" si="10"/>
        <v>AerialRefuelTankerChanCode_chan083Z</v>
      </c>
      <c r="B657" s="330"/>
      <c r="C657" s="334"/>
      <c r="D657" s="188" t="s">
        <v>14308</v>
      </c>
      <c r="E657" s="189" t="s">
        <v>14309</v>
      </c>
      <c r="F657" s="162" t="s">
        <v>14766</v>
      </c>
      <c r="G657" s="162" t="s">
        <v>13413</v>
      </c>
      <c r="H657" s="219"/>
      <c r="I657" s="169">
        <v>116853</v>
      </c>
      <c r="J657" s="304" t="str">
        <f>CONCATENATE([2]Cover!$D$6,"fdd/view?i=",I657)</f>
        <v>https://www.dgiwg.org/FAD/fdd/view?i=116853</v>
      </c>
      <c r="K657" s="304" t="s">
        <v>34706</v>
      </c>
      <c r="L657" s="188">
        <v>230</v>
      </c>
      <c r="M657" s="179" t="s">
        <v>151</v>
      </c>
    </row>
    <row r="658" spans="1:13" ht="38.25">
      <c r="A658" s="313" t="str">
        <f t="shared" si="10"/>
        <v>AerialRefuelTankerChanCode_chan084X</v>
      </c>
      <c r="B658" s="330"/>
      <c r="C658" s="334"/>
      <c r="D658" s="188" t="s">
        <v>14311</v>
      </c>
      <c r="E658" s="189" t="s">
        <v>14312</v>
      </c>
      <c r="F658" s="162" t="s">
        <v>14767</v>
      </c>
      <c r="G658" s="162" t="s">
        <v>13413</v>
      </c>
      <c r="H658" s="219"/>
      <c r="I658" s="169">
        <v>116854</v>
      </c>
      <c r="J658" s="304" t="str">
        <f>CONCATENATE([2]Cover!$D$6,"fdd/view?i=",I658)</f>
        <v>https://www.dgiwg.org/FAD/fdd/view?i=116854</v>
      </c>
      <c r="K658" s="304" t="s">
        <v>34707</v>
      </c>
      <c r="L658" s="188">
        <v>231</v>
      </c>
      <c r="M658" s="179" t="s">
        <v>151</v>
      </c>
    </row>
    <row r="659" spans="1:13" ht="38.25">
      <c r="A659" s="313" t="str">
        <f t="shared" si="10"/>
        <v>AerialRefuelTankerChanCode_chan084Y</v>
      </c>
      <c r="B659" s="330"/>
      <c r="C659" s="334"/>
      <c r="D659" s="188" t="s">
        <v>14314</v>
      </c>
      <c r="E659" s="189" t="s">
        <v>14315</v>
      </c>
      <c r="F659" s="162" t="s">
        <v>14768</v>
      </c>
      <c r="G659" s="162" t="s">
        <v>13413</v>
      </c>
      <c r="H659" s="219"/>
      <c r="I659" s="169">
        <v>116855</v>
      </c>
      <c r="J659" s="304" t="str">
        <f>CONCATENATE([2]Cover!$D$6,"fdd/view?i=",I659)</f>
        <v>https://www.dgiwg.org/FAD/fdd/view?i=116855</v>
      </c>
      <c r="K659" s="304" t="s">
        <v>34708</v>
      </c>
      <c r="L659" s="188">
        <v>232</v>
      </c>
      <c r="M659" s="179" t="s">
        <v>151</v>
      </c>
    </row>
    <row r="660" spans="1:13" ht="38.25">
      <c r="A660" s="313" t="str">
        <f t="shared" si="10"/>
        <v>AerialRefuelTankerChanCode_chan084Z</v>
      </c>
      <c r="B660" s="330"/>
      <c r="C660" s="334"/>
      <c r="D660" s="188" t="s">
        <v>14317</v>
      </c>
      <c r="E660" s="189" t="s">
        <v>14318</v>
      </c>
      <c r="F660" s="162" t="s">
        <v>14769</v>
      </c>
      <c r="G660" s="162" t="s">
        <v>13413</v>
      </c>
      <c r="H660" s="219"/>
      <c r="I660" s="169">
        <v>116856</v>
      </c>
      <c r="J660" s="304" t="str">
        <f>CONCATENATE([2]Cover!$D$6,"fdd/view?i=",I660)</f>
        <v>https://www.dgiwg.org/FAD/fdd/view?i=116856</v>
      </c>
      <c r="K660" s="304" t="s">
        <v>34709</v>
      </c>
      <c r="L660" s="188">
        <v>233</v>
      </c>
      <c r="M660" s="179" t="s">
        <v>151</v>
      </c>
    </row>
    <row r="661" spans="1:13" ht="38.25">
      <c r="A661" s="313" t="str">
        <f t="shared" si="10"/>
        <v>AerialRefuelTankerChanCode_chan085X</v>
      </c>
      <c r="B661" s="330"/>
      <c r="C661" s="334"/>
      <c r="D661" s="188" t="s">
        <v>14320</v>
      </c>
      <c r="E661" s="189" t="s">
        <v>14321</v>
      </c>
      <c r="F661" s="162" t="s">
        <v>14770</v>
      </c>
      <c r="G661" s="162" t="s">
        <v>13413</v>
      </c>
      <c r="H661" s="219"/>
      <c r="I661" s="169">
        <v>116857</v>
      </c>
      <c r="J661" s="304" t="str">
        <f>CONCATENATE([2]Cover!$D$6,"fdd/view?i=",I661)</f>
        <v>https://www.dgiwg.org/FAD/fdd/view?i=116857</v>
      </c>
      <c r="K661" s="304" t="s">
        <v>34710</v>
      </c>
      <c r="L661" s="188">
        <v>234</v>
      </c>
      <c r="M661" s="179" t="s">
        <v>151</v>
      </c>
    </row>
    <row r="662" spans="1:13" ht="38.25">
      <c r="A662" s="313" t="str">
        <f t="shared" si="10"/>
        <v>AerialRefuelTankerChanCode_chan085Y</v>
      </c>
      <c r="B662" s="330"/>
      <c r="C662" s="334"/>
      <c r="D662" s="188" t="s">
        <v>14323</v>
      </c>
      <c r="E662" s="189" t="s">
        <v>14324</v>
      </c>
      <c r="F662" s="162" t="s">
        <v>14771</v>
      </c>
      <c r="G662" s="162" t="s">
        <v>13413</v>
      </c>
      <c r="H662" s="219"/>
      <c r="I662" s="169">
        <v>116858</v>
      </c>
      <c r="J662" s="304" t="str">
        <f>CONCATENATE([2]Cover!$D$6,"fdd/view?i=",I662)</f>
        <v>https://www.dgiwg.org/FAD/fdd/view?i=116858</v>
      </c>
      <c r="K662" s="304" t="s">
        <v>34711</v>
      </c>
      <c r="L662" s="188">
        <v>235</v>
      </c>
      <c r="M662" s="179" t="s">
        <v>151</v>
      </c>
    </row>
    <row r="663" spans="1:13" ht="38.25">
      <c r="A663" s="313" t="str">
        <f t="shared" si="10"/>
        <v>AerialRefuelTankerChanCode_chan085Z</v>
      </c>
      <c r="B663" s="330"/>
      <c r="C663" s="334"/>
      <c r="D663" s="188" t="s">
        <v>14326</v>
      </c>
      <c r="E663" s="189" t="s">
        <v>14327</v>
      </c>
      <c r="F663" s="162" t="s">
        <v>14772</v>
      </c>
      <c r="G663" s="162" t="s">
        <v>13413</v>
      </c>
      <c r="H663" s="219"/>
      <c r="I663" s="169">
        <v>116859</v>
      </c>
      <c r="J663" s="304" t="str">
        <f>CONCATENATE([2]Cover!$D$6,"fdd/view?i=",I663)</f>
        <v>https://www.dgiwg.org/FAD/fdd/view?i=116859</v>
      </c>
      <c r="K663" s="304" t="s">
        <v>34712</v>
      </c>
      <c r="L663" s="188">
        <v>236</v>
      </c>
      <c r="M663" s="179" t="s">
        <v>151</v>
      </c>
    </row>
    <row r="664" spans="1:13" ht="38.25">
      <c r="A664" s="313" t="str">
        <f t="shared" si="10"/>
        <v>AerialRefuelTankerChanCode_chan086X</v>
      </c>
      <c r="B664" s="330"/>
      <c r="C664" s="334"/>
      <c r="D664" s="188" t="s">
        <v>14329</v>
      </c>
      <c r="E664" s="189" t="s">
        <v>14330</v>
      </c>
      <c r="F664" s="162" t="s">
        <v>14773</v>
      </c>
      <c r="G664" s="162" t="s">
        <v>13413</v>
      </c>
      <c r="H664" s="219"/>
      <c r="I664" s="169">
        <v>116860</v>
      </c>
      <c r="J664" s="304" t="str">
        <f>CONCATENATE([2]Cover!$D$6,"fdd/view?i=",I664)</f>
        <v>https://www.dgiwg.org/FAD/fdd/view?i=116860</v>
      </c>
      <c r="K664" s="304" t="s">
        <v>34713</v>
      </c>
      <c r="L664" s="188">
        <v>237</v>
      </c>
      <c r="M664" s="179" t="s">
        <v>151</v>
      </c>
    </row>
    <row r="665" spans="1:13" ht="38.25">
      <c r="A665" s="313" t="str">
        <f t="shared" si="10"/>
        <v>AerialRefuelTankerChanCode_chan086Y</v>
      </c>
      <c r="B665" s="330"/>
      <c r="C665" s="334"/>
      <c r="D665" s="188" t="s">
        <v>14332</v>
      </c>
      <c r="E665" s="189" t="s">
        <v>14333</v>
      </c>
      <c r="F665" s="162" t="s">
        <v>14774</v>
      </c>
      <c r="G665" s="162" t="s">
        <v>13413</v>
      </c>
      <c r="H665" s="219"/>
      <c r="I665" s="169">
        <v>116861</v>
      </c>
      <c r="J665" s="304" t="str">
        <f>CONCATENATE([2]Cover!$D$6,"fdd/view?i=",I665)</f>
        <v>https://www.dgiwg.org/FAD/fdd/view?i=116861</v>
      </c>
      <c r="K665" s="304" t="s">
        <v>34714</v>
      </c>
      <c r="L665" s="188">
        <v>238</v>
      </c>
      <c r="M665" s="179" t="s">
        <v>151</v>
      </c>
    </row>
    <row r="666" spans="1:13" ht="38.25">
      <c r="A666" s="313" t="str">
        <f t="shared" si="10"/>
        <v>AerialRefuelTankerChanCode_chan086Z</v>
      </c>
      <c r="B666" s="330"/>
      <c r="C666" s="334"/>
      <c r="D666" s="188" t="s">
        <v>14335</v>
      </c>
      <c r="E666" s="189" t="s">
        <v>14336</v>
      </c>
      <c r="F666" s="162" t="s">
        <v>14775</v>
      </c>
      <c r="G666" s="162" t="s">
        <v>13413</v>
      </c>
      <c r="H666" s="219"/>
      <c r="I666" s="169">
        <v>116862</v>
      </c>
      <c r="J666" s="304" t="str">
        <f>CONCATENATE([2]Cover!$D$6,"fdd/view?i=",I666)</f>
        <v>https://www.dgiwg.org/FAD/fdd/view?i=116862</v>
      </c>
      <c r="K666" s="304" t="s">
        <v>34715</v>
      </c>
      <c r="L666" s="188">
        <v>239</v>
      </c>
      <c r="M666" s="179" t="s">
        <v>151</v>
      </c>
    </row>
    <row r="667" spans="1:13" ht="38.25">
      <c r="A667" s="313" t="str">
        <f t="shared" si="10"/>
        <v>AerialRefuelTankerChanCode_chan087X</v>
      </c>
      <c r="B667" s="330"/>
      <c r="C667" s="334"/>
      <c r="D667" s="188" t="s">
        <v>14338</v>
      </c>
      <c r="E667" s="189" t="s">
        <v>14339</v>
      </c>
      <c r="F667" s="162" t="s">
        <v>14776</v>
      </c>
      <c r="G667" s="162" t="s">
        <v>13413</v>
      </c>
      <c r="H667" s="219"/>
      <c r="I667" s="169">
        <v>116863</v>
      </c>
      <c r="J667" s="304" t="str">
        <f>CONCATENATE([2]Cover!$D$6,"fdd/view?i=",I667)</f>
        <v>https://www.dgiwg.org/FAD/fdd/view?i=116863</v>
      </c>
      <c r="K667" s="304" t="s">
        <v>34716</v>
      </c>
      <c r="L667" s="188">
        <v>240</v>
      </c>
      <c r="M667" s="179" t="s">
        <v>151</v>
      </c>
    </row>
    <row r="668" spans="1:13" ht="38.25">
      <c r="A668" s="313" t="str">
        <f t="shared" si="10"/>
        <v>AerialRefuelTankerChanCode_chan087Y</v>
      </c>
      <c r="B668" s="330"/>
      <c r="C668" s="334"/>
      <c r="D668" s="188" t="s">
        <v>14341</v>
      </c>
      <c r="E668" s="189" t="s">
        <v>14342</v>
      </c>
      <c r="F668" s="162" t="s">
        <v>14777</v>
      </c>
      <c r="G668" s="162" t="s">
        <v>13413</v>
      </c>
      <c r="H668" s="219"/>
      <c r="I668" s="169">
        <v>116864</v>
      </c>
      <c r="J668" s="304" t="str">
        <f>CONCATENATE([2]Cover!$D$6,"fdd/view?i=",I668)</f>
        <v>https://www.dgiwg.org/FAD/fdd/view?i=116864</v>
      </c>
      <c r="K668" s="304" t="s">
        <v>34717</v>
      </c>
      <c r="L668" s="188">
        <v>241</v>
      </c>
      <c r="M668" s="179" t="s">
        <v>151</v>
      </c>
    </row>
    <row r="669" spans="1:13" ht="38.25">
      <c r="A669" s="313" t="str">
        <f t="shared" si="10"/>
        <v>AerialRefuelTankerChanCode_chan087Z</v>
      </c>
      <c r="B669" s="330"/>
      <c r="C669" s="334"/>
      <c r="D669" s="188" t="s">
        <v>14344</v>
      </c>
      <c r="E669" s="189" t="s">
        <v>14345</v>
      </c>
      <c r="F669" s="162" t="s">
        <v>14778</v>
      </c>
      <c r="G669" s="162" t="s">
        <v>13413</v>
      </c>
      <c r="H669" s="219"/>
      <c r="I669" s="169">
        <v>116865</v>
      </c>
      <c r="J669" s="304" t="str">
        <f>CONCATENATE([2]Cover!$D$6,"fdd/view?i=",I669)</f>
        <v>https://www.dgiwg.org/FAD/fdd/view?i=116865</v>
      </c>
      <c r="K669" s="304" t="s">
        <v>34718</v>
      </c>
      <c r="L669" s="188">
        <v>242</v>
      </c>
      <c r="M669" s="179" t="s">
        <v>151</v>
      </c>
    </row>
    <row r="670" spans="1:13" ht="38.25">
      <c r="A670" s="313" t="str">
        <f t="shared" si="10"/>
        <v>AerialRefuelTankerChanCode_chan088X</v>
      </c>
      <c r="B670" s="330"/>
      <c r="C670" s="334"/>
      <c r="D670" s="188" t="s">
        <v>14347</v>
      </c>
      <c r="E670" s="189" t="s">
        <v>14348</v>
      </c>
      <c r="F670" s="162" t="s">
        <v>14779</v>
      </c>
      <c r="G670" s="162" t="s">
        <v>13413</v>
      </c>
      <c r="H670" s="219"/>
      <c r="I670" s="169">
        <v>116866</v>
      </c>
      <c r="J670" s="304" t="str">
        <f>CONCATENATE([2]Cover!$D$6,"fdd/view?i=",I670)</f>
        <v>https://www.dgiwg.org/FAD/fdd/view?i=116866</v>
      </c>
      <c r="K670" s="304" t="s">
        <v>34719</v>
      </c>
      <c r="L670" s="188">
        <v>243</v>
      </c>
      <c r="M670" s="179" t="s">
        <v>151</v>
      </c>
    </row>
    <row r="671" spans="1:13" ht="38.25">
      <c r="A671" s="313" t="str">
        <f t="shared" si="10"/>
        <v>AerialRefuelTankerChanCode_chan088Y</v>
      </c>
      <c r="B671" s="330"/>
      <c r="C671" s="334"/>
      <c r="D671" s="188" t="s">
        <v>14350</v>
      </c>
      <c r="E671" s="189" t="s">
        <v>14351</v>
      </c>
      <c r="F671" s="162" t="s">
        <v>14780</v>
      </c>
      <c r="G671" s="162" t="s">
        <v>13413</v>
      </c>
      <c r="H671" s="219"/>
      <c r="I671" s="169">
        <v>116867</v>
      </c>
      <c r="J671" s="304" t="str">
        <f>CONCATENATE([2]Cover!$D$6,"fdd/view?i=",I671)</f>
        <v>https://www.dgiwg.org/FAD/fdd/view?i=116867</v>
      </c>
      <c r="K671" s="304" t="s">
        <v>34720</v>
      </c>
      <c r="L671" s="188">
        <v>244</v>
      </c>
      <c r="M671" s="179" t="s">
        <v>151</v>
      </c>
    </row>
    <row r="672" spans="1:13" ht="38.25">
      <c r="A672" s="313" t="str">
        <f t="shared" si="10"/>
        <v>AerialRefuelTankerChanCode_chan088Z</v>
      </c>
      <c r="B672" s="330"/>
      <c r="C672" s="334"/>
      <c r="D672" s="188" t="s">
        <v>14353</v>
      </c>
      <c r="E672" s="189" t="s">
        <v>14354</v>
      </c>
      <c r="F672" s="162" t="s">
        <v>14781</v>
      </c>
      <c r="G672" s="162" t="s">
        <v>13413</v>
      </c>
      <c r="H672" s="219"/>
      <c r="I672" s="169">
        <v>116868</v>
      </c>
      <c r="J672" s="304" t="str">
        <f>CONCATENATE([2]Cover!$D$6,"fdd/view?i=",I672)</f>
        <v>https://www.dgiwg.org/FAD/fdd/view?i=116868</v>
      </c>
      <c r="K672" s="304" t="s">
        <v>34721</v>
      </c>
      <c r="L672" s="188">
        <v>245</v>
      </c>
      <c r="M672" s="179" t="s">
        <v>151</v>
      </c>
    </row>
    <row r="673" spans="1:13" ht="38.25">
      <c r="A673" s="313" t="str">
        <f t="shared" si="10"/>
        <v>AerialRefuelTankerChanCode_chan089X</v>
      </c>
      <c r="B673" s="330"/>
      <c r="C673" s="334"/>
      <c r="D673" s="188" t="s">
        <v>14356</v>
      </c>
      <c r="E673" s="189" t="s">
        <v>14357</v>
      </c>
      <c r="F673" s="162" t="s">
        <v>14782</v>
      </c>
      <c r="G673" s="162" t="s">
        <v>13413</v>
      </c>
      <c r="H673" s="219"/>
      <c r="I673" s="169">
        <v>116869</v>
      </c>
      <c r="J673" s="304" t="str">
        <f>CONCATENATE([2]Cover!$D$6,"fdd/view?i=",I673)</f>
        <v>https://www.dgiwg.org/FAD/fdd/view?i=116869</v>
      </c>
      <c r="K673" s="304" t="s">
        <v>34722</v>
      </c>
      <c r="L673" s="188">
        <v>246</v>
      </c>
      <c r="M673" s="179" t="s">
        <v>151</v>
      </c>
    </row>
    <row r="674" spans="1:13" ht="38.25">
      <c r="A674" s="313" t="str">
        <f t="shared" si="10"/>
        <v>AerialRefuelTankerChanCode_chan089Y</v>
      </c>
      <c r="B674" s="330"/>
      <c r="C674" s="334"/>
      <c r="D674" s="188" t="s">
        <v>14359</v>
      </c>
      <c r="E674" s="189" t="s">
        <v>14360</v>
      </c>
      <c r="F674" s="162" t="s">
        <v>14783</v>
      </c>
      <c r="G674" s="162" t="s">
        <v>13413</v>
      </c>
      <c r="H674" s="219"/>
      <c r="I674" s="169">
        <v>116870</v>
      </c>
      <c r="J674" s="304" t="str">
        <f>CONCATENATE([2]Cover!$D$6,"fdd/view?i=",I674)</f>
        <v>https://www.dgiwg.org/FAD/fdd/view?i=116870</v>
      </c>
      <c r="K674" s="304" t="s">
        <v>34723</v>
      </c>
      <c r="L674" s="188">
        <v>247</v>
      </c>
      <c r="M674" s="179" t="s">
        <v>151</v>
      </c>
    </row>
    <row r="675" spans="1:13" ht="38.25">
      <c r="A675" s="313" t="str">
        <f t="shared" si="10"/>
        <v>AerialRefuelTankerChanCode_chan089Z</v>
      </c>
      <c r="B675" s="330"/>
      <c r="C675" s="334"/>
      <c r="D675" s="188" t="s">
        <v>14362</v>
      </c>
      <c r="E675" s="189" t="s">
        <v>14363</v>
      </c>
      <c r="F675" s="162" t="s">
        <v>14784</v>
      </c>
      <c r="G675" s="162" t="s">
        <v>13413</v>
      </c>
      <c r="H675" s="219"/>
      <c r="I675" s="169">
        <v>116871</v>
      </c>
      <c r="J675" s="304" t="str">
        <f>CONCATENATE([2]Cover!$D$6,"fdd/view?i=",I675)</f>
        <v>https://www.dgiwg.org/FAD/fdd/view?i=116871</v>
      </c>
      <c r="K675" s="304" t="s">
        <v>34724</v>
      </c>
      <c r="L675" s="188">
        <v>248</v>
      </c>
      <c r="M675" s="179" t="s">
        <v>151</v>
      </c>
    </row>
    <row r="676" spans="1:13" ht="38.25">
      <c r="A676" s="313" t="str">
        <f t="shared" si="10"/>
        <v>AerialRefuelTankerChanCode_chan090X</v>
      </c>
      <c r="B676" s="330"/>
      <c r="C676" s="334"/>
      <c r="D676" s="188" t="s">
        <v>14371</v>
      </c>
      <c r="E676" s="189" t="s">
        <v>14372</v>
      </c>
      <c r="F676" s="162" t="s">
        <v>14787</v>
      </c>
      <c r="G676" s="162" t="s">
        <v>13413</v>
      </c>
      <c r="H676" s="219"/>
      <c r="I676" s="169">
        <v>116872</v>
      </c>
      <c r="J676" s="304" t="str">
        <f>CONCATENATE([2]Cover!$D$6,"fdd/view?i=",I676)</f>
        <v>https://www.dgiwg.org/FAD/fdd/view?i=116872</v>
      </c>
      <c r="K676" s="304" t="s">
        <v>34725</v>
      </c>
      <c r="L676" s="188">
        <v>249</v>
      </c>
      <c r="M676" s="179" t="s">
        <v>151</v>
      </c>
    </row>
    <row r="677" spans="1:13" ht="38.25">
      <c r="A677" s="313" t="str">
        <f t="shared" si="10"/>
        <v>AerialRefuelTankerChanCode_chan090Y</v>
      </c>
      <c r="B677" s="330"/>
      <c r="C677" s="334"/>
      <c r="D677" s="188" t="s">
        <v>14374</v>
      </c>
      <c r="E677" s="189" t="s">
        <v>14375</v>
      </c>
      <c r="F677" s="162" t="s">
        <v>14788</v>
      </c>
      <c r="G677" s="162" t="s">
        <v>13413</v>
      </c>
      <c r="H677" s="219"/>
      <c r="I677" s="169">
        <v>116873</v>
      </c>
      <c r="J677" s="304" t="str">
        <f>CONCATENATE([2]Cover!$D$6,"fdd/view?i=",I677)</f>
        <v>https://www.dgiwg.org/FAD/fdd/view?i=116873</v>
      </c>
      <c r="K677" s="304" t="s">
        <v>34726</v>
      </c>
      <c r="L677" s="188">
        <v>250</v>
      </c>
      <c r="M677" s="179" t="s">
        <v>151</v>
      </c>
    </row>
    <row r="678" spans="1:13" ht="38.25">
      <c r="A678" s="313" t="str">
        <f t="shared" si="10"/>
        <v>AerialRefuelTankerChanCode_chan090Z</v>
      </c>
      <c r="B678" s="330"/>
      <c r="C678" s="334"/>
      <c r="D678" s="188" t="s">
        <v>14377</v>
      </c>
      <c r="E678" s="189" t="s">
        <v>14378</v>
      </c>
      <c r="F678" s="162" t="s">
        <v>14789</v>
      </c>
      <c r="G678" s="162" t="s">
        <v>13413</v>
      </c>
      <c r="H678" s="219"/>
      <c r="I678" s="169">
        <v>116874</v>
      </c>
      <c r="J678" s="304" t="str">
        <f>CONCATENATE([2]Cover!$D$6,"fdd/view?i=",I678)</f>
        <v>https://www.dgiwg.org/FAD/fdd/view?i=116874</v>
      </c>
      <c r="K678" s="304" t="s">
        <v>34727</v>
      </c>
      <c r="L678" s="188">
        <v>251</v>
      </c>
      <c r="M678" s="179" t="s">
        <v>151</v>
      </c>
    </row>
    <row r="679" spans="1:13" ht="38.25">
      <c r="A679" s="313" t="str">
        <f t="shared" si="10"/>
        <v>AerialRefuelTankerChanCode_chan091X</v>
      </c>
      <c r="B679" s="330"/>
      <c r="C679" s="334"/>
      <c r="D679" s="188" t="s">
        <v>14380</v>
      </c>
      <c r="E679" s="189" t="s">
        <v>14381</v>
      </c>
      <c r="F679" s="162" t="s">
        <v>14790</v>
      </c>
      <c r="G679" s="162" t="s">
        <v>13413</v>
      </c>
      <c r="H679" s="219"/>
      <c r="I679" s="169">
        <v>116875</v>
      </c>
      <c r="J679" s="304" t="str">
        <f>CONCATENATE([2]Cover!$D$6,"fdd/view?i=",I679)</f>
        <v>https://www.dgiwg.org/FAD/fdd/view?i=116875</v>
      </c>
      <c r="K679" s="304" t="s">
        <v>34728</v>
      </c>
      <c r="L679" s="188">
        <v>252</v>
      </c>
      <c r="M679" s="179" t="s">
        <v>151</v>
      </c>
    </row>
    <row r="680" spans="1:13" ht="38.25">
      <c r="A680" s="313" t="str">
        <f t="shared" si="10"/>
        <v>AerialRefuelTankerChanCode_chan091Y</v>
      </c>
      <c r="B680" s="330"/>
      <c r="C680" s="334"/>
      <c r="D680" s="188" t="s">
        <v>14383</v>
      </c>
      <c r="E680" s="189" t="s">
        <v>14384</v>
      </c>
      <c r="F680" s="162" t="s">
        <v>14791</v>
      </c>
      <c r="G680" s="162" t="s">
        <v>13413</v>
      </c>
      <c r="H680" s="219"/>
      <c r="I680" s="169">
        <v>116876</v>
      </c>
      <c r="J680" s="304" t="str">
        <f>CONCATENATE([2]Cover!$D$6,"fdd/view?i=",I680)</f>
        <v>https://www.dgiwg.org/FAD/fdd/view?i=116876</v>
      </c>
      <c r="K680" s="304" t="s">
        <v>34729</v>
      </c>
      <c r="L680" s="188">
        <v>253</v>
      </c>
      <c r="M680" s="179" t="s">
        <v>151</v>
      </c>
    </row>
    <row r="681" spans="1:13" ht="38.25">
      <c r="A681" s="313" t="str">
        <f t="shared" si="10"/>
        <v>AerialRefuelTankerChanCode_chan091Z</v>
      </c>
      <c r="B681" s="330"/>
      <c r="C681" s="334"/>
      <c r="D681" s="188" t="s">
        <v>14386</v>
      </c>
      <c r="E681" s="189" t="s">
        <v>14387</v>
      </c>
      <c r="F681" s="162" t="s">
        <v>14792</v>
      </c>
      <c r="G681" s="162" t="s">
        <v>13413</v>
      </c>
      <c r="H681" s="219"/>
      <c r="I681" s="169">
        <v>116877</v>
      </c>
      <c r="J681" s="304" t="str">
        <f>CONCATENATE([2]Cover!$D$6,"fdd/view?i=",I681)</f>
        <v>https://www.dgiwg.org/FAD/fdd/view?i=116877</v>
      </c>
      <c r="K681" s="304" t="s">
        <v>34730</v>
      </c>
      <c r="L681" s="188">
        <v>254</v>
      </c>
      <c r="M681" s="179" t="s">
        <v>151</v>
      </c>
    </row>
    <row r="682" spans="1:13" ht="38.25">
      <c r="A682" s="313" t="str">
        <f t="shared" si="10"/>
        <v>AerialRefuelTankerChanCode_chan092X</v>
      </c>
      <c r="B682" s="330"/>
      <c r="C682" s="334"/>
      <c r="D682" s="188" t="s">
        <v>14389</v>
      </c>
      <c r="E682" s="189" t="s">
        <v>14390</v>
      </c>
      <c r="F682" s="162" t="s">
        <v>14793</v>
      </c>
      <c r="G682" s="162" t="s">
        <v>13413</v>
      </c>
      <c r="H682" s="219"/>
      <c r="I682" s="169">
        <v>116878</v>
      </c>
      <c r="J682" s="304" t="str">
        <f>CONCATENATE([2]Cover!$D$6,"fdd/view?i=",I682)</f>
        <v>https://www.dgiwg.org/FAD/fdd/view?i=116878</v>
      </c>
      <c r="K682" s="304" t="s">
        <v>34731</v>
      </c>
      <c r="L682" s="188">
        <v>255</v>
      </c>
      <c r="M682" s="179" t="s">
        <v>151</v>
      </c>
    </row>
    <row r="683" spans="1:13" ht="38.25">
      <c r="A683" s="313" t="str">
        <f t="shared" si="10"/>
        <v>AerialRefuelTankerChanCode_chan092Y</v>
      </c>
      <c r="B683" s="330"/>
      <c r="C683" s="334"/>
      <c r="D683" s="188" t="s">
        <v>14392</v>
      </c>
      <c r="E683" s="189" t="s">
        <v>14393</v>
      </c>
      <c r="F683" s="162" t="s">
        <v>14794</v>
      </c>
      <c r="G683" s="162" t="s">
        <v>13413</v>
      </c>
      <c r="H683" s="219"/>
      <c r="I683" s="169">
        <v>116879</v>
      </c>
      <c r="J683" s="304" t="str">
        <f>CONCATENATE([2]Cover!$D$6,"fdd/view?i=",I683)</f>
        <v>https://www.dgiwg.org/FAD/fdd/view?i=116879</v>
      </c>
      <c r="K683" s="304" t="s">
        <v>34732</v>
      </c>
      <c r="L683" s="188">
        <v>256</v>
      </c>
      <c r="M683" s="179" t="s">
        <v>151</v>
      </c>
    </row>
    <row r="684" spans="1:13" ht="38.25">
      <c r="A684" s="313" t="str">
        <f t="shared" si="10"/>
        <v>AerialRefuelTankerChanCode_chan092Z</v>
      </c>
      <c r="B684" s="330"/>
      <c r="C684" s="334"/>
      <c r="D684" s="188" t="s">
        <v>14395</v>
      </c>
      <c r="E684" s="189" t="s">
        <v>14396</v>
      </c>
      <c r="F684" s="162" t="s">
        <v>14795</v>
      </c>
      <c r="G684" s="162" t="s">
        <v>13413</v>
      </c>
      <c r="H684" s="219"/>
      <c r="I684" s="169">
        <v>116880</v>
      </c>
      <c r="J684" s="304" t="str">
        <f>CONCATENATE([2]Cover!$D$6,"fdd/view?i=",I684)</f>
        <v>https://www.dgiwg.org/FAD/fdd/view?i=116880</v>
      </c>
      <c r="K684" s="304" t="s">
        <v>34733</v>
      </c>
      <c r="L684" s="188">
        <v>257</v>
      </c>
      <c r="M684" s="179" t="s">
        <v>151</v>
      </c>
    </row>
    <row r="685" spans="1:13" ht="38.25">
      <c r="A685" s="313" t="str">
        <f t="shared" si="10"/>
        <v>AerialRefuelTankerChanCode_chan093X</v>
      </c>
      <c r="B685" s="330"/>
      <c r="C685" s="334"/>
      <c r="D685" s="188" t="s">
        <v>14398</v>
      </c>
      <c r="E685" s="189" t="s">
        <v>14399</v>
      </c>
      <c r="F685" s="162" t="s">
        <v>14796</v>
      </c>
      <c r="G685" s="162" t="s">
        <v>13413</v>
      </c>
      <c r="H685" s="219"/>
      <c r="I685" s="169">
        <v>116881</v>
      </c>
      <c r="J685" s="304" t="str">
        <f>CONCATENATE([2]Cover!$D$6,"fdd/view?i=",I685)</f>
        <v>https://www.dgiwg.org/FAD/fdd/view?i=116881</v>
      </c>
      <c r="K685" s="304" t="s">
        <v>34734</v>
      </c>
      <c r="L685" s="188">
        <v>258</v>
      </c>
      <c r="M685" s="179" t="s">
        <v>151</v>
      </c>
    </row>
    <row r="686" spans="1:13" ht="38.25">
      <c r="A686" s="313" t="str">
        <f t="shared" si="10"/>
        <v>AerialRefuelTankerChanCode_chan093Y</v>
      </c>
      <c r="B686" s="330"/>
      <c r="C686" s="334"/>
      <c r="D686" s="188" t="s">
        <v>14401</v>
      </c>
      <c r="E686" s="189" t="s">
        <v>14402</v>
      </c>
      <c r="F686" s="162" t="s">
        <v>14797</v>
      </c>
      <c r="G686" s="162" t="s">
        <v>13413</v>
      </c>
      <c r="H686" s="219"/>
      <c r="I686" s="169">
        <v>116882</v>
      </c>
      <c r="J686" s="304" t="str">
        <f>CONCATENATE([2]Cover!$D$6,"fdd/view?i=",I686)</f>
        <v>https://www.dgiwg.org/FAD/fdd/view?i=116882</v>
      </c>
      <c r="K686" s="304" t="s">
        <v>34735</v>
      </c>
      <c r="L686" s="188">
        <v>259</v>
      </c>
      <c r="M686" s="179" t="s">
        <v>151</v>
      </c>
    </row>
    <row r="687" spans="1:13" ht="38.25">
      <c r="A687" s="313" t="str">
        <f t="shared" si="10"/>
        <v>AerialRefuelTankerChanCode_chan093Z</v>
      </c>
      <c r="B687" s="330"/>
      <c r="C687" s="334"/>
      <c r="D687" s="188" t="s">
        <v>14404</v>
      </c>
      <c r="E687" s="189" t="s">
        <v>14405</v>
      </c>
      <c r="F687" s="162" t="s">
        <v>14798</v>
      </c>
      <c r="G687" s="162" t="s">
        <v>13413</v>
      </c>
      <c r="H687" s="219"/>
      <c r="I687" s="169">
        <v>116883</v>
      </c>
      <c r="J687" s="304" t="str">
        <f>CONCATENATE([2]Cover!$D$6,"fdd/view?i=",I687)</f>
        <v>https://www.dgiwg.org/FAD/fdd/view?i=116883</v>
      </c>
      <c r="K687" s="304" t="s">
        <v>34736</v>
      </c>
      <c r="L687" s="188">
        <v>260</v>
      </c>
      <c r="M687" s="179" t="s">
        <v>151</v>
      </c>
    </row>
    <row r="688" spans="1:13" ht="38.25">
      <c r="A688" s="313" t="str">
        <f t="shared" si="10"/>
        <v>AerialRefuelTankerChanCode_chan094X</v>
      </c>
      <c r="B688" s="330"/>
      <c r="C688" s="334"/>
      <c r="D688" s="188" t="s">
        <v>14407</v>
      </c>
      <c r="E688" s="189" t="s">
        <v>14408</v>
      </c>
      <c r="F688" s="162" t="s">
        <v>14799</v>
      </c>
      <c r="G688" s="162" t="s">
        <v>13413</v>
      </c>
      <c r="H688" s="219"/>
      <c r="I688" s="169">
        <v>116884</v>
      </c>
      <c r="J688" s="304" t="str">
        <f>CONCATENATE([2]Cover!$D$6,"fdd/view?i=",I688)</f>
        <v>https://www.dgiwg.org/FAD/fdd/view?i=116884</v>
      </c>
      <c r="K688" s="304" t="s">
        <v>34737</v>
      </c>
      <c r="L688" s="188">
        <v>261</v>
      </c>
      <c r="M688" s="179" t="s">
        <v>151</v>
      </c>
    </row>
    <row r="689" spans="1:13" ht="38.25">
      <c r="A689" s="313" t="str">
        <f t="shared" si="10"/>
        <v>AerialRefuelTankerChanCode_chan094Y</v>
      </c>
      <c r="B689" s="330"/>
      <c r="C689" s="334"/>
      <c r="D689" s="188" t="s">
        <v>14410</v>
      </c>
      <c r="E689" s="189" t="s">
        <v>14411</v>
      </c>
      <c r="F689" s="162" t="s">
        <v>14800</v>
      </c>
      <c r="G689" s="162" t="s">
        <v>13413</v>
      </c>
      <c r="H689" s="219"/>
      <c r="I689" s="169">
        <v>116885</v>
      </c>
      <c r="J689" s="304" t="str">
        <f>CONCATENATE([2]Cover!$D$6,"fdd/view?i=",I689)</f>
        <v>https://www.dgiwg.org/FAD/fdd/view?i=116885</v>
      </c>
      <c r="K689" s="304" t="s">
        <v>34738</v>
      </c>
      <c r="L689" s="188">
        <v>262</v>
      </c>
      <c r="M689" s="179" t="s">
        <v>151</v>
      </c>
    </row>
    <row r="690" spans="1:13" ht="38.25">
      <c r="A690" s="313" t="str">
        <f t="shared" si="10"/>
        <v>AerialRefuelTankerChanCode_chan094Z</v>
      </c>
      <c r="B690" s="330"/>
      <c r="C690" s="334"/>
      <c r="D690" s="188" t="s">
        <v>14413</v>
      </c>
      <c r="E690" s="189" t="s">
        <v>14414</v>
      </c>
      <c r="F690" s="162" t="s">
        <v>14801</v>
      </c>
      <c r="G690" s="162" t="s">
        <v>13413</v>
      </c>
      <c r="H690" s="219"/>
      <c r="I690" s="169">
        <v>116886</v>
      </c>
      <c r="J690" s="304" t="str">
        <f>CONCATENATE([2]Cover!$D$6,"fdd/view?i=",I690)</f>
        <v>https://www.dgiwg.org/FAD/fdd/view?i=116886</v>
      </c>
      <c r="K690" s="304" t="s">
        <v>34739</v>
      </c>
      <c r="L690" s="188">
        <v>263</v>
      </c>
      <c r="M690" s="179" t="s">
        <v>151</v>
      </c>
    </row>
    <row r="691" spans="1:13" ht="38.25">
      <c r="A691" s="313" t="str">
        <f t="shared" si="10"/>
        <v>AerialRefuelTankerChanCode_chan095X</v>
      </c>
      <c r="B691" s="330"/>
      <c r="C691" s="334"/>
      <c r="D691" s="188" t="s">
        <v>14416</v>
      </c>
      <c r="E691" s="189" t="s">
        <v>14417</v>
      </c>
      <c r="F691" s="162" t="s">
        <v>14802</v>
      </c>
      <c r="G691" s="162" t="s">
        <v>13413</v>
      </c>
      <c r="H691" s="219"/>
      <c r="I691" s="169">
        <v>116887</v>
      </c>
      <c r="J691" s="304" t="str">
        <f>CONCATENATE([2]Cover!$D$6,"fdd/view?i=",I691)</f>
        <v>https://www.dgiwg.org/FAD/fdd/view?i=116887</v>
      </c>
      <c r="K691" s="304" t="s">
        <v>34740</v>
      </c>
      <c r="L691" s="188">
        <v>264</v>
      </c>
      <c r="M691" s="179" t="s">
        <v>151</v>
      </c>
    </row>
    <row r="692" spans="1:13" ht="38.25">
      <c r="A692" s="313" t="str">
        <f t="shared" si="10"/>
        <v>AerialRefuelTankerChanCode_chan095Y</v>
      </c>
      <c r="B692" s="330"/>
      <c r="C692" s="334"/>
      <c r="D692" s="188" t="s">
        <v>14419</v>
      </c>
      <c r="E692" s="189" t="s">
        <v>14420</v>
      </c>
      <c r="F692" s="162" t="s">
        <v>14803</v>
      </c>
      <c r="G692" s="162" t="s">
        <v>13413</v>
      </c>
      <c r="H692" s="219"/>
      <c r="I692" s="169">
        <v>116888</v>
      </c>
      <c r="J692" s="304" t="str">
        <f>CONCATENATE([2]Cover!$D$6,"fdd/view?i=",I692)</f>
        <v>https://www.dgiwg.org/FAD/fdd/view?i=116888</v>
      </c>
      <c r="K692" s="304" t="s">
        <v>34741</v>
      </c>
      <c r="L692" s="188">
        <v>265</v>
      </c>
      <c r="M692" s="179" t="s">
        <v>151</v>
      </c>
    </row>
    <row r="693" spans="1:13" ht="38.25">
      <c r="A693" s="313" t="str">
        <f t="shared" si="10"/>
        <v>AerialRefuelTankerChanCode_chan095Z</v>
      </c>
      <c r="B693" s="330"/>
      <c r="C693" s="334"/>
      <c r="D693" s="188" t="s">
        <v>14422</v>
      </c>
      <c r="E693" s="189" t="s">
        <v>14423</v>
      </c>
      <c r="F693" s="162" t="s">
        <v>14804</v>
      </c>
      <c r="G693" s="162" t="s">
        <v>13413</v>
      </c>
      <c r="H693" s="219"/>
      <c r="I693" s="169">
        <v>116889</v>
      </c>
      <c r="J693" s="304" t="str">
        <f>CONCATENATE([2]Cover!$D$6,"fdd/view?i=",I693)</f>
        <v>https://www.dgiwg.org/FAD/fdd/view?i=116889</v>
      </c>
      <c r="K693" s="304" t="s">
        <v>34742</v>
      </c>
      <c r="L693" s="188">
        <v>266</v>
      </c>
      <c r="M693" s="179" t="s">
        <v>151</v>
      </c>
    </row>
    <row r="694" spans="1:13" ht="38.25">
      <c r="A694" s="313" t="str">
        <f t="shared" si="10"/>
        <v>AerialRefuelTankerChanCode_chan096X</v>
      </c>
      <c r="B694" s="330"/>
      <c r="C694" s="334"/>
      <c r="D694" s="188" t="s">
        <v>14425</v>
      </c>
      <c r="E694" s="189" t="s">
        <v>14426</v>
      </c>
      <c r="F694" s="162" t="s">
        <v>14805</v>
      </c>
      <c r="G694" s="162" t="s">
        <v>13413</v>
      </c>
      <c r="H694" s="219"/>
      <c r="I694" s="169">
        <v>116890</v>
      </c>
      <c r="J694" s="304" t="str">
        <f>CONCATENATE([2]Cover!$D$6,"fdd/view?i=",I694)</f>
        <v>https://www.dgiwg.org/FAD/fdd/view?i=116890</v>
      </c>
      <c r="K694" s="304" t="s">
        <v>34743</v>
      </c>
      <c r="L694" s="188">
        <v>267</v>
      </c>
      <c r="M694" s="179" t="s">
        <v>151</v>
      </c>
    </row>
    <row r="695" spans="1:13" ht="38.25">
      <c r="A695" s="313" t="str">
        <f t="shared" si="10"/>
        <v>AerialRefuelTankerChanCode_chan096Y</v>
      </c>
      <c r="B695" s="330"/>
      <c r="C695" s="334"/>
      <c r="D695" s="188" t="s">
        <v>14428</v>
      </c>
      <c r="E695" s="189" t="s">
        <v>14429</v>
      </c>
      <c r="F695" s="162" t="s">
        <v>14806</v>
      </c>
      <c r="G695" s="162" t="s">
        <v>13413</v>
      </c>
      <c r="H695" s="219"/>
      <c r="I695" s="169">
        <v>116891</v>
      </c>
      <c r="J695" s="304" t="str">
        <f>CONCATENATE([2]Cover!$D$6,"fdd/view?i=",I695)</f>
        <v>https://www.dgiwg.org/FAD/fdd/view?i=116891</v>
      </c>
      <c r="K695" s="304" t="s">
        <v>34744</v>
      </c>
      <c r="L695" s="188">
        <v>268</v>
      </c>
      <c r="M695" s="179" t="s">
        <v>151</v>
      </c>
    </row>
    <row r="696" spans="1:13" ht="38.25">
      <c r="A696" s="313" t="str">
        <f t="shared" si="10"/>
        <v>AerialRefuelTankerChanCode_chan096Z</v>
      </c>
      <c r="B696" s="330"/>
      <c r="C696" s="334"/>
      <c r="D696" s="188" t="s">
        <v>14431</v>
      </c>
      <c r="E696" s="189" t="s">
        <v>14432</v>
      </c>
      <c r="F696" s="162" t="s">
        <v>14807</v>
      </c>
      <c r="G696" s="162" t="s">
        <v>13413</v>
      </c>
      <c r="H696" s="219"/>
      <c r="I696" s="169">
        <v>116892</v>
      </c>
      <c r="J696" s="304" t="str">
        <f>CONCATENATE([2]Cover!$D$6,"fdd/view?i=",I696)</f>
        <v>https://www.dgiwg.org/FAD/fdd/view?i=116892</v>
      </c>
      <c r="K696" s="304" t="s">
        <v>34745</v>
      </c>
      <c r="L696" s="188">
        <v>269</v>
      </c>
      <c r="M696" s="179" t="s">
        <v>151</v>
      </c>
    </row>
    <row r="697" spans="1:13" ht="38.25">
      <c r="A697" s="313" t="str">
        <f t="shared" si="10"/>
        <v>AerialRefuelTankerChanCode_chan097X</v>
      </c>
      <c r="B697" s="330"/>
      <c r="C697" s="334"/>
      <c r="D697" s="188" t="s">
        <v>14434</v>
      </c>
      <c r="E697" s="189" t="s">
        <v>14435</v>
      </c>
      <c r="F697" s="162" t="s">
        <v>14808</v>
      </c>
      <c r="G697" s="162" t="s">
        <v>13413</v>
      </c>
      <c r="H697" s="219"/>
      <c r="I697" s="169">
        <v>116893</v>
      </c>
      <c r="J697" s="304" t="str">
        <f>CONCATENATE([2]Cover!$D$6,"fdd/view?i=",I697)</f>
        <v>https://www.dgiwg.org/FAD/fdd/view?i=116893</v>
      </c>
      <c r="K697" s="304" t="s">
        <v>34746</v>
      </c>
      <c r="L697" s="188">
        <v>270</v>
      </c>
      <c r="M697" s="179" t="s">
        <v>151</v>
      </c>
    </row>
    <row r="698" spans="1:13" ht="38.25">
      <c r="A698" s="313" t="str">
        <f t="shared" si="10"/>
        <v>AerialRefuelTankerChanCode_chan097Y</v>
      </c>
      <c r="B698" s="330"/>
      <c r="C698" s="334"/>
      <c r="D698" s="188" t="s">
        <v>14437</v>
      </c>
      <c r="E698" s="189" t="s">
        <v>14438</v>
      </c>
      <c r="F698" s="162" t="s">
        <v>14809</v>
      </c>
      <c r="G698" s="162" t="s">
        <v>13413</v>
      </c>
      <c r="H698" s="219"/>
      <c r="I698" s="169">
        <v>116894</v>
      </c>
      <c r="J698" s="304" t="str">
        <f>CONCATENATE([2]Cover!$D$6,"fdd/view?i=",I698)</f>
        <v>https://www.dgiwg.org/FAD/fdd/view?i=116894</v>
      </c>
      <c r="K698" s="304" t="s">
        <v>34747</v>
      </c>
      <c r="L698" s="188">
        <v>271</v>
      </c>
      <c r="M698" s="179" t="s">
        <v>151</v>
      </c>
    </row>
    <row r="699" spans="1:13" ht="38.25">
      <c r="A699" s="313" t="str">
        <f t="shared" si="10"/>
        <v>AerialRefuelTankerChanCode_chan097Z</v>
      </c>
      <c r="B699" s="330"/>
      <c r="C699" s="334"/>
      <c r="D699" s="188" t="s">
        <v>14440</v>
      </c>
      <c r="E699" s="189" t="s">
        <v>14441</v>
      </c>
      <c r="F699" s="162" t="s">
        <v>14810</v>
      </c>
      <c r="G699" s="162" t="s">
        <v>13413</v>
      </c>
      <c r="H699" s="219"/>
      <c r="I699" s="169">
        <v>116895</v>
      </c>
      <c r="J699" s="304" t="str">
        <f>CONCATENATE([2]Cover!$D$6,"fdd/view?i=",I699)</f>
        <v>https://www.dgiwg.org/FAD/fdd/view?i=116895</v>
      </c>
      <c r="K699" s="304" t="s">
        <v>34748</v>
      </c>
      <c r="L699" s="188">
        <v>272</v>
      </c>
      <c r="M699" s="179" t="s">
        <v>151</v>
      </c>
    </row>
    <row r="700" spans="1:13" ht="38.25">
      <c r="A700" s="313" t="str">
        <f t="shared" si="10"/>
        <v>AerialRefuelTankerChanCode_chan098X</v>
      </c>
      <c r="B700" s="330"/>
      <c r="C700" s="334"/>
      <c r="D700" s="188" t="s">
        <v>14443</v>
      </c>
      <c r="E700" s="189" t="s">
        <v>14444</v>
      </c>
      <c r="F700" s="162" t="s">
        <v>14811</v>
      </c>
      <c r="G700" s="162" t="s">
        <v>13413</v>
      </c>
      <c r="H700" s="219"/>
      <c r="I700" s="169">
        <v>116896</v>
      </c>
      <c r="J700" s="304" t="str">
        <f>CONCATENATE([2]Cover!$D$6,"fdd/view?i=",I700)</f>
        <v>https://www.dgiwg.org/FAD/fdd/view?i=116896</v>
      </c>
      <c r="K700" s="304" t="s">
        <v>34749</v>
      </c>
      <c r="L700" s="188">
        <v>273</v>
      </c>
      <c r="M700" s="179" t="s">
        <v>151</v>
      </c>
    </row>
    <row r="701" spans="1:13" ht="38.25">
      <c r="A701" s="313" t="str">
        <f t="shared" si="10"/>
        <v>AerialRefuelTankerChanCode_chan098Y</v>
      </c>
      <c r="B701" s="330"/>
      <c r="C701" s="334"/>
      <c r="D701" s="188" t="s">
        <v>14446</v>
      </c>
      <c r="E701" s="189" t="s">
        <v>14447</v>
      </c>
      <c r="F701" s="162" t="s">
        <v>14812</v>
      </c>
      <c r="G701" s="162" t="s">
        <v>13413</v>
      </c>
      <c r="H701" s="219"/>
      <c r="I701" s="169">
        <v>116897</v>
      </c>
      <c r="J701" s="304" t="str">
        <f>CONCATENATE([2]Cover!$D$6,"fdd/view?i=",I701)</f>
        <v>https://www.dgiwg.org/FAD/fdd/view?i=116897</v>
      </c>
      <c r="K701" s="304" t="s">
        <v>34750</v>
      </c>
      <c r="L701" s="188">
        <v>274</v>
      </c>
      <c r="M701" s="179" t="s">
        <v>151</v>
      </c>
    </row>
    <row r="702" spans="1:13" ht="38.25">
      <c r="A702" s="313" t="str">
        <f t="shared" si="10"/>
        <v>AerialRefuelTankerChanCode_chan098Z</v>
      </c>
      <c r="B702" s="330"/>
      <c r="C702" s="334"/>
      <c r="D702" s="188" t="s">
        <v>14449</v>
      </c>
      <c r="E702" s="189" t="s">
        <v>14450</v>
      </c>
      <c r="F702" s="162" t="s">
        <v>14813</v>
      </c>
      <c r="G702" s="162" t="s">
        <v>13413</v>
      </c>
      <c r="H702" s="219"/>
      <c r="I702" s="169">
        <v>116898</v>
      </c>
      <c r="J702" s="304" t="str">
        <f>CONCATENATE([2]Cover!$D$6,"fdd/view?i=",I702)</f>
        <v>https://www.dgiwg.org/FAD/fdd/view?i=116898</v>
      </c>
      <c r="K702" s="304" t="s">
        <v>34751</v>
      </c>
      <c r="L702" s="188">
        <v>275</v>
      </c>
      <c r="M702" s="179" t="s">
        <v>151</v>
      </c>
    </row>
    <row r="703" spans="1:13" ht="38.25">
      <c r="A703" s="313" t="str">
        <f t="shared" si="10"/>
        <v>AerialRefuelTankerChanCode_chan099X</v>
      </c>
      <c r="B703" s="330"/>
      <c r="C703" s="334"/>
      <c r="D703" s="188" t="s">
        <v>14452</v>
      </c>
      <c r="E703" s="189" t="s">
        <v>14453</v>
      </c>
      <c r="F703" s="162" t="s">
        <v>14814</v>
      </c>
      <c r="G703" s="162" t="s">
        <v>13413</v>
      </c>
      <c r="H703" s="219"/>
      <c r="I703" s="169">
        <v>116899</v>
      </c>
      <c r="J703" s="304" t="str">
        <f>CONCATENATE([2]Cover!$D$6,"fdd/view?i=",I703)</f>
        <v>https://www.dgiwg.org/FAD/fdd/view?i=116899</v>
      </c>
      <c r="K703" s="304" t="s">
        <v>34752</v>
      </c>
      <c r="L703" s="188">
        <v>276</v>
      </c>
      <c r="M703" s="179" t="s">
        <v>151</v>
      </c>
    </row>
    <row r="704" spans="1:13" ht="38.25">
      <c r="A704" s="313" t="str">
        <f t="shared" si="10"/>
        <v>AerialRefuelTankerChanCode_chan099Y</v>
      </c>
      <c r="B704" s="330"/>
      <c r="C704" s="334"/>
      <c r="D704" s="188" t="s">
        <v>14455</v>
      </c>
      <c r="E704" s="189" t="s">
        <v>14456</v>
      </c>
      <c r="F704" s="162" t="s">
        <v>14815</v>
      </c>
      <c r="G704" s="162" t="s">
        <v>13413</v>
      </c>
      <c r="H704" s="219"/>
      <c r="I704" s="169">
        <v>116900</v>
      </c>
      <c r="J704" s="304" t="str">
        <f>CONCATENATE([2]Cover!$D$6,"fdd/view?i=",I704)</f>
        <v>https://www.dgiwg.org/FAD/fdd/view?i=116900</v>
      </c>
      <c r="K704" s="304" t="s">
        <v>34753</v>
      </c>
      <c r="L704" s="188">
        <v>277</v>
      </c>
      <c r="M704" s="179" t="s">
        <v>151</v>
      </c>
    </row>
    <row r="705" spans="1:13" ht="38.25">
      <c r="A705" s="313" t="str">
        <f t="shared" si="10"/>
        <v>AerialRefuelTankerChanCode_chan099Z</v>
      </c>
      <c r="B705" s="330"/>
      <c r="C705" s="334"/>
      <c r="D705" s="188" t="s">
        <v>14458</v>
      </c>
      <c r="E705" s="189" t="s">
        <v>14459</v>
      </c>
      <c r="F705" s="162" t="s">
        <v>14816</v>
      </c>
      <c r="G705" s="162" t="s">
        <v>13413</v>
      </c>
      <c r="H705" s="219"/>
      <c r="I705" s="169">
        <v>116901</v>
      </c>
      <c r="J705" s="304" t="str">
        <f>CONCATENATE([2]Cover!$D$6,"fdd/view?i=",I705)</f>
        <v>https://www.dgiwg.org/FAD/fdd/view?i=116901</v>
      </c>
      <c r="K705" s="304" t="s">
        <v>34754</v>
      </c>
      <c r="L705" s="188">
        <v>278</v>
      </c>
      <c r="M705" s="179" t="s">
        <v>151</v>
      </c>
    </row>
    <row r="706" spans="1:13" ht="38.25">
      <c r="A706" s="313" t="str">
        <f t="shared" si="10"/>
        <v>AerialRefuelTankerChanCode_chan100X</v>
      </c>
      <c r="B706" s="330"/>
      <c r="C706" s="334"/>
      <c r="D706" s="188" t="s">
        <v>13410</v>
      </c>
      <c r="E706" s="189" t="s">
        <v>13411</v>
      </c>
      <c r="F706" s="162" t="s">
        <v>14467</v>
      </c>
      <c r="G706" s="162" t="s">
        <v>13413</v>
      </c>
      <c r="H706" s="219"/>
      <c r="I706" s="169">
        <v>116902</v>
      </c>
      <c r="J706" s="304" t="str">
        <f>CONCATENATE([2]Cover!$D$6,"fdd/view?i=",I706)</f>
        <v>https://www.dgiwg.org/FAD/fdd/view?i=116902</v>
      </c>
      <c r="K706" s="304" t="s">
        <v>34755</v>
      </c>
      <c r="L706" s="188">
        <v>279</v>
      </c>
      <c r="M706" s="179" t="s">
        <v>151</v>
      </c>
    </row>
    <row r="707" spans="1:13" ht="38.25">
      <c r="A707" s="313" t="str">
        <f t="shared" ref="A707:A770" si="11">HYPERLINK(J707,K707)</f>
        <v>AerialRefuelTankerChanCode_chan100Y</v>
      </c>
      <c r="B707" s="330"/>
      <c r="C707" s="334"/>
      <c r="D707" s="188" t="s">
        <v>13414</v>
      </c>
      <c r="E707" s="189" t="s">
        <v>13415</v>
      </c>
      <c r="F707" s="162" t="s">
        <v>14468</v>
      </c>
      <c r="G707" s="162" t="s">
        <v>13413</v>
      </c>
      <c r="H707" s="219"/>
      <c r="I707" s="169">
        <v>116903</v>
      </c>
      <c r="J707" s="304" t="str">
        <f>CONCATENATE([2]Cover!$D$6,"fdd/view?i=",I707)</f>
        <v>https://www.dgiwg.org/FAD/fdd/view?i=116903</v>
      </c>
      <c r="K707" s="304" t="s">
        <v>34756</v>
      </c>
      <c r="L707" s="188">
        <v>280</v>
      </c>
      <c r="M707" s="179" t="s">
        <v>151</v>
      </c>
    </row>
    <row r="708" spans="1:13" ht="38.25">
      <c r="A708" s="313" t="str">
        <f t="shared" si="11"/>
        <v>AerialRefuelTankerChanCode_chan100Z</v>
      </c>
      <c r="B708" s="330"/>
      <c r="C708" s="334"/>
      <c r="D708" s="188" t="s">
        <v>13417</v>
      </c>
      <c r="E708" s="189" t="s">
        <v>13418</v>
      </c>
      <c r="F708" s="162" t="s">
        <v>14469</v>
      </c>
      <c r="G708" s="162" t="s">
        <v>13413</v>
      </c>
      <c r="H708" s="219"/>
      <c r="I708" s="169">
        <v>116904</v>
      </c>
      <c r="J708" s="304" t="str">
        <f>CONCATENATE([2]Cover!$D$6,"fdd/view?i=",I708)</f>
        <v>https://www.dgiwg.org/FAD/fdd/view?i=116904</v>
      </c>
      <c r="K708" s="304" t="s">
        <v>34757</v>
      </c>
      <c r="L708" s="188">
        <v>281</v>
      </c>
      <c r="M708" s="179" t="s">
        <v>151</v>
      </c>
    </row>
    <row r="709" spans="1:13" ht="38.25">
      <c r="A709" s="313" t="str">
        <f t="shared" si="11"/>
        <v>AerialRefuelTankerChanCode_chan101X</v>
      </c>
      <c r="B709" s="330"/>
      <c r="C709" s="334"/>
      <c r="D709" s="188" t="s">
        <v>13420</v>
      </c>
      <c r="E709" s="189" t="s">
        <v>13421</v>
      </c>
      <c r="F709" s="162" t="s">
        <v>14470</v>
      </c>
      <c r="G709" s="162" t="s">
        <v>13413</v>
      </c>
      <c r="H709" s="219"/>
      <c r="I709" s="169">
        <v>116905</v>
      </c>
      <c r="J709" s="304" t="str">
        <f>CONCATENATE([2]Cover!$D$6,"fdd/view?i=",I709)</f>
        <v>https://www.dgiwg.org/FAD/fdd/view?i=116905</v>
      </c>
      <c r="K709" s="304" t="s">
        <v>34758</v>
      </c>
      <c r="L709" s="188">
        <v>282</v>
      </c>
      <c r="M709" s="179" t="s">
        <v>151</v>
      </c>
    </row>
    <row r="710" spans="1:13" ht="38.25">
      <c r="A710" s="313" t="str">
        <f t="shared" si="11"/>
        <v>AerialRefuelTankerChanCode_chan101Y</v>
      </c>
      <c r="B710" s="330"/>
      <c r="C710" s="334"/>
      <c r="D710" s="188" t="s">
        <v>13423</v>
      </c>
      <c r="E710" s="189" t="s">
        <v>13424</v>
      </c>
      <c r="F710" s="162" t="s">
        <v>14471</v>
      </c>
      <c r="G710" s="162" t="s">
        <v>13413</v>
      </c>
      <c r="H710" s="219"/>
      <c r="I710" s="169">
        <v>116906</v>
      </c>
      <c r="J710" s="304" t="str">
        <f>CONCATENATE([2]Cover!$D$6,"fdd/view?i=",I710)</f>
        <v>https://www.dgiwg.org/FAD/fdd/view?i=116906</v>
      </c>
      <c r="K710" s="304" t="s">
        <v>34759</v>
      </c>
      <c r="L710" s="188">
        <v>283</v>
      </c>
      <c r="M710" s="179" t="s">
        <v>151</v>
      </c>
    </row>
    <row r="711" spans="1:13" ht="38.25">
      <c r="A711" s="313" t="str">
        <f t="shared" si="11"/>
        <v>AerialRefuelTankerChanCode_chan101Z</v>
      </c>
      <c r="B711" s="330"/>
      <c r="C711" s="334"/>
      <c r="D711" s="188" t="s">
        <v>13426</v>
      </c>
      <c r="E711" s="189" t="s">
        <v>13427</v>
      </c>
      <c r="F711" s="162" t="s">
        <v>14472</v>
      </c>
      <c r="G711" s="162" t="s">
        <v>13413</v>
      </c>
      <c r="H711" s="219"/>
      <c r="I711" s="169">
        <v>116907</v>
      </c>
      <c r="J711" s="304" t="str">
        <f>CONCATENATE([2]Cover!$D$6,"fdd/view?i=",I711)</f>
        <v>https://www.dgiwg.org/FAD/fdd/view?i=116907</v>
      </c>
      <c r="K711" s="304" t="s">
        <v>34760</v>
      </c>
      <c r="L711" s="188">
        <v>284</v>
      </c>
      <c r="M711" s="179" t="s">
        <v>151</v>
      </c>
    </row>
    <row r="712" spans="1:13" ht="38.25">
      <c r="A712" s="313" t="str">
        <f t="shared" si="11"/>
        <v>AerialRefuelTankerChanCode_chan102X</v>
      </c>
      <c r="B712" s="330"/>
      <c r="C712" s="334"/>
      <c r="D712" s="188" t="s">
        <v>13429</v>
      </c>
      <c r="E712" s="189" t="s">
        <v>13430</v>
      </c>
      <c r="F712" s="162" t="s">
        <v>14473</v>
      </c>
      <c r="G712" s="162" t="s">
        <v>13413</v>
      </c>
      <c r="H712" s="219"/>
      <c r="I712" s="169">
        <v>116908</v>
      </c>
      <c r="J712" s="304" t="str">
        <f>CONCATENATE([2]Cover!$D$6,"fdd/view?i=",I712)</f>
        <v>https://www.dgiwg.org/FAD/fdd/view?i=116908</v>
      </c>
      <c r="K712" s="304" t="s">
        <v>34761</v>
      </c>
      <c r="L712" s="188">
        <v>285</v>
      </c>
      <c r="M712" s="179" t="s">
        <v>151</v>
      </c>
    </row>
    <row r="713" spans="1:13" ht="38.25">
      <c r="A713" s="313" t="str">
        <f t="shared" si="11"/>
        <v>AerialRefuelTankerChanCode_chan102Y</v>
      </c>
      <c r="B713" s="330"/>
      <c r="C713" s="334"/>
      <c r="D713" s="188" t="s">
        <v>13432</v>
      </c>
      <c r="E713" s="189" t="s">
        <v>13433</v>
      </c>
      <c r="F713" s="162" t="s">
        <v>14474</v>
      </c>
      <c r="G713" s="162" t="s">
        <v>13413</v>
      </c>
      <c r="H713" s="219"/>
      <c r="I713" s="169">
        <v>116909</v>
      </c>
      <c r="J713" s="304" t="str">
        <f>CONCATENATE([2]Cover!$D$6,"fdd/view?i=",I713)</f>
        <v>https://www.dgiwg.org/FAD/fdd/view?i=116909</v>
      </c>
      <c r="K713" s="304" t="s">
        <v>34762</v>
      </c>
      <c r="L713" s="188">
        <v>286</v>
      </c>
      <c r="M713" s="179" t="s">
        <v>151</v>
      </c>
    </row>
    <row r="714" spans="1:13" ht="38.25">
      <c r="A714" s="313" t="str">
        <f t="shared" si="11"/>
        <v>AerialRefuelTankerChanCode_chan102Z</v>
      </c>
      <c r="B714" s="330"/>
      <c r="C714" s="334"/>
      <c r="D714" s="188" t="s">
        <v>13435</v>
      </c>
      <c r="E714" s="189" t="s">
        <v>13436</v>
      </c>
      <c r="F714" s="162" t="s">
        <v>14475</v>
      </c>
      <c r="G714" s="162" t="s">
        <v>13413</v>
      </c>
      <c r="H714" s="219"/>
      <c r="I714" s="169">
        <v>116910</v>
      </c>
      <c r="J714" s="304" t="str">
        <f>CONCATENATE([2]Cover!$D$6,"fdd/view?i=",I714)</f>
        <v>https://www.dgiwg.org/FAD/fdd/view?i=116910</v>
      </c>
      <c r="K714" s="304" t="s">
        <v>34763</v>
      </c>
      <c r="L714" s="188">
        <v>287</v>
      </c>
      <c r="M714" s="179" t="s">
        <v>151</v>
      </c>
    </row>
    <row r="715" spans="1:13" ht="38.25">
      <c r="A715" s="313" t="str">
        <f t="shared" si="11"/>
        <v>AerialRefuelTankerChanCode_chan103X</v>
      </c>
      <c r="B715" s="330"/>
      <c r="C715" s="334"/>
      <c r="D715" s="188" t="s">
        <v>13438</v>
      </c>
      <c r="E715" s="189" t="s">
        <v>13439</v>
      </c>
      <c r="F715" s="162" t="s">
        <v>14476</v>
      </c>
      <c r="G715" s="162" t="s">
        <v>13413</v>
      </c>
      <c r="H715" s="219"/>
      <c r="I715" s="169">
        <v>116911</v>
      </c>
      <c r="J715" s="304" t="str">
        <f>CONCATENATE([2]Cover!$D$6,"fdd/view?i=",I715)</f>
        <v>https://www.dgiwg.org/FAD/fdd/view?i=116911</v>
      </c>
      <c r="K715" s="304" t="s">
        <v>34764</v>
      </c>
      <c r="L715" s="188">
        <v>288</v>
      </c>
      <c r="M715" s="179" t="s">
        <v>151</v>
      </c>
    </row>
    <row r="716" spans="1:13" ht="38.25">
      <c r="A716" s="313" t="str">
        <f t="shared" si="11"/>
        <v>AerialRefuelTankerChanCode_chan103Y</v>
      </c>
      <c r="B716" s="330"/>
      <c r="C716" s="334"/>
      <c r="D716" s="188" t="s">
        <v>13441</v>
      </c>
      <c r="E716" s="189" t="s">
        <v>13442</v>
      </c>
      <c r="F716" s="162" t="s">
        <v>14477</v>
      </c>
      <c r="G716" s="162" t="s">
        <v>13413</v>
      </c>
      <c r="H716" s="219"/>
      <c r="I716" s="169">
        <v>116912</v>
      </c>
      <c r="J716" s="304" t="str">
        <f>CONCATENATE([2]Cover!$D$6,"fdd/view?i=",I716)</f>
        <v>https://www.dgiwg.org/FAD/fdd/view?i=116912</v>
      </c>
      <c r="K716" s="304" t="s">
        <v>34765</v>
      </c>
      <c r="L716" s="188">
        <v>289</v>
      </c>
      <c r="M716" s="179" t="s">
        <v>151</v>
      </c>
    </row>
    <row r="717" spans="1:13" ht="38.25">
      <c r="A717" s="313" t="str">
        <f t="shared" si="11"/>
        <v>AerialRefuelTankerChanCode_chan103Z</v>
      </c>
      <c r="B717" s="330"/>
      <c r="C717" s="334"/>
      <c r="D717" s="188" t="s">
        <v>13444</v>
      </c>
      <c r="E717" s="189" t="s">
        <v>13445</v>
      </c>
      <c r="F717" s="162" t="s">
        <v>14478</v>
      </c>
      <c r="G717" s="162" t="s">
        <v>13413</v>
      </c>
      <c r="H717" s="219"/>
      <c r="I717" s="169">
        <v>116913</v>
      </c>
      <c r="J717" s="304" t="str">
        <f>CONCATENATE([2]Cover!$D$6,"fdd/view?i=",I717)</f>
        <v>https://www.dgiwg.org/FAD/fdd/view?i=116913</v>
      </c>
      <c r="K717" s="304" t="s">
        <v>34766</v>
      </c>
      <c r="L717" s="188">
        <v>290</v>
      </c>
      <c r="M717" s="179" t="s">
        <v>151</v>
      </c>
    </row>
    <row r="718" spans="1:13" ht="38.25">
      <c r="A718" s="313" t="str">
        <f t="shared" si="11"/>
        <v>AerialRefuelTankerChanCode_chan104X</v>
      </c>
      <c r="B718" s="330"/>
      <c r="C718" s="334"/>
      <c r="D718" s="188" t="s">
        <v>13447</v>
      </c>
      <c r="E718" s="189" t="s">
        <v>13448</v>
      </c>
      <c r="F718" s="162" t="s">
        <v>14479</v>
      </c>
      <c r="G718" s="162" t="s">
        <v>13413</v>
      </c>
      <c r="H718" s="219"/>
      <c r="I718" s="169">
        <v>116914</v>
      </c>
      <c r="J718" s="304" t="str">
        <f>CONCATENATE([2]Cover!$D$6,"fdd/view?i=",I718)</f>
        <v>https://www.dgiwg.org/FAD/fdd/view?i=116914</v>
      </c>
      <c r="K718" s="304" t="s">
        <v>34767</v>
      </c>
      <c r="L718" s="188">
        <v>291</v>
      </c>
      <c r="M718" s="179" t="s">
        <v>151</v>
      </c>
    </row>
    <row r="719" spans="1:13" ht="38.25">
      <c r="A719" s="313" t="str">
        <f t="shared" si="11"/>
        <v>AerialRefuelTankerChanCode_chan104Y</v>
      </c>
      <c r="B719" s="330"/>
      <c r="C719" s="334"/>
      <c r="D719" s="188" t="s">
        <v>13450</v>
      </c>
      <c r="E719" s="189" t="s">
        <v>13451</v>
      </c>
      <c r="F719" s="162" t="s">
        <v>14480</v>
      </c>
      <c r="G719" s="162" t="s">
        <v>13413</v>
      </c>
      <c r="H719" s="219"/>
      <c r="I719" s="169">
        <v>116915</v>
      </c>
      <c r="J719" s="304" t="str">
        <f>CONCATENATE([2]Cover!$D$6,"fdd/view?i=",I719)</f>
        <v>https://www.dgiwg.org/FAD/fdd/view?i=116915</v>
      </c>
      <c r="K719" s="304" t="s">
        <v>34768</v>
      </c>
      <c r="L719" s="188">
        <v>292</v>
      </c>
      <c r="M719" s="179" t="s">
        <v>151</v>
      </c>
    </row>
    <row r="720" spans="1:13" ht="38.25">
      <c r="A720" s="313" t="str">
        <f t="shared" si="11"/>
        <v>AerialRefuelTankerChanCode_chan104Z</v>
      </c>
      <c r="B720" s="330"/>
      <c r="C720" s="334"/>
      <c r="D720" s="188" t="s">
        <v>13453</v>
      </c>
      <c r="E720" s="189" t="s">
        <v>13454</v>
      </c>
      <c r="F720" s="162" t="s">
        <v>14481</v>
      </c>
      <c r="G720" s="162" t="s">
        <v>13413</v>
      </c>
      <c r="H720" s="219"/>
      <c r="I720" s="169">
        <v>116916</v>
      </c>
      <c r="J720" s="304" t="str">
        <f>CONCATENATE([2]Cover!$D$6,"fdd/view?i=",I720)</f>
        <v>https://www.dgiwg.org/FAD/fdd/view?i=116916</v>
      </c>
      <c r="K720" s="304" t="s">
        <v>34769</v>
      </c>
      <c r="L720" s="188">
        <v>293</v>
      </c>
      <c r="M720" s="179" t="s">
        <v>151</v>
      </c>
    </row>
    <row r="721" spans="1:13" ht="38.25">
      <c r="A721" s="313" t="str">
        <f t="shared" si="11"/>
        <v>AerialRefuelTankerChanCode_chan105X</v>
      </c>
      <c r="B721" s="330"/>
      <c r="C721" s="334"/>
      <c r="D721" s="188" t="s">
        <v>13456</v>
      </c>
      <c r="E721" s="189" t="s">
        <v>13457</v>
      </c>
      <c r="F721" s="162" t="s">
        <v>14482</v>
      </c>
      <c r="G721" s="162" t="s">
        <v>13413</v>
      </c>
      <c r="H721" s="219"/>
      <c r="I721" s="169">
        <v>116917</v>
      </c>
      <c r="J721" s="304" t="str">
        <f>CONCATENATE([2]Cover!$D$6,"fdd/view?i=",I721)</f>
        <v>https://www.dgiwg.org/FAD/fdd/view?i=116917</v>
      </c>
      <c r="K721" s="304" t="s">
        <v>34770</v>
      </c>
      <c r="L721" s="188">
        <v>294</v>
      </c>
      <c r="M721" s="179" t="s">
        <v>151</v>
      </c>
    </row>
    <row r="722" spans="1:13" ht="38.25">
      <c r="A722" s="313" t="str">
        <f t="shared" si="11"/>
        <v>AerialRefuelTankerChanCode_chan105Y</v>
      </c>
      <c r="B722" s="330"/>
      <c r="C722" s="334"/>
      <c r="D722" s="188" t="s">
        <v>13459</v>
      </c>
      <c r="E722" s="189" t="s">
        <v>13460</v>
      </c>
      <c r="F722" s="162" t="s">
        <v>14483</v>
      </c>
      <c r="G722" s="162" t="s">
        <v>13413</v>
      </c>
      <c r="H722" s="219"/>
      <c r="I722" s="169">
        <v>116918</v>
      </c>
      <c r="J722" s="304" t="str">
        <f>CONCATENATE([2]Cover!$D$6,"fdd/view?i=",I722)</f>
        <v>https://www.dgiwg.org/FAD/fdd/view?i=116918</v>
      </c>
      <c r="K722" s="304" t="s">
        <v>34771</v>
      </c>
      <c r="L722" s="188">
        <v>295</v>
      </c>
      <c r="M722" s="179" t="s">
        <v>151</v>
      </c>
    </row>
    <row r="723" spans="1:13" ht="38.25">
      <c r="A723" s="313" t="str">
        <f t="shared" si="11"/>
        <v>AerialRefuelTankerChanCode_chan105Z</v>
      </c>
      <c r="B723" s="330"/>
      <c r="C723" s="334"/>
      <c r="D723" s="188" t="s">
        <v>13462</v>
      </c>
      <c r="E723" s="189" t="s">
        <v>13463</v>
      </c>
      <c r="F723" s="162" t="s">
        <v>14484</v>
      </c>
      <c r="G723" s="162" t="s">
        <v>13413</v>
      </c>
      <c r="H723" s="219"/>
      <c r="I723" s="169">
        <v>116919</v>
      </c>
      <c r="J723" s="304" t="str">
        <f>CONCATENATE([2]Cover!$D$6,"fdd/view?i=",I723)</f>
        <v>https://www.dgiwg.org/FAD/fdd/view?i=116919</v>
      </c>
      <c r="K723" s="304" t="s">
        <v>34772</v>
      </c>
      <c r="L723" s="188">
        <v>296</v>
      </c>
      <c r="M723" s="179" t="s">
        <v>151</v>
      </c>
    </row>
    <row r="724" spans="1:13" ht="38.25">
      <c r="A724" s="313" t="str">
        <f t="shared" si="11"/>
        <v>AerialRefuelTankerChanCode_chan106X</v>
      </c>
      <c r="B724" s="330"/>
      <c r="C724" s="334"/>
      <c r="D724" s="188" t="s">
        <v>13465</v>
      </c>
      <c r="E724" s="189" t="s">
        <v>13466</v>
      </c>
      <c r="F724" s="162" t="s">
        <v>14485</v>
      </c>
      <c r="G724" s="162" t="s">
        <v>13413</v>
      </c>
      <c r="H724" s="219"/>
      <c r="I724" s="169">
        <v>116920</v>
      </c>
      <c r="J724" s="304" t="str">
        <f>CONCATENATE([2]Cover!$D$6,"fdd/view?i=",I724)</f>
        <v>https://www.dgiwg.org/FAD/fdd/view?i=116920</v>
      </c>
      <c r="K724" s="304" t="s">
        <v>34773</v>
      </c>
      <c r="L724" s="188">
        <v>297</v>
      </c>
      <c r="M724" s="179" t="s">
        <v>151</v>
      </c>
    </row>
    <row r="725" spans="1:13" ht="38.25">
      <c r="A725" s="313" t="str">
        <f t="shared" si="11"/>
        <v>AerialRefuelTankerChanCode_chan106Y</v>
      </c>
      <c r="B725" s="330"/>
      <c r="C725" s="334"/>
      <c r="D725" s="188" t="s">
        <v>13468</v>
      </c>
      <c r="E725" s="189" t="s">
        <v>13469</v>
      </c>
      <c r="F725" s="162" t="s">
        <v>14486</v>
      </c>
      <c r="G725" s="162" t="s">
        <v>13413</v>
      </c>
      <c r="H725" s="219"/>
      <c r="I725" s="169">
        <v>116921</v>
      </c>
      <c r="J725" s="304" t="str">
        <f>CONCATENATE([2]Cover!$D$6,"fdd/view?i=",I725)</f>
        <v>https://www.dgiwg.org/FAD/fdd/view?i=116921</v>
      </c>
      <c r="K725" s="304" t="s">
        <v>34774</v>
      </c>
      <c r="L725" s="188">
        <v>298</v>
      </c>
      <c r="M725" s="179" t="s">
        <v>151</v>
      </c>
    </row>
    <row r="726" spans="1:13" ht="38.25">
      <c r="A726" s="313" t="str">
        <f t="shared" si="11"/>
        <v>AerialRefuelTankerChanCode_chan106Z</v>
      </c>
      <c r="B726" s="330"/>
      <c r="C726" s="334"/>
      <c r="D726" s="188" t="s">
        <v>13471</v>
      </c>
      <c r="E726" s="189" t="s">
        <v>13472</v>
      </c>
      <c r="F726" s="162" t="s">
        <v>14487</v>
      </c>
      <c r="G726" s="162" t="s">
        <v>13413</v>
      </c>
      <c r="H726" s="219"/>
      <c r="I726" s="169">
        <v>116922</v>
      </c>
      <c r="J726" s="304" t="str">
        <f>CONCATENATE([2]Cover!$D$6,"fdd/view?i=",I726)</f>
        <v>https://www.dgiwg.org/FAD/fdd/view?i=116922</v>
      </c>
      <c r="K726" s="304" t="s">
        <v>34775</v>
      </c>
      <c r="L726" s="188">
        <v>299</v>
      </c>
      <c r="M726" s="179" t="s">
        <v>151</v>
      </c>
    </row>
    <row r="727" spans="1:13" ht="38.25">
      <c r="A727" s="313" t="str">
        <f t="shared" si="11"/>
        <v>AerialRefuelTankerChanCode_chan107X</v>
      </c>
      <c r="B727" s="330"/>
      <c r="C727" s="334"/>
      <c r="D727" s="188" t="s">
        <v>13474</v>
      </c>
      <c r="E727" s="189" t="s">
        <v>13475</v>
      </c>
      <c r="F727" s="162" t="s">
        <v>14488</v>
      </c>
      <c r="G727" s="162" t="s">
        <v>13413</v>
      </c>
      <c r="H727" s="219"/>
      <c r="I727" s="169">
        <v>116923</v>
      </c>
      <c r="J727" s="304" t="str">
        <f>CONCATENATE([2]Cover!$D$6,"fdd/view?i=",I727)</f>
        <v>https://www.dgiwg.org/FAD/fdd/view?i=116923</v>
      </c>
      <c r="K727" s="304" t="s">
        <v>34776</v>
      </c>
      <c r="L727" s="188">
        <v>300</v>
      </c>
      <c r="M727" s="179" t="s">
        <v>151</v>
      </c>
    </row>
    <row r="728" spans="1:13" ht="38.25">
      <c r="A728" s="313" t="str">
        <f t="shared" si="11"/>
        <v>AerialRefuelTankerChanCode_chan107Y</v>
      </c>
      <c r="B728" s="330"/>
      <c r="C728" s="334"/>
      <c r="D728" s="188" t="s">
        <v>13477</v>
      </c>
      <c r="E728" s="189" t="s">
        <v>13478</v>
      </c>
      <c r="F728" s="162" t="s">
        <v>14489</v>
      </c>
      <c r="G728" s="162" t="s">
        <v>13413</v>
      </c>
      <c r="H728" s="219"/>
      <c r="I728" s="169">
        <v>116924</v>
      </c>
      <c r="J728" s="304" t="str">
        <f>CONCATENATE([2]Cover!$D$6,"fdd/view?i=",I728)</f>
        <v>https://www.dgiwg.org/FAD/fdd/view?i=116924</v>
      </c>
      <c r="K728" s="304" t="s">
        <v>34777</v>
      </c>
      <c r="L728" s="188">
        <v>301</v>
      </c>
      <c r="M728" s="179" t="s">
        <v>151</v>
      </c>
    </row>
    <row r="729" spans="1:13" ht="38.25">
      <c r="A729" s="313" t="str">
        <f t="shared" si="11"/>
        <v>AerialRefuelTankerChanCode_chan107Z</v>
      </c>
      <c r="B729" s="330"/>
      <c r="C729" s="334"/>
      <c r="D729" s="188" t="s">
        <v>13480</v>
      </c>
      <c r="E729" s="189" t="s">
        <v>13481</v>
      </c>
      <c r="F729" s="162" t="s">
        <v>14490</v>
      </c>
      <c r="G729" s="162" t="s">
        <v>13413</v>
      </c>
      <c r="H729" s="219"/>
      <c r="I729" s="169">
        <v>116925</v>
      </c>
      <c r="J729" s="304" t="str">
        <f>CONCATENATE([2]Cover!$D$6,"fdd/view?i=",I729)</f>
        <v>https://www.dgiwg.org/FAD/fdd/view?i=116925</v>
      </c>
      <c r="K729" s="304" t="s">
        <v>34778</v>
      </c>
      <c r="L729" s="188">
        <v>302</v>
      </c>
      <c r="M729" s="179" t="s">
        <v>151</v>
      </c>
    </row>
    <row r="730" spans="1:13" ht="38.25">
      <c r="A730" s="313" t="str">
        <f t="shared" si="11"/>
        <v>AerialRefuelTankerChanCode_chan108X</v>
      </c>
      <c r="B730" s="330"/>
      <c r="C730" s="334"/>
      <c r="D730" s="188" t="s">
        <v>13483</v>
      </c>
      <c r="E730" s="189" t="s">
        <v>13484</v>
      </c>
      <c r="F730" s="162" t="s">
        <v>14491</v>
      </c>
      <c r="G730" s="162" t="s">
        <v>13413</v>
      </c>
      <c r="H730" s="219"/>
      <c r="I730" s="169">
        <v>116926</v>
      </c>
      <c r="J730" s="304" t="str">
        <f>CONCATENATE([2]Cover!$D$6,"fdd/view?i=",I730)</f>
        <v>https://www.dgiwg.org/FAD/fdd/view?i=116926</v>
      </c>
      <c r="K730" s="304" t="s">
        <v>34779</v>
      </c>
      <c r="L730" s="188">
        <v>303</v>
      </c>
      <c r="M730" s="179" t="s">
        <v>151</v>
      </c>
    </row>
    <row r="731" spans="1:13" ht="38.25">
      <c r="A731" s="313" t="str">
        <f t="shared" si="11"/>
        <v>AerialRefuelTankerChanCode_chan108Y</v>
      </c>
      <c r="B731" s="330"/>
      <c r="C731" s="334"/>
      <c r="D731" s="188" t="s">
        <v>13486</v>
      </c>
      <c r="E731" s="189" t="s">
        <v>13487</v>
      </c>
      <c r="F731" s="162" t="s">
        <v>14492</v>
      </c>
      <c r="G731" s="162" t="s">
        <v>13413</v>
      </c>
      <c r="H731" s="219"/>
      <c r="I731" s="169">
        <v>116927</v>
      </c>
      <c r="J731" s="304" t="str">
        <f>CONCATENATE([2]Cover!$D$6,"fdd/view?i=",I731)</f>
        <v>https://www.dgiwg.org/FAD/fdd/view?i=116927</v>
      </c>
      <c r="K731" s="304" t="s">
        <v>34780</v>
      </c>
      <c r="L731" s="188">
        <v>304</v>
      </c>
      <c r="M731" s="179" t="s">
        <v>151</v>
      </c>
    </row>
    <row r="732" spans="1:13" ht="38.25">
      <c r="A732" s="313" t="str">
        <f t="shared" si="11"/>
        <v>AerialRefuelTankerChanCode_chan108Z</v>
      </c>
      <c r="B732" s="330"/>
      <c r="C732" s="334"/>
      <c r="D732" s="188" t="s">
        <v>13489</v>
      </c>
      <c r="E732" s="189" t="s">
        <v>13490</v>
      </c>
      <c r="F732" s="162" t="s">
        <v>14493</v>
      </c>
      <c r="G732" s="162" t="s">
        <v>13413</v>
      </c>
      <c r="H732" s="219"/>
      <c r="I732" s="169">
        <v>116928</v>
      </c>
      <c r="J732" s="304" t="str">
        <f>CONCATENATE([2]Cover!$D$6,"fdd/view?i=",I732)</f>
        <v>https://www.dgiwg.org/FAD/fdd/view?i=116928</v>
      </c>
      <c r="K732" s="304" t="s">
        <v>34781</v>
      </c>
      <c r="L732" s="188">
        <v>305</v>
      </c>
      <c r="M732" s="179" t="s">
        <v>151</v>
      </c>
    </row>
    <row r="733" spans="1:13" ht="38.25">
      <c r="A733" s="313" t="str">
        <f t="shared" si="11"/>
        <v>AerialRefuelTankerChanCode_chan109X</v>
      </c>
      <c r="B733" s="330"/>
      <c r="C733" s="334"/>
      <c r="D733" s="188" t="s">
        <v>13492</v>
      </c>
      <c r="E733" s="189" t="s">
        <v>13493</v>
      </c>
      <c r="F733" s="162" t="s">
        <v>14494</v>
      </c>
      <c r="G733" s="162" t="s">
        <v>13413</v>
      </c>
      <c r="H733" s="219"/>
      <c r="I733" s="169">
        <v>116929</v>
      </c>
      <c r="J733" s="304" t="str">
        <f>CONCATENATE([2]Cover!$D$6,"fdd/view?i=",I733)</f>
        <v>https://www.dgiwg.org/FAD/fdd/view?i=116929</v>
      </c>
      <c r="K733" s="304" t="s">
        <v>34782</v>
      </c>
      <c r="L733" s="188">
        <v>306</v>
      </c>
      <c r="M733" s="179" t="s">
        <v>151</v>
      </c>
    </row>
    <row r="734" spans="1:13" ht="38.25">
      <c r="A734" s="313" t="str">
        <f t="shared" si="11"/>
        <v>AerialRefuelTankerChanCode_chan109Y</v>
      </c>
      <c r="B734" s="330"/>
      <c r="C734" s="334"/>
      <c r="D734" s="188" t="s">
        <v>13495</v>
      </c>
      <c r="E734" s="189" t="s">
        <v>13496</v>
      </c>
      <c r="F734" s="162" t="s">
        <v>14495</v>
      </c>
      <c r="G734" s="162" t="s">
        <v>13413</v>
      </c>
      <c r="H734" s="219"/>
      <c r="I734" s="169">
        <v>116930</v>
      </c>
      <c r="J734" s="304" t="str">
        <f>CONCATENATE([2]Cover!$D$6,"fdd/view?i=",I734)</f>
        <v>https://www.dgiwg.org/FAD/fdd/view?i=116930</v>
      </c>
      <c r="K734" s="304" t="s">
        <v>34783</v>
      </c>
      <c r="L734" s="188">
        <v>307</v>
      </c>
      <c r="M734" s="179" t="s">
        <v>151</v>
      </c>
    </row>
    <row r="735" spans="1:13" ht="38.25">
      <c r="A735" s="313" t="str">
        <f t="shared" si="11"/>
        <v>AerialRefuelTankerChanCode_chan109Z</v>
      </c>
      <c r="B735" s="330"/>
      <c r="C735" s="334"/>
      <c r="D735" s="188" t="s">
        <v>13498</v>
      </c>
      <c r="E735" s="189" t="s">
        <v>13499</v>
      </c>
      <c r="F735" s="162" t="s">
        <v>14496</v>
      </c>
      <c r="G735" s="162" t="s">
        <v>13413</v>
      </c>
      <c r="H735" s="219"/>
      <c r="I735" s="169">
        <v>116931</v>
      </c>
      <c r="J735" s="304" t="str">
        <f>CONCATENATE([2]Cover!$D$6,"fdd/view?i=",I735)</f>
        <v>https://www.dgiwg.org/FAD/fdd/view?i=116931</v>
      </c>
      <c r="K735" s="304" t="s">
        <v>34784</v>
      </c>
      <c r="L735" s="188">
        <v>308</v>
      </c>
      <c r="M735" s="179" t="s">
        <v>151</v>
      </c>
    </row>
    <row r="736" spans="1:13" ht="38.25">
      <c r="A736" s="313" t="str">
        <f t="shared" si="11"/>
        <v>AerialRefuelTankerChanCode_chan110X</v>
      </c>
      <c r="B736" s="330"/>
      <c r="C736" s="334"/>
      <c r="D736" s="188" t="s">
        <v>13507</v>
      </c>
      <c r="E736" s="189" t="s">
        <v>13508</v>
      </c>
      <c r="F736" s="162" t="s">
        <v>14499</v>
      </c>
      <c r="G736" s="162" t="s">
        <v>13413</v>
      </c>
      <c r="H736" s="219"/>
      <c r="I736" s="169">
        <v>116932</v>
      </c>
      <c r="J736" s="304" t="str">
        <f>CONCATENATE([2]Cover!$D$6,"fdd/view?i=",I736)</f>
        <v>https://www.dgiwg.org/FAD/fdd/view?i=116932</v>
      </c>
      <c r="K736" s="304" t="s">
        <v>34785</v>
      </c>
      <c r="L736" s="188">
        <v>309</v>
      </c>
      <c r="M736" s="179" t="s">
        <v>151</v>
      </c>
    </row>
    <row r="737" spans="1:13" ht="38.25">
      <c r="A737" s="313" t="str">
        <f t="shared" si="11"/>
        <v>AerialRefuelTankerChanCode_chan110Y</v>
      </c>
      <c r="B737" s="330"/>
      <c r="C737" s="334"/>
      <c r="D737" s="188" t="s">
        <v>13510</v>
      </c>
      <c r="E737" s="189" t="s">
        <v>13511</v>
      </c>
      <c r="F737" s="162" t="s">
        <v>14500</v>
      </c>
      <c r="G737" s="162" t="s">
        <v>13413</v>
      </c>
      <c r="H737" s="219"/>
      <c r="I737" s="169">
        <v>116933</v>
      </c>
      <c r="J737" s="304" t="str">
        <f>CONCATENATE([2]Cover!$D$6,"fdd/view?i=",I737)</f>
        <v>https://www.dgiwg.org/FAD/fdd/view?i=116933</v>
      </c>
      <c r="K737" s="304" t="s">
        <v>34786</v>
      </c>
      <c r="L737" s="188">
        <v>310</v>
      </c>
      <c r="M737" s="179" t="s">
        <v>151</v>
      </c>
    </row>
    <row r="738" spans="1:13" ht="38.25">
      <c r="A738" s="313" t="str">
        <f t="shared" si="11"/>
        <v>AerialRefuelTankerChanCode_chan110Z</v>
      </c>
      <c r="B738" s="330"/>
      <c r="C738" s="334"/>
      <c r="D738" s="188" t="s">
        <v>13513</v>
      </c>
      <c r="E738" s="189" t="s">
        <v>13514</v>
      </c>
      <c r="F738" s="162" t="s">
        <v>14501</v>
      </c>
      <c r="G738" s="162" t="s">
        <v>13413</v>
      </c>
      <c r="H738" s="219"/>
      <c r="I738" s="169">
        <v>116934</v>
      </c>
      <c r="J738" s="304" t="str">
        <f>CONCATENATE([2]Cover!$D$6,"fdd/view?i=",I738)</f>
        <v>https://www.dgiwg.org/FAD/fdd/view?i=116934</v>
      </c>
      <c r="K738" s="304" t="s">
        <v>34787</v>
      </c>
      <c r="L738" s="188">
        <v>311</v>
      </c>
      <c r="M738" s="179" t="s">
        <v>151</v>
      </c>
    </row>
    <row r="739" spans="1:13" ht="38.25">
      <c r="A739" s="313" t="str">
        <f t="shared" si="11"/>
        <v>AerialRefuelTankerChanCode_chan111X</v>
      </c>
      <c r="B739" s="330"/>
      <c r="C739" s="334"/>
      <c r="D739" s="188" t="s">
        <v>13516</v>
      </c>
      <c r="E739" s="189" t="s">
        <v>13517</v>
      </c>
      <c r="F739" s="162" t="s">
        <v>14502</v>
      </c>
      <c r="G739" s="162" t="s">
        <v>13413</v>
      </c>
      <c r="H739" s="219"/>
      <c r="I739" s="169">
        <v>116935</v>
      </c>
      <c r="J739" s="304" t="str">
        <f>CONCATENATE([2]Cover!$D$6,"fdd/view?i=",I739)</f>
        <v>https://www.dgiwg.org/FAD/fdd/view?i=116935</v>
      </c>
      <c r="K739" s="304" t="s">
        <v>34788</v>
      </c>
      <c r="L739" s="188">
        <v>312</v>
      </c>
      <c r="M739" s="179" t="s">
        <v>151</v>
      </c>
    </row>
    <row r="740" spans="1:13" ht="38.25">
      <c r="A740" s="313" t="str">
        <f t="shared" si="11"/>
        <v>AerialRefuelTankerChanCode_chan111Y</v>
      </c>
      <c r="B740" s="330"/>
      <c r="C740" s="334"/>
      <c r="D740" s="188" t="s">
        <v>13519</v>
      </c>
      <c r="E740" s="189" t="s">
        <v>13520</v>
      </c>
      <c r="F740" s="162" t="s">
        <v>14503</v>
      </c>
      <c r="G740" s="162" t="s">
        <v>13413</v>
      </c>
      <c r="H740" s="219"/>
      <c r="I740" s="169">
        <v>116936</v>
      </c>
      <c r="J740" s="304" t="str">
        <f>CONCATENATE([2]Cover!$D$6,"fdd/view?i=",I740)</f>
        <v>https://www.dgiwg.org/FAD/fdd/view?i=116936</v>
      </c>
      <c r="K740" s="304" t="s">
        <v>34789</v>
      </c>
      <c r="L740" s="188">
        <v>313</v>
      </c>
      <c r="M740" s="179" t="s">
        <v>151</v>
      </c>
    </row>
    <row r="741" spans="1:13" ht="38.25">
      <c r="A741" s="313" t="str">
        <f t="shared" si="11"/>
        <v>AerialRefuelTankerChanCode_chan111Z</v>
      </c>
      <c r="B741" s="330"/>
      <c r="C741" s="334"/>
      <c r="D741" s="188" t="s">
        <v>13522</v>
      </c>
      <c r="E741" s="189" t="s">
        <v>13523</v>
      </c>
      <c r="F741" s="162" t="s">
        <v>14504</v>
      </c>
      <c r="G741" s="162" t="s">
        <v>13413</v>
      </c>
      <c r="H741" s="219"/>
      <c r="I741" s="169">
        <v>116937</v>
      </c>
      <c r="J741" s="304" t="str">
        <f>CONCATENATE([2]Cover!$D$6,"fdd/view?i=",I741)</f>
        <v>https://www.dgiwg.org/FAD/fdd/view?i=116937</v>
      </c>
      <c r="K741" s="304" t="s">
        <v>34790</v>
      </c>
      <c r="L741" s="188">
        <v>314</v>
      </c>
      <c r="M741" s="179" t="s">
        <v>151</v>
      </c>
    </row>
    <row r="742" spans="1:13" ht="38.25">
      <c r="A742" s="313" t="str">
        <f t="shared" si="11"/>
        <v>AerialRefuelTankerChanCode_chan112X</v>
      </c>
      <c r="B742" s="330"/>
      <c r="C742" s="334"/>
      <c r="D742" s="188" t="s">
        <v>13525</v>
      </c>
      <c r="E742" s="189" t="s">
        <v>13526</v>
      </c>
      <c r="F742" s="162" t="s">
        <v>14505</v>
      </c>
      <c r="G742" s="162" t="s">
        <v>13413</v>
      </c>
      <c r="H742" s="219"/>
      <c r="I742" s="169">
        <v>116938</v>
      </c>
      <c r="J742" s="304" t="str">
        <f>CONCATENATE([2]Cover!$D$6,"fdd/view?i=",I742)</f>
        <v>https://www.dgiwg.org/FAD/fdd/view?i=116938</v>
      </c>
      <c r="K742" s="304" t="s">
        <v>34791</v>
      </c>
      <c r="L742" s="188">
        <v>315</v>
      </c>
      <c r="M742" s="179" t="s">
        <v>151</v>
      </c>
    </row>
    <row r="743" spans="1:13" ht="38.25">
      <c r="A743" s="313" t="str">
        <f t="shared" si="11"/>
        <v>AerialRefuelTankerChanCode_chan112Y</v>
      </c>
      <c r="B743" s="330"/>
      <c r="C743" s="334"/>
      <c r="D743" s="188" t="s">
        <v>13528</v>
      </c>
      <c r="E743" s="189" t="s">
        <v>13529</v>
      </c>
      <c r="F743" s="162" t="s">
        <v>14506</v>
      </c>
      <c r="G743" s="162" t="s">
        <v>13413</v>
      </c>
      <c r="H743" s="219"/>
      <c r="I743" s="169">
        <v>116939</v>
      </c>
      <c r="J743" s="304" t="str">
        <f>CONCATENATE([2]Cover!$D$6,"fdd/view?i=",I743)</f>
        <v>https://www.dgiwg.org/FAD/fdd/view?i=116939</v>
      </c>
      <c r="K743" s="304" t="s">
        <v>34792</v>
      </c>
      <c r="L743" s="188">
        <v>316</v>
      </c>
      <c r="M743" s="179" t="s">
        <v>151</v>
      </c>
    </row>
    <row r="744" spans="1:13" ht="38.25">
      <c r="A744" s="313" t="str">
        <f t="shared" si="11"/>
        <v>AerialRefuelTankerChanCode_chan112Z</v>
      </c>
      <c r="B744" s="330"/>
      <c r="C744" s="334"/>
      <c r="D744" s="188" t="s">
        <v>13531</v>
      </c>
      <c r="E744" s="189" t="s">
        <v>13532</v>
      </c>
      <c r="F744" s="162" t="s">
        <v>14507</v>
      </c>
      <c r="G744" s="162" t="s">
        <v>13413</v>
      </c>
      <c r="H744" s="219"/>
      <c r="I744" s="169">
        <v>116940</v>
      </c>
      <c r="J744" s="304" t="str">
        <f>CONCATENATE([2]Cover!$D$6,"fdd/view?i=",I744)</f>
        <v>https://www.dgiwg.org/FAD/fdd/view?i=116940</v>
      </c>
      <c r="K744" s="304" t="s">
        <v>34793</v>
      </c>
      <c r="L744" s="188">
        <v>317</v>
      </c>
      <c r="M744" s="179" t="s">
        <v>151</v>
      </c>
    </row>
    <row r="745" spans="1:13" ht="38.25">
      <c r="A745" s="313" t="str">
        <f t="shared" si="11"/>
        <v>AerialRefuelTankerChanCode_chan113X</v>
      </c>
      <c r="B745" s="330"/>
      <c r="C745" s="334"/>
      <c r="D745" s="188" t="s">
        <v>13534</v>
      </c>
      <c r="E745" s="189" t="s">
        <v>13535</v>
      </c>
      <c r="F745" s="162" t="s">
        <v>14508</v>
      </c>
      <c r="G745" s="162" t="s">
        <v>13413</v>
      </c>
      <c r="H745" s="219"/>
      <c r="I745" s="169">
        <v>116941</v>
      </c>
      <c r="J745" s="304" t="str">
        <f>CONCATENATE([2]Cover!$D$6,"fdd/view?i=",I745)</f>
        <v>https://www.dgiwg.org/FAD/fdd/view?i=116941</v>
      </c>
      <c r="K745" s="304" t="s">
        <v>34794</v>
      </c>
      <c r="L745" s="188">
        <v>318</v>
      </c>
      <c r="M745" s="179" t="s">
        <v>151</v>
      </c>
    </row>
    <row r="746" spans="1:13" ht="38.25">
      <c r="A746" s="313" t="str">
        <f t="shared" si="11"/>
        <v>AerialRefuelTankerChanCode_chan113Y</v>
      </c>
      <c r="B746" s="330"/>
      <c r="C746" s="334"/>
      <c r="D746" s="188" t="s">
        <v>13537</v>
      </c>
      <c r="E746" s="189" t="s">
        <v>13538</v>
      </c>
      <c r="F746" s="162" t="s">
        <v>14509</v>
      </c>
      <c r="G746" s="162" t="s">
        <v>13413</v>
      </c>
      <c r="H746" s="219"/>
      <c r="I746" s="169">
        <v>116942</v>
      </c>
      <c r="J746" s="304" t="str">
        <f>CONCATENATE([2]Cover!$D$6,"fdd/view?i=",I746)</f>
        <v>https://www.dgiwg.org/FAD/fdd/view?i=116942</v>
      </c>
      <c r="K746" s="304" t="s">
        <v>34795</v>
      </c>
      <c r="L746" s="188">
        <v>319</v>
      </c>
      <c r="M746" s="179" t="s">
        <v>151</v>
      </c>
    </row>
    <row r="747" spans="1:13" ht="38.25">
      <c r="A747" s="313" t="str">
        <f t="shared" si="11"/>
        <v>AerialRefuelTankerChanCode_chan113Z</v>
      </c>
      <c r="B747" s="330"/>
      <c r="C747" s="334"/>
      <c r="D747" s="188" t="s">
        <v>13540</v>
      </c>
      <c r="E747" s="189" t="s">
        <v>13541</v>
      </c>
      <c r="F747" s="162" t="s">
        <v>14510</v>
      </c>
      <c r="G747" s="162" t="s">
        <v>13413</v>
      </c>
      <c r="H747" s="219"/>
      <c r="I747" s="169">
        <v>116943</v>
      </c>
      <c r="J747" s="304" t="str">
        <f>CONCATENATE([2]Cover!$D$6,"fdd/view?i=",I747)</f>
        <v>https://www.dgiwg.org/FAD/fdd/view?i=116943</v>
      </c>
      <c r="K747" s="304" t="s">
        <v>34796</v>
      </c>
      <c r="L747" s="188">
        <v>320</v>
      </c>
      <c r="M747" s="179" t="s">
        <v>151</v>
      </c>
    </row>
    <row r="748" spans="1:13" ht="38.25">
      <c r="A748" s="313" t="str">
        <f t="shared" si="11"/>
        <v>AerialRefuelTankerChanCode_chan114X</v>
      </c>
      <c r="B748" s="330"/>
      <c r="C748" s="334"/>
      <c r="D748" s="188" t="s">
        <v>13543</v>
      </c>
      <c r="E748" s="189" t="s">
        <v>13544</v>
      </c>
      <c r="F748" s="162" t="s">
        <v>14511</v>
      </c>
      <c r="G748" s="162" t="s">
        <v>13413</v>
      </c>
      <c r="H748" s="219"/>
      <c r="I748" s="169">
        <v>116944</v>
      </c>
      <c r="J748" s="304" t="str">
        <f>CONCATENATE([2]Cover!$D$6,"fdd/view?i=",I748)</f>
        <v>https://www.dgiwg.org/FAD/fdd/view?i=116944</v>
      </c>
      <c r="K748" s="304" t="s">
        <v>34797</v>
      </c>
      <c r="L748" s="188">
        <v>321</v>
      </c>
      <c r="M748" s="179" t="s">
        <v>151</v>
      </c>
    </row>
    <row r="749" spans="1:13" ht="38.25">
      <c r="A749" s="313" t="str">
        <f t="shared" si="11"/>
        <v>AerialRefuelTankerChanCode_chan114Y</v>
      </c>
      <c r="B749" s="330"/>
      <c r="C749" s="334"/>
      <c r="D749" s="188" t="s">
        <v>13546</v>
      </c>
      <c r="E749" s="189" t="s">
        <v>13547</v>
      </c>
      <c r="F749" s="162" t="s">
        <v>14512</v>
      </c>
      <c r="G749" s="162" t="s">
        <v>13413</v>
      </c>
      <c r="H749" s="219"/>
      <c r="I749" s="169">
        <v>116945</v>
      </c>
      <c r="J749" s="304" t="str">
        <f>CONCATENATE([2]Cover!$D$6,"fdd/view?i=",I749)</f>
        <v>https://www.dgiwg.org/FAD/fdd/view?i=116945</v>
      </c>
      <c r="K749" s="304" t="s">
        <v>34798</v>
      </c>
      <c r="L749" s="188">
        <v>322</v>
      </c>
      <c r="M749" s="179" t="s">
        <v>151</v>
      </c>
    </row>
    <row r="750" spans="1:13" ht="38.25">
      <c r="A750" s="313" t="str">
        <f t="shared" si="11"/>
        <v>AerialRefuelTankerChanCode_chan114Z</v>
      </c>
      <c r="B750" s="330"/>
      <c r="C750" s="334"/>
      <c r="D750" s="188" t="s">
        <v>13549</v>
      </c>
      <c r="E750" s="189" t="s">
        <v>13550</v>
      </c>
      <c r="F750" s="162" t="s">
        <v>14513</v>
      </c>
      <c r="G750" s="162" t="s">
        <v>13413</v>
      </c>
      <c r="H750" s="219"/>
      <c r="I750" s="169">
        <v>116946</v>
      </c>
      <c r="J750" s="304" t="str">
        <f>CONCATENATE([2]Cover!$D$6,"fdd/view?i=",I750)</f>
        <v>https://www.dgiwg.org/FAD/fdd/view?i=116946</v>
      </c>
      <c r="K750" s="304" t="s">
        <v>34799</v>
      </c>
      <c r="L750" s="188">
        <v>323</v>
      </c>
      <c r="M750" s="179" t="s">
        <v>151</v>
      </c>
    </row>
    <row r="751" spans="1:13" ht="38.25">
      <c r="A751" s="313" t="str">
        <f t="shared" si="11"/>
        <v>AerialRefuelTankerChanCode_chan115X</v>
      </c>
      <c r="B751" s="330"/>
      <c r="C751" s="334"/>
      <c r="D751" s="188" t="s">
        <v>13552</v>
      </c>
      <c r="E751" s="189" t="s">
        <v>13553</v>
      </c>
      <c r="F751" s="162" t="s">
        <v>14514</v>
      </c>
      <c r="G751" s="162" t="s">
        <v>13413</v>
      </c>
      <c r="H751" s="219"/>
      <c r="I751" s="169">
        <v>116947</v>
      </c>
      <c r="J751" s="304" t="str">
        <f>CONCATENATE([2]Cover!$D$6,"fdd/view?i=",I751)</f>
        <v>https://www.dgiwg.org/FAD/fdd/view?i=116947</v>
      </c>
      <c r="K751" s="304" t="s">
        <v>34800</v>
      </c>
      <c r="L751" s="188">
        <v>324</v>
      </c>
      <c r="M751" s="179" t="s">
        <v>151</v>
      </c>
    </row>
    <row r="752" spans="1:13" ht="38.25">
      <c r="A752" s="313" t="str">
        <f t="shared" si="11"/>
        <v>AerialRefuelTankerChanCode_chan115Y</v>
      </c>
      <c r="B752" s="330"/>
      <c r="C752" s="334"/>
      <c r="D752" s="188" t="s">
        <v>13555</v>
      </c>
      <c r="E752" s="189" t="s">
        <v>13556</v>
      </c>
      <c r="F752" s="162" t="s">
        <v>14515</v>
      </c>
      <c r="G752" s="162" t="s">
        <v>13413</v>
      </c>
      <c r="H752" s="219"/>
      <c r="I752" s="169">
        <v>116948</v>
      </c>
      <c r="J752" s="304" t="str">
        <f>CONCATENATE([2]Cover!$D$6,"fdd/view?i=",I752)</f>
        <v>https://www.dgiwg.org/FAD/fdd/view?i=116948</v>
      </c>
      <c r="K752" s="304" t="s">
        <v>34801</v>
      </c>
      <c r="L752" s="188">
        <v>325</v>
      </c>
      <c r="M752" s="179" t="s">
        <v>151</v>
      </c>
    </row>
    <row r="753" spans="1:13" ht="38.25">
      <c r="A753" s="313" t="str">
        <f t="shared" si="11"/>
        <v>AerialRefuelTankerChanCode_chan115Z</v>
      </c>
      <c r="B753" s="330"/>
      <c r="C753" s="334"/>
      <c r="D753" s="188" t="s">
        <v>13558</v>
      </c>
      <c r="E753" s="189" t="s">
        <v>13559</v>
      </c>
      <c r="F753" s="162" t="s">
        <v>14516</v>
      </c>
      <c r="G753" s="162" t="s">
        <v>13413</v>
      </c>
      <c r="H753" s="219"/>
      <c r="I753" s="169">
        <v>116949</v>
      </c>
      <c r="J753" s="304" t="str">
        <f>CONCATENATE([2]Cover!$D$6,"fdd/view?i=",I753)</f>
        <v>https://www.dgiwg.org/FAD/fdd/view?i=116949</v>
      </c>
      <c r="K753" s="304" t="s">
        <v>34802</v>
      </c>
      <c r="L753" s="188">
        <v>326</v>
      </c>
      <c r="M753" s="179" t="s">
        <v>151</v>
      </c>
    </row>
    <row r="754" spans="1:13" ht="38.25">
      <c r="A754" s="313" t="str">
        <f t="shared" si="11"/>
        <v>AerialRefuelTankerChanCode_chan116X</v>
      </c>
      <c r="B754" s="330"/>
      <c r="C754" s="334"/>
      <c r="D754" s="188" t="s">
        <v>13561</v>
      </c>
      <c r="E754" s="189" t="s">
        <v>13562</v>
      </c>
      <c r="F754" s="162" t="s">
        <v>14517</v>
      </c>
      <c r="G754" s="162" t="s">
        <v>13413</v>
      </c>
      <c r="H754" s="219"/>
      <c r="I754" s="169">
        <v>116950</v>
      </c>
      <c r="J754" s="304" t="str">
        <f>CONCATENATE([2]Cover!$D$6,"fdd/view?i=",I754)</f>
        <v>https://www.dgiwg.org/FAD/fdd/view?i=116950</v>
      </c>
      <c r="K754" s="304" t="s">
        <v>34803</v>
      </c>
      <c r="L754" s="188">
        <v>327</v>
      </c>
      <c r="M754" s="179" t="s">
        <v>151</v>
      </c>
    </row>
    <row r="755" spans="1:13" ht="38.25">
      <c r="A755" s="313" t="str">
        <f t="shared" si="11"/>
        <v>AerialRefuelTankerChanCode_chan116Y</v>
      </c>
      <c r="B755" s="330"/>
      <c r="C755" s="334"/>
      <c r="D755" s="188" t="s">
        <v>13564</v>
      </c>
      <c r="E755" s="189" t="s">
        <v>13565</v>
      </c>
      <c r="F755" s="162" t="s">
        <v>14518</v>
      </c>
      <c r="G755" s="162" t="s">
        <v>13413</v>
      </c>
      <c r="H755" s="219"/>
      <c r="I755" s="169">
        <v>116951</v>
      </c>
      <c r="J755" s="304" t="str">
        <f>CONCATENATE([2]Cover!$D$6,"fdd/view?i=",I755)</f>
        <v>https://www.dgiwg.org/FAD/fdd/view?i=116951</v>
      </c>
      <c r="K755" s="304" t="s">
        <v>34804</v>
      </c>
      <c r="L755" s="188">
        <v>328</v>
      </c>
      <c r="M755" s="179" t="s">
        <v>151</v>
      </c>
    </row>
    <row r="756" spans="1:13" ht="38.25">
      <c r="A756" s="313" t="str">
        <f t="shared" si="11"/>
        <v>AerialRefuelTankerChanCode_chan116Z</v>
      </c>
      <c r="B756" s="330"/>
      <c r="C756" s="334"/>
      <c r="D756" s="188" t="s">
        <v>13567</v>
      </c>
      <c r="E756" s="189" t="s">
        <v>13568</v>
      </c>
      <c r="F756" s="162" t="s">
        <v>14519</v>
      </c>
      <c r="G756" s="162" t="s">
        <v>13413</v>
      </c>
      <c r="H756" s="219"/>
      <c r="I756" s="169">
        <v>116952</v>
      </c>
      <c r="J756" s="304" t="str">
        <f>CONCATENATE([2]Cover!$D$6,"fdd/view?i=",I756)</f>
        <v>https://www.dgiwg.org/FAD/fdd/view?i=116952</v>
      </c>
      <c r="K756" s="304" t="s">
        <v>34805</v>
      </c>
      <c r="L756" s="188">
        <v>329</v>
      </c>
      <c r="M756" s="179" t="s">
        <v>151</v>
      </c>
    </row>
    <row r="757" spans="1:13" ht="38.25">
      <c r="A757" s="313" t="str">
        <f t="shared" si="11"/>
        <v>AerialRefuelTankerChanCode_chan117X</v>
      </c>
      <c r="B757" s="330"/>
      <c r="C757" s="334"/>
      <c r="D757" s="188" t="s">
        <v>13570</v>
      </c>
      <c r="E757" s="189" t="s">
        <v>13571</v>
      </c>
      <c r="F757" s="162" t="s">
        <v>14520</v>
      </c>
      <c r="G757" s="162" t="s">
        <v>13413</v>
      </c>
      <c r="H757" s="219"/>
      <c r="I757" s="169">
        <v>116953</v>
      </c>
      <c r="J757" s="304" t="str">
        <f>CONCATENATE([2]Cover!$D$6,"fdd/view?i=",I757)</f>
        <v>https://www.dgiwg.org/FAD/fdd/view?i=116953</v>
      </c>
      <c r="K757" s="304" t="s">
        <v>34806</v>
      </c>
      <c r="L757" s="188">
        <v>330</v>
      </c>
      <c r="M757" s="179" t="s">
        <v>151</v>
      </c>
    </row>
    <row r="758" spans="1:13" ht="38.25">
      <c r="A758" s="313" t="str">
        <f t="shared" si="11"/>
        <v>AerialRefuelTankerChanCode_chan117Y</v>
      </c>
      <c r="B758" s="330"/>
      <c r="C758" s="334"/>
      <c r="D758" s="188" t="s">
        <v>13573</v>
      </c>
      <c r="E758" s="189" t="s">
        <v>13574</v>
      </c>
      <c r="F758" s="162" t="s">
        <v>14521</v>
      </c>
      <c r="G758" s="162" t="s">
        <v>13413</v>
      </c>
      <c r="H758" s="219"/>
      <c r="I758" s="169">
        <v>116954</v>
      </c>
      <c r="J758" s="304" t="str">
        <f>CONCATENATE([2]Cover!$D$6,"fdd/view?i=",I758)</f>
        <v>https://www.dgiwg.org/FAD/fdd/view?i=116954</v>
      </c>
      <c r="K758" s="304" t="s">
        <v>34807</v>
      </c>
      <c r="L758" s="188">
        <v>331</v>
      </c>
      <c r="M758" s="179" t="s">
        <v>151</v>
      </c>
    </row>
    <row r="759" spans="1:13" ht="38.25">
      <c r="A759" s="313" t="str">
        <f t="shared" si="11"/>
        <v>AerialRefuelTankerChanCode_chan117Z</v>
      </c>
      <c r="B759" s="330"/>
      <c r="C759" s="334"/>
      <c r="D759" s="188" t="s">
        <v>13576</v>
      </c>
      <c r="E759" s="189" t="s">
        <v>13577</v>
      </c>
      <c r="F759" s="162" t="s">
        <v>14522</v>
      </c>
      <c r="G759" s="162" t="s">
        <v>13413</v>
      </c>
      <c r="H759" s="219"/>
      <c r="I759" s="169">
        <v>116955</v>
      </c>
      <c r="J759" s="304" t="str">
        <f>CONCATENATE([2]Cover!$D$6,"fdd/view?i=",I759)</f>
        <v>https://www.dgiwg.org/FAD/fdd/view?i=116955</v>
      </c>
      <c r="K759" s="304" t="s">
        <v>34808</v>
      </c>
      <c r="L759" s="188">
        <v>332</v>
      </c>
      <c r="M759" s="179" t="s">
        <v>151</v>
      </c>
    </row>
    <row r="760" spans="1:13" ht="38.25">
      <c r="A760" s="313" t="str">
        <f t="shared" si="11"/>
        <v>AerialRefuelTankerChanCode_chan118X</v>
      </c>
      <c r="B760" s="330"/>
      <c r="C760" s="334"/>
      <c r="D760" s="188" t="s">
        <v>13579</v>
      </c>
      <c r="E760" s="189" t="s">
        <v>13580</v>
      </c>
      <c r="F760" s="162" t="s">
        <v>14523</v>
      </c>
      <c r="G760" s="162" t="s">
        <v>13413</v>
      </c>
      <c r="H760" s="219"/>
      <c r="I760" s="169">
        <v>116956</v>
      </c>
      <c r="J760" s="304" t="str">
        <f>CONCATENATE([2]Cover!$D$6,"fdd/view?i=",I760)</f>
        <v>https://www.dgiwg.org/FAD/fdd/view?i=116956</v>
      </c>
      <c r="K760" s="304" t="s">
        <v>34809</v>
      </c>
      <c r="L760" s="188">
        <v>333</v>
      </c>
      <c r="M760" s="179" t="s">
        <v>151</v>
      </c>
    </row>
    <row r="761" spans="1:13" ht="38.25">
      <c r="A761" s="313" t="str">
        <f t="shared" si="11"/>
        <v>AerialRefuelTankerChanCode_chan118Y</v>
      </c>
      <c r="B761" s="330"/>
      <c r="C761" s="334"/>
      <c r="D761" s="188" t="s">
        <v>13582</v>
      </c>
      <c r="E761" s="189" t="s">
        <v>13583</v>
      </c>
      <c r="F761" s="162" t="s">
        <v>14524</v>
      </c>
      <c r="G761" s="162" t="s">
        <v>13413</v>
      </c>
      <c r="H761" s="219"/>
      <c r="I761" s="169">
        <v>116957</v>
      </c>
      <c r="J761" s="304" t="str">
        <f>CONCATENATE([2]Cover!$D$6,"fdd/view?i=",I761)</f>
        <v>https://www.dgiwg.org/FAD/fdd/view?i=116957</v>
      </c>
      <c r="K761" s="304" t="s">
        <v>34810</v>
      </c>
      <c r="L761" s="188">
        <v>334</v>
      </c>
      <c r="M761" s="179" t="s">
        <v>151</v>
      </c>
    </row>
    <row r="762" spans="1:13" ht="38.25">
      <c r="A762" s="313" t="str">
        <f t="shared" si="11"/>
        <v>AerialRefuelTankerChanCode_chan118Z</v>
      </c>
      <c r="B762" s="330"/>
      <c r="C762" s="334"/>
      <c r="D762" s="188" t="s">
        <v>13585</v>
      </c>
      <c r="E762" s="189" t="s">
        <v>13586</v>
      </c>
      <c r="F762" s="162" t="s">
        <v>14525</v>
      </c>
      <c r="G762" s="162" t="s">
        <v>13413</v>
      </c>
      <c r="H762" s="219"/>
      <c r="I762" s="169">
        <v>116958</v>
      </c>
      <c r="J762" s="304" t="str">
        <f>CONCATENATE([2]Cover!$D$6,"fdd/view?i=",I762)</f>
        <v>https://www.dgiwg.org/FAD/fdd/view?i=116958</v>
      </c>
      <c r="K762" s="304" t="s">
        <v>34811</v>
      </c>
      <c r="L762" s="188">
        <v>335</v>
      </c>
      <c r="M762" s="179" t="s">
        <v>151</v>
      </c>
    </row>
    <row r="763" spans="1:13" ht="38.25">
      <c r="A763" s="313" t="str">
        <f t="shared" si="11"/>
        <v>AerialRefuelTankerChanCode_chan119X</v>
      </c>
      <c r="B763" s="330"/>
      <c r="C763" s="334"/>
      <c r="D763" s="188" t="s">
        <v>13588</v>
      </c>
      <c r="E763" s="189" t="s">
        <v>13589</v>
      </c>
      <c r="F763" s="162" t="s">
        <v>14526</v>
      </c>
      <c r="G763" s="162" t="s">
        <v>13413</v>
      </c>
      <c r="H763" s="219"/>
      <c r="I763" s="169">
        <v>116959</v>
      </c>
      <c r="J763" s="304" t="str">
        <f>CONCATENATE([2]Cover!$D$6,"fdd/view?i=",I763)</f>
        <v>https://www.dgiwg.org/FAD/fdd/view?i=116959</v>
      </c>
      <c r="K763" s="304" t="s">
        <v>34812</v>
      </c>
      <c r="L763" s="188">
        <v>336</v>
      </c>
      <c r="M763" s="179" t="s">
        <v>151</v>
      </c>
    </row>
    <row r="764" spans="1:13" ht="38.25">
      <c r="A764" s="313" t="str">
        <f t="shared" si="11"/>
        <v>AerialRefuelTankerChanCode_chan119Y</v>
      </c>
      <c r="B764" s="330"/>
      <c r="C764" s="334"/>
      <c r="D764" s="188" t="s">
        <v>13591</v>
      </c>
      <c r="E764" s="189" t="s">
        <v>13592</v>
      </c>
      <c r="F764" s="162" t="s">
        <v>14527</v>
      </c>
      <c r="G764" s="162" t="s">
        <v>13413</v>
      </c>
      <c r="H764" s="219"/>
      <c r="I764" s="169">
        <v>116960</v>
      </c>
      <c r="J764" s="304" t="str">
        <f>CONCATENATE([2]Cover!$D$6,"fdd/view?i=",I764)</f>
        <v>https://www.dgiwg.org/FAD/fdd/view?i=116960</v>
      </c>
      <c r="K764" s="304" t="s">
        <v>34813</v>
      </c>
      <c r="L764" s="188">
        <v>337</v>
      </c>
      <c r="M764" s="179" t="s">
        <v>151</v>
      </c>
    </row>
    <row r="765" spans="1:13" ht="38.25">
      <c r="A765" s="313" t="str">
        <f t="shared" si="11"/>
        <v>AerialRefuelTankerChanCode_chan119Z</v>
      </c>
      <c r="B765" s="330"/>
      <c r="C765" s="334"/>
      <c r="D765" s="188" t="s">
        <v>13594</v>
      </c>
      <c r="E765" s="189" t="s">
        <v>13595</v>
      </c>
      <c r="F765" s="162" t="s">
        <v>14528</v>
      </c>
      <c r="G765" s="162" t="s">
        <v>13413</v>
      </c>
      <c r="H765" s="219"/>
      <c r="I765" s="169">
        <v>116961</v>
      </c>
      <c r="J765" s="304" t="str">
        <f>CONCATENATE([2]Cover!$D$6,"fdd/view?i=",I765)</f>
        <v>https://www.dgiwg.org/FAD/fdd/view?i=116961</v>
      </c>
      <c r="K765" s="304" t="s">
        <v>34814</v>
      </c>
      <c r="L765" s="188">
        <v>338</v>
      </c>
      <c r="M765" s="179" t="s">
        <v>151</v>
      </c>
    </row>
    <row r="766" spans="1:13" ht="38.25">
      <c r="A766" s="313" t="str">
        <f t="shared" si="11"/>
        <v>AerialRefuelTankerChanCode_chan120X</v>
      </c>
      <c r="B766" s="330"/>
      <c r="C766" s="334"/>
      <c r="D766" s="188" t="s">
        <v>13603</v>
      </c>
      <c r="E766" s="189" t="s">
        <v>13604</v>
      </c>
      <c r="F766" s="162" t="s">
        <v>14531</v>
      </c>
      <c r="G766" s="162" t="s">
        <v>13413</v>
      </c>
      <c r="H766" s="219"/>
      <c r="I766" s="169">
        <v>116962</v>
      </c>
      <c r="J766" s="304" t="str">
        <f>CONCATENATE([2]Cover!$D$6,"fdd/view?i=",I766)</f>
        <v>https://www.dgiwg.org/FAD/fdd/view?i=116962</v>
      </c>
      <c r="K766" s="304" t="s">
        <v>34815</v>
      </c>
      <c r="L766" s="188">
        <v>339</v>
      </c>
      <c r="M766" s="179" t="s">
        <v>151</v>
      </c>
    </row>
    <row r="767" spans="1:13" ht="38.25">
      <c r="A767" s="313" t="str">
        <f t="shared" si="11"/>
        <v>AerialRefuelTankerChanCode_chan120Y</v>
      </c>
      <c r="B767" s="330"/>
      <c r="C767" s="334"/>
      <c r="D767" s="188" t="s">
        <v>13606</v>
      </c>
      <c r="E767" s="189" t="s">
        <v>13607</v>
      </c>
      <c r="F767" s="162" t="s">
        <v>14532</v>
      </c>
      <c r="G767" s="162" t="s">
        <v>13413</v>
      </c>
      <c r="H767" s="219"/>
      <c r="I767" s="169">
        <v>116963</v>
      </c>
      <c r="J767" s="304" t="str">
        <f>CONCATENATE([2]Cover!$D$6,"fdd/view?i=",I767)</f>
        <v>https://www.dgiwg.org/FAD/fdd/view?i=116963</v>
      </c>
      <c r="K767" s="304" t="s">
        <v>34816</v>
      </c>
      <c r="L767" s="188">
        <v>340</v>
      </c>
      <c r="M767" s="179" t="s">
        <v>151</v>
      </c>
    </row>
    <row r="768" spans="1:13" ht="38.25">
      <c r="A768" s="313" t="str">
        <f t="shared" si="11"/>
        <v>AerialRefuelTankerChanCode_chan121X</v>
      </c>
      <c r="B768" s="330"/>
      <c r="C768" s="334"/>
      <c r="D768" s="188" t="s">
        <v>13609</v>
      </c>
      <c r="E768" s="189" t="s">
        <v>13610</v>
      </c>
      <c r="F768" s="162" t="s">
        <v>14533</v>
      </c>
      <c r="G768" s="162" t="s">
        <v>13413</v>
      </c>
      <c r="H768" s="219"/>
      <c r="I768" s="169">
        <v>116964</v>
      </c>
      <c r="J768" s="304" t="str">
        <f>CONCATENATE([2]Cover!$D$6,"fdd/view?i=",I768)</f>
        <v>https://www.dgiwg.org/FAD/fdd/view?i=116964</v>
      </c>
      <c r="K768" s="304" t="s">
        <v>34817</v>
      </c>
      <c r="L768" s="188">
        <v>341</v>
      </c>
      <c r="M768" s="179" t="s">
        <v>151</v>
      </c>
    </row>
    <row r="769" spans="1:13" ht="38.25">
      <c r="A769" s="313" t="str">
        <f t="shared" si="11"/>
        <v>AerialRefuelTankerChanCode_chan121Y</v>
      </c>
      <c r="B769" s="330"/>
      <c r="C769" s="334"/>
      <c r="D769" s="188" t="s">
        <v>13612</v>
      </c>
      <c r="E769" s="189" t="s">
        <v>13613</v>
      </c>
      <c r="F769" s="162" t="s">
        <v>14534</v>
      </c>
      <c r="G769" s="162" t="s">
        <v>13413</v>
      </c>
      <c r="H769" s="219"/>
      <c r="I769" s="169">
        <v>116965</v>
      </c>
      <c r="J769" s="304" t="str">
        <f>CONCATENATE([2]Cover!$D$6,"fdd/view?i=",I769)</f>
        <v>https://www.dgiwg.org/FAD/fdd/view?i=116965</v>
      </c>
      <c r="K769" s="304" t="s">
        <v>34818</v>
      </c>
      <c r="L769" s="188">
        <v>342</v>
      </c>
      <c r="M769" s="179" t="s">
        <v>151</v>
      </c>
    </row>
    <row r="770" spans="1:13" ht="38.25">
      <c r="A770" s="313" t="str">
        <f t="shared" si="11"/>
        <v>AerialRefuelTankerChanCode_chan122X</v>
      </c>
      <c r="B770" s="330"/>
      <c r="C770" s="334"/>
      <c r="D770" s="188" t="s">
        <v>13615</v>
      </c>
      <c r="E770" s="189" t="s">
        <v>13616</v>
      </c>
      <c r="F770" s="162" t="s">
        <v>14535</v>
      </c>
      <c r="G770" s="162" t="s">
        <v>13413</v>
      </c>
      <c r="H770" s="219"/>
      <c r="I770" s="169">
        <v>116966</v>
      </c>
      <c r="J770" s="304" t="str">
        <f>CONCATENATE([2]Cover!$D$6,"fdd/view?i=",I770)</f>
        <v>https://www.dgiwg.org/FAD/fdd/view?i=116966</v>
      </c>
      <c r="K770" s="304" t="s">
        <v>34819</v>
      </c>
      <c r="L770" s="188">
        <v>343</v>
      </c>
      <c r="M770" s="179" t="s">
        <v>151</v>
      </c>
    </row>
    <row r="771" spans="1:13" ht="38.25">
      <c r="A771" s="313" t="str">
        <f t="shared" ref="A771:A834" si="12">HYPERLINK(J771,K771)</f>
        <v>AerialRefuelTankerChanCode_chan122Y</v>
      </c>
      <c r="B771" s="330"/>
      <c r="C771" s="334"/>
      <c r="D771" s="188" t="s">
        <v>13618</v>
      </c>
      <c r="E771" s="189" t="s">
        <v>13619</v>
      </c>
      <c r="F771" s="162" t="s">
        <v>14536</v>
      </c>
      <c r="G771" s="162" t="s">
        <v>13413</v>
      </c>
      <c r="H771" s="219"/>
      <c r="I771" s="169">
        <v>116967</v>
      </c>
      <c r="J771" s="304" t="str">
        <f>CONCATENATE([2]Cover!$D$6,"fdd/view?i=",I771)</f>
        <v>https://www.dgiwg.org/FAD/fdd/view?i=116967</v>
      </c>
      <c r="K771" s="304" t="s">
        <v>34820</v>
      </c>
      <c r="L771" s="188">
        <v>344</v>
      </c>
      <c r="M771" s="179" t="s">
        <v>151</v>
      </c>
    </row>
    <row r="772" spans="1:13" ht="38.25">
      <c r="A772" s="313" t="str">
        <f t="shared" si="12"/>
        <v>AerialRefuelTankerChanCode_chan123X</v>
      </c>
      <c r="B772" s="330"/>
      <c r="C772" s="334"/>
      <c r="D772" s="188" t="s">
        <v>13621</v>
      </c>
      <c r="E772" s="189" t="s">
        <v>13622</v>
      </c>
      <c r="F772" s="162" t="s">
        <v>14537</v>
      </c>
      <c r="G772" s="162" t="s">
        <v>13413</v>
      </c>
      <c r="H772" s="219"/>
      <c r="I772" s="169">
        <v>116968</v>
      </c>
      <c r="J772" s="304" t="str">
        <f>CONCATENATE([2]Cover!$D$6,"fdd/view?i=",I772)</f>
        <v>https://www.dgiwg.org/FAD/fdd/view?i=116968</v>
      </c>
      <c r="K772" s="304" t="s">
        <v>34821</v>
      </c>
      <c r="L772" s="188">
        <v>345</v>
      </c>
      <c r="M772" s="179" t="s">
        <v>151</v>
      </c>
    </row>
    <row r="773" spans="1:13" ht="38.25">
      <c r="A773" s="313" t="str">
        <f t="shared" si="12"/>
        <v>AerialRefuelTankerChanCode_chan123Y</v>
      </c>
      <c r="B773" s="330"/>
      <c r="C773" s="334"/>
      <c r="D773" s="188" t="s">
        <v>13624</v>
      </c>
      <c r="E773" s="189" t="s">
        <v>13625</v>
      </c>
      <c r="F773" s="162" t="s">
        <v>14538</v>
      </c>
      <c r="G773" s="162" t="s">
        <v>13413</v>
      </c>
      <c r="H773" s="219"/>
      <c r="I773" s="169">
        <v>116969</v>
      </c>
      <c r="J773" s="304" t="str">
        <f>CONCATENATE([2]Cover!$D$6,"fdd/view?i=",I773)</f>
        <v>https://www.dgiwg.org/FAD/fdd/view?i=116969</v>
      </c>
      <c r="K773" s="304" t="s">
        <v>34822</v>
      </c>
      <c r="L773" s="188">
        <v>346</v>
      </c>
      <c r="M773" s="179" t="s">
        <v>151</v>
      </c>
    </row>
    <row r="774" spans="1:13" ht="38.25">
      <c r="A774" s="313" t="str">
        <f t="shared" si="12"/>
        <v>AerialRefuelTankerChanCode_chan124X</v>
      </c>
      <c r="B774" s="330"/>
      <c r="C774" s="334"/>
      <c r="D774" s="188" t="s">
        <v>13627</v>
      </c>
      <c r="E774" s="189" t="s">
        <v>13628</v>
      </c>
      <c r="F774" s="162" t="s">
        <v>14539</v>
      </c>
      <c r="G774" s="162" t="s">
        <v>13413</v>
      </c>
      <c r="H774" s="219"/>
      <c r="I774" s="169">
        <v>116970</v>
      </c>
      <c r="J774" s="304" t="str">
        <f>CONCATENATE([2]Cover!$D$6,"fdd/view?i=",I774)</f>
        <v>https://www.dgiwg.org/FAD/fdd/view?i=116970</v>
      </c>
      <c r="K774" s="304" t="s">
        <v>34823</v>
      </c>
      <c r="L774" s="188">
        <v>347</v>
      </c>
      <c r="M774" s="179" t="s">
        <v>151</v>
      </c>
    </row>
    <row r="775" spans="1:13" ht="38.25">
      <c r="A775" s="313" t="str">
        <f t="shared" si="12"/>
        <v>AerialRefuelTankerChanCode_chan124Y</v>
      </c>
      <c r="B775" s="330"/>
      <c r="C775" s="334"/>
      <c r="D775" s="188" t="s">
        <v>13630</v>
      </c>
      <c r="E775" s="189" t="s">
        <v>13631</v>
      </c>
      <c r="F775" s="162" t="s">
        <v>14540</v>
      </c>
      <c r="G775" s="162" t="s">
        <v>13413</v>
      </c>
      <c r="H775" s="219"/>
      <c r="I775" s="169">
        <v>116971</v>
      </c>
      <c r="J775" s="304" t="str">
        <f>CONCATENATE([2]Cover!$D$6,"fdd/view?i=",I775)</f>
        <v>https://www.dgiwg.org/FAD/fdd/view?i=116971</v>
      </c>
      <c r="K775" s="304" t="s">
        <v>34824</v>
      </c>
      <c r="L775" s="188">
        <v>348</v>
      </c>
      <c r="M775" s="179" t="s">
        <v>151</v>
      </c>
    </row>
    <row r="776" spans="1:13" ht="38.25">
      <c r="A776" s="313" t="str">
        <f t="shared" si="12"/>
        <v>AerialRefuelTankerChanCode_chan125X</v>
      </c>
      <c r="B776" s="330"/>
      <c r="C776" s="334"/>
      <c r="D776" s="188" t="s">
        <v>13633</v>
      </c>
      <c r="E776" s="189" t="s">
        <v>13634</v>
      </c>
      <c r="F776" s="162" t="s">
        <v>14541</v>
      </c>
      <c r="G776" s="162" t="s">
        <v>13413</v>
      </c>
      <c r="H776" s="219"/>
      <c r="I776" s="169">
        <v>116972</v>
      </c>
      <c r="J776" s="304" t="str">
        <f>CONCATENATE([2]Cover!$D$6,"fdd/view?i=",I776)</f>
        <v>https://www.dgiwg.org/FAD/fdd/view?i=116972</v>
      </c>
      <c r="K776" s="304" t="s">
        <v>34825</v>
      </c>
      <c r="L776" s="188">
        <v>349</v>
      </c>
      <c r="M776" s="179" t="s">
        <v>151</v>
      </c>
    </row>
    <row r="777" spans="1:13" ht="38.25">
      <c r="A777" s="313" t="str">
        <f t="shared" si="12"/>
        <v>AerialRefuelTankerChanCode_chan125Y</v>
      </c>
      <c r="B777" s="330"/>
      <c r="C777" s="334"/>
      <c r="D777" s="188" t="s">
        <v>13636</v>
      </c>
      <c r="E777" s="189" t="s">
        <v>13637</v>
      </c>
      <c r="F777" s="162" t="s">
        <v>14542</v>
      </c>
      <c r="G777" s="162" t="s">
        <v>13413</v>
      </c>
      <c r="H777" s="219"/>
      <c r="I777" s="169">
        <v>116973</v>
      </c>
      <c r="J777" s="304" t="str">
        <f>CONCATENATE([2]Cover!$D$6,"fdd/view?i=",I777)</f>
        <v>https://www.dgiwg.org/FAD/fdd/view?i=116973</v>
      </c>
      <c r="K777" s="304" t="s">
        <v>34826</v>
      </c>
      <c r="L777" s="188">
        <v>350</v>
      </c>
      <c r="M777" s="179" t="s">
        <v>151</v>
      </c>
    </row>
    <row r="778" spans="1:13" ht="38.25">
      <c r="A778" s="313" t="str">
        <f t="shared" si="12"/>
        <v>AerialRefuelTankerChanCode_chan126X</v>
      </c>
      <c r="B778" s="330"/>
      <c r="C778" s="334"/>
      <c r="D778" s="188" t="s">
        <v>13639</v>
      </c>
      <c r="E778" s="189" t="s">
        <v>13640</v>
      </c>
      <c r="F778" s="162" t="s">
        <v>14543</v>
      </c>
      <c r="G778" s="162" t="s">
        <v>13413</v>
      </c>
      <c r="H778" s="219"/>
      <c r="I778" s="169">
        <v>116974</v>
      </c>
      <c r="J778" s="304" t="str">
        <f>CONCATENATE([2]Cover!$D$6,"fdd/view?i=",I778)</f>
        <v>https://www.dgiwg.org/FAD/fdd/view?i=116974</v>
      </c>
      <c r="K778" s="304" t="s">
        <v>34827</v>
      </c>
      <c r="L778" s="188">
        <v>351</v>
      </c>
      <c r="M778" s="179" t="s">
        <v>151</v>
      </c>
    </row>
    <row r="779" spans="1:13" ht="38.25">
      <c r="A779" s="313" t="str">
        <f t="shared" si="12"/>
        <v>AerialRefuelTankerChanCode_chan126Y</v>
      </c>
      <c r="B779" s="331"/>
      <c r="C779" s="335"/>
      <c r="D779" s="181" t="s">
        <v>13642</v>
      </c>
      <c r="E779" s="192" t="s">
        <v>13643</v>
      </c>
      <c r="F779" s="193" t="s">
        <v>14544</v>
      </c>
      <c r="G779" s="193" t="s">
        <v>13413</v>
      </c>
      <c r="H779" s="220"/>
      <c r="I779" s="169">
        <v>116975</v>
      </c>
      <c r="J779" s="304" t="str">
        <f>CONCATENATE([2]Cover!$D$6,"fdd/view?i=",I779)</f>
        <v>https://www.dgiwg.org/FAD/fdd/view?i=116975</v>
      </c>
      <c r="K779" s="304" t="s">
        <v>34828</v>
      </c>
      <c r="L779" s="181">
        <v>352</v>
      </c>
      <c r="M779" s="179" t="s">
        <v>151</v>
      </c>
    </row>
    <row r="780" spans="1:13" ht="38.25">
      <c r="A780" s="313" t="str">
        <f t="shared" si="12"/>
        <v>AerodromeAppLightSysTypeCode_airForceOverrun</v>
      </c>
      <c r="B780" s="332" t="str">
        <f>HYPERLINK("[#]Datatypes!A28:L28","AerodromeAppLightSysTypeCode")</f>
        <v>AerodromeAppLightSysTypeCode</v>
      </c>
      <c r="C780" s="333" t="s">
        <v>11458</v>
      </c>
      <c r="D780" s="202" t="s">
        <v>14819</v>
      </c>
      <c r="E780" s="203" t="s">
        <v>14820</v>
      </c>
      <c r="F780" s="204" t="s">
        <v>14821</v>
      </c>
      <c r="G780" s="205"/>
      <c r="H780" s="218"/>
      <c r="I780" s="169">
        <v>116598</v>
      </c>
      <c r="J780" s="304" t="str">
        <f>CONCATENATE([2]Cover!$D$6,"fdd/view?i=",I780)</f>
        <v>https://www.dgiwg.org/FAD/fdd/view?i=116598</v>
      </c>
      <c r="K780" s="304" t="s">
        <v>34829</v>
      </c>
      <c r="L780" s="202">
        <v>17</v>
      </c>
      <c r="M780" s="179" t="s">
        <v>151</v>
      </c>
    </row>
    <row r="781" spans="1:13" ht="51">
      <c r="A781" s="313" t="str">
        <f t="shared" si="12"/>
        <v>AerodromeAppLightSysTypeCode_alsfType1</v>
      </c>
      <c r="B781" s="330"/>
      <c r="C781" s="334"/>
      <c r="D781" s="188" t="s">
        <v>14822</v>
      </c>
      <c r="E781" s="189" t="s">
        <v>14823</v>
      </c>
      <c r="F781" s="162" t="s">
        <v>14824</v>
      </c>
      <c r="G781" s="162" t="s">
        <v>14825</v>
      </c>
      <c r="H781" s="219"/>
      <c r="I781" s="169">
        <v>116582</v>
      </c>
      <c r="J781" s="304" t="str">
        <f>CONCATENATE([2]Cover!$D$6,"fdd/view?i=",I781)</f>
        <v>https://www.dgiwg.org/FAD/fdd/view?i=116582</v>
      </c>
      <c r="K781" s="304" t="s">
        <v>34830</v>
      </c>
      <c r="L781" s="188">
        <v>1</v>
      </c>
      <c r="M781" s="179" t="s">
        <v>151</v>
      </c>
    </row>
    <row r="782" spans="1:13" ht="140.25">
      <c r="A782" s="313" t="str">
        <f t="shared" si="12"/>
        <v>AerodromeAppLightSysTypeCode_alsfType2</v>
      </c>
      <c r="B782" s="330"/>
      <c r="C782" s="334"/>
      <c r="D782" s="188" t="s">
        <v>14826</v>
      </c>
      <c r="E782" s="189" t="s">
        <v>14827</v>
      </c>
      <c r="F782" s="162" t="s">
        <v>14828</v>
      </c>
      <c r="G782" s="162" t="s">
        <v>14829</v>
      </c>
      <c r="H782" s="219"/>
      <c r="I782" s="169">
        <v>116585</v>
      </c>
      <c r="J782" s="304" t="str">
        <f>CONCATENATE([2]Cover!$D$6,"fdd/view?i=",I782)</f>
        <v>https://www.dgiwg.org/FAD/fdd/view?i=116585</v>
      </c>
      <c r="K782" s="304" t="s">
        <v>34831</v>
      </c>
      <c r="L782" s="188">
        <v>4</v>
      </c>
      <c r="M782" s="179" t="s">
        <v>151</v>
      </c>
    </row>
    <row r="783" spans="1:13" ht="102">
      <c r="A783" s="313" t="str">
        <f t="shared" si="12"/>
        <v>AerodromeAppLightSysTypeCode_calvertBritish</v>
      </c>
      <c r="B783" s="330"/>
      <c r="C783" s="334"/>
      <c r="D783" s="188" t="s">
        <v>14830</v>
      </c>
      <c r="E783" s="189" t="s">
        <v>14831</v>
      </c>
      <c r="F783" s="162" t="s">
        <v>14832</v>
      </c>
      <c r="G783" s="162" t="s">
        <v>14833</v>
      </c>
      <c r="H783" s="219"/>
      <c r="I783" s="169">
        <v>116591</v>
      </c>
      <c r="J783" s="304" t="str">
        <f>CONCATENATE([2]Cover!$D$6,"fdd/view?i=",I783)</f>
        <v>https://www.dgiwg.org/FAD/fdd/view?i=116591</v>
      </c>
      <c r="K783" s="304" t="s">
        <v>34832</v>
      </c>
      <c r="L783" s="188">
        <v>10</v>
      </c>
      <c r="M783" s="179" t="s">
        <v>151</v>
      </c>
    </row>
    <row r="784" spans="1:13" ht="38.25">
      <c r="A784" s="313" t="str">
        <f t="shared" si="12"/>
        <v>AerodromeAppLightSysTypeCode_cross</v>
      </c>
      <c r="B784" s="330"/>
      <c r="C784" s="334"/>
      <c r="D784" s="188" t="s">
        <v>14834</v>
      </c>
      <c r="E784" s="189" t="s">
        <v>14835</v>
      </c>
      <c r="F784" s="162" t="s">
        <v>14836</v>
      </c>
      <c r="G784" s="190"/>
      <c r="H784" s="219"/>
      <c r="I784" s="169">
        <v>116604</v>
      </c>
      <c r="J784" s="304" t="str">
        <f>CONCATENATE([2]Cover!$D$6,"fdd/view?i=",I784)</f>
        <v>https://www.dgiwg.org/FAD/fdd/view?i=116604</v>
      </c>
      <c r="K784" s="304" t="s">
        <v>34833</v>
      </c>
      <c r="L784" s="188">
        <v>23</v>
      </c>
      <c r="M784" s="179" t="s">
        <v>151</v>
      </c>
    </row>
    <row r="785" spans="1:13" ht="127.5">
      <c r="A785" s="313" t="str">
        <f t="shared" si="12"/>
        <v>AerodromeAppLightSysTypeCode_formerNatoStandard</v>
      </c>
      <c r="B785" s="330"/>
      <c r="C785" s="334"/>
      <c r="D785" s="188" t="s">
        <v>14837</v>
      </c>
      <c r="E785" s="189" t="s">
        <v>14838</v>
      </c>
      <c r="F785" s="162" t="s">
        <v>14839</v>
      </c>
      <c r="G785" s="162" t="s">
        <v>14840</v>
      </c>
      <c r="H785" s="219"/>
      <c r="I785" s="169">
        <v>116599</v>
      </c>
      <c r="J785" s="304" t="str">
        <f>CONCATENATE([2]Cover!$D$6,"fdd/view?i=",I785)</f>
        <v>https://www.dgiwg.org/FAD/fdd/view?i=116599</v>
      </c>
      <c r="K785" s="304" t="s">
        <v>34834</v>
      </c>
      <c r="L785" s="188">
        <v>18</v>
      </c>
      <c r="M785" s="179" t="s">
        <v>151</v>
      </c>
    </row>
    <row r="786" spans="1:13" ht="76.5">
      <c r="A786" s="313" t="str">
        <f t="shared" si="12"/>
        <v>AerodromeAppLightSysTypeCode_hialCategory1</v>
      </c>
      <c r="B786" s="330"/>
      <c r="C786" s="334"/>
      <c r="D786" s="188" t="s">
        <v>14841</v>
      </c>
      <c r="E786" s="189" t="s">
        <v>14842</v>
      </c>
      <c r="F786" s="162" t="s">
        <v>14843</v>
      </c>
      <c r="G786" s="162" t="s">
        <v>14844</v>
      </c>
      <c r="H786" s="221" t="s">
        <v>14845</v>
      </c>
      <c r="I786" s="169">
        <v>116595</v>
      </c>
      <c r="J786" s="304" t="str">
        <f>CONCATENATE([2]Cover!$D$6,"fdd/view?i=",I786)</f>
        <v>https://www.dgiwg.org/FAD/fdd/view?i=116595</v>
      </c>
      <c r="K786" s="304" t="s">
        <v>34835</v>
      </c>
      <c r="L786" s="188">
        <v>14</v>
      </c>
      <c r="M786" s="179" t="s">
        <v>151</v>
      </c>
    </row>
    <row r="787" spans="1:13" ht="76.5">
      <c r="A787" s="313" t="str">
        <f t="shared" si="12"/>
        <v>AerodromeAppLightSysTypeCode_hialCategory2</v>
      </c>
      <c r="B787" s="330"/>
      <c r="C787" s="334"/>
      <c r="D787" s="188" t="s">
        <v>14846</v>
      </c>
      <c r="E787" s="189" t="s">
        <v>14847</v>
      </c>
      <c r="F787" s="162" t="s">
        <v>14848</v>
      </c>
      <c r="G787" s="162" t="s">
        <v>14849</v>
      </c>
      <c r="H787" s="221" t="s">
        <v>14850</v>
      </c>
      <c r="I787" s="169">
        <v>116596</v>
      </c>
      <c r="J787" s="304" t="str">
        <f>CONCATENATE([2]Cover!$D$6,"fdd/view?i=",I787)</f>
        <v>https://www.dgiwg.org/FAD/fdd/view?i=116596</v>
      </c>
      <c r="K787" s="304" t="s">
        <v>34836</v>
      </c>
      <c r="L787" s="188">
        <v>15</v>
      </c>
      <c r="M787" s="179" t="s">
        <v>151</v>
      </c>
    </row>
    <row r="788" spans="1:13" ht="63.75">
      <c r="A788" s="313" t="str">
        <f t="shared" si="12"/>
        <v>AerodromeAppLightSysTypeCode_leadInLightSystem</v>
      </c>
      <c r="B788" s="330"/>
      <c r="C788" s="334"/>
      <c r="D788" s="188" t="s">
        <v>14851</v>
      </c>
      <c r="E788" s="189" t="s">
        <v>14852</v>
      </c>
      <c r="F788" s="162" t="s">
        <v>14853</v>
      </c>
      <c r="G788" s="190"/>
      <c r="H788" s="219"/>
      <c r="I788" s="169">
        <v>116597</v>
      </c>
      <c r="J788" s="304" t="str">
        <f>CONCATENATE([2]Cover!$D$6,"fdd/view?i=",I788)</f>
        <v>https://www.dgiwg.org/FAD/fdd/view?i=116597</v>
      </c>
      <c r="K788" s="304" t="s">
        <v>34837</v>
      </c>
      <c r="L788" s="188">
        <v>16</v>
      </c>
      <c r="M788" s="179" t="s">
        <v>151</v>
      </c>
    </row>
    <row r="789" spans="1:13" ht="51">
      <c r="A789" s="313" t="str">
        <f t="shared" si="12"/>
        <v>AerodromeAppLightSysTypeCode_leftSingleRow</v>
      </c>
      <c r="B789" s="330"/>
      <c r="C789" s="334"/>
      <c r="D789" s="188" t="s">
        <v>14854</v>
      </c>
      <c r="E789" s="189" t="s">
        <v>14855</v>
      </c>
      <c r="F789" s="162" t="s">
        <v>14856</v>
      </c>
      <c r="G789" s="190"/>
      <c r="H789" s="219"/>
      <c r="I789" s="169">
        <v>116601</v>
      </c>
      <c r="J789" s="304" t="str">
        <f>CONCATENATE([2]Cover!$D$6,"fdd/view?i=",I789)</f>
        <v>https://www.dgiwg.org/FAD/fdd/view?i=116601</v>
      </c>
      <c r="K789" s="304" t="s">
        <v>34838</v>
      </c>
      <c r="L789" s="188">
        <v>20</v>
      </c>
      <c r="M789" s="179" t="s">
        <v>151</v>
      </c>
    </row>
    <row r="790" spans="1:13" ht="63.75">
      <c r="A790" s="313" t="str">
        <f t="shared" si="12"/>
        <v>AerodromeAppLightSysTypeCode_lowApproachLightSystem</v>
      </c>
      <c r="B790" s="330"/>
      <c r="C790" s="334"/>
      <c r="D790" s="188" t="s">
        <v>14857</v>
      </c>
      <c r="E790" s="189" t="s">
        <v>14858</v>
      </c>
      <c r="F790" s="162" t="s">
        <v>14859</v>
      </c>
      <c r="G790" s="162" t="s">
        <v>14860</v>
      </c>
      <c r="H790" s="219"/>
      <c r="I790" s="169">
        <v>116594</v>
      </c>
      <c r="J790" s="304" t="str">
        <f>CONCATENATE([2]Cover!$D$6,"fdd/view?i=",I790)</f>
        <v>https://www.dgiwg.org/FAD/fdd/view?i=116594</v>
      </c>
      <c r="K790" s="304" t="s">
        <v>34839</v>
      </c>
      <c r="L790" s="188">
        <v>13</v>
      </c>
      <c r="M790" s="179" t="s">
        <v>151</v>
      </c>
    </row>
    <row r="791" spans="1:13" ht="63.75">
      <c r="A791" s="313" t="str">
        <f t="shared" si="12"/>
        <v>AerodromeAppLightSysTypeCode_malsWithRunwayAlignInd</v>
      </c>
      <c r="B791" s="330"/>
      <c r="C791" s="334"/>
      <c r="D791" s="188" t="s">
        <v>14865</v>
      </c>
      <c r="E791" s="189" t="s">
        <v>14866</v>
      </c>
      <c r="F791" s="162" t="s">
        <v>14867</v>
      </c>
      <c r="G791" s="162" t="s">
        <v>14868</v>
      </c>
      <c r="H791" s="219"/>
      <c r="I791" s="169">
        <v>116587</v>
      </c>
      <c r="J791" s="304" t="str">
        <f>CONCATENATE([2]Cover!$D$6,"fdd/view?i=",I791)</f>
        <v>https://www.dgiwg.org/FAD/fdd/view?i=116587</v>
      </c>
      <c r="K791" s="304" t="s">
        <v>34840</v>
      </c>
      <c r="L791" s="188">
        <v>6</v>
      </c>
      <c r="M791" s="179" t="s">
        <v>151</v>
      </c>
    </row>
    <row r="792" spans="1:13" ht="63.75">
      <c r="A792" s="313" t="str">
        <f t="shared" si="12"/>
        <v>AerodromeAppLightSysTypeCode_malsWithSeqFlashingLights</v>
      </c>
      <c r="B792" s="330"/>
      <c r="C792" s="334"/>
      <c r="D792" s="188" t="s">
        <v>14869</v>
      </c>
      <c r="E792" s="189" t="s">
        <v>14870</v>
      </c>
      <c r="F792" s="162" t="s">
        <v>14871</v>
      </c>
      <c r="G792" s="162" t="s">
        <v>14864</v>
      </c>
      <c r="H792" s="219"/>
      <c r="I792" s="169">
        <v>116588</v>
      </c>
      <c r="J792" s="304" t="str">
        <f>CONCATENATE([2]Cover!$D$6,"fdd/view?i=",I792)</f>
        <v>https://www.dgiwg.org/FAD/fdd/view?i=116588</v>
      </c>
      <c r="K792" s="304" t="s">
        <v>34841</v>
      </c>
      <c r="L792" s="188">
        <v>7</v>
      </c>
      <c r="M792" s="179" t="s">
        <v>151</v>
      </c>
    </row>
    <row r="793" spans="1:13" ht="51">
      <c r="A793" s="313" t="str">
        <f t="shared" si="12"/>
        <v>AerodromeAppLightSysTypeCode_mediumApproachLightSystem</v>
      </c>
      <c r="B793" s="330"/>
      <c r="C793" s="334"/>
      <c r="D793" s="188" t="s">
        <v>14861</v>
      </c>
      <c r="E793" s="189" t="s">
        <v>14862</v>
      </c>
      <c r="F793" s="162" t="s">
        <v>14863</v>
      </c>
      <c r="G793" s="162" t="s">
        <v>14864</v>
      </c>
      <c r="H793" s="219"/>
      <c r="I793" s="169">
        <v>116593</v>
      </c>
      <c r="J793" s="304" t="str">
        <f>CONCATENATE([2]Cover!$D$6,"fdd/view?i=",I793)</f>
        <v>https://www.dgiwg.org/FAD/fdd/view?i=116593</v>
      </c>
      <c r="K793" s="304" t="s">
        <v>34842</v>
      </c>
      <c r="L793" s="188">
        <v>12</v>
      </c>
      <c r="M793" s="179" t="s">
        <v>151</v>
      </c>
    </row>
    <row r="794" spans="1:13" ht="38.25">
      <c r="A794" s="313" t="str">
        <f t="shared" si="12"/>
        <v>AerodromeAppLightSysTypeCode_narrowMultiCross</v>
      </c>
      <c r="B794" s="330"/>
      <c r="C794" s="334"/>
      <c r="D794" s="188" t="s">
        <v>14872</v>
      </c>
      <c r="E794" s="189" t="s">
        <v>14873</v>
      </c>
      <c r="F794" s="162" t="s">
        <v>14874</v>
      </c>
      <c r="G794" s="190"/>
      <c r="H794" s="219"/>
      <c r="I794" s="169">
        <v>116603</v>
      </c>
      <c r="J794" s="304" t="str">
        <f>CONCATENATE([2]Cover!$D$6,"fdd/view?i=",I794)</f>
        <v>https://www.dgiwg.org/FAD/fdd/view?i=116603</v>
      </c>
      <c r="K794" s="304" t="s">
        <v>34843</v>
      </c>
      <c r="L794" s="188">
        <v>22</v>
      </c>
      <c r="M794" s="179" t="s">
        <v>151</v>
      </c>
    </row>
    <row r="795" spans="1:13" ht="89.25">
      <c r="A795" s="313" t="str">
        <f t="shared" si="12"/>
        <v>AerodromeAppLightSysTypeCode_natoStandard</v>
      </c>
      <c r="B795" s="330"/>
      <c r="C795" s="334"/>
      <c r="D795" s="188" t="s">
        <v>14875</v>
      </c>
      <c r="E795" s="189" t="s">
        <v>14876</v>
      </c>
      <c r="F795" s="162" t="s">
        <v>14877</v>
      </c>
      <c r="G795" s="162" t="s">
        <v>14840</v>
      </c>
      <c r="H795" s="219"/>
      <c r="I795" s="169">
        <v>116592</v>
      </c>
      <c r="J795" s="304" t="str">
        <f>CONCATENATE([2]Cover!$D$6,"fdd/view?i=",I795)</f>
        <v>https://www.dgiwg.org/FAD/fdd/view?i=116592</v>
      </c>
      <c r="K795" s="304" t="s">
        <v>34844</v>
      </c>
      <c r="L795" s="188">
        <v>11</v>
      </c>
      <c r="M795" s="179" t="s">
        <v>151</v>
      </c>
    </row>
    <row r="796" spans="1:13" ht="127.5">
      <c r="A796" s="313" t="str">
        <f t="shared" si="12"/>
        <v>AerodromeAppLightSysTypeCode_omniApproachLightSystem</v>
      </c>
      <c r="B796" s="330"/>
      <c r="C796" s="334"/>
      <c r="D796" s="188" t="s">
        <v>14878</v>
      </c>
      <c r="E796" s="189" t="s">
        <v>14879</v>
      </c>
      <c r="F796" s="162" t="s">
        <v>14880</v>
      </c>
      <c r="G796" s="162" t="s">
        <v>14881</v>
      </c>
      <c r="H796" s="219"/>
      <c r="I796" s="169">
        <v>116589</v>
      </c>
      <c r="J796" s="304" t="str">
        <f>CONCATENATE([2]Cover!$D$6,"fdd/view?i=",I796)</f>
        <v>https://www.dgiwg.org/FAD/fdd/view?i=116589</v>
      </c>
      <c r="K796" s="304" t="s">
        <v>34845</v>
      </c>
      <c r="L796" s="188">
        <v>8</v>
      </c>
      <c r="M796" s="179" t="s">
        <v>151</v>
      </c>
    </row>
    <row r="797" spans="1:13" ht="51">
      <c r="A797" s="313" t="str">
        <f t="shared" si="12"/>
        <v>AerodromeAppLightSysTypeCode_runwayAlignmentIndicator</v>
      </c>
      <c r="B797" s="330"/>
      <c r="C797" s="334"/>
      <c r="D797" s="188" t="s">
        <v>14882</v>
      </c>
      <c r="E797" s="189" t="s">
        <v>14883</v>
      </c>
      <c r="F797" s="162" t="s">
        <v>14884</v>
      </c>
      <c r="G797" s="162" t="s">
        <v>14885</v>
      </c>
      <c r="H797" s="219"/>
      <c r="I797" s="169">
        <v>116590</v>
      </c>
      <c r="J797" s="304" t="str">
        <f>CONCATENATE([2]Cover!$D$6,"fdd/view?i=",I797)</f>
        <v>https://www.dgiwg.org/FAD/fdd/view?i=116590</v>
      </c>
      <c r="K797" s="304" t="s">
        <v>34846</v>
      </c>
      <c r="L797" s="188">
        <v>9</v>
      </c>
      <c r="M797" s="179" t="s">
        <v>151</v>
      </c>
    </row>
    <row r="798" spans="1:13" ht="51">
      <c r="A798" s="313" t="str">
        <f t="shared" si="12"/>
        <v>AerodromeAppLightSysTypeCode_salsWithSeqFlashingLights</v>
      </c>
      <c r="B798" s="330"/>
      <c r="C798" s="334"/>
      <c r="D798" s="188" t="s">
        <v>14889</v>
      </c>
      <c r="E798" s="189" t="s">
        <v>14890</v>
      </c>
      <c r="F798" s="162" t="s">
        <v>14891</v>
      </c>
      <c r="G798" s="190"/>
      <c r="H798" s="219"/>
      <c r="I798" s="169">
        <v>116583</v>
      </c>
      <c r="J798" s="304" t="str">
        <f>CONCATENATE([2]Cover!$D$6,"fdd/view?i=",I798)</f>
        <v>https://www.dgiwg.org/FAD/fdd/view?i=116583</v>
      </c>
      <c r="K798" s="304" t="s">
        <v>34847</v>
      </c>
      <c r="L798" s="188">
        <v>2</v>
      </c>
      <c r="M798" s="179" t="s">
        <v>151</v>
      </c>
    </row>
    <row r="799" spans="1:13" ht="38.25">
      <c r="A799" s="313" t="str">
        <f t="shared" si="12"/>
        <v>AerodromeAppLightSysTypeCode_shortApproachLightSystem</v>
      </c>
      <c r="B799" s="330"/>
      <c r="C799" s="334"/>
      <c r="D799" s="188" t="s">
        <v>14886</v>
      </c>
      <c r="E799" s="189" t="s">
        <v>14887</v>
      </c>
      <c r="F799" s="162" t="s">
        <v>14888</v>
      </c>
      <c r="G799" s="190"/>
      <c r="H799" s="219"/>
      <c r="I799" s="169">
        <v>116584</v>
      </c>
      <c r="J799" s="304" t="str">
        <f>CONCATENATE([2]Cover!$D$6,"fdd/view?i=",I799)</f>
        <v>https://www.dgiwg.org/FAD/fdd/view?i=116584</v>
      </c>
      <c r="K799" s="304" t="s">
        <v>34848</v>
      </c>
      <c r="L799" s="188">
        <v>3</v>
      </c>
      <c r="M799" s="179" t="s">
        <v>151</v>
      </c>
    </row>
    <row r="800" spans="1:13" ht="38.25">
      <c r="A800" s="313" t="str">
        <f t="shared" si="12"/>
        <v>AerodromeAppLightSysTypeCode_singleRowCentreline</v>
      </c>
      <c r="B800" s="330"/>
      <c r="C800" s="334"/>
      <c r="D800" s="188" t="s">
        <v>14895</v>
      </c>
      <c r="E800" s="189" t="s">
        <v>14896</v>
      </c>
      <c r="F800" s="162" t="s">
        <v>14897</v>
      </c>
      <c r="G800" s="190"/>
      <c r="H800" s="219"/>
      <c r="I800" s="169">
        <v>116600</v>
      </c>
      <c r="J800" s="304" t="str">
        <f>CONCATENATE([2]Cover!$D$6,"fdd/view?i=",I800)</f>
        <v>https://www.dgiwg.org/FAD/fdd/view?i=116600</v>
      </c>
      <c r="K800" s="304" t="s">
        <v>34849</v>
      </c>
      <c r="L800" s="188">
        <v>19</v>
      </c>
      <c r="M800" s="179" t="s">
        <v>151</v>
      </c>
    </row>
    <row r="801" spans="1:13" ht="63.75">
      <c r="A801" s="313" t="str">
        <f t="shared" si="12"/>
        <v>AerodromeAppLightSysTypeCode_ssalWithRunwayAlignInd</v>
      </c>
      <c r="B801" s="330"/>
      <c r="C801" s="334"/>
      <c r="D801" s="188" t="s">
        <v>14892</v>
      </c>
      <c r="E801" s="189" t="s">
        <v>14893</v>
      </c>
      <c r="F801" s="162" t="s">
        <v>14894</v>
      </c>
      <c r="G801" s="162" t="s">
        <v>14825</v>
      </c>
      <c r="H801" s="219"/>
      <c r="I801" s="169">
        <v>116586</v>
      </c>
      <c r="J801" s="304" t="str">
        <f>CONCATENATE([2]Cover!$D$6,"fdd/view?i=",I801)</f>
        <v>https://www.dgiwg.org/FAD/fdd/view?i=116586</v>
      </c>
      <c r="K801" s="304" t="s">
        <v>34850</v>
      </c>
      <c r="L801" s="188">
        <v>5</v>
      </c>
      <c r="M801" s="179" t="s">
        <v>151</v>
      </c>
    </row>
    <row r="802" spans="1:13" ht="63.75">
      <c r="A802" s="313" t="str">
        <f t="shared" si="12"/>
        <v>AerodromeAppLightSysTypeCode_twoParallelRow</v>
      </c>
      <c r="B802" s="331"/>
      <c r="C802" s="335"/>
      <c r="D802" s="181" t="s">
        <v>14898</v>
      </c>
      <c r="E802" s="192" t="s">
        <v>14899</v>
      </c>
      <c r="F802" s="193" t="s">
        <v>14900</v>
      </c>
      <c r="G802" s="194"/>
      <c r="H802" s="220"/>
      <c r="I802" s="169">
        <v>116602</v>
      </c>
      <c r="J802" s="304" t="str">
        <f>CONCATENATE([2]Cover!$D$6,"fdd/view?i=",I802)</f>
        <v>https://www.dgiwg.org/FAD/fdd/view?i=116602</v>
      </c>
      <c r="K802" s="304" t="s">
        <v>34851</v>
      </c>
      <c r="L802" s="181">
        <v>21</v>
      </c>
      <c r="M802" s="179" t="s">
        <v>151</v>
      </c>
    </row>
    <row r="803" spans="1:13" ht="38.25">
      <c r="A803" s="313" t="str">
        <f t="shared" si="12"/>
        <v>AerodromeControlStationTypeCode_primary</v>
      </c>
      <c r="B803" s="332" t="str">
        <f>HYPERLINK("[#]Datatypes!A32:L32","AerodromeControlStationTypeCode")</f>
        <v>AerodromeControlStationTypeCode</v>
      </c>
      <c r="C803" s="333" t="s">
        <v>11463</v>
      </c>
      <c r="D803" s="202" t="s">
        <v>14901</v>
      </c>
      <c r="E803" s="203" t="s">
        <v>14902</v>
      </c>
      <c r="F803" s="204" t="s">
        <v>14903</v>
      </c>
      <c r="G803" s="204" t="s">
        <v>14904</v>
      </c>
      <c r="H803" s="218"/>
      <c r="I803" s="169">
        <v>207883</v>
      </c>
      <c r="J803" s="304" t="str">
        <f>CONCATENATE([2]Cover!$D$6,"fdd/view?i=",I803)</f>
        <v>https://www.dgiwg.org/FAD/fdd/view?i=207883</v>
      </c>
      <c r="K803" s="304" t="s">
        <v>34852</v>
      </c>
      <c r="L803" s="202">
        <v>1</v>
      </c>
      <c r="M803" s="179" t="s">
        <v>1295</v>
      </c>
    </row>
    <row r="804" spans="1:13" ht="38.25">
      <c r="A804" s="313" t="str">
        <f t="shared" si="12"/>
        <v>AerodromeControlStationTypeCode_secondary</v>
      </c>
      <c r="B804" s="331"/>
      <c r="C804" s="335"/>
      <c r="D804" s="181" t="s">
        <v>14905</v>
      </c>
      <c r="E804" s="192" t="s">
        <v>14906</v>
      </c>
      <c r="F804" s="193" t="s">
        <v>14907</v>
      </c>
      <c r="G804" s="193" t="s">
        <v>14908</v>
      </c>
      <c r="H804" s="220"/>
      <c r="I804" s="169">
        <v>207884</v>
      </c>
      <c r="J804" s="304" t="str">
        <f>CONCATENATE([2]Cover!$D$6,"fdd/view?i=",I804)</f>
        <v>https://www.dgiwg.org/FAD/fdd/view?i=207884</v>
      </c>
      <c r="K804" s="304" t="s">
        <v>34853</v>
      </c>
      <c r="L804" s="181">
        <v>2</v>
      </c>
      <c r="M804" s="179" t="s">
        <v>1295</v>
      </c>
    </row>
    <row r="805" spans="1:13" ht="25.5">
      <c r="A805" s="313" t="str">
        <f t="shared" si="12"/>
        <v>AerodromeFireFightingCatCode_aircraftRescueFireCat1</v>
      </c>
      <c r="B805" s="332" t="str">
        <f>HYPERLINK("[#]Datatypes!A34:L34","AerodromeFireFightingCatCode")</f>
        <v>AerodromeFireFightingCatCode</v>
      </c>
      <c r="C805" s="333" t="s">
        <v>11465</v>
      </c>
      <c r="D805" s="202" t="s">
        <v>14909</v>
      </c>
      <c r="E805" s="203" t="s">
        <v>14910</v>
      </c>
      <c r="F805" s="204" t="s">
        <v>14911</v>
      </c>
      <c r="G805" s="205"/>
      <c r="H805" s="218"/>
      <c r="I805" s="169">
        <v>115444</v>
      </c>
      <c r="J805" s="304" t="str">
        <f>CONCATENATE([2]Cover!$D$6,"fdd/view?i=",I805)</f>
        <v>https://www.dgiwg.org/FAD/fdd/view?i=115444</v>
      </c>
      <c r="K805" s="304" t="s">
        <v>34854</v>
      </c>
      <c r="L805" s="202">
        <v>1</v>
      </c>
      <c r="M805" s="179" t="s">
        <v>151</v>
      </c>
    </row>
    <row r="806" spans="1:13" ht="25.5">
      <c r="A806" s="313" t="str">
        <f t="shared" si="12"/>
        <v>AerodromeFireFightingCatCode_aircraftRescueFireCat10</v>
      </c>
      <c r="B806" s="330"/>
      <c r="C806" s="334"/>
      <c r="D806" s="188" t="s">
        <v>14912</v>
      </c>
      <c r="E806" s="189" t="s">
        <v>14913</v>
      </c>
      <c r="F806" s="162" t="s">
        <v>14914</v>
      </c>
      <c r="G806" s="190"/>
      <c r="H806" s="219"/>
      <c r="I806" s="169">
        <v>115445</v>
      </c>
      <c r="J806" s="304" t="str">
        <f>CONCATENATE([2]Cover!$D$6,"fdd/view?i=",I806)</f>
        <v>https://www.dgiwg.org/FAD/fdd/view?i=115445</v>
      </c>
      <c r="K806" s="304" t="s">
        <v>34855</v>
      </c>
      <c r="L806" s="188">
        <v>10</v>
      </c>
      <c r="M806" s="179" t="s">
        <v>151</v>
      </c>
    </row>
    <row r="807" spans="1:13" ht="25.5">
      <c r="A807" s="313" t="str">
        <f t="shared" si="12"/>
        <v>AerodromeFireFightingCatCode_aircraftRescueFireCat2</v>
      </c>
      <c r="B807" s="330"/>
      <c r="C807" s="334"/>
      <c r="D807" s="188" t="s">
        <v>14915</v>
      </c>
      <c r="E807" s="189" t="s">
        <v>14916</v>
      </c>
      <c r="F807" s="162" t="s">
        <v>14917</v>
      </c>
      <c r="G807" s="190"/>
      <c r="H807" s="219"/>
      <c r="I807" s="169">
        <v>115446</v>
      </c>
      <c r="J807" s="304" t="str">
        <f>CONCATENATE([2]Cover!$D$6,"fdd/view?i=",I807)</f>
        <v>https://www.dgiwg.org/FAD/fdd/view?i=115446</v>
      </c>
      <c r="K807" s="304" t="s">
        <v>34856</v>
      </c>
      <c r="L807" s="188">
        <v>2</v>
      </c>
      <c r="M807" s="179" t="s">
        <v>151</v>
      </c>
    </row>
    <row r="808" spans="1:13" ht="25.5">
      <c r="A808" s="313" t="str">
        <f t="shared" si="12"/>
        <v>AerodromeFireFightingCatCode_aircraftRescueFireCat3</v>
      </c>
      <c r="B808" s="330"/>
      <c r="C808" s="334"/>
      <c r="D808" s="188" t="s">
        <v>14918</v>
      </c>
      <c r="E808" s="189" t="s">
        <v>14919</v>
      </c>
      <c r="F808" s="162" t="s">
        <v>14920</v>
      </c>
      <c r="G808" s="190"/>
      <c r="H808" s="219"/>
      <c r="I808" s="169">
        <v>115447</v>
      </c>
      <c r="J808" s="304" t="str">
        <f>CONCATENATE([2]Cover!$D$6,"fdd/view?i=",I808)</f>
        <v>https://www.dgiwg.org/FAD/fdd/view?i=115447</v>
      </c>
      <c r="K808" s="304" t="s">
        <v>34857</v>
      </c>
      <c r="L808" s="188">
        <v>3</v>
      </c>
      <c r="M808" s="179" t="s">
        <v>151</v>
      </c>
    </row>
    <row r="809" spans="1:13" ht="25.5">
      <c r="A809" s="313" t="str">
        <f t="shared" si="12"/>
        <v>AerodromeFireFightingCatCode_aircraftRescueFireCat4</v>
      </c>
      <c r="B809" s="330"/>
      <c r="C809" s="334"/>
      <c r="D809" s="188" t="s">
        <v>14921</v>
      </c>
      <c r="E809" s="189" t="s">
        <v>14922</v>
      </c>
      <c r="F809" s="162" t="s">
        <v>14923</v>
      </c>
      <c r="G809" s="190"/>
      <c r="H809" s="219"/>
      <c r="I809" s="169">
        <v>115448</v>
      </c>
      <c r="J809" s="304" t="str">
        <f>CONCATENATE([2]Cover!$D$6,"fdd/view?i=",I809)</f>
        <v>https://www.dgiwg.org/FAD/fdd/view?i=115448</v>
      </c>
      <c r="K809" s="304" t="s">
        <v>34858</v>
      </c>
      <c r="L809" s="188">
        <v>4</v>
      </c>
      <c r="M809" s="179" t="s">
        <v>151</v>
      </c>
    </row>
    <row r="810" spans="1:13" ht="25.5">
      <c r="A810" s="313" t="str">
        <f t="shared" si="12"/>
        <v>AerodromeFireFightingCatCode_aircraftRescueFireCat5</v>
      </c>
      <c r="B810" s="330"/>
      <c r="C810" s="334"/>
      <c r="D810" s="188" t="s">
        <v>14924</v>
      </c>
      <c r="E810" s="189" t="s">
        <v>14925</v>
      </c>
      <c r="F810" s="162" t="s">
        <v>14926</v>
      </c>
      <c r="G810" s="190"/>
      <c r="H810" s="219"/>
      <c r="I810" s="169">
        <v>115449</v>
      </c>
      <c r="J810" s="304" t="str">
        <f>CONCATENATE([2]Cover!$D$6,"fdd/view?i=",I810)</f>
        <v>https://www.dgiwg.org/FAD/fdd/view?i=115449</v>
      </c>
      <c r="K810" s="304" t="s">
        <v>34859</v>
      </c>
      <c r="L810" s="188">
        <v>5</v>
      </c>
      <c r="M810" s="179" t="s">
        <v>151</v>
      </c>
    </row>
    <row r="811" spans="1:13" ht="25.5">
      <c r="A811" s="313" t="str">
        <f t="shared" si="12"/>
        <v>AerodromeFireFightingCatCode_aircraftRescueFireCat6</v>
      </c>
      <c r="B811" s="330"/>
      <c r="C811" s="334"/>
      <c r="D811" s="188" t="s">
        <v>14927</v>
      </c>
      <c r="E811" s="189" t="s">
        <v>14928</v>
      </c>
      <c r="F811" s="162" t="s">
        <v>14929</v>
      </c>
      <c r="G811" s="190"/>
      <c r="H811" s="219"/>
      <c r="I811" s="169">
        <v>115450</v>
      </c>
      <c r="J811" s="304" t="str">
        <f>CONCATENATE([2]Cover!$D$6,"fdd/view?i=",I811)</f>
        <v>https://www.dgiwg.org/FAD/fdd/view?i=115450</v>
      </c>
      <c r="K811" s="304" t="s">
        <v>34860</v>
      </c>
      <c r="L811" s="188">
        <v>6</v>
      </c>
      <c r="M811" s="179" t="s">
        <v>151</v>
      </c>
    </row>
    <row r="812" spans="1:13" ht="25.5">
      <c r="A812" s="313" t="str">
        <f t="shared" si="12"/>
        <v>AerodromeFireFightingCatCode_aircraftRescueFireCat7</v>
      </c>
      <c r="B812" s="330"/>
      <c r="C812" s="334"/>
      <c r="D812" s="188" t="s">
        <v>14930</v>
      </c>
      <c r="E812" s="189" t="s">
        <v>14931</v>
      </c>
      <c r="F812" s="162" t="s">
        <v>14932</v>
      </c>
      <c r="G812" s="190"/>
      <c r="H812" s="219"/>
      <c r="I812" s="169">
        <v>115451</v>
      </c>
      <c r="J812" s="304" t="str">
        <f>CONCATENATE([2]Cover!$D$6,"fdd/view?i=",I812)</f>
        <v>https://www.dgiwg.org/FAD/fdd/view?i=115451</v>
      </c>
      <c r="K812" s="304" t="s">
        <v>34861</v>
      </c>
      <c r="L812" s="188">
        <v>7</v>
      </c>
      <c r="M812" s="179" t="s">
        <v>151</v>
      </c>
    </row>
    <row r="813" spans="1:13" ht="25.5">
      <c r="A813" s="313" t="str">
        <f t="shared" si="12"/>
        <v>AerodromeFireFightingCatCode_aircraftRescueFireCat8</v>
      </c>
      <c r="B813" s="330"/>
      <c r="C813" s="334"/>
      <c r="D813" s="188" t="s">
        <v>14933</v>
      </c>
      <c r="E813" s="189" t="s">
        <v>14934</v>
      </c>
      <c r="F813" s="162" t="s">
        <v>14935</v>
      </c>
      <c r="G813" s="190"/>
      <c r="H813" s="219"/>
      <c r="I813" s="169">
        <v>115452</v>
      </c>
      <c r="J813" s="304" t="str">
        <f>CONCATENATE([2]Cover!$D$6,"fdd/view?i=",I813)</f>
        <v>https://www.dgiwg.org/FAD/fdd/view?i=115452</v>
      </c>
      <c r="K813" s="304" t="s">
        <v>34862</v>
      </c>
      <c r="L813" s="188">
        <v>8</v>
      </c>
      <c r="M813" s="179" t="s">
        <v>151</v>
      </c>
    </row>
    <row r="814" spans="1:13" ht="25.5">
      <c r="A814" s="313" t="str">
        <f t="shared" si="12"/>
        <v>AerodromeFireFightingCatCode_aircraftRescueFireCat9</v>
      </c>
      <c r="B814" s="330"/>
      <c r="C814" s="334"/>
      <c r="D814" s="188" t="s">
        <v>14936</v>
      </c>
      <c r="E814" s="189" t="s">
        <v>14937</v>
      </c>
      <c r="F814" s="162" t="s">
        <v>14938</v>
      </c>
      <c r="G814" s="190"/>
      <c r="H814" s="219"/>
      <c r="I814" s="169">
        <v>115453</v>
      </c>
      <c r="J814" s="304" t="str">
        <f>CONCATENATE([2]Cover!$D$6,"fdd/view?i=",I814)</f>
        <v>https://www.dgiwg.org/FAD/fdd/view?i=115453</v>
      </c>
      <c r="K814" s="304" t="s">
        <v>34863</v>
      </c>
      <c r="L814" s="188">
        <v>9</v>
      </c>
      <c r="M814" s="179" t="s">
        <v>151</v>
      </c>
    </row>
    <row r="815" spans="1:13" ht="25.5">
      <c r="A815" s="313" t="str">
        <f t="shared" si="12"/>
        <v>AerodromeFireFightingCatCode_helicopterRescueFireCat1</v>
      </c>
      <c r="B815" s="330"/>
      <c r="C815" s="334"/>
      <c r="D815" s="188" t="s">
        <v>14939</v>
      </c>
      <c r="E815" s="189" t="s">
        <v>14940</v>
      </c>
      <c r="F815" s="162" t="s">
        <v>14941</v>
      </c>
      <c r="G815" s="190"/>
      <c r="H815" s="219"/>
      <c r="I815" s="169">
        <v>115454</v>
      </c>
      <c r="J815" s="304" t="str">
        <f>CONCATENATE([2]Cover!$D$6,"fdd/view?i=",I815)</f>
        <v>https://www.dgiwg.org/FAD/fdd/view?i=115454</v>
      </c>
      <c r="K815" s="304" t="s">
        <v>34864</v>
      </c>
      <c r="L815" s="188">
        <v>11</v>
      </c>
      <c r="M815" s="179" t="s">
        <v>151</v>
      </c>
    </row>
    <row r="816" spans="1:13" ht="25.5">
      <c r="A816" s="313" t="str">
        <f t="shared" si="12"/>
        <v>AerodromeFireFightingCatCode_helicopterRescueFireCat2</v>
      </c>
      <c r="B816" s="330"/>
      <c r="C816" s="334"/>
      <c r="D816" s="188" t="s">
        <v>14942</v>
      </c>
      <c r="E816" s="189" t="s">
        <v>14943</v>
      </c>
      <c r="F816" s="162" t="s">
        <v>14944</v>
      </c>
      <c r="G816" s="190"/>
      <c r="H816" s="219"/>
      <c r="I816" s="169">
        <v>115455</v>
      </c>
      <c r="J816" s="304" t="str">
        <f>CONCATENATE([2]Cover!$D$6,"fdd/view?i=",I816)</f>
        <v>https://www.dgiwg.org/FAD/fdd/view?i=115455</v>
      </c>
      <c r="K816" s="304" t="s">
        <v>34865</v>
      </c>
      <c r="L816" s="188">
        <v>12</v>
      </c>
      <c r="M816" s="179" t="s">
        <v>151</v>
      </c>
    </row>
    <row r="817" spans="1:13" ht="25.5">
      <c r="A817" s="313" t="str">
        <f t="shared" si="12"/>
        <v>AerodromeFireFightingCatCode_helicopterRescueFireCat3</v>
      </c>
      <c r="B817" s="331"/>
      <c r="C817" s="335"/>
      <c r="D817" s="181" t="s">
        <v>14945</v>
      </c>
      <c r="E817" s="192" t="s">
        <v>14946</v>
      </c>
      <c r="F817" s="193" t="s">
        <v>14947</v>
      </c>
      <c r="G817" s="194"/>
      <c r="H817" s="220"/>
      <c r="I817" s="169">
        <v>115456</v>
      </c>
      <c r="J817" s="304" t="str">
        <f>CONCATENATE([2]Cover!$D$6,"fdd/view?i=",I817)</f>
        <v>https://www.dgiwg.org/FAD/fdd/view?i=115456</v>
      </c>
      <c r="K817" s="304" t="s">
        <v>34866</v>
      </c>
      <c r="L817" s="181">
        <v>13</v>
      </c>
      <c r="M817" s="179" t="s">
        <v>151</v>
      </c>
    </row>
    <row r="818" spans="1:13" ht="38.25">
      <c r="A818" s="313" t="str">
        <f t="shared" si="12"/>
        <v>AeroMoveAreaLightSysTypeCode_aircraftStandManeuver</v>
      </c>
      <c r="B818" s="332" t="str">
        <f>HYPERLINK("[#]Datatypes!A40:L40","AeroMoveAreaLightSysTypeCode")</f>
        <v>AeroMoveAreaLightSysTypeCode</v>
      </c>
      <c r="C818" s="333" t="s">
        <v>11475</v>
      </c>
      <c r="D818" s="202" t="s">
        <v>14948</v>
      </c>
      <c r="E818" s="203" t="s">
        <v>14949</v>
      </c>
      <c r="F818" s="204" t="s">
        <v>14950</v>
      </c>
      <c r="G818" s="205"/>
      <c r="H818" s="218"/>
      <c r="I818" s="169">
        <v>115604</v>
      </c>
      <c r="J818" s="304" t="str">
        <f>CONCATENATE([2]Cover!$D$6,"fdd/view?i=",I818)</f>
        <v>https://www.dgiwg.org/FAD/fdd/view?i=115604</v>
      </c>
      <c r="K818" s="304" t="s">
        <v>34867</v>
      </c>
      <c r="L818" s="202">
        <v>12</v>
      </c>
      <c r="M818" s="179" t="s">
        <v>151</v>
      </c>
    </row>
    <row r="819" spans="1:13" ht="25.5">
      <c r="A819" s="313" t="str">
        <f t="shared" si="12"/>
        <v>AeroMoveAreaLightSysTypeCode_apronFlood</v>
      </c>
      <c r="B819" s="330"/>
      <c r="C819" s="334"/>
      <c r="D819" s="188" t="s">
        <v>14951</v>
      </c>
      <c r="E819" s="189" t="s">
        <v>14952</v>
      </c>
      <c r="F819" s="162" t="s">
        <v>14953</v>
      </c>
      <c r="G819" s="190"/>
      <c r="H819" s="219"/>
      <c r="I819" s="169">
        <v>115595</v>
      </c>
      <c r="J819" s="304" t="str">
        <f>CONCATENATE([2]Cover!$D$6,"fdd/view?i=",I819)</f>
        <v>https://www.dgiwg.org/FAD/fdd/view?i=115595</v>
      </c>
      <c r="K819" s="304" t="s">
        <v>34868</v>
      </c>
      <c r="L819" s="188">
        <v>3</v>
      </c>
      <c r="M819" s="179" t="s">
        <v>151</v>
      </c>
    </row>
    <row r="820" spans="1:13" ht="76.5">
      <c r="A820" s="313" t="str">
        <f t="shared" si="12"/>
        <v>AeroMoveAreaLightSysTypeCode_deicingAreaExit</v>
      </c>
      <c r="B820" s="330"/>
      <c r="C820" s="334"/>
      <c r="D820" s="188" t="s">
        <v>14954</v>
      </c>
      <c r="E820" s="189" t="s">
        <v>14955</v>
      </c>
      <c r="F820" s="162" t="s">
        <v>14956</v>
      </c>
      <c r="G820" s="162" t="s">
        <v>14957</v>
      </c>
      <c r="H820" s="219"/>
      <c r="I820" s="169">
        <v>115601</v>
      </c>
      <c r="J820" s="304" t="str">
        <f>CONCATENATE([2]Cover!$D$6,"fdd/view?i=",I820)</f>
        <v>https://www.dgiwg.org/FAD/fdd/view?i=115601</v>
      </c>
      <c r="K820" s="304" t="s">
        <v>34869</v>
      </c>
      <c r="L820" s="188">
        <v>9</v>
      </c>
      <c r="M820" s="179" t="s">
        <v>151</v>
      </c>
    </row>
    <row r="821" spans="1:13" ht="51">
      <c r="A821" s="313" t="str">
        <f t="shared" si="12"/>
        <v>AeroMoveAreaLightSysTypeCode_finalApproachTakeOffArea</v>
      </c>
      <c r="B821" s="330"/>
      <c r="C821" s="334"/>
      <c r="D821" s="188" t="s">
        <v>14958</v>
      </c>
      <c r="E821" s="189" t="s">
        <v>14959</v>
      </c>
      <c r="F821" s="162" t="s">
        <v>14960</v>
      </c>
      <c r="G821" s="162" t="s">
        <v>14961</v>
      </c>
      <c r="H821" s="219"/>
      <c r="I821" s="169">
        <v>115615</v>
      </c>
      <c r="J821" s="304" t="str">
        <f>CONCATENATE([2]Cover!$D$6,"fdd/view?i=",I821)</f>
        <v>https://www.dgiwg.org/FAD/fdd/view?i=115615</v>
      </c>
      <c r="K821" s="304" t="s">
        <v>34870</v>
      </c>
      <c r="L821" s="188">
        <v>23</v>
      </c>
      <c r="M821" s="179" t="s">
        <v>151</v>
      </c>
    </row>
    <row r="822" spans="1:13" ht="114.75">
      <c r="A822" s="313" t="str">
        <f t="shared" si="12"/>
        <v>AeroMoveAreaLightSysTypeCode_intermediateHolding</v>
      </c>
      <c r="B822" s="330"/>
      <c r="C822" s="334"/>
      <c r="D822" s="188" t="s">
        <v>14962</v>
      </c>
      <c r="E822" s="189" t="s">
        <v>14963</v>
      </c>
      <c r="F822" s="162" t="s">
        <v>14964</v>
      </c>
      <c r="G822" s="162" t="s">
        <v>14965</v>
      </c>
      <c r="H822" s="219"/>
      <c r="I822" s="169">
        <v>115600</v>
      </c>
      <c r="J822" s="304" t="str">
        <f>CONCATENATE([2]Cover!$D$6,"fdd/view?i=",I822)</f>
        <v>https://www.dgiwg.org/FAD/fdd/view?i=115600</v>
      </c>
      <c r="K822" s="304" t="s">
        <v>34871</v>
      </c>
      <c r="L822" s="188">
        <v>8</v>
      </c>
      <c r="M822" s="179" t="s">
        <v>151</v>
      </c>
    </row>
    <row r="823" spans="1:13" ht="76.5">
      <c r="A823" s="313" t="str">
        <f t="shared" si="12"/>
        <v>AeroMoveAreaLightSysTypeCode_landandHoldShort</v>
      </c>
      <c r="B823" s="330"/>
      <c r="C823" s="334"/>
      <c r="D823" s="188" t="s">
        <v>14966</v>
      </c>
      <c r="E823" s="189" t="s">
        <v>14967</v>
      </c>
      <c r="F823" s="162" t="s">
        <v>14968</v>
      </c>
      <c r="G823" s="162" t="s">
        <v>14969</v>
      </c>
      <c r="H823" s="219"/>
      <c r="I823" s="169">
        <v>115612</v>
      </c>
      <c r="J823" s="304" t="str">
        <f>CONCATENATE([2]Cover!$D$6,"fdd/view?i=",I823)</f>
        <v>https://www.dgiwg.org/FAD/fdd/view?i=115612</v>
      </c>
      <c r="K823" s="304" t="s">
        <v>34872</v>
      </c>
      <c r="L823" s="188">
        <v>20</v>
      </c>
      <c r="M823" s="179" t="s">
        <v>151</v>
      </c>
    </row>
    <row r="824" spans="1:13" ht="63.75">
      <c r="A824" s="313" t="str">
        <f t="shared" si="12"/>
        <v>AeroMoveAreaLightSysTypeCode_rapidExitTaxiwayIndicator</v>
      </c>
      <c r="B824" s="330"/>
      <c r="C824" s="334"/>
      <c r="D824" s="188" t="s">
        <v>14970</v>
      </c>
      <c r="E824" s="189" t="s">
        <v>14971</v>
      </c>
      <c r="F824" s="162" t="s">
        <v>14972</v>
      </c>
      <c r="G824" s="162" t="s">
        <v>14973</v>
      </c>
      <c r="H824" s="219"/>
      <c r="I824" s="169">
        <v>115593</v>
      </c>
      <c r="J824" s="304" t="str">
        <f>CONCATENATE([2]Cover!$D$6,"fdd/view?i=",I824)</f>
        <v>https://www.dgiwg.org/FAD/fdd/view?i=115593</v>
      </c>
      <c r="K824" s="304" t="s">
        <v>34873</v>
      </c>
      <c r="L824" s="188">
        <v>1</v>
      </c>
      <c r="M824" s="179" t="s">
        <v>151</v>
      </c>
    </row>
    <row r="825" spans="1:13" ht="38.25">
      <c r="A825" s="313" t="str">
        <f t="shared" si="12"/>
        <v>AeroMoveAreaLightSysTypeCode_roadHoldingPosition</v>
      </c>
      <c r="B825" s="330"/>
      <c r="C825" s="334"/>
      <c r="D825" s="188" t="s">
        <v>14974</v>
      </c>
      <c r="E825" s="189" t="s">
        <v>14975</v>
      </c>
      <c r="F825" s="162" t="s">
        <v>14976</v>
      </c>
      <c r="G825" s="162" t="s">
        <v>14977</v>
      </c>
      <c r="H825" s="219"/>
      <c r="I825" s="169">
        <v>115605</v>
      </c>
      <c r="J825" s="304" t="str">
        <f>CONCATENATE([2]Cover!$D$6,"fdd/view?i=",I825)</f>
        <v>https://www.dgiwg.org/FAD/fdd/view?i=115605</v>
      </c>
      <c r="K825" s="304" t="s">
        <v>34874</v>
      </c>
      <c r="L825" s="188">
        <v>13</v>
      </c>
      <c r="M825" s="179" t="s">
        <v>151</v>
      </c>
    </row>
    <row r="826" spans="1:13" ht="140.25">
      <c r="A826" s="313" t="str">
        <f t="shared" si="12"/>
        <v>AeroMoveAreaLightSysTypeCode_runwayCenterline</v>
      </c>
      <c r="B826" s="330"/>
      <c r="C826" s="334"/>
      <c r="D826" s="188" t="s">
        <v>14978</v>
      </c>
      <c r="E826" s="189" t="s">
        <v>14979</v>
      </c>
      <c r="F826" s="162" t="s">
        <v>14980</v>
      </c>
      <c r="G826" s="162" t="s">
        <v>14981</v>
      </c>
      <c r="H826" s="219"/>
      <c r="I826" s="169">
        <v>115606</v>
      </c>
      <c r="J826" s="304" t="str">
        <f>CONCATENATE([2]Cover!$D$6,"fdd/view?i=",I826)</f>
        <v>https://www.dgiwg.org/FAD/fdd/view?i=115606</v>
      </c>
      <c r="K826" s="304" t="s">
        <v>34875</v>
      </c>
      <c r="L826" s="188">
        <v>14</v>
      </c>
      <c r="M826" s="179" t="s">
        <v>151</v>
      </c>
    </row>
    <row r="827" spans="1:13" ht="102">
      <c r="A827" s="313" t="str">
        <f t="shared" si="12"/>
        <v>AeroMoveAreaLightSysTypeCode_runwayEdge</v>
      </c>
      <c r="B827" s="330"/>
      <c r="C827" s="334"/>
      <c r="D827" s="188" t="s">
        <v>14982</v>
      </c>
      <c r="E827" s="189" t="s">
        <v>14983</v>
      </c>
      <c r="F827" s="162" t="s">
        <v>14984</v>
      </c>
      <c r="G827" s="162" t="s">
        <v>14985</v>
      </c>
      <c r="H827" s="219"/>
      <c r="I827" s="169">
        <v>115607</v>
      </c>
      <c r="J827" s="304" t="str">
        <f>CONCATENATE([2]Cover!$D$6,"fdd/view?i=",I827)</f>
        <v>https://www.dgiwg.org/FAD/fdd/view?i=115607</v>
      </c>
      <c r="K827" s="304" t="s">
        <v>34876</v>
      </c>
      <c r="L827" s="188">
        <v>15</v>
      </c>
      <c r="M827" s="179" t="s">
        <v>151</v>
      </c>
    </row>
    <row r="828" spans="1:13" ht="76.5">
      <c r="A828" s="313" t="str">
        <f t="shared" si="12"/>
        <v>AeroMoveAreaLightSysTypeCode_runwayEnd</v>
      </c>
      <c r="B828" s="330"/>
      <c r="C828" s="334"/>
      <c r="D828" s="188" t="s">
        <v>14986</v>
      </c>
      <c r="E828" s="189" t="s">
        <v>14987</v>
      </c>
      <c r="F828" s="162" t="s">
        <v>14988</v>
      </c>
      <c r="G828" s="162" t="s">
        <v>14989</v>
      </c>
      <c r="H828" s="219"/>
      <c r="I828" s="169">
        <v>115611</v>
      </c>
      <c r="J828" s="304" t="str">
        <f>CONCATENATE([2]Cover!$D$6,"fdd/view?i=",I828)</f>
        <v>https://www.dgiwg.org/FAD/fdd/view?i=115611</v>
      </c>
      <c r="K828" s="304" t="s">
        <v>34877</v>
      </c>
      <c r="L828" s="188">
        <v>19</v>
      </c>
      <c r="M828" s="179" t="s">
        <v>151</v>
      </c>
    </row>
    <row r="829" spans="1:13" ht="153">
      <c r="A829" s="313" t="str">
        <f t="shared" si="12"/>
        <v>AeroMoveAreaLightSysTypeCode_runwayEndIdentifierLight</v>
      </c>
      <c r="B829" s="330"/>
      <c r="C829" s="334"/>
      <c r="D829" s="188" t="s">
        <v>14990</v>
      </c>
      <c r="E829" s="189" t="s">
        <v>14991</v>
      </c>
      <c r="F829" s="162" t="s">
        <v>14992</v>
      </c>
      <c r="G829" s="162" t="s">
        <v>14993</v>
      </c>
      <c r="H829" s="219"/>
      <c r="I829" s="169">
        <v>115608</v>
      </c>
      <c r="J829" s="304" t="str">
        <f>CONCATENATE([2]Cover!$D$6,"fdd/view?i=",I829)</f>
        <v>https://www.dgiwg.org/FAD/fdd/view?i=115608</v>
      </c>
      <c r="K829" s="304" t="s">
        <v>34878</v>
      </c>
      <c r="L829" s="188">
        <v>16</v>
      </c>
      <c r="M829" s="179" t="s">
        <v>151</v>
      </c>
    </row>
    <row r="830" spans="1:13" ht="114.75">
      <c r="A830" s="313" t="str">
        <f t="shared" si="12"/>
        <v>AeroMoveAreaLightSysTypeCode_runwayGuard</v>
      </c>
      <c r="B830" s="330"/>
      <c r="C830" s="334"/>
      <c r="D830" s="188" t="s">
        <v>14994</v>
      </c>
      <c r="E830" s="189" t="s">
        <v>14995</v>
      </c>
      <c r="F830" s="162" t="s">
        <v>14996</v>
      </c>
      <c r="G830" s="162" t="s">
        <v>14997</v>
      </c>
      <c r="H830" s="219"/>
      <c r="I830" s="169">
        <v>115602</v>
      </c>
      <c r="J830" s="304" t="str">
        <f>CONCATENATE([2]Cover!$D$6,"fdd/view?i=",I830)</f>
        <v>https://www.dgiwg.org/FAD/fdd/view?i=115602</v>
      </c>
      <c r="K830" s="304" t="s">
        <v>34879</v>
      </c>
      <c r="L830" s="188">
        <v>10</v>
      </c>
      <c r="M830" s="179" t="s">
        <v>151</v>
      </c>
    </row>
    <row r="831" spans="1:13" ht="63.75">
      <c r="A831" s="313" t="str">
        <f t="shared" si="12"/>
        <v>AeroMoveAreaLightSysTypeCode_runwayTurnPad</v>
      </c>
      <c r="B831" s="330"/>
      <c r="C831" s="334"/>
      <c r="D831" s="188" t="s">
        <v>14998</v>
      </c>
      <c r="E831" s="189" t="s">
        <v>3745</v>
      </c>
      <c r="F831" s="162" t="s">
        <v>14999</v>
      </c>
      <c r="G831" s="162" t="s">
        <v>15000</v>
      </c>
      <c r="H831" s="219"/>
      <c r="I831" s="169">
        <v>115598</v>
      </c>
      <c r="J831" s="304" t="str">
        <f>CONCATENATE([2]Cover!$D$6,"fdd/view?i=",I831)</f>
        <v>https://www.dgiwg.org/FAD/fdd/view?i=115598</v>
      </c>
      <c r="K831" s="304" t="s">
        <v>34880</v>
      </c>
      <c r="L831" s="188">
        <v>6</v>
      </c>
      <c r="M831" s="179" t="s">
        <v>151</v>
      </c>
    </row>
    <row r="832" spans="1:13" ht="63.75">
      <c r="A832" s="313" t="str">
        <f t="shared" si="12"/>
        <v>AeroMoveAreaLightSysTypeCode_stopbars</v>
      </c>
      <c r="B832" s="330"/>
      <c r="C832" s="334"/>
      <c r="D832" s="188" t="s">
        <v>15001</v>
      </c>
      <c r="E832" s="189" t="s">
        <v>15002</v>
      </c>
      <c r="F832" s="162" t="s">
        <v>15003</v>
      </c>
      <c r="G832" s="162" t="s">
        <v>15004</v>
      </c>
      <c r="H832" s="219"/>
      <c r="I832" s="169">
        <v>115599</v>
      </c>
      <c r="J832" s="304" t="str">
        <f>CONCATENATE([2]Cover!$D$6,"fdd/view?i=",I832)</f>
        <v>https://www.dgiwg.org/FAD/fdd/view?i=115599</v>
      </c>
      <c r="K832" s="304" t="s">
        <v>34881</v>
      </c>
      <c r="L832" s="188">
        <v>7</v>
      </c>
      <c r="M832" s="179" t="s">
        <v>151</v>
      </c>
    </row>
    <row r="833" spans="1:13" ht="127.5">
      <c r="A833" s="313" t="str">
        <f t="shared" si="12"/>
        <v>AeroMoveAreaLightSysTypeCode_stopwayEdge</v>
      </c>
      <c r="B833" s="330"/>
      <c r="C833" s="334"/>
      <c r="D833" s="188" t="s">
        <v>15005</v>
      </c>
      <c r="E833" s="189" t="s">
        <v>15006</v>
      </c>
      <c r="F833" s="162" t="s">
        <v>15007</v>
      </c>
      <c r="G833" s="162" t="s">
        <v>15008</v>
      </c>
      <c r="H833" s="219"/>
      <c r="I833" s="169">
        <v>115594</v>
      </c>
      <c r="J833" s="304" t="str">
        <f>CONCATENATE([2]Cover!$D$6,"fdd/view?i=",I833)</f>
        <v>https://www.dgiwg.org/FAD/fdd/view?i=115594</v>
      </c>
      <c r="K833" s="304" t="s">
        <v>34882</v>
      </c>
      <c r="L833" s="188">
        <v>2</v>
      </c>
      <c r="M833" s="179" t="s">
        <v>151</v>
      </c>
    </row>
    <row r="834" spans="1:13" ht="89.25">
      <c r="A834" s="313" t="str">
        <f t="shared" si="12"/>
        <v>AeroMoveAreaLightSysTypeCode_taxiwayCenterline</v>
      </c>
      <c r="B834" s="330"/>
      <c r="C834" s="334"/>
      <c r="D834" s="188" t="s">
        <v>15009</v>
      </c>
      <c r="E834" s="189" t="s">
        <v>15010</v>
      </c>
      <c r="F834" s="162" t="s">
        <v>15011</v>
      </c>
      <c r="G834" s="162" t="s">
        <v>15012</v>
      </c>
      <c r="H834" s="219"/>
      <c r="I834" s="169">
        <v>115596</v>
      </c>
      <c r="J834" s="304" t="str">
        <f>CONCATENATE([2]Cover!$D$6,"fdd/view?i=",I834)</f>
        <v>https://www.dgiwg.org/FAD/fdd/view?i=115596</v>
      </c>
      <c r="K834" s="304" t="s">
        <v>34883</v>
      </c>
      <c r="L834" s="188">
        <v>4</v>
      </c>
      <c r="M834" s="179" t="s">
        <v>151</v>
      </c>
    </row>
    <row r="835" spans="1:13" ht="25.5">
      <c r="A835" s="313" t="str">
        <f t="shared" ref="A835:A898" si="13">HYPERLINK(J835,K835)</f>
        <v>AeroMoveAreaLightSysTypeCode_taxiwayEdge</v>
      </c>
      <c r="B835" s="330"/>
      <c r="C835" s="334"/>
      <c r="D835" s="188" t="s">
        <v>15013</v>
      </c>
      <c r="E835" s="189" t="s">
        <v>15014</v>
      </c>
      <c r="F835" s="162" t="s">
        <v>15015</v>
      </c>
      <c r="G835" s="162" t="s">
        <v>15016</v>
      </c>
      <c r="H835" s="219"/>
      <c r="I835" s="169">
        <v>115597</v>
      </c>
      <c r="J835" s="304" t="str">
        <f>CONCATENATE([2]Cover!$D$6,"fdd/view?i=",I835)</f>
        <v>https://www.dgiwg.org/FAD/fdd/view?i=115597</v>
      </c>
      <c r="K835" s="304" t="s">
        <v>34884</v>
      </c>
      <c r="L835" s="188">
        <v>5</v>
      </c>
      <c r="M835" s="179" t="s">
        <v>151</v>
      </c>
    </row>
    <row r="836" spans="1:13" ht="63.75">
      <c r="A836" s="313" t="str">
        <f t="shared" si="13"/>
        <v>AeroMoveAreaLightSysTypeCode_taxiwayExitCenterLights</v>
      </c>
      <c r="B836" s="330"/>
      <c r="C836" s="334"/>
      <c r="D836" s="188" t="s">
        <v>15017</v>
      </c>
      <c r="E836" s="189" t="s">
        <v>15018</v>
      </c>
      <c r="F836" s="162" t="s">
        <v>15019</v>
      </c>
      <c r="G836" s="162" t="s">
        <v>15020</v>
      </c>
      <c r="H836" s="219"/>
      <c r="I836" s="169">
        <v>115613</v>
      </c>
      <c r="J836" s="304" t="str">
        <f>CONCATENATE([2]Cover!$D$6,"fdd/view?i=",I836)</f>
        <v>https://www.dgiwg.org/FAD/fdd/view?i=115613</v>
      </c>
      <c r="K836" s="304" t="s">
        <v>34885</v>
      </c>
      <c r="L836" s="188">
        <v>21</v>
      </c>
      <c r="M836" s="179" t="s">
        <v>151</v>
      </c>
    </row>
    <row r="837" spans="1:13" ht="216.75">
      <c r="A837" s="313" t="str">
        <f t="shared" si="13"/>
        <v>AeroMoveAreaLightSysTypeCode_threshold</v>
      </c>
      <c r="B837" s="330"/>
      <c r="C837" s="334"/>
      <c r="D837" s="188" t="s">
        <v>15021</v>
      </c>
      <c r="E837" s="189" t="s">
        <v>15022</v>
      </c>
      <c r="F837" s="162" t="s">
        <v>15023</v>
      </c>
      <c r="G837" s="162" t="s">
        <v>15024</v>
      </c>
      <c r="H837" s="219"/>
      <c r="I837" s="169">
        <v>115610</v>
      </c>
      <c r="J837" s="304" t="str">
        <f>CONCATENATE([2]Cover!$D$6,"fdd/view?i=",I837)</f>
        <v>https://www.dgiwg.org/FAD/fdd/view?i=115610</v>
      </c>
      <c r="K837" s="304" t="s">
        <v>34886</v>
      </c>
      <c r="L837" s="188">
        <v>18</v>
      </c>
      <c r="M837" s="179" t="s">
        <v>151</v>
      </c>
    </row>
    <row r="838" spans="1:13" ht="165.75">
      <c r="A838" s="313" t="str">
        <f t="shared" si="13"/>
        <v>AeroMoveAreaLightSysTypeCode_touchdownAndLiftOffArea</v>
      </c>
      <c r="B838" s="330"/>
      <c r="C838" s="334"/>
      <c r="D838" s="188" t="s">
        <v>15025</v>
      </c>
      <c r="E838" s="189" t="s">
        <v>15026</v>
      </c>
      <c r="F838" s="162" t="s">
        <v>15027</v>
      </c>
      <c r="G838" s="162" t="s">
        <v>15028</v>
      </c>
      <c r="H838" s="219"/>
      <c r="I838" s="169">
        <v>115614</v>
      </c>
      <c r="J838" s="304" t="str">
        <f>CONCATENATE([2]Cover!$D$6,"fdd/view?i=",I838)</f>
        <v>https://www.dgiwg.org/FAD/fdd/view?i=115614</v>
      </c>
      <c r="K838" s="304" t="s">
        <v>34887</v>
      </c>
      <c r="L838" s="188">
        <v>22</v>
      </c>
      <c r="M838" s="179" t="s">
        <v>151</v>
      </c>
    </row>
    <row r="839" spans="1:13" ht="178.5">
      <c r="A839" s="313" t="str">
        <f t="shared" si="13"/>
        <v>AeroMoveAreaLightSysTypeCode_touchdownZone</v>
      </c>
      <c r="B839" s="330"/>
      <c r="C839" s="334"/>
      <c r="D839" s="188" t="s">
        <v>15029</v>
      </c>
      <c r="E839" s="189" t="s">
        <v>15030</v>
      </c>
      <c r="F839" s="162" t="s">
        <v>15031</v>
      </c>
      <c r="G839" s="162" t="s">
        <v>15032</v>
      </c>
      <c r="H839" s="219"/>
      <c r="I839" s="169">
        <v>115609</v>
      </c>
      <c r="J839" s="304" t="str">
        <f>CONCATENATE([2]Cover!$D$6,"fdd/view?i=",I839)</f>
        <v>https://www.dgiwg.org/FAD/fdd/view?i=115609</v>
      </c>
      <c r="K839" s="304" t="s">
        <v>34888</v>
      </c>
      <c r="L839" s="188">
        <v>17</v>
      </c>
      <c r="M839" s="179" t="s">
        <v>151</v>
      </c>
    </row>
    <row r="840" spans="1:13" ht="38.25">
      <c r="A840" s="313" t="str">
        <f t="shared" si="13"/>
        <v>AeroMoveAreaLightSysTypeCode_visualDockingGuidance</v>
      </c>
      <c r="B840" s="331"/>
      <c r="C840" s="335"/>
      <c r="D840" s="181" t="s">
        <v>15033</v>
      </c>
      <c r="E840" s="192" t="s">
        <v>15034</v>
      </c>
      <c r="F840" s="193" t="s">
        <v>15035</v>
      </c>
      <c r="G840" s="194"/>
      <c r="H840" s="220"/>
      <c r="I840" s="169">
        <v>115603</v>
      </c>
      <c r="J840" s="304" t="str">
        <f>CONCATENATE([2]Cover!$D$6,"fdd/view?i=",I840)</f>
        <v>https://www.dgiwg.org/FAD/fdd/view?i=115603</v>
      </c>
      <c r="K840" s="304" t="s">
        <v>34889</v>
      </c>
      <c r="L840" s="181">
        <v>11</v>
      </c>
      <c r="M840" s="179" t="s">
        <v>151</v>
      </c>
    </row>
    <row r="841" spans="1:13" ht="25.5">
      <c r="A841" s="313" t="str">
        <f t="shared" si="13"/>
        <v>AeroMoveAreaPaveCondCode_damaged</v>
      </c>
      <c r="B841" s="332" t="str">
        <f>HYPERLINK("[#]Datatypes!A42:L42","AeroMoveAreaPaveCondCode")</f>
        <v>AeroMoveAreaPaveCondCode</v>
      </c>
      <c r="C841" s="333" t="s">
        <v>11477</v>
      </c>
      <c r="D841" s="202" t="s">
        <v>15036</v>
      </c>
      <c r="E841" s="203" t="s">
        <v>15037</v>
      </c>
      <c r="F841" s="204" t="s">
        <v>15038</v>
      </c>
      <c r="G841" s="205"/>
      <c r="H841" s="218"/>
      <c r="I841" s="169">
        <v>116574</v>
      </c>
      <c r="J841" s="304" t="str">
        <f>CONCATENATE([2]Cover!$D$6,"fdd/view?i=",I841)</f>
        <v>https://www.dgiwg.org/FAD/fdd/view?i=116574</v>
      </c>
      <c r="K841" s="304" t="s">
        <v>34890</v>
      </c>
      <c r="L841" s="202">
        <v>6</v>
      </c>
      <c r="M841" s="179" t="s">
        <v>151</v>
      </c>
    </row>
    <row r="842" spans="1:13" ht="25.5">
      <c r="A842" s="313" t="str">
        <f t="shared" si="13"/>
        <v>AeroMoveAreaPaveCondCode_destroyed</v>
      </c>
      <c r="B842" s="330"/>
      <c r="C842" s="334"/>
      <c r="D842" s="188" t="s">
        <v>15039</v>
      </c>
      <c r="E842" s="189" t="s">
        <v>15040</v>
      </c>
      <c r="F842" s="162" t="s">
        <v>15041</v>
      </c>
      <c r="G842" s="190"/>
      <c r="H842" s="219"/>
      <c r="I842" s="169">
        <v>116575</v>
      </c>
      <c r="J842" s="304" t="str">
        <f>CONCATENATE([2]Cover!$D$6,"fdd/view?i=",I842)</f>
        <v>https://www.dgiwg.org/FAD/fdd/view?i=116575</v>
      </c>
      <c r="K842" s="304" t="s">
        <v>34891</v>
      </c>
      <c r="L842" s="188">
        <v>7</v>
      </c>
      <c r="M842" s="179" t="s">
        <v>151</v>
      </c>
    </row>
    <row r="843" spans="1:13" ht="25.5">
      <c r="A843" s="313" t="str">
        <f t="shared" si="13"/>
        <v>AeroMoveAreaPaveCondCode_deteriorated</v>
      </c>
      <c r="B843" s="330"/>
      <c r="C843" s="334"/>
      <c r="D843" s="188" t="s">
        <v>15042</v>
      </c>
      <c r="E843" s="189" t="s">
        <v>15043</v>
      </c>
      <c r="F843" s="162" t="s">
        <v>15044</v>
      </c>
      <c r="G843" s="162" t="s">
        <v>15045</v>
      </c>
      <c r="H843" s="219"/>
      <c r="I843" s="169">
        <v>116572</v>
      </c>
      <c r="J843" s="304" t="str">
        <f>CONCATENATE([2]Cover!$D$6,"fdd/view?i=",I843)</f>
        <v>https://www.dgiwg.org/FAD/fdd/view?i=116572</v>
      </c>
      <c r="K843" s="304" t="s">
        <v>34892</v>
      </c>
      <c r="L843" s="188">
        <v>4</v>
      </c>
      <c r="M843" s="179" t="s">
        <v>151</v>
      </c>
    </row>
    <row r="844" spans="1:13" ht="25.5">
      <c r="A844" s="313" t="str">
        <f t="shared" si="13"/>
        <v>AeroMoveAreaPaveCondCode_fair</v>
      </c>
      <c r="B844" s="330"/>
      <c r="C844" s="334"/>
      <c r="D844" s="188" t="s">
        <v>15046</v>
      </c>
      <c r="E844" s="189" t="s">
        <v>15047</v>
      </c>
      <c r="F844" s="162" t="s">
        <v>15048</v>
      </c>
      <c r="G844" s="190"/>
      <c r="H844" s="219"/>
      <c r="I844" s="169">
        <v>116576</v>
      </c>
      <c r="J844" s="304" t="str">
        <f>CONCATENATE([2]Cover!$D$6,"fdd/view?i=",I844)</f>
        <v>https://www.dgiwg.org/FAD/fdd/view?i=116576</v>
      </c>
      <c r="K844" s="304" t="s">
        <v>34893</v>
      </c>
      <c r="L844" s="188">
        <v>2</v>
      </c>
      <c r="M844" s="179" t="s">
        <v>151</v>
      </c>
    </row>
    <row r="845" spans="1:13" ht="25.5">
      <c r="A845" s="313" t="str">
        <f t="shared" si="13"/>
        <v>AeroMoveAreaPaveCondCode_good</v>
      </c>
      <c r="B845" s="330"/>
      <c r="C845" s="334"/>
      <c r="D845" s="188" t="s">
        <v>15049</v>
      </c>
      <c r="E845" s="189" t="s">
        <v>15050</v>
      </c>
      <c r="F845" s="162" t="s">
        <v>15051</v>
      </c>
      <c r="G845" s="190"/>
      <c r="H845" s="219"/>
      <c r="I845" s="169">
        <v>116577</v>
      </c>
      <c r="J845" s="304" t="str">
        <f>CONCATENATE([2]Cover!$D$6,"fdd/view?i=",I845)</f>
        <v>https://www.dgiwg.org/FAD/fdd/view?i=116577</v>
      </c>
      <c r="K845" s="304" t="s">
        <v>34894</v>
      </c>
      <c r="L845" s="188">
        <v>1</v>
      </c>
      <c r="M845" s="179" t="s">
        <v>151</v>
      </c>
    </row>
    <row r="846" spans="1:13" ht="25.5">
      <c r="A846" s="313" t="str">
        <f t="shared" si="13"/>
        <v>AeroMoveAreaPaveCondCode_ruined</v>
      </c>
      <c r="B846" s="330"/>
      <c r="C846" s="334"/>
      <c r="D846" s="188" t="s">
        <v>15052</v>
      </c>
      <c r="E846" s="189" t="s">
        <v>15053</v>
      </c>
      <c r="F846" s="162" t="s">
        <v>15054</v>
      </c>
      <c r="G846" s="190"/>
      <c r="H846" s="219"/>
      <c r="I846" s="169">
        <v>116573</v>
      </c>
      <c r="J846" s="304" t="str">
        <f>CONCATENATE([2]Cover!$D$6,"fdd/view?i=",I846)</f>
        <v>https://www.dgiwg.org/FAD/fdd/view?i=116573</v>
      </c>
      <c r="K846" s="304" t="s">
        <v>34895</v>
      </c>
      <c r="L846" s="188">
        <v>5</v>
      </c>
      <c r="M846" s="179" t="s">
        <v>151</v>
      </c>
    </row>
    <row r="847" spans="1:13" ht="25.5">
      <c r="A847" s="313" t="str">
        <f t="shared" si="13"/>
        <v>AeroMoveAreaPaveCondCode_underConstruction</v>
      </c>
      <c r="B847" s="331"/>
      <c r="C847" s="335"/>
      <c r="D847" s="181" t="s">
        <v>15055</v>
      </c>
      <c r="E847" s="192" t="s">
        <v>15056</v>
      </c>
      <c r="F847" s="193" t="s">
        <v>15057</v>
      </c>
      <c r="G847" s="194"/>
      <c r="H847" s="220"/>
      <c r="I847" s="169">
        <v>116571</v>
      </c>
      <c r="J847" s="304" t="str">
        <f>CONCATENATE([2]Cover!$D$6,"fdd/view?i=",I847)</f>
        <v>https://www.dgiwg.org/FAD/fdd/view?i=116571</v>
      </c>
      <c r="K847" s="304" t="s">
        <v>34896</v>
      </c>
      <c r="L847" s="181">
        <v>3</v>
      </c>
      <c r="M847" s="179" t="s">
        <v>151</v>
      </c>
    </row>
    <row r="848" spans="1:13" ht="38.25">
      <c r="A848" s="313" t="str">
        <f t="shared" si="13"/>
        <v>AeroMoveAreaSurfaceCatCode_completelyPaved</v>
      </c>
      <c r="B848" s="332" t="str">
        <f>HYPERLINK("[#]Datatypes!A44:L44","AeroMoveAreaSurfaceCatCode")</f>
        <v>AeroMoveAreaSurfaceCatCode</v>
      </c>
      <c r="C848" s="333" t="s">
        <v>11479</v>
      </c>
      <c r="D848" s="202" t="s">
        <v>15058</v>
      </c>
      <c r="E848" s="203" t="s">
        <v>15059</v>
      </c>
      <c r="F848" s="204" t="s">
        <v>15060</v>
      </c>
      <c r="G848" s="204" t="s">
        <v>15061</v>
      </c>
      <c r="H848" s="218"/>
      <c r="I848" s="169">
        <v>116529</v>
      </c>
      <c r="J848" s="304" t="str">
        <f>CONCATENATE([2]Cover!$D$6,"fdd/view?i=",I848)</f>
        <v>https://www.dgiwg.org/FAD/fdd/view?i=116529</v>
      </c>
      <c r="K848" s="304" t="s">
        <v>34897</v>
      </c>
      <c r="L848" s="202">
        <v>1</v>
      </c>
      <c r="M848" s="179" t="s">
        <v>151</v>
      </c>
    </row>
    <row r="849" spans="1:13" ht="25.5">
      <c r="A849" s="313" t="str">
        <f t="shared" si="13"/>
        <v>AeroMoveAreaSurfaceCatCode_mostlyPaved</v>
      </c>
      <c r="B849" s="330"/>
      <c r="C849" s="334"/>
      <c r="D849" s="188" t="s">
        <v>15062</v>
      </c>
      <c r="E849" s="189" t="s">
        <v>15063</v>
      </c>
      <c r="F849" s="162" t="s">
        <v>15064</v>
      </c>
      <c r="G849" s="190"/>
      <c r="H849" s="219"/>
      <c r="I849" s="169">
        <v>116530</v>
      </c>
      <c r="J849" s="304" t="str">
        <f>CONCATENATE([2]Cover!$D$6,"fdd/view?i=",I849)</f>
        <v>https://www.dgiwg.org/FAD/fdd/view?i=116530</v>
      </c>
      <c r="K849" s="304" t="s">
        <v>34898</v>
      </c>
      <c r="L849" s="188">
        <v>2</v>
      </c>
      <c r="M849" s="179" t="s">
        <v>151</v>
      </c>
    </row>
    <row r="850" spans="1:13" ht="25.5">
      <c r="A850" s="313" t="str">
        <f t="shared" si="13"/>
        <v>AeroMoveAreaSurfaceCatCode_partiallyPaved</v>
      </c>
      <c r="B850" s="330"/>
      <c r="C850" s="334"/>
      <c r="D850" s="188" t="s">
        <v>15065</v>
      </c>
      <c r="E850" s="189" t="s">
        <v>15066</v>
      </c>
      <c r="F850" s="162" t="s">
        <v>15067</v>
      </c>
      <c r="G850" s="190"/>
      <c r="H850" s="219"/>
      <c r="I850" s="169">
        <v>116532</v>
      </c>
      <c r="J850" s="304" t="str">
        <f>CONCATENATE([2]Cover!$D$6,"fdd/view?i=",I850)</f>
        <v>https://www.dgiwg.org/FAD/fdd/view?i=116532</v>
      </c>
      <c r="K850" s="304" t="s">
        <v>34899</v>
      </c>
      <c r="L850" s="188">
        <v>4</v>
      </c>
      <c r="M850" s="179" t="s">
        <v>151</v>
      </c>
    </row>
    <row r="851" spans="1:13" ht="89.25">
      <c r="A851" s="313" t="str">
        <f t="shared" si="13"/>
        <v>AeroMoveAreaSurfaceCatCode_unpaved</v>
      </c>
      <c r="B851" s="330"/>
      <c r="C851" s="334"/>
      <c r="D851" s="188" t="s">
        <v>15068</v>
      </c>
      <c r="E851" s="189" t="s">
        <v>15069</v>
      </c>
      <c r="F851" s="162" t="s">
        <v>15070</v>
      </c>
      <c r="G851" s="162" t="s">
        <v>15071</v>
      </c>
      <c r="H851" s="219"/>
      <c r="I851" s="169">
        <v>116533</v>
      </c>
      <c r="J851" s="304" t="str">
        <f>CONCATENATE([2]Cover!$D$6,"fdd/view?i=",I851)</f>
        <v>https://www.dgiwg.org/FAD/fdd/view?i=116533</v>
      </c>
      <c r="K851" s="304" t="s">
        <v>34900</v>
      </c>
      <c r="L851" s="188">
        <v>5</v>
      </c>
      <c r="M851" s="179" t="s">
        <v>151</v>
      </c>
    </row>
    <row r="852" spans="1:13" ht="25.5">
      <c r="A852" s="313" t="str">
        <f t="shared" si="13"/>
        <v>AeroMoveAreaSurfaceCatCode_unprepared</v>
      </c>
      <c r="B852" s="331"/>
      <c r="C852" s="335"/>
      <c r="D852" s="181" t="s">
        <v>15072</v>
      </c>
      <c r="E852" s="192" t="s">
        <v>15073</v>
      </c>
      <c r="F852" s="193" t="s">
        <v>15074</v>
      </c>
      <c r="G852" s="193" t="s">
        <v>15075</v>
      </c>
      <c r="H852" s="220"/>
      <c r="I852" s="169">
        <v>116531</v>
      </c>
      <c r="J852" s="304" t="str">
        <f>CONCATENATE([2]Cover!$D$6,"fdd/view?i=",I852)</f>
        <v>https://www.dgiwg.org/FAD/fdd/view?i=116531</v>
      </c>
      <c r="K852" s="304" t="s">
        <v>34901</v>
      </c>
      <c r="L852" s="181">
        <v>3</v>
      </c>
      <c r="M852" s="179" t="s">
        <v>151</v>
      </c>
    </row>
    <row r="853" spans="1:13" ht="76.5">
      <c r="A853" s="313" t="str">
        <f t="shared" si="13"/>
        <v>AeroMoveAreaSurfaceCompCode_asphalt</v>
      </c>
      <c r="B853" s="332" t="str">
        <f>HYPERLINK("[#]Datatypes!A46:L46","AeroMoveAreaSurfaceCompCode")</f>
        <v>AeroMoveAreaSurfaceCompCode</v>
      </c>
      <c r="C853" s="333" t="s">
        <v>11481</v>
      </c>
      <c r="D853" s="202" t="s">
        <v>15076</v>
      </c>
      <c r="E853" s="203" t="s">
        <v>15077</v>
      </c>
      <c r="F853" s="204" t="s">
        <v>15078</v>
      </c>
      <c r="G853" s="204" t="s">
        <v>15079</v>
      </c>
      <c r="H853" s="218"/>
      <c r="I853" s="169">
        <v>116534</v>
      </c>
      <c r="J853" s="304" t="str">
        <f>CONCATENATE([2]Cover!$D$6,"fdd/view?i=",I853)</f>
        <v>https://www.dgiwg.org/FAD/fdd/view?i=116534</v>
      </c>
      <c r="K853" s="304" t="s">
        <v>34902</v>
      </c>
      <c r="L853" s="202">
        <v>1</v>
      </c>
      <c r="M853" s="179" t="s">
        <v>151</v>
      </c>
    </row>
    <row r="854" spans="1:13" ht="25.5">
      <c r="A854" s="313" t="str">
        <f t="shared" si="13"/>
        <v>AeroMoveAreaSurfaceCompCode_asphaltOverConcrete</v>
      </c>
      <c r="B854" s="330"/>
      <c r="C854" s="334"/>
      <c r="D854" s="188" t="s">
        <v>15080</v>
      </c>
      <c r="E854" s="189" t="s">
        <v>15081</v>
      </c>
      <c r="F854" s="162" t="s">
        <v>15082</v>
      </c>
      <c r="G854" s="190"/>
      <c r="H854" s="219"/>
      <c r="I854" s="169">
        <v>116554</v>
      </c>
      <c r="J854" s="304" t="str">
        <f>CONCATENATE([2]Cover!$D$6,"fdd/view?i=",I854)</f>
        <v>https://www.dgiwg.org/FAD/fdd/view?i=116554</v>
      </c>
      <c r="K854" s="304" t="s">
        <v>34903</v>
      </c>
      <c r="L854" s="188">
        <v>21</v>
      </c>
      <c r="M854" s="179" t="s">
        <v>151</v>
      </c>
    </row>
    <row r="855" spans="1:13" ht="76.5">
      <c r="A855" s="313" t="str">
        <f t="shared" si="13"/>
        <v>AeroMoveAreaSurfaceCompCode_bituminousMix</v>
      </c>
      <c r="B855" s="330"/>
      <c r="C855" s="334"/>
      <c r="D855" s="188" t="s">
        <v>15083</v>
      </c>
      <c r="E855" s="189" t="s">
        <v>15084</v>
      </c>
      <c r="F855" s="162" t="s">
        <v>15085</v>
      </c>
      <c r="G855" s="162" t="s">
        <v>15086</v>
      </c>
      <c r="H855" s="219"/>
      <c r="I855" s="169">
        <v>116535</v>
      </c>
      <c r="J855" s="304" t="str">
        <f>CONCATENATE([2]Cover!$D$6,"fdd/view?i=",I855)</f>
        <v>https://www.dgiwg.org/FAD/fdd/view?i=116535</v>
      </c>
      <c r="K855" s="304" t="s">
        <v>34904</v>
      </c>
      <c r="L855" s="188">
        <v>2</v>
      </c>
      <c r="M855" s="179" t="s">
        <v>151</v>
      </c>
    </row>
    <row r="856" spans="1:13" ht="25.5">
      <c r="A856" s="313" t="str">
        <f t="shared" si="13"/>
        <v>AeroMoveAreaSurfaceCompCode_brick</v>
      </c>
      <c r="B856" s="330"/>
      <c r="C856" s="334"/>
      <c r="D856" s="188" t="s">
        <v>15087</v>
      </c>
      <c r="E856" s="189" t="s">
        <v>15088</v>
      </c>
      <c r="F856" s="162" t="s">
        <v>15089</v>
      </c>
      <c r="G856" s="190"/>
      <c r="H856" s="219"/>
      <c r="I856" s="169">
        <v>116536</v>
      </c>
      <c r="J856" s="304" t="str">
        <f>CONCATENATE([2]Cover!$D$6,"fdd/view?i=",I856)</f>
        <v>https://www.dgiwg.org/FAD/fdd/view?i=116536</v>
      </c>
      <c r="K856" s="304" t="s">
        <v>34905</v>
      </c>
      <c r="L856" s="188">
        <v>3</v>
      </c>
      <c r="M856" s="179" t="s">
        <v>151</v>
      </c>
    </row>
    <row r="857" spans="1:13" ht="25.5">
      <c r="A857" s="313" t="str">
        <f t="shared" si="13"/>
        <v>AeroMoveAreaSurfaceCompCode_clay</v>
      </c>
      <c r="B857" s="330"/>
      <c r="C857" s="334"/>
      <c r="D857" s="188" t="s">
        <v>15090</v>
      </c>
      <c r="E857" s="189" t="s">
        <v>15091</v>
      </c>
      <c r="F857" s="162" t="s">
        <v>15092</v>
      </c>
      <c r="G857" s="190"/>
      <c r="H857" s="219"/>
      <c r="I857" s="169">
        <v>116537</v>
      </c>
      <c r="J857" s="304" t="str">
        <f>CONCATENATE([2]Cover!$D$6,"fdd/view?i=",I857)</f>
        <v>https://www.dgiwg.org/FAD/fdd/view?i=116537</v>
      </c>
      <c r="K857" s="304" t="s">
        <v>34906</v>
      </c>
      <c r="L857" s="188">
        <v>4</v>
      </c>
      <c r="M857" s="179" t="s">
        <v>151</v>
      </c>
    </row>
    <row r="858" spans="1:13" ht="76.5">
      <c r="A858" s="313" t="str">
        <f t="shared" si="13"/>
        <v>AeroMoveAreaSurfaceCompCode_concrete</v>
      </c>
      <c r="B858" s="330"/>
      <c r="C858" s="334"/>
      <c r="D858" s="188" t="s">
        <v>15093</v>
      </c>
      <c r="E858" s="189" t="s">
        <v>15094</v>
      </c>
      <c r="F858" s="162" t="s">
        <v>15095</v>
      </c>
      <c r="G858" s="162" t="s">
        <v>15096</v>
      </c>
      <c r="H858" s="219"/>
      <c r="I858" s="169">
        <v>116538</v>
      </c>
      <c r="J858" s="304" t="str">
        <f>CONCATENATE([2]Cover!$D$6,"fdd/view?i=",I858)</f>
        <v>https://www.dgiwg.org/FAD/fdd/view?i=116538</v>
      </c>
      <c r="K858" s="304" t="s">
        <v>34907</v>
      </c>
      <c r="L858" s="188">
        <v>5</v>
      </c>
      <c r="M858" s="179" t="s">
        <v>151</v>
      </c>
    </row>
    <row r="859" spans="1:13" ht="25.5">
      <c r="A859" s="313" t="str">
        <f t="shared" si="13"/>
        <v>AeroMoveAreaSurfaceCompCode_coral</v>
      </c>
      <c r="B859" s="330"/>
      <c r="C859" s="334"/>
      <c r="D859" s="188" t="s">
        <v>15097</v>
      </c>
      <c r="E859" s="189" t="s">
        <v>15098</v>
      </c>
      <c r="F859" s="162" t="s">
        <v>15099</v>
      </c>
      <c r="G859" s="162" t="s">
        <v>15100</v>
      </c>
      <c r="H859" s="219"/>
      <c r="I859" s="169">
        <v>116539</v>
      </c>
      <c r="J859" s="304" t="str">
        <f>CONCATENATE([2]Cover!$D$6,"fdd/view?i=",I859)</f>
        <v>https://www.dgiwg.org/FAD/fdd/view?i=116539</v>
      </c>
      <c r="K859" s="304" t="s">
        <v>34908</v>
      </c>
      <c r="L859" s="188">
        <v>6</v>
      </c>
      <c r="M859" s="179" t="s">
        <v>151</v>
      </c>
    </row>
    <row r="860" spans="1:13" ht="25.5">
      <c r="A860" s="313" t="str">
        <f t="shared" si="13"/>
        <v>AeroMoveAreaSurfaceCompCode_earthen</v>
      </c>
      <c r="B860" s="330"/>
      <c r="C860" s="334"/>
      <c r="D860" s="188" t="s">
        <v>15101</v>
      </c>
      <c r="E860" s="189" t="s">
        <v>15102</v>
      </c>
      <c r="F860" s="162" t="s">
        <v>15103</v>
      </c>
      <c r="G860" s="162" t="s">
        <v>15104</v>
      </c>
      <c r="H860" s="219"/>
      <c r="I860" s="169">
        <v>116540</v>
      </c>
      <c r="J860" s="304" t="str">
        <f>CONCATENATE([2]Cover!$D$6,"fdd/view?i=",I860)</f>
        <v>https://www.dgiwg.org/FAD/fdd/view?i=116540</v>
      </c>
      <c r="K860" s="304" t="s">
        <v>34909</v>
      </c>
      <c r="L860" s="188">
        <v>7</v>
      </c>
      <c r="M860" s="179" t="s">
        <v>151</v>
      </c>
    </row>
    <row r="861" spans="1:13" ht="25.5">
      <c r="A861" s="313" t="str">
        <f t="shared" si="13"/>
        <v>AeroMoveAreaSurfaceCompCode_gravel</v>
      </c>
      <c r="B861" s="330"/>
      <c r="C861" s="334"/>
      <c r="D861" s="188" t="s">
        <v>15105</v>
      </c>
      <c r="E861" s="189" t="s">
        <v>15106</v>
      </c>
      <c r="F861" s="162" t="s">
        <v>15107</v>
      </c>
      <c r="G861" s="162" t="s">
        <v>15100</v>
      </c>
      <c r="H861" s="219"/>
      <c r="I861" s="169">
        <v>116541</v>
      </c>
      <c r="J861" s="304" t="str">
        <f>CONCATENATE([2]Cover!$D$6,"fdd/view?i=",I861)</f>
        <v>https://www.dgiwg.org/FAD/fdd/view?i=116541</v>
      </c>
      <c r="K861" s="304" t="s">
        <v>34910</v>
      </c>
      <c r="L861" s="188">
        <v>8</v>
      </c>
      <c r="M861" s="179" t="s">
        <v>151</v>
      </c>
    </row>
    <row r="862" spans="1:13" ht="25.5">
      <c r="A862" s="313" t="str">
        <f t="shared" si="13"/>
        <v>AeroMoveAreaSurfaceCompCode_ice</v>
      </c>
      <c r="B862" s="330"/>
      <c r="C862" s="334"/>
      <c r="D862" s="188" t="s">
        <v>15108</v>
      </c>
      <c r="E862" s="189" t="s">
        <v>15109</v>
      </c>
      <c r="F862" s="162" t="s">
        <v>15110</v>
      </c>
      <c r="G862" s="162" t="s">
        <v>15111</v>
      </c>
      <c r="H862" s="219"/>
      <c r="I862" s="169">
        <v>116542</v>
      </c>
      <c r="J862" s="304" t="str">
        <f>CONCATENATE([2]Cover!$D$6,"fdd/view?i=",I862)</f>
        <v>https://www.dgiwg.org/FAD/fdd/view?i=116542</v>
      </c>
      <c r="K862" s="304" t="s">
        <v>34911</v>
      </c>
      <c r="L862" s="188">
        <v>9</v>
      </c>
      <c r="M862" s="179" t="s">
        <v>151</v>
      </c>
    </row>
    <row r="863" spans="1:13" ht="89.25">
      <c r="A863" s="313" t="str">
        <f t="shared" si="13"/>
        <v>AeroMoveAreaSurfaceCompCode_landingMat</v>
      </c>
      <c r="B863" s="330"/>
      <c r="C863" s="334"/>
      <c r="D863" s="188" t="s">
        <v>15112</v>
      </c>
      <c r="E863" s="189" t="s">
        <v>15113</v>
      </c>
      <c r="F863" s="162" t="s">
        <v>15114</v>
      </c>
      <c r="G863" s="162" t="s">
        <v>15115</v>
      </c>
      <c r="H863" s="219"/>
      <c r="I863" s="169">
        <v>116543</v>
      </c>
      <c r="J863" s="304" t="str">
        <f>CONCATENATE([2]Cover!$D$6,"fdd/view?i=",I863)</f>
        <v>https://www.dgiwg.org/FAD/fdd/view?i=116543</v>
      </c>
      <c r="K863" s="304" t="s">
        <v>34912</v>
      </c>
      <c r="L863" s="188">
        <v>10</v>
      </c>
      <c r="M863" s="179" t="s">
        <v>151</v>
      </c>
    </row>
    <row r="864" spans="1:13" ht="89.25">
      <c r="A864" s="313" t="str">
        <f t="shared" si="13"/>
        <v>AeroMoveAreaSurfaceCompCode_laterite</v>
      </c>
      <c r="B864" s="330"/>
      <c r="C864" s="334"/>
      <c r="D864" s="188" t="s">
        <v>15116</v>
      </c>
      <c r="E864" s="189" t="s">
        <v>15117</v>
      </c>
      <c r="F864" s="162" t="s">
        <v>15118</v>
      </c>
      <c r="G864" s="162" t="s">
        <v>15119</v>
      </c>
      <c r="H864" s="219"/>
      <c r="I864" s="169">
        <v>116544</v>
      </c>
      <c r="J864" s="304" t="str">
        <f>CONCATENATE([2]Cover!$D$6,"fdd/view?i=",I864)</f>
        <v>https://www.dgiwg.org/FAD/fdd/view?i=116544</v>
      </c>
      <c r="K864" s="304" t="s">
        <v>34913</v>
      </c>
      <c r="L864" s="188">
        <v>11</v>
      </c>
      <c r="M864" s="179" t="s">
        <v>151</v>
      </c>
    </row>
    <row r="865" spans="1:13" ht="25.5">
      <c r="A865" s="313" t="str">
        <f t="shared" si="13"/>
        <v>AeroMoveAreaSurfaceCompCode_macadam</v>
      </c>
      <c r="B865" s="330"/>
      <c r="C865" s="334"/>
      <c r="D865" s="188" t="s">
        <v>15120</v>
      </c>
      <c r="E865" s="189" t="s">
        <v>15121</v>
      </c>
      <c r="F865" s="162" t="s">
        <v>15122</v>
      </c>
      <c r="G865" s="162" t="s">
        <v>15123</v>
      </c>
      <c r="H865" s="221" t="s">
        <v>15124</v>
      </c>
      <c r="I865" s="169">
        <v>116545</v>
      </c>
      <c r="J865" s="304" t="str">
        <f>CONCATENATE([2]Cover!$D$6,"fdd/view?i=",I865)</f>
        <v>https://www.dgiwg.org/FAD/fdd/view?i=116545</v>
      </c>
      <c r="K865" s="304" t="s">
        <v>34914</v>
      </c>
      <c r="L865" s="188">
        <v>12</v>
      </c>
      <c r="M865" s="179" t="s">
        <v>151</v>
      </c>
    </row>
    <row r="866" spans="1:13" ht="38.25">
      <c r="A866" s="313" t="str">
        <f t="shared" si="13"/>
        <v>AeroMoveAreaSurfaceCompCode_membrane</v>
      </c>
      <c r="B866" s="330"/>
      <c r="C866" s="334"/>
      <c r="D866" s="188" t="s">
        <v>15125</v>
      </c>
      <c r="E866" s="189" t="s">
        <v>15126</v>
      </c>
      <c r="F866" s="162" t="s">
        <v>15127</v>
      </c>
      <c r="G866" s="162" t="s">
        <v>15128</v>
      </c>
      <c r="H866" s="219"/>
      <c r="I866" s="169">
        <v>116546</v>
      </c>
      <c r="J866" s="304" t="str">
        <f>CONCATENATE([2]Cover!$D$6,"fdd/view?i=",I866)</f>
        <v>https://www.dgiwg.org/FAD/fdd/view?i=116546</v>
      </c>
      <c r="K866" s="304" t="s">
        <v>34915</v>
      </c>
      <c r="L866" s="188">
        <v>13</v>
      </c>
      <c r="M866" s="179" t="s">
        <v>151</v>
      </c>
    </row>
    <row r="867" spans="1:13" ht="25.5">
      <c r="A867" s="313" t="str">
        <f t="shared" si="13"/>
        <v>AeroMoveAreaSurfaceCompCode_nonBituminousMix</v>
      </c>
      <c r="B867" s="330"/>
      <c r="C867" s="334"/>
      <c r="D867" s="188" t="s">
        <v>15129</v>
      </c>
      <c r="E867" s="189" t="s">
        <v>15130</v>
      </c>
      <c r="F867" s="162" t="s">
        <v>15131</v>
      </c>
      <c r="G867" s="190"/>
      <c r="H867" s="219"/>
      <c r="I867" s="169">
        <v>116547</v>
      </c>
      <c r="J867" s="304" t="str">
        <f>CONCATENATE([2]Cover!$D$6,"fdd/view?i=",I867)</f>
        <v>https://www.dgiwg.org/FAD/fdd/view?i=116547</v>
      </c>
      <c r="K867" s="304" t="s">
        <v>34916</v>
      </c>
      <c r="L867" s="188">
        <v>14</v>
      </c>
      <c r="M867" s="179" t="s">
        <v>151</v>
      </c>
    </row>
    <row r="868" spans="1:13" ht="38.25">
      <c r="A868" s="313" t="str">
        <f t="shared" si="13"/>
        <v>AeroMoveAreaSurfaceCompCode_piercedSteelPlanking</v>
      </c>
      <c r="B868" s="330"/>
      <c r="C868" s="334"/>
      <c r="D868" s="188" t="s">
        <v>15132</v>
      </c>
      <c r="E868" s="189" t="s">
        <v>15133</v>
      </c>
      <c r="F868" s="162" t="s">
        <v>15134</v>
      </c>
      <c r="G868" s="162" t="s">
        <v>15135</v>
      </c>
      <c r="H868" s="221" t="s">
        <v>15136</v>
      </c>
      <c r="I868" s="169">
        <v>116548</v>
      </c>
      <c r="J868" s="304" t="str">
        <f>CONCATENATE([2]Cover!$D$6,"fdd/view?i=",I868)</f>
        <v>https://www.dgiwg.org/FAD/fdd/view?i=116548</v>
      </c>
      <c r="K868" s="304" t="s">
        <v>34917</v>
      </c>
      <c r="L868" s="188">
        <v>15</v>
      </c>
      <c r="M868" s="179" t="s">
        <v>151</v>
      </c>
    </row>
    <row r="869" spans="1:13" ht="25.5">
      <c r="A869" s="313" t="str">
        <f t="shared" si="13"/>
        <v>AeroMoveAreaSurfaceCompCode_sand</v>
      </c>
      <c r="B869" s="330"/>
      <c r="C869" s="334"/>
      <c r="D869" s="188" t="s">
        <v>15137</v>
      </c>
      <c r="E869" s="189" t="s">
        <v>15138</v>
      </c>
      <c r="F869" s="162" t="s">
        <v>15139</v>
      </c>
      <c r="G869" s="190"/>
      <c r="H869" s="219"/>
      <c r="I869" s="169">
        <v>116549</v>
      </c>
      <c r="J869" s="304" t="str">
        <f>CONCATENATE([2]Cover!$D$6,"fdd/view?i=",I869)</f>
        <v>https://www.dgiwg.org/FAD/fdd/view?i=116549</v>
      </c>
      <c r="K869" s="304" t="s">
        <v>34918</v>
      </c>
      <c r="L869" s="188">
        <v>16</v>
      </c>
      <c r="M869" s="179" t="s">
        <v>151</v>
      </c>
    </row>
    <row r="870" spans="1:13" ht="38.25">
      <c r="A870" s="313" t="str">
        <f t="shared" si="13"/>
        <v>AeroMoveAreaSurfaceCompCode_snow</v>
      </c>
      <c r="B870" s="330"/>
      <c r="C870" s="334"/>
      <c r="D870" s="188" t="s">
        <v>15140</v>
      </c>
      <c r="E870" s="189" t="s">
        <v>15141</v>
      </c>
      <c r="F870" s="162" t="s">
        <v>15142</v>
      </c>
      <c r="G870" s="190"/>
      <c r="H870" s="219"/>
      <c r="I870" s="169">
        <v>116550</v>
      </c>
      <c r="J870" s="304" t="str">
        <f>CONCATENATE([2]Cover!$D$6,"fdd/view?i=",I870)</f>
        <v>https://www.dgiwg.org/FAD/fdd/view?i=116550</v>
      </c>
      <c r="K870" s="304" t="s">
        <v>34919</v>
      </c>
      <c r="L870" s="188">
        <v>17</v>
      </c>
      <c r="M870" s="179" t="s">
        <v>151</v>
      </c>
    </row>
    <row r="871" spans="1:13" ht="25.5">
      <c r="A871" s="313" t="str">
        <f t="shared" si="13"/>
        <v>AeroMoveAreaSurfaceCompCode_stone</v>
      </c>
      <c r="B871" s="330"/>
      <c r="C871" s="334"/>
      <c r="D871" s="188" t="s">
        <v>15143</v>
      </c>
      <c r="E871" s="189" t="s">
        <v>15144</v>
      </c>
      <c r="F871" s="162" t="s">
        <v>15145</v>
      </c>
      <c r="G871" s="190"/>
      <c r="H871" s="219"/>
      <c r="I871" s="169">
        <v>116551</v>
      </c>
      <c r="J871" s="304" t="str">
        <f>CONCATENATE([2]Cover!$D$6,"fdd/view?i=",I871)</f>
        <v>https://www.dgiwg.org/FAD/fdd/view?i=116551</v>
      </c>
      <c r="K871" s="304" t="s">
        <v>34920</v>
      </c>
      <c r="L871" s="188">
        <v>18</v>
      </c>
      <c r="M871" s="179" t="s">
        <v>151</v>
      </c>
    </row>
    <row r="872" spans="1:13" ht="25.5">
      <c r="A872" s="313" t="str">
        <f t="shared" si="13"/>
        <v>AeroMoveAreaSurfaceCompCode_water</v>
      </c>
      <c r="B872" s="330"/>
      <c r="C872" s="334"/>
      <c r="D872" s="188" t="s">
        <v>15146</v>
      </c>
      <c r="E872" s="189" t="s">
        <v>15147</v>
      </c>
      <c r="F872" s="162" t="s">
        <v>15148</v>
      </c>
      <c r="G872" s="190"/>
      <c r="H872" s="219"/>
      <c r="I872" s="169">
        <v>116552</v>
      </c>
      <c r="J872" s="304" t="str">
        <f>CONCATENATE([2]Cover!$D$6,"fdd/view?i=",I872)</f>
        <v>https://www.dgiwg.org/FAD/fdd/view?i=116552</v>
      </c>
      <c r="K872" s="304" t="s">
        <v>34921</v>
      </c>
      <c r="L872" s="188">
        <v>19</v>
      </c>
      <c r="M872" s="179" t="s">
        <v>151</v>
      </c>
    </row>
    <row r="873" spans="1:13" ht="25.5">
      <c r="A873" s="313" t="str">
        <f t="shared" si="13"/>
        <v>AeroMoveAreaSurfaceCompCode_wood</v>
      </c>
      <c r="B873" s="331"/>
      <c r="C873" s="335"/>
      <c r="D873" s="181" t="s">
        <v>15149</v>
      </c>
      <c r="E873" s="192" t="s">
        <v>15150</v>
      </c>
      <c r="F873" s="193" t="s">
        <v>15151</v>
      </c>
      <c r="G873" s="194"/>
      <c r="H873" s="220"/>
      <c r="I873" s="169">
        <v>116553</v>
      </c>
      <c r="J873" s="304" t="str">
        <f>CONCATENATE([2]Cover!$D$6,"fdd/view?i=",I873)</f>
        <v>https://www.dgiwg.org/FAD/fdd/view?i=116553</v>
      </c>
      <c r="K873" s="304" t="s">
        <v>34922</v>
      </c>
      <c r="L873" s="181">
        <v>20</v>
      </c>
      <c r="M873" s="179" t="s">
        <v>151</v>
      </c>
    </row>
    <row r="874" spans="1:13" ht="25.5">
      <c r="A874" s="313" t="str">
        <f t="shared" si="13"/>
        <v>AeroMoveAreaSurfacePrepCode_aggregateSealCoat</v>
      </c>
      <c r="B874" s="332" t="str">
        <f>HYPERLINK("[#]Datatypes!A48:L48","AeroMoveAreaSurfacePrepCode")</f>
        <v>AeroMoveAreaSurfacePrepCode</v>
      </c>
      <c r="C874" s="333" t="s">
        <v>11483</v>
      </c>
      <c r="D874" s="202" t="s">
        <v>15152</v>
      </c>
      <c r="E874" s="203" t="s">
        <v>15153</v>
      </c>
      <c r="F874" s="204" t="s">
        <v>15154</v>
      </c>
      <c r="G874" s="205"/>
      <c r="H874" s="218"/>
      <c r="I874" s="169">
        <v>116555</v>
      </c>
      <c r="J874" s="304" t="str">
        <f>CONCATENATE([2]Cover!$D$6,"fdd/view?i=",I874)</f>
        <v>https://www.dgiwg.org/FAD/fdd/view?i=116555</v>
      </c>
      <c r="K874" s="304" t="s">
        <v>34923</v>
      </c>
      <c r="L874" s="202">
        <v>1</v>
      </c>
      <c r="M874" s="179" t="s">
        <v>151</v>
      </c>
    </row>
    <row r="875" spans="1:13" ht="25.5">
      <c r="A875" s="313" t="str">
        <f t="shared" si="13"/>
        <v>AeroMoveAreaSurfacePrepCode_graded</v>
      </c>
      <c r="B875" s="330"/>
      <c r="C875" s="334"/>
      <c r="D875" s="188" t="s">
        <v>15155</v>
      </c>
      <c r="E875" s="189" t="s">
        <v>15156</v>
      </c>
      <c r="F875" s="162" t="s">
        <v>15157</v>
      </c>
      <c r="G875" s="162" t="s">
        <v>15158</v>
      </c>
      <c r="H875" s="219"/>
      <c r="I875" s="169">
        <v>116556</v>
      </c>
      <c r="J875" s="304" t="str">
        <f>CONCATENATE([2]Cover!$D$6,"fdd/view?i=",I875)</f>
        <v>https://www.dgiwg.org/FAD/fdd/view?i=116556</v>
      </c>
      <c r="K875" s="304" t="s">
        <v>34924</v>
      </c>
      <c r="L875" s="188">
        <v>2</v>
      </c>
      <c r="M875" s="179" t="s">
        <v>151</v>
      </c>
    </row>
    <row r="876" spans="1:13" ht="25.5">
      <c r="A876" s="313" t="str">
        <f t="shared" si="13"/>
        <v>AeroMoveAreaSurfacePrepCode_grass</v>
      </c>
      <c r="B876" s="330"/>
      <c r="C876" s="334"/>
      <c r="D876" s="188" t="s">
        <v>15159</v>
      </c>
      <c r="E876" s="189" t="s">
        <v>15160</v>
      </c>
      <c r="F876" s="162" t="s">
        <v>15161</v>
      </c>
      <c r="G876" s="190"/>
      <c r="H876" s="219"/>
      <c r="I876" s="169">
        <v>116557</v>
      </c>
      <c r="J876" s="304" t="str">
        <f>CONCATENATE([2]Cover!$D$6,"fdd/view?i=",I876)</f>
        <v>https://www.dgiwg.org/FAD/fdd/view?i=116557</v>
      </c>
      <c r="K876" s="304" t="s">
        <v>34925</v>
      </c>
      <c r="L876" s="188">
        <v>3</v>
      </c>
      <c r="M876" s="179" t="s">
        <v>151</v>
      </c>
    </row>
    <row r="877" spans="1:13" ht="38.25">
      <c r="A877" s="313" t="str">
        <f t="shared" si="13"/>
        <v>AeroMoveAreaSurfacePrepCode_grooved</v>
      </c>
      <c r="B877" s="330"/>
      <c r="C877" s="334"/>
      <c r="D877" s="188" t="s">
        <v>15162</v>
      </c>
      <c r="E877" s="189" t="s">
        <v>15163</v>
      </c>
      <c r="F877" s="162" t="s">
        <v>15164</v>
      </c>
      <c r="G877" s="162" t="s">
        <v>15165</v>
      </c>
      <c r="H877" s="219"/>
      <c r="I877" s="169">
        <v>116558</v>
      </c>
      <c r="J877" s="304" t="str">
        <f>CONCATENATE([2]Cover!$D$6,"fdd/view?i=",I877)</f>
        <v>https://www.dgiwg.org/FAD/fdd/view?i=116558</v>
      </c>
      <c r="K877" s="304" t="s">
        <v>34926</v>
      </c>
      <c r="L877" s="188">
        <v>4</v>
      </c>
      <c r="M877" s="179" t="s">
        <v>151</v>
      </c>
    </row>
    <row r="878" spans="1:13" ht="25.5">
      <c r="A878" s="313" t="str">
        <f t="shared" si="13"/>
        <v>AeroMoveAreaSurfacePrepCode_oiled</v>
      </c>
      <c r="B878" s="330"/>
      <c r="C878" s="334"/>
      <c r="D878" s="188" t="s">
        <v>15166</v>
      </c>
      <c r="E878" s="189" t="s">
        <v>15167</v>
      </c>
      <c r="F878" s="162" t="s">
        <v>15168</v>
      </c>
      <c r="G878" s="162" t="s">
        <v>15169</v>
      </c>
      <c r="H878" s="219"/>
      <c r="I878" s="169">
        <v>116559</v>
      </c>
      <c r="J878" s="304" t="str">
        <f>CONCATENATE([2]Cover!$D$6,"fdd/view?i=",I878)</f>
        <v>https://www.dgiwg.org/FAD/fdd/view?i=116559</v>
      </c>
      <c r="K878" s="304" t="s">
        <v>34927</v>
      </c>
      <c r="L878" s="188">
        <v>5</v>
      </c>
      <c r="M878" s="179" t="s">
        <v>151</v>
      </c>
    </row>
    <row r="879" spans="1:13" ht="51">
      <c r="A879" s="313" t="str">
        <f t="shared" si="13"/>
        <v>AeroMoveAreaSurfacePrepCode_porousFrictionCourse</v>
      </c>
      <c r="B879" s="330"/>
      <c r="C879" s="334"/>
      <c r="D879" s="188" t="s">
        <v>15170</v>
      </c>
      <c r="E879" s="189" t="s">
        <v>15171</v>
      </c>
      <c r="F879" s="162" t="s">
        <v>15172</v>
      </c>
      <c r="G879" s="162" t="s">
        <v>15173</v>
      </c>
      <c r="H879" s="219"/>
      <c r="I879" s="169">
        <v>116560</v>
      </c>
      <c r="J879" s="304" t="str">
        <f>CONCATENATE([2]Cover!$D$6,"fdd/view?i=",I879)</f>
        <v>https://www.dgiwg.org/FAD/fdd/view?i=116560</v>
      </c>
      <c r="K879" s="304" t="s">
        <v>34928</v>
      </c>
      <c r="L879" s="188">
        <v>6</v>
      </c>
      <c r="M879" s="179" t="s">
        <v>151</v>
      </c>
    </row>
    <row r="880" spans="1:13" ht="25.5">
      <c r="A880" s="313" t="str">
        <f t="shared" si="13"/>
        <v>AeroMoveAreaSurfacePrepCode_rolled</v>
      </c>
      <c r="B880" s="330"/>
      <c r="C880" s="334"/>
      <c r="D880" s="188" t="s">
        <v>15174</v>
      </c>
      <c r="E880" s="189" t="s">
        <v>15175</v>
      </c>
      <c r="F880" s="162" t="s">
        <v>15176</v>
      </c>
      <c r="G880" s="190"/>
      <c r="H880" s="219"/>
      <c r="I880" s="169">
        <v>116561</v>
      </c>
      <c r="J880" s="304" t="str">
        <f>CONCATENATE([2]Cover!$D$6,"fdd/view?i=",I880)</f>
        <v>https://www.dgiwg.org/FAD/fdd/view?i=116561</v>
      </c>
      <c r="K880" s="304" t="s">
        <v>34929</v>
      </c>
      <c r="L880" s="188">
        <v>7</v>
      </c>
      <c r="M880" s="179" t="s">
        <v>151</v>
      </c>
    </row>
    <row r="881" spans="1:13" ht="38.25">
      <c r="A881" s="313" t="str">
        <f t="shared" si="13"/>
        <v>AeroMoveAreaSurfacePrepCode_rubberizedSealCoat</v>
      </c>
      <c r="B881" s="331"/>
      <c r="C881" s="335"/>
      <c r="D881" s="181" t="s">
        <v>15177</v>
      </c>
      <c r="E881" s="192" t="s">
        <v>15178</v>
      </c>
      <c r="F881" s="193" t="s">
        <v>15179</v>
      </c>
      <c r="G881" s="193" t="s">
        <v>15180</v>
      </c>
      <c r="H881" s="220"/>
      <c r="I881" s="169">
        <v>116562</v>
      </c>
      <c r="J881" s="304" t="str">
        <f>CONCATENATE([2]Cover!$D$6,"fdd/view?i=",I881)</f>
        <v>https://www.dgiwg.org/FAD/fdd/view?i=116562</v>
      </c>
      <c r="K881" s="304" t="s">
        <v>34930</v>
      </c>
      <c r="L881" s="181">
        <v>8</v>
      </c>
      <c r="M881" s="179" t="s">
        <v>151</v>
      </c>
    </row>
    <row r="882" spans="1:13" ht="38.25">
      <c r="A882" s="313" t="str">
        <f t="shared" si="13"/>
        <v>AeroMoveAreaTypeCode_apron</v>
      </c>
      <c r="B882" s="332" t="str">
        <f>HYPERLINK("[#]Datatypes!A50:L50","AeroMoveAreaTypeCode")</f>
        <v>AeroMoveAreaTypeCode</v>
      </c>
      <c r="C882" s="333" t="s">
        <v>11485</v>
      </c>
      <c r="D882" s="202" t="s">
        <v>15181</v>
      </c>
      <c r="E882" s="203" t="s">
        <v>1554</v>
      </c>
      <c r="F882" s="204" t="s">
        <v>15182</v>
      </c>
      <c r="G882" s="204" t="s">
        <v>15183</v>
      </c>
      <c r="H882" s="218"/>
      <c r="I882" s="169">
        <v>204145</v>
      </c>
      <c r="J882" s="304" t="str">
        <f>CONCATENATE([2]Cover!$D$6,"fdd/view?i=",I882)</f>
        <v>https://www.dgiwg.org/FAD/fdd/view?i=204145</v>
      </c>
      <c r="K882" s="304" t="s">
        <v>34931</v>
      </c>
      <c r="L882" s="202">
        <v>1</v>
      </c>
      <c r="M882" s="179" t="s">
        <v>1295</v>
      </c>
    </row>
    <row r="883" spans="1:13" ht="38.25">
      <c r="A883" s="313" t="str">
        <f t="shared" si="13"/>
        <v>AeroMoveAreaTypeCode_finalApproachTakeOffArea</v>
      </c>
      <c r="B883" s="330"/>
      <c r="C883" s="334"/>
      <c r="D883" s="188" t="s">
        <v>14958</v>
      </c>
      <c r="E883" s="189" t="s">
        <v>2341</v>
      </c>
      <c r="F883" s="162" t="s">
        <v>2342</v>
      </c>
      <c r="G883" s="162" t="s">
        <v>2343</v>
      </c>
      <c r="H883" s="219"/>
      <c r="I883" s="169">
        <v>204146</v>
      </c>
      <c r="J883" s="304" t="str">
        <f>CONCATENATE([2]Cover!$D$6,"fdd/view?i=",I883)</f>
        <v>https://www.dgiwg.org/FAD/fdd/view?i=204146</v>
      </c>
      <c r="K883" s="304" t="s">
        <v>34932</v>
      </c>
      <c r="L883" s="188">
        <v>2</v>
      </c>
      <c r="M883" s="179" t="s">
        <v>1295</v>
      </c>
    </row>
    <row r="884" spans="1:13" ht="63.75">
      <c r="A884" s="313" t="str">
        <f t="shared" si="13"/>
        <v>AeroMoveAreaTypeCode_helipad</v>
      </c>
      <c r="B884" s="330"/>
      <c r="C884" s="334"/>
      <c r="D884" s="188" t="s">
        <v>15184</v>
      </c>
      <c r="E884" s="189" t="s">
        <v>2686</v>
      </c>
      <c r="F884" s="162" t="s">
        <v>2687</v>
      </c>
      <c r="G884" s="162" t="s">
        <v>2688</v>
      </c>
      <c r="H884" s="219"/>
      <c r="I884" s="169">
        <v>204147</v>
      </c>
      <c r="J884" s="304" t="str">
        <f>CONCATENATE([2]Cover!$D$6,"fdd/view?i=",I884)</f>
        <v>https://www.dgiwg.org/FAD/fdd/view?i=204147</v>
      </c>
      <c r="K884" s="304" t="s">
        <v>34933</v>
      </c>
      <c r="L884" s="188">
        <v>3</v>
      </c>
      <c r="M884" s="179" t="s">
        <v>1295</v>
      </c>
    </row>
    <row r="885" spans="1:13" ht="25.5">
      <c r="A885" s="313" t="str">
        <f t="shared" si="13"/>
        <v>AeroMoveAreaTypeCode_runway</v>
      </c>
      <c r="B885" s="330"/>
      <c r="C885" s="334"/>
      <c r="D885" s="188" t="s">
        <v>15185</v>
      </c>
      <c r="E885" s="189" t="s">
        <v>3689</v>
      </c>
      <c r="F885" s="162" t="s">
        <v>3690</v>
      </c>
      <c r="G885" s="190"/>
      <c r="H885" s="219"/>
      <c r="I885" s="169">
        <v>204148</v>
      </c>
      <c r="J885" s="304" t="str">
        <f>CONCATENATE([2]Cover!$D$6,"fdd/view?i=",I885)</f>
        <v>https://www.dgiwg.org/FAD/fdd/view?i=204148</v>
      </c>
      <c r="K885" s="304" t="s">
        <v>34934</v>
      </c>
      <c r="L885" s="188">
        <v>4</v>
      </c>
      <c r="M885" s="179" t="s">
        <v>1295</v>
      </c>
    </row>
    <row r="886" spans="1:13" ht="38.25">
      <c r="A886" s="313" t="str">
        <f t="shared" si="13"/>
        <v>AeroMoveAreaTypeCode_runwayElement</v>
      </c>
      <c r="B886" s="330"/>
      <c r="C886" s="334"/>
      <c r="D886" s="188" t="s">
        <v>15186</v>
      </c>
      <c r="E886" s="189" t="s">
        <v>3708</v>
      </c>
      <c r="F886" s="162" t="s">
        <v>3709</v>
      </c>
      <c r="G886" s="162" t="s">
        <v>3710</v>
      </c>
      <c r="H886" s="219"/>
      <c r="I886" s="169">
        <v>204149</v>
      </c>
      <c r="J886" s="304" t="str">
        <f>CONCATENATE([2]Cover!$D$6,"fdd/view?i=",I886)</f>
        <v>https://www.dgiwg.org/FAD/fdd/view?i=204149</v>
      </c>
      <c r="K886" s="304" t="s">
        <v>34935</v>
      </c>
      <c r="L886" s="188">
        <v>5</v>
      </c>
      <c r="M886" s="179" t="s">
        <v>1295</v>
      </c>
    </row>
    <row r="887" spans="1:13" ht="25.5">
      <c r="A887" s="313" t="str">
        <f t="shared" si="13"/>
        <v>AeroMoveAreaTypeCode_runwayIntersection</v>
      </c>
      <c r="B887" s="330"/>
      <c r="C887" s="334"/>
      <c r="D887" s="188" t="s">
        <v>15187</v>
      </c>
      <c r="E887" s="189" t="s">
        <v>3728</v>
      </c>
      <c r="F887" s="162" t="s">
        <v>3729</v>
      </c>
      <c r="G887" s="162" t="s">
        <v>15188</v>
      </c>
      <c r="H887" s="219"/>
      <c r="I887" s="169">
        <v>204150</v>
      </c>
      <c r="J887" s="304" t="str">
        <f>CONCATENATE([2]Cover!$D$6,"fdd/view?i=",I887)</f>
        <v>https://www.dgiwg.org/FAD/fdd/view?i=204150</v>
      </c>
      <c r="K887" s="304" t="s">
        <v>34936</v>
      </c>
      <c r="L887" s="188">
        <v>6</v>
      </c>
      <c r="M887" s="179" t="s">
        <v>1295</v>
      </c>
    </row>
    <row r="888" spans="1:13" ht="25.5">
      <c r="A888" s="313" t="str">
        <f t="shared" si="13"/>
        <v>AeroMoveAreaTypeCode_runwayTurnPad</v>
      </c>
      <c r="B888" s="330"/>
      <c r="C888" s="334"/>
      <c r="D888" s="188" t="s">
        <v>14998</v>
      </c>
      <c r="E888" s="189" t="s">
        <v>3745</v>
      </c>
      <c r="F888" s="162" t="s">
        <v>3746</v>
      </c>
      <c r="G888" s="190"/>
      <c r="H888" s="219"/>
      <c r="I888" s="169">
        <v>204151</v>
      </c>
      <c r="J888" s="304" t="str">
        <f>CONCATENATE([2]Cover!$D$6,"fdd/view?i=",I888)</f>
        <v>https://www.dgiwg.org/FAD/fdd/view?i=204151</v>
      </c>
      <c r="K888" s="304" t="s">
        <v>34937</v>
      </c>
      <c r="L888" s="188">
        <v>7</v>
      </c>
      <c r="M888" s="179" t="s">
        <v>1295</v>
      </c>
    </row>
    <row r="889" spans="1:13" ht="38.25">
      <c r="A889" s="313" t="str">
        <f t="shared" si="13"/>
        <v>AeroMoveAreaTypeCode_taxiway</v>
      </c>
      <c r="B889" s="330"/>
      <c r="C889" s="334"/>
      <c r="D889" s="188" t="s">
        <v>15189</v>
      </c>
      <c r="E889" s="189" t="s">
        <v>4188</v>
      </c>
      <c r="F889" s="162" t="s">
        <v>4189</v>
      </c>
      <c r="G889" s="190"/>
      <c r="H889" s="219"/>
      <c r="I889" s="169">
        <v>204152</v>
      </c>
      <c r="J889" s="304" t="str">
        <f>CONCATENATE([2]Cover!$D$6,"fdd/view?i=",I889)</f>
        <v>https://www.dgiwg.org/FAD/fdd/view?i=204152</v>
      </c>
      <c r="K889" s="304" t="s">
        <v>34938</v>
      </c>
      <c r="L889" s="188">
        <v>8</v>
      </c>
      <c r="M889" s="179" t="s">
        <v>1295</v>
      </c>
    </row>
    <row r="890" spans="1:13" ht="25.5">
      <c r="A890" s="313" t="str">
        <f t="shared" si="13"/>
        <v>AeroMoveAreaTypeCode_taxiwayElement</v>
      </c>
      <c r="B890" s="330"/>
      <c r="C890" s="334"/>
      <c r="D890" s="188" t="s">
        <v>15190</v>
      </c>
      <c r="E890" s="189" t="s">
        <v>4193</v>
      </c>
      <c r="F890" s="162" t="s">
        <v>4194</v>
      </c>
      <c r="G890" s="190"/>
      <c r="H890" s="219"/>
      <c r="I890" s="169">
        <v>204153</v>
      </c>
      <c r="J890" s="304" t="str">
        <f>CONCATENATE([2]Cover!$D$6,"fdd/view?i=",I890)</f>
        <v>https://www.dgiwg.org/FAD/fdd/view?i=204153</v>
      </c>
      <c r="K890" s="304" t="s">
        <v>34939</v>
      </c>
      <c r="L890" s="188">
        <v>9</v>
      </c>
      <c r="M890" s="179" t="s">
        <v>1295</v>
      </c>
    </row>
    <row r="891" spans="1:13" ht="25.5">
      <c r="A891" s="313" t="str">
        <f t="shared" si="13"/>
        <v>AeroMoveAreaTypeCode_touchdownAndLiftOffArea</v>
      </c>
      <c r="B891" s="331"/>
      <c r="C891" s="335"/>
      <c r="D891" s="181" t="s">
        <v>15025</v>
      </c>
      <c r="E891" s="192" t="s">
        <v>4285</v>
      </c>
      <c r="F891" s="193" t="s">
        <v>4286</v>
      </c>
      <c r="G891" s="194"/>
      <c r="H891" s="220"/>
      <c r="I891" s="169">
        <v>204154</v>
      </c>
      <c r="J891" s="304" t="str">
        <f>CONCATENATE([2]Cover!$D$6,"fdd/view?i=",I891)</f>
        <v>https://www.dgiwg.org/FAD/fdd/view?i=204154</v>
      </c>
      <c r="K891" s="304" t="s">
        <v>34940</v>
      </c>
      <c r="L891" s="181">
        <v>10</v>
      </c>
      <c r="M891" s="179" t="s">
        <v>1295</v>
      </c>
    </row>
    <row r="892" spans="1:13" ht="89.25">
      <c r="A892" s="313" t="str">
        <f t="shared" si="13"/>
        <v>AeroPavementFuncStatusCode_excellent</v>
      </c>
      <c r="B892" s="332" t="str">
        <f>HYPERLINK("[#]Datatypes!A52:L52","AeroPavementFuncStatusCode")</f>
        <v>AeroPavementFuncStatusCode</v>
      </c>
      <c r="C892" s="333" t="s">
        <v>11487</v>
      </c>
      <c r="D892" s="202" t="s">
        <v>15191</v>
      </c>
      <c r="E892" s="203" t="s">
        <v>15192</v>
      </c>
      <c r="F892" s="204" t="s">
        <v>15193</v>
      </c>
      <c r="G892" s="204" t="s">
        <v>15194</v>
      </c>
      <c r="H892" s="218"/>
      <c r="I892" s="169">
        <v>119073</v>
      </c>
      <c r="J892" s="304" t="str">
        <f>CONCATENATE([2]Cover!$D$6,"fdd/view?i=",I892)</f>
        <v>https://www.dgiwg.org/FAD/fdd/view?i=119073</v>
      </c>
      <c r="K892" s="304" t="s">
        <v>34941</v>
      </c>
      <c r="L892" s="202">
        <v>9</v>
      </c>
      <c r="M892" s="179" t="s">
        <v>151</v>
      </c>
    </row>
    <row r="893" spans="1:13" ht="63.75">
      <c r="A893" s="313" t="str">
        <f t="shared" si="13"/>
        <v>AeroPavementFuncStatusCode_fair</v>
      </c>
      <c r="B893" s="330"/>
      <c r="C893" s="334"/>
      <c r="D893" s="188" t="s">
        <v>15046</v>
      </c>
      <c r="E893" s="189" t="s">
        <v>15047</v>
      </c>
      <c r="F893" s="162" t="s">
        <v>15195</v>
      </c>
      <c r="G893" s="162" t="s">
        <v>15196</v>
      </c>
      <c r="H893" s="219"/>
      <c r="I893" s="169">
        <v>119065</v>
      </c>
      <c r="J893" s="304" t="str">
        <f>CONCATENATE([2]Cover!$D$6,"fdd/view?i=",I893)</f>
        <v>https://www.dgiwg.org/FAD/fdd/view?i=119065</v>
      </c>
      <c r="K893" s="304" t="s">
        <v>34942</v>
      </c>
      <c r="L893" s="188">
        <v>1</v>
      </c>
      <c r="M893" s="179" t="s">
        <v>151</v>
      </c>
    </row>
    <row r="894" spans="1:13" ht="63.75">
      <c r="A894" s="313" t="str">
        <f t="shared" si="13"/>
        <v>AeroPavementFuncStatusCode_fairEstimated</v>
      </c>
      <c r="B894" s="330"/>
      <c r="C894" s="334"/>
      <c r="D894" s="188" t="s">
        <v>15197</v>
      </c>
      <c r="E894" s="189" t="s">
        <v>15198</v>
      </c>
      <c r="F894" s="162" t="s">
        <v>15199</v>
      </c>
      <c r="G894" s="162" t="s">
        <v>15200</v>
      </c>
      <c r="H894" s="219"/>
      <c r="I894" s="169">
        <v>119066</v>
      </c>
      <c r="J894" s="304" t="str">
        <f>CONCATENATE([2]Cover!$D$6,"fdd/view?i=",I894)</f>
        <v>https://www.dgiwg.org/FAD/fdd/view?i=119066</v>
      </c>
      <c r="K894" s="304" t="s">
        <v>34943</v>
      </c>
      <c r="L894" s="188">
        <v>2</v>
      </c>
      <c r="M894" s="179" t="s">
        <v>151</v>
      </c>
    </row>
    <row r="895" spans="1:13" ht="51">
      <c r="A895" s="313" t="str">
        <f t="shared" si="13"/>
        <v>AeroPavementFuncStatusCode_good</v>
      </c>
      <c r="B895" s="330"/>
      <c r="C895" s="334"/>
      <c r="D895" s="188" t="s">
        <v>15049</v>
      </c>
      <c r="E895" s="189" t="s">
        <v>15050</v>
      </c>
      <c r="F895" s="162" t="s">
        <v>15201</v>
      </c>
      <c r="G895" s="162" t="s">
        <v>15202</v>
      </c>
      <c r="H895" s="219"/>
      <c r="I895" s="169">
        <v>119067</v>
      </c>
      <c r="J895" s="304" t="str">
        <f>CONCATENATE([2]Cover!$D$6,"fdd/view?i=",I895)</f>
        <v>https://www.dgiwg.org/FAD/fdd/view?i=119067</v>
      </c>
      <c r="K895" s="304" t="s">
        <v>34944</v>
      </c>
      <c r="L895" s="188">
        <v>3</v>
      </c>
      <c r="M895" s="179" t="s">
        <v>151</v>
      </c>
    </row>
    <row r="896" spans="1:13" ht="63.75">
      <c r="A896" s="313" t="str">
        <f t="shared" si="13"/>
        <v>AeroPavementFuncStatusCode_goodEstimated</v>
      </c>
      <c r="B896" s="330"/>
      <c r="C896" s="334"/>
      <c r="D896" s="188" t="s">
        <v>15203</v>
      </c>
      <c r="E896" s="189" t="s">
        <v>15204</v>
      </c>
      <c r="F896" s="162" t="s">
        <v>15205</v>
      </c>
      <c r="G896" s="162" t="s">
        <v>15206</v>
      </c>
      <c r="H896" s="219"/>
      <c r="I896" s="169">
        <v>119068</v>
      </c>
      <c r="J896" s="304" t="str">
        <f>CONCATENATE([2]Cover!$D$6,"fdd/view?i=",I896)</f>
        <v>https://www.dgiwg.org/FAD/fdd/view?i=119068</v>
      </c>
      <c r="K896" s="304" t="s">
        <v>34945</v>
      </c>
      <c r="L896" s="188">
        <v>4</v>
      </c>
      <c r="M896" s="179" t="s">
        <v>151</v>
      </c>
    </row>
    <row r="897" spans="1:13" ht="63.75">
      <c r="A897" s="313" t="str">
        <f t="shared" si="13"/>
        <v>AeroPavementFuncStatusCode_poor</v>
      </c>
      <c r="B897" s="330"/>
      <c r="C897" s="334"/>
      <c r="D897" s="188" t="s">
        <v>15207</v>
      </c>
      <c r="E897" s="189" t="s">
        <v>15208</v>
      </c>
      <c r="F897" s="162" t="s">
        <v>15209</v>
      </c>
      <c r="G897" s="162" t="s">
        <v>15210</v>
      </c>
      <c r="H897" s="219"/>
      <c r="I897" s="169">
        <v>119069</v>
      </c>
      <c r="J897" s="304" t="str">
        <f>CONCATENATE([2]Cover!$D$6,"fdd/view?i=",I897)</f>
        <v>https://www.dgiwg.org/FAD/fdd/view?i=119069</v>
      </c>
      <c r="K897" s="304" t="s">
        <v>34946</v>
      </c>
      <c r="L897" s="188">
        <v>5</v>
      </c>
      <c r="M897" s="179" t="s">
        <v>151</v>
      </c>
    </row>
    <row r="898" spans="1:13" ht="63.75">
      <c r="A898" s="313" t="str">
        <f t="shared" si="13"/>
        <v>AeroPavementFuncStatusCode_poorEstimated</v>
      </c>
      <c r="B898" s="330"/>
      <c r="C898" s="334"/>
      <c r="D898" s="188" t="s">
        <v>15211</v>
      </c>
      <c r="E898" s="189" t="s">
        <v>15212</v>
      </c>
      <c r="F898" s="162" t="s">
        <v>15213</v>
      </c>
      <c r="G898" s="162" t="s">
        <v>15214</v>
      </c>
      <c r="H898" s="219"/>
      <c r="I898" s="169">
        <v>119070</v>
      </c>
      <c r="J898" s="304" t="str">
        <f>CONCATENATE([2]Cover!$D$6,"fdd/view?i=",I898)</f>
        <v>https://www.dgiwg.org/FAD/fdd/view?i=119070</v>
      </c>
      <c r="K898" s="304" t="s">
        <v>34947</v>
      </c>
      <c r="L898" s="188">
        <v>6</v>
      </c>
      <c r="M898" s="179" t="s">
        <v>151</v>
      </c>
    </row>
    <row r="899" spans="1:13" ht="25.5">
      <c r="A899" s="313" t="str">
        <f t="shared" ref="A899:A962" si="14">HYPERLINK(J899,K899)</f>
        <v>AeroPavementFuncStatusCode_underConstruction</v>
      </c>
      <c r="B899" s="330"/>
      <c r="C899" s="334"/>
      <c r="D899" s="188" t="s">
        <v>15055</v>
      </c>
      <c r="E899" s="189" t="s">
        <v>15056</v>
      </c>
      <c r="F899" s="162" t="s">
        <v>15215</v>
      </c>
      <c r="G899" s="190"/>
      <c r="H899" s="219"/>
      <c r="I899" s="169">
        <v>119071</v>
      </c>
      <c r="J899" s="304" t="str">
        <f>CONCATENATE([2]Cover!$D$6,"fdd/view?i=",I899)</f>
        <v>https://www.dgiwg.org/FAD/fdd/view?i=119071</v>
      </c>
      <c r="K899" s="304" t="s">
        <v>34948</v>
      </c>
      <c r="L899" s="188">
        <v>7</v>
      </c>
      <c r="M899" s="179" t="s">
        <v>151</v>
      </c>
    </row>
    <row r="900" spans="1:13" ht="38.25">
      <c r="A900" s="313" t="str">
        <f t="shared" si="14"/>
        <v>AeroPavementFuncStatusCode_unserviceable</v>
      </c>
      <c r="B900" s="331"/>
      <c r="C900" s="335"/>
      <c r="D900" s="181" t="s">
        <v>15216</v>
      </c>
      <c r="E900" s="192" t="s">
        <v>15217</v>
      </c>
      <c r="F900" s="193" t="s">
        <v>15218</v>
      </c>
      <c r="G900" s="194"/>
      <c r="H900" s="220"/>
      <c r="I900" s="169">
        <v>119072</v>
      </c>
      <c r="J900" s="304" t="str">
        <f>CONCATENATE([2]Cover!$D$6,"fdd/view?i=",I900)</f>
        <v>https://www.dgiwg.org/FAD/fdd/view?i=119072</v>
      </c>
      <c r="K900" s="304" t="s">
        <v>34949</v>
      </c>
      <c r="L900" s="181">
        <v>8</v>
      </c>
      <c r="M900" s="179" t="s">
        <v>151</v>
      </c>
    </row>
    <row r="901" spans="1:13" ht="25.5">
      <c r="A901" s="313" t="str">
        <f t="shared" si="14"/>
        <v>AerodromeSurfaceStatusCode_closed</v>
      </c>
      <c r="B901" s="332" t="str">
        <f>HYPERLINK("[#]Datatypes!A54:L54","AerodromeSurfaceStatusCode")</f>
        <v>AerodromeSurfaceStatusCode</v>
      </c>
      <c r="C901" s="333" t="s">
        <v>11489</v>
      </c>
      <c r="D901" s="202" t="s">
        <v>13317</v>
      </c>
      <c r="E901" s="203" t="s">
        <v>13318</v>
      </c>
      <c r="F901" s="204" t="s">
        <v>13319</v>
      </c>
      <c r="G901" s="205"/>
      <c r="H901" s="218"/>
      <c r="I901" s="169">
        <v>115469</v>
      </c>
      <c r="J901" s="304" t="str">
        <f>CONCATENATE([2]Cover!$D$6,"fdd/view?i=",I901)</f>
        <v>https://www.dgiwg.org/FAD/fdd/view?i=115469</v>
      </c>
      <c r="K901" s="304" t="s">
        <v>34950</v>
      </c>
      <c r="L901" s="202">
        <v>1</v>
      </c>
      <c r="M901" s="179" t="s">
        <v>151</v>
      </c>
    </row>
    <row r="902" spans="1:13" ht="25.5">
      <c r="A902" s="313" t="str">
        <f t="shared" si="14"/>
        <v>AerodromeSurfaceStatusCode_open</v>
      </c>
      <c r="B902" s="330"/>
      <c r="C902" s="334"/>
      <c r="D902" s="188" t="s">
        <v>13334</v>
      </c>
      <c r="E902" s="189" t="s">
        <v>13335</v>
      </c>
      <c r="F902" s="162" t="s">
        <v>15219</v>
      </c>
      <c r="G902" s="190"/>
      <c r="H902" s="219"/>
      <c r="I902" s="169">
        <v>115470</v>
      </c>
      <c r="J902" s="304" t="str">
        <f>CONCATENATE([2]Cover!$D$6,"fdd/view?i=",I902)</f>
        <v>https://www.dgiwg.org/FAD/fdd/view?i=115470</v>
      </c>
      <c r="K902" s="304" t="s">
        <v>34951</v>
      </c>
      <c r="L902" s="188">
        <v>2</v>
      </c>
      <c r="M902" s="179" t="s">
        <v>151</v>
      </c>
    </row>
    <row r="903" spans="1:13" ht="25.5">
      <c r="A903" s="313" t="str">
        <f t="shared" si="14"/>
        <v>AerodromeSurfaceStatusCode_parkedDisabledAircraft</v>
      </c>
      <c r="B903" s="330"/>
      <c r="C903" s="334"/>
      <c r="D903" s="188" t="s">
        <v>15220</v>
      </c>
      <c r="E903" s="189" t="s">
        <v>15221</v>
      </c>
      <c r="F903" s="162" t="s">
        <v>15222</v>
      </c>
      <c r="G903" s="190"/>
      <c r="H903" s="219"/>
      <c r="I903" s="169">
        <v>115472</v>
      </c>
      <c r="J903" s="304" t="str">
        <f>CONCATENATE([2]Cover!$D$6,"fdd/view?i=",I903)</f>
        <v>https://www.dgiwg.org/FAD/fdd/view?i=115472</v>
      </c>
      <c r="K903" s="304" t="s">
        <v>34952</v>
      </c>
      <c r="L903" s="188">
        <v>4</v>
      </c>
      <c r="M903" s="179" t="s">
        <v>151</v>
      </c>
    </row>
    <row r="904" spans="1:13" ht="25.5">
      <c r="A904" s="313" t="str">
        <f t="shared" si="14"/>
        <v>AerodromeSurfaceStatusCode_workInProgress</v>
      </c>
      <c r="B904" s="331"/>
      <c r="C904" s="335"/>
      <c r="D904" s="181" t="s">
        <v>15223</v>
      </c>
      <c r="E904" s="192" t="s">
        <v>15224</v>
      </c>
      <c r="F904" s="193" t="s">
        <v>15215</v>
      </c>
      <c r="G904" s="194"/>
      <c r="H904" s="220"/>
      <c r="I904" s="169">
        <v>115471</v>
      </c>
      <c r="J904" s="304" t="str">
        <f>CONCATENATE([2]Cover!$D$6,"fdd/view?i=",I904)</f>
        <v>https://www.dgiwg.org/FAD/fdd/view?i=115471</v>
      </c>
      <c r="K904" s="304" t="s">
        <v>34953</v>
      </c>
      <c r="L904" s="181">
        <v>3</v>
      </c>
      <c r="M904" s="179" t="s">
        <v>151</v>
      </c>
    </row>
    <row r="905" spans="1:13" ht="25.5">
      <c r="A905" s="313" t="str">
        <f t="shared" si="14"/>
        <v>AerodromeTypeCode_heliport</v>
      </c>
      <c r="B905" s="332" t="str">
        <f>HYPERLINK("[#]Datatypes!A56:L56","AerodromeTypeCode")</f>
        <v>AerodromeTypeCode</v>
      </c>
      <c r="C905" s="333" t="s">
        <v>11491</v>
      </c>
      <c r="D905" s="202" t="s">
        <v>15225</v>
      </c>
      <c r="E905" s="203" t="s">
        <v>2691</v>
      </c>
      <c r="F905" s="204" t="s">
        <v>2692</v>
      </c>
      <c r="G905" s="205"/>
      <c r="H905" s="218"/>
      <c r="I905" s="169">
        <v>204142</v>
      </c>
      <c r="J905" s="304" t="str">
        <f>CONCATENATE([2]Cover!$D$6,"fdd/view?i=",I905)</f>
        <v>https://www.dgiwg.org/FAD/fdd/view?i=204142</v>
      </c>
      <c r="K905" s="304" t="s">
        <v>34954</v>
      </c>
      <c r="L905" s="202">
        <v>1</v>
      </c>
      <c r="M905" s="179" t="s">
        <v>1295</v>
      </c>
    </row>
    <row r="906" spans="1:13" ht="25.5">
      <c r="A906" s="313" t="str">
        <f t="shared" si="14"/>
        <v>AerodromeTypeCode_landAerodrome</v>
      </c>
      <c r="B906" s="330"/>
      <c r="C906" s="334"/>
      <c r="D906" s="188" t="s">
        <v>15226</v>
      </c>
      <c r="E906" s="189" t="s">
        <v>2942</v>
      </c>
      <c r="F906" s="162" t="s">
        <v>2943</v>
      </c>
      <c r="G906" s="190"/>
      <c r="H906" s="219"/>
      <c r="I906" s="169">
        <v>204143</v>
      </c>
      <c r="J906" s="304" t="str">
        <f>CONCATENATE([2]Cover!$D$6,"fdd/view?i=",I906)</f>
        <v>https://www.dgiwg.org/FAD/fdd/view?i=204143</v>
      </c>
      <c r="K906" s="304" t="s">
        <v>34955</v>
      </c>
      <c r="L906" s="188">
        <v>2</v>
      </c>
      <c r="M906" s="179" t="s">
        <v>1295</v>
      </c>
    </row>
    <row r="907" spans="1:13" ht="25.5">
      <c r="A907" s="313" t="str">
        <f t="shared" si="14"/>
        <v>AerodromeTypeCode_waterAerodrome</v>
      </c>
      <c r="B907" s="331"/>
      <c r="C907" s="335"/>
      <c r="D907" s="181" t="s">
        <v>15227</v>
      </c>
      <c r="E907" s="192" t="s">
        <v>4489</v>
      </c>
      <c r="F907" s="193" t="s">
        <v>4490</v>
      </c>
      <c r="G907" s="194"/>
      <c r="H907" s="220"/>
      <c r="I907" s="169">
        <v>204144</v>
      </c>
      <c r="J907" s="304" t="str">
        <f>CONCATENATE([2]Cover!$D$6,"fdd/view?i=",I907)</f>
        <v>https://www.dgiwg.org/FAD/fdd/view?i=204144</v>
      </c>
      <c r="K907" s="304" t="s">
        <v>34956</v>
      </c>
      <c r="L907" s="181">
        <v>3</v>
      </c>
      <c r="M907" s="179" t="s">
        <v>1295</v>
      </c>
    </row>
    <row r="908" spans="1:13" ht="51">
      <c r="A908" s="313" t="str">
        <f t="shared" si="14"/>
        <v>AeroAdviceInfoServiceTypeCode_aerodromeFlightInfoServ</v>
      </c>
      <c r="B908" s="332" t="str">
        <f>HYPERLINK("[#]Datatypes!A58:L58","AeroAdviceInfoServiceTypeCode")</f>
        <v>AeroAdviceInfoServiceTypeCode</v>
      </c>
      <c r="C908" s="333" t="s">
        <v>11493</v>
      </c>
      <c r="D908" s="202" t="s">
        <v>15228</v>
      </c>
      <c r="E908" s="203" t="s">
        <v>15229</v>
      </c>
      <c r="F908" s="204" t="s">
        <v>15230</v>
      </c>
      <c r="G908" s="205"/>
      <c r="H908" s="222" t="s">
        <v>15231</v>
      </c>
      <c r="I908" s="169">
        <v>116178</v>
      </c>
      <c r="J908" s="304" t="str">
        <f>CONCATENATE([2]Cover!$D$6,"fdd/view?i=",I908)</f>
        <v>https://www.dgiwg.org/FAD/fdd/view?i=116178</v>
      </c>
      <c r="K908" s="304" t="s">
        <v>34957</v>
      </c>
      <c r="L908" s="202">
        <v>1</v>
      </c>
      <c r="M908" s="179" t="s">
        <v>151</v>
      </c>
    </row>
    <row r="909" spans="1:13" ht="38.25">
      <c r="A909" s="313" t="str">
        <f t="shared" si="14"/>
        <v>AeroAdviceInfoServiceTypeCode_aeronauticalInfoService</v>
      </c>
      <c r="B909" s="330"/>
      <c r="C909" s="334"/>
      <c r="D909" s="188" t="s">
        <v>15232</v>
      </c>
      <c r="E909" s="189" t="s">
        <v>15233</v>
      </c>
      <c r="F909" s="162" t="s">
        <v>15234</v>
      </c>
      <c r="G909" s="190"/>
      <c r="H909" s="221" t="s">
        <v>15235</v>
      </c>
      <c r="I909" s="169">
        <v>116180</v>
      </c>
      <c r="J909" s="304" t="str">
        <f>CONCATENATE([2]Cover!$D$6,"fdd/view?i=",I909)</f>
        <v>https://www.dgiwg.org/FAD/fdd/view?i=116180</v>
      </c>
      <c r="K909" s="304" t="s">
        <v>34958</v>
      </c>
      <c r="L909" s="188">
        <v>3</v>
      </c>
      <c r="M909" s="179" t="s">
        <v>151</v>
      </c>
    </row>
    <row r="910" spans="1:13" ht="63.75">
      <c r="A910" s="313" t="str">
        <f t="shared" si="14"/>
        <v>AeroAdviceInfoServiceTypeCode_airmetService</v>
      </c>
      <c r="B910" s="330"/>
      <c r="C910" s="334"/>
      <c r="D910" s="188" t="s">
        <v>15236</v>
      </c>
      <c r="E910" s="189" t="s">
        <v>15237</v>
      </c>
      <c r="F910" s="162" t="s">
        <v>15238</v>
      </c>
      <c r="G910" s="190"/>
      <c r="H910" s="219"/>
      <c r="I910" s="169">
        <v>116195</v>
      </c>
      <c r="J910" s="304" t="str">
        <f>CONCATENATE([2]Cover!$D$6,"fdd/view?i=",I910)</f>
        <v>https://www.dgiwg.org/FAD/fdd/view?i=116195</v>
      </c>
      <c r="K910" s="304" t="s">
        <v>34959</v>
      </c>
      <c r="L910" s="188">
        <v>18</v>
      </c>
      <c r="M910" s="179" t="s">
        <v>151</v>
      </c>
    </row>
    <row r="911" spans="1:13" ht="25.5">
      <c r="A911" s="313" t="str">
        <f t="shared" si="14"/>
        <v>AeroAdviceInfoServiceTypeCode_altimeterService</v>
      </c>
      <c r="B911" s="330"/>
      <c r="C911" s="334"/>
      <c r="D911" s="188" t="s">
        <v>15239</v>
      </c>
      <c r="E911" s="189" t="s">
        <v>15240</v>
      </c>
      <c r="F911" s="162" t="s">
        <v>15241</v>
      </c>
      <c r="G911" s="190"/>
      <c r="H911" s="219"/>
      <c r="I911" s="169">
        <v>116181</v>
      </c>
      <c r="J911" s="304" t="str">
        <f>CONCATENATE([2]Cover!$D$6,"fdd/view?i=",I911)</f>
        <v>https://www.dgiwg.org/FAD/fdd/view?i=116181</v>
      </c>
      <c r="K911" s="304" t="s">
        <v>34960</v>
      </c>
      <c r="L911" s="188">
        <v>4</v>
      </c>
      <c r="M911" s="179" t="s">
        <v>151</v>
      </c>
    </row>
    <row r="912" spans="1:13" ht="102">
      <c r="A912" s="313" t="str">
        <f t="shared" si="14"/>
        <v>AeroAdviceInfoServiceTypeCode_automaticFlightInfoServ</v>
      </c>
      <c r="B912" s="330"/>
      <c r="C912" s="334"/>
      <c r="D912" s="188" t="s">
        <v>15259</v>
      </c>
      <c r="E912" s="189" t="s">
        <v>15260</v>
      </c>
      <c r="F912" s="162" t="s">
        <v>15261</v>
      </c>
      <c r="G912" s="162" t="s">
        <v>15262</v>
      </c>
      <c r="H912" s="219"/>
      <c r="I912" s="169">
        <v>116179</v>
      </c>
      <c r="J912" s="304" t="str">
        <f>CONCATENATE([2]Cover!$D$6,"fdd/view?i=",I912)</f>
        <v>https://www.dgiwg.org/FAD/fdd/view?i=116179</v>
      </c>
      <c r="K912" s="304" t="s">
        <v>34961</v>
      </c>
      <c r="L912" s="188">
        <v>2</v>
      </c>
      <c r="M912" s="179" t="s">
        <v>151</v>
      </c>
    </row>
    <row r="913" spans="1:13" ht="38.25">
      <c r="A913" s="313" t="str">
        <f t="shared" si="14"/>
        <v>AeroAdviceInfoServiceTypeCode_autoSurfaceObsSystem</v>
      </c>
      <c r="B913" s="330"/>
      <c r="C913" s="334"/>
      <c r="D913" s="188" t="s">
        <v>15242</v>
      </c>
      <c r="E913" s="189" t="s">
        <v>15243</v>
      </c>
      <c r="F913" s="162" t="s">
        <v>15244</v>
      </c>
      <c r="G913" s="162" t="s">
        <v>15245</v>
      </c>
      <c r="H913" s="221" t="s">
        <v>15246</v>
      </c>
      <c r="I913" s="169">
        <v>116182</v>
      </c>
      <c r="J913" s="304" t="str">
        <f>CONCATENATE([2]Cover!$D$6,"fdd/view?i=",I913)</f>
        <v>https://www.dgiwg.org/FAD/fdd/view?i=116182</v>
      </c>
      <c r="K913" s="304" t="s">
        <v>34962</v>
      </c>
      <c r="L913" s="188">
        <v>5</v>
      </c>
      <c r="M913" s="179" t="s">
        <v>151</v>
      </c>
    </row>
    <row r="914" spans="1:13" ht="25.5">
      <c r="A914" s="313" t="str">
        <f t="shared" si="14"/>
        <v>AeroAdviceInfoServiceTypeCode_autoTerminalInfoService</v>
      </c>
      <c r="B914" s="330"/>
      <c r="C914" s="334"/>
      <c r="D914" s="188" t="s">
        <v>15247</v>
      </c>
      <c r="E914" s="189" t="s">
        <v>15248</v>
      </c>
      <c r="F914" s="162" t="s">
        <v>15249</v>
      </c>
      <c r="G914" s="190"/>
      <c r="H914" s="221" t="s">
        <v>15250</v>
      </c>
      <c r="I914" s="169">
        <v>116183</v>
      </c>
      <c r="J914" s="304" t="str">
        <f>CONCATENATE([2]Cover!$D$6,"fdd/view?i=",I914)</f>
        <v>https://www.dgiwg.org/FAD/fdd/view?i=116183</v>
      </c>
      <c r="K914" s="304" t="s">
        <v>34963</v>
      </c>
      <c r="L914" s="188">
        <v>6</v>
      </c>
      <c r="M914" s="179" t="s">
        <v>151</v>
      </c>
    </row>
    <row r="915" spans="1:13" ht="51">
      <c r="A915" s="313" t="str">
        <f t="shared" si="14"/>
        <v>AeroAdviceInfoServiceTypeCode_autoWeatherObsService</v>
      </c>
      <c r="B915" s="330"/>
      <c r="C915" s="334"/>
      <c r="D915" s="188" t="s">
        <v>15251</v>
      </c>
      <c r="E915" s="189" t="s">
        <v>15252</v>
      </c>
      <c r="F915" s="162" t="s">
        <v>15244</v>
      </c>
      <c r="G915" s="162" t="s">
        <v>15253</v>
      </c>
      <c r="H915" s="221" t="s">
        <v>15254</v>
      </c>
      <c r="I915" s="169">
        <v>116185</v>
      </c>
      <c r="J915" s="304" t="str">
        <f>CONCATENATE([2]Cover!$D$6,"fdd/view?i=",I915)</f>
        <v>https://www.dgiwg.org/FAD/fdd/view?i=116185</v>
      </c>
      <c r="K915" s="304" t="s">
        <v>34964</v>
      </c>
      <c r="L915" s="188">
        <v>8</v>
      </c>
      <c r="M915" s="179" t="s">
        <v>151</v>
      </c>
    </row>
    <row r="916" spans="1:13" ht="51">
      <c r="A916" s="313" t="str">
        <f t="shared" si="14"/>
        <v>AeroAdviceInfoServiceTypeCode_autoWeatherSensorSystem</v>
      </c>
      <c r="B916" s="330"/>
      <c r="C916" s="334"/>
      <c r="D916" s="188" t="s">
        <v>15255</v>
      </c>
      <c r="E916" s="189" t="s">
        <v>15256</v>
      </c>
      <c r="F916" s="162" t="s">
        <v>15244</v>
      </c>
      <c r="G916" s="162" t="s">
        <v>15257</v>
      </c>
      <c r="H916" s="221" t="s">
        <v>15258</v>
      </c>
      <c r="I916" s="169">
        <v>116184</v>
      </c>
      <c r="J916" s="304" t="str">
        <f>CONCATENATE([2]Cover!$D$6,"fdd/view?i=",I916)</f>
        <v>https://www.dgiwg.org/FAD/fdd/view?i=116184</v>
      </c>
      <c r="K916" s="304" t="s">
        <v>34965</v>
      </c>
      <c r="L916" s="188">
        <v>7</v>
      </c>
      <c r="M916" s="179" t="s">
        <v>151</v>
      </c>
    </row>
    <row r="917" spans="1:13" ht="25.5">
      <c r="A917" s="313" t="str">
        <f t="shared" si="14"/>
        <v>AeroAdviceInfoServiceTypeCode_briefingService</v>
      </c>
      <c r="B917" s="330"/>
      <c r="C917" s="334"/>
      <c r="D917" s="188" t="s">
        <v>15263</v>
      </c>
      <c r="E917" s="189" t="s">
        <v>15264</v>
      </c>
      <c r="F917" s="162" t="s">
        <v>15265</v>
      </c>
      <c r="G917" s="190"/>
      <c r="H917" s="219"/>
      <c r="I917" s="169">
        <v>116186</v>
      </c>
      <c r="J917" s="304" t="str">
        <f>CONCATENATE([2]Cover!$D$6,"fdd/view?i=",I917)</f>
        <v>https://www.dgiwg.org/FAD/fdd/view?i=116186</v>
      </c>
      <c r="K917" s="304" t="s">
        <v>34966</v>
      </c>
      <c r="L917" s="188">
        <v>9</v>
      </c>
      <c r="M917" s="179" t="s">
        <v>151</v>
      </c>
    </row>
    <row r="918" spans="1:13" ht="38.25">
      <c r="A918" s="313" t="str">
        <f t="shared" si="14"/>
        <v>AeroAdviceInfoServiceTypeCode_enRouteFlightAdvisoryServ</v>
      </c>
      <c r="B918" s="330"/>
      <c r="C918" s="334"/>
      <c r="D918" s="188" t="s">
        <v>15266</v>
      </c>
      <c r="E918" s="189" t="s">
        <v>15267</v>
      </c>
      <c r="F918" s="162" t="s">
        <v>15268</v>
      </c>
      <c r="G918" s="190"/>
      <c r="H918" s="221" t="s">
        <v>15269</v>
      </c>
      <c r="I918" s="169">
        <v>116187</v>
      </c>
      <c r="J918" s="304" t="str">
        <f>CONCATENATE([2]Cover!$D$6,"fdd/view?i=",I918)</f>
        <v>https://www.dgiwg.org/FAD/fdd/view?i=116187</v>
      </c>
      <c r="K918" s="304" t="s">
        <v>34967</v>
      </c>
      <c r="L918" s="188">
        <v>10</v>
      </c>
      <c r="M918" s="179" t="s">
        <v>151</v>
      </c>
    </row>
    <row r="919" spans="1:13" ht="25.5">
      <c r="A919" s="313" t="str">
        <f t="shared" si="14"/>
        <v>AeroAdviceInfoServiceTypeCode_flightInfoService</v>
      </c>
      <c r="B919" s="330"/>
      <c r="C919" s="334"/>
      <c r="D919" s="188" t="s">
        <v>15270</v>
      </c>
      <c r="E919" s="189" t="s">
        <v>15271</v>
      </c>
      <c r="F919" s="162" t="s">
        <v>15272</v>
      </c>
      <c r="G919" s="190"/>
      <c r="H919" s="221" t="s">
        <v>15273</v>
      </c>
      <c r="I919" s="169">
        <v>116188</v>
      </c>
      <c r="J919" s="304" t="str">
        <f>CONCATENATE([2]Cover!$D$6,"fdd/view?i=",I919)</f>
        <v>https://www.dgiwg.org/FAD/fdd/view?i=116188</v>
      </c>
      <c r="K919" s="304" t="s">
        <v>34968</v>
      </c>
      <c r="L919" s="188">
        <v>11</v>
      </c>
      <c r="M919" s="179" t="s">
        <v>151</v>
      </c>
    </row>
    <row r="920" spans="1:13" ht="38.25">
      <c r="A920" s="313" t="str">
        <f t="shared" si="14"/>
        <v>AeroAdviceInfoServiceTypeCode_hfOperationFlightInfoServ</v>
      </c>
      <c r="B920" s="330"/>
      <c r="C920" s="334"/>
      <c r="D920" s="188" t="s">
        <v>15274</v>
      </c>
      <c r="E920" s="189" t="s">
        <v>15275</v>
      </c>
      <c r="F920" s="162" t="s">
        <v>15276</v>
      </c>
      <c r="G920" s="190"/>
      <c r="H920" s="221" t="s">
        <v>15277</v>
      </c>
      <c r="I920" s="169">
        <v>116193</v>
      </c>
      <c r="J920" s="304" t="str">
        <f>CONCATENATE([2]Cover!$D$6,"fdd/view?i=",I920)</f>
        <v>https://www.dgiwg.org/FAD/fdd/view?i=116193</v>
      </c>
      <c r="K920" s="304" t="s">
        <v>34969</v>
      </c>
      <c r="L920" s="188">
        <v>16</v>
      </c>
      <c r="M920" s="179" t="s">
        <v>151</v>
      </c>
    </row>
    <row r="921" spans="1:13" ht="25.5">
      <c r="A921" s="313" t="str">
        <f t="shared" si="14"/>
        <v>AeroAdviceInfoServiceTypeCode_highAltWeatherObsSystem</v>
      </c>
      <c r="B921" s="330"/>
      <c r="C921" s="334"/>
      <c r="D921" s="188" t="s">
        <v>15278</v>
      </c>
      <c r="E921" s="189" t="s">
        <v>15279</v>
      </c>
      <c r="F921" s="162" t="s">
        <v>15280</v>
      </c>
      <c r="G921" s="190"/>
      <c r="H921" s="221" t="s">
        <v>15281</v>
      </c>
      <c r="I921" s="169">
        <v>116189</v>
      </c>
      <c r="J921" s="304" t="str">
        <f>CONCATENATE([2]Cover!$D$6,"fdd/view?i=",I921)</f>
        <v>https://www.dgiwg.org/FAD/fdd/view?i=116189</v>
      </c>
      <c r="K921" s="304" t="s">
        <v>34970</v>
      </c>
      <c r="L921" s="188">
        <v>12</v>
      </c>
      <c r="M921" s="179" t="s">
        <v>151</v>
      </c>
    </row>
    <row r="922" spans="1:13" ht="25.5">
      <c r="A922" s="313" t="str">
        <f t="shared" si="14"/>
        <v>AeroAdviceInfoServiceTypeCode_infoService</v>
      </c>
      <c r="B922" s="330"/>
      <c r="C922" s="334"/>
      <c r="D922" s="188" t="s">
        <v>15282</v>
      </c>
      <c r="E922" s="189" t="s">
        <v>15283</v>
      </c>
      <c r="F922" s="162" t="s">
        <v>15284</v>
      </c>
      <c r="G922" s="190"/>
      <c r="H922" s="219"/>
      <c r="I922" s="169">
        <v>116190</v>
      </c>
      <c r="J922" s="304" t="str">
        <f>CONCATENATE([2]Cover!$D$6,"fdd/view?i=",I922)</f>
        <v>https://www.dgiwg.org/FAD/fdd/view?i=116190</v>
      </c>
      <c r="K922" s="304" t="s">
        <v>34971</v>
      </c>
      <c r="L922" s="188">
        <v>13</v>
      </c>
      <c r="M922" s="179" t="s">
        <v>151</v>
      </c>
    </row>
    <row r="923" spans="1:13" ht="51">
      <c r="A923" s="313" t="str">
        <f t="shared" si="14"/>
        <v>AeroAdviceInfoServiceTypeCode_meteorologicalService</v>
      </c>
      <c r="B923" s="330"/>
      <c r="C923" s="334"/>
      <c r="D923" s="188" t="s">
        <v>15285</v>
      </c>
      <c r="E923" s="189" t="s">
        <v>15286</v>
      </c>
      <c r="F923" s="162" t="s">
        <v>15287</v>
      </c>
      <c r="G923" s="190"/>
      <c r="H923" s="221" t="s">
        <v>15288</v>
      </c>
      <c r="I923" s="169">
        <v>116191</v>
      </c>
      <c r="J923" s="304" t="str">
        <f>CONCATENATE([2]Cover!$D$6,"fdd/view?i=",I923)</f>
        <v>https://www.dgiwg.org/FAD/fdd/view?i=116191</v>
      </c>
      <c r="K923" s="304" t="s">
        <v>34972</v>
      </c>
      <c r="L923" s="188">
        <v>14</v>
      </c>
      <c r="M923" s="179" t="s">
        <v>151</v>
      </c>
    </row>
    <row r="924" spans="1:13" ht="63.75">
      <c r="A924" s="313" t="str">
        <f t="shared" si="14"/>
        <v>AeroAdviceInfoServiceTypeCode_notamService</v>
      </c>
      <c r="B924" s="330"/>
      <c r="C924" s="334"/>
      <c r="D924" s="188" t="s">
        <v>15289</v>
      </c>
      <c r="E924" s="189" t="s">
        <v>15290</v>
      </c>
      <c r="F924" s="162" t="s">
        <v>15291</v>
      </c>
      <c r="G924" s="190"/>
      <c r="H924" s="219"/>
      <c r="I924" s="169">
        <v>116192</v>
      </c>
      <c r="J924" s="304" t="str">
        <f>CONCATENATE([2]Cover!$D$6,"fdd/view?i=",I924)</f>
        <v>https://www.dgiwg.org/FAD/fdd/view?i=116192</v>
      </c>
      <c r="K924" s="304" t="s">
        <v>34973</v>
      </c>
      <c r="L924" s="188">
        <v>15</v>
      </c>
      <c r="M924" s="179" t="s">
        <v>151</v>
      </c>
    </row>
    <row r="925" spans="1:13" ht="38.25">
      <c r="A925" s="313" t="str">
        <f t="shared" si="14"/>
        <v>AeroAdviceInfoServiceTypeCode_sigmetService</v>
      </c>
      <c r="B925" s="330"/>
      <c r="C925" s="334"/>
      <c r="D925" s="188" t="s">
        <v>15292</v>
      </c>
      <c r="E925" s="189" t="s">
        <v>15293</v>
      </c>
      <c r="F925" s="162" t="s">
        <v>15294</v>
      </c>
      <c r="G925" s="190"/>
      <c r="H925" s="219"/>
      <c r="I925" s="169">
        <v>116196</v>
      </c>
      <c r="J925" s="304" t="str">
        <f>CONCATENATE([2]Cover!$D$6,"fdd/view?i=",I925)</f>
        <v>https://www.dgiwg.org/FAD/fdd/view?i=116196</v>
      </c>
      <c r="K925" s="304" t="s">
        <v>34974</v>
      </c>
      <c r="L925" s="188">
        <v>19</v>
      </c>
      <c r="M925" s="179" t="s">
        <v>151</v>
      </c>
    </row>
    <row r="926" spans="1:13" ht="25.5">
      <c r="A926" s="313" t="str">
        <f t="shared" si="14"/>
        <v>AeroAdviceInfoServiceTypeCode_transcribedWxBroadcastServ</v>
      </c>
      <c r="B926" s="330"/>
      <c r="C926" s="334"/>
      <c r="D926" s="188" t="s">
        <v>15295</v>
      </c>
      <c r="E926" s="189" t="s">
        <v>15296</v>
      </c>
      <c r="F926" s="162" t="s">
        <v>15297</v>
      </c>
      <c r="G926" s="190"/>
      <c r="H926" s="221" t="s">
        <v>15298</v>
      </c>
      <c r="I926" s="169">
        <v>116197</v>
      </c>
      <c r="J926" s="304" t="str">
        <f>CONCATENATE([2]Cover!$D$6,"fdd/view?i=",I926)</f>
        <v>https://www.dgiwg.org/FAD/fdd/view?i=116197</v>
      </c>
      <c r="K926" s="304" t="s">
        <v>34975</v>
      </c>
      <c r="L926" s="188">
        <v>20</v>
      </c>
      <c r="M926" s="179" t="s">
        <v>151</v>
      </c>
    </row>
    <row r="927" spans="1:13" ht="38.25">
      <c r="A927" s="313" t="str">
        <f t="shared" si="14"/>
        <v>AeroAdviceInfoServiceTypeCode_vhfOperationFlightInfoServ</v>
      </c>
      <c r="B927" s="330"/>
      <c r="C927" s="334"/>
      <c r="D927" s="188" t="s">
        <v>15299</v>
      </c>
      <c r="E927" s="189" t="s">
        <v>15300</v>
      </c>
      <c r="F927" s="162" t="s">
        <v>15301</v>
      </c>
      <c r="G927" s="190"/>
      <c r="H927" s="221" t="s">
        <v>15302</v>
      </c>
      <c r="I927" s="169">
        <v>116194</v>
      </c>
      <c r="J927" s="304" t="str">
        <f>CONCATENATE([2]Cover!$D$6,"fdd/view?i=",I927)</f>
        <v>https://www.dgiwg.org/FAD/fdd/view?i=116194</v>
      </c>
      <c r="K927" s="304" t="s">
        <v>34976</v>
      </c>
      <c r="L927" s="188">
        <v>17</v>
      </c>
      <c r="M927" s="179" t="s">
        <v>151</v>
      </c>
    </row>
    <row r="928" spans="1:13" ht="38.25">
      <c r="A928" s="313" t="str">
        <f t="shared" si="14"/>
        <v>AeroAdviceInfoServiceTypeCode_volmetService</v>
      </c>
      <c r="B928" s="331"/>
      <c r="C928" s="335"/>
      <c r="D928" s="181" t="s">
        <v>15303</v>
      </c>
      <c r="E928" s="192" t="s">
        <v>15304</v>
      </c>
      <c r="F928" s="193" t="s">
        <v>15305</v>
      </c>
      <c r="G928" s="194"/>
      <c r="H928" s="220"/>
      <c r="I928" s="169">
        <v>116198</v>
      </c>
      <c r="J928" s="304" t="str">
        <f>CONCATENATE([2]Cover!$D$6,"fdd/view?i=",I928)</f>
        <v>https://www.dgiwg.org/FAD/fdd/view?i=116198</v>
      </c>
      <c r="K928" s="304" t="s">
        <v>34977</v>
      </c>
      <c r="L928" s="181">
        <v>21</v>
      </c>
      <c r="M928" s="179" t="s">
        <v>151</v>
      </c>
    </row>
    <row r="929" spans="1:13" ht="76.5">
      <c r="A929" s="313" t="str">
        <f t="shared" si="14"/>
        <v>AeroBeaconTypeCode_controlTowerSignalBeacon</v>
      </c>
      <c r="B929" s="332" t="str">
        <f>HYPERLINK("[#]Datatypes!A60:L60","AeroBeaconTypeCode")</f>
        <v>AeroBeaconTypeCode</v>
      </c>
      <c r="C929" s="333" t="s">
        <v>11495</v>
      </c>
      <c r="D929" s="202" t="s">
        <v>15306</v>
      </c>
      <c r="E929" s="203" t="s">
        <v>15307</v>
      </c>
      <c r="F929" s="204" t="s">
        <v>15308</v>
      </c>
      <c r="G929" s="204" t="s">
        <v>15309</v>
      </c>
      <c r="H929" s="222" t="s">
        <v>15310</v>
      </c>
      <c r="I929" s="169">
        <v>115682</v>
      </c>
      <c r="J929" s="304" t="str">
        <f>CONCATENATE([2]Cover!$D$6,"fdd/view?i=",I929)</f>
        <v>https://www.dgiwg.org/FAD/fdd/view?i=115682</v>
      </c>
      <c r="K929" s="304" t="s">
        <v>34978</v>
      </c>
      <c r="L929" s="202">
        <v>4</v>
      </c>
      <c r="M929" s="179" t="s">
        <v>151</v>
      </c>
    </row>
    <row r="930" spans="1:13" ht="38.25">
      <c r="A930" s="313" t="str">
        <f t="shared" si="14"/>
        <v>AeroBeaconTypeCode_generalAeronauticalBeacon</v>
      </c>
      <c r="B930" s="330"/>
      <c r="C930" s="334"/>
      <c r="D930" s="188" t="s">
        <v>15311</v>
      </c>
      <c r="E930" s="189" t="s">
        <v>15312</v>
      </c>
      <c r="F930" s="162" t="s">
        <v>15313</v>
      </c>
      <c r="G930" s="190"/>
      <c r="H930" s="219"/>
      <c r="I930" s="169">
        <v>115681</v>
      </c>
      <c r="J930" s="304" t="str">
        <f>CONCATENATE([2]Cover!$D$6,"fdd/view?i=",I930)</f>
        <v>https://www.dgiwg.org/FAD/fdd/view?i=115681</v>
      </c>
      <c r="K930" s="304" t="s">
        <v>34979</v>
      </c>
      <c r="L930" s="188">
        <v>3</v>
      </c>
      <c r="M930" s="179" t="s">
        <v>151</v>
      </c>
    </row>
    <row r="931" spans="1:13" ht="25.5">
      <c r="A931" s="313" t="str">
        <f t="shared" si="14"/>
        <v>AeroBeaconTypeCode_hazardBeacon</v>
      </c>
      <c r="B931" s="330"/>
      <c r="C931" s="334"/>
      <c r="D931" s="188" t="s">
        <v>15314</v>
      </c>
      <c r="E931" s="189" t="s">
        <v>15315</v>
      </c>
      <c r="F931" s="162" t="s">
        <v>15316</v>
      </c>
      <c r="G931" s="190"/>
      <c r="H931" s="219"/>
      <c r="I931" s="169">
        <v>115686</v>
      </c>
      <c r="J931" s="304" t="str">
        <f>CONCATENATE([2]Cover!$D$6,"fdd/view?i=",I931)</f>
        <v>https://www.dgiwg.org/FAD/fdd/view?i=115686</v>
      </c>
      <c r="K931" s="304" t="s">
        <v>34980</v>
      </c>
      <c r="L931" s="188">
        <v>8</v>
      </c>
      <c r="M931" s="179" t="s">
        <v>151</v>
      </c>
    </row>
    <row r="932" spans="1:13" ht="63.75">
      <c r="A932" s="313" t="str">
        <f t="shared" si="14"/>
        <v>AeroBeaconTypeCode_identificationBeacon</v>
      </c>
      <c r="B932" s="330"/>
      <c r="C932" s="334"/>
      <c r="D932" s="188" t="s">
        <v>15317</v>
      </c>
      <c r="E932" s="189" t="s">
        <v>15318</v>
      </c>
      <c r="F932" s="162" t="s">
        <v>15319</v>
      </c>
      <c r="G932" s="162" t="s">
        <v>15320</v>
      </c>
      <c r="H932" s="219"/>
      <c r="I932" s="169">
        <v>115684</v>
      </c>
      <c r="J932" s="304" t="str">
        <f>CONCATENATE([2]Cover!$D$6,"fdd/view?i=",I932)</f>
        <v>https://www.dgiwg.org/FAD/fdd/view?i=115684</v>
      </c>
      <c r="K932" s="304" t="s">
        <v>34981</v>
      </c>
      <c r="L932" s="188">
        <v>6</v>
      </c>
      <c r="M932" s="179" t="s">
        <v>151</v>
      </c>
    </row>
    <row r="933" spans="1:13" ht="25.5">
      <c r="A933" s="313" t="str">
        <f t="shared" si="14"/>
        <v>AeroBeaconTypeCode_lightedHeliport</v>
      </c>
      <c r="B933" s="330"/>
      <c r="C933" s="334"/>
      <c r="D933" s="188" t="s">
        <v>15321</v>
      </c>
      <c r="E933" s="189" t="s">
        <v>15322</v>
      </c>
      <c r="F933" s="162" t="s">
        <v>15323</v>
      </c>
      <c r="G933" s="162" t="s">
        <v>15324</v>
      </c>
      <c r="H933" s="219"/>
      <c r="I933" s="169">
        <v>115683</v>
      </c>
      <c r="J933" s="304" t="str">
        <f>CONCATENATE([2]Cover!$D$6,"fdd/view?i=",I933)</f>
        <v>https://www.dgiwg.org/FAD/fdd/view?i=115683</v>
      </c>
      <c r="K933" s="304" t="s">
        <v>34982</v>
      </c>
      <c r="L933" s="188">
        <v>5</v>
      </c>
      <c r="M933" s="179" t="s">
        <v>151</v>
      </c>
    </row>
    <row r="934" spans="1:13" ht="25.5">
      <c r="A934" s="313" t="str">
        <f t="shared" si="14"/>
        <v>AeroBeaconTypeCode_lightedLandAerodrome</v>
      </c>
      <c r="B934" s="330"/>
      <c r="C934" s="334"/>
      <c r="D934" s="188" t="s">
        <v>15325</v>
      </c>
      <c r="E934" s="189" t="s">
        <v>15326</v>
      </c>
      <c r="F934" s="162" t="s">
        <v>15327</v>
      </c>
      <c r="G934" s="162" t="s">
        <v>15328</v>
      </c>
      <c r="H934" s="219"/>
      <c r="I934" s="169">
        <v>115679</v>
      </c>
      <c r="J934" s="304" t="str">
        <f>CONCATENATE([2]Cover!$D$6,"fdd/view?i=",I934)</f>
        <v>https://www.dgiwg.org/FAD/fdd/view?i=115679</v>
      </c>
      <c r="K934" s="304" t="s">
        <v>34983</v>
      </c>
      <c r="L934" s="188">
        <v>1</v>
      </c>
      <c r="M934" s="179" t="s">
        <v>151</v>
      </c>
    </row>
    <row r="935" spans="1:13" ht="25.5">
      <c r="A935" s="313" t="str">
        <f t="shared" si="14"/>
        <v>AeroBeaconTypeCode_lightedWaterAerodrome</v>
      </c>
      <c r="B935" s="330"/>
      <c r="C935" s="334"/>
      <c r="D935" s="188" t="s">
        <v>15329</v>
      </c>
      <c r="E935" s="189" t="s">
        <v>15330</v>
      </c>
      <c r="F935" s="162" t="s">
        <v>15331</v>
      </c>
      <c r="G935" s="162" t="s">
        <v>15332</v>
      </c>
      <c r="H935" s="219"/>
      <c r="I935" s="169">
        <v>115687</v>
      </c>
      <c r="J935" s="304" t="str">
        <f>CONCATENATE([2]Cover!$D$6,"fdd/view?i=",I935)</f>
        <v>https://www.dgiwg.org/FAD/fdd/view?i=115687</v>
      </c>
      <c r="K935" s="304" t="s">
        <v>34984</v>
      </c>
      <c r="L935" s="188">
        <v>9</v>
      </c>
      <c r="M935" s="179" t="s">
        <v>151</v>
      </c>
    </row>
    <row r="936" spans="1:13" ht="25.5">
      <c r="A936" s="313" t="str">
        <f t="shared" si="14"/>
        <v>AeroBeaconTypeCode_marineBeacon</v>
      </c>
      <c r="B936" s="330"/>
      <c r="C936" s="334"/>
      <c r="D936" s="188" t="s">
        <v>15333</v>
      </c>
      <c r="E936" s="189" t="s">
        <v>15334</v>
      </c>
      <c r="F936" s="162" t="s">
        <v>15335</v>
      </c>
      <c r="G936" s="190"/>
      <c r="H936" s="219"/>
      <c r="I936" s="169">
        <v>115685</v>
      </c>
      <c r="J936" s="304" t="str">
        <f>CONCATENATE([2]Cover!$D$6,"fdd/view?i=",I936)</f>
        <v>https://www.dgiwg.org/FAD/fdd/view?i=115685</v>
      </c>
      <c r="K936" s="304" t="s">
        <v>34985</v>
      </c>
      <c r="L936" s="188">
        <v>7</v>
      </c>
      <c r="M936" s="179" t="s">
        <v>151</v>
      </c>
    </row>
    <row r="937" spans="1:13" ht="25.5">
      <c r="A937" s="313" t="str">
        <f t="shared" si="14"/>
        <v>AeroBeaconTypeCode_militaryAerodrome</v>
      </c>
      <c r="B937" s="330"/>
      <c r="C937" s="334"/>
      <c r="D937" s="188" t="s">
        <v>15336</v>
      </c>
      <c r="E937" s="189" t="s">
        <v>15337</v>
      </c>
      <c r="F937" s="162" t="s">
        <v>15338</v>
      </c>
      <c r="G937" s="190"/>
      <c r="H937" s="219"/>
      <c r="I937" s="169">
        <v>115680</v>
      </c>
      <c r="J937" s="304" t="str">
        <f>CONCATENATE([2]Cover!$D$6,"fdd/view?i=",I937)</f>
        <v>https://www.dgiwg.org/FAD/fdd/view?i=115680</v>
      </c>
      <c r="K937" s="304" t="s">
        <v>34986</v>
      </c>
      <c r="L937" s="188">
        <v>2</v>
      </c>
      <c r="M937" s="179" t="s">
        <v>151</v>
      </c>
    </row>
    <row r="938" spans="1:13" ht="25.5">
      <c r="A938" s="313" t="str">
        <f t="shared" si="14"/>
        <v>AeroBeaconTypeCode_responderBeacon</v>
      </c>
      <c r="B938" s="331"/>
      <c r="C938" s="335"/>
      <c r="D938" s="181" t="s">
        <v>15339</v>
      </c>
      <c r="E938" s="192" t="s">
        <v>15340</v>
      </c>
      <c r="F938" s="193" t="s">
        <v>15341</v>
      </c>
      <c r="G938" s="194"/>
      <c r="H938" s="220"/>
      <c r="I938" s="169">
        <v>115688</v>
      </c>
      <c r="J938" s="304" t="str">
        <f>CONCATENATE([2]Cover!$D$6,"fdd/view?i=",I938)</f>
        <v>https://www.dgiwg.org/FAD/fdd/view?i=115688</v>
      </c>
      <c r="K938" s="304" t="s">
        <v>34987</v>
      </c>
      <c r="L938" s="181">
        <v>10</v>
      </c>
      <c r="M938" s="179" t="s">
        <v>151</v>
      </c>
    </row>
    <row r="939" spans="1:13" ht="25.5">
      <c r="A939" s="313" t="str">
        <f t="shared" si="14"/>
        <v>AeroCommChannelModeCode_adsB</v>
      </c>
      <c r="B939" s="332" t="str">
        <f>HYPERLINK("[#]Datatypes!A62:L62","AeroCommChannelModeCode")</f>
        <v>AeroCommChannelModeCode</v>
      </c>
      <c r="C939" s="333" t="s">
        <v>11497</v>
      </c>
      <c r="D939" s="202" t="s">
        <v>15345</v>
      </c>
      <c r="E939" s="203" t="s">
        <v>15346</v>
      </c>
      <c r="F939" s="204" t="s">
        <v>15347</v>
      </c>
      <c r="G939" s="205"/>
      <c r="H939" s="218"/>
      <c r="I939" s="169">
        <v>116518</v>
      </c>
      <c r="J939" s="304" t="str">
        <f>CONCATENATE([2]Cover!$D$6,"fdd/view?i=",I939)</f>
        <v>https://www.dgiwg.org/FAD/fdd/view?i=116518</v>
      </c>
      <c r="K939" s="304" t="s">
        <v>34988</v>
      </c>
      <c r="L939" s="202">
        <v>1</v>
      </c>
      <c r="M939" s="179" t="s">
        <v>151</v>
      </c>
    </row>
    <row r="940" spans="1:13" ht="25.5">
      <c r="A940" s="313" t="str">
        <f t="shared" si="14"/>
        <v>AeroCommChannelModeCode_adsB_with_VDL</v>
      </c>
      <c r="B940" s="330"/>
      <c r="C940" s="334"/>
      <c r="D940" s="188" t="s">
        <v>15348</v>
      </c>
      <c r="E940" s="189" t="s">
        <v>15349</v>
      </c>
      <c r="F940" s="162" t="s">
        <v>15350</v>
      </c>
      <c r="G940" s="190"/>
      <c r="H940" s="219"/>
      <c r="J940" s="304" t="str">
        <f>CONCATENATE([2]Cover!$D$6,"fdd/view?i=",I940)</f>
        <v>https://www.dgiwg.org/FAD/fdd/view?i=</v>
      </c>
      <c r="K940" s="304" t="s">
        <v>34989</v>
      </c>
      <c r="L940" s="188">
        <v>2</v>
      </c>
      <c r="M940" s="179" t="s">
        <v>151</v>
      </c>
    </row>
    <row r="941" spans="1:13" ht="25.5">
      <c r="A941" s="313" t="str">
        <f t="shared" si="14"/>
        <v>AeroCommChannelModeCode_amss</v>
      </c>
      <c r="B941" s="330"/>
      <c r="C941" s="334"/>
      <c r="D941" s="188" t="s">
        <v>15351</v>
      </c>
      <c r="E941" s="189" t="s">
        <v>15352</v>
      </c>
      <c r="F941" s="162" t="s">
        <v>15353</v>
      </c>
      <c r="G941" s="190"/>
      <c r="H941" s="219"/>
      <c r="I941" s="169">
        <v>116520</v>
      </c>
      <c r="J941" s="304" t="str">
        <f>CONCATENATE([2]Cover!$D$6,"fdd/view?i=",I941)</f>
        <v>https://www.dgiwg.org/FAD/fdd/view?i=116520</v>
      </c>
      <c r="K941" s="304" t="s">
        <v>34990</v>
      </c>
      <c r="L941" s="188">
        <v>3</v>
      </c>
      <c r="M941" s="179" t="s">
        <v>151</v>
      </c>
    </row>
    <row r="942" spans="1:13" ht="25.5">
      <c r="A942" s="313" t="str">
        <f t="shared" si="14"/>
        <v>AeroCommChannelModeCode_channelSpacing8r33</v>
      </c>
      <c r="B942" s="330"/>
      <c r="C942" s="334"/>
      <c r="D942" s="188" t="s">
        <v>15342</v>
      </c>
      <c r="E942" s="189" t="s">
        <v>15343</v>
      </c>
      <c r="F942" s="162" t="s">
        <v>15344</v>
      </c>
      <c r="G942" s="190"/>
      <c r="H942" s="219"/>
      <c r="I942" s="169">
        <v>116527</v>
      </c>
      <c r="J942" s="304" t="str">
        <f>CONCATENATE([2]Cover!$D$6,"fdd/view?i=",I942)</f>
        <v>https://www.dgiwg.org/FAD/fdd/view?i=116527</v>
      </c>
      <c r="K942" s="304" t="s">
        <v>34991</v>
      </c>
      <c r="L942" s="188">
        <v>10</v>
      </c>
      <c r="M942" s="179" t="s">
        <v>151</v>
      </c>
    </row>
    <row r="943" spans="1:13">
      <c r="A943" s="313" t="str">
        <f t="shared" si="14"/>
        <v>AeroCommChannelModeCode_hf</v>
      </c>
      <c r="B943" s="330"/>
      <c r="C943" s="334"/>
      <c r="D943" s="188" t="s">
        <v>15354</v>
      </c>
      <c r="E943" s="189" t="s">
        <v>15355</v>
      </c>
      <c r="F943" s="162" t="s">
        <v>15356</v>
      </c>
      <c r="G943" s="190"/>
      <c r="H943" s="219"/>
      <c r="I943" s="169">
        <v>116521</v>
      </c>
      <c r="J943" s="304" t="str">
        <f>CONCATENATE([2]Cover!$D$6,"fdd/view?i=",I943)</f>
        <v>https://www.dgiwg.org/FAD/fdd/view?i=116521</v>
      </c>
      <c r="K943" s="304" t="s">
        <v>34992</v>
      </c>
      <c r="L943" s="188">
        <v>4</v>
      </c>
      <c r="M943" s="179" t="s">
        <v>151</v>
      </c>
    </row>
    <row r="944" spans="1:13">
      <c r="A944" s="313" t="str">
        <f t="shared" si="14"/>
        <v>AeroCommChannelModeCode_hfdl</v>
      </c>
      <c r="B944" s="330"/>
      <c r="C944" s="334"/>
      <c r="D944" s="188" t="s">
        <v>15357</v>
      </c>
      <c r="E944" s="189" t="s">
        <v>15358</v>
      </c>
      <c r="F944" s="162" t="s">
        <v>15359</v>
      </c>
      <c r="G944" s="190"/>
      <c r="H944" s="219"/>
      <c r="I944" s="169">
        <v>116522</v>
      </c>
      <c r="J944" s="304" t="str">
        <f>CONCATENATE([2]Cover!$D$6,"fdd/view?i=",I944)</f>
        <v>https://www.dgiwg.org/FAD/fdd/view?i=116522</v>
      </c>
      <c r="K944" s="304" t="s">
        <v>34993</v>
      </c>
      <c r="L944" s="188">
        <v>5</v>
      </c>
      <c r="M944" s="179" t="s">
        <v>151</v>
      </c>
    </row>
    <row r="945" spans="1:13">
      <c r="A945" s="313" t="str">
        <f t="shared" si="14"/>
        <v>AeroCommChannelModeCode_uhf</v>
      </c>
      <c r="B945" s="330"/>
      <c r="C945" s="334"/>
      <c r="D945" s="188" t="s">
        <v>15360</v>
      </c>
      <c r="E945" s="189" t="s">
        <v>15361</v>
      </c>
      <c r="F945" s="162" t="s">
        <v>15362</v>
      </c>
      <c r="G945" s="190"/>
      <c r="H945" s="219"/>
      <c r="I945" s="169">
        <v>116528</v>
      </c>
      <c r="J945" s="304" t="str">
        <f>CONCATENATE([2]Cover!$D$6,"fdd/view?i=",I945)</f>
        <v>https://www.dgiwg.org/FAD/fdd/view?i=116528</v>
      </c>
      <c r="K945" s="304" t="s">
        <v>34994</v>
      </c>
      <c r="L945" s="188">
        <v>11</v>
      </c>
      <c r="M945" s="179" t="s">
        <v>151</v>
      </c>
    </row>
    <row r="946" spans="1:13">
      <c r="A946" s="313" t="str">
        <f t="shared" si="14"/>
        <v>AeroCommChannelModeCode_vdl1</v>
      </c>
      <c r="B946" s="330"/>
      <c r="C946" s="334"/>
      <c r="D946" s="188" t="s">
        <v>15363</v>
      </c>
      <c r="E946" s="189" t="s">
        <v>15364</v>
      </c>
      <c r="F946" s="162" t="s">
        <v>15365</v>
      </c>
      <c r="G946" s="190"/>
      <c r="H946" s="219"/>
      <c r="I946" s="169">
        <v>116523</v>
      </c>
      <c r="J946" s="304" t="str">
        <f>CONCATENATE([2]Cover!$D$6,"fdd/view?i=",I946)</f>
        <v>https://www.dgiwg.org/FAD/fdd/view?i=116523</v>
      </c>
      <c r="K946" s="304" t="s">
        <v>34995</v>
      </c>
      <c r="L946" s="188">
        <v>6</v>
      </c>
      <c r="M946" s="179" t="s">
        <v>151</v>
      </c>
    </row>
    <row r="947" spans="1:13" ht="25.5">
      <c r="A947" s="313" t="str">
        <f t="shared" si="14"/>
        <v>AeroCommChannelModeCode_vdl2</v>
      </c>
      <c r="B947" s="330"/>
      <c r="C947" s="334"/>
      <c r="D947" s="188" t="s">
        <v>15366</v>
      </c>
      <c r="E947" s="189" t="s">
        <v>15367</v>
      </c>
      <c r="F947" s="162" t="s">
        <v>15368</v>
      </c>
      <c r="G947" s="190"/>
      <c r="H947" s="219"/>
      <c r="I947" s="169">
        <v>116524</v>
      </c>
      <c r="J947" s="304" t="str">
        <f>CONCATENATE([2]Cover!$D$6,"fdd/view?i=",I947)</f>
        <v>https://www.dgiwg.org/FAD/fdd/view?i=116524</v>
      </c>
      <c r="K947" s="304" t="s">
        <v>34996</v>
      </c>
      <c r="L947" s="188">
        <v>7</v>
      </c>
      <c r="M947" s="179" t="s">
        <v>151</v>
      </c>
    </row>
    <row r="948" spans="1:13" ht="25.5">
      <c r="A948" s="313" t="str">
        <f t="shared" si="14"/>
        <v>AeroCommChannelModeCode_vdl4</v>
      </c>
      <c r="B948" s="330"/>
      <c r="C948" s="334"/>
      <c r="D948" s="188" t="s">
        <v>15369</v>
      </c>
      <c r="E948" s="189" t="s">
        <v>15370</v>
      </c>
      <c r="F948" s="162" t="s">
        <v>15371</v>
      </c>
      <c r="G948" s="190"/>
      <c r="H948" s="219"/>
      <c r="I948" s="169">
        <v>116525</v>
      </c>
      <c r="J948" s="304" t="str">
        <f>CONCATENATE([2]Cover!$D$6,"fdd/view?i=",I948)</f>
        <v>https://www.dgiwg.org/FAD/fdd/view?i=116525</v>
      </c>
      <c r="K948" s="304" t="s">
        <v>34997</v>
      </c>
      <c r="L948" s="188">
        <v>8</v>
      </c>
      <c r="M948" s="179" t="s">
        <v>151</v>
      </c>
    </row>
    <row r="949" spans="1:13">
      <c r="A949" s="313" t="str">
        <f t="shared" si="14"/>
        <v>AeroCommChannelModeCode_vhf</v>
      </c>
      <c r="B949" s="331"/>
      <c r="C949" s="335"/>
      <c r="D949" s="181" t="s">
        <v>15372</v>
      </c>
      <c r="E949" s="192" t="s">
        <v>15373</v>
      </c>
      <c r="F949" s="193" t="s">
        <v>15374</v>
      </c>
      <c r="G949" s="194"/>
      <c r="H949" s="220"/>
      <c r="I949" s="169">
        <v>116526</v>
      </c>
      <c r="J949" s="304" t="str">
        <f>CONCATENATE([2]Cover!$D$6,"fdd/view?i=",I949)</f>
        <v>https://www.dgiwg.org/FAD/fdd/view?i=116526</v>
      </c>
      <c r="K949" s="304" t="s">
        <v>34998</v>
      </c>
      <c r="L949" s="181">
        <v>9</v>
      </c>
      <c r="M949" s="179" t="s">
        <v>151</v>
      </c>
    </row>
    <row r="950" spans="1:13" ht="25.5">
      <c r="A950" s="313" t="str">
        <f t="shared" si="14"/>
        <v>AeroResponsibleAuthTypeCode_airspaceDelegation</v>
      </c>
      <c r="B950" s="332" t="str">
        <f>HYPERLINK("[#]Datatypes!A66:L66","AeroResponsibleAuthTypeCode")</f>
        <v>AeroResponsibleAuthTypeCode</v>
      </c>
      <c r="C950" s="333" t="s">
        <v>11502</v>
      </c>
      <c r="D950" s="202" t="s">
        <v>15375</v>
      </c>
      <c r="E950" s="203" t="s">
        <v>15376</v>
      </c>
      <c r="F950" s="204" t="s">
        <v>15377</v>
      </c>
      <c r="G950" s="205"/>
      <c r="H950" s="218"/>
      <c r="I950" s="169">
        <v>114713</v>
      </c>
      <c r="J950" s="304" t="str">
        <f>CONCATENATE([2]Cover!$D$6,"fdd/view?i=",I950)</f>
        <v>https://www.dgiwg.org/FAD/fdd/view?i=114713</v>
      </c>
      <c r="K950" s="304" t="s">
        <v>34999</v>
      </c>
      <c r="L950" s="202">
        <v>2</v>
      </c>
      <c r="M950" s="179" t="s">
        <v>151</v>
      </c>
    </row>
    <row r="951" spans="1:13" ht="25.5">
      <c r="A951" s="313" t="str">
        <f t="shared" si="14"/>
        <v>AeroResponsibleAuthTypeCode_airspaceOwnership</v>
      </c>
      <c r="B951" s="330"/>
      <c r="C951" s="334"/>
      <c r="D951" s="188" t="s">
        <v>15378</v>
      </c>
      <c r="E951" s="189" t="s">
        <v>15379</v>
      </c>
      <c r="F951" s="162" t="s">
        <v>15380</v>
      </c>
      <c r="G951" s="190"/>
      <c r="H951" s="219"/>
      <c r="I951" s="169">
        <v>114715</v>
      </c>
      <c r="J951" s="304" t="str">
        <f>CONCATENATE([2]Cover!$D$6,"fdd/view?i=",I951)</f>
        <v>https://www.dgiwg.org/FAD/fdd/view?i=114715</v>
      </c>
      <c r="K951" s="304" t="s">
        <v>35000</v>
      </c>
      <c r="L951" s="188">
        <v>4</v>
      </c>
      <c r="M951" s="179" t="s">
        <v>151</v>
      </c>
    </row>
    <row r="952" spans="1:13" ht="38.25">
      <c r="A952" s="313" t="str">
        <f t="shared" si="14"/>
        <v>AeroResponsibleAuthTypeCode_aisAuthority</v>
      </c>
      <c r="B952" s="330"/>
      <c r="C952" s="334"/>
      <c r="D952" s="188" t="s">
        <v>15381</v>
      </c>
      <c r="E952" s="189" t="s">
        <v>15382</v>
      </c>
      <c r="F952" s="162" t="s">
        <v>15383</v>
      </c>
      <c r="G952" s="190"/>
      <c r="H952" s="219"/>
      <c r="I952" s="169">
        <v>114712</v>
      </c>
      <c r="J952" s="304" t="str">
        <f>CONCATENATE([2]Cover!$D$6,"fdd/view?i=",I952)</f>
        <v>https://www.dgiwg.org/FAD/fdd/view?i=114712</v>
      </c>
      <c r="K952" s="304" t="s">
        <v>35001</v>
      </c>
      <c r="L952" s="188">
        <v>1</v>
      </c>
      <c r="M952" s="179" t="s">
        <v>151</v>
      </c>
    </row>
    <row r="953" spans="1:13" ht="25.5">
      <c r="A953" s="313" t="str">
        <f t="shared" si="14"/>
        <v>AeroResponsibleAuthTypeCode_otherResponsibleAuthority</v>
      </c>
      <c r="B953" s="331"/>
      <c r="C953" s="335"/>
      <c r="D953" s="181" t="s">
        <v>15384</v>
      </c>
      <c r="E953" s="192" t="s">
        <v>15385</v>
      </c>
      <c r="F953" s="193" t="s">
        <v>15386</v>
      </c>
      <c r="G953" s="194"/>
      <c r="H953" s="220"/>
      <c r="I953" s="169">
        <v>114714</v>
      </c>
      <c r="J953" s="304" t="str">
        <f>CONCATENATE([2]Cover!$D$6,"fdd/view?i=",I953)</f>
        <v>https://www.dgiwg.org/FAD/fdd/view?i=114714</v>
      </c>
      <c r="K953" s="304" t="s">
        <v>35002</v>
      </c>
      <c r="L953" s="181">
        <v>3</v>
      </c>
      <c r="M953" s="179" t="s">
        <v>151</v>
      </c>
    </row>
    <row r="954" spans="1:13">
      <c r="A954" s="313" t="str">
        <f t="shared" si="14"/>
        <v>AeroRouteCategoryCode_both</v>
      </c>
      <c r="B954" s="332" t="str">
        <f>HYPERLINK("[#]Datatypes!A68:L68","AeroRouteCategoryCode")</f>
        <v>AeroRouteCategoryCode</v>
      </c>
      <c r="C954" s="333" t="s">
        <v>11504</v>
      </c>
      <c r="D954" s="202" t="s">
        <v>15387</v>
      </c>
      <c r="E954" s="203" t="s">
        <v>15388</v>
      </c>
      <c r="F954" s="204" t="s">
        <v>15389</v>
      </c>
      <c r="G954" s="205"/>
      <c r="H954" s="218"/>
      <c r="I954" s="169">
        <v>119497</v>
      </c>
      <c r="J954" s="304" t="str">
        <f>CONCATENATE([2]Cover!$D$6,"fdd/view?i=",I954)</f>
        <v>https://www.dgiwg.org/FAD/fdd/view?i=119497</v>
      </c>
      <c r="K954" s="304" t="s">
        <v>35003</v>
      </c>
      <c r="L954" s="202">
        <v>3</v>
      </c>
      <c r="M954" s="179" t="s">
        <v>151</v>
      </c>
    </row>
    <row r="955" spans="1:13">
      <c r="A955" s="313" t="str">
        <f t="shared" si="14"/>
        <v>AeroRouteCategoryCode_high</v>
      </c>
      <c r="B955" s="330"/>
      <c r="C955" s="334"/>
      <c r="D955" s="188" t="s">
        <v>15390</v>
      </c>
      <c r="E955" s="189" t="s">
        <v>15391</v>
      </c>
      <c r="F955" s="162" t="s">
        <v>15392</v>
      </c>
      <c r="G955" s="190"/>
      <c r="H955" s="219"/>
      <c r="I955" s="169">
        <v>119496</v>
      </c>
      <c r="J955" s="304" t="str">
        <f>CONCATENATE([2]Cover!$D$6,"fdd/view?i=",I955)</f>
        <v>https://www.dgiwg.org/FAD/fdd/view?i=119496</v>
      </c>
      <c r="K955" s="304" t="s">
        <v>35004</v>
      </c>
      <c r="L955" s="188">
        <v>2</v>
      </c>
      <c r="M955" s="179" t="s">
        <v>151</v>
      </c>
    </row>
    <row r="956" spans="1:13">
      <c r="A956" s="313" t="str">
        <f t="shared" si="14"/>
        <v>AeroRouteCategoryCode_low</v>
      </c>
      <c r="B956" s="331"/>
      <c r="C956" s="335"/>
      <c r="D956" s="181" t="s">
        <v>15393</v>
      </c>
      <c r="E956" s="192" t="s">
        <v>15394</v>
      </c>
      <c r="F956" s="193" t="s">
        <v>15395</v>
      </c>
      <c r="G956" s="194"/>
      <c r="H956" s="220"/>
      <c r="I956" s="169">
        <v>119495</v>
      </c>
      <c r="J956" s="304" t="str">
        <f>CONCATENATE([2]Cover!$D$6,"fdd/view?i=",I956)</f>
        <v>https://www.dgiwg.org/FAD/fdd/view?i=119495</v>
      </c>
      <c r="K956" s="304" t="s">
        <v>35005</v>
      </c>
      <c r="L956" s="181">
        <v>1</v>
      </c>
      <c r="M956" s="179" t="s">
        <v>151</v>
      </c>
    </row>
    <row r="957" spans="1:13" ht="25.5">
      <c r="A957" s="313" t="str">
        <f t="shared" si="14"/>
        <v>AeroServiceOperStatusCode_conditional</v>
      </c>
      <c r="B957" s="332" t="str">
        <f>HYPERLINK("[#]Datatypes!A70:L70","AeroServiceOperStatusCode")</f>
        <v>AeroServiceOperStatusCode</v>
      </c>
      <c r="C957" s="333" t="s">
        <v>11506</v>
      </c>
      <c r="D957" s="202" t="s">
        <v>15396</v>
      </c>
      <c r="E957" s="203" t="s">
        <v>15397</v>
      </c>
      <c r="F957" s="204" t="s">
        <v>15398</v>
      </c>
      <c r="G957" s="205"/>
      <c r="H957" s="218"/>
      <c r="I957" s="169">
        <v>116504</v>
      </c>
      <c r="J957" s="304" t="str">
        <f>CONCATENATE([2]Cover!$D$6,"fdd/view?i=",I957)</f>
        <v>https://www.dgiwg.org/FAD/fdd/view?i=116504</v>
      </c>
      <c r="K957" s="304" t="s">
        <v>35006</v>
      </c>
      <c r="L957" s="202">
        <v>6</v>
      </c>
      <c r="M957" s="179" t="s">
        <v>151</v>
      </c>
    </row>
    <row r="958" spans="1:13" ht="25.5">
      <c r="A958" s="313" t="str">
        <f t="shared" si="14"/>
        <v>AeroServiceOperStatusCode_displaced</v>
      </c>
      <c r="B958" s="330"/>
      <c r="C958" s="334"/>
      <c r="D958" s="188" t="s">
        <v>15399</v>
      </c>
      <c r="E958" s="189" t="s">
        <v>15400</v>
      </c>
      <c r="F958" s="162" t="s">
        <v>15401</v>
      </c>
      <c r="G958" s="190"/>
      <c r="H958" s="219"/>
      <c r="I958" s="169">
        <v>116508</v>
      </c>
      <c r="J958" s="304" t="str">
        <f>CONCATENATE([2]Cover!$D$6,"fdd/view?i=",I958)</f>
        <v>https://www.dgiwg.org/FAD/fdd/view?i=116508</v>
      </c>
      <c r="K958" s="304" t="s">
        <v>35007</v>
      </c>
      <c r="L958" s="188">
        <v>10</v>
      </c>
      <c r="M958" s="179" t="s">
        <v>151</v>
      </c>
    </row>
    <row r="959" spans="1:13" ht="25.5">
      <c r="A959" s="313" t="str">
        <f t="shared" si="14"/>
        <v>AeroServiceOperStatusCode_falseIndicationDefinite</v>
      </c>
      <c r="B959" s="330"/>
      <c r="C959" s="334"/>
      <c r="D959" s="188" t="s">
        <v>15402</v>
      </c>
      <c r="E959" s="189" t="s">
        <v>15403</v>
      </c>
      <c r="F959" s="162" t="s">
        <v>15404</v>
      </c>
      <c r="G959" s="190"/>
      <c r="H959" s="219"/>
      <c r="I959" s="169">
        <v>116505</v>
      </c>
      <c r="J959" s="304" t="str">
        <f>CONCATENATE([2]Cover!$D$6,"fdd/view?i=",I959)</f>
        <v>https://www.dgiwg.org/FAD/fdd/view?i=116505</v>
      </c>
      <c r="K959" s="304" t="s">
        <v>35008</v>
      </c>
      <c r="L959" s="188">
        <v>7</v>
      </c>
      <c r="M959" s="179" t="s">
        <v>151</v>
      </c>
    </row>
    <row r="960" spans="1:13" ht="25.5">
      <c r="A960" s="313" t="str">
        <f t="shared" si="14"/>
        <v>AeroServiceOperStatusCode_falseIndicationPossible</v>
      </c>
      <c r="B960" s="330"/>
      <c r="C960" s="334"/>
      <c r="D960" s="188" t="s">
        <v>15405</v>
      </c>
      <c r="E960" s="189" t="s">
        <v>15406</v>
      </c>
      <c r="F960" s="162" t="s">
        <v>15407</v>
      </c>
      <c r="G960" s="190"/>
      <c r="H960" s="219"/>
      <c r="I960" s="169">
        <v>116506</v>
      </c>
      <c r="J960" s="304" t="str">
        <f>CONCATENATE([2]Cover!$D$6,"fdd/view?i=",I960)</f>
        <v>https://www.dgiwg.org/FAD/fdd/view?i=116506</v>
      </c>
      <c r="K960" s="304" t="s">
        <v>35009</v>
      </c>
      <c r="L960" s="188">
        <v>8</v>
      </c>
      <c r="M960" s="179" t="s">
        <v>151</v>
      </c>
    </row>
    <row r="961" spans="1:13" ht="25.5">
      <c r="A961" s="313" t="str">
        <f t="shared" si="14"/>
        <v>AeroServiceOperStatusCode_inConstruction</v>
      </c>
      <c r="B961" s="330"/>
      <c r="C961" s="334"/>
      <c r="D961" s="188" t="s">
        <v>15408</v>
      </c>
      <c r="E961" s="189" t="s">
        <v>15409</v>
      </c>
      <c r="F961" s="162" t="s">
        <v>15410</v>
      </c>
      <c r="G961" s="190"/>
      <c r="H961" s="219"/>
      <c r="I961" s="169">
        <v>116509</v>
      </c>
      <c r="J961" s="304" t="str">
        <f>CONCATENATE([2]Cover!$D$6,"fdd/view?i=",I961)</f>
        <v>https://www.dgiwg.org/FAD/fdd/view?i=116509</v>
      </c>
      <c r="K961" s="304" t="s">
        <v>35010</v>
      </c>
      <c r="L961" s="188">
        <v>11</v>
      </c>
      <c r="M961" s="179" t="s">
        <v>151</v>
      </c>
    </row>
    <row r="962" spans="1:13" ht="25.5">
      <c r="A962" s="313" t="str">
        <f t="shared" si="14"/>
        <v>AeroServiceOperStatusCode_intermittent</v>
      </c>
      <c r="B962" s="330"/>
      <c r="C962" s="334"/>
      <c r="D962" s="188" t="s">
        <v>15411</v>
      </c>
      <c r="E962" s="189" t="s">
        <v>15412</v>
      </c>
      <c r="F962" s="162" t="s">
        <v>15413</v>
      </c>
      <c r="G962" s="190"/>
      <c r="H962" s="219"/>
      <c r="I962" s="169">
        <v>116511</v>
      </c>
      <c r="J962" s="304" t="str">
        <f>CONCATENATE([2]Cover!$D$6,"fdd/view?i=",I962)</f>
        <v>https://www.dgiwg.org/FAD/fdd/view?i=116511</v>
      </c>
      <c r="K962" s="304" t="s">
        <v>35011</v>
      </c>
      <c r="L962" s="188">
        <v>13</v>
      </c>
      <c r="M962" s="179" t="s">
        <v>151</v>
      </c>
    </row>
    <row r="963" spans="1:13" ht="25.5">
      <c r="A963" s="313" t="str">
        <f t="shared" ref="A963:A1026" si="15">HYPERLINK(J963,K963)</f>
        <v>AeroServiceOperStatusCode_interrupt</v>
      </c>
      <c r="B963" s="330"/>
      <c r="C963" s="334"/>
      <c r="D963" s="188" t="s">
        <v>15414</v>
      </c>
      <c r="E963" s="189" t="s">
        <v>15415</v>
      </c>
      <c r="F963" s="162" t="s">
        <v>15416</v>
      </c>
      <c r="G963" s="190"/>
      <c r="H963" s="219"/>
      <c r="I963" s="169">
        <v>116502</v>
      </c>
      <c r="J963" s="304" t="str">
        <f>CONCATENATE([2]Cover!$D$6,"fdd/view?i=",I963)</f>
        <v>https://www.dgiwg.org/FAD/fdd/view?i=116502</v>
      </c>
      <c r="K963" s="304" t="s">
        <v>35012</v>
      </c>
      <c r="L963" s="188">
        <v>4</v>
      </c>
      <c r="M963" s="179" t="s">
        <v>151</v>
      </c>
    </row>
    <row r="964" spans="1:13" ht="25.5">
      <c r="A964" s="313" t="str">
        <f t="shared" si="15"/>
        <v>AeroServiceOperStatusCode_irregular</v>
      </c>
      <c r="B964" s="330"/>
      <c r="C964" s="334"/>
      <c r="D964" s="188" t="s">
        <v>15417</v>
      </c>
      <c r="E964" s="189" t="s">
        <v>15418</v>
      </c>
      <c r="F964" s="162" t="s">
        <v>15419</v>
      </c>
      <c r="G964" s="190"/>
      <c r="H964" s="219"/>
      <c r="I964" s="169">
        <v>116512</v>
      </c>
      <c r="J964" s="304" t="str">
        <f>CONCATENATE([2]Cover!$D$6,"fdd/view?i=",I964)</f>
        <v>https://www.dgiwg.org/FAD/fdd/view?i=116512</v>
      </c>
      <c r="K964" s="304" t="s">
        <v>35013</v>
      </c>
      <c r="L964" s="188">
        <v>14</v>
      </c>
      <c r="M964" s="179" t="s">
        <v>151</v>
      </c>
    </row>
    <row r="965" spans="1:13" ht="38.25">
      <c r="A965" s="313" t="str">
        <f t="shared" si="15"/>
        <v>AeroServiceOperStatusCode_navaidDmeOutOfService</v>
      </c>
      <c r="B965" s="330"/>
      <c r="C965" s="334"/>
      <c r="D965" s="188" t="s">
        <v>15421</v>
      </c>
      <c r="E965" s="189" t="s">
        <v>15422</v>
      </c>
      <c r="F965" s="162" t="s">
        <v>15423</v>
      </c>
      <c r="G965" s="162" t="s">
        <v>15424</v>
      </c>
      <c r="H965" s="219"/>
      <c r="I965" s="169">
        <v>119640</v>
      </c>
      <c r="J965" s="304" t="str">
        <f>CONCATENATE([2]Cover!$D$6,"fdd/view?i=",I965)</f>
        <v>https://www.dgiwg.org/FAD/fdd/view?i=119640</v>
      </c>
      <c r="K965" s="304" t="s">
        <v>35014</v>
      </c>
      <c r="L965" s="188">
        <v>15</v>
      </c>
      <c r="M965" s="179" t="s">
        <v>151</v>
      </c>
    </row>
    <row r="966" spans="1:13" ht="38.25">
      <c r="A966" s="313" t="str">
        <f t="shared" si="15"/>
        <v>AeroServiceOperStatusCode_navaidFreqOutOfService</v>
      </c>
      <c r="B966" s="330"/>
      <c r="C966" s="334"/>
      <c r="D966" s="188" t="s">
        <v>15425</v>
      </c>
      <c r="E966" s="189" t="s">
        <v>15426</v>
      </c>
      <c r="F966" s="162" t="s">
        <v>15427</v>
      </c>
      <c r="G966" s="162" t="s">
        <v>15424</v>
      </c>
      <c r="H966" s="219"/>
      <c r="I966" s="169">
        <v>119641</v>
      </c>
      <c r="J966" s="304" t="str">
        <f>CONCATENATE([2]Cover!$D$6,"fdd/view?i=",I966)</f>
        <v>https://www.dgiwg.org/FAD/fdd/view?i=119641</v>
      </c>
      <c r="K966" s="304" t="s">
        <v>35015</v>
      </c>
      <c r="L966" s="188">
        <v>16</v>
      </c>
      <c r="M966" s="179" t="s">
        <v>151</v>
      </c>
    </row>
    <row r="967" spans="1:13" ht="38.25">
      <c r="A967" s="313" t="str">
        <f t="shared" si="15"/>
        <v>AeroServiceOperStatusCode_navaidPartialService</v>
      </c>
      <c r="B967" s="330"/>
      <c r="C967" s="334"/>
      <c r="D967" s="188" t="s">
        <v>15428</v>
      </c>
      <c r="E967" s="189" t="s">
        <v>15429</v>
      </c>
      <c r="F967" s="162" t="s">
        <v>15430</v>
      </c>
      <c r="G967" s="162" t="s">
        <v>15431</v>
      </c>
      <c r="H967" s="219"/>
      <c r="I967" s="169">
        <v>119642</v>
      </c>
      <c r="J967" s="304" t="str">
        <f>CONCATENATE([2]Cover!$D$6,"fdd/view?i=",I967)</f>
        <v>https://www.dgiwg.org/FAD/fdd/view?i=119642</v>
      </c>
      <c r="K967" s="304" t="s">
        <v>35016</v>
      </c>
      <c r="L967" s="188">
        <v>17</v>
      </c>
      <c r="M967" s="179" t="s">
        <v>151</v>
      </c>
    </row>
    <row r="968" spans="1:13" ht="25.5">
      <c r="A968" s="313" t="str">
        <f t="shared" si="15"/>
        <v>AeroServiceOperStatusCode_onTest</v>
      </c>
      <c r="B968" s="330"/>
      <c r="C968" s="334"/>
      <c r="D968" s="188" t="s">
        <v>15432</v>
      </c>
      <c r="E968" s="189" t="s">
        <v>15433</v>
      </c>
      <c r="F968" s="162" t="s">
        <v>15434</v>
      </c>
      <c r="G968" s="162" t="s">
        <v>15435</v>
      </c>
      <c r="H968" s="219"/>
      <c r="I968" s="169">
        <v>116501</v>
      </c>
      <c r="J968" s="304" t="str">
        <f>CONCATENATE([2]Cover!$D$6,"fdd/view?i=",I968)</f>
        <v>https://www.dgiwg.org/FAD/fdd/view?i=116501</v>
      </c>
      <c r="K968" s="304" t="s">
        <v>35017</v>
      </c>
      <c r="L968" s="188">
        <v>3</v>
      </c>
      <c r="M968" s="179" t="s">
        <v>151</v>
      </c>
    </row>
    <row r="969" spans="1:13" ht="25.5">
      <c r="A969" s="313" t="str">
        <f t="shared" si="15"/>
        <v>AeroServiceOperStatusCode_operational</v>
      </c>
      <c r="B969" s="330"/>
      <c r="C969" s="334"/>
      <c r="D969" s="188" t="s">
        <v>8967</v>
      </c>
      <c r="E969" s="189" t="s">
        <v>8968</v>
      </c>
      <c r="F969" s="162" t="s">
        <v>15436</v>
      </c>
      <c r="G969" s="190"/>
      <c r="H969" s="219"/>
      <c r="I969" s="169">
        <v>116499</v>
      </c>
      <c r="J969" s="304" t="str">
        <f>CONCATENATE([2]Cover!$D$6,"fdd/view?i=",I969)</f>
        <v>https://www.dgiwg.org/FAD/fdd/view?i=116499</v>
      </c>
      <c r="K969" s="304" t="s">
        <v>35018</v>
      </c>
      <c r="L969" s="188">
        <v>1</v>
      </c>
      <c r="M969" s="179" t="s">
        <v>151</v>
      </c>
    </row>
    <row r="970" spans="1:13" ht="25.5">
      <c r="A970" s="313" t="str">
        <f t="shared" si="15"/>
        <v>AeroServiceOperStatusCode_unserviceable</v>
      </c>
      <c r="B970" s="330"/>
      <c r="C970" s="334"/>
      <c r="D970" s="188" t="s">
        <v>15216</v>
      </c>
      <c r="E970" s="189" t="s">
        <v>15217</v>
      </c>
      <c r="F970" s="162" t="s">
        <v>15437</v>
      </c>
      <c r="G970" s="190"/>
      <c r="H970" s="219"/>
      <c r="I970" s="169">
        <v>116500</v>
      </c>
      <c r="J970" s="304" t="str">
        <f>CONCATENATE([2]Cover!$D$6,"fdd/view?i=",I970)</f>
        <v>https://www.dgiwg.org/FAD/fdd/view?i=116500</v>
      </c>
      <c r="K970" s="304" t="s">
        <v>35019</v>
      </c>
      <c r="L970" s="188">
        <v>2</v>
      </c>
      <c r="M970" s="179" t="s">
        <v>151</v>
      </c>
    </row>
    <row r="971" spans="1:13" ht="25.5">
      <c r="A971" s="313" t="str">
        <f t="shared" si="15"/>
        <v>AeroServiceOperStatusCode_withdrawn</v>
      </c>
      <c r="B971" s="331"/>
      <c r="C971" s="335"/>
      <c r="D971" s="181" t="s">
        <v>15438</v>
      </c>
      <c r="E971" s="192" t="s">
        <v>15439</v>
      </c>
      <c r="F971" s="193" t="s">
        <v>15440</v>
      </c>
      <c r="G971" s="194"/>
      <c r="H971" s="220"/>
      <c r="I971" s="169">
        <v>116510</v>
      </c>
      <c r="J971" s="304" t="str">
        <f>CONCATENATE([2]Cover!$D$6,"fdd/view?i=",I971)</f>
        <v>https://www.dgiwg.org/FAD/fdd/view?i=116510</v>
      </c>
      <c r="K971" s="304" t="s">
        <v>35020</v>
      </c>
      <c r="L971" s="181">
        <v>12</v>
      </c>
      <c r="M971" s="179" t="s">
        <v>151</v>
      </c>
    </row>
    <row r="972" spans="1:13">
      <c r="A972" s="313" t="str">
        <f t="shared" si="15"/>
        <v>AeroServiceRankingCode_alternate</v>
      </c>
      <c r="B972" s="332" t="str">
        <f>HYPERLINK("[#]Datatypes!A72:L72","AeroServiceRankingCode")</f>
        <v>AeroServiceRankingCode</v>
      </c>
      <c r="C972" s="333" t="s">
        <v>11508</v>
      </c>
      <c r="D972" s="202" t="s">
        <v>15441</v>
      </c>
      <c r="E972" s="203" t="s">
        <v>15442</v>
      </c>
      <c r="F972" s="204" t="s">
        <v>15443</v>
      </c>
      <c r="G972" s="205"/>
      <c r="H972" s="218"/>
      <c r="I972" s="169">
        <v>116513</v>
      </c>
      <c r="J972" s="304" t="str">
        <f>CONCATENATE([2]Cover!$D$6,"fdd/view?i=",I972)</f>
        <v>https://www.dgiwg.org/FAD/fdd/view?i=116513</v>
      </c>
      <c r="K972" s="304" t="s">
        <v>35021</v>
      </c>
      <c r="L972" s="202">
        <v>3</v>
      </c>
      <c r="M972" s="179" t="s">
        <v>151</v>
      </c>
    </row>
    <row r="973" spans="1:13" ht="25.5">
      <c r="A973" s="313" t="str">
        <f t="shared" si="15"/>
        <v>AeroServiceRankingCode_emergency</v>
      </c>
      <c r="B973" s="330"/>
      <c r="C973" s="334"/>
      <c r="D973" s="188" t="s">
        <v>15444</v>
      </c>
      <c r="E973" s="189" t="s">
        <v>15445</v>
      </c>
      <c r="F973" s="162" t="s">
        <v>15446</v>
      </c>
      <c r="G973" s="190"/>
      <c r="H973" s="219"/>
      <c r="I973" s="169">
        <v>116514</v>
      </c>
      <c r="J973" s="304" t="str">
        <f>CONCATENATE([2]Cover!$D$6,"fdd/view?i=",I973)</f>
        <v>https://www.dgiwg.org/FAD/fdd/view?i=116514</v>
      </c>
      <c r="K973" s="304" t="s">
        <v>35022</v>
      </c>
      <c r="L973" s="188">
        <v>4</v>
      </c>
      <c r="M973" s="179" t="s">
        <v>151</v>
      </c>
    </row>
    <row r="974" spans="1:13" ht="25.5">
      <c r="A974" s="313" t="str">
        <f t="shared" si="15"/>
        <v>AeroServiceRankingCode_guarded</v>
      </c>
      <c r="B974" s="330"/>
      <c r="C974" s="334"/>
      <c r="D974" s="188" t="s">
        <v>7331</v>
      </c>
      <c r="E974" s="189" t="s">
        <v>7332</v>
      </c>
      <c r="F974" s="162" t="s">
        <v>15447</v>
      </c>
      <c r="G974" s="190"/>
      <c r="H974" s="219"/>
      <c r="I974" s="169">
        <v>116515</v>
      </c>
      <c r="J974" s="304" t="str">
        <f>CONCATENATE([2]Cover!$D$6,"fdd/view?i=",I974)</f>
        <v>https://www.dgiwg.org/FAD/fdd/view?i=116515</v>
      </c>
      <c r="K974" s="304" t="s">
        <v>35023</v>
      </c>
      <c r="L974" s="188">
        <v>5</v>
      </c>
      <c r="M974" s="179" t="s">
        <v>151</v>
      </c>
    </row>
    <row r="975" spans="1:13">
      <c r="A975" s="313" t="str">
        <f t="shared" si="15"/>
        <v>AeroServiceRankingCode_primary</v>
      </c>
      <c r="B975" s="330"/>
      <c r="C975" s="334"/>
      <c r="D975" s="188" t="s">
        <v>14901</v>
      </c>
      <c r="E975" s="189" t="s">
        <v>14902</v>
      </c>
      <c r="F975" s="162" t="s">
        <v>15448</v>
      </c>
      <c r="G975" s="190"/>
      <c r="H975" s="219"/>
      <c r="I975" s="169">
        <v>116516</v>
      </c>
      <c r="J975" s="304" t="str">
        <f>CONCATENATE([2]Cover!$D$6,"fdd/view?i=",I975)</f>
        <v>https://www.dgiwg.org/FAD/fdd/view?i=116516</v>
      </c>
      <c r="K975" s="304" t="s">
        <v>35024</v>
      </c>
      <c r="L975" s="188">
        <v>1</v>
      </c>
      <c r="M975" s="179" t="s">
        <v>151</v>
      </c>
    </row>
    <row r="976" spans="1:13" ht="25.5">
      <c r="A976" s="313" t="str">
        <f t="shared" si="15"/>
        <v>AeroServiceRankingCode_secondary</v>
      </c>
      <c r="B976" s="331"/>
      <c r="C976" s="335"/>
      <c r="D976" s="181" t="s">
        <v>14905</v>
      </c>
      <c r="E976" s="192" t="s">
        <v>14906</v>
      </c>
      <c r="F976" s="193" t="s">
        <v>15449</v>
      </c>
      <c r="G976" s="194"/>
      <c r="H976" s="220"/>
      <c r="I976" s="169">
        <v>116517</v>
      </c>
      <c r="J976" s="304" t="str">
        <f>CONCATENATE([2]Cover!$D$6,"fdd/view?i=",I976)</f>
        <v>https://www.dgiwg.org/FAD/fdd/view?i=116517</v>
      </c>
      <c r="K976" s="304" t="s">
        <v>35025</v>
      </c>
      <c r="L976" s="181">
        <v>2</v>
      </c>
      <c r="M976" s="179" t="s">
        <v>151</v>
      </c>
    </row>
    <row r="977" spans="1:13" ht="38.25">
      <c r="A977" s="313" t="str">
        <f t="shared" si="15"/>
        <v>AeronauticalUnitTypeCode_advisoryCentre</v>
      </c>
      <c r="B977" s="332" t="str">
        <f>HYPERLINK("[#]Datatypes!A74:L74","AeronauticalUnitTypeCode")</f>
        <v>AeronauticalUnitTypeCode</v>
      </c>
      <c r="C977" s="333" t="s">
        <v>11510</v>
      </c>
      <c r="D977" s="202" t="s">
        <v>15450</v>
      </c>
      <c r="E977" s="203" t="s">
        <v>15451</v>
      </c>
      <c r="F977" s="204" t="s">
        <v>15452</v>
      </c>
      <c r="G977" s="205"/>
      <c r="H977" s="222" t="s">
        <v>15453</v>
      </c>
      <c r="I977" s="169">
        <v>116465</v>
      </c>
      <c r="J977" s="304" t="str">
        <f>CONCATENATE([2]Cover!$D$6,"fdd/view?i=",I977)</f>
        <v>https://www.dgiwg.org/FAD/fdd/view?i=116465</v>
      </c>
      <c r="K977" s="304" t="s">
        <v>35026</v>
      </c>
      <c r="L977" s="202">
        <v>4</v>
      </c>
      <c r="M977" s="179" t="s">
        <v>151</v>
      </c>
    </row>
    <row r="978" spans="1:13" ht="51">
      <c r="A978" s="313" t="str">
        <f t="shared" si="15"/>
        <v>AeronauticalUnitTypeCode_aerodromeAisUnit</v>
      </c>
      <c r="B978" s="330"/>
      <c r="C978" s="334"/>
      <c r="D978" s="188" t="s">
        <v>15454</v>
      </c>
      <c r="E978" s="189" t="s">
        <v>15455</v>
      </c>
      <c r="F978" s="162" t="s">
        <v>15456</v>
      </c>
      <c r="G978" s="190"/>
      <c r="H978" s="219"/>
      <c r="I978" s="169">
        <v>116498</v>
      </c>
      <c r="J978" s="304" t="str">
        <f>CONCATENATE([2]Cover!$D$6,"fdd/view?i=",I978)</f>
        <v>https://www.dgiwg.org/FAD/fdd/view?i=116498</v>
      </c>
      <c r="K978" s="304" t="s">
        <v>35027</v>
      </c>
      <c r="L978" s="188">
        <v>37</v>
      </c>
      <c r="M978" s="179" t="s">
        <v>151</v>
      </c>
    </row>
    <row r="979" spans="1:13" ht="25.5">
      <c r="A979" s="313" t="str">
        <f t="shared" si="15"/>
        <v>AeronauticalUnitTypeCode_aerodromeControlTower</v>
      </c>
      <c r="B979" s="330"/>
      <c r="C979" s="334"/>
      <c r="D979" s="188" t="s">
        <v>15457</v>
      </c>
      <c r="E979" s="189" t="s">
        <v>15458</v>
      </c>
      <c r="F979" s="162" t="s">
        <v>15459</v>
      </c>
      <c r="G979" s="190"/>
      <c r="H979" s="221" t="s">
        <v>15460</v>
      </c>
      <c r="I979" s="169">
        <v>116491</v>
      </c>
      <c r="J979" s="304" t="str">
        <f>CONCATENATE([2]Cover!$D$6,"fdd/view?i=",I979)</f>
        <v>https://www.dgiwg.org/FAD/fdd/view?i=116491</v>
      </c>
      <c r="K979" s="304" t="s">
        <v>35028</v>
      </c>
      <c r="L979" s="188">
        <v>30</v>
      </c>
      <c r="M979" s="179" t="s">
        <v>151</v>
      </c>
    </row>
    <row r="980" spans="1:13" ht="25.5">
      <c r="A980" s="313" t="str">
        <f t="shared" si="15"/>
        <v>AeronauticalUnitTypeCode_aerodromeMetOffice</v>
      </c>
      <c r="B980" s="330"/>
      <c r="C980" s="334"/>
      <c r="D980" s="188" t="s">
        <v>15461</v>
      </c>
      <c r="E980" s="189" t="s">
        <v>15462</v>
      </c>
      <c r="F980" s="162" t="s">
        <v>15463</v>
      </c>
      <c r="G980" s="190"/>
      <c r="H980" s="219"/>
      <c r="I980" s="169">
        <v>116462</v>
      </c>
      <c r="J980" s="304" t="str">
        <f>CONCATENATE([2]Cover!$D$6,"fdd/view?i=",I980)</f>
        <v>https://www.dgiwg.org/FAD/fdd/view?i=116462</v>
      </c>
      <c r="K980" s="304" t="s">
        <v>35029</v>
      </c>
      <c r="L980" s="188">
        <v>1</v>
      </c>
      <c r="M980" s="179" t="s">
        <v>151</v>
      </c>
    </row>
    <row r="981" spans="1:13" ht="38.25">
      <c r="A981" s="313" t="str">
        <f t="shared" si="15"/>
        <v>AeronauticalUnitTypeCode_aeroInfoServicesHeadOffice</v>
      </c>
      <c r="B981" s="330"/>
      <c r="C981" s="334"/>
      <c r="D981" s="188" t="s">
        <v>15464</v>
      </c>
      <c r="E981" s="189" t="s">
        <v>15465</v>
      </c>
      <c r="F981" s="162" t="s">
        <v>15466</v>
      </c>
      <c r="G981" s="190"/>
      <c r="H981" s="221" t="s">
        <v>15467</v>
      </c>
      <c r="I981" s="169">
        <v>116467</v>
      </c>
      <c r="J981" s="304" t="str">
        <f>CONCATENATE([2]Cover!$D$6,"fdd/view?i=",I981)</f>
        <v>https://www.dgiwg.org/FAD/fdd/view?i=116467</v>
      </c>
      <c r="K981" s="304" t="s">
        <v>35030</v>
      </c>
      <c r="L981" s="188">
        <v>6</v>
      </c>
      <c r="M981" s="179" t="s">
        <v>151</v>
      </c>
    </row>
    <row r="982" spans="1:13" ht="25.5">
      <c r="A982" s="313" t="str">
        <f t="shared" si="15"/>
        <v>AeronauticalUnitTypeCode_airliftCommandPost</v>
      </c>
      <c r="B982" s="330"/>
      <c r="C982" s="334"/>
      <c r="D982" s="188" t="s">
        <v>15493</v>
      </c>
      <c r="E982" s="189" t="s">
        <v>15494</v>
      </c>
      <c r="F982" s="162" t="s">
        <v>15495</v>
      </c>
      <c r="G982" s="162" t="s">
        <v>15496</v>
      </c>
      <c r="H982" s="221" t="s">
        <v>15497</v>
      </c>
      <c r="I982" s="169">
        <v>116483</v>
      </c>
      <c r="J982" s="304" t="str">
        <f>CONCATENATE([2]Cover!$D$6,"fdd/view?i=",I982)</f>
        <v>https://www.dgiwg.org/FAD/fdd/view?i=116483</v>
      </c>
      <c r="K982" s="304" t="s">
        <v>35031</v>
      </c>
      <c r="L982" s="188">
        <v>22</v>
      </c>
      <c r="M982" s="179" t="s">
        <v>151</v>
      </c>
    </row>
    <row r="983" spans="1:13" ht="38.25">
      <c r="A983" s="313" t="str">
        <f t="shared" si="15"/>
        <v>AeronauticalUnitTypeCode_airRouteTraffControlCentre</v>
      </c>
      <c r="B983" s="330"/>
      <c r="C983" s="334"/>
      <c r="D983" s="188" t="s">
        <v>15468</v>
      </c>
      <c r="E983" s="189" t="s">
        <v>15469</v>
      </c>
      <c r="F983" s="162" t="s">
        <v>15470</v>
      </c>
      <c r="G983" s="190"/>
      <c r="H983" s="221" t="s">
        <v>15471</v>
      </c>
      <c r="I983" s="169">
        <v>116472</v>
      </c>
      <c r="J983" s="304" t="str">
        <f>CONCATENATE([2]Cover!$D$6,"fdd/view?i=",I983)</f>
        <v>https://www.dgiwg.org/FAD/fdd/view?i=116472</v>
      </c>
      <c r="K983" s="304" t="s">
        <v>35032</v>
      </c>
      <c r="L983" s="188">
        <v>11</v>
      </c>
      <c r="M983" s="179" t="s">
        <v>151</v>
      </c>
    </row>
    <row r="984" spans="1:13" ht="25.5">
      <c r="A984" s="313" t="str">
        <f t="shared" si="15"/>
        <v>AeronauticalUnitTypeCode_airTrafficControlCentre</v>
      </c>
      <c r="B984" s="330"/>
      <c r="C984" s="334"/>
      <c r="D984" s="188" t="s">
        <v>15472</v>
      </c>
      <c r="E984" s="189" t="s">
        <v>15473</v>
      </c>
      <c r="F984" s="162" t="s">
        <v>15474</v>
      </c>
      <c r="G984" s="190"/>
      <c r="H984" s="221" t="s">
        <v>15475</v>
      </c>
      <c r="I984" s="169">
        <v>116473</v>
      </c>
      <c r="J984" s="304" t="str">
        <f>CONCATENATE([2]Cover!$D$6,"fdd/view?i=",I984)</f>
        <v>https://www.dgiwg.org/FAD/fdd/view?i=116473</v>
      </c>
      <c r="K984" s="304" t="s">
        <v>35033</v>
      </c>
      <c r="L984" s="188">
        <v>12</v>
      </c>
      <c r="M984" s="179" t="s">
        <v>151</v>
      </c>
    </row>
    <row r="985" spans="1:13" ht="63.75">
      <c r="A985" s="313" t="str">
        <f t="shared" si="15"/>
        <v>AeronauticalUnitTypeCode_airTrafficFlowManagement</v>
      </c>
      <c r="B985" s="330"/>
      <c r="C985" s="334"/>
      <c r="D985" s="188" t="s">
        <v>15476</v>
      </c>
      <c r="E985" s="189" t="s">
        <v>15477</v>
      </c>
      <c r="F985" s="162" t="s">
        <v>15478</v>
      </c>
      <c r="G985" s="190"/>
      <c r="H985" s="221" t="s">
        <v>15479</v>
      </c>
      <c r="I985" s="169">
        <v>116474</v>
      </c>
      <c r="J985" s="304" t="str">
        <f>CONCATENATE([2]Cover!$D$6,"fdd/view?i=",I985)</f>
        <v>https://www.dgiwg.org/FAD/fdd/view?i=116474</v>
      </c>
      <c r="K985" s="304" t="s">
        <v>35034</v>
      </c>
      <c r="L985" s="188">
        <v>13</v>
      </c>
      <c r="M985" s="179" t="s">
        <v>151</v>
      </c>
    </row>
    <row r="986" spans="1:13" ht="51">
      <c r="A986" s="313" t="str">
        <f t="shared" si="15"/>
        <v>AeronauticalUnitTypeCode_airTrafficManagementUnit</v>
      </c>
      <c r="B986" s="330"/>
      <c r="C986" s="334"/>
      <c r="D986" s="188" t="s">
        <v>15480</v>
      </c>
      <c r="E986" s="189" t="s">
        <v>15481</v>
      </c>
      <c r="F986" s="162" t="s">
        <v>15482</v>
      </c>
      <c r="G986" s="190"/>
      <c r="H986" s="221" t="s">
        <v>15483</v>
      </c>
      <c r="I986" s="169">
        <v>116475</v>
      </c>
      <c r="J986" s="304" t="str">
        <f>CONCATENATE([2]Cover!$D$6,"fdd/view?i=",I986)</f>
        <v>https://www.dgiwg.org/FAD/fdd/view?i=116475</v>
      </c>
      <c r="K986" s="304" t="s">
        <v>35035</v>
      </c>
      <c r="L986" s="188">
        <v>14</v>
      </c>
      <c r="M986" s="179" t="s">
        <v>151</v>
      </c>
    </row>
    <row r="987" spans="1:13" ht="63.75">
      <c r="A987" s="313" t="str">
        <f t="shared" si="15"/>
        <v>AeronauticalUnitTypeCode_airTrafficServicesReporting</v>
      </c>
      <c r="B987" s="330"/>
      <c r="C987" s="334"/>
      <c r="D987" s="188" t="s">
        <v>15484</v>
      </c>
      <c r="E987" s="189" t="s">
        <v>15485</v>
      </c>
      <c r="F987" s="162" t="s">
        <v>15486</v>
      </c>
      <c r="G987" s="162" t="s">
        <v>15487</v>
      </c>
      <c r="H987" s="221" t="s">
        <v>15488</v>
      </c>
      <c r="I987" s="169">
        <v>116471</v>
      </c>
      <c r="J987" s="304" t="str">
        <f>CONCATENATE([2]Cover!$D$6,"fdd/view?i=",I987)</f>
        <v>https://www.dgiwg.org/FAD/fdd/view?i=116471</v>
      </c>
      <c r="K987" s="304" t="s">
        <v>35036</v>
      </c>
      <c r="L987" s="188">
        <v>10</v>
      </c>
      <c r="M987" s="179" t="s">
        <v>151</v>
      </c>
    </row>
    <row r="988" spans="1:13" ht="25.5">
      <c r="A988" s="313" t="str">
        <f t="shared" si="15"/>
        <v>AeronauticalUnitTypeCode_airTrafficServicesUnit</v>
      </c>
      <c r="B988" s="330"/>
      <c r="C988" s="334"/>
      <c r="D988" s="188" t="s">
        <v>15489</v>
      </c>
      <c r="E988" s="189" t="s">
        <v>15490</v>
      </c>
      <c r="F988" s="162" t="s">
        <v>15491</v>
      </c>
      <c r="G988" s="190"/>
      <c r="H988" s="221" t="s">
        <v>15492</v>
      </c>
      <c r="I988" s="169">
        <v>116476</v>
      </c>
      <c r="J988" s="304" t="str">
        <f>CONCATENATE([2]Cover!$D$6,"fdd/view?i=",I988)</f>
        <v>https://www.dgiwg.org/FAD/fdd/view?i=116476</v>
      </c>
      <c r="K988" s="304" t="s">
        <v>35037</v>
      </c>
      <c r="L988" s="188">
        <v>15</v>
      </c>
      <c r="M988" s="179" t="s">
        <v>151</v>
      </c>
    </row>
    <row r="989" spans="1:13" ht="38.25">
      <c r="A989" s="313" t="str">
        <f t="shared" si="15"/>
        <v>AeronauticalUnitTypeCode_alertingPost</v>
      </c>
      <c r="B989" s="330"/>
      <c r="C989" s="334"/>
      <c r="D989" s="188" t="s">
        <v>15498</v>
      </c>
      <c r="E989" s="189" t="s">
        <v>15499</v>
      </c>
      <c r="F989" s="162" t="s">
        <v>15500</v>
      </c>
      <c r="G989" s="190"/>
      <c r="H989" s="221" t="s">
        <v>15501</v>
      </c>
      <c r="I989" s="169">
        <v>116466</v>
      </c>
      <c r="J989" s="304" t="str">
        <f>CONCATENATE([2]Cover!$D$6,"fdd/view?i=",I989)</f>
        <v>https://www.dgiwg.org/FAD/fdd/view?i=116466</v>
      </c>
      <c r="K989" s="304" t="s">
        <v>35038</v>
      </c>
      <c r="L989" s="188">
        <v>5</v>
      </c>
      <c r="M989" s="179" t="s">
        <v>151</v>
      </c>
    </row>
    <row r="990" spans="1:13" ht="25.5">
      <c r="A990" s="313" t="str">
        <f t="shared" si="15"/>
        <v>AeronauticalUnitTypeCode_approachControlUnit</v>
      </c>
      <c r="B990" s="330"/>
      <c r="C990" s="334"/>
      <c r="D990" s="188" t="s">
        <v>15502</v>
      </c>
      <c r="E990" s="189" t="s">
        <v>15503</v>
      </c>
      <c r="F990" s="162" t="s">
        <v>15504</v>
      </c>
      <c r="G990" s="190"/>
      <c r="H990" s="221" t="s">
        <v>15505</v>
      </c>
      <c r="I990" s="169">
        <v>116468</v>
      </c>
      <c r="J990" s="304" t="str">
        <f>CONCATENATE([2]Cover!$D$6,"fdd/view?i=",I990)</f>
        <v>https://www.dgiwg.org/FAD/fdd/view?i=116468</v>
      </c>
      <c r="K990" s="304" t="s">
        <v>35039</v>
      </c>
      <c r="L990" s="188">
        <v>7</v>
      </c>
      <c r="M990" s="179" t="s">
        <v>151</v>
      </c>
    </row>
    <row r="991" spans="1:13" ht="25.5">
      <c r="A991" s="313" t="str">
        <f t="shared" si="15"/>
        <v>AeronauticalUnitTypeCode_areaControlCentre</v>
      </c>
      <c r="B991" s="330"/>
      <c r="C991" s="334"/>
      <c r="D991" s="188" t="s">
        <v>15506</v>
      </c>
      <c r="E991" s="189" t="s">
        <v>15507</v>
      </c>
      <c r="F991" s="162" t="s">
        <v>15508</v>
      </c>
      <c r="G991" s="190"/>
      <c r="H991" s="221" t="s">
        <v>7501</v>
      </c>
      <c r="I991" s="169">
        <v>116463</v>
      </c>
      <c r="J991" s="304" t="str">
        <f>CONCATENATE([2]Cover!$D$6,"fdd/view?i=",I991)</f>
        <v>https://www.dgiwg.org/FAD/fdd/view?i=116463</v>
      </c>
      <c r="K991" s="304" t="s">
        <v>35040</v>
      </c>
      <c r="L991" s="188">
        <v>2</v>
      </c>
      <c r="M991" s="179" t="s">
        <v>151</v>
      </c>
    </row>
    <row r="992" spans="1:13" ht="25.5">
      <c r="A992" s="313" t="str">
        <f t="shared" si="15"/>
        <v>AeronauticalUnitTypeCode_arrivalsApproachControl</v>
      </c>
      <c r="B992" s="330"/>
      <c r="C992" s="334"/>
      <c r="D992" s="188" t="s">
        <v>15509</v>
      </c>
      <c r="E992" s="189" t="s">
        <v>15510</v>
      </c>
      <c r="F992" s="162" t="s">
        <v>15511</v>
      </c>
      <c r="G992" s="190"/>
      <c r="H992" s="221" t="s">
        <v>15512</v>
      </c>
      <c r="I992" s="169">
        <v>116469</v>
      </c>
      <c r="J992" s="304" t="str">
        <f>CONCATENATE([2]Cover!$D$6,"fdd/view?i=",I992)</f>
        <v>https://www.dgiwg.org/FAD/fdd/view?i=116469</v>
      </c>
      <c r="K992" s="304" t="s">
        <v>35041</v>
      </c>
      <c r="L992" s="188">
        <v>8</v>
      </c>
      <c r="M992" s="179" t="s">
        <v>151</v>
      </c>
    </row>
    <row r="993" spans="1:13" ht="25.5">
      <c r="A993" s="313" t="str">
        <f t="shared" si="15"/>
        <v>AeronauticalUnitTypeCode_autoDependSurveillanceUnit</v>
      </c>
      <c r="B993" s="330"/>
      <c r="C993" s="334"/>
      <c r="D993" s="188" t="s">
        <v>15513</v>
      </c>
      <c r="E993" s="189" t="s">
        <v>15514</v>
      </c>
      <c r="F993" s="162" t="s">
        <v>15515</v>
      </c>
      <c r="G993" s="190"/>
      <c r="H993" s="221" t="s">
        <v>15516</v>
      </c>
      <c r="I993" s="169">
        <v>116464</v>
      </c>
      <c r="J993" s="304" t="str">
        <f>CONCATENATE([2]Cover!$D$6,"fdd/view?i=",I993)</f>
        <v>https://www.dgiwg.org/FAD/fdd/view?i=116464</v>
      </c>
      <c r="K993" s="304" t="s">
        <v>35042</v>
      </c>
      <c r="L993" s="188">
        <v>3</v>
      </c>
      <c r="M993" s="179" t="s">
        <v>151</v>
      </c>
    </row>
    <row r="994" spans="1:13" ht="38.25">
      <c r="A994" s="313" t="str">
        <f t="shared" si="15"/>
        <v>AeronauticalUnitTypeCode_commandPost</v>
      </c>
      <c r="B994" s="330"/>
      <c r="C994" s="334"/>
      <c r="D994" s="188" t="s">
        <v>15517</v>
      </c>
      <c r="E994" s="189" t="s">
        <v>15518</v>
      </c>
      <c r="F994" s="162" t="s">
        <v>15519</v>
      </c>
      <c r="G994" s="162" t="s">
        <v>15520</v>
      </c>
      <c r="H994" s="221" t="s">
        <v>15521</v>
      </c>
      <c r="I994" s="169">
        <v>116482</v>
      </c>
      <c r="J994" s="304" t="str">
        <f>CONCATENATE([2]Cover!$D$6,"fdd/view?i=",I994)</f>
        <v>https://www.dgiwg.org/FAD/fdd/view?i=116482</v>
      </c>
      <c r="K994" s="304" t="s">
        <v>35043</v>
      </c>
      <c r="L994" s="188">
        <v>21</v>
      </c>
      <c r="M994" s="179" t="s">
        <v>151</v>
      </c>
    </row>
    <row r="995" spans="1:13" ht="25.5">
      <c r="A995" s="313" t="str">
        <f t="shared" si="15"/>
        <v>AeronauticalUnitTypeCode_commercialBroadcastStation</v>
      </c>
      <c r="B995" s="330"/>
      <c r="C995" s="334"/>
      <c r="D995" s="188" t="s">
        <v>15522</v>
      </c>
      <c r="E995" s="189" t="s">
        <v>15523</v>
      </c>
      <c r="F995" s="162" t="s">
        <v>15524</v>
      </c>
      <c r="G995" s="190"/>
      <c r="H995" s="221" t="s">
        <v>15525</v>
      </c>
      <c r="I995" s="169">
        <v>116477</v>
      </c>
      <c r="J995" s="304" t="str">
        <f>CONCATENATE([2]Cover!$D$6,"fdd/view?i=",I995)</f>
        <v>https://www.dgiwg.org/FAD/fdd/view?i=116477</v>
      </c>
      <c r="K995" s="304" t="s">
        <v>35044</v>
      </c>
      <c r="L995" s="188">
        <v>16</v>
      </c>
      <c r="M995" s="179" t="s">
        <v>151</v>
      </c>
    </row>
    <row r="996" spans="1:13" ht="25.5">
      <c r="A996" s="313" t="str">
        <f t="shared" si="15"/>
        <v>AeronauticalUnitTypeCode_departuresApproachControl</v>
      </c>
      <c r="B996" s="330"/>
      <c r="C996" s="334"/>
      <c r="D996" s="188" t="s">
        <v>15526</v>
      </c>
      <c r="E996" s="189" t="s">
        <v>15527</v>
      </c>
      <c r="F996" s="162" t="s">
        <v>15528</v>
      </c>
      <c r="G996" s="190"/>
      <c r="H996" s="221" t="s">
        <v>15529</v>
      </c>
      <c r="I996" s="169">
        <v>116470</v>
      </c>
      <c r="J996" s="304" t="str">
        <f>CONCATENATE([2]Cover!$D$6,"fdd/view?i=",I996)</f>
        <v>https://www.dgiwg.org/FAD/fdd/view?i=116470</v>
      </c>
      <c r="K996" s="304" t="s">
        <v>35045</v>
      </c>
      <c r="L996" s="188">
        <v>9</v>
      </c>
      <c r="M996" s="179" t="s">
        <v>151</v>
      </c>
    </row>
    <row r="997" spans="1:13" ht="25.5">
      <c r="A997" s="313" t="str">
        <f t="shared" si="15"/>
        <v>AeronauticalUnitTypeCode_flightInformationCentre</v>
      </c>
      <c r="B997" s="330"/>
      <c r="C997" s="334"/>
      <c r="D997" s="188" t="s">
        <v>15530</v>
      </c>
      <c r="E997" s="189" t="s">
        <v>15531</v>
      </c>
      <c r="F997" s="162" t="s">
        <v>15532</v>
      </c>
      <c r="G997" s="190"/>
      <c r="H997" s="221" t="s">
        <v>6744</v>
      </c>
      <c r="I997" s="169">
        <v>116479</v>
      </c>
      <c r="J997" s="304" t="str">
        <f>CONCATENATE([2]Cover!$D$6,"fdd/view?i=",I997)</f>
        <v>https://www.dgiwg.org/FAD/fdd/view?i=116479</v>
      </c>
      <c r="K997" s="304" t="s">
        <v>35046</v>
      </c>
      <c r="L997" s="188">
        <v>18</v>
      </c>
      <c r="M997" s="179" t="s">
        <v>151</v>
      </c>
    </row>
    <row r="998" spans="1:13" ht="76.5">
      <c r="A998" s="313" t="str">
        <f t="shared" si="15"/>
        <v>AeronauticalUnitTypeCode_flightServiceStation</v>
      </c>
      <c r="B998" s="330"/>
      <c r="C998" s="334"/>
      <c r="D998" s="188" t="s">
        <v>15533</v>
      </c>
      <c r="E998" s="189" t="s">
        <v>15534</v>
      </c>
      <c r="F998" s="162" t="s">
        <v>15535</v>
      </c>
      <c r="G998" s="190"/>
      <c r="H998" s="221" t="s">
        <v>15536</v>
      </c>
      <c r="I998" s="169">
        <v>116480</v>
      </c>
      <c r="J998" s="304" t="str">
        <f>CONCATENATE([2]Cover!$D$6,"fdd/view?i=",I998)</f>
        <v>https://www.dgiwg.org/FAD/fdd/view?i=116480</v>
      </c>
      <c r="K998" s="304" t="s">
        <v>35047</v>
      </c>
      <c r="L998" s="188">
        <v>19</v>
      </c>
      <c r="M998" s="179" t="s">
        <v>151</v>
      </c>
    </row>
    <row r="999" spans="1:13" ht="25.5">
      <c r="A999" s="313" t="str">
        <f t="shared" si="15"/>
        <v>AeronauticalUnitTypeCode_generalCommunicationsUnit</v>
      </c>
      <c r="B999" s="330"/>
      <c r="C999" s="334"/>
      <c r="D999" s="188" t="s">
        <v>15537</v>
      </c>
      <c r="E999" s="189" t="s">
        <v>15538</v>
      </c>
      <c r="F999" s="162" t="s">
        <v>15539</v>
      </c>
      <c r="G999" s="190"/>
      <c r="H999" s="221" t="s">
        <v>15540</v>
      </c>
      <c r="I999" s="169">
        <v>116478</v>
      </c>
      <c r="J999" s="304" t="str">
        <f>CONCATENATE([2]Cover!$D$6,"fdd/view?i=",I999)</f>
        <v>https://www.dgiwg.org/FAD/fdd/view?i=116478</v>
      </c>
      <c r="K999" s="304" t="s">
        <v>35048</v>
      </c>
      <c r="L999" s="188">
        <v>17</v>
      </c>
      <c r="M999" s="179" t="s">
        <v>151</v>
      </c>
    </row>
    <row r="1000" spans="1:13" ht="89.25">
      <c r="A1000" s="313" t="str">
        <f t="shared" si="15"/>
        <v>AeronauticalUnitTypeCode_internationalNotamOffice</v>
      </c>
      <c r="B1000" s="330"/>
      <c r="C1000" s="334"/>
      <c r="D1000" s="188" t="s">
        <v>15541</v>
      </c>
      <c r="E1000" s="189" t="s">
        <v>15542</v>
      </c>
      <c r="F1000" s="162" t="s">
        <v>15543</v>
      </c>
      <c r="G1000" s="162" t="s">
        <v>15544</v>
      </c>
      <c r="H1000" s="221" t="s">
        <v>15545</v>
      </c>
      <c r="I1000" s="169">
        <v>116484</v>
      </c>
      <c r="J1000" s="304" t="str">
        <f>CONCATENATE([2]Cover!$D$6,"fdd/view?i=",I1000)</f>
        <v>https://www.dgiwg.org/FAD/fdd/view?i=116484</v>
      </c>
      <c r="K1000" s="304" t="s">
        <v>35049</v>
      </c>
      <c r="L1000" s="188">
        <v>23</v>
      </c>
      <c r="M1000" s="179" t="s">
        <v>151</v>
      </c>
    </row>
    <row r="1001" spans="1:13" ht="25.5">
      <c r="A1001" s="313" t="str">
        <f t="shared" si="15"/>
        <v>AeronauticalUnitTypeCode_meteorologicalOffice</v>
      </c>
      <c r="B1001" s="330"/>
      <c r="C1001" s="334"/>
      <c r="D1001" s="188" t="s">
        <v>15546</v>
      </c>
      <c r="E1001" s="189" t="s">
        <v>15547</v>
      </c>
      <c r="F1001" s="162" t="s">
        <v>15548</v>
      </c>
      <c r="G1001" s="190"/>
      <c r="H1001" s="221" t="s">
        <v>8310</v>
      </c>
      <c r="I1001" s="169">
        <v>116481</v>
      </c>
      <c r="J1001" s="304" t="str">
        <f>CONCATENATE([2]Cover!$D$6,"fdd/view?i=",I1001)</f>
        <v>https://www.dgiwg.org/FAD/fdd/view?i=116481</v>
      </c>
      <c r="K1001" s="304" t="s">
        <v>35050</v>
      </c>
      <c r="L1001" s="188">
        <v>20</v>
      </c>
      <c r="M1001" s="179" t="s">
        <v>151</v>
      </c>
    </row>
    <row r="1002" spans="1:13" ht="25.5">
      <c r="A1002" s="313" t="str">
        <f t="shared" si="15"/>
        <v>AeronauticalUnitTypeCode_oceanicControlCentre</v>
      </c>
      <c r="B1002" s="330"/>
      <c r="C1002" s="334"/>
      <c r="D1002" s="188" t="s">
        <v>15549</v>
      </c>
      <c r="E1002" s="189" t="s">
        <v>15550</v>
      </c>
      <c r="F1002" s="162" t="s">
        <v>15551</v>
      </c>
      <c r="G1002" s="190"/>
      <c r="H1002" s="221" t="s">
        <v>15552</v>
      </c>
      <c r="I1002" s="169">
        <v>116485</v>
      </c>
      <c r="J1002" s="304" t="str">
        <f>CONCATENATE([2]Cover!$D$6,"fdd/view?i=",I1002)</f>
        <v>https://www.dgiwg.org/FAD/fdd/view?i=116485</v>
      </c>
      <c r="K1002" s="304" t="s">
        <v>35051</v>
      </c>
      <c r="L1002" s="188">
        <v>24</v>
      </c>
      <c r="M1002" s="179" t="s">
        <v>151</v>
      </c>
    </row>
    <row r="1003" spans="1:13" ht="38.25">
      <c r="A1003" s="313" t="str">
        <f t="shared" si="15"/>
        <v>AeronauticalUnitTypeCode_radarApproachControlFac</v>
      </c>
      <c r="B1003" s="330"/>
      <c r="C1003" s="334"/>
      <c r="D1003" s="188" t="s">
        <v>15553</v>
      </c>
      <c r="E1003" s="189" t="s">
        <v>15554</v>
      </c>
      <c r="F1003" s="162" t="s">
        <v>15555</v>
      </c>
      <c r="G1003" s="190"/>
      <c r="H1003" s="219"/>
      <c r="I1003" s="169">
        <v>116486</v>
      </c>
      <c r="J1003" s="304" t="str">
        <f>CONCATENATE([2]Cover!$D$6,"fdd/view?i=",I1003)</f>
        <v>https://www.dgiwg.org/FAD/fdd/view?i=116486</v>
      </c>
      <c r="K1003" s="304" t="s">
        <v>35052</v>
      </c>
      <c r="L1003" s="188">
        <v>25</v>
      </c>
      <c r="M1003" s="179" t="s">
        <v>151</v>
      </c>
    </row>
    <row r="1004" spans="1:13" ht="51">
      <c r="A1004" s="313" t="str">
        <f t="shared" si="15"/>
        <v>AeronauticalUnitTypeCode_regionalAreaForecastCentre</v>
      </c>
      <c r="B1004" s="330"/>
      <c r="C1004" s="334"/>
      <c r="D1004" s="188" t="s">
        <v>15556</v>
      </c>
      <c r="E1004" s="189" t="s">
        <v>15557</v>
      </c>
      <c r="F1004" s="162" t="s">
        <v>15558</v>
      </c>
      <c r="G1004" s="190"/>
      <c r="H1004" s="221" t="s">
        <v>15559</v>
      </c>
      <c r="I1004" s="169">
        <v>116487</v>
      </c>
      <c r="J1004" s="304" t="str">
        <f>CONCATENATE([2]Cover!$D$6,"fdd/view?i=",I1004)</f>
        <v>https://www.dgiwg.org/FAD/fdd/view?i=116487</v>
      </c>
      <c r="K1004" s="304" t="s">
        <v>35053</v>
      </c>
      <c r="L1004" s="188">
        <v>26</v>
      </c>
      <c r="M1004" s="179" t="s">
        <v>151</v>
      </c>
    </row>
    <row r="1005" spans="1:13" ht="38.25">
      <c r="A1005" s="313" t="str">
        <f t="shared" si="15"/>
        <v>AeronauticalUnitTypeCode_rescueCoOrdinationCentre</v>
      </c>
      <c r="B1005" s="330"/>
      <c r="C1005" s="334"/>
      <c r="D1005" s="188" t="s">
        <v>15560</v>
      </c>
      <c r="E1005" s="189" t="s">
        <v>15561</v>
      </c>
      <c r="F1005" s="162" t="s">
        <v>15562</v>
      </c>
      <c r="G1005" s="190"/>
      <c r="H1005" s="221" t="s">
        <v>8724</v>
      </c>
      <c r="I1005" s="169">
        <v>116488</v>
      </c>
      <c r="J1005" s="304" t="str">
        <f>CONCATENATE([2]Cover!$D$6,"fdd/view?i=",I1005)</f>
        <v>https://www.dgiwg.org/FAD/fdd/view?i=116488</v>
      </c>
      <c r="K1005" s="304" t="s">
        <v>35054</v>
      </c>
      <c r="L1005" s="188">
        <v>27</v>
      </c>
      <c r="M1005" s="179" t="s">
        <v>151</v>
      </c>
    </row>
    <row r="1006" spans="1:13" ht="38.25">
      <c r="A1006" s="313" t="str">
        <f t="shared" si="15"/>
        <v>AeronauticalUnitTypeCode_rescueSubCentre</v>
      </c>
      <c r="B1006" s="330"/>
      <c r="C1006" s="334"/>
      <c r="D1006" s="188" t="s">
        <v>15563</v>
      </c>
      <c r="E1006" s="189" t="s">
        <v>15564</v>
      </c>
      <c r="F1006" s="162" t="s">
        <v>15565</v>
      </c>
      <c r="G1006" s="190"/>
      <c r="H1006" s="221" t="s">
        <v>15566</v>
      </c>
      <c r="I1006" s="169">
        <v>116489</v>
      </c>
      <c r="J1006" s="304" t="str">
        <f>CONCATENATE([2]Cover!$D$6,"fdd/view?i=",I1006)</f>
        <v>https://www.dgiwg.org/FAD/fdd/view?i=116489</v>
      </c>
      <c r="K1006" s="304" t="s">
        <v>35055</v>
      </c>
      <c r="L1006" s="188">
        <v>28</v>
      </c>
      <c r="M1006" s="179" t="s">
        <v>151</v>
      </c>
    </row>
    <row r="1007" spans="1:13" ht="25.5">
      <c r="A1007" s="313" t="str">
        <f t="shared" si="15"/>
        <v>AeronauticalUnitTypeCode_surfaceMovementRadarOffice</v>
      </c>
      <c r="B1007" s="330"/>
      <c r="C1007" s="334"/>
      <c r="D1007" s="188" t="s">
        <v>15567</v>
      </c>
      <c r="E1007" s="189" t="s">
        <v>15568</v>
      </c>
      <c r="F1007" s="162" t="s">
        <v>15569</v>
      </c>
      <c r="G1007" s="190"/>
      <c r="H1007" s="221" t="s">
        <v>15570</v>
      </c>
      <c r="I1007" s="169">
        <v>116490</v>
      </c>
      <c r="J1007" s="304" t="str">
        <f>CONCATENATE([2]Cover!$D$6,"fdd/view?i=",I1007)</f>
        <v>https://www.dgiwg.org/FAD/fdd/view?i=116490</v>
      </c>
      <c r="K1007" s="304" t="s">
        <v>35056</v>
      </c>
      <c r="L1007" s="188">
        <v>29</v>
      </c>
      <c r="M1007" s="179" t="s">
        <v>151</v>
      </c>
    </row>
    <row r="1008" spans="1:13" ht="38.25">
      <c r="A1008" s="313" t="str">
        <f t="shared" si="15"/>
        <v>AeronauticalUnitTypeCode_tempReservedAirspaceMonitor</v>
      </c>
      <c r="B1008" s="330"/>
      <c r="C1008" s="334"/>
      <c r="D1008" s="188" t="s">
        <v>15571</v>
      </c>
      <c r="E1008" s="189" t="s">
        <v>15572</v>
      </c>
      <c r="F1008" s="162" t="s">
        <v>15573</v>
      </c>
      <c r="G1008" s="190"/>
      <c r="H1008" s="221" t="s">
        <v>15574</v>
      </c>
      <c r="I1008" s="169">
        <v>116497</v>
      </c>
      <c r="J1008" s="304" t="str">
        <f>CONCATENATE([2]Cover!$D$6,"fdd/view?i=",I1008)</f>
        <v>https://www.dgiwg.org/FAD/fdd/view?i=116497</v>
      </c>
      <c r="K1008" s="304" t="s">
        <v>35057</v>
      </c>
      <c r="L1008" s="188">
        <v>36</v>
      </c>
      <c r="M1008" s="179" t="s">
        <v>151</v>
      </c>
    </row>
    <row r="1009" spans="1:13" ht="38.25">
      <c r="A1009" s="313" t="str">
        <f t="shared" si="15"/>
        <v>AeronauticalUnitTypeCode_uhfDirectionFindingStation</v>
      </c>
      <c r="B1009" s="330"/>
      <c r="C1009" s="334"/>
      <c r="D1009" s="188" t="s">
        <v>15575</v>
      </c>
      <c r="E1009" s="189" t="s">
        <v>15576</v>
      </c>
      <c r="F1009" s="162" t="s">
        <v>15577</v>
      </c>
      <c r="G1009" s="190"/>
      <c r="H1009" s="221" t="s">
        <v>15578</v>
      </c>
      <c r="I1009" s="169">
        <v>116493</v>
      </c>
      <c r="J1009" s="304" t="str">
        <f>CONCATENATE([2]Cover!$D$6,"fdd/view?i=",I1009)</f>
        <v>https://www.dgiwg.org/FAD/fdd/view?i=116493</v>
      </c>
      <c r="K1009" s="304" t="s">
        <v>35058</v>
      </c>
      <c r="L1009" s="188">
        <v>32</v>
      </c>
      <c r="M1009" s="179" t="s">
        <v>151</v>
      </c>
    </row>
    <row r="1010" spans="1:13" ht="25.5">
      <c r="A1010" s="313" t="str">
        <f t="shared" si="15"/>
        <v>AeronauticalUnitTypeCode_upperAreaControlCentre</v>
      </c>
      <c r="B1010" s="330"/>
      <c r="C1010" s="334"/>
      <c r="D1010" s="188" t="s">
        <v>15579</v>
      </c>
      <c r="E1010" s="189" t="s">
        <v>15580</v>
      </c>
      <c r="F1010" s="162" t="s">
        <v>15581</v>
      </c>
      <c r="G1010" s="190"/>
      <c r="H1010" s="221" t="s">
        <v>15582</v>
      </c>
      <c r="I1010" s="169">
        <v>116492</v>
      </c>
      <c r="J1010" s="304" t="str">
        <f>CONCATENATE([2]Cover!$D$6,"fdd/view?i=",I1010)</f>
        <v>https://www.dgiwg.org/FAD/fdd/view?i=116492</v>
      </c>
      <c r="K1010" s="304" t="s">
        <v>35059</v>
      </c>
      <c r="L1010" s="188">
        <v>31</v>
      </c>
      <c r="M1010" s="179" t="s">
        <v>151</v>
      </c>
    </row>
    <row r="1011" spans="1:13" ht="25.5">
      <c r="A1011" s="313" t="str">
        <f t="shared" si="15"/>
        <v>AeronauticalUnitTypeCode_upperInformationCentre</v>
      </c>
      <c r="B1011" s="330"/>
      <c r="C1011" s="334"/>
      <c r="D1011" s="188" t="s">
        <v>15583</v>
      </c>
      <c r="E1011" s="189" t="s">
        <v>15584</v>
      </c>
      <c r="F1011" s="162" t="s">
        <v>15585</v>
      </c>
      <c r="G1011" s="190"/>
      <c r="H1011" s="221" t="s">
        <v>15586</v>
      </c>
      <c r="I1011" s="169">
        <v>116494</v>
      </c>
      <c r="J1011" s="304" t="str">
        <f>CONCATENATE([2]Cover!$D$6,"fdd/view?i=",I1011)</f>
        <v>https://www.dgiwg.org/FAD/fdd/view?i=116494</v>
      </c>
      <c r="K1011" s="304" t="s">
        <v>35060</v>
      </c>
      <c r="L1011" s="188">
        <v>33</v>
      </c>
      <c r="M1011" s="179" t="s">
        <v>151</v>
      </c>
    </row>
    <row r="1012" spans="1:13" ht="38.25">
      <c r="A1012" s="313" t="str">
        <f t="shared" si="15"/>
        <v>AeronauticalUnitTypeCode_vhfDirectionFindingStation</v>
      </c>
      <c r="B1012" s="330"/>
      <c r="C1012" s="334"/>
      <c r="D1012" s="188" t="s">
        <v>15587</v>
      </c>
      <c r="E1012" s="189" t="s">
        <v>15588</v>
      </c>
      <c r="F1012" s="162" t="s">
        <v>15589</v>
      </c>
      <c r="G1012" s="190"/>
      <c r="H1012" s="221" t="s">
        <v>15590</v>
      </c>
      <c r="I1012" s="169">
        <v>116495</v>
      </c>
      <c r="J1012" s="304" t="str">
        <f>CONCATENATE([2]Cover!$D$6,"fdd/view?i=",I1012)</f>
        <v>https://www.dgiwg.org/FAD/fdd/view?i=116495</v>
      </c>
      <c r="K1012" s="304" t="s">
        <v>35061</v>
      </c>
      <c r="L1012" s="188">
        <v>34</v>
      </c>
      <c r="M1012" s="179" t="s">
        <v>151</v>
      </c>
    </row>
    <row r="1013" spans="1:13" ht="51">
      <c r="A1013" s="313" t="str">
        <f t="shared" si="15"/>
        <v>AeronauticalUnitTypeCode_worldAreaForecastCentre</v>
      </c>
      <c r="B1013" s="331"/>
      <c r="C1013" s="335"/>
      <c r="D1013" s="181" t="s">
        <v>15591</v>
      </c>
      <c r="E1013" s="192" t="s">
        <v>15592</v>
      </c>
      <c r="F1013" s="193" t="s">
        <v>15593</v>
      </c>
      <c r="G1013" s="194"/>
      <c r="H1013" s="223" t="s">
        <v>15594</v>
      </c>
      <c r="I1013" s="169">
        <v>116496</v>
      </c>
      <c r="J1013" s="304" t="str">
        <f>CONCATENATE([2]Cover!$D$6,"fdd/view?i=",I1013)</f>
        <v>https://www.dgiwg.org/FAD/fdd/view?i=116496</v>
      </c>
      <c r="K1013" s="304" t="s">
        <v>35062</v>
      </c>
      <c r="L1013" s="181">
        <v>35</v>
      </c>
      <c r="M1013" s="179" t="s">
        <v>151</v>
      </c>
    </row>
    <row r="1014" spans="1:13" ht="25.5">
      <c r="A1014" s="313" t="str">
        <f t="shared" si="15"/>
        <v>AggressorAffiliationCode_criminalSyndicate</v>
      </c>
      <c r="B1014" s="332" t="str">
        <f>HYPERLINK("[#]Datatypes!A78:L78","AggressorAffiliationCode")</f>
        <v>AggressorAffiliationCode</v>
      </c>
      <c r="C1014" s="333" t="s">
        <v>11514</v>
      </c>
      <c r="D1014" s="202" t="s">
        <v>15595</v>
      </c>
      <c r="E1014" s="203" t="s">
        <v>15596</v>
      </c>
      <c r="F1014" s="204" t="s">
        <v>15597</v>
      </c>
      <c r="G1014" s="205"/>
      <c r="H1014" s="218"/>
      <c r="I1014" s="169">
        <v>112604</v>
      </c>
      <c r="J1014" s="304" t="str">
        <f>CONCATENATE([2]Cover!$D$6,"fdd/view?i=",I1014)</f>
        <v>https://www.dgiwg.org/FAD/fdd/view?i=112604</v>
      </c>
      <c r="K1014" s="304" t="s">
        <v>35063</v>
      </c>
      <c r="L1014" s="202">
        <v>2</v>
      </c>
      <c r="M1014" s="179" t="s">
        <v>151</v>
      </c>
    </row>
    <row r="1015" spans="1:13" ht="25.5">
      <c r="A1015" s="313" t="str">
        <f t="shared" si="15"/>
        <v>AggressorAffiliationCode_localGang</v>
      </c>
      <c r="B1015" s="330"/>
      <c r="C1015" s="334"/>
      <c r="D1015" s="188" t="s">
        <v>15598</v>
      </c>
      <c r="E1015" s="189" t="s">
        <v>15599</v>
      </c>
      <c r="F1015" s="162" t="s">
        <v>15600</v>
      </c>
      <c r="G1015" s="190"/>
      <c r="H1015" s="219"/>
      <c r="I1015" s="169">
        <v>112602</v>
      </c>
      <c r="J1015" s="304" t="str">
        <f>CONCATENATE([2]Cover!$D$6,"fdd/view?i=",I1015)</f>
        <v>https://www.dgiwg.org/FAD/fdd/view?i=112602</v>
      </c>
      <c r="K1015" s="304" t="s">
        <v>35064</v>
      </c>
      <c r="L1015" s="188">
        <v>1</v>
      </c>
      <c r="M1015" s="179" t="s">
        <v>151</v>
      </c>
    </row>
    <row r="1016" spans="1:13" ht="25.5">
      <c r="A1016" s="313" t="str">
        <f t="shared" si="15"/>
        <v>AggressorAffiliationCode_military</v>
      </c>
      <c r="B1016" s="331"/>
      <c r="C1016" s="335"/>
      <c r="D1016" s="181" t="s">
        <v>15601</v>
      </c>
      <c r="E1016" s="192" t="s">
        <v>15602</v>
      </c>
      <c r="F1016" s="193" t="s">
        <v>15603</v>
      </c>
      <c r="G1016" s="194"/>
      <c r="H1016" s="220"/>
      <c r="I1016" s="169">
        <v>112606</v>
      </c>
      <c r="J1016" s="304" t="str">
        <f>CONCATENATE([2]Cover!$D$6,"fdd/view?i=",I1016)</f>
        <v>https://www.dgiwg.org/FAD/fdd/view?i=112606</v>
      </c>
      <c r="K1016" s="304" t="s">
        <v>35065</v>
      </c>
      <c r="L1016" s="181">
        <v>3</v>
      </c>
      <c r="M1016" s="179" t="s">
        <v>151</v>
      </c>
    </row>
    <row r="1017" spans="1:13" ht="25.5">
      <c r="A1017" s="313" t="str">
        <f t="shared" si="15"/>
        <v>AirRefuelPointUsageCode_anchorPattern</v>
      </c>
      <c r="B1017" s="332" t="str">
        <f>HYPERLINK("[#]Datatypes!A80:L80","AirRefuelPointUsageCode")</f>
        <v>AirRefuelPointUsageCode</v>
      </c>
      <c r="C1017" s="333" t="s">
        <v>11516</v>
      </c>
      <c r="D1017" s="202" t="s">
        <v>15604</v>
      </c>
      <c r="E1017" s="203" t="s">
        <v>15605</v>
      </c>
      <c r="F1017" s="204" t="s">
        <v>15606</v>
      </c>
      <c r="G1017" s="205"/>
      <c r="H1017" s="218"/>
      <c r="I1017" s="169">
        <v>116121</v>
      </c>
      <c r="J1017" s="304" t="str">
        <f>CONCATENATE([2]Cover!$D$6,"fdd/view?i=",I1017)</f>
        <v>https://www.dgiwg.org/FAD/fdd/view?i=116121</v>
      </c>
      <c r="K1017" s="304" t="s">
        <v>35066</v>
      </c>
      <c r="L1017" s="202">
        <v>2</v>
      </c>
      <c r="M1017" s="179" t="s">
        <v>151</v>
      </c>
    </row>
    <row r="1018" spans="1:13" ht="25.5">
      <c r="A1018" s="313" t="str">
        <f t="shared" si="15"/>
        <v>AirRefuelPointUsageCode_anchorPoint</v>
      </c>
      <c r="B1018" s="330"/>
      <c r="C1018" s="334"/>
      <c r="D1018" s="188" t="s">
        <v>15607</v>
      </c>
      <c r="E1018" s="189" t="s">
        <v>15608</v>
      </c>
      <c r="F1018" s="162" t="s">
        <v>15609</v>
      </c>
      <c r="G1018" s="190"/>
      <c r="H1018" s="219"/>
      <c r="I1018" s="169">
        <v>116120</v>
      </c>
      <c r="J1018" s="304" t="str">
        <f>CONCATENATE([2]Cover!$D$6,"fdd/view?i=",I1018)</f>
        <v>https://www.dgiwg.org/FAD/fdd/view?i=116120</v>
      </c>
      <c r="K1018" s="304" t="s">
        <v>35067</v>
      </c>
      <c r="L1018" s="188">
        <v>1</v>
      </c>
      <c r="M1018" s="179" t="s">
        <v>151</v>
      </c>
    </row>
    <row r="1019" spans="1:13" ht="38.25">
      <c r="A1019" s="313" t="str">
        <f t="shared" si="15"/>
        <v>AirRefuelPointUsageCode_controlPoint</v>
      </c>
      <c r="B1019" s="330"/>
      <c r="C1019" s="334"/>
      <c r="D1019" s="188" t="s">
        <v>15610</v>
      </c>
      <c r="E1019" s="189" t="s">
        <v>15611</v>
      </c>
      <c r="F1019" s="162" t="s">
        <v>15612</v>
      </c>
      <c r="G1019" s="162" t="s">
        <v>15613</v>
      </c>
      <c r="H1019" s="219"/>
      <c r="I1019" s="169">
        <v>116122</v>
      </c>
      <c r="J1019" s="304" t="str">
        <f>CONCATENATE([2]Cover!$D$6,"fdd/view?i=",I1019)</f>
        <v>https://www.dgiwg.org/FAD/fdd/view?i=116122</v>
      </c>
      <c r="K1019" s="304" t="s">
        <v>35068</v>
      </c>
      <c r="L1019" s="188">
        <v>3</v>
      </c>
      <c r="M1019" s="179" t="s">
        <v>151</v>
      </c>
    </row>
    <row r="1020" spans="1:13" ht="25.5">
      <c r="A1020" s="313" t="str">
        <f t="shared" si="15"/>
        <v>AirRefuelPointUsageCode_controlPointNato</v>
      </c>
      <c r="B1020" s="330"/>
      <c r="C1020" s="334"/>
      <c r="D1020" s="188" t="s">
        <v>15614</v>
      </c>
      <c r="E1020" s="189" t="s">
        <v>15615</v>
      </c>
      <c r="F1020" s="162" t="s">
        <v>15616</v>
      </c>
      <c r="G1020" s="190"/>
      <c r="H1020" s="219"/>
      <c r="I1020" s="169">
        <v>116123</v>
      </c>
      <c r="J1020" s="304" t="str">
        <f>CONCATENATE([2]Cover!$D$6,"fdd/view?i=",I1020)</f>
        <v>https://www.dgiwg.org/FAD/fdd/view?i=116123</v>
      </c>
      <c r="K1020" s="304" t="s">
        <v>35069</v>
      </c>
      <c r="L1020" s="188">
        <v>10</v>
      </c>
      <c r="M1020" s="179" t="s">
        <v>151</v>
      </c>
    </row>
    <row r="1021" spans="1:13" ht="38.25">
      <c r="A1021" s="313" t="str">
        <f t="shared" si="15"/>
        <v>AirRefuelPointUsageCode_entryPoint</v>
      </c>
      <c r="B1021" s="330"/>
      <c r="C1021" s="334"/>
      <c r="D1021" s="188" t="s">
        <v>15617</v>
      </c>
      <c r="E1021" s="189" t="s">
        <v>15618</v>
      </c>
      <c r="F1021" s="162" t="s">
        <v>15619</v>
      </c>
      <c r="G1021" s="190"/>
      <c r="H1021" s="219"/>
      <c r="I1021" s="169">
        <v>116124</v>
      </c>
      <c r="J1021" s="304" t="str">
        <f>CONCATENATE([2]Cover!$D$6,"fdd/view?i=",I1021)</f>
        <v>https://www.dgiwg.org/FAD/fdd/view?i=116124</v>
      </c>
      <c r="K1021" s="304" t="s">
        <v>35070</v>
      </c>
      <c r="L1021" s="188">
        <v>4</v>
      </c>
      <c r="M1021" s="179" t="s">
        <v>151</v>
      </c>
    </row>
    <row r="1022" spans="1:13" ht="51">
      <c r="A1022" s="313" t="str">
        <f t="shared" si="15"/>
        <v>AirRefuelPointUsageCode_exitPoint</v>
      </c>
      <c r="B1022" s="330"/>
      <c r="C1022" s="334"/>
      <c r="D1022" s="188" t="s">
        <v>15620</v>
      </c>
      <c r="E1022" s="189" t="s">
        <v>15621</v>
      </c>
      <c r="F1022" s="162" t="s">
        <v>15622</v>
      </c>
      <c r="G1022" s="190"/>
      <c r="H1022" s="219"/>
      <c r="I1022" s="169">
        <v>116125</v>
      </c>
      <c r="J1022" s="304" t="str">
        <f>CONCATENATE([2]Cover!$D$6,"fdd/view?i=",I1022)</f>
        <v>https://www.dgiwg.org/FAD/fdd/view?i=116125</v>
      </c>
      <c r="K1022" s="304" t="s">
        <v>35071</v>
      </c>
      <c r="L1022" s="188">
        <v>5</v>
      </c>
      <c r="M1022" s="179" t="s">
        <v>151</v>
      </c>
    </row>
    <row r="1023" spans="1:13" ht="38.25">
      <c r="A1023" s="313" t="str">
        <f t="shared" si="15"/>
        <v>AirRefuelPointUsageCode_initialPoint</v>
      </c>
      <c r="B1023" s="330"/>
      <c r="C1023" s="334"/>
      <c r="D1023" s="188" t="s">
        <v>15623</v>
      </c>
      <c r="E1023" s="189" t="s">
        <v>15624</v>
      </c>
      <c r="F1023" s="162" t="s">
        <v>15625</v>
      </c>
      <c r="G1023" s="162" t="s">
        <v>15626</v>
      </c>
      <c r="H1023" s="221" t="s">
        <v>15627</v>
      </c>
      <c r="I1023" s="169">
        <v>116126</v>
      </c>
      <c r="J1023" s="304" t="str">
        <f>CONCATENATE([2]Cover!$D$6,"fdd/view?i=",I1023)</f>
        <v>https://www.dgiwg.org/FAD/fdd/view?i=116126</v>
      </c>
      <c r="K1023" s="304" t="s">
        <v>35072</v>
      </c>
      <c r="L1023" s="188">
        <v>6</v>
      </c>
      <c r="M1023" s="179" t="s">
        <v>151</v>
      </c>
    </row>
    <row r="1024" spans="1:13" ht="38.25">
      <c r="A1024" s="313" t="str">
        <f t="shared" si="15"/>
        <v>AirRefuelPointUsageCode_navigationCheckPoint</v>
      </c>
      <c r="B1024" s="330"/>
      <c r="C1024" s="334"/>
      <c r="D1024" s="188" t="s">
        <v>15628</v>
      </c>
      <c r="E1024" s="189" t="s">
        <v>15629</v>
      </c>
      <c r="F1024" s="162" t="s">
        <v>15630</v>
      </c>
      <c r="G1024" s="190"/>
      <c r="H1024" s="219"/>
      <c r="I1024" s="169">
        <v>116127</v>
      </c>
      <c r="J1024" s="304" t="str">
        <f>CONCATENATE([2]Cover!$D$6,"fdd/view?i=",I1024)</f>
        <v>https://www.dgiwg.org/FAD/fdd/view?i=116127</v>
      </c>
      <c r="K1024" s="304" t="s">
        <v>35073</v>
      </c>
      <c r="L1024" s="188">
        <v>7</v>
      </c>
      <c r="M1024" s="179" t="s">
        <v>151</v>
      </c>
    </row>
    <row r="1025" spans="1:13" ht="25.5">
      <c r="A1025" s="313" t="str">
        <f t="shared" si="15"/>
        <v>AirRefuelPointUsageCode_rendezvousPoint</v>
      </c>
      <c r="B1025" s="330"/>
      <c r="C1025" s="334"/>
      <c r="D1025" s="188" t="s">
        <v>15631</v>
      </c>
      <c r="E1025" s="189" t="s">
        <v>15632</v>
      </c>
      <c r="F1025" s="162" t="s">
        <v>15633</v>
      </c>
      <c r="G1025" s="190"/>
      <c r="H1025" s="219"/>
      <c r="I1025" s="169">
        <v>116128</v>
      </c>
      <c r="J1025" s="304" t="str">
        <f>CONCATENATE([2]Cover!$D$6,"fdd/view?i=",I1025)</f>
        <v>https://www.dgiwg.org/FAD/fdd/view?i=116128</v>
      </c>
      <c r="K1025" s="304" t="s">
        <v>35074</v>
      </c>
      <c r="L1025" s="188">
        <v>8</v>
      </c>
      <c r="M1025" s="179" t="s">
        <v>151</v>
      </c>
    </row>
    <row r="1026" spans="1:13" ht="25.5">
      <c r="A1026" s="313" t="str">
        <f t="shared" si="15"/>
        <v>AirRefuelPointUsageCode_turningPoint</v>
      </c>
      <c r="B1026" s="331"/>
      <c r="C1026" s="335"/>
      <c r="D1026" s="181" t="s">
        <v>15634</v>
      </c>
      <c r="E1026" s="192" t="s">
        <v>15635</v>
      </c>
      <c r="F1026" s="193" t="s">
        <v>15636</v>
      </c>
      <c r="G1026" s="194"/>
      <c r="H1026" s="220"/>
      <c r="I1026" s="169">
        <v>116129</v>
      </c>
      <c r="J1026" s="304" t="str">
        <f>CONCATENATE([2]Cover!$D$6,"fdd/view?i=",I1026)</f>
        <v>https://www.dgiwg.org/FAD/fdd/view?i=116129</v>
      </c>
      <c r="K1026" s="304" t="s">
        <v>35075</v>
      </c>
      <c r="L1026" s="181">
        <v>9</v>
      </c>
      <c r="M1026" s="179" t="s">
        <v>151</v>
      </c>
    </row>
    <row r="1027" spans="1:13">
      <c r="A1027" s="313" t="str">
        <f t="shared" ref="A1027:A1090" si="16">HYPERLINK(J1027,K1027)</f>
        <v>AirRefuelProcDirectionCode_east</v>
      </c>
      <c r="B1027" s="332" t="str">
        <f>HYPERLINK("[#]Datatypes!A82:L82","AirRefuelProcDirectionCode")</f>
        <v>AirRefuelProcDirectionCode</v>
      </c>
      <c r="C1027" s="333" t="s">
        <v>11518</v>
      </c>
      <c r="D1027" s="202" t="s">
        <v>15637</v>
      </c>
      <c r="E1027" s="203" t="s">
        <v>15638</v>
      </c>
      <c r="F1027" s="204" t="s">
        <v>15639</v>
      </c>
      <c r="G1027" s="205"/>
      <c r="H1027" s="218"/>
      <c r="I1027" s="169">
        <v>116135</v>
      </c>
      <c r="J1027" s="304" t="str">
        <f>CONCATENATE([2]Cover!$D$6,"fdd/view?i=",I1027)</f>
        <v>https://www.dgiwg.org/FAD/fdd/view?i=116135</v>
      </c>
      <c r="K1027" s="304" t="s">
        <v>35076</v>
      </c>
      <c r="L1027" s="202">
        <v>3</v>
      </c>
      <c r="M1027" s="179" t="s">
        <v>151</v>
      </c>
    </row>
    <row r="1028" spans="1:13">
      <c r="A1028" s="313" t="str">
        <f t="shared" si="16"/>
        <v>AirRefuelProcDirectionCode_north</v>
      </c>
      <c r="B1028" s="330"/>
      <c r="C1028" s="334"/>
      <c r="D1028" s="188" t="s">
        <v>15640</v>
      </c>
      <c r="E1028" s="189" t="s">
        <v>15641</v>
      </c>
      <c r="F1028" s="162" t="s">
        <v>15642</v>
      </c>
      <c r="G1028" s="190"/>
      <c r="H1028" s="219"/>
      <c r="I1028" s="169">
        <v>116133</v>
      </c>
      <c r="J1028" s="304" t="str">
        <f>CONCATENATE([2]Cover!$D$6,"fdd/view?i=",I1028)</f>
        <v>https://www.dgiwg.org/FAD/fdd/view?i=116133</v>
      </c>
      <c r="K1028" s="304" t="s">
        <v>35077</v>
      </c>
      <c r="L1028" s="188">
        <v>1</v>
      </c>
      <c r="M1028" s="179" t="s">
        <v>151</v>
      </c>
    </row>
    <row r="1029" spans="1:13" ht="25.5">
      <c r="A1029" s="313" t="str">
        <f t="shared" si="16"/>
        <v>AirRefuelProcDirectionCode_northeast</v>
      </c>
      <c r="B1029" s="330"/>
      <c r="C1029" s="334"/>
      <c r="D1029" s="188" t="s">
        <v>15643</v>
      </c>
      <c r="E1029" s="189" t="s">
        <v>15644</v>
      </c>
      <c r="F1029" s="162" t="s">
        <v>15645</v>
      </c>
      <c r="G1029" s="190"/>
      <c r="H1029" s="219"/>
      <c r="I1029" s="169">
        <v>116137</v>
      </c>
      <c r="J1029" s="304" t="str">
        <f>CONCATENATE([2]Cover!$D$6,"fdd/view?i=",I1029)</f>
        <v>https://www.dgiwg.org/FAD/fdd/view?i=116137</v>
      </c>
      <c r="K1029" s="304" t="s">
        <v>35078</v>
      </c>
      <c r="L1029" s="188">
        <v>5</v>
      </c>
      <c r="M1029" s="179" t="s">
        <v>151</v>
      </c>
    </row>
    <row r="1030" spans="1:13" ht="25.5">
      <c r="A1030" s="313" t="str">
        <f t="shared" si="16"/>
        <v>AirRefuelProcDirectionCode_northwest</v>
      </c>
      <c r="B1030" s="330"/>
      <c r="C1030" s="334"/>
      <c r="D1030" s="188" t="s">
        <v>15646</v>
      </c>
      <c r="E1030" s="189" t="s">
        <v>15647</v>
      </c>
      <c r="F1030" s="162" t="s">
        <v>15648</v>
      </c>
      <c r="G1030" s="190"/>
      <c r="H1030" s="219"/>
      <c r="I1030" s="169">
        <v>116139</v>
      </c>
      <c r="J1030" s="304" t="str">
        <f>CONCATENATE([2]Cover!$D$6,"fdd/view?i=",I1030)</f>
        <v>https://www.dgiwg.org/FAD/fdd/view?i=116139</v>
      </c>
      <c r="K1030" s="304" t="s">
        <v>35079</v>
      </c>
      <c r="L1030" s="188">
        <v>7</v>
      </c>
      <c r="M1030" s="179" t="s">
        <v>151</v>
      </c>
    </row>
    <row r="1031" spans="1:13">
      <c r="A1031" s="313" t="str">
        <f t="shared" si="16"/>
        <v>AirRefuelProcDirectionCode_south</v>
      </c>
      <c r="B1031" s="330"/>
      <c r="C1031" s="334"/>
      <c r="D1031" s="188" t="s">
        <v>15649</v>
      </c>
      <c r="E1031" s="189" t="s">
        <v>15650</v>
      </c>
      <c r="F1031" s="162" t="s">
        <v>15651</v>
      </c>
      <c r="G1031" s="190"/>
      <c r="H1031" s="219"/>
      <c r="I1031" s="169">
        <v>116134</v>
      </c>
      <c r="J1031" s="304" t="str">
        <f>CONCATENATE([2]Cover!$D$6,"fdd/view?i=",I1031)</f>
        <v>https://www.dgiwg.org/FAD/fdd/view?i=116134</v>
      </c>
      <c r="K1031" s="304" t="s">
        <v>35080</v>
      </c>
      <c r="L1031" s="188">
        <v>2</v>
      </c>
      <c r="M1031" s="179" t="s">
        <v>151</v>
      </c>
    </row>
    <row r="1032" spans="1:13" ht="25.5">
      <c r="A1032" s="313" t="str">
        <f t="shared" si="16"/>
        <v>AirRefuelProcDirectionCode_southeast</v>
      </c>
      <c r="B1032" s="330"/>
      <c r="C1032" s="334"/>
      <c r="D1032" s="188" t="s">
        <v>15652</v>
      </c>
      <c r="E1032" s="189" t="s">
        <v>15653</v>
      </c>
      <c r="F1032" s="162" t="s">
        <v>15654</v>
      </c>
      <c r="G1032" s="190"/>
      <c r="H1032" s="219"/>
      <c r="I1032" s="169">
        <v>116138</v>
      </c>
      <c r="J1032" s="304" t="str">
        <f>CONCATENATE([2]Cover!$D$6,"fdd/view?i=",I1032)</f>
        <v>https://www.dgiwg.org/FAD/fdd/view?i=116138</v>
      </c>
      <c r="K1032" s="304" t="s">
        <v>35081</v>
      </c>
      <c r="L1032" s="188">
        <v>6</v>
      </c>
      <c r="M1032" s="179" t="s">
        <v>151</v>
      </c>
    </row>
    <row r="1033" spans="1:13" ht="25.5">
      <c r="A1033" s="313" t="str">
        <f t="shared" si="16"/>
        <v>AirRefuelProcDirectionCode_southwest</v>
      </c>
      <c r="B1033" s="330"/>
      <c r="C1033" s="334"/>
      <c r="D1033" s="188" t="s">
        <v>15655</v>
      </c>
      <c r="E1033" s="189" t="s">
        <v>15656</v>
      </c>
      <c r="F1033" s="162" t="s">
        <v>15657</v>
      </c>
      <c r="G1033" s="190"/>
      <c r="H1033" s="219"/>
      <c r="I1033" s="169">
        <v>116140</v>
      </c>
      <c r="J1033" s="304" t="str">
        <f>CONCATENATE([2]Cover!$D$6,"fdd/view?i=",I1033)</f>
        <v>https://www.dgiwg.org/FAD/fdd/view?i=116140</v>
      </c>
      <c r="K1033" s="304" t="s">
        <v>35082</v>
      </c>
      <c r="L1033" s="188">
        <v>8</v>
      </c>
      <c r="M1033" s="179" t="s">
        <v>151</v>
      </c>
    </row>
    <row r="1034" spans="1:13">
      <c r="A1034" s="313" t="str">
        <f t="shared" si="16"/>
        <v>AirRefuelProcDirectionCode_west</v>
      </c>
      <c r="B1034" s="331"/>
      <c r="C1034" s="335"/>
      <c r="D1034" s="181" t="s">
        <v>15658</v>
      </c>
      <c r="E1034" s="192" t="s">
        <v>15659</v>
      </c>
      <c r="F1034" s="193" t="s">
        <v>15660</v>
      </c>
      <c r="G1034" s="194"/>
      <c r="H1034" s="220"/>
      <c r="I1034" s="169">
        <v>116136</v>
      </c>
      <c r="J1034" s="304" t="str">
        <f>CONCATENATE([2]Cover!$D$6,"fdd/view?i=",I1034)</f>
        <v>https://www.dgiwg.org/FAD/fdd/view?i=116136</v>
      </c>
      <c r="K1034" s="304" t="s">
        <v>35083</v>
      </c>
      <c r="L1034" s="181">
        <v>4</v>
      </c>
      <c r="M1034" s="179" t="s">
        <v>151</v>
      </c>
    </row>
    <row r="1035" spans="1:13" ht="25.5">
      <c r="A1035" s="313" t="str">
        <f t="shared" si="16"/>
        <v>AirRefuelProcTypeCode_anchorPattern</v>
      </c>
      <c r="B1035" s="332" t="str">
        <f>HYPERLINK("[#]Datatypes!A84:L84","AirRefuelProcTypeCode")</f>
        <v>AirRefuelProcTypeCode</v>
      </c>
      <c r="C1035" s="333" t="s">
        <v>11520</v>
      </c>
      <c r="D1035" s="202" t="s">
        <v>15604</v>
      </c>
      <c r="E1035" s="203" t="s">
        <v>15605</v>
      </c>
      <c r="F1035" s="204" t="s">
        <v>1426</v>
      </c>
      <c r="G1035" s="204" t="s">
        <v>1427</v>
      </c>
      <c r="H1035" s="218"/>
      <c r="I1035" s="169">
        <v>116130</v>
      </c>
      <c r="J1035" s="304" t="str">
        <f>CONCATENATE([2]Cover!$D$6,"fdd/view?i=",I1035)</f>
        <v>https://www.dgiwg.org/FAD/fdd/view?i=116130</v>
      </c>
      <c r="K1035" s="304" t="s">
        <v>35084</v>
      </c>
      <c r="L1035" s="202">
        <v>1</v>
      </c>
      <c r="M1035" s="179" t="s">
        <v>151</v>
      </c>
    </row>
    <row r="1036" spans="1:13" ht="25.5">
      <c r="A1036" s="313" t="str">
        <f t="shared" si="16"/>
        <v>AirRefuelProcTypeCode_both</v>
      </c>
      <c r="B1036" s="330"/>
      <c r="C1036" s="334"/>
      <c r="D1036" s="188" t="s">
        <v>15387</v>
      </c>
      <c r="E1036" s="189" t="s">
        <v>15388</v>
      </c>
      <c r="F1036" s="162" t="s">
        <v>15661</v>
      </c>
      <c r="G1036" s="190"/>
      <c r="H1036" s="219"/>
      <c r="I1036" s="169">
        <v>116132</v>
      </c>
      <c r="J1036" s="304" t="str">
        <f>CONCATENATE([2]Cover!$D$6,"fdd/view?i=",I1036)</f>
        <v>https://www.dgiwg.org/FAD/fdd/view?i=116132</v>
      </c>
      <c r="K1036" s="304" t="s">
        <v>35085</v>
      </c>
      <c r="L1036" s="188">
        <v>3</v>
      </c>
      <c r="M1036" s="179" t="s">
        <v>151</v>
      </c>
    </row>
    <row r="1037" spans="1:13" ht="38.25">
      <c r="A1037" s="313" t="str">
        <f t="shared" si="16"/>
        <v>AirRefuelProcTypeCode_track</v>
      </c>
      <c r="B1037" s="331"/>
      <c r="C1037" s="335"/>
      <c r="D1037" s="181" t="s">
        <v>15662</v>
      </c>
      <c r="E1037" s="192" t="s">
        <v>4293</v>
      </c>
      <c r="F1037" s="193" t="s">
        <v>1446</v>
      </c>
      <c r="G1037" s="194"/>
      <c r="H1037" s="220"/>
      <c r="I1037" s="169">
        <v>116131</v>
      </c>
      <c r="J1037" s="304" t="str">
        <f>CONCATENATE([2]Cover!$D$6,"fdd/view?i=",I1037)</f>
        <v>https://www.dgiwg.org/FAD/fdd/view?i=116131</v>
      </c>
      <c r="K1037" s="304" t="s">
        <v>35086</v>
      </c>
      <c r="L1037" s="181">
        <v>2</v>
      </c>
      <c r="M1037" s="179" t="s">
        <v>151</v>
      </c>
    </row>
    <row r="1038" spans="1:13" ht="25.5">
      <c r="A1038" s="313" t="str">
        <f t="shared" si="16"/>
        <v>AtcRequiredReportTypeCode_compulsory</v>
      </c>
      <c r="B1038" s="332" t="str">
        <f>HYPERLINK("[#]Datatypes!A86:L86","AtcRequiredReportTypeCode")</f>
        <v>AtcRequiredReportTypeCode</v>
      </c>
      <c r="C1038" s="333" t="s">
        <v>11522</v>
      </c>
      <c r="D1038" s="202" t="s">
        <v>15663</v>
      </c>
      <c r="E1038" s="203" t="s">
        <v>15664</v>
      </c>
      <c r="F1038" s="204" t="s">
        <v>15665</v>
      </c>
      <c r="G1038" s="205"/>
      <c r="H1038" s="218"/>
      <c r="I1038" s="169">
        <v>115378</v>
      </c>
      <c r="J1038" s="304" t="str">
        <f>CONCATENATE([2]Cover!$D$6,"fdd/view?i=",I1038)</f>
        <v>https://www.dgiwg.org/FAD/fdd/view?i=115378</v>
      </c>
      <c r="K1038" s="304" t="s">
        <v>35087</v>
      </c>
      <c r="L1038" s="202">
        <v>1</v>
      </c>
      <c r="M1038" s="179" t="s">
        <v>151</v>
      </c>
    </row>
    <row r="1039" spans="1:13" ht="25.5">
      <c r="A1039" s="313" t="str">
        <f t="shared" si="16"/>
        <v>AtcRequiredReportTypeCode_noReport</v>
      </c>
      <c r="B1039" s="330"/>
      <c r="C1039" s="334"/>
      <c r="D1039" s="188" t="s">
        <v>15666</v>
      </c>
      <c r="E1039" s="189" t="s">
        <v>15667</v>
      </c>
      <c r="F1039" s="162" t="s">
        <v>15668</v>
      </c>
      <c r="G1039" s="190"/>
      <c r="H1039" s="219"/>
      <c r="I1039" s="169">
        <v>115379</v>
      </c>
      <c r="J1039" s="304" t="str">
        <f>CONCATENATE([2]Cover!$D$6,"fdd/view?i=",I1039)</f>
        <v>https://www.dgiwg.org/FAD/fdd/view?i=115379</v>
      </c>
      <c r="K1039" s="304" t="s">
        <v>35088</v>
      </c>
      <c r="L1039" s="188">
        <v>3</v>
      </c>
      <c r="M1039" s="179" t="s">
        <v>151</v>
      </c>
    </row>
    <row r="1040" spans="1:13" ht="25.5">
      <c r="A1040" s="313" t="str">
        <f t="shared" si="16"/>
        <v>AtcRequiredReportTypeCode_onRequest</v>
      </c>
      <c r="B1040" s="331"/>
      <c r="C1040" s="335"/>
      <c r="D1040" s="181" t="s">
        <v>15669</v>
      </c>
      <c r="E1040" s="192" t="s">
        <v>15670</v>
      </c>
      <c r="F1040" s="193" t="s">
        <v>15671</v>
      </c>
      <c r="G1040" s="194"/>
      <c r="H1040" s="220"/>
      <c r="I1040" s="169">
        <v>115380</v>
      </c>
      <c r="J1040" s="304" t="str">
        <f>CONCATENATE([2]Cover!$D$6,"fdd/view?i=",I1040)</f>
        <v>https://www.dgiwg.org/FAD/fdd/view?i=115380</v>
      </c>
      <c r="K1040" s="304" t="s">
        <v>35089</v>
      </c>
      <c r="L1040" s="181">
        <v>2</v>
      </c>
      <c r="M1040" s="179" t="s">
        <v>151</v>
      </c>
    </row>
    <row r="1041" spans="1:13" ht="51">
      <c r="A1041" s="313" t="str">
        <f t="shared" si="16"/>
        <v>AirTrafControlServiceTypeCode_advSurfMoveGuidControlSys</v>
      </c>
      <c r="B1041" s="332" t="str">
        <f>HYPERLINK("[#]Datatypes!A88:L88","AirTrafControlServiceTypeCode")</f>
        <v>AirTrafControlServiceTypeCode</v>
      </c>
      <c r="C1041" s="333" t="s">
        <v>11524</v>
      </c>
      <c r="D1041" s="202" t="s">
        <v>15672</v>
      </c>
      <c r="E1041" s="203" t="s">
        <v>15673</v>
      </c>
      <c r="F1041" s="204" t="s">
        <v>15674</v>
      </c>
      <c r="G1041" s="205"/>
      <c r="H1041" s="218"/>
      <c r="I1041" s="169">
        <v>116212</v>
      </c>
      <c r="J1041" s="304" t="str">
        <f>CONCATENATE([2]Cover!$D$6,"fdd/view?i=",I1041)</f>
        <v>https://www.dgiwg.org/FAD/fdd/view?i=116212</v>
      </c>
      <c r="K1041" s="304" t="s">
        <v>35090</v>
      </c>
      <c r="L1041" s="202">
        <v>14</v>
      </c>
      <c r="M1041" s="179" t="s">
        <v>151</v>
      </c>
    </row>
    <row r="1042" spans="1:13" ht="25.5">
      <c r="A1042" s="313" t="str">
        <f t="shared" si="16"/>
        <v>AirTrafControlServiceTypeCode_aerodromeControlService</v>
      </c>
      <c r="B1042" s="330"/>
      <c r="C1042" s="334"/>
      <c r="D1042" s="188" t="s">
        <v>15675</v>
      </c>
      <c r="E1042" s="189" t="s">
        <v>15676</v>
      </c>
      <c r="F1042" s="162" t="s">
        <v>15677</v>
      </c>
      <c r="G1042" s="190"/>
      <c r="H1042" s="221" t="s">
        <v>15460</v>
      </c>
      <c r="I1042" s="169">
        <v>116208</v>
      </c>
      <c r="J1042" s="304" t="str">
        <f>CONCATENATE([2]Cover!$D$6,"fdd/view?i=",I1042)</f>
        <v>https://www.dgiwg.org/FAD/fdd/view?i=116208</v>
      </c>
      <c r="K1042" s="304" t="s">
        <v>35091</v>
      </c>
      <c r="L1042" s="188">
        <v>10</v>
      </c>
      <c r="M1042" s="179" t="s">
        <v>151</v>
      </c>
    </row>
    <row r="1043" spans="1:13" ht="25.5">
      <c r="A1043" s="313" t="str">
        <f t="shared" si="16"/>
        <v>AirTrafControlServiceTypeCode_airportAdvisoryService</v>
      </c>
      <c r="B1043" s="330"/>
      <c r="C1043" s="334"/>
      <c r="D1043" s="188" t="s">
        <v>15682</v>
      </c>
      <c r="E1043" s="189" t="s">
        <v>15683</v>
      </c>
      <c r="F1043" s="162" t="s">
        <v>15684</v>
      </c>
      <c r="G1043" s="190"/>
      <c r="H1043" s="221" t="s">
        <v>15685</v>
      </c>
      <c r="I1043" s="169">
        <v>116202</v>
      </c>
      <c r="J1043" s="304" t="str">
        <f>CONCATENATE([2]Cover!$D$6,"fdd/view?i=",I1043)</f>
        <v>https://www.dgiwg.org/FAD/fdd/view?i=116202</v>
      </c>
      <c r="K1043" s="304" t="s">
        <v>35092</v>
      </c>
      <c r="L1043" s="188">
        <v>4</v>
      </c>
      <c r="M1043" s="179" t="s">
        <v>151</v>
      </c>
    </row>
    <row r="1044" spans="1:13" ht="38.25">
      <c r="A1044" s="313" t="str">
        <f t="shared" si="16"/>
        <v>AirTrafControlServiceTypeCode_airTrafficAdvisoryService</v>
      </c>
      <c r="B1044" s="330"/>
      <c r="C1044" s="334"/>
      <c r="D1044" s="188" t="s">
        <v>15678</v>
      </c>
      <c r="E1044" s="189" t="s">
        <v>15679</v>
      </c>
      <c r="F1044" s="162" t="s">
        <v>15680</v>
      </c>
      <c r="G1044" s="190"/>
      <c r="H1044" s="221" t="s">
        <v>15681</v>
      </c>
      <c r="I1044" s="169">
        <v>116201</v>
      </c>
      <c r="J1044" s="304" t="str">
        <f>CONCATENATE([2]Cover!$D$6,"fdd/view?i=",I1044)</f>
        <v>https://www.dgiwg.org/FAD/fdd/view?i=116201</v>
      </c>
      <c r="K1044" s="304" t="s">
        <v>35093</v>
      </c>
      <c r="L1044" s="188">
        <v>3</v>
      </c>
      <c r="M1044" s="179" t="s">
        <v>151</v>
      </c>
    </row>
    <row r="1045" spans="1:13" ht="38.25">
      <c r="A1045" s="313" t="str">
        <f t="shared" si="16"/>
        <v>AirTrafControlServiceTypeCode_alertingService</v>
      </c>
      <c r="B1045" s="330"/>
      <c r="C1045" s="334"/>
      <c r="D1045" s="188" t="s">
        <v>15686</v>
      </c>
      <c r="E1045" s="189" t="s">
        <v>15687</v>
      </c>
      <c r="F1045" s="162" t="s">
        <v>15688</v>
      </c>
      <c r="G1045" s="190"/>
      <c r="H1045" s="219"/>
      <c r="I1045" s="169">
        <v>116200</v>
      </c>
      <c r="J1045" s="304" t="str">
        <f>CONCATENATE([2]Cover!$D$6,"fdd/view?i=",I1045)</f>
        <v>https://www.dgiwg.org/FAD/fdd/view?i=116200</v>
      </c>
      <c r="K1045" s="304" t="s">
        <v>35094</v>
      </c>
      <c r="L1045" s="188">
        <v>2</v>
      </c>
      <c r="M1045" s="179" t="s">
        <v>151</v>
      </c>
    </row>
    <row r="1046" spans="1:13" ht="25.5">
      <c r="A1046" s="313" t="str">
        <f t="shared" si="16"/>
        <v>AirTrafControlServiceTypeCode_approachControlService</v>
      </c>
      <c r="B1046" s="330"/>
      <c r="C1046" s="334"/>
      <c r="D1046" s="188" t="s">
        <v>15689</v>
      </c>
      <c r="E1046" s="189" t="s">
        <v>15690</v>
      </c>
      <c r="F1046" s="162" t="s">
        <v>15691</v>
      </c>
      <c r="G1046" s="190"/>
      <c r="H1046" s="219"/>
      <c r="I1046" s="169">
        <v>116203</v>
      </c>
      <c r="J1046" s="304" t="str">
        <f>CONCATENATE([2]Cover!$D$6,"fdd/view?i=",I1046)</f>
        <v>https://www.dgiwg.org/FAD/fdd/view?i=116203</v>
      </c>
      <c r="K1046" s="304" t="s">
        <v>35095</v>
      </c>
      <c r="L1046" s="188">
        <v>5</v>
      </c>
      <c r="M1046" s="179" t="s">
        <v>151</v>
      </c>
    </row>
    <row r="1047" spans="1:13" ht="25.5">
      <c r="A1047" s="313" t="str">
        <f t="shared" si="16"/>
        <v>AirTrafControlServiceTypeCode_areaControlService</v>
      </c>
      <c r="B1047" s="330"/>
      <c r="C1047" s="334"/>
      <c r="D1047" s="188" t="s">
        <v>15692</v>
      </c>
      <c r="E1047" s="189" t="s">
        <v>15693</v>
      </c>
      <c r="F1047" s="162" t="s">
        <v>15694</v>
      </c>
      <c r="G1047" s="190"/>
      <c r="H1047" s="221" t="s">
        <v>15695</v>
      </c>
      <c r="I1047" s="169">
        <v>116199</v>
      </c>
      <c r="J1047" s="304" t="str">
        <f>CONCATENATE([2]Cover!$D$6,"fdd/view?i=",I1047)</f>
        <v>https://www.dgiwg.org/FAD/fdd/view?i=116199</v>
      </c>
      <c r="K1047" s="304" t="s">
        <v>35096</v>
      </c>
      <c r="L1047" s="188">
        <v>1</v>
      </c>
      <c r="M1047" s="179" t="s">
        <v>151</v>
      </c>
    </row>
    <row r="1048" spans="1:13" ht="25.5">
      <c r="A1048" s="313" t="str">
        <f t="shared" si="16"/>
        <v>AirTrafControlServiceTypeCode_arrivalControlService</v>
      </c>
      <c r="B1048" s="330"/>
      <c r="C1048" s="334"/>
      <c r="D1048" s="188" t="s">
        <v>15696</v>
      </c>
      <c r="E1048" s="189" t="s">
        <v>15697</v>
      </c>
      <c r="F1048" s="162" t="s">
        <v>15698</v>
      </c>
      <c r="G1048" s="190"/>
      <c r="H1048" s="219"/>
      <c r="I1048" s="169">
        <v>116204</v>
      </c>
      <c r="J1048" s="304" t="str">
        <f>CONCATENATE([2]Cover!$D$6,"fdd/view?i=",I1048)</f>
        <v>https://www.dgiwg.org/FAD/fdd/view?i=116204</v>
      </c>
      <c r="K1048" s="304" t="s">
        <v>35097</v>
      </c>
      <c r="L1048" s="188">
        <v>6</v>
      </c>
      <c r="M1048" s="179" t="s">
        <v>151</v>
      </c>
    </row>
    <row r="1049" spans="1:13" ht="38.25">
      <c r="A1049" s="313" t="str">
        <f t="shared" si="16"/>
        <v>AirTrafControlServiceTypeCode_commonTraffAdviseFreqServ</v>
      </c>
      <c r="B1049" s="330"/>
      <c r="C1049" s="334"/>
      <c r="D1049" s="188" t="s">
        <v>15699</v>
      </c>
      <c r="E1049" s="189" t="s">
        <v>15700</v>
      </c>
      <c r="F1049" s="162" t="s">
        <v>15701</v>
      </c>
      <c r="G1049" s="162" t="s">
        <v>15702</v>
      </c>
      <c r="H1049" s="219"/>
      <c r="I1049" s="169">
        <v>116206</v>
      </c>
      <c r="J1049" s="304" t="str">
        <f>CONCATENATE([2]Cover!$D$6,"fdd/view?i=",I1049)</f>
        <v>https://www.dgiwg.org/FAD/fdd/view?i=116206</v>
      </c>
      <c r="K1049" s="304" t="s">
        <v>35098</v>
      </c>
      <c r="L1049" s="188">
        <v>8</v>
      </c>
      <c r="M1049" s="179" t="s">
        <v>151</v>
      </c>
    </row>
    <row r="1050" spans="1:13" ht="25.5">
      <c r="A1050" s="313" t="str">
        <f t="shared" si="16"/>
        <v>AirTrafControlServiceTypeCode_departureControlService</v>
      </c>
      <c r="B1050" s="330"/>
      <c r="C1050" s="334"/>
      <c r="D1050" s="188" t="s">
        <v>15703</v>
      </c>
      <c r="E1050" s="189" t="s">
        <v>15704</v>
      </c>
      <c r="F1050" s="162" t="s">
        <v>15705</v>
      </c>
      <c r="G1050" s="190"/>
      <c r="H1050" s="219"/>
      <c r="I1050" s="169">
        <v>116205</v>
      </c>
      <c r="J1050" s="304" t="str">
        <f>CONCATENATE([2]Cover!$D$6,"fdd/view?i=",I1050)</f>
        <v>https://www.dgiwg.org/FAD/fdd/view?i=116205</v>
      </c>
      <c r="K1050" s="304" t="s">
        <v>35099</v>
      </c>
      <c r="L1050" s="188">
        <v>7</v>
      </c>
      <c r="M1050" s="179" t="s">
        <v>151</v>
      </c>
    </row>
    <row r="1051" spans="1:13" ht="76.5">
      <c r="A1051" s="313" t="str">
        <f t="shared" si="16"/>
        <v>AirTrafControlServiceTypeCode_lowAltitudeRadarService</v>
      </c>
      <c r="B1051" s="330"/>
      <c r="C1051" s="334"/>
      <c r="D1051" s="188" t="s">
        <v>15706</v>
      </c>
      <c r="E1051" s="189" t="s">
        <v>15707</v>
      </c>
      <c r="F1051" s="162" t="s">
        <v>15708</v>
      </c>
      <c r="G1051" s="162" t="s">
        <v>15709</v>
      </c>
      <c r="H1051" s="221" t="s">
        <v>15710</v>
      </c>
      <c r="I1051" s="169">
        <v>116209</v>
      </c>
      <c r="J1051" s="304" t="str">
        <f>CONCATENATE([2]Cover!$D$6,"fdd/view?i=",I1051)</f>
        <v>https://www.dgiwg.org/FAD/fdd/view?i=116209</v>
      </c>
      <c r="K1051" s="304" t="s">
        <v>35100</v>
      </c>
      <c r="L1051" s="188">
        <v>11</v>
      </c>
      <c r="M1051" s="179" t="s">
        <v>151</v>
      </c>
    </row>
    <row r="1052" spans="1:13" ht="25.5">
      <c r="A1052" s="313" t="str">
        <f t="shared" si="16"/>
        <v>AirTrafControlServiceTypeCode_oceanicAreaControlService</v>
      </c>
      <c r="B1052" s="330"/>
      <c r="C1052" s="334"/>
      <c r="D1052" s="188" t="s">
        <v>15711</v>
      </c>
      <c r="E1052" s="189" t="s">
        <v>15712</v>
      </c>
      <c r="F1052" s="162" t="s">
        <v>15713</v>
      </c>
      <c r="G1052" s="190"/>
      <c r="H1052" s="221" t="s">
        <v>15714</v>
      </c>
      <c r="I1052" s="169">
        <v>116207</v>
      </c>
      <c r="J1052" s="304" t="str">
        <f>CONCATENATE([2]Cover!$D$6,"fdd/view?i=",I1052)</f>
        <v>https://www.dgiwg.org/FAD/fdd/view?i=116207</v>
      </c>
      <c r="K1052" s="304" t="s">
        <v>35101</v>
      </c>
      <c r="L1052" s="188">
        <v>9</v>
      </c>
      <c r="M1052" s="179" t="s">
        <v>151</v>
      </c>
    </row>
    <row r="1053" spans="1:13" ht="25.5">
      <c r="A1053" s="313" t="str">
        <f t="shared" si="16"/>
        <v>AirTrafControlServiceTypeCode_terminalControlService</v>
      </c>
      <c r="B1053" s="330"/>
      <c r="C1053" s="334"/>
      <c r="D1053" s="188" t="s">
        <v>15715</v>
      </c>
      <c r="E1053" s="189" t="s">
        <v>15716</v>
      </c>
      <c r="F1053" s="162" t="s">
        <v>15717</v>
      </c>
      <c r="G1053" s="190"/>
      <c r="H1053" s="219"/>
      <c r="I1053" s="169">
        <v>116211</v>
      </c>
      <c r="J1053" s="304" t="str">
        <f>CONCATENATE([2]Cover!$D$6,"fdd/view?i=",I1053)</f>
        <v>https://www.dgiwg.org/FAD/fdd/view?i=116211</v>
      </c>
      <c r="K1053" s="304" t="s">
        <v>35102</v>
      </c>
      <c r="L1053" s="188">
        <v>13</v>
      </c>
      <c r="M1053" s="179" t="s">
        <v>151</v>
      </c>
    </row>
    <row r="1054" spans="1:13" ht="51">
      <c r="A1054" s="313" t="str">
        <f t="shared" si="16"/>
        <v>AirTrafControlServiceTypeCode_terminalRadarService</v>
      </c>
      <c r="B1054" s="330"/>
      <c r="C1054" s="334"/>
      <c r="D1054" s="188" t="s">
        <v>15718</v>
      </c>
      <c r="E1054" s="189" t="s">
        <v>15719</v>
      </c>
      <c r="F1054" s="162" t="s">
        <v>15720</v>
      </c>
      <c r="G1054" s="162" t="s">
        <v>15721</v>
      </c>
      <c r="H1054" s="219"/>
      <c r="I1054" s="169">
        <v>116210</v>
      </c>
      <c r="J1054" s="304" t="str">
        <f>CONCATENATE([2]Cover!$D$6,"fdd/view?i=",I1054)</f>
        <v>https://www.dgiwg.org/FAD/fdd/view?i=116210</v>
      </c>
      <c r="K1054" s="304" t="s">
        <v>35103</v>
      </c>
      <c r="L1054" s="188">
        <v>12</v>
      </c>
      <c r="M1054" s="179" t="s">
        <v>151</v>
      </c>
    </row>
    <row r="1055" spans="1:13" ht="25.5">
      <c r="A1055" s="313" t="str">
        <f t="shared" si="16"/>
        <v>AirTrafControlServiceTypeCode_upperAreaControlService</v>
      </c>
      <c r="B1055" s="331"/>
      <c r="C1055" s="335"/>
      <c r="D1055" s="181" t="s">
        <v>15722</v>
      </c>
      <c r="E1055" s="192" t="s">
        <v>15723</v>
      </c>
      <c r="F1055" s="193" t="s">
        <v>15724</v>
      </c>
      <c r="G1055" s="194"/>
      <c r="H1055" s="223" t="s">
        <v>15582</v>
      </c>
      <c r="I1055" s="169">
        <v>116213</v>
      </c>
      <c r="J1055" s="304" t="str">
        <f>CONCATENATE([2]Cover!$D$6,"fdd/view?i=",I1055)</f>
        <v>https://www.dgiwg.org/FAD/fdd/view?i=116213</v>
      </c>
      <c r="K1055" s="304" t="s">
        <v>35104</v>
      </c>
      <c r="L1055" s="181">
        <v>15</v>
      </c>
      <c r="M1055" s="179" t="s">
        <v>151</v>
      </c>
    </row>
    <row r="1056" spans="1:13" ht="63.75">
      <c r="A1056" s="313" t="str">
        <f t="shared" si="16"/>
        <v>AirTrafManageServiceTypeCode_airTrafficFlowManageServ</v>
      </c>
      <c r="B1056" s="332" t="str">
        <f>HYPERLINK("[#]Datatypes!A90:L90","AirTrafManageServiceTypeCode")</f>
        <v>AirTrafManageServiceTypeCode</v>
      </c>
      <c r="C1056" s="333" t="s">
        <v>11526</v>
      </c>
      <c r="D1056" s="202" t="s">
        <v>15725</v>
      </c>
      <c r="E1056" s="203" t="s">
        <v>15726</v>
      </c>
      <c r="F1056" s="204" t="s">
        <v>15727</v>
      </c>
      <c r="G1056" s="205"/>
      <c r="H1056" s="222" t="s">
        <v>15728</v>
      </c>
      <c r="I1056" s="169">
        <v>116214</v>
      </c>
      <c r="J1056" s="304" t="str">
        <f>CONCATENATE([2]Cover!$D$6,"fdd/view?i=",I1056)</f>
        <v>https://www.dgiwg.org/FAD/fdd/view?i=116214</v>
      </c>
      <c r="K1056" s="304" t="s">
        <v>35105</v>
      </c>
      <c r="L1056" s="202">
        <v>1</v>
      </c>
      <c r="M1056" s="179" t="s">
        <v>151</v>
      </c>
    </row>
    <row r="1057" spans="1:13" ht="25.5">
      <c r="A1057" s="313" t="str">
        <f t="shared" si="16"/>
        <v>AirTrafManageServiceTypeCode_clearance</v>
      </c>
      <c r="B1057" s="330"/>
      <c r="C1057" s="334"/>
      <c r="D1057" s="188" t="s">
        <v>15729</v>
      </c>
      <c r="E1057" s="189" t="s">
        <v>15730</v>
      </c>
      <c r="F1057" s="162" t="s">
        <v>15731</v>
      </c>
      <c r="G1057" s="190"/>
      <c r="H1057" s="219"/>
      <c r="I1057" s="169">
        <v>116215</v>
      </c>
      <c r="J1057" s="304" t="str">
        <f>CONCATENATE([2]Cover!$D$6,"fdd/view?i=",I1057)</f>
        <v>https://www.dgiwg.org/FAD/fdd/view?i=116215</v>
      </c>
      <c r="K1057" s="304" t="s">
        <v>35106</v>
      </c>
      <c r="L1057" s="188">
        <v>2</v>
      </c>
      <c r="M1057" s="179" t="s">
        <v>151</v>
      </c>
    </row>
    <row r="1058" spans="1:13" ht="25.5">
      <c r="A1058" s="313" t="str">
        <f t="shared" si="16"/>
        <v>AirTrafManageServiceTypeCode_flightPlanningService</v>
      </c>
      <c r="B1058" s="330"/>
      <c r="C1058" s="334"/>
      <c r="D1058" s="188" t="s">
        <v>15732</v>
      </c>
      <c r="E1058" s="189" t="s">
        <v>15733</v>
      </c>
      <c r="F1058" s="162" t="s">
        <v>15734</v>
      </c>
      <c r="G1058" s="190"/>
      <c r="H1058" s="219"/>
      <c r="I1058" s="169">
        <v>116216</v>
      </c>
      <c r="J1058" s="304" t="str">
        <f>CONCATENATE([2]Cover!$D$6,"fdd/view?i=",I1058)</f>
        <v>https://www.dgiwg.org/FAD/fdd/view?i=116216</v>
      </c>
      <c r="K1058" s="304" t="s">
        <v>35107</v>
      </c>
      <c r="L1058" s="188">
        <v>3</v>
      </c>
      <c r="M1058" s="179" t="s">
        <v>151</v>
      </c>
    </row>
    <row r="1059" spans="1:13" ht="25.5">
      <c r="A1059" s="313" t="str">
        <f t="shared" si="16"/>
        <v>AirTrafManageServiceTypeCode_flightPlanningValidServ</v>
      </c>
      <c r="B1059" s="330"/>
      <c r="C1059" s="334"/>
      <c r="D1059" s="188" t="s">
        <v>15735</v>
      </c>
      <c r="E1059" s="189" t="s">
        <v>15736</v>
      </c>
      <c r="F1059" s="162" t="s">
        <v>15737</v>
      </c>
      <c r="G1059" s="190"/>
      <c r="H1059" s="219"/>
      <c r="I1059" s="169">
        <v>116217</v>
      </c>
      <c r="J1059" s="304" t="str">
        <f>CONCATENATE([2]Cover!$D$6,"fdd/view?i=",I1059)</f>
        <v>https://www.dgiwg.org/FAD/fdd/view?i=116217</v>
      </c>
      <c r="K1059" s="304" t="s">
        <v>35108</v>
      </c>
      <c r="L1059" s="188">
        <v>4</v>
      </c>
      <c r="M1059" s="179" t="s">
        <v>151</v>
      </c>
    </row>
    <row r="1060" spans="1:13" ht="25.5">
      <c r="A1060" s="313" t="str">
        <f t="shared" si="16"/>
        <v>AirTrafManageServiceTypeCode_scheduling</v>
      </c>
      <c r="B1060" s="331"/>
      <c r="C1060" s="335"/>
      <c r="D1060" s="181" t="s">
        <v>15738</v>
      </c>
      <c r="E1060" s="192" t="s">
        <v>15739</v>
      </c>
      <c r="F1060" s="193" t="s">
        <v>15740</v>
      </c>
      <c r="G1060" s="194"/>
      <c r="H1060" s="220"/>
      <c r="I1060" s="169">
        <v>116218</v>
      </c>
      <c r="J1060" s="304" t="str">
        <f>CONCATENATE([2]Cover!$D$6,"fdd/view?i=",I1060)</f>
        <v>https://www.dgiwg.org/FAD/fdd/view?i=116218</v>
      </c>
      <c r="K1060" s="304" t="s">
        <v>35109</v>
      </c>
      <c r="L1060" s="181">
        <v>5</v>
      </c>
      <c r="M1060" s="179" t="s">
        <v>151</v>
      </c>
    </row>
    <row r="1061" spans="1:13">
      <c r="A1061" s="313" t="str">
        <f t="shared" si="16"/>
        <v>AirTrafficTypePermittedCode_civil</v>
      </c>
      <c r="B1061" s="332" t="str">
        <f>HYPERLINK("[#]Datatypes!A92:L92","AirTrafficTypePermittedCode")</f>
        <v>AirTrafficTypePermittedCode</v>
      </c>
      <c r="C1061" s="333" t="s">
        <v>11528</v>
      </c>
      <c r="D1061" s="202" t="s">
        <v>15741</v>
      </c>
      <c r="E1061" s="203" t="s">
        <v>15742</v>
      </c>
      <c r="F1061" s="204" t="s">
        <v>15743</v>
      </c>
      <c r="G1061" s="205"/>
      <c r="H1061" s="218"/>
      <c r="I1061" s="169">
        <v>115497</v>
      </c>
      <c r="J1061" s="304" t="str">
        <f>CONCATENATE([2]Cover!$D$6,"fdd/view?i=",I1061)</f>
        <v>https://www.dgiwg.org/FAD/fdd/view?i=115497</v>
      </c>
      <c r="K1061" s="304" t="s">
        <v>35110</v>
      </c>
      <c r="L1061" s="202">
        <v>9</v>
      </c>
      <c r="M1061" s="179" t="s">
        <v>151</v>
      </c>
    </row>
    <row r="1062" spans="1:13" ht="25.5">
      <c r="A1062" s="313" t="str">
        <f t="shared" si="16"/>
        <v>AirTrafficTypePermittedCode_instrumentFlightRules</v>
      </c>
      <c r="B1062" s="330"/>
      <c r="C1062" s="334"/>
      <c r="D1062" s="188" t="s">
        <v>15744</v>
      </c>
      <c r="E1062" s="189" t="s">
        <v>15745</v>
      </c>
      <c r="F1062" s="162" t="s">
        <v>15746</v>
      </c>
      <c r="G1062" s="190"/>
      <c r="H1062" s="219"/>
      <c r="I1062" s="169">
        <v>115491</v>
      </c>
      <c r="J1062" s="304" t="str">
        <f>CONCATENATE([2]Cover!$D$6,"fdd/view?i=",I1062)</f>
        <v>https://www.dgiwg.org/FAD/fdd/view?i=115491</v>
      </c>
      <c r="K1062" s="304" t="s">
        <v>35111</v>
      </c>
      <c r="L1062" s="188">
        <v>3</v>
      </c>
      <c r="M1062" s="179" t="s">
        <v>151</v>
      </c>
    </row>
    <row r="1063" spans="1:13" ht="25.5">
      <c r="A1063" s="313" t="str">
        <f t="shared" si="16"/>
        <v>AirTrafficTypePermittedCode_international</v>
      </c>
      <c r="B1063" s="330"/>
      <c r="C1063" s="334"/>
      <c r="D1063" s="188" t="s">
        <v>15747</v>
      </c>
      <c r="E1063" s="189" t="s">
        <v>15748</v>
      </c>
      <c r="F1063" s="162" t="s">
        <v>15749</v>
      </c>
      <c r="G1063" s="190"/>
      <c r="H1063" s="219"/>
      <c r="I1063" s="169">
        <v>115489</v>
      </c>
      <c r="J1063" s="304" t="str">
        <f>CONCATENATE([2]Cover!$D$6,"fdd/view?i=",I1063)</f>
        <v>https://www.dgiwg.org/FAD/fdd/view?i=115489</v>
      </c>
      <c r="K1063" s="304" t="s">
        <v>35112</v>
      </c>
      <c r="L1063" s="188">
        <v>1</v>
      </c>
      <c r="M1063" s="179" t="s">
        <v>151</v>
      </c>
    </row>
    <row r="1064" spans="1:13" ht="25.5">
      <c r="A1064" s="313" t="str">
        <f t="shared" si="16"/>
        <v>AirTrafficTypePermittedCode_military</v>
      </c>
      <c r="B1064" s="330"/>
      <c r="C1064" s="334"/>
      <c r="D1064" s="188" t="s">
        <v>15601</v>
      </c>
      <c r="E1064" s="189" t="s">
        <v>15602</v>
      </c>
      <c r="F1064" s="162" t="s">
        <v>15750</v>
      </c>
      <c r="G1064" s="190"/>
      <c r="H1064" s="219"/>
      <c r="I1064" s="169">
        <v>115496</v>
      </c>
      <c r="J1064" s="304" t="str">
        <f>CONCATENATE([2]Cover!$D$6,"fdd/view?i=",I1064)</f>
        <v>https://www.dgiwg.org/FAD/fdd/view?i=115496</v>
      </c>
      <c r="K1064" s="304" t="s">
        <v>35113</v>
      </c>
      <c r="L1064" s="188">
        <v>8</v>
      </c>
      <c r="M1064" s="179" t="s">
        <v>151</v>
      </c>
    </row>
    <row r="1065" spans="1:13" ht="25.5">
      <c r="A1065" s="313" t="str">
        <f t="shared" si="16"/>
        <v>AirTrafficTypePermittedCode_national</v>
      </c>
      <c r="B1065" s="330"/>
      <c r="C1065" s="334"/>
      <c r="D1065" s="188" t="s">
        <v>13398</v>
      </c>
      <c r="E1065" s="189" t="s">
        <v>13399</v>
      </c>
      <c r="F1065" s="162" t="s">
        <v>15751</v>
      </c>
      <c r="G1065" s="190"/>
      <c r="H1065" s="221" t="s">
        <v>15752</v>
      </c>
      <c r="I1065" s="169">
        <v>115490</v>
      </c>
      <c r="J1065" s="304" t="str">
        <f>CONCATENATE([2]Cover!$D$6,"fdd/view?i=",I1065)</f>
        <v>https://www.dgiwg.org/FAD/fdd/view?i=115490</v>
      </c>
      <c r="K1065" s="304" t="s">
        <v>35114</v>
      </c>
      <c r="L1065" s="188">
        <v>2</v>
      </c>
      <c r="M1065" s="179" t="s">
        <v>151</v>
      </c>
    </row>
    <row r="1066" spans="1:13" ht="25.5">
      <c r="A1066" s="313" t="str">
        <f t="shared" si="16"/>
        <v>AirTrafficTypePermittedCode_nonScheduled</v>
      </c>
      <c r="B1066" s="330"/>
      <c r="C1066" s="334"/>
      <c r="D1066" s="188" t="s">
        <v>15753</v>
      </c>
      <c r="E1066" s="189" t="s">
        <v>15754</v>
      </c>
      <c r="F1066" s="162" t="s">
        <v>15755</v>
      </c>
      <c r="G1066" s="190"/>
      <c r="H1066" s="219"/>
      <c r="I1066" s="169">
        <v>115494</v>
      </c>
      <c r="J1066" s="304" t="str">
        <f>CONCATENATE([2]Cover!$D$6,"fdd/view?i=",I1066)</f>
        <v>https://www.dgiwg.org/FAD/fdd/view?i=115494</v>
      </c>
      <c r="K1066" s="304" t="s">
        <v>35115</v>
      </c>
      <c r="L1066" s="188">
        <v>6</v>
      </c>
      <c r="M1066" s="179" t="s">
        <v>151</v>
      </c>
    </row>
    <row r="1067" spans="1:13" ht="25.5">
      <c r="A1067" s="313" t="str">
        <f t="shared" si="16"/>
        <v>AirTrafficTypePermittedCode_private</v>
      </c>
      <c r="B1067" s="330"/>
      <c r="C1067" s="334"/>
      <c r="D1067" s="188" t="s">
        <v>15756</v>
      </c>
      <c r="E1067" s="189" t="s">
        <v>15757</v>
      </c>
      <c r="F1067" s="162" t="s">
        <v>15758</v>
      </c>
      <c r="G1067" s="190"/>
      <c r="H1067" s="219"/>
      <c r="I1067" s="169">
        <v>115495</v>
      </c>
      <c r="J1067" s="304" t="str">
        <f>CONCATENATE([2]Cover!$D$6,"fdd/view?i=",I1067)</f>
        <v>https://www.dgiwg.org/FAD/fdd/view?i=115495</v>
      </c>
      <c r="K1067" s="304" t="s">
        <v>35116</v>
      </c>
      <c r="L1067" s="188">
        <v>7</v>
      </c>
      <c r="M1067" s="179" t="s">
        <v>151</v>
      </c>
    </row>
    <row r="1068" spans="1:13" ht="25.5">
      <c r="A1068" s="313" t="str">
        <f t="shared" si="16"/>
        <v>AirTrafficTypePermittedCode_scheduled</v>
      </c>
      <c r="B1068" s="330"/>
      <c r="C1068" s="334"/>
      <c r="D1068" s="188" t="s">
        <v>15759</v>
      </c>
      <c r="E1068" s="189" t="s">
        <v>15760</v>
      </c>
      <c r="F1068" s="162" t="s">
        <v>15761</v>
      </c>
      <c r="G1068" s="190"/>
      <c r="H1068" s="219"/>
      <c r="I1068" s="169">
        <v>115493</v>
      </c>
      <c r="J1068" s="304" t="str">
        <f>CONCATENATE([2]Cover!$D$6,"fdd/view?i=",I1068)</f>
        <v>https://www.dgiwg.org/FAD/fdd/view?i=115493</v>
      </c>
      <c r="K1068" s="304" t="s">
        <v>35117</v>
      </c>
      <c r="L1068" s="188">
        <v>5</v>
      </c>
      <c r="M1068" s="179" t="s">
        <v>151</v>
      </c>
    </row>
    <row r="1069" spans="1:13" ht="25.5">
      <c r="A1069" s="313" t="str">
        <f t="shared" si="16"/>
        <v>AirTrafficTypePermittedCode_visualFlightRules</v>
      </c>
      <c r="B1069" s="331"/>
      <c r="C1069" s="335"/>
      <c r="D1069" s="181" t="s">
        <v>15762</v>
      </c>
      <c r="E1069" s="192" t="s">
        <v>15763</v>
      </c>
      <c r="F1069" s="193" t="s">
        <v>15764</v>
      </c>
      <c r="G1069" s="194"/>
      <c r="H1069" s="220"/>
      <c r="I1069" s="169">
        <v>115492</v>
      </c>
      <c r="J1069" s="304" t="str">
        <f>CONCATENATE([2]Cover!$D$6,"fdd/view?i=",I1069)</f>
        <v>https://www.dgiwg.org/FAD/fdd/view?i=115492</v>
      </c>
      <c r="K1069" s="304" t="s">
        <v>35118</v>
      </c>
      <c r="L1069" s="181">
        <v>4</v>
      </c>
      <c r="M1069" s="179" t="s">
        <v>151</v>
      </c>
    </row>
    <row r="1070" spans="1:13" ht="25.5">
      <c r="A1070" s="313" t="str">
        <f t="shared" si="16"/>
        <v>AtsRouteDesignatorSuffixCode_fAdvisoryOnly</v>
      </c>
      <c r="B1070" s="332" t="str">
        <f>HYPERLINK("[#]Datatypes!A94:L94","AtsRouteDesignatorSuffixCode")</f>
        <v>AtsRouteDesignatorSuffixCode</v>
      </c>
      <c r="C1070" s="333" t="s">
        <v>11530</v>
      </c>
      <c r="D1070" s="202" t="s">
        <v>15765</v>
      </c>
      <c r="E1070" s="203" t="s">
        <v>15766</v>
      </c>
      <c r="F1070" s="204" t="s">
        <v>15767</v>
      </c>
      <c r="G1070" s="205"/>
      <c r="H1070" s="218"/>
      <c r="J1070" s="304" t="str">
        <f>CONCATENATE([2]Cover!$D$6,"fdd/view?i=",I1070)</f>
        <v>https://www.dgiwg.org/FAD/fdd/view?i=</v>
      </c>
      <c r="K1070" s="304" t="s">
        <v>35119</v>
      </c>
      <c r="L1070" s="202">
        <v>1</v>
      </c>
      <c r="M1070" s="179" t="s">
        <v>1295</v>
      </c>
    </row>
    <row r="1071" spans="1:13" ht="25.5">
      <c r="A1071" s="313" t="str">
        <f t="shared" si="16"/>
        <v>AtsRouteDesignatorSuffixCode_gFlightInformationOnly</v>
      </c>
      <c r="B1071" s="330"/>
      <c r="C1071" s="334"/>
      <c r="D1071" s="188" t="s">
        <v>15768</v>
      </c>
      <c r="E1071" s="189" t="s">
        <v>15769</v>
      </c>
      <c r="F1071" s="162" t="s">
        <v>15770</v>
      </c>
      <c r="G1071" s="190"/>
      <c r="H1071" s="219"/>
      <c r="J1071" s="304" t="str">
        <f>CONCATENATE([2]Cover!$D$6,"fdd/view?i=",I1071)</f>
        <v>https://www.dgiwg.org/FAD/fdd/view?i=</v>
      </c>
      <c r="K1071" s="304" t="s">
        <v>35120</v>
      </c>
      <c r="L1071" s="188">
        <v>2</v>
      </c>
      <c r="M1071" s="179" t="s">
        <v>1295</v>
      </c>
    </row>
    <row r="1072" spans="1:13" ht="38.25">
      <c r="A1072" s="313" t="str">
        <f t="shared" si="16"/>
        <v>AtsRouteDesignatorSuffixCode_yTurnTolerance22p5NM</v>
      </c>
      <c r="B1072" s="330"/>
      <c r="C1072" s="334"/>
      <c r="D1072" s="188" t="s">
        <v>15771</v>
      </c>
      <c r="E1072" s="189" t="s">
        <v>15772</v>
      </c>
      <c r="F1072" s="162" t="s">
        <v>15773</v>
      </c>
      <c r="G1072" s="162" t="s">
        <v>15774</v>
      </c>
      <c r="H1072" s="219"/>
      <c r="J1072" s="304" t="str">
        <f>CONCATENATE([2]Cover!$D$6,"fdd/view?i=",I1072)</f>
        <v>https://www.dgiwg.org/FAD/fdd/view?i=</v>
      </c>
      <c r="K1072" s="304" t="s">
        <v>35121</v>
      </c>
      <c r="L1072" s="188">
        <v>3</v>
      </c>
      <c r="M1072" s="179" t="s">
        <v>1295</v>
      </c>
    </row>
    <row r="1073" spans="1:13" ht="38.25">
      <c r="A1073" s="313" t="str">
        <f t="shared" si="16"/>
        <v>AtsRouteDesignatorSuffixCode_zTurnTolerance15NM</v>
      </c>
      <c r="B1073" s="331"/>
      <c r="C1073" s="335"/>
      <c r="D1073" s="181" t="s">
        <v>15775</v>
      </c>
      <c r="E1073" s="192" t="s">
        <v>15776</v>
      </c>
      <c r="F1073" s="193" t="s">
        <v>15777</v>
      </c>
      <c r="G1073" s="193" t="s">
        <v>15778</v>
      </c>
      <c r="H1073" s="220"/>
      <c r="J1073" s="304" t="str">
        <f>CONCATENATE([2]Cover!$D$6,"fdd/view?i=",I1073)</f>
        <v>https://www.dgiwg.org/FAD/fdd/view?i=</v>
      </c>
      <c r="K1073" s="304" t="s">
        <v>35122</v>
      </c>
      <c r="L1073" s="181">
        <v>4</v>
      </c>
      <c r="M1073" s="179" t="s">
        <v>1295</v>
      </c>
    </row>
    <row r="1074" spans="1:13" ht="25.5">
      <c r="A1074" s="313" t="str">
        <f t="shared" si="16"/>
        <v>AtsRouteSegmentAvailableCode_alternate</v>
      </c>
      <c r="B1074" s="332" t="str">
        <f>HYPERLINK("[#]Datatypes!A98:L98","AtsRouteSegmentAvailableCode")</f>
        <v>AtsRouteSegmentAvailableCode</v>
      </c>
      <c r="C1074" s="333" t="s">
        <v>11535</v>
      </c>
      <c r="D1074" s="202" t="s">
        <v>15441</v>
      </c>
      <c r="E1074" s="203" t="s">
        <v>15442</v>
      </c>
      <c r="F1074" s="204" t="s">
        <v>15779</v>
      </c>
      <c r="G1074" s="205"/>
      <c r="H1074" s="218"/>
      <c r="I1074" s="169">
        <v>115399</v>
      </c>
      <c r="J1074" s="304" t="str">
        <f>CONCATENATE([2]Cover!$D$6,"fdd/view?i=",I1074)</f>
        <v>https://www.dgiwg.org/FAD/fdd/view?i=115399</v>
      </c>
      <c r="K1074" s="304" t="s">
        <v>35123</v>
      </c>
      <c r="L1074" s="202">
        <v>3</v>
      </c>
      <c r="M1074" s="179" t="s">
        <v>151</v>
      </c>
    </row>
    <row r="1075" spans="1:13" ht="25.5">
      <c r="A1075" s="313" t="str">
        <f t="shared" si="16"/>
        <v>AtsRouteSegmentAvailableCode_closed</v>
      </c>
      <c r="B1075" s="330"/>
      <c r="C1075" s="334"/>
      <c r="D1075" s="188" t="s">
        <v>13317</v>
      </c>
      <c r="E1075" s="189" t="s">
        <v>13318</v>
      </c>
      <c r="F1075" s="162" t="s">
        <v>15780</v>
      </c>
      <c r="G1075" s="190"/>
      <c r="H1075" s="219"/>
      <c r="I1075" s="169">
        <v>115393</v>
      </c>
      <c r="J1075" s="304" t="str">
        <f>CONCATENATE([2]Cover!$D$6,"fdd/view?i=",I1075)</f>
        <v>https://www.dgiwg.org/FAD/fdd/view?i=115393</v>
      </c>
      <c r="K1075" s="304" t="s">
        <v>35124</v>
      </c>
      <c r="L1075" s="188">
        <v>5</v>
      </c>
      <c r="M1075" s="179" t="s">
        <v>151</v>
      </c>
    </row>
    <row r="1076" spans="1:13" ht="38.25">
      <c r="A1076" s="313" t="str">
        <f t="shared" si="16"/>
        <v>AtsRouteSegmentAvailableCode_conditionalRouteType1</v>
      </c>
      <c r="B1076" s="330"/>
      <c r="C1076" s="334"/>
      <c r="D1076" s="188" t="s">
        <v>15781</v>
      </c>
      <c r="E1076" s="189" t="s">
        <v>15782</v>
      </c>
      <c r="F1076" s="162" t="s">
        <v>15783</v>
      </c>
      <c r="G1076" s="162" t="s">
        <v>15784</v>
      </c>
      <c r="H1076" s="219"/>
      <c r="I1076" s="169">
        <v>115394</v>
      </c>
      <c r="J1076" s="304" t="str">
        <f>CONCATENATE([2]Cover!$D$6,"fdd/view?i=",I1076)</f>
        <v>https://www.dgiwg.org/FAD/fdd/view?i=115394</v>
      </c>
      <c r="K1076" s="304" t="s">
        <v>35125</v>
      </c>
      <c r="L1076" s="188">
        <v>6</v>
      </c>
      <c r="M1076" s="179" t="s">
        <v>151</v>
      </c>
    </row>
    <row r="1077" spans="1:13" ht="38.25">
      <c r="A1077" s="313" t="str">
        <f t="shared" si="16"/>
        <v>AtsRouteSegmentAvailableCode_conditionalRouteType2</v>
      </c>
      <c r="B1077" s="330"/>
      <c r="C1077" s="334"/>
      <c r="D1077" s="188" t="s">
        <v>15785</v>
      </c>
      <c r="E1077" s="189" t="s">
        <v>15786</v>
      </c>
      <c r="F1077" s="162" t="s">
        <v>15787</v>
      </c>
      <c r="G1077" s="162" t="s">
        <v>15788</v>
      </c>
      <c r="H1077" s="219"/>
      <c r="I1077" s="169">
        <v>115395</v>
      </c>
      <c r="J1077" s="304" t="str">
        <f>CONCATENATE([2]Cover!$D$6,"fdd/view?i=",I1077)</f>
        <v>https://www.dgiwg.org/FAD/fdd/view?i=115395</v>
      </c>
      <c r="K1077" s="304" t="s">
        <v>35126</v>
      </c>
      <c r="L1077" s="188">
        <v>7</v>
      </c>
      <c r="M1077" s="179" t="s">
        <v>151</v>
      </c>
    </row>
    <row r="1078" spans="1:13" ht="25.5">
      <c r="A1078" s="313" t="str">
        <f t="shared" si="16"/>
        <v>AtsRouteSegmentAvailableCode_conditionalRouteType3</v>
      </c>
      <c r="B1078" s="330"/>
      <c r="C1078" s="334"/>
      <c r="D1078" s="188" t="s">
        <v>15789</v>
      </c>
      <c r="E1078" s="189" t="s">
        <v>15790</v>
      </c>
      <c r="F1078" s="162" t="s">
        <v>15791</v>
      </c>
      <c r="G1078" s="162" t="s">
        <v>15792</v>
      </c>
      <c r="H1078" s="219"/>
      <c r="I1078" s="169">
        <v>115396</v>
      </c>
      <c r="J1078" s="304" t="str">
        <f>CONCATENATE([2]Cover!$D$6,"fdd/view?i=",I1078)</f>
        <v>https://www.dgiwg.org/FAD/fdd/view?i=115396</v>
      </c>
      <c r="K1078" s="304" t="s">
        <v>35127</v>
      </c>
      <c r="L1078" s="188">
        <v>8</v>
      </c>
      <c r="M1078" s="179" t="s">
        <v>151</v>
      </c>
    </row>
    <row r="1079" spans="1:13" ht="25.5">
      <c r="A1079" s="313" t="str">
        <f t="shared" si="16"/>
        <v>AtsRouteSegmentAvailableCode_open</v>
      </c>
      <c r="B1079" s="330"/>
      <c r="C1079" s="334"/>
      <c r="D1079" s="188" t="s">
        <v>13334</v>
      </c>
      <c r="E1079" s="189" t="s">
        <v>13335</v>
      </c>
      <c r="F1079" s="162" t="s">
        <v>15793</v>
      </c>
      <c r="G1079" s="190"/>
      <c r="H1079" s="219"/>
      <c r="I1079" s="169">
        <v>115400</v>
      </c>
      <c r="J1079" s="304" t="str">
        <f>CONCATENATE([2]Cover!$D$6,"fdd/view?i=",I1079)</f>
        <v>https://www.dgiwg.org/FAD/fdd/view?i=115400</v>
      </c>
      <c r="K1079" s="304" t="s">
        <v>35128</v>
      </c>
      <c r="L1079" s="188">
        <v>1</v>
      </c>
      <c r="M1079" s="179" t="s">
        <v>151</v>
      </c>
    </row>
    <row r="1080" spans="1:13" ht="25.5">
      <c r="A1080" s="313" t="str">
        <f t="shared" si="16"/>
        <v>AtsRouteSegmentAvailableCode_seasonal</v>
      </c>
      <c r="B1080" s="330"/>
      <c r="C1080" s="334"/>
      <c r="D1080" s="188" t="s">
        <v>15794</v>
      </c>
      <c r="E1080" s="189" t="s">
        <v>15795</v>
      </c>
      <c r="F1080" s="162" t="s">
        <v>15796</v>
      </c>
      <c r="G1080" s="190"/>
      <c r="H1080" s="219"/>
      <c r="I1080" s="169">
        <v>115401</v>
      </c>
      <c r="J1080" s="304" t="str">
        <f>CONCATENATE([2]Cover!$D$6,"fdd/view?i=",I1080)</f>
        <v>https://www.dgiwg.org/FAD/fdd/view?i=115401</v>
      </c>
      <c r="K1080" s="304" t="s">
        <v>35129</v>
      </c>
      <c r="L1080" s="188">
        <v>2</v>
      </c>
      <c r="M1080" s="179" t="s">
        <v>151</v>
      </c>
    </row>
    <row r="1081" spans="1:13" ht="89.25">
      <c r="A1081" s="313" t="str">
        <f t="shared" si="16"/>
        <v>AtsRouteSegmentAvailableCode_specialUse</v>
      </c>
      <c r="B1081" s="330"/>
      <c r="C1081" s="334"/>
      <c r="D1081" s="188" t="s">
        <v>15797</v>
      </c>
      <c r="E1081" s="189" t="s">
        <v>15798</v>
      </c>
      <c r="F1081" s="162" t="s">
        <v>15799</v>
      </c>
      <c r="G1081" s="162" t="s">
        <v>15800</v>
      </c>
      <c r="H1081" s="221" t="s">
        <v>13339</v>
      </c>
      <c r="I1081" s="169">
        <v>115398</v>
      </c>
      <c r="J1081" s="304" t="str">
        <f>CONCATENATE([2]Cover!$D$6,"fdd/view?i=",I1081)</f>
        <v>https://www.dgiwg.org/FAD/fdd/view?i=115398</v>
      </c>
      <c r="K1081" s="304" t="s">
        <v>35130</v>
      </c>
      <c r="L1081" s="188">
        <v>4</v>
      </c>
      <c r="M1081" s="179" t="s">
        <v>151</v>
      </c>
    </row>
    <row r="1082" spans="1:13" ht="25.5">
      <c r="A1082" s="313" t="str">
        <f t="shared" si="16"/>
        <v>AtsRouteSegmentAvailableCode_timetable</v>
      </c>
      <c r="B1082" s="331"/>
      <c r="C1082" s="335"/>
      <c r="D1082" s="181" t="s">
        <v>15801</v>
      </c>
      <c r="E1082" s="192" t="s">
        <v>15802</v>
      </c>
      <c r="F1082" s="193" t="s">
        <v>15803</v>
      </c>
      <c r="G1082" s="194"/>
      <c r="H1082" s="220"/>
      <c r="I1082" s="169">
        <v>115397</v>
      </c>
      <c r="J1082" s="304" t="str">
        <f>CONCATENATE([2]Cover!$D$6,"fdd/view?i=",I1082)</f>
        <v>https://www.dgiwg.org/FAD/fdd/view?i=115397</v>
      </c>
      <c r="K1082" s="304" t="s">
        <v>35131</v>
      </c>
      <c r="L1082" s="181">
        <v>9</v>
      </c>
      <c r="M1082" s="179" t="s">
        <v>151</v>
      </c>
    </row>
    <row r="1083" spans="1:13" ht="25.5">
      <c r="A1083" s="313" t="str">
        <f t="shared" si="16"/>
        <v>AtsRouteSegmentPathBasisCode_arcByEdge</v>
      </c>
      <c r="B1083" s="332" t="str">
        <f>HYPERLINK("[#]Datatypes!A100:L100","AtsRouteSegmentPathBasisCode")</f>
        <v>AtsRouteSegmentPathBasisCode</v>
      </c>
      <c r="C1083" s="333" t="s">
        <v>11537</v>
      </c>
      <c r="D1083" s="202" t="s">
        <v>15804</v>
      </c>
      <c r="E1083" s="203" t="s">
        <v>15805</v>
      </c>
      <c r="F1083" s="204" t="s">
        <v>15806</v>
      </c>
      <c r="G1083" s="205"/>
      <c r="H1083" s="218"/>
      <c r="I1083" s="169">
        <v>115408</v>
      </c>
      <c r="J1083" s="304" t="str">
        <f>CONCATENATE([2]Cover!$D$6,"fdd/view?i=",I1083)</f>
        <v>https://www.dgiwg.org/FAD/fdd/view?i=115408</v>
      </c>
      <c r="K1083" s="304" t="s">
        <v>35132</v>
      </c>
      <c r="L1083" s="202">
        <v>4</v>
      </c>
      <c r="M1083" s="179" t="s">
        <v>151</v>
      </c>
    </row>
    <row r="1084" spans="1:13" ht="25.5">
      <c r="A1084" s="313" t="str">
        <f t="shared" si="16"/>
        <v>AtsRouteSegmentPathBasisCode_clockwiseArc</v>
      </c>
      <c r="B1084" s="330"/>
      <c r="C1084" s="334"/>
      <c r="D1084" s="188" t="s">
        <v>15807</v>
      </c>
      <c r="E1084" s="189" t="s">
        <v>15808</v>
      </c>
      <c r="F1084" s="162" t="s">
        <v>15809</v>
      </c>
      <c r="G1084" s="190"/>
      <c r="H1084" s="219"/>
      <c r="I1084" s="169">
        <v>115410</v>
      </c>
      <c r="J1084" s="304" t="str">
        <f>CONCATENATE([2]Cover!$D$6,"fdd/view?i=",I1084)</f>
        <v>https://www.dgiwg.org/FAD/fdd/view?i=115410</v>
      </c>
      <c r="K1084" s="304" t="s">
        <v>35133</v>
      </c>
      <c r="L1084" s="188">
        <v>6</v>
      </c>
      <c r="M1084" s="179" t="s">
        <v>151</v>
      </c>
    </row>
    <row r="1085" spans="1:13" ht="25.5">
      <c r="A1085" s="313" t="str">
        <f t="shared" si="16"/>
        <v>AtsRouteSegmentPathBasisCode_counterClockwiseArc</v>
      </c>
      <c r="B1085" s="330"/>
      <c r="C1085" s="334"/>
      <c r="D1085" s="188" t="s">
        <v>15810</v>
      </c>
      <c r="E1085" s="189" t="s">
        <v>15811</v>
      </c>
      <c r="F1085" s="162" t="s">
        <v>15812</v>
      </c>
      <c r="G1085" s="190"/>
      <c r="H1085" s="219"/>
      <c r="I1085" s="169">
        <v>115409</v>
      </c>
      <c r="J1085" s="304" t="str">
        <f>CONCATENATE([2]Cover!$D$6,"fdd/view?i=",I1085)</f>
        <v>https://www.dgiwg.org/FAD/fdd/view?i=115409</v>
      </c>
      <c r="K1085" s="304" t="s">
        <v>35134</v>
      </c>
      <c r="L1085" s="188">
        <v>5</v>
      </c>
      <c r="M1085" s="179" t="s">
        <v>151</v>
      </c>
    </row>
    <row r="1086" spans="1:13" ht="25.5">
      <c r="A1086" s="313" t="str">
        <f t="shared" si="16"/>
        <v>AtsRouteSegmentPathBasisCode_geoBorderVertices</v>
      </c>
      <c r="B1086" s="330"/>
      <c r="C1086" s="334"/>
      <c r="D1086" s="188" t="s">
        <v>15815</v>
      </c>
      <c r="E1086" s="189" t="s">
        <v>15816</v>
      </c>
      <c r="F1086" s="162" t="s">
        <v>15817</v>
      </c>
      <c r="G1086" s="190"/>
      <c r="H1086" s="219"/>
      <c r="I1086" s="169">
        <v>115411</v>
      </c>
      <c r="J1086" s="304" t="str">
        <f>CONCATENATE([2]Cover!$D$6,"fdd/view?i=",I1086)</f>
        <v>https://www.dgiwg.org/FAD/fdd/view?i=115411</v>
      </c>
      <c r="K1086" s="304" t="s">
        <v>35135</v>
      </c>
      <c r="L1086" s="188">
        <v>7</v>
      </c>
      <c r="M1086" s="179" t="s">
        <v>151</v>
      </c>
    </row>
    <row r="1087" spans="1:13" ht="25.5">
      <c r="A1087" s="313" t="str">
        <f t="shared" si="16"/>
        <v>AtsRouteSegmentPathBasisCode_geodesic</v>
      </c>
      <c r="B1087" s="330"/>
      <c r="C1087" s="334"/>
      <c r="D1087" s="188" t="s">
        <v>15813</v>
      </c>
      <c r="E1087" s="189" t="s">
        <v>12149</v>
      </c>
      <c r="F1087" s="162" t="s">
        <v>15814</v>
      </c>
      <c r="G1087" s="190"/>
      <c r="H1087" s="219"/>
      <c r="I1087" s="169">
        <v>115405</v>
      </c>
      <c r="J1087" s="304" t="str">
        <f>CONCATENATE([2]Cover!$D$6,"fdd/view?i=",I1087)</f>
        <v>https://www.dgiwg.org/FAD/fdd/view?i=115405</v>
      </c>
      <c r="K1087" s="304" t="s">
        <v>35136</v>
      </c>
      <c r="L1087" s="188">
        <v>1</v>
      </c>
      <c r="M1087" s="179" t="s">
        <v>151</v>
      </c>
    </row>
    <row r="1088" spans="1:13" ht="25.5">
      <c r="A1088" s="313" t="str">
        <f t="shared" si="16"/>
        <v>AtsRouteSegmentPathBasisCode_greatCircle</v>
      </c>
      <c r="B1088" s="330"/>
      <c r="C1088" s="334"/>
      <c r="D1088" s="188" t="s">
        <v>15818</v>
      </c>
      <c r="E1088" s="189" t="s">
        <v>15819</v>
      </c>
      <c r="F1088" s="162" t="s">
        <v>15820</v>
      </c>
      <c r="G1088" s="190"/>
      <c r="H1088" s="219"/>
      <c r="I1088" s="169">
        <v>115406</v>
      </c>
      <c r="J1088" s="304" t="str">
        <f>CONCATENATE([2]Cover!$D$6,"fdd/view?i=",I1088)</f>
        <v>https://www.dgiwg.org/FAD/fdd/view?i=115406</v>
      </c>
      <c r="K1088" s="304" t="s">
        <v>35137</v>
      </c>
      <c r="L1088" s="188">
        <v>2</v>
      </c>
      <c r="M1088" s="179" t="s">
        <v>151</v>
      </c>
    </row>
    <row r="1089" spans="1:13" ht="25.5">
      <c r="A1089" s="313" t="str">
        <f t="shared" si="16"/>
        <v>AtsRouteSegmentPathBasisCode_rhumbline</v>
      </c>
      <c r="B1089" s="331"/>
      <c r="C1089" s="335"/>
      <c r="D1089" s="181" t="s">
        <v>15821</v>
      </c>
      <c r="E1089" s="192" t="s">
        <v>15822</v>
      </c>
      <c r="F1089" s="193" t="s">
        <v>15823</v>
      </c>
      <c r="G1089" s="194"/>
      <c r="H1089" s="220"/>
      <c r="I1089" s="169">
        <v>115407</v>
      </c>
      <c r="J1089" s="304" t="str">
        <f>CONCATENATE([2]Cover!$D$6,"fdd/view?i=",I1089)</f>
        <v>https://www.dgiwg.org/FAD/fdd/view?i=115407</v>
      </c>
      <c r="K1089" s="304" t="s">
        <v>35138</v>
      </c>
      <c r="L1089" s="181">
        <v>3</v>
      </c>
      <c r="M1089" s="179" t="s">
        <v>151</v>
      </c>
    </row>
    <row r="1090" spans="1:13" ht="25.5">
      <c r="A1090" s="313" t="str">
        <f t="shared" si="16"/>
        <v>AtsRouteSegmentUsageDirCode_backward</v>
      </c>
      <c r="B1090" s="332" t="str">
        <f>HYPERLINK("[#]Datatypes!A102:L102","AtsRouteSegmentUsageDirCode")</f>
        <v>AtsRouteSegmentUsageDirCode</v>
      </c>
      <c r="C1090" s="333" t="s">
        <v>11539</v>
      </c>
      <c r="D1090" s="202" t="s">
        <v>15824</v>
      </c>
      <c r="E1090" s="203" t="s">
        <v>15825</v>
      </c>
      <c r="F1090" s="204" t="s">
        <v>15826</v>
      </c>
      <c r="G1090" s="205"/>
      <c r="H1090" s="218"/>
      <c r="I1090" s="169">
        <v>115387</v>
      </c>
      <c r="J1090" s="304" t="str">
        <f>CONCATENATE([2]Cover!$D$6,"fdd/view?i=",I1090)</f>
        <v>https://www.dgiwg.org/FAD/fdd/view?i=115387</v>
      </c>
      <c r="K1090" s="304" t="s">
        <v>35139</v>
      </c>
      <c r="L1090" s="202">
        <v>1</v>
      </c>
      <c r="M1090" s="179" t="s">
        <v>151</v>
      </c>
    </row>
    <row r="1091" spans="1:13" ht="25.5">
      <c r="A1091" s="313" t="str">
        <f t="shared" ref="A1091:A1154" si="17">HYPERLINK(J1091,K1091)</f>
        <v>AtsRouteSegmentUsageDirCode_both</v>
      </c>
      <c r="B1091" s="330"/>
      <c r="C1091" s="334"/>
      <c r="D1091" s="188" t="s">
        <v>15387</v>
      </c>
      <c r="E1091" s="189" t="s">
        <v>15388</v>
      </c>
      <c r="F1091" s="162" t="s">
        <v>15827</v>
      </c>
      <c r="G1091" s="190"/>
      <c r="H1091" s="219"/>
      <c r="I1091" s="169">
        <v>115389</v>
      </c>
      <c r="J1091" s="304" t="str">
        <f>CONCATENATE([2]Cover!$D$6,"fdd/view?i=",I1091)</f>
        <v>https://www.dgiwg.org/FAD/fdd/view?i=115389</v>
      </c>
      <c r="K1091" s="304" t="s">
        <v>35140</v>
      </c>
      <c r="L1091" s="188">
        <v>3</v>
      </c>
      <c r="M1091" s="179" t="s">
        <v>151</v>
      </c>
    </row>
    <row r="1092" spans="1:13" ht="25.5">
      <c r="A1092" s="313" t="str">
        <f t="shared" si="17"/>
        <v>AtsRouteSegmentUsageDirCode_forward</v>
      </c>
      <c r="B1092" s="331"/>
      <c r="C1092" s="335"/>
      <c r="D1092" s="181" t="s">
        <v>15828</v>
      </c>
      <c r="E1092" s="192" t="s">
        <v>15829</v>
      </c>
      <c r="F1092" s="193" t="s">
        <v>15830</v>
      </c>
      <c r="G1092" s="194"/>
      <c r="H1092" s="220"/>
      <c r="I1092" s="169">
        <v>115388</v>
      </c>
      <c r="J1092" s="304" t="str">
        <f>CONCATENATE([2]Cover!$D$6,"fdd/view?i=",I1092)</f>
        <v>https://www.dgiwg.org/FAD/fdd/view?i=115388</v>
      </c>
      <c r="K1092" s="304" t="s">
        <v>35141</v>
      </c>
      <c r="L1092" s="181">
        <v>2</v>
      </c>
      <c r="M1092" s="179" t="s">
        <v>151</v>
      </c>
    </row>
    <row r="1093" spans="1:13" ht="25.5">
      <c r="A1093" s="313" t="str">
        <f t="shared" si="17"/>
        <v>AtsRouteTypeCode_advisoryRoute</v>
      </c>
      <c r="B1093" s="332" t="str">
        <f>HYPERLINK("[#]Datatypes!A104:L104","AtsRouteTypeCode")</f>
        <v>AtsRouteTypeCode</v>
      </c>
      <c r="C1093" s="333" t="s">
        <v>11541</v>
      </c>
      <c r="D1093" s="202" t="s">
        <v>15831</v>
      </c>
      <c r="E1093" s="203" t="s">
        <v>15832</v>
      </c>
      <c r="F1093" s="204" t="s">
        <v>15833</v>
      </c>
      <c r="G1093" s="205"/>
      <c r="H1093" s="218"/>
      <c r="I1093" s="169">
        <v>115414</v>
      </c>
      <c r="J1093" s="304" t="str">
        <f>CONCATENATE([2]Cover!$D$6,"fdd/view?i=",I1093)</f>
        <v>https://www.dgiwg.org/FAD/fdd/view?i=115414</v>
      </c>
      <c r="K1093" s="304" t="s">
        <v>35142</v>
      </c>
      <c r="L1093" s="202">
        <v>3</v>
      </c>
      <c r="M1093" s="179" t="s">
        <v>151</v>
      </c>
    </row>
    <row r="1094" spans="1:13" ht="76.5">
      <c r="A1094" s="313" t="str">
        <f t="shared" si="17"/>
        <v>AtsRouteTypeCode_areaNavigationRoute</v>
      </c>
      <c r="B1094" s="330"/>
      <c r="C1094" s="334"/>
      <c r="D1094" s="188" t="s">
        <v>15834</v>
      </c>
      <c r="E1094" s="189" t="s">
        <v>15835</v>
      </c>
      <c r="F1094" s="162" t="s">
        <v>15836</v>
      </c>
      <c r="G1094" s="162" t="s">
        <v>15837</v>
      </c>
      <c r="H1094" s="219"/>
      <c r="I1094" s="169">
        <v>115415</v>
      </c>
      <c r="J1094" s="304" t="str">
        <f>CONCATENATE([2]Cover!$D$6,"fdd/view?i=",I1094)</f>
        <v>https://www.dgiwg.org/FAD/fdd/view?i=115415</v>
      </c>
      <c r="K1094" s="304" t="s">
        <v>35143</v>
      </c>
      <c r="L1094" s="188">
        <v>2</v>
      </c>
      <c r="M1094" s="179" t="s">
        <v>151</v>
      </c>
    </row>
    <row r="1095" spans="1:13" ht="25.5">
      <c r="A1095" s="313" t="str">
        <f t="shared" si="17"/>
        <v>AtsRouteTypeCode_conventionalRoute</v>
      </c>
      <c r="B1095" s="330"/>
      <c r="C1095" s="334"/>
      <c r="D1095" s="188" t="s">
        <v>15838</v>
      </c>
      <c r="E1095" s="189" t="s">
        <v>15839</v>
      </c>
      <c r="F1095" s="162" t="s">
        <v>15840</v>
      </c>
      <c r="G1095" s="162" t="s">
        <v>15841</v>
      </c>
      <c r="H1095" s="219"/>
      <c r="I1095" s="169">
        <v>115416</v>
      </c>
      <c r="J1095" s="304" t="str">
        <f>CONCATENATE([2]Cover!$D$6,"fdd/view?i=",I1095)</f>
        <v>https://www.dgiwg.org/FAD/fdd/view?i=115416</v>
      </c>
      <c r="K1095" s="304" t="s">
        <v>35144</v>
      </c>
      <c r="L1095" s="188">
        <v>1</v>
      </c>
      <c r="M1095" s="179" t="s">
        <v>151</v>
      </c>
    </row>
    <row r="1096" spans="1:13" ht="51">
      <c r="A1096" s="313" t="str">
        <f t="shared" si="17"/>
        <v>AtsRouteTypeCode_corridorRoute</v>
      </c>
      <c r="B1096" s="330"/>
      <c r="C1096" s="334"/>
      <c r="D1096" s="188" t="s">
        <v>15842</v>
      </c>
      <c r="E1096" s="189" t="s">
        <v>15843</v>
      </c>
      <c r="F1096" s="162" t="s">
        <v>15844</v>
      </c>
      <c r="G1096" s="190"/>
      <c r="H1096" s="219"/>
      <c r="I1096" s="169">
        <v>115418</v>
      </c>
      <c r="J1096" s="304" t="str">
        <f>CONCATENATE([2]Cover!$D$6,"fdd/view?i=",I1096)</f>
        <v>https://www.dgiwg.org/FAD/fdd/view?i=115418</v>
      </c>
      <c r="K1096" s="304" t="s">
        <v>35145</v>
      </c>
      <c r="L1096" s="188">
        <v>5</v>
      </c>
      <c r="M1096" s="179" t="s">
        <v>151</v>
      </c>
    </row>
    <row r="1097" spans="1:13" ht="25.5">
      <c r="A1097" s="313" t="str">
        <f t="shared" si="17"/>
        <v>AtsRouteTypeCode_direct</v>
      </c>
      <c r="B1097" s="330"/>
      <c r="C1097" s="334"/>
      <c r="D1097" s="188" t="s">
        <v>15845</v>
      </c>
      <c r="E1097" s="189" t="s">
        <v>15846</v>
      </c>
      <c r="F1097" s="162" t="s">
        <v>15847</v>
      </c>
      <c r="G1097" s="190"/>
      <c r="H1097" s="219"/>
      <c r="I1097" s="169">
        <v>115417</v>
      </c>
      <c r="J1097" s="304" t="str">
        <f>CONCATENATE([2]Cover!$D$6,"fdd/view?i=",I1097)</f>
        <v>https://www.dgiwg.org/FAD/fdd/view?i=115417</v>
      </c>
      <c r="K1097" s="304" t="s">
        <v>35146</v>
      </c>
      <c r="L1097" s="188">
        <v>4</v>
      </c>
      <c r="M1097" s="179" t="s">
        <v>151</v>
      </c>
    </row>
    <row r="1098" spans="1:13" ht="25.5">
      <c r="A1098" s="313" t="str">
        <f t="shared" si="17"/>
        <v>AtsRouteTypeCode_helicopterRoute</v>
      </c>
      <c r="B1098" s="330"/>
      <c r="C1098" s="334"/>
      <c r="D1098" s="188" t="s">
        <v>15848</v>
      </c>
      <c r="E1098" s="189" t="s">
        <v>15849</v>
      </c>
      <c r="F1098" s="162" t="s">
        <v>15850</v>
      </c>
      <c r="G1098" s="190"/>
      <c r="H1098" s="221" t="s">
        <v>15851</v>
      </c>
      <c r="I1098" s="169">
        <v>115420</v>
      </c>
      <c r="J1098" s="304" t="str">
        <f>CONCATENATE([2]Cover!$D$6,"fdd/view?i=",I1098)</f>
        <v>https://www.dgiwg.org/FAD/fdd/view?i=115420</v>
      </c>
      <c r="K1098" s="304" t="s">
        <v>35147</v>
      </c>
      <c r="L1098" s="188">
        <v>7</v>
      </c>
      <c r="M1098" s="179" t="s">
        <v>151</v>
      </c>
    </row>
    <row r="1099" spans="1:13">
      <c r="A1099" s="313" t="str">
        <f t="shared" si="17"/>
        <v>AtsRouteTypeCode_militaryRoute</v>
      </c>
      <c r="B1099" s="330"/>
      <c r="C1099" s="334"/>
      <c r="D1099" s="188" t="s">
        <v>15852</v>
      </c>
      <c r="E1099" s="189" t="s">
        <v>15853</v>
      </c>
      <c r="F1099" s="162" t="s">
        <v>15854</v>
      </c>
      <c r="G1099" s="190"/>
      <c r="H1099" s="219"/>
      <c r="I1099" s="169">
        <v>115419</v>
      </c>
      <c r="J1099" s="304" t="str">
        <f>CONCATENATE([2]Cover!$D$6,"fdd/view?i=",I1099)</f>
        <v>https://www.dgiwg.org/FAD/fdd/view?i=115419</v>
      </c>
      <c r="K1099" s="304" t="s">
        <v>35148</v>
      </c>
      <c r="L1099" s="188">
        <v>6</v>
      </c>
      <c r="M1099" s="179" t="s">
        <v>151</v>
      </c>
    </row>
    <row r="1100" spans="1:13" ht="25.5">
      <c r="A1100" s="313" t="str">
        <f t="shared" si="17"/>
        <v>AtsRouteTypeCode_visualRoute</v>
      </c>
      <c r="B1100" s="331"/>
      <c r="C1100" s="335"/>
      <c r="D1100" s="181" t="s">
        <v>15855</v>
      </c>
      <c r="E1100" s="192" t="s">
        <v>15856</v>
      </c>
      <c r="F1100" s="193" t="s">
        <v>15857</v>
      </c>
      <c r="G1100" s="194"/>
      <c r="H1100" s="220"/>
      <c r="I1100" s="169">
        <v>115421</v>
      </c>
      <c r="J1100" s="304" t="str">
        <f>CONCATENATE([2]Cover!$D$6,"fdd/view?i=",I1100)</f>
        <v>https://www.dgiwg.org/FAD/fdd/view?i=115421</v>
      </c>
      <c r="K1100" s="304" t="s">
        <v>35149</v>
      </c>
      <c r="L1100" s="181">
        <v>8</v>
      </c>
      <c r="M1100" s="179" t="s">
        <v>151</v>
      </c>
    </row>
    <row r="1101" spans="1:13" ht="25.5">
      <c r="A1101" s="313" t="str">
        <f t="shared" si="17"/>
        <v>AircraftApproachCatCode_categoryA</v>
      </c>
      <c r="B1101" s="332" t="str">
        <f>HYPERLINK("[#]Datatypes!A110:L110","AircraftApproachCatCode")</f>
        <v>AircraftApproachCatCode</v>
      </c>
      <c r="C1101" s="333" t="s">
        <v>11549</v>
      </c>
      <c r="D1101" s="202" t="s">
        <v>15858</v>
      </c>
      <c r="E1101" s="203" t="s">
        <v>15859</v>
      </c>
      <c r="F1101" s="204" t="s">
        <v>15860</v>
      </c>
      <c r="G1101" s="205"/>
      <c r="H1101" s="218"/>
      <c r="I1101" s="169">
        <v>115708</v>
      </c>
      <c r="J1101" s="304" t="str">
        <f>CONCATENATE([2]Cover!$D$6,"fdd/view?i=",I1101)</f>
        <v>https://www.dgiwg.org/FAD/fdd/view?i=115708</v>
      </c>
      <c r="K1101" s="304" t="s">
        <v>35150</v>
      </c>
      <c r="L1101" s="202">
        <v>1</v>
      </c>
      <c r="M1101" s="179" t="s">
        <v>151</v>
      </c>
    </row>
    <row r="1102" spans="1:13" ht="25.5">
      <c r="A1102" s="313" t="str">
        <f t="shared" si="17"/>
        <v>AircraftApproachCatCode_categoryB</v>
      </c>
      <c r="B1102" s="330"/>
      <c r="C1102" s="334"/>
      <c r="D1102" s="188" t="s">
        <v>15861</v>
      </c>
      <c r="E1102" s="189" t="s">
        <v>15862</v>
      </c>
      <c r="F1102" s="162" t="s">
        <v>15863</v>
      </c>
      <c r="G1102" s="190"/>
      <c r="H1102" s="219"/>
      <c r="I1102" s="169">
        <v>115709</v>
      </c>
      <c r="J1102" s="304" t="str">
        <f>CONCATENATE([2]Cover!$D$6,"fdd/view?i=",I1102)</f>
        <v>https://www.dgiwg.org/FAD/fdd/view?i=115709</v>
      </c>
      <c r="K1102" s="304" t="s">
        <v>35151</v>
      </c>
      <c r="L1102" s="188">
        <v>2</v>
      </c>
      <c r="M1102" s="179" t="s">
        <v>151</v>
      </c>
    </row>
    <row r="1103" spans="1:13" ht="25.5">
      <c r="A1103" s="313" t="str">
        <f t="shared" si="17"/>
        <v>AircraftApproachCatCode_categoryC</v>
      </c>
      <c r="B1103" s="330"/>
      <c r="C1103" s="334"/>
      <c r="D1103" s="188" t="s">
        <v>15864</v>
      </c>
      <c r="E1103" s="189" t="s">
        <v>15865</v>
      </c>
      <c r="F1103" s="162" t="s">
        <v>15866</v>
      </c>
      <c r="G1103" s="190"/>
      <c r="H1103" s="219"/>
      <c r="I1103" s="169">
        <v>115710</v>
      </c>
      <c r="J1103" s="304" t="str">
        <f>CONCATENATE([2]Cover!$D$6,"fdd/view?i=",I1103)</f>
        <v>https://www.dgiwg.org/FAD/fdd/view?i=115710</v>
      </c>
      <c r="K1103" s="304" t="s">
        <v>35152</v>
      </c>
      <c r="L1103" s="188">
        <v>3</v>
      </c>
      <c r="M1103" s="179" t="s">
        <v>151</v>
      </c>
    </row>
    <row r="1104" spans="1:13" ht="25.5">
      <c r="A1104" s="313" t="str">
        <f t="shared" si="17"/>
        <v>AircraftApproachCatCode_categoryD</v>
      </c>
      <c r="B1104" s="330"/>
      <c r="C1104" s="334"/>
      <c r="D1104" s="188" t="s">
        <v>15867</v>
      </c>
      <c r="E1104" s="189" t="s">
        <v>15868</v>
      </c>
      <c r="F1104" s="162" t="s">
        <v>15869</v>
      </c>
      <c r="G1104" s="190"/>
      <c r="H1104" s="219"/>
      <c r="I1104" s="169">
        <v>115711</v>
      </c>
      <c r="J1104" s="304" t="str">
        <f>CONCATENATE([2]Cover!$D$6,"fdd/view?i=",I1104)</f>
        <v>https://www.dgiwg.org/FAD/fdd/view?i=115711</v>
      </c>
      <c r="K1104" s="304" t="s">
        <v>35153</v>
      </c>
      <c r="L1104" s="188">
        <v>4</v>
      </c>
      <c r="M1104" s="179" t="s">
        <v>151</v>
      </c>
    </row>
    <row r="1105" spans="1:13" ht="38.25">
      <c r="A1105" s="313" t="str">
        <f t="shared" si="17"/>
        <v>AircraftApproachCatCode_categoryE</v>
      </c>
      <c r="B1105" s="330"/>
      <c r="C1105" s="334"/>
      <c r="D1105" s="188" t="s">
        <v>15870</v>
      </c>
      <c r="E1105" s="189" t="s">
        <v>15871</v>
      </c>
      <c r="F1105" s="162" t="s">
        <v>15872</v>
      </c>
      <c r="G1105" s="162" t="s">
        <v>15873</v>
      </c>
      <c r="H1105" s="219"/>
      <c r="I1105" s="169">
        <v>115712</v>
      </c>
      <c r="J1105" s="304" t="str">
        <f>CONCATENATE([2]Cover!$D$6,"fdd/view?i=",I1105)</f>
        <v>https://www.dgiwg.org/FAD/fdd/view?i=115712</v>
      </c>
      <c r="K1105" s="304" t="s">
        <v>35154</v>
      </c>
      <c r="L1105" s="188">
        <v>5</v>
      </c>
      <c r="M1105" s="179" t="s">
        <v>151</v>
      </c>
    </row>
    <row r="1106" spans="1:13" ht="25.5">
      <c r="A1106" s="313" t="str">
        <f t="shared" si="17"/>
        <v>AircraftApproachCatCode_categoryH</v>
      </c>
      <c r="B1106" s="331"/>
      <c r="C1106" s="335"/>
      <c r="D1106" s="181" t="s">
        <v>15874</v>
      </c>
      <c r="E1106" s="192" t="s">
        <v>15875</v>
      </c>
      <c r="F1106" s="193" t="s">
        <v>15876</v>
      </c>
      <c r="G1106" s="193" t="s">
        <v>15877</v>
      </c>
      <c r="H1106" s="220"/>
      <c r="I1106" s="169">
        <v>115713</v>
      </c>
      <c r="J1106" s="304" t="str">
        <f>CONCATENATE([2]Cover!$D$6,"fdd/view?i=",I1106)</f>
        <v>https://www.dgiwg.org/FAD/fdd/view?i=115713</v>
      </c>
      <c r="K1106" s="304" t="s">
        <v>35155</v>
      </c>
      <c r="L1106" s="181">
        <v>6</v>
      </c>
      <c r="M1106" s="179" t="s">
        <v>151</v>
      </c>
    </row>
    <row r="1107" spans="1:13" ht="25.5">
      <c r="A1107" s="313" t="str">
        <f t="shared" si="17"/>
        <v>AircraftDeIcingFluidTypeCode_milA_8243</v>
      </c>
      <c r="B1107" s="332" t="str">
        <f>HYPERLINK("[#]Datatypes!A112:L112","AircraftDeIcingFluidTypeCode")</f>
        <v>AircraftDeIcingFluidTypeCode</v>
      </c>
      <c r="C1107" s="333" t="s">
        <v>11551</v>
      </c>
      <c r="D1107" s="202" t="s">
        <v>15878</v>
      </c>
      <c r="E1107" s="203" t="s">
        <v>15879</v>
      </c>
      <c r="F1107" s="204" t="s">
        <v>15880</v>
      </c>
      <c r="G1107" s="205"/>
      <c r="H1107" s="218"/>
      <c r="I1107" s="169">
        <v>116454</v>
      </c>
      <c r="J1107" s="304" t="str">
        <f>CONCATENATE([2]Cover!$D$6,"fdd/view?i=",I1107)</f>
        <v>https://www.dgiwg.org/FAD/fdd/view?i=116454</v>
      </c>
      <c r="K1107" s="304" t="s">
        <v>35156</v>
      </c>
      <c r="L1107" s="202">
        <v>6</v>
      </c>
      <c r="M1107" s="179" t="s">
        <v>151</v>
      </c>
    </row>
    <row r="1108" spans="1:13" ht="25.5">
      <c r="A1108" s="313" t="str">
        <f t="shared" si="17"/>
        <v>AircraftDeIcingFluidTypeCode_pressurizedAir</v>
      </c>
      <c r="B1108" s="330"/>
      <c r="C1108" s="334"/>
      <c r="D1108" s="188" t="s">
        <v>15881</v>
      </c>
      <c r="E1108" s="189" t="s">
        <v>15882</v>
      </c>
      <c r="F1108" s="162" t="s">
        <v>15883</v>
      </c>
      <c r="G1108" s="190"/>
      <c r="H1108" s="219"/>
      <c r="I1108" s="169">
        <v>116455</v>
      </c>
      <c r="J1108" s="304" t="str">
        <f>CONCATENATE([2]Cover!$D$6,"fdd/view?i=",I1108)</f>
        <v>https://www.dgiwg.org/FAD/fdd/view?i=116455</v>
      </c>
      <c r="K1108" s="304" t="s">
        <v>35157</v>
      </c>
      <c r="L1108" s="188">
        <v>7</v>
      </c>
      <c r="M1108" s="179" t="s">
        <v>151</v>
      </c>
    </row>
    <row r="1109" spans="1:13" ht="25.5">
      <c r="A1109" s="313" t="str">
        <f t="shared" si="17"/>
        <v>AircraftDeIcingFluidTypeCode_s_1745</v>
      </c>
      <c r="B1109" s="330"/>
      <c r="C1109" s="334"/>
      <c r="D1109" s="188" t="s">
        <v>15884</v>
      </c>
      <c r="E1109" s="189" t="s">
        <v>15885</v>
      </c>
      <c r="F1109" s="162" t="s">
        <v>15886</v>
      </c>
      <c r="G1109" s="190"/>
      <c r="H1109" s="219"/>
      <c r="I1109" s="169">
        <v>116452</v>
      </c>
      <c r="J1109" s="304" t="str">
        <f>CONCATENATE([2]Cover!$D$6,"fdd/view?i=",I1109)</f>
        <v>https://www.dgiwg.org/FAD/fdd/view?i=116452</v>
      </c>
      <c r="K1109" s="304" t="s">
        <v>35158</v>
      </c>
      <c r="L1109" s="188">
        <v>4</v>
      </c>
      <c r="M1109" s="179" t="s">
        <v>151</v>
      </c>
    </row>
    <row r="1110" spans="1:13" ht="25.5">
      <c r="A1110" s="313" t="str">
        <f t="shared" si="17"/>
        <v>AircraftDeIcingFluidTypeCode_s_745</v>
      </c>
      <c r="B1110" s="330"/>
      <c r="C1110" s="334"/>
      <c r="D1110" s="188" t="s">
        <v>15887</v>
      </c>
      <c r="E1110" s="189" t="s">
        <v>15888</v>
      </c>
      <c r="F1110" s="162" t="s">
        <v>15889</v>
      </c>
      <c r="G1110" s="190"/>
      <c r="H1110" s="219"/>
      <c r="I1110" s="169">
        <v>116450</v>
      </c>
      <c r="J1110" s="304" t="str">
        <f>CONCATENATE([2]Cover!$D$6,"fdd/view?i=",I1110)</f>
        <v>https://www.dgiwg.org/FAD/fdd/view?i=116450</v>
      </c>
      <c r="K1110" s="304" t="s">
        <v>35159</v>
      </c>
      <c r="L1110" s="188">
        <v>2</v>
      </c>
      <c r="M1110" s="179" t="s">
        <v>151</v>
      </c>
    </row>
    <row r="1111" spans="1:13" ht="25.5">
      <c r="A1111" s="313" t="str">
        <f t="shared" si="17"/>
        <v>AircraftDeIcingFluidTypeCode_s_747</v>
      </c>
      <c r="B1111" s="330"/>
      <c r="C1111" s="334"/>
      <c r="D1111" s="188" t="s">
        <v>15890</v>
      </c>
      <c r="E1111" s="189" t="s">
        <v>15891</v>
      </c>
      <c r="F1111" s="162" t="s">
        <v>15892</v>
      </c>
      <c r="G1111" s="190"/>
      <c r="H1111" s="219"/>
      <c r="I1111" s="169">
        <v>116451</v>
      </c>
      <c r="J1111" s="304" t="str">
        <f>CONCATENATE([2]Cover!$D$6,"fdd/view?i=",I1111)</f>
        <v>https://www.dgiwg.org/FAD/fdd/view?i=116451</v>
      </c>
      <c r="K1111" s="304" t="s">
        <v>35160</v>
      </c>
      <c r="L1111" s="188">
        <v>3</v>
      </c>
      <c r="M1111" s="179" t="s">
        <v>151</v>
      </c>
    </row>
    <row r="1112" spans="1:13" ht="25.5">
      <c r="A1112" s="313" t="str">
        <f t="shared" si="17"/>
        <v>AircraftDeIcingFluidTypeCode_tl_6850_0010</v>
      </c>
      <c r="B1112" s="330"/>
      <c r="C1112" s="334"/>
      <c r="D1112" s="188" t="s">
        <v>15893</v>
      </c>
      <c r="E1112" s="189" t="s">
        <v>15894</v>
      </c>
      <c r="F1112" s="162" t="s">
        <v>15895</v>
      </c>
      <c r="G1112" s="190"/>
      <c r="H1112" s="219"/>
      <c r="I1112" s="169">
        <v>116449</v>
      </c>
      <c r="J1112" s="304" t="str">
        <f>CONCATENATE([2]Cover!$D$6,"fdd/view?i=",I1112)</f>
        <v>https://www.dgiwg.org/FAD/fdd/view?i=116449</v>
      </c>
      <c r="K1112" s="304" t="s">
        <v>35161</v>
      </c>
      <c r="L1112" s="188">
        <v>1</v>
      </c>
      <c r="M1112" s="179" t="s">
        <v>151</v>
      </c>
    </row>
    <row r="1113" spans="1:13" ht="25.5">
      <c r="A1113" s="313" t="str">
        <f t="shared" si="17"/>
        <v>AircraftDeIcingFluidTypeCode_tl_6850_0043</v>
      </c>
      <c r="B1113" s="331"/>
      <c r="C1113" s="335"/>
      <c r="D1113" s="181" t="s">
        <v>15896</v>
      </c>
      <c r="E1113" s="192" t="s">
        <v>15897</v>
      </c>
      <c r="F1113" s="193" t="s">
        <v>15898</v>
      </c>
      <c r="G1113" s="194"/>
      <c r="H1113" s="220"/>
      <c r="I1113" s="169">
        <v>116453</v>
      </c>
      <c r="J1113" s="304" t="str">
        <f>CONCATENATE([2]Cover!$D$6,"fdd/view?i=",I1113)</f>
        <v>https://www.dgiwg.org/FAD/fdd/view?i=116453</v>
      </c>
      <c r="K1113" s="304" t="s">
        <v>35162</v>
      </c>
      <c r="L1113" s="181">
        <v>5</v>
      </c>
      <c r="M1113" s="179" t="s">
        <v>151</v>
      </c>
    </row>
    <row r="1114" spans="1:13" ht="38.25">
      <c r="A1114" s="313" t="str">
        <f t="shared" si="17"/>
        <v>AircraftFuelServiceUnitTypeCode_ma1</v>
      </c>
      <c r="B1114" s="332" t="str">
        <f>HYPERLINK("[#]Datatypes!A114:L114","AircraftFuelServiceUnitTypeCode")</f>
        <v>AircraftFuelServiceUnitTypeCode</v>
      </c>
      <c r="C1114" s="333" t="s">
        <v>11553</v>
      </c>
      <c r="D1114" s="202" t="s">
        <v>15899</v>
      </c>
      <c r="E1114" s="203" t="s">
        <v>8381</v>
      </c>
      <c r="F1114" s="204" t="s">
        <v>15900</v>
      </c>
      <c r="G1114" s="204" t="s">
        <v>15901</v>
      </c>
      <c r="H1114" s="218"/>
      <c r="I1114" s="169">
        <v>119694</v>
      </c>
      <c r="J1114" s="304" t="str">
        <f>CONCATENATE([2]Cover!$D$6,"fdd/view?i=",I1114)</f>
        <v>https://www.dgiwg.org/FAD/fdd/view?i=119694</v>
      </c>
      <c r="K1114" s="304" t="s">
        <v>35163</v>
      </c>
      <c r="L1114" s="202">
        <v>1</v>
      </c>
      <c r="M1114" s="179" t="s">
        <v>151</v>
      </c>
    </row>
    <row r="1115" spans="1:13" ht="25.5">
      <c r="A1115" s="313" t="str">
        <f t="shared" si="17"/>
        <v>AircraftFuelServiceUnitTypeCode_mh</v>
      </c>
      <c r="B1115" s="330"/>
      <c r="C1115" s="334"/>
      <c r="D1115" s="188" t="s">
        <v>15902</v>
      </c>
      <c r="E1115" s="189" t="s">
        <v>15903</v>
      </c>
      <c r="F1115" s="162" t="s">
        <v>15904</v>
      </c>
      <c r="G1115" s="190"/>
      <c r="H1115" s="219"/>
      <c r="I1115" s="169">
        <v>119696</v>
      </c>
      <c r="J1115" s="304" t="str">
        <f>CONCATENATE([2]Cover!$D$6,"fdd/view?i=",I1115)</f>
        <v>https://www.dgiwg.org/FAD/fdd/view?i=119696</v>
      </c>
      <c r="K1115" s="304" t="s">
        <v>35164</v>
      </c>
      <c r="L1115" s="188">
        <v>3</v>
      </c>
      <c r="M1115" s="179" t="s">
        <v>151</v>
      </c>
    </row>
    <row r="1116" spans="1:13" ht="25.5">
      <c r="A1116" s="313" t="str">
        <f t="shared" si="17"/>
        <v>AircraftFuelServiceUnitTypeCode_t4</v>
      </c>
      <c r="B1116" s="331"/>
      <c r="C1116" s="335"/>
      <c r="D1116" s="181" t="s">
        <v>15905</v>
      </c>
      <c r="E1116" s="192" t="s">
        <v>15906</v>
      </c>
      <c r="F1116" s="193" t="s">
        <v>15907</v>
      </c>
      <c r="G1116" s="194"/>
      <c r="H1116" s="220"/>
      <c r="I1116" s="169">
        <v>119695</v>
      </c>
      <c r="J1116" s="304" t="str">
        <f>CONCATENATE([2]Cover!$D$6,"fdd/view?i=",I1116)</f>
        <v>https://www.dgiwg.org/FAD/fdd/view?i=119695</v>
      </c>
      <c r="K1116" s="304" t="s">
        <v>35165</v>
      </c>
      <c r="L1116" s="181">
        <v>2</v>
      </c>
      <c r="M1116" s="179" t="s">
        <v>151</v>
      </c>
    </row>
    <row r="1117" spans="1:13" ht="25.5">
      <c r="A1117" s="313" t="str">
        <f t="shared" si="17"/>
        <v>AircraftFuelTransferInfCode_overWing</v>
      </c>
      <c r="B1117" s="332" t="str">
        <f>HYPERLINK("[#]Datatypes!A116:L116","AircraftFuelTransferInfCode")</f>
        <v>AircraftFuelTransferInfCode</v>
      </c>
      <c r="C1117" s="333" t="s">
        <v>11555</v>
      </c>
      <c r="D1117" s="202" t="s">
        <v>15908</v>
      </c>
      <c r="E1117" s="203" t="s">
        <v>15909</v>
      </c>
      <c r="F1117" s="204" t="s">
        <v>15910</v>
      </c>
      <c r="G1117" s="205"/>
      <c r="H1117" s="218"/>
      <c r="I1117" s="169">
        <v>119697</v>
      </c>
      <c r="J1117" s="304" t="str">
        <f>CONCATENATE([2]Cover!$D$6,"fdd/view?i=",I1117)</f>
        <v>https://www.dgiwg.org/FAD/fdd/view?i=119697</v>
      </c>
      <c r="K1117" s="304" t="s">
        <v>35166</v>
      </c>
      <c r="L1117" s="202">
        <v>1</v>
      </c>
      <c r="M1117" s="179" t="s">
        <v>151</v>
      </c>
    </row>
    <row r="1118" spans="1:13" ht="38.25">
      <c r="A1118" s="313" t="str">
        <f t="shared" si="17"/>
        <v>AircraftFuelTransferInfCode_overWingDrums</v>
      </c>
      <c r="B1118" s="330"/>
      <c r="C1118" s="334"/>
      <c r="D1118" s="188" t="s">
        <v>15911</v>
      </c>
      <c r="E1118" s="189" t="s">
        <v>15912</v>
      </c>
      <c r="F1118" s="162" t="s">
        <v>15913</v>
      </c>
      <c r="G1118" s="190"/>
      <c r="H1118" s="219"/>
      <c r="I1118" s="169">
        <v>119699</v>
      </c>
      <c r="J1118" s="304" t="str">
        <f>CONCATENATE([2]Cover!$D$6,"fdd/view?i=",I1118)</f>
        <v>https://www.dgiwg.org/FAD/fdd/view?i=119699</v>
      </c>
      <c r="K1118" s="304" t="s">
        <v>35167</v>
      </c>
      <c r="L1118" s="188">
        <v>3</v>
      </c>
      <c r="M1118" s="179" t="s">
        <v>151</v>
      </c>
    </row>
    <row r="1119" spans="1:13" ht="25.5">
      <c r="A1119" s="313" t="str">
        <f t="shared" si="17"/>
        <v>AircraftFuelTransferInfCode_underWing</v>
      </c>
      <c r="B1119" s="331"/>
      <c r="C1119" s="335"/>
      <c r="D1119" s="181" t="s">
        <v>15914</v>
      </c>
      <c r="E1119" s="192" t="s">
        <v>15915</v>
      </c>
      <c r="F1119" s="193" t="s">
        <v>15916</v>
      </c>
      <c r="G1119" s="194"/>
      <c r="H1119" s="220"/>
      <c r="I1119" s="169">
        <v>119698</v>
      </c>
      <c r="J1119" s="304" t="str">
        <f>CONCATENATE([2]Cover!$D$6,"fdd/view?i=",I1119)</f>
        <v>https://www.dgiwg.org/FAD/fdd/view?i=119698</v>
      </c>
      <c r="K1119" s="304" t="s">
        <v>35168</v>
      </c>
      <c r="L1119" s="181">
        <v>2</v>
      </c>
      <c r="M1119" s="179" t="s">
        <v>151</v>
      </c>
    </row>
    <row r="1120" spans="1:13" ht="25.5">
      <c r="A1120" s="313" t="str">
        <f t="shared" si="17"/>
        <v>AircraftGroundServiceTypeCode_aircraftDeIcing</v>
      </c>
      <c r="B1120" s="332" t="str">
        <f>HYPERLINK("[#]Datatypes!A118:L118","AircraftGroundServiceTypeCode")</f>
        <v>AircraftGroundServiceTypeCode</v>
      </c>
      <c r="C1120" s="333" t="s">
        <v>11557</v>
      </c>
      <c r="D1120" s="202" t="s">
        <v>15917</v>
      </c>
      <c r="E1120" s="203" t="s">
        <v>15918</v>
      </c>
      <c r="F1120" s="204" t="s">
        <v>15919</v>
      </c>
      <c r="G1120" s="205"/>
      <c r="H1120" s="218"/>
      <c r="I1120" s="169">
        <v>116170</v>
      </c>
      <c r="J1120" s="304" t="str">
        <f>CONCATENATE([2]Cover!$D$6,"fdd/view?i=",I1120)</f>
        <v>https://www.dgiwg.org/FAD/fdd/view?i=116170</v>
      </c>
      <c r="K1120" s="304" t="s">
        <v>35169</v>
      </c>
      <c r="L1120" s="202">
        <v>1</v>
      </c>
      <c r="M1120" s="179" t="s">
        <v>151</v>
      </c>
    </row>
    <row r="1121" spans="1:13" ht="25.5">
      <c r="A1121" s="313" t="str">
        <f t="shared" si="17"/>
        <v>AircraftGroundServiceTypeCode_aircraftHandling</v>
      </c>
      <c r="B1121" s="330"/>
      <c r="C1121" s="334"/>
      <c r="D1121" s="188" t="s">
        <v>15920</v>
      </c>
      <c r="E1121" s="189" t="s">
        <v>15921</v>
      </c>
      <c r="F1121" s="162" t="s">
        <v>15922</v>
      </c>
      <c r="G1121" s="162" t="s">
        <v>15923</v>
      </c>
      <c r="H1121" s="219"/>
      <c r="I1121" s="169">
        <v>116171</v>
      </c>
      <c r="J1121" s="304" t="str">
        <f>CONCATENATE([2]Cover!$D$6,"fdd/view?i=",I1121)</f>
        <v>https://www.dgiwg.org/FAD/fdd/view?i=116171</v>
      </c>
      <c r="K1121" s="304" t="s">
        <v>35170</v>
      </c>
      <c r="L1121" s="188">
        <v>2</v>
      </c>
      <c r="M1121" s="179" t="s">
        <v>151</v>
      </c>
    </row>
    <row r="1122" spans="1:13" ht="25.5">
      <c r="A1122" s="313" t="str">
        <f t="shared" si="17"/>
        <v>AircraftGroundServiceTypeCode_aircraftHangaring</v>
      </c>
      <c r="B1122" s="330"/>
      <c r="C1122" s="334"/>
      <c r="D1122" s="188" t="s">
        <v>15924</v>
      </c>
      <c r="E1122" s="189" t="s">
        <v>15925</v>
      </c>
      <c r="F1122" s="162" t="s">
        <v>15926</v>
      </c>
      <c r="G1122" s="190"/>
      <c r="H1122" s="219"/>
      <c r="I1122" s="169">
        <v>116173</v>
      </c>
      <c r="J1122" s="304" t="str">
        <f>CONCATENATE([2]Cover!$D$6,"fdd/view?i=",I1122)</f>
        <v>https://www.dgiwg.org/FAD/fdd/view?i=116173</v>
      </c>
      <c r="K1122" s="304" t="s">
        <v>35171</v>
      </c>
      <c r="L1122" s="188">
        <v>4</v>
      </c>
      <c r="M1122" s="179" t="s">
        <v>151</v>
      </c>
    </row>
    <row r="1123" spans="1:13" ht="25.5">
      <c r="A1123" s="313" t="str">
        <f t="shared" si="17"/>
        <v>AircraftGroundServiceTypeCode_aircraftMaintenance</v>
      </c>
      <c r="B1123" s="330"/>
      <c r="C1123" s="334"/>
      <c r="D1123" s="188" t="s">
        <v>15927</v>
      </c>
      <c r="E1123" s="189" t="s">
        <v>15928</v>
      </c>
      <c r="F1123" s="162" t="s">
        <v>15929</v>
      </c>
      <c r="G1123" s="190"/>
      <c r="H1123" s="219"/>
      <c r="I1123" s="169">
        <v>116176</v>
      </c>
      <c r="J1123" s="304" t="str">
        <f>CONCATENATE([2]Cover!$D$6,"fdd/view?i=",I1123)</f>
        <v>https://www.dgiwg.org/FAD/fdd/view?i=116176</v>
      </c>
      <c r="K1123" s="304" t="s">
        <v>35172</v>
      </c>
      <c r="L1123" s="188">
        <v>7</v>
      </c>
      <c r="M1123" s="179" t="s">
        <v>151</v>
      </c>
    </row>
    <row r="1124" spans="1:13" ht="25.5">
      <c r="A1124" s="313" t="str">
        <f t="shared" si="17"/>
        <v>AircraftGroundServiceTypeCode_aircraftRemoval</v>
      </c>
      <c r="B1124" s="330"/>
      <c r="C1124" s="334"/>
      <c r="D1124" s="188" t="s">
        <v>15930</v>
      </c>
      <c r="E1124" s="189" t="s">
        <v>15931</v>
      </c>
      <c r="F1124" s="162" t="s">
        <v>15932</v>
      </c>
      <c r="G1124" s="190"/>
      <c r="H1124" s="219"/>
      <c r="I1124" s="169">
        <v>116174</v>
      </c>
      <c r="J1124" s="304" t="str">
        <f>CONCATENATE([2]Cover!$D$6,"fdd/view?i=",I1124)</f>
        <v>https://www.dgiwg.org/FAD/fdd/view?i=116174</v>
      </c>
      <c r="K1124" s="304" t="s">
        <v>35173</v>
      </c>
      <c r="L1124" s="188">
        <v>5</v>
      </c>
      <c r="M1124" s="179" t="s">
        <v>151</v>
      </c>
    </row>
    <row r="1125" spans="1:13" ht="25.5">
      <c r="A1125" s="313" t="str">
        <f t="shared" si="17"/>
        <v>AircraftGroundServiceTypeCode_aircraftRepair</v>
      </c>
      <c r="B1125" s="330"/>
      <c r="C1125" s="334"/>
      <c r="D1125" s="188" t="s">
        <v>15933</v>
      </c>
      <c r="E1125" s="189" t="s">
        <v>15934</v>
      </c>
      <c r="F1125" s="162" t="s">
        <v>15935</v>
      </c>
      <c r="G1125" s="190"/>
      <c r="H1125" s="219"/>
      <c r="I1125" s="169">
        <v>116175</v>
      </c>
      <c r="J1125" s="304" t="str">
        <f>CONCATENATE([2]Cover!$D$6,"fdd/view?i=",I1125)</f>
        <v>https://www.dgiwg.org/FAD/fdd/view?i=116175</v>
      </c>
      <c r="K1125" s="304" t="s">
        <v>35174</v>
      </c>
      <c r="L1125" s="188">
        <v>6</v>
      </c>
      <c r="M1125" s="179" t="s">
        <v>151</v>
      </c>
    </row>
    <row r="1126" spans="1:13" ht="25.5">
      <c r="A1126" s="313" t="str">
        <f t="shared" si="17"/>
        <v>AircraftGroundServiceTypeCode_cargoHandling</v>
      </c>
      <c r="B1126" s="330"/>
      <c r="C1126" s="334"/>
      <c r="D1126" s="188" t="s">
        <v>15936</v>
      </c>
      <c r="E1126" s="189" t="s">
        <v>15937</v>
      </c>
      <c r="F1126" s="162" t="s">
        <v>15938</v>
      </c>
      <c r="G1126" s="190"/>
      <c r="H1126" s="219"/>
      <c r="I1126" s="169">
        <v>116172</v>
      </c>
      <c r="J1126" s="304" t="str">
        <f>CONCATENATE([2]Cover!$D$6,"fdd/view?i=",I1126)</f>
        <v>https://www.dgiwg.org/FAD/fdd/view?i=116172</v>
      </c>
      <c r="K1126" s="304" t="s">
        <v>35175</v>
      </c>
      <c r="L1126" s="188">
        <v>3</v>
      </c>
      <c r="M1126" s="179" t="s">
        <v>151</v>
      </c>
    </row>
    <row r="1127" spans="1:13" ht="25.5">
      <c r="A1127" s="313" t="str">
        <f t="shared" si="17"/>
        <v>AircraftGroundServiceTypeCode_security</v>
      </c>
      <c r="B1127" s="331"/>
      <c r="C1127" s="335"/>
      <c r="D1127" s="181" t="s">
        <v>15939</v>
      </c>
      <c r="E1127" s="192" t="s">
        <v>15940</v>
      </c>
      <c r="F1127" s="193" t="s">
        <v>15941</v>
      </c>
      <c r="G1127" s="194"/>
      <c r="H1127" s="220"/>
      <c r="I1127" s="169">
        <v>116177</v>
      </c>
      <c r="J1127" s="304" t="str">
        <f>CONCATENATE([2]Cover!$D$6,"fdd/view?i=",I1127)</f>
        <v>https://www.dgiwg.org/FAD/fdd/view?i=116177</v>
      </c>
      <c r="K1127" s="304" t="s">
        <v>35176</v>
      </c>
      <c r="L1127" s="181">
        <v>8</v>
      </c>
      <c r="M1127" s="179" t="s">
        <v>151</v>
      </c>
    </row>
    <row r="1128" spans="1:13" ht="25.5">
      <c r="A1128" s="313" t="str">
        <f t="shared" si="17"/>
        <v>AircraftSpeedReferenceCode_calibratedAirspeed</v>
      </c>
      <c r="B1128" s="332" t="str">
        <f>HYPERLINK("[#]Datatypes!A120:L120","AircraftSpeedReferenceCode")</f>
        <v>AircraftSpeedReferenceCode</v>
      </c>
      <c r="C1128" s="333" t="s">
        <v>11559</v>
      </c>
      <c r="D1128" s="202" t="s">
        <v>15942</v>
      </c>
      <c r="E1128" s="203" t="s">
        <v>15943</v>
      </c>
      <c r="F1128" s="204" t="s">
        <v>15944</v>
      </c>
      <c r="G1128" s="205"/>
      <c r="H1128" s="218"/>
      <c r="I1128" s="169">
        <v>115638</v>
      </c>
      <c r="J1128" s="304" t="str">
        <f>CONCATENATE([2]Cover!$D$6,"fdd/view?i=",I1128)</f>
        <v>https://www.dgiwg.org/FAD/fdd/view?i=115638</v>
      </c>
      <c r="K1128" s="304" t="s">
        <v>35177</v>
      </c>
      <c r="L1128" s="202">
        <v>3</v>
      </c>
      <c r="M1128" s="179" t="s">
        <v>151</v>
      </c>
    </row>
    <row r="1129" spans="1:13" ht="38.25">
      <c r="A1129" s="313" t="str">
        <f t="shared" si="17"/>
        <v>AircraftSpeedReferenceCode_equivalentAirspeed</v>
      </c>
      <c r="B1129" s="330"/>
      <c r="C1129" s="334"/>
      <c r="D1129" s="188" t="s">
        <v>15945</v>
      </c>
      <c r="E1129" s="189" t="s">
        <v>15946</v>
      </c>
      <c r="F1129" s="162" t="s">
        <v>15947</v>
      </c>
      <c r="G1129" s="190"/>
      <c r="H1129" s="219"/>
      <c r="I1129" s="169">
        <v>115639</v>
      </c>
      <c r="J1129" s="304" t="str">
        <f>CONCATENATE([2]Cover!$D$6,"fdd/view?i=",I1129)</f>
        <v>https://www.dgiwg.org/FAD/fdd/view?i=115639</v>
      </c>
      <c r="K1129" s="304" t="s">
        <v>35178</v>
      </c>
      <c r="L1129" s="188">
        <v>4</v>
      </c>
      <c r="M1129" s="179" t="s">
        <v>151</v>
      </c>
    </row>
    <row r="1130" spans="1:13" ht="25.5">
      <c r="A1130" s="313" t="str">
        <f t="shared" si="17"/>
        <v>AircraftSpeedReferenceCode_groundSpeed</v>
      </c>
      <c r="B1130" s="330"/>
      <c r="C1130" s="334"/>
      <c r="D1130" s="188" t="s">
        <v>15948</v>
      </c>
      <c r="E1130" s="189" t="s">
        <v>15949</v>
      </c>
      <c r="F1130" s="162" t="s">
        <v>15950</v>
      </c>
      <c r="G1130" s="190"/>
      <c r="H1130" s="219"/>
      <c r="I1130" s="169">
        <v>115640</v>
      </c>
      <c r="J1130" s="304" t="str">
        <f>CONCATENATE([2]Cover!$D$6,"fdd/view?i=",I1130)</f>
        <v>https://www.dgiwg.org/FAD/fdd/view?i=115640</v>
      </c>
      <c r="K1130" s="304" t="s">
        <v>35179</v>
      </c>
      <c r="L1130" s="188">
        <v>5</v>
      </c>
      <c r="M1130" s="179" t="s">
        <v>151</v>
      </c>
    </row>
    <row r="1131" spans="1:13" ht="38.25">
      <c r="A1131" s="313" t="str">
        <f t="shared" si="17"/>
        <v>AircraftSpeedReferenceCode_indicatedAirspeed</v>
      </c>
      <c r="B1131" s="330"/>
      <c r="C1131" s="334"/>
      <c r="D1131" s="188" t="s">
        <v>15951</v>
      </c>
      <c r="E1131" s="189" t="s">
        <v>15952</v>
      </c>
      <c r="F1131" s="162" t="s">
        <v>15953</v>
      </c>
      <c r="G1131" s="190"/>
      <c r="H1131" s="219"/>
      <c r="I1131" s="169">
        <v>115636</v>
      </c>
      <c r="J1131" s="304" t="str">
        <f>CONCATENATE([2]Cover!$D$6,"fdd/view?i=",I1131)</f>
        <v>https://www.dgiwg.org/FAD/fdd/view?i=115636</v>
      </c>
      <c r="K1131" s="304" t="s">
        <v>35180</v>
      </c>
      <c r="L1131" s="188">
        <v>1</v>
      </c>
      <c r="M1131" s="179" t="s">
        <v>151</v>
      </c>
    </row>
    <row r="1132" spans="1:13" ht="25.5">
      <c r="A1132" s="313" t="str">
        <f t="shared" si="17"/>
        <v>AircraftSpeedReferenceCode_trueAirspeed</v>
      </c>
      <c r="B1132" s="331"/>
      <c r="C1132" s="335"/>
      <c r="D1132" s="181" t="s">
        <v>15954</v>
      </c>
      <c r="E1132" s="192" t="s">
        <v>15955</v>
      </c>
      <c r="F1132" s="193" t="s">
        <v>15956</v>
      </c>
      <c r="G1132" s="194"/>
      <c r="H1132" s="220"/>
      <c r="I1132" s="169">
        <v>115637</v>
      </c>
      <c r="J1132" s="304" t="str">
        <f>CONCATENATE([2]Cover!$D$6,"fdd/view?i=",I1132)</f>
        <v>https://www.dgiwg.org/FAD/fdd/view?i=115637</v>
      </c>
      <c r="K1132" s="304" t="s">
        <v>35181</v>
      </c>
      <c r="L1132" s="181">
        <v>2</v>
      </c>
      <c r="M1132" s="179" t="s">
        <v>151</v>
      </c>
    </row>
    <row r="1133" spans="1:13" ht="25.5">
      <c r="A1133" s="313" t="str">
        <f t="shared" si="17"/>
        <v>AircraftStandTypeCode_angledNoseIn</v>
      </c>
      <c r="B1133" s="332" t="str">
        <f>HYPERLINK("[#]Datatypes!A122:L122","AircraftStandTypeCode")</f>
        <v>AircraftStandTypeCode</v>
      </c>
      <c r="C1133" s="333" t="s">
        <v>11561</v>
      </c>
      <c r="D1133" s="202" t="s">
        <v>15957</v>
      </c>
      <c r="E1133" s="203" t="s">
        <v>15958</v>
      </c>
      <c r="F1133" s="204" t="s">
        <v>15959</v>
      </c>
      <c r="G1133" s="205"/>
      <c r="H1133" s="218"/>
      <c r="I1133" s="169">
        <v>115714</v>
      </c>
      <c r="J1133" s="304" t="str">
        <f>CONCATENATE([2]Cover!$D$6,"fdd/view?i=",I1133)</f>
        <v>https://www.dgiwg.org/FAD/fdd/view?i=115714</v>
      </c>
      <c r="K1133" s="304" t="s">
        <v>35182</v>
      </c>
      <c r="L1133" s="202">
        <v>1</v>
      </c>
      <c r="M1133" s="179" t="s">
        <v>151</v>
      </c>
    </row>
    <row r="1134" spans="1:13" ht="25.5">
      <c r="A1134" s="313" t="str">
        <f t="shared" si="17"/>
        <v>AircraftStandTypeCode_angledNoseOut</v>
      </c>
      <c r="B1134" s="330"/>
      <c r="C1134" s="334"/>
      <c r="D1134" s="188" t="s">
        <v>15960</v>
      </c>
      <c r="E1134" s="189" t="s">
        <v>15961</v>
      </c>
      <c r="F1134" s="162" t="s">
        <v>15962</v>
      </c>
      <c r="G1134" s="190"/>
      <c r="H1134" s="219"/>
      <c r="I1134" s="169">
        <v>115715</v>
      </c>
      <c r="J1134" s="304" t="str">
        <f>CONCATENATE([2]Cover!$D$6,"fdd/view?i=",I1134)</f>
        <v>https://www.dgiwg.org/FAD/fdd/view?i=115715</v>
      </c>
      <c r="K1134" s="304" t="s">
        <v>35183</v>
      </c>
      <c r="L1134" s="188">
        <v>2</v>
      </c>
      <c r="M1134" s="179" t="s">
        <v>151</v>
      </c>
    </row>
    <row r="1135" spans="1:13">
      <c r="A1135" s="313" t="str">
        <f t="shared" si="17"/>
        <v>AircraftStandTypeCode_isolated</v>
      </c>
      <c r="B1135" s="330"/>
      <c r="C1135" s="334"/>
      <c r="D1135" s="188" t="s">
        <v>7778</v>
      </c>
      <c r="E1135" s="189" t="s">
        <v>7779</v>
      </c>
      <c r="F1135" s="162" t="s">
        <v>15963</v>
      </c>
      <c r="G1135" s="190"/>
      <c r="H1135" s="219"/>
      <c r="I1135" s="169">
        <v>115716</v>
      </c>
      <c r="J1135" s="304" t="str">
        <f>CONCATENATE([2]Cover!$D$6,"fdd/view?i=",I1135)</f>
        <v>https://www.dgiwg.org/FAD/fdd/view?i=115716</v>
      </c>
      <c r="K1135" s="304" t="s">
        <v>35184</v>
      </c>
      <c r="L1135" s="188">
        <v>3</v>
      </c>
      <c r="M1135" s="179" t="s">
        <v>151</v>
      </c>
    </row>
    <row r="1136" spans="1:13">
      <c r="A1136" s="313" t="str">
        <f t="shared" si="17"/>
        <v>AircraftStandTypeCode_noseIn</v>
      </c>
      <c r="B1136" s="330"/>
      <c r="C1136" s="334"/>
      <c r="D1136" s="188" t="s">
        <v>15964</v>
      </c>
      <c r="E1136" s="189" t="s">
        <v>15965</v>
      </c>
      <c r="F1136" s="162" t="s">
        <v>15966</v>
      </c>
      <c r="G1136" s="190"/>
      <c r="H1136" s="219"/>
      <c r="I1136" s="169">
        <v>115717</v>
      </c>
      <c r="J1136" s="304" t="str">
        <f>CONCATENATE([2]Cover!$D$6,"fdd/view?i=",I1136)</f>
        <v>https://www.dgiwg.org/FAD/fdd/view?i=115717</v>
      </c>
      <c r="K1136" s="304" t="s">
        <v>35185</v>
      </c>
      <c r="L1136" s="188">
        <v>4</v>
      </c>
      <c r="M1136" s="179" t="s">
        <v>151</v>
      </c>
    </row>
    <row r="1137" spans="1:13">
      <c r="A1137" s="313" t="str">
        <f t="shared" si="17"/>
        <v>AircraftStandTypeCode_parallel</v>
      </c>
      <c r="B1137" s="330"/>
      <c r="C1137" s="334"/>
      <c r="D1137" s="188" t="s">
        <v>15967</v>
      </c>
      <c r="E1137" s="189" t="s">
        <v>15968</v>
      </c>
      <c r="F1137" s="162" t="s">
        <v>15969</v>
      </c>
      <c r="G1137" s="190"/>
      <c r="H1137" s="219"/>
      <c r="I1137" s="169">
        <v>115718</v>
      </c>
      <c r="J1137" s="304" t="str">
        <f>CONCATENATE([2]Cover!$D$6,"fdd/view?i=",I1137)</f>
        <v>https://www.dgiwg.org/FAD/fdd/view?i=115718</v>
      </c>
      <c r="K1137" s="304" t="s">
        <v>35186</v>
      </c>
      <c r="L1137" s="188">
        <v>5</v>
      </c>
      <c r="M1137" s="179" t="s">
        <v>151</v>
      </c>
    </row>
    <row r="1138" spans="1:13">
      <c r="A1138" s="313" t="str">
        <f t="shared" si="17"/>
        <v>AircraftStandTypeCode_remote</v>
      </c>
      <c r="B1138" s="331"/>
      <c r="C1138" s="335"/>
      <c r="D1138" s="181" t="s">
        <v>15970</v>
      </c>
      <c r="E1138" s="192" t="s">
        <v>15971</v>
      </c>
      <c r="F1138" s="193" t="s">
        <v>15972</v>
      </c>
      <c r="G1138" s="194"/>
      <c r="H1138" s="220"/>
      <c r="I1138" s="169">
        <v>115719</v>
      </c>
      <c r="J1138" s="304" t="str">
        <f>CONCATENATE([2]Cover!$D$6,"fdd/view?i=",I1138)</f>
        <v>https://www.dgiwg.org/FAD/fdd/view?i=115719</v>
      </c>
      <c r="K1138" s="304" t="s">
        <v>35187</v>
      </c>
      <c r="L1138" s="181">
        <v>6</v>
      </c>
      <c r="M1138" s="179" t="s">
        <v>151</v>
      </c>
    </row>
    <row r="1139" spans="1:13" ht="51">
      <c r="A1139" s="313" t="str">
        <f t="shared" si="17"/>
        <v>AirfieldSymbolTypeCode_abandonedClosedNotUsable</v>
      </c>
      <c r="B1139" s="332" t="str">
        <f>HYPERLINK("[#]Datatypes!A124:L124","AirfieldSymbolTypeCode")</f>
        <v>AirfieldSymbolTypeCode</v>
      </c>
      <c r="C1139" s="333" t="s">
        <v>11563</v>
      </c>
      <c r="D1139" s="202" t="s">
        <v>15992</v>
      </c>
      <c r="E1139" s="203" t="s">
        <v>15993</v>
      </c>
      <c r="F1139" s="204" t="s">
        <v>15994</v>
      </c>
      <c r="G1139" s="204" t="s">
        <v>15995</v>
      </c>
      <c r="H1139" s="218"/>
      <c r="I1139" s="169">
        <v>201826</v>
      </c>
      <c r="J1139" s="304" t="str">
        <f>CONCATENATE([2]Cover!$D$6,"fdd/view?i=",I1139)</f>
        <v>https://www.dgiwg.org/FAD/fdd/view?i=201826</v>
      </c>
      <c r="K1139" s="304" t="s">
        <v>35188</v>
      </c>
      <c r="L1139" s="202">
        <v>5</v>
      </c>
      <c r="M1139" s="179" t="s">
        <v>1295</v>
      </c>
    </row>
    <row r="1140" spans="1:13" ht="38.25">
      <c r="A1140" s="313" t="str">
        <f t="shared" si="17"/>
        <v>AirfieldSymbolTypeCode_activeCivHeliLessMinFac</v>
      </c>
      <c r="B1140" s="330"/>
      <c r="C1140" s="334"/>
      <c r="D1140" s="188" t="s">
        <v>16012</v>
      </c>
      <c r="E1140" s="189" t="s">
        <v>16013</v>
      </c>
      <c r="F1140" s="162" t="s">
        <v>16014</v>
      </c>
      <c r="G1140" s="190"/>
      <c r="H1140" s="219"/>
      <c r="I1140" s="169">
        <v>201832</v>
      </c>
      <c r="J1140" s="304" t="str">
        <f>CONCATENATE([2]Cover!$D$6,"fdd/view?i=",I1140)</f>
        <v>https://www.dgiwg.org/FAD/fdd/view?i=201832</v>
      </c>
      <c r="K1140" s="304" t="s">
        <v>35189</v>
      </c>
      <c r="L1140" s="188">
        <v>11</v>
      </c>
      <c r="M1140" s="179" t="s">
        <v>1295</v>
      </c>
    </row>
    <row r="1141" spans="1:13" ht="38.25">
      <c r="A1141" s="313" t="str">
        <f t="shared" si="17"/>
        <v>AirfieldSymbolTypeCode_activeCivilHeliport</v>
      </c>
      <c r="B1141" s="330"/>
      <c r="C1141" s="334"/>
      <c r="D1141" s="188" t="s">
        <v>16006</v>
      </c>
      <c r="E1141" s="189" t="s">
        <v>16007</v>
      </c>
      <c r="F1141" s="162" t="s">
        <v>16008</v>
      </c>
      <c r="G1141" s="190"/>
      <c r="H1141" s="219"/>
      <c r="I1141" s="169">
        <v>201830</v>
      </c>
      <c r="J1141" s="304" t="str">
        <f>CONCATENATE([2]Cover!$D$6,"fdd/view?i=",I1141)</f>
        <v>https://www.dgiwg.org/FAD/fdd/view?i=201830</v>
      </c>
      <c r="K1141" s="304" t="s">
        <v>35190</v>
      </c>
      <c r="L1141" s="188">
        <v>9</v>
      </c>
      <c r="M1141" s="179" t="s">
        <v>1295</v>
      </c>
    </row>
    <row r="1142" spans="1:13" ht="102">
      <c r="A1142" s="313" t="str">
        <f t="shared" si="17"/>
        <v>AirfieldSymbolTypeCode_activeCivilian</v>
      </c>
      <c r="B1142" s="330"/>
      <c r="C1142" s="334"/>
      <c r="D1142" s="188" t="s">
        <v>15973</v>
      </c>
      <c r="E1142" s="189" t="s">
        <v>15974</v>
      </c>
      <c r="F1142" s="162" t="s">
        <v>15975</v>
      </c>
      <c r="G1142" s="162" t="s">
        <v>15976</v>
      </c>
      <c r="H1142" s="219"/>
      <c r="I1142" s="169">
        <v>201822</v>
      </c>
      <c r="J1142" s="304" t="str">
        <f>CONCATENATE([2]Cover!$D$6,"fdd/view?i=",I1142)</f>
        <v>https://www.dgiwg.org/FAD/fdd/view?i=201822</v>
      </c>
      <c r="K1142" s="304" t="s">
        <v>35191</v>
      </c>
      <c r="L1142" s="188">
        <v>1</v>
      </c>
      <c r="M1142" s="179" t="s">
        <v>1295</v>
      </c>
    </row>
    <row r="1143" spans="1:13" ht="63.75">
      <c r="A1143" s="313" t="str">
        <f t="shared" si="17"/>
        <v>AirfieldSymbolTypeCode_activeJointCivMil</v>
      </c>
      <c r="B1143" s="330"/>
      <c r="C1143" s="334"/>
      <c r="D1143" s="188" t="s">
        <v>15981</v>
      </c>
      <c r="E1143" s="189" t="s">
        <v>15982</v>
      </c>
      <c r="F1143" s="162" t="s">
        <v>15983</v>
      </c>
      <c r="G1143" s="162" t="s">
        <v>15984</v>
      </c>
      <c r="H1143" s="219"/>
      <c r="I1143" s="169">
        <v>201823</v>
      </c>
      <c r="J1143" s="304" t="str">
        <f>CONCATENATE([2]Cover!$D$6,"fdd/view?i=",I1143)</f>
        <v>https://www.dgiwg.org/FAD/fdd/view?i=201823</v>
      </c>
      <c r="K1143" s="304" t="s">
        <v>35192</v>
      </c>
      <c r="L1143" s="188">
        <v>2</v>
      </c>
      <c r="M1143" s="179" t="s">
        <v>1295</v>
      </c>
    </row>
    <row r="1144" spans="1:13" ht="63.75">
      <c r="A1144" s="313" t="str">
        <f t="shared" si="17"/>
        <v>AirfieldSymbolTypeCode_activeJointCivMilHeli</v>
      </c>
      <c r="B1144" s="330"/>
      <c r="C1144" s="334"/>
      <c r="D1144" s="188" t="s">
        <v>15977</v>
      </c>
      <c r="E1144" s="189" t="s">
        <v>15978</v>
      </c>
      <c r="F1144" s="162" t="s">
        <v>15979</v>
      </c>
      <c r="G1144" s="162" t="s">
        <v>15980</v>
      </c>
      <c r="H1144" s="219"/>
      <c r="I1144" s="169">
        <v>203151</v>
      </c>
      <c r="J1144" s="304" t="str">
        <f>CONCATENATE([2]Cover!$D$6,"fdd/view?i=",I1144)</f>
        <v>https://www.dgiwg.org/FAD/fdd/view?i=203151</v>
      </c>
      <c r="K1144" s="304" t="s">
        <v>35193</v>
      </c>
      <c r="L1144" s="188">
        <v>13</v>
      </c>
      <c r="M1144" s="179" t="s">
        <v>1295</v>
      </c>
    </row>
    <row r="1145" spans="1:13" ht="51">
      <c r="A1145" s="313" t="str">
        <f t="shared" si="17"/>
        <v>AirfieldSymbolTypeCode_activeLessMinFac</v>
      </c>
      <c r="B1145" s="330"/>
      <c r="C1145" s="334"/>
      <c r="D1145" s="188" t="s">
        <v>15988</v>
      </c>
      <c r="E1145" s="189" t="s">
        <v>15989</v>
      </c>
      <c r="F1145" s="162" t="s">
        <v>15990</v>
      </c>
      <c r="G1145" s="162" t="s">
        <v>15991</v>
      </c>
      <c r="H1145" s="219"/>
      <c r="I1145" s="169">
        <v>201825</v>
      </c>
      <c r="J1145" s="304" t="str">
        <f>CONCATENATE([2]Cover!$D$6,"fdd/view?i=",I1145)</f>
        <v>https://www.dgiwg.org/FAD/fdd/view?i=201825</v>
      </c>
      <c r="K1145" s="304" t="s">
        <v>35194</v>
      </c>
      <c r="L1145" s="188">
        <v>4</v>
      </c>
      <c r="M1145" s="179" t="s">
        <v>1295</v>
      </c>
    </row>
    <row r="1146" spans="1:13" ht="38.25">
      <c r="A1146" s="313" t="str">
        <f t="shared" si="17"/>
        <v>AirfieldSymbolTypeCode_activeMilHeliLessMinFac</v>
      </c>
      <c r="B1146" s="330"/>
      <c r="C1146" s="334"/>
      <c r="D1146" s="188" t="s">
        <v>16009</v>
      </c>
      <c r="E1146" s="189" t="s">
        <v>16010</v>
      </c>
      <c r="F1146" s="162" t="s">
        <v>16011</v>
      </c>
      <c r="G1146" s="190"/>
      <c r="H1146" s="219"/>
      <c r="I1146" s="169">
        <v>201831</v>
      </c>
      <c r="J1146" s="304" t="str">
        <f>CONCATENATE([2]Cover!$D$6,"fdd/view?i=",I1146)</f>
        <v>https://www.dgiwg.org/FAD/fdd/view?i=201831</v>
      </c>
      <c r="K1146" s="304" t="s">
        <v>35195</v>
      </c>
      <c r="L1146" s="188">
        <v>10</v>
      </c>
      <c r="M1146" s="179" t="s">
        <v>1295</v>
      </c>
    </row>
    <row r="1147" spans="1:13" ht="51">
      <c r="A1147" s="313" t="str">
        <f t="shared" si="17"/>
        <v>AirfieldSymbolTypeCode_activeMilitary</v>
      </c>
      <c r="B1147" s="330"/>
      <c r="C1147" s="334"/>
      <c r="D1147" s="188" t="s">
        <v>15985</v>
      </c>
      <c r="E1147" s="189" t="s">
        <v>15986</v>
      </c>
      <c r="F1147" s="162" t="s">
        <v>15987</v>
      </c>
      <c r="G1147" s="190"/>
      <c r="H1147" s="219"/>
      <c r="I1147" s="169">
        <v>201824</v>
      </c>
      <c r="J1147" s="304" t="str">
        <f>CONCATENATE([2]Cover!$D$6,"fdd/view?i=",I1147)</f>
        <v>https://www.dgiwg.org/FAD/fdd/view?i=201824</v>
      </c>
      <c r="K1147" s="304" t="s">
        <v>35196</v>
      </c>
      <c r="L1147" s="188">
        <v>3</v>
      </c>
      <c r="M1147" s="179" t="s">
        <v>1295</v>
      </c>
    </row>
    <row r="1148" spans="1:13" ht="38.25">
      <c r="A1148" s="313" t="str">
        <f t="shared" si="17"/>
        <v>AirfieldSymbolTypeCode_activeMilitaryHeliport</v>
      </c>
      <c r="B1148" s="330"/>
      <c r="C1148" s="334"/>
      <c r="D1148" s="188" t="s">
        <v>16003</v>
      </c>
      <c r="E1148" s="189" t="s">
        <v>16004</v>
      </c>
      <c r="F1148" s="162" t="s">
        <v>16005</v>
      </c>
      <c r="G1148" s="190"/>
      <c r="H1148" s="219"/>
      <c r="I1148" s="169">
        <v>201829</v>
      </c>
      <c r="J1148" s="304" t="str">
        <f>CONCATENATE([2]Cover!$D$6,"fdd/view?i=",I1148)</f>
        <v>https://www.dgiwg.org/FAD/fdd/view?i=201829</v>
      </c>
      <c r="K1148" s="304" t="s">
        <v>35197</v>
      </c>
      <c r="L1148" s="188">
        <v>8</v>
      </c>
      <c r="M1148" s="179" t="s">
        <v>1295</v>
      </c>
    </row>
    <row r="1149" spans="1:13" ht="38.25">
      <c r="A1149" s="313" t="str">
        <f t="shared" si="17"/>
        <v>AirfieldSymbolTypeCode_decoy</v>
      </c>
      <c r="B1149" s="330"/>
      <c r="C1149" s="334"/>
      <c r="D1149" s="188" t="s">
        <v>16015</v>
      </c>
      <c r="E1149" s="189" t="s">
        <v>16016</v>
      </c>
      <c r="F1149" s="162" t="s">
        <v>16017</v>
      </c>
      <c r="G1149" s="190"/>
      <c r="H1149" s="219"/>
      <c r="I1149" s="169">
        <v>201833</v>
      </c>
      <c r="J1149" s="304" t="str">
        <f>CONCATENATE([2]Cover!$D$6,"fdd/view?i=",I1149)</f>
        <v>https://www.dgiwg.org/FAD/fdd/view?i=201833</v>
      </c>
      <c r="K1149" s="304" t="s">
        <v>35198</v>
      </c>
      <c r="L1149" s="188">
        <v>12</v>
      </c>
      <c r="M1149" s="179" t="s">
        <v>1295</v>
      </c>
    </row>
    <row r="1150" spans="1:13" ht="38.25">
      <c r="A1150" s="313" t="str">
        <f t="shared" si="17"/>
        <v>AirfieldSymbolTypeCode_highwayStrip</v>
      </c>
      <c r="B1150" s="330"/>
      <c r="C1150" s="334"/>
      <c r="D1150" s="188" t="s">
        <v>15996</v>
      </c>
      <c r="E1150" s="189" t="s">
        <v>15997</v>
      </c>
      <c r="F1150" s="162" t="s">
        <v>15998</v>
      </c>
      <c r="G1150" s="162" t="s">
        <v>15999</v>
      </c>
      <c r="H1150" s="219"/>
      <c r="I1150" s="169">
        <v>201827</v>
      </c>
      <c r="J1150" s="304" t="str">
        <f>CONCATENATE([2]Cover!$D$6,"fdd/view?i=",I1150)</f>
        <v>https://www.dgiwg.org/FAD/fdd/view?i=201827</v>
      </c>
      <c r="K1150" s="304" t="s">
        <v>35199</v>
      </c>
      <c r="L1150" s="188">
        <v>6</v>
      </c>
      <c r="M1150" s="179" t="s">
        <v>1295</v>
      </c>
    </row>
    <row r="1151" spans="1:13" ht="51">
      <c r="A1151" s="313" t="str">
        <f t="shared" si="17"/>
        <v>AirfieldSymbolTypeCode_unusableLandingOrTakeOff</v>
      </c>
      <c r="B1151" s="331"/>
      <c r="C1151" s="335"/>
      <c r="D1151" s="181" t="s">
        <v>16000</v>
      </c>
      <c r="E1151" s="192" t="s">
        <v>16001</v>
      </c>
      <c r="F1151" s="193" t="s">
        <v>16002</v>
      </c>
      <c r="G1151" s="194"/>
      <c r="H1151" s="220"/>
      <c r="I1151" s="169">
        <v>201828</v>
      </c>
      <c r="J1151" s="304" t="str">
        <f>CONCATENATE([2]Cover!$D$6,"fdd/view?i=",I1151)</f>
        <v>https://www.dgiwg.org/FAD/fdd/view?i=201828</v>
      </c>
      <c r="K1151" s="304" t="s">
        <v>35200</v>
      </c>
      <c r="L1151" s="181">
        <v>7</v>
      </c>
      <c r="M1151" s="179" t="s">
        <v>1295</v>
      </c>
    </row>
    <row r="1152" spans="1:13" ht="25.5">
      <c r="A1152" s="313" t="str">
        <f t="shared" si="17"/>
        <v>AirfieldTypeCode_major</v>
      </c>
      <c r="B1152" s="332" t="str">
        <f>HYPERLINK("[#]Datatypes!A126:L126","AirfieldTypeCode")</f>
        <v>AirfieldTypeCode</v>
      </c>
      <c r="C1152" s="333" t="s">
        <v>11565</v>
      </c>
      <c r="D1152" s="202" t="s">
        <v>16018</v>
      </c>
      <c r="E1152" s="203" t="s">
        <v>16019</v>
      </c>
      <c r="F1152" s="204" t="s">
        <v>16020</v>
      </c>
      <c r="G1152" s="205"/>
      <c r="H1152" s="218"/>
      <c r="I1152" s="169">
        <v>103711</v>
      </c>
      <c r="J1152" s="304" t="str">
        <f>CONCATENATE([2]Cover!$D$6,"fdd/view?i=",I1152)</f>
        <v>https://www.dgiwg.org/FAD/fdd/view?i=103711</v>
      </c>
      <c r="K1152" s="304" t="s">
        <v>35201</v>
      </c>
      <c r="L1152" s="202">
        <v>1</v>
      </c>
      <c r="M1152" s="179" t="s">
        <v>151</v>
      </c>
    </row>
    <row r="1153" spans="1:13">
      <c r="A1153" s="313" t="str">
        <f t="shared" si="17"/>
        <v>AirfieldTypeCode_minor</v>
      </c>
      <c r="B1153" s="330"/>
      <c r="C1153" s="334"/>
      <c r="D1153" s="188" t="s">
        <v>16021</v>
      </c>
      <c r="E1153" s="189" t="s">
        <v>16022</v>
      </c>
      <c r="F1153" s="162" t="s">
        <v>16023</v>
      </c>
      <c r="G1153" s="190"/>
      <c r="H1153" s="219"/>
      <c r="I1153" s="169">
        <v>103714</v>
      </c>
      <c r="J1153" s="304" t="str">
        <f>CONCATENATE([2]Cover!$D$6,"fdd/view?i=",I1153)</f>
        <v>https://www.dgiwg.org/FAD/fdd/view?i=103714</v>
      </c>
      <c r="K1153" s="304" t="s">
        <v>35202</v>
      </c>
      <c r="L1153" s="188">
        <v>4</v>
      </c>
      <c r="M1153" s="179" t="s">
        <v>151</v>
      </c>
    </row>
    <row r="1154" spans="1:13">
      <c r="A1154" s="313" t="str">
        <f t="shared" si="17"/>
        <v>AirfieldTypeCode_minorAndHard</v>
      </c>
      <c r="B1154" s="330"/>
      <c r="C1154" s="334"/>
      <c r="D1154" s="188" t="s">
        <v>16024</v>
      </c>
      <c r="E1154" s="189" t="s">
        <v>16025</v>
      </c>
      <c r="F1154" s="162" t="s">
        <v>16026</v>
      </c>
      <c r="G1154" s="190"/>
      <c r="H1154" s="219"/>
      <c r="I1154" s="169">
        <v>103712</v>
      </c>
      <c r="J1154" s="304" t="str">
        <f>CONCATENATE([2]Cover!$D$6,"fdd/view?i=",I1154)</f>
        <v>https://www.dgiwg.org/FAD/fdd/view?i=103712</v>
      </c>
      <c r="K1154" s="304" t="s">
        <v>35203</v>
      </c>
      <c r="L1154" s="188">
        <v>2</v>
      </c>
      <c r="M1154" s="179" t="s">
        <v>151</v>
      </c>
    </row>
    <row r="1155" spans="1:13">
      <c r="A1155" s="313" t="str">
        <f t="shared" ref="A1155:A1218" si="18">HYPERLINK(J1155,K1155)</f>
        <v>AirfieldTypeCode_minorSoft</v>
      </c>
      <c r="B1155" s="331"/>
      <c r="C1155" s="335"/>
      <c r="D1155" s="181" t="s">
        <v>16027</v>
      </c>
      <c r="E1155" s="192" t="s">
        <v>16028</v>
      </c>
      <c r="F1155" s="193" t="s">
        <v>16029</v>
      </c>
      <c r="G1155" s="194"/>
      <c r="H1155" s="220"/>
      <c r="I1155" s="169">
        <v>103713</v>
      </c>
      <c r="J1155" s="304" t="str">
        <f>CONCATENATE([2]Cover!$D$6,"fdd/view?i=",I1155)</f>
        <v>https://www.dgiwg.org/FAD/fdd/view?i=103713</v>
      </c>
      <c r="K1155" s="304" t="s">
        <v>35204</v>
      </c>
      <c r="L1155" s="181">
        <v>3</v>
      </c>
      <c r="M1155" s="179" t="s">
        <v>151</v>
      </c>
    </row>
    <row r="1156" spans="1:13" ht="38.25">
      <c r="A1156" s="313" t="str">
        <f t="shared" si="18"/>
        <v>AirfieldUseCode_emergency</v>
      </c>
      <c r="B1156" s="332" t="str">
        <f>HYPERLINK("[#]Datatypes!A128:L128","AirfieldUseCode")</f>
        <v>AirfieldUseCode</v>
      </c>
      <c r="C1156" s="333" t="s">
        <v>11567</v>
      </c>
      <c r="D1156" s="202" t="s">
        <v>15444</v>
      </c>
      <c r="E1156" s="203" t="s">
        <v>15445</v>
      </c>
      <c r="F1156" s="204" t="s">
        <v>16030</v>
      </c>
      <c r="G1156" s="205"/>
      <c r="H1156" s="218"/>
      <c r="I1156" s="169">
        <v>101757</v>
      </c>
      <c r="J1156" s="304" t="str">
        <f>CONCATENATE([2]Cover!$D$6,"fdd/view?i=",I1156)</f>
        <v>https://www.dgiwg.org/FAD/fdd/view?i=101757</v>
      </c>
      <c r="K1156" s="304" t="s">
        <v>35205</v>
      </c>
      <c r="L1156" s="202">
        <v>12</v>
      </c>
      <c r="M1156" s="179" t="s">
        <v>151</v>
      </c>
    </row>
    <row r="1157" spans="1:13" ht="38.25">
      <c r="A1157" s="313" t="str">
        <f t="shared" si="18"/>
        <v>AirfieldUseCode_generalAviatAircraftOper</v>
      </c>
      <c r="B1157" s="330"/>
      <c r="C1157" s="334"/>
      <c r="D1157" s="188" t="s">
        <v>16031</v>
      </c>
      <c r="E1157" s="189" t="s">
        <v>16032</v>
      </c>
      <c r="F1157" s="162" t="s">
        <v>16033</v>
      </c>
      <c r="G1157" s="190"/>
      <c r="H1157" s="219"/>
      <c r="I1157" s="169">
        <v>101748</v>
      </c>
      <c r="J1157" s="304" t="str">
        <f>CONCATENATE([2]Cover!$D$6,"fdd/view?i=",I1157)</f>
        <v>https://www.dgiwg.org/FAD/fdd/view?i=101748</v>
      </c>
      <c r="K1157" s="304" t="s">
        <v>35206</v>
      </c>
      <c r="L1157" s="188">
        <v>3</v>
      </c>
      <c r="M1157" s="179" t="s">
        <v>151</v>
      </c>
    </row>
    <row r="1158" spans="1:13" ht="25.5">
      <c r="A1158" s="313" t="str">
        <f t="shared" si="18"/>
        <v>AirfieldUseCode_gliderSite</v>
      </c>
      <c r="B1158" s="330"/>
      <c r="C1158" s="334"/>
      <c r="D1158" s="188" t="s">
        <v>16034</v>
      </c>
      <c r="E1158" s="189" t="s">
        <v>16035</v>
      </c>
      <c r="F1158" s="162" t="s">
        <v>16036</v>
      </c>
      <c r="G1158" s="190"/>
      <c r="H1158" s="219"/>
      <c r="I1158" s="169">
        <v>101750</v>
      </c>
      <c r="J1158" s="304" t="str">
        <f>CONCATENATE([2]Cover!$D$6,"fdd/view?i=",I1158)</f>
        <v>https://www.dgiwg.org/FAD/fdd/view?i=101750</v>
      </c>
      <c r="K1158" s="304" t="s">
        <v>35207</v>
      </c>
      <c r="L1158" s="188">
        <v>5</v>
      </c>
      <c r="M1158" s="179" t="s">
        <v>151</v>
      </c>
    </row>
    <row r="1159" spans="1:13" ht="38.25">
      <c r="A1159" s="313" t="str">
        <f t="shared" si="18"/>
        <v>AirfieldUseCode_hangGliderSite</v>
      </c>
      <c r="B1159" s="330"/>
      <c r="C1159" s="334"/>
      <c r="D1159" s="188" t="s">
        <v>16037</v>
      </c>
      <c r="E1159" s="189" t="s">
        <v>16038</v>
      </c>
      <c r="F1159" s="162" t="s">
        <v>16039</v>
      </c>
      <c r="G1159" s="190"/>
      <c r="H1159" s="219"/>
      <c r="I1159" s="169">
        <v>101752</v>
      </c>
      <c r="J1159" s="304" t="str">
        <f>CONCATENATE([2]Cover!$D$6,"fdd/view?i=",I1159)</f>
        <v>https://www.dgiwg.org/FAD/fdd/view?i=101752</v>
      </c>
      <c r="K1159" s="304" t="s">
        <v>35208</v>
      </c>
      <c r="L1159" s="188">
        <v>7</v>
      </c>
      <c r="M1159" s="179" t="s">
        <v>151</v>
      </c>
    </row>
    <row r="1160" spans="1:13" ht="25.5">
      <c r="A1160" s="313" t="str">
        <f t="shared" si="18"/>
        <v>AirfieldUseCode_majorAirfield</v>
      </c>
      <c r="B1160" s="330"/>
      <c r="C1160" s="334"/>
      <c r="D1160" s="188" t="s">
        <v>16040</v>
      </c>
      <c r="E1160" s="189" t="s">
        <v>16041</v>
      </c>
      <c r="F1160" s="162" t="s">
        <v>16042</v>
      </c>
      <c r="G1160" s="190"/>
      <c r="H1160" s="219"/>
      <c r="I1160" s="169">
        <v>101746</v>
      </c>
      <c r="J1160" s="304" t="str">
        <f>CONCATENATE([2]Cover!$D$6,"fdd/view?i=",I1160)</f>
        <v>https://www.dgiwg.org/FAD/fdd/view?i=101746</v>
      </c>
      <c r="K1160" s="304" t="s">
        <v>35209</v>
      </c>
      <c r="L1160" s="188">
        <v>1</v>
      </c>
      <c r="M1160" s="179" t="s">
        <v>151</v>
      </c>
    </row>
    <row r="1161" spans="1:13" ht="38.25">
      <c r="A1161" s="313" t="str">
        <f t="shared" si="18"/>
        <v>AirfieldUseCode_minorAirfield</v>
      </c>
      <c r="B1161" s="330"/>
      <c r="C1161" s="334"/>
      <c r="D1161" s="188" t="s">
        <v>16043</v>
      </c>
      <c r="E1161" s="189" t="s">
        <v>16044</v>
      </c>
      <c r="F1161" s="162" t="s">
        <v>16045</v>
      </c>
      <c r="G1161" s="190"/>
      <c r="H1161" s="219"/>
      <c r="I1161" s="169">
        <v>101747</v>
      </c>
      <c r="J1161" s="304" t="str">
        <f>CONCATENATE([2]Cover!$D$6,"fdd/view?i=",I1161)</f>
        <v>https://www.dgiwg.org/FAD/fdd/view?i=101747</v>
      </c>
      <c r="K1161" s="304" t="s">
        <v>35210</v>
      </c>
      <c r="L1161" s="188">
        <v>2</v>
      </c>
      <c r="M1161" s="179" t="s">
        <v>151</v>
      </c>
    </row>
    <row r="1162" spans="1:13" ht="38.25">
      <c r="A1162" s="313" t="str">
        <f t="shared" si="18"/>
        <v>AirfieldUseCode_parascendingSite</v>
      </c>
      <c r="B1162" s="330"/>
      <c r="C1162" s="334"/>
      <c r="D1162" s="188" t="s">
        <v>16046</v>
      </c>
      <c r="E1162" s="189" t="s">
        <v>16047</v>
      </c>
      <c r="F1162" s="162" t="s">
        <v>16048</v>
      </c>
      <c r="G1162" s="190"/>
      <c r="H1162" s="219"/>
      <c r="I1162" s="169">
        <v>101758</v>
      </c>
      <c r="J1162" s="304" t="str">
        <f>CONCATENATE([2]Cover!$D$6,"fdd/view?i=",I1162)</f>
        <v>https://www.dgiwg.org/FAD/fdd/view?i=101758</v>
      </c>
      <c r="K1162" s="304" t="s">
        <v>35211</v>
      </c>
      <c r="L1162" s="188">
        <v>13</v>
      </c>
      <c r="M1162" s="179" t="s">
        <v>151</v>
      </c>
    </row>
    <row r="1163" spans="1:13" ht="25.5">
      <c r="A1163" s="313" t="str">
        <f t="shared" si="18"/>
        <v>AirfieldUseCode_searchRescue</v>
      </c>
      <c r="B1163" s="330"/>
      <c r="C1163" s="334"/>
      <c r="D1163" s="188" t="s">
        <v>16049</v>
      </c>
      <c r="E1163" s="189" t="s">
        <v>16050</v>
      </c>
      <c r="F1163" s="162" t="s">
        <v>16051</v>
      </c>
      <c r="G1163" s="190"/>
      <c r="H1163" s="219"/>
      <c r="I1163" s="169">
        <v>101761</v>
      </c>
      <c r="J1163" s="304" t="str">
        <f>CONCATENATE([2]Cover!$D$6,"fdd/view?i=",I1163)</f>
        <v>https://www.dgiwg.org/FAD/fdd/view?i=101761</v>
      </c>
      <c r="K1163" s="304" t="s">
        <v>35212</v>
      </c>
      <c r="L1163" s="188">
        <v>16</v>
      </c>
      <c r="M1163" s="179" t="s">
        <v>151</v>
      </c>
    </row>
    <row r="1164" spans="1:13" ht="38.25">
      <c r="A1164" s="313" t="str">
        <f t="shared" si="18"/>
        <v>AirfieldUseCode_ultralightSite</v>
      </c>
      <c r="B1164" s="330"/>
      <c r="C1164" s="334"/>
      <c r="D1164" s="188" t="s">
        <v>16052</v>
      </c>
      <c r="E1164" s="189" t="s">
        <v>16053</v>
      </c>
      <c r="F1164" s="162" t="s">
        <v>16054</v>
      </c>
      <c r="G1164" s="190"/>
      <c r="H1164" s="219"/>
      <c r="I1164" s="169">
        <v>101751</v>
      </c>
      <c r="J1164" s="304" t="str">
        <f>CONCATENATE([2]Cover!$D$6,"fdd/view?i=",I1164)</f>
        <v>https://www.dgiwg.org/FAD/fdd/view?i=101751</v>
      </c>
      <c r="K1164" s="304" t="s">
        <v>35213</v>
      </c>
      <c r="L1164" s="188">
        <v>6</v>
      </c>
      <c r="M1164" s="179" t="s">
        <v>151</v>
      </c>
    </row>
    <row r="1165" spans="1:13" ht="38.25">
      <c r="A1165" s="313" t="str">
        <f t="shared" si="18"/>
        <v>AirfieldUseCode_winchLaunchHangGliderSite</v>
      </c>
      <c r="B1165" s="331"/>
      <c r="C1165" s="335"/>
      <c r="D1165" s="181" t="s">
        <v>16055</v>
      </c>
      <c r="E1165" s="192" t="s">
        <v>16056</v>
      </c>
      <c r="F1165" s="193" t="s">
        <v>16057</v>
      </c>
      <c r="G1165" s="194"/>
      <c r="H1165" s="220"/>
      <c r="I1165" s="169">
        <v>101753</v>
      </c>
      <c r="J1165" s="304" t="str">
        <f>CONCATENATE([2]Cover!$D$6,"fdd/view?i=",I1165)</f>
        <v>https://www.dgiwg.org/FAD/fdd/view?i=101753</v>
      </c>
      <c r="K1165" s="304" t="s">
        <v>35214</v>
      </c>
      <c r="L1165" s="181">
        <v>8</v>
      </c>
      <c r="M1165" s="179" t="s">
        <v>151</v>
      </c>
    </row>
    <row r="1166" spans="1:13" ht="38.25">
      <c r="A1166" s="313" t="str">
        <f t="shared" si="18"/>
        <v>AirportCommunicationClassCode_uhfEmergencyFreq243r0</v>
      </c>
      <c r="B1166" s="332" t="str">
        <f>HYPERLINK("[#]Datatypes!A130:L130","AirportCommunicationClassCode")</f>
        <v>AirportCommunicationClassCode</v>
      </c>
      <c r="C1166" s="333" t="s">
        <v>11569</v>
      </c>
      <c r="D1166" s="202" t="s">
        <v>16058</v>
      </c>
      <c r="E1166" s="203" t="s">
        <v>16059</v>
      </c>
      <c r="F1166" s="204" t="s">
        <v>16060</v>
      </c>
      <c r="G1166" s="205"/>
      <c r="H1166" s="218"/>
      <c r="I1166" s="169">
        <v>202042</v>
      </c>
      <c r="J1166" s="304" t="str">
        <f>CONCATENATE([2]Cover!$D$6,"fdd/view?i=",I1166)</f>
        <v>https://www.dgiwg.org/FAD/fdd/view?i=202042</v>
      </c>
      <c r="K1166" s="304" t="s">
        <v>35215</v>
      </c>
      <c r="L1166" s="202">
        <v>3</v>
      </c>
      <c r="M1166" s="179" t="s">
        <v>1295</v>
      </c>
    </row>
    <row r="1167" spans="1:13" ht="38.25">
      <c r="A1167" s="313" t="str">
        <f t="shared" si="18"/>
        <v>AirportCommunicationClassCode_vhfEmergencyFreq121r5</v>
      </c>
      <c r="B1167" s="330"/>
      <c r="C1167" s="334"/>
      <c r="D1167" s="188" t="s">
        <v>16064</v>
      </c>
      <c r="E1167" s="189" t="s">
        <v>16065</v>
      </c>
      <c r="F1167" s="162" t="s">
        <v>16066</v>
      </c>
      <c r="G1167" s="190"/>
      <c r="H1167" s="219"/>
      <c r="I1167" s="169">
        <v>202041</v>
      </c>
      <c r="J1167" s="304" t="str">
        <f>CONCATENATE([2]Cover!$D$6,"fdd/view?i=",I1167)</f>
        <v>https://www.dgiwg.org/FAD/fdd/view?i=202041</v>
      </c>
      <c r="K1167" s="304" t="s">
        <v>35216</v>
      </c>
      <c r="L1167" s="188">
        <v>2</v>
      </c>
      <c r="M1167" s="179" t="s">
        <v>1295</v>
      </c>
    </row>
    <row r="1168" spans="1:13" ht="38.25">
      <c r="A1168" s="313" t="str">
        <f t="shared" si="18"/>
        <v>AirportCommunicationClassCode_vhfUhfEmergencyFreq</v>
      </c>
      <c r="B1168" s="331"/>
      <c r="C1168" s="335"/>
      <c r="D1168" s="181" t="s">
        <v>16061</v>
      </c>
      <c r="E1168" s="192" t="s">
        <v>16062</v>
      </c>
      <c r="F1168" s="193" t="s">
        <v>16063</v>
      </c>
      <c r="G1168" s="194"/>
      <c r="H1168" s="220"/>
      <c r="I1168" s="169">
        <v>202043</v>
      </c>
      <c r="J1168" s="304" t="str">
        <f>CONCATENATE([2]Cover!$D$6,"fdd/view?i=",I1168)</f>
        <v>https://www.dgiwg.org/FAD/fdd/view?i=202043</v>
      </c>
      <c r="K1168" s="304" t="s">
        <v>35217</v>
      </c>
      <c r="L1168" s="181">
        <v>4</v>
      </c>
      <c r="M1168" s="179" t="s">
        <v>1295</v>
      </c>
    </row>
    <row r="1169" spans="1:13" ht="25.5">
      <c r="A1169" s="313" t="str">
        <f t="shared" si="18"/>
        <v>AirspaceActivityCode_accidentInvestigation</v>
      </c>
      <c r="B1169" s="332" t="str">
        <f>HYPERLINK("[#]Datatypes!A132:L132","AirspaceActivityCode")</f>
        <v>AirspaceActivityCode</v>
      </c>
      <c r="C1169" s="333" t="s">
        <v>11571</v>
      </c>
      <c r="D1169" s="202" t="s">
        <v>16072</v>
      </c>
      <c r="E1169" s="203" t="s">
        <v>16073</v>
      </c>
      <c r="F1169" s="204" t="s">
        <v>16074</v>
      </c>
      <c r="G1169" s="204" t="s">
        <v>16075</v>
      </c>
      <c r="H1169" s="222" t="s">
        <v>16076</v>
      </c>
      <c r="I1169" s="169">
        <v>114655</v>
      </c>
      <c r="J1169" s="304" t="str">
        <f>CONCATENATE([2]Cover!$D$6,"fdd/view?i=",I1169)</f>
        <v>https://www.dgiwg.org/FAD/fdd/view?i=114655</v>
      </c>
      <c r="K1169" s="304" t="s">
        <v>35218</v>
      </c>
      <c r="L1169" s="202">
        <v>2</v>
      </c>
      <c r="M1169" s="179" t="s">
        <v>151</v>
      </c>
    </row>
    <row r="1170" spans="1:13" ht="25.5">
      <c r="A1170" s="313" t="str">
        <f t="shared" si="18"/>
        <v>AirspaceActivityCode_aerialGunnery</v>
      </c>
      <c r="B1170" s="330"/>
      <c r="C1170" s="334"/>
      <c r="D1170" s="188" t="s">
        <v>16077</v>
      </c>
      <c r="E1170" s="189" t="s">
        <v>16078</v>
      </c>
      <c r="F1170" s="162" t="s">
        <v>16079</v>
      </c>
      <c r="G1170" s="162" t="s">
        <v>16080</v>
      </c>
      <c r="H1170" s="219"/>
      <c r="I1170" s="169">
        <v>114657</v>
      </c>
      <c r="J1170" s="304" t="str">
        <f>CONCATENATE([2]Cover!$D$6,"fdd/view?i=",I1170)</f>
        <v>https://www.dgiwg.org/FAD/fdd/view?i=114657</v>
      </c>
      <c r="K1170" s="304" t="s">
        <v>35219</v>
      </c>
      <c r="L1170" s="188">
        <v>4</v>
      </c>
      <c r="M1170" s="179" t="s">
        <v>151</v>
      </c>
    </row>
    <row r="1171" spans="1:13" ht="25.5">
      <c r="A1171" s="313" t="str">
        <f t="shared" si="18"/>
        <v>AirspaceActivityCode_aerialSporting</v>
      </c>
      <c r="B1171" s="330"/>
      <c r="C1171" s="334"/>
      <c r="D1171" s="188" t="s">
        <v>16081</v>
      </c>
      <c r="E1171" s="189" t="s">
        <v>16082</v>
      </c>
      <c r="F1171" s="162" t="s">
        <v>16083</v>
      </c>
      <c r="G1171" s="162" t="s">
        <v>16084</v>
      </c>
      <c r="H1171" s="219"/>
      <c r="I1171" s="169">
        <v>114658</v>
      </c>
      <c r="J1171" s="304" t="str">
        <f>CONCATENATE([2]Cover!$D$6,"fdd/view?i=",I1171)</f>
        <v>https://www.dgiwg.org/FAD/fdd/view?i=114658</v>
      </c>
      <c r="K1171" s="304" t="s">
        <v>35220</v>
      </c>
      <c r="L1171" s="188">
        <v>5</v>
      </c>
      <c r="M1171" s="179" t="s">
        <v>151</v>
      </c>
    </row>
    <row r="1172" spans="1:13" ht="51">
      <c r="A1172" s="313" t="str">
        <f t="shared" si="18"/>
        <v>AirspaceActivityCode_aerialWork</v>
      </c>
      <c r="B1172" s="330"/>
      <c r="C1172" s="334"/>
      <c r="D1172" s="188" t="s">
        <v>16085</v>
      </c>
      <c r="E1172" s="189" t="s">
        <v>16086</v>
      </c>
      <c r="F1172" s="162" t="s">
        <v>16087</v>
      </c>
      <c r="G1172" s="162" t="s">
        <v>16088</v>
      </c>
      <c r="H1172" s="219"/>
      <c r="I1172" s="169">
        <v>114659</v>
      </c>
      <c r="J1172" s="304" t="str">
        <f>CONCATENATE([2]Cover!$D$6,"fdd/view?i=",I1172)</f>
        <v>https://www.dgiwg.org/FAD/fdd/view?i=114659</v>
      </c>
      <c r="K1172" s="304" t="s">
        <v>35221</v>
      </c>
      <c r="L1172" s="188">
        <v>6</v>
      </c>
      <c r="M1172" s="179" t="s">
        <v>151</v>
      </c>
    </row>
    <row r="1173" spans="1:13" ht="25.5">
      <c r="A1173" s="313" t="str">
        <f t="shared" si="18"/>
        <v>AirspaceActivityCode_aerobatics</v>
      </c>
      <c r="B1173" s="330"/>
      <c r="C1173" s="334"/>
      <c r="D1173" s="188" t="s">
        <v>16089</v>
      </c>
      <c r="E1173" s="189" t="s">
        <v>16090</v>
      </c>
      <c r="F1173" s="162" t="s">
        <v>16091</v>
      </c>
      <c r="G1173" s="162" t="s">
        <v>16092</v>
      </c>
      <c r="H1173" s="221" t="s">
        <v>16093</v>
      </c>
      <c r="I1173" s="169">
        <v>114656</v>
      </c>
      <c r="J1173" s="304" t="str">
        <f>CONCATENATE([2]Cover!$D$6,"fdd/view?i=",I1173)</f>
        <v>https://www.dgiwg.org/FAD/fdd/view?i=114656</v>
      </c>
      <c r="K1173" s="304" t="s">
        <v>35222</v>
      </c>
      <c r="L1173" s="188">
        <v>3</v>
      </c>
      <c r="M1173" s="179" t="s">
        <v>151</v>
      </c>
    </row>
    <row r="1174" spans="1:13" ht="25.5">
      <c r="A1174" s="313" t="str">
        <f t="shared" si="18"/>
        <v>AirspaceActivityCode_aerodromeTraffic</v>
      </c>
      <c r="B1174" s="330"/>
      <c r="C1174" s="334"/>
      <c r="D1174" s="188" t="s">
        <v>16094</v>
      </c>
      <c r="E1174" s="189" t="s">
        <v>16095</v>
      </c>
      <c r="F1174" s="162" t="s">
        <v>16096</v>
      </c>
      <c r="G1174" s="162" t="s">
        <v>16092</v>
      </c>
      <c r="H1174" s="219"/>
      <c r="I1174" s="169">
        <v>114660</v>
      </c>
      <c r="J1174" s="304" t="str">
        <f>CONCATENATE([2]Cover!$D$6,"fdd/view?i=",I1174)</f>
        <v>https://www.dgiwg.org/FAD/fdd/view?i=114660</v>
      </c>
      <c r="K1174" s="304" t="s">
        <v>35223</v>
      </c>
      <c r="L1174" s="188">
        <v>7</v>
      </c>
      <c r="M1174" s="179" t="s">
        <v>151</v>
      </c>
    </row>
    <row r="1175" spans="1:13" ht="25.5">
      <c r="A1175" s="313" t="str">
        <f t="shared" si="18"/>
        <v>AirspaceActivityCode_airCombatOrExercises</v>
      </c>
      <c r="B1175" s="330"/>
      <c r="C1175" s="334"/>
      <c r="D1175" s="188" t="s">
        <v>16097</v>
      </c>
      <c r="E1175" s="189" t="s">
        <v>16098</v>
      </c>
      <c r="F1175" s="162" t="s">
        <v>16099</v>
      </c>
      <c r="G1175" s="162" t="s">
        <v>16080</v>
      </c>
      <c r="H1175" s="219"/>
      <c r="I1175" s="169">
        <v>114661</v>
      </c>
      <c r="J1175" s="304" t="str">
        <f>CONCATENATE([2]Cover!$D$6,"fdd/view?i=",I1175)</f>
        <v>https://www.dgiwg.org/FAD/fdd/view?i=114661</v>
      </c>
      <c r="K1175" s="304" t="s">
        <v>35224</v>
      </c>
      <c r="L1175" s="188">
        <v>8</v>
      </c>
      <c r="M1175" s="179" t="s">
        <v>151</v>
      </c>
    </row>
    <row r="1176" spans="1:13">
      <c r="A1176" s="313" t="str">
        <f t="shared" si="18"/>
        <v>AirspaceActivityCode_airRefuelling</v>
      </c>
      <c r="B1176" s="330"/>
      <c r="C1176" s="334"/>
      <c r="D1176" s="188" t="s">
        <v>16100</v>
      </c>
      <c r="E1176" s="189" t="s">
        <v>16101</v>
      </c>
      <c r="F1176" s="162" t="s">
        <v>16102</v>
      </c>
      <c r="G1176" s="162" t="s">
        <v>16080</v>
      </c>
      <c r="H1176" s="221" t="s">
        <v>16103</v>
      </c>
      <c r="I1176" s="169">
        <v>114694</v>
      </c>
      <c r="J1176" s="304" t="str">
        <f>CONCATENATE([2]Cover!$D$6,"fdd/view?i=",I1176)</f>
        <v>https://www.dgiwg.org/FAD/fdd/view?i=114694</v>
      </c>
      <c r="K1176" s="304" t="s">
        <v>35225</v>
      </c>
      <c r="L1176" s="188">
        <v>41</v>
      </c>
      <c r="M1176" s="179" t="s">
        <v>151</v>
      </c>
    </row>
    <row r="1177" spans="1:13">
      <c r="A1177" s="313" t="str">
        <f t="shared" si="18"/>
        <v>AirspaceActivityCode_airShow</v>
      </c>
      <c r="B1177" s="330"/>
      <c r="C1177" s="334"/>
      <c r="D1177" s="188" t="s">
        <v>16104</v>
      </c>
      <c r="E1177" s="189" t="s">
        <v>16105</v>
      </c>
      <c r="F1177" s="162" t="s">
        <v>16106</v>
      </c>
      <c r="G1177" s="162" t="s">
        <v>16092</v>
      </c>
      <c r="H1177" s="219"/>
      <c r="I1177" s="169">
        <v>114662</v>
      </c>
      <c r="J1177" s="304" t="str">
        <f>CONCATENATE([2]Cover!$D$6,"fdd/view?i=",I1177)</f>
        <v>https://www.dgiwg.org/FAD/fdd/view?i=114662</v>
      </c>
      <c r="K1177" s="304" t="s">
        <v>35226</v>
      </c>
      <c r="L1177" s="188">
        <v>9</v>
      </c>
      <c r="M1177" s="179" t="s">
        <v>151</v>
      </c>
    </row>
    <row r="1178" spans="1:13" ht="38.25">
      <c r="A1178" s="313" t="str">
        <f t="shared" si="18"/>
        <v>AirspaceActivityCode_airTrafficServices</v>
      </c>
      <c r="B1178" s="330"/>
      <c r="C1178" s="334"/>
      <c r="D1178" s="188" t="s">
        <v>16107</v>
      </c>
      <c r="E1178" s="189" t="s">
        <v>16108</v>
      </c>
      <c r="F1178" s="162" t="s">
        <v>16109</v>
      </c>
      <c r="G1178" s="162" t="s">
        <v>16110</v>
      </c>
      <c r="H1178" s="219"/>
      <c r="I1178" s="169">
        <v>114663</v>
      </c>
      <c r="J1178" s="304" t="str">
        <f>CONCATENATE([2]Cover!$D$6,"fdd/view?i=",I1178)</f>
        <v>https://www.dgiwg.org/FAD/fdd/view?i=114663</v>
      </c>
      <c r="K1178" s="304" t="s">
        <v>35227</v>
      </c>
      <c r="L1178" s="188">
        <v>10</v>
      </c>
      <c r="M1178" s="179" t="s">
        <v>151</v>
      </c>
    </row>
    <row r="1179" spans="1:13" ht="25.5">
      <c r="A1179" s="313" t="str">
        <f t="shared" si="18"/>
        <v>AirspaceActivityCode_antiHailRocketFiring</v>
      </c>
      <c r="B1179" s="330"/>
      <c r="C1179" s="334"/>
      <c r="D1179" s="188" t="s">
        <v>16111</v>
      </c>
      <c r="E1179" s="189" t="s">
        <v>16112</v>
      </c>
      <c r="F1179" s="162" t="s">
        <v>16113</v>
      </c>
      <c r="G1179" s="162" t="s">
        <v>16114</v>
      </c>
      <c r="H1179" s="219"/>
      <c r="I1179" s="169">
        <v>114664</v>
      </c>
      <c r="J1179" s="304" t="str">
        <f>CONCATENATE([2]Cover!$D$6,"fdd/view?i=",I1179)</f>
        <v>https://www.dgiwg.org/FAD/fdd/view?i=114664</v>
      </c>
      <c r="K1179" s="304" t="s">
        <v>35228</v>
      </c>
      <c r="L1179" s="188">
        <v>11</v>
      </c>
      <c r="M1179" s="179" t="s">
        <v>151</v>
      </c>
    </row>
    <row r="1180" spans="1:13">
      <c r="A1180" s="313" t="str">
        <f t="shared" si="18"/>
        <v>AirspaceActivityCode_artilleryFiring</v>
      </c>
      <c r="B1180" s="330"/>
      <c r="C1180" s="334"/>
      <c r="D1180" s="188" t="s">
        <v>16115</v>
      </c>
      <c r="E1180" s="189" t="s">
        <v>16116</v>
      </c>
      <c r="F1180" s="162" t="s">
        <v>16117</v>
      </c>
      <c r="G1180" s="162" t="s">
        <v>16080</v>
      </c>
      <c r="H1180" s="219"/>
      <c r="I1180" s="169">
        <v>114665</v>
      </c>
      <c r="J1180" s="304" t="str">
        <f>CONCATENATE([2]Cover!$D$6,"fdd/view?i=",I1180)</f>
        <v>https://www.dgiwg.org/FAD/fdd/view?i=114665</v>
      </c>
      <c r="K1180" s="304" t="s">
        <v>35229</v>
      </c>
      <c r="L1180" s="188">
        <v>12</v>
      </c>
      <c r="M1180" s="179" t="s">
        <v>151</v>
      </c>
    </row>
    <row r="1181" spans="1:13">
      <c r="A1181" s="313" t="str">
        <f t="shared" si="18"/>
        <v>AirspaceActivityCode_birdHazard</v>
      </c>
      <c r="B1181" s="330"/>
      <c r="C1181" s="334"/>
      <c r="D1181" s="188" t="s">
        <v>16118</v>
      </c>
      <c r="E1181" s="189" t="s">
        <v>16119</v>
      </c>
      <c r="F1181" s="162" t="s">
        <v>16120</v>
      </c>
      <c r="G1181" s="162" t="s">
        <v>16114</v>
      </c>
      <c r="H1181" s="219"/>
      <c r="I1181" s="169">
        <v>114667</v>
      </c>
      <c r="J1181" s="304" t="str">
        <f>CONCATENATE([2]Cover!$D$6,"fdd/view?i=",I1181)</f>
        <v>https://www.dgiwg.org/FAD/fdd/view?i=114667</v>
      </c>
      <c r="K1181" s="304" t="s">
        <v>35230</v>
      </c>
      <c r="L1181" s="188">
        <v>14</v>
      </c>
      <c r="M1181" s="179" t="s">
        <v>151</v>
      </c>
    </row>
    <row r="1182" spans="1:13" ht="89.25">
      <c r="A1182" s="313" t="str">
        <f t="shared" si="18"/>
        <v>AirspaceActivityCode_birdMigration</v>
      </c>
      <c r="B1182" s="330"/>
      <c r="C1182" s="334"/>
      <c r="D1182" s="188" t="s">
        <v>16121</v>
      </c>
      <c r="E1182" s="189" t="s">
        <v>16122</v>
      </c>
      <c r="F1182" s="162" t="s">
        <v>16123</v>
      </c>
      <c r="G1182" s="162" t="s">
        <v>16124</v>
      </c>
      <c r="H1182" s="219"/>
      <c r="I1182" s="169">
        <v>114668</v>
      </c>
      <c r="J1182" s="304" t="str">
        <f>CONCATENATE([2]Cover!$D$6,"fdd/view?i=",I1182)</f>
        <v>https://www.dgiwg.org/FAD/fdd/view?i=114668</v>
      </c>
      <c r="K1182" s="304" t="s">
        <v>35231</v>
      </c>
      <c r="L1182" s="188">
        <v>15</v>
      </c>
      <c r="M1182" s="179" t="s">
        <v>151</v>
      </c>
    </row>
    <row r="1183" spans="1:13" ht="25.5">
      <c r="A1183" s="313" t="str">
        <f t="shared" si="18"/>
        <v>AirspaceActivityCode_blastingOperations</v>
      </c>
      <c r="B1183" s="330"/>
      <c r="C1183" s="334"/>
      <c r="D1183" s="188" t="s">
        <v>16125</v>
      </c>
      <c r="E1183" s="189" t="s">
        <v>16126</v>
      </c>
      <c r="F1183" s="162" t="s">
        <v>16127</v>
      </c>
      <c r="G1183" s="162" t="s">
        <v>16114</v>
      </c>
      <c r="H1183" s="219"/>
      <c r="I1183" s="169">
        <v>114669</v>
      </c>
      <c r="J1183" s="304" t="str">
        <f>CONCATENATE([2]Cover!$D$6,"fdd/view?i=",I1183)</f>
        <v>https://www.dgiwg.org/FAD/fdd/view?i=114669</v>
      </c>
      <c r="K1183" s="304" t="s">
        <v>35232</v>
      </c>
      <c r="L1183" s="188">
        <v>16</v>
      </c>
      <c r="M1183" s="179" t="s">
        <v>151</v>
      </c>
    </row>
    <row r="1184" spans="1:13" ht="38.25">
      <c r="A1184" s="313" t="str">
        <f t="shared" si="18"/>
        <v>AirspaceActivityCode_channelSpacingEquip8r33</v>
      </c>
      <c r="B1184" s="330"/>
      <c r="C1184" s="334"/>
      <c r="D1184" s="188" t="s">
        <v>16067</v>
      </c>
      <c r="E1184" s="189" t="s">
        <v>16068</v>
      </c>
      <c r="F1184" s="162" t="s">
        <v>16069</v>
      </c>
      <c r="G1184" s="162" t="s">
        <v>16070</v>
      </c>
      <c r="H1184" s="221" t="s">
        <v>16071</v>
      </c>
      <c r="I1184" s="169">
        <v>114654</v>
      </c>
      <c r="J1184" s="304" t="str">
        <f>CONCATENATE([2]Cover!$D$6,"fdd/view?i=",I1184)</f>
        <v>https://www.dgiwg.org/FAD/fdd/view?i=114654</v>
      </c>
      <c r="K1184" s="304" t="s">
        <v>35233</v>
      </c>
      <c r="L1184" s="188">
        <v>1</v>
      </c>
      <c r="M1184" s="179" t="s">
        <v>151</v>
      </c>
    </row>
    <row r="1185" spans="1:13" ht="25.5">
      <c r="A1185" s="313" t="str">
        <f t="shared" si="18"/>
        <v>AirspaceActivityCode_chemicalPlant</v>
      </c>
      <c r="B1185" s="330"/>
      <c r="C1185" s="334"/>
      <c r="D1185" s="188" t="s">
        <v>16128</v>
      </c>
      <c r="E1185" s="189" t="s">
        <v>16129</v>
      </c>
      <c r="F1185" s="162" t="s">
        <v>16130</v>
      </c>
      <c r="G1185" s="162" t="s">
        <v>16131</v>
      </c>
      <c r="H1185" s="219"/>
      <c r="I1185" s="169">
        <v>114670</v>
      </c>
      <c r="J1185" s="304" t="str">
        <f>CONCATENATE([2]Cover!$D$6,"fdd/view?i=",I1185)</f>
        <v>https://www.dgiwg.org/FAD/fdd/view?i=114670</v>
      </c>
      <c r="K1185" s="304" t="s">
        <v>35234</v>
      </c>
      <c r="L1185" s="188">
        <v>17</v>
      </c>
      <c r="M1185" s="179" t="s">
        <v>151</v>
      </c>
    </row>
    <row r="1186" spans="1:13" ht="25.5">
      <c r="A1186" s="313" t="str">
        <f t="shared" si="18"/>
        <v>AirspaceActivityCode_climbOutJetAircraft</v>
      </c>
      <c r="B1186" s="330"/>
      <c r="C1186" s="334"/>
      <c r="D1186" s="188" t="s">
        <v>16132</v>
      </c>
      <c r="E1186" s="189" t="s">
        <v>16133</v>
      </c>
      <c r="F1186" s="162" t="s">
        <v>16134</v>
      </c>
      <c r="G1186" s="162" t="s">
        <v>16080</v>
      </c>
      <c r="H1186" s="221" t="s">
        <v>16135</v>
      </c>
      <c r="I1186" s="169">
        <v>114671</v>
      </c>
      <c r="J1186" s="304" t="str">
        <f>CONCATENATE([2]Cover!$D$6,"fdd/view?i=",I1186)</f>
        <v>https://www.dgiwg.org/FAD/fdd/view?i=114671</v>
      </c>
      <c r="K1186" s="304" t="s">
        <v>35235</v>
      </c>
      <c r="L1186" s="188">
        <v>18</v>
      </c>
      <c r="M1186" s="179" t="s">
        <v>151</v>
      </c>
    </row>
    <row r="1187" spans="1:13">
      <c r="A1187" s="313" t="str">
        <f t="shared" si="18"/>
        <v>AirspaceActivityCode_droppings</v>
      </c>
      <c r="B1187" s="330"/>
      <c r="C1187" s="334"/>
      <c r="D1187" s="188" t="s">
        <v>16136</v>
      </c>
      <c r="E1187" s="189" t="s">
        <v>16137</v>
      </c>
      <c r="F1187" s="162" t="s">
        <v>16138</v>
      </c>
      <c r="G1187" s="162" t="s">
        <v>16092</v>
      </c>
      <c r="H1187" s="219"/>
      <c r="I1187" s="169">
        <v>114672</v>
      </c>
      <c r="J1187" s="304" t="str">
        <f>CONCATENATE([2]Cover!$D$6,"fdd/view?i=",I1187)</f>
        <v>https://www.dgiwg.org/FAD/fdd/view?i=114672</v>
      </c>
      <c r="K1187" s="304" t="s">
        <v>35236</v>
      </c>
      <c r="L1187" s="188">
        <v>19</v>
      </c>
      <c r="M1187" s="179" t="s">
        <v>151</v>
      </c>
    </row>
    <row r="1188" spans="1:13">
      <c r="A1188" s="313" t="str">
        <f t="shared" si="18"/>
        <v>AirspaceActivityCode_fireworks</v>
      </c>
      <c r="B1188" s="330"/>
      <c r="C1188" s="334"/>
      <c r="D1188" s="188" t="s">
        <v>16139</v>
      </c>
      <c r="E1188" s="189" t="s">
        <v>16140</v>
      </c>
      <c r="F1188" s="162" t="s">
        <v>16141</v>
      </c>
      <c r="G1188" s="162" t="s">
        <v>16114</v>
      </c>
      <c r="H1188" s="219"/>
      <c r="I1188" s="169">
        <v>114673</v>
      </c>
      <c r="J1188" s="304" t="str">
        <f>CONCATENATE([2]Cover!$D$6,"fdd/view?i=",I1188)</f>
        <v>https://www.dgiwg.org/FAD/fdd/view?i=114673</v>
      </c>
      <c r="K1188" s="304" t="s">
        <v>35237</v>
      </c>
      <c r="L1188" s="188">
        <v>20</v>
      </c>
      <c r="M1188" s="179" t="s">
        <v>151</v>
      </c>
    </row>
    <row r="1189" spans="1:13" ht="51">
      <c r="A1189" s="313" t="str">
        <f t="shared" si="18"/>
        <v>AirspaceActivityCode_flightGuidedMissiles</v>
      </c>
      <c r="B1189" s="330"/>
      <c r="C1189" s="334"/>
      <c r="D1189" s="188" t="s">
        <v>16142</v>
      </c>
      <c r="E1189" s="189" t="s">
        <v>16143</v>
      </c>
      <c r="F1189" s="162" t="s">
        <v>16144</v>
      </c>
      <c r="G1189" s="162" t="s">
        <v>16145</v>
      </c>
      <c r="H1189" s="219"/>
      <c r="I1189" s="169">
        <v>114674</v>
      </c>
      <c r="J1189" s="304" t="str">
        <f>CONCATENATE([2]Cover!$D$6,"fdd/view?i=",I1189)</f>
        <v>https://www.dgiwg.org/FAD/fdd/view?i=114674</v>
      </c>
      <c r="K1189" s="304" t="s">
        <v>35238</v>
      </c>
      <c r="L1189" s="188">
        <v>21</v>
      </c>
      <c r="M1189" s="179" t="s">
        <v>151</v>
      </c>
    </row>
    <row r="1190" spans="1:13" ht="25.5">
      <c r="A1190" s="313" t="str">
        <f t="shared" si="18"/>
        <v>AirspaceActivityCode_gasFieldOrGasolineVapor</v>
      </c>
      <c r="B1190" s="330"/>
      <c r="C1190" s="334"/>
      <c r="D1190" s="188" t="s">
        <v>16146</v>
      </c>
      <c r="E1190" s="189" t="s">
        <v>16147</v>
      </c>
      <c r="F1190" s="162" t="s">
        <v>16148</v>
      </c>
      <c r="G1190" s="162" t="s">
        <v>16131</v>
      </c>
      <c r="H1190" s="219"/>
      <c r="I1190" s="169">
        <v>114675</v>
      </c>
      <c r="J1190" s="304" t="str">
        <f>CONCATENATE([2]Cover!$D$6,"fdd/view?i=",I1190)</f>
        <v>https://www.dgiwg.org/FAD/fdd/view?i=114675</v>
      </c>
      <c r="K1190" s="304" t="s">
        <v>35239</v>
      </c>
      <c r="L1190" s="188">
        <v>22</v>
      </c>
      <c r="M1190" s="179" t="s">
        <v>151</v>
      </c>
    </row>
    <row r="1191" spans="1:13" ht="51">
      <c r="A1191" s="313" t="str">
        <f t="shared" si="18"/>
        <v>AirspaceActivityCode_gliding</v>
      </c>
      <c r="B1191" s="330"/>
      <c r="C1191" s="334"/>
      <c r="D1191" s="188" t="s">
        <v>16149</v>
      </c>
      <c r="E1191" s="189" t="s">
        <v>16150</v>
      </c>
      <c r="F1191" s="162" t="s">
        <v>16151</v>
      </c>
      <c r="G1191" s="162" t="s">
        <v>16152</v>
      </c>
      <c r="H1191" s="219"/>
      <c r="I1191" s="169">
        <v>114676</v>
      </c>
      <c r="J1191" s="304" t="str">
        <f>CONCATENATE([2]Cover!$D$6,"fdd/view?i=",I1191)</f>
        <v>https://www.dgiwg.org/FAD/fdd/view?i=114676</v>
      </c>
      <c r="K1191" s="304" t="s">
        <v>35240</v>
      </c>
      <c r="L1191" s="188">
        <v>23</v>
      </c>
      <c r="M1191" s="179" t="s">
        <v>151</v>
      </c>
    </row>
    <row r="1192" spans="1:13" ht="38.25">
      <c r="A1192" s="313" t="str">
        <f t="shared" si="18"/>
        <v>AirspaceActivityCode_hangGliding</v>
      </c>
      <c r="B1192" s="330"/>
      <c r="C1192" s="334"/>
      <c r="D1192" s="188" t="s">
        <v>16153</v>
      </c>
      <c r="E1192" s="189" t="s">
        <v>16154</v>
      </c>
      <c r="F1192" s="162" t="s">
        <v>16155</v>
      </c>
      <c r="G1192" s="162" t="s">
        <v>16092</v>
      </c>
      <c r="H1192" s="219"/>
      <c r="I1192" s="169">
        <v>114677</v>
      </c>
      <c r="J1192" s="304" t="str">
        <f>CONCATENATE([2]Cover!$D$6,"fdd/view?i=",I1192)</f>
        <v>https://www.dgiwg.org/FAD/fdd/view?i=114677</v>
      </c>
      <c r="K1192" s="304" t="s">
        <v>35241</v>
      </c>
      <c r="L1192" s="188">
        <v>24</v>
      </c>
      <c r="M1192" s="179" t="s">
        <v>151</v>
      </c>
    </row>
    <row r="1193" spans="1:13" ht="25.5">
      <c r="A1193" s="313" t="str">
        <f t="shared" si="18"/>
        <v>AirspaceActivityCode_heavyFireSuppressionWork</v>
      </c>
      <c r="B1193" s="330"/>
      <c r="C1193" s="334"/>
      <c r="D1193" s="188" t="s">
        <v>16156</v>
      </c>
      <c r="E1193" s="189" t="s">
        <v>16157</v>
      </c>
      <c r="F1193" s="162" t="s">
        <v>16158</v>
      </c>
      <c r="G1193" s="162" t="s">
        <v>16092</v>
      </c>
      <c r="H1193" s="219"/>
      <c r="I1193" s="169">
        <v>114678</v>
      </c>
      <c r="J1193" s="304" t="str">
        <f>CONCATENATE([2]Cover!$D$6,"fdd/view?i=",I1193)</f>
        <v>https://www.dgiwg.org/FAD/fdd/view?i=114678</v>
      </c>
      <c r="K1193" s="304" t="s">
        <v>35242</v>
      </c>
      <c r="L1193" s="188">
        <v>25</v>
      </c>
      <c r="M1193" s="179" t="s">
        <v>151</v>
      </c>
    </row>
    <row r="1194" spans="1:13" ht="25.5">
      <c r="A1194" s="313" t="str">
        <f t="shared" si="18"/>
        <v>AirspaceActivityCode_helicopterGyroTraffic</v>
      </c>
      <c r="B1194" s="330"/>
      <c r="C1194" s="334"/>
      <c r="D1194" s="188" t="s">
        <v>16159</v>
      </c>
      <c r="E1194" s="189" t="s">
        <v>16160</v>
      </c>
      <c r="F1194" s="162" t="s">
        <v>16161</v>
      </c>
      <c r="G1194" s="162" t="s">
        <v>16092</v>
      </c>
      <c r="H1194" s="219"/>
      <c r="I1194" s="169">
        <v>114679</v>
      </c>
      <c r="J1194" s="304" t="str">
        <f>CONCATENATE([2]Cover!$D$6,"fdd/view?i=",I1194)</f>
        <v>https://www.dgiwg.org/FAD/fdd/view?i=114679</v>
      </c>
      <c r="K1194" s="304" t="s">
        <v>35243</v>
      </c>
      <c r="L1194" s="188">
        <v>26</v>
      </c>
      <c r="M1194" s="179" t="s">
        <v>151</v>
      </c>
    </row>
    <row r="1195" spans="1:13" ht="25.5">
      <c r="A1195" s="313" t="str">
        <f t="shared" si="18"/>
        <v>AirspaceActivityCode_highIntensityLights</v>
      </c>
      <c r="B1195" s="330"/>
      <c r="C1195" s="334"/>
      <c r="D1195" s="188" t="s">
        <v>16162</v>
      </c>
      <c r="E1195" s="189" t="s">
        <v>16163</v>
      </c>
      <c r="F1195" s="162" t="s">
        <v>16164</v>
      </c>
      <c r="G1195" s="162" t="s">
        <v>16114</v>
      </c>
      <c r="H1195" s="219"/>
      <c r="I1195" s="169">
        <v>114680</v>
      </c>
      <c r="J1195" s="304" t="str">
        <f>CONCATENATE([2]Cover!$D$6,"fdd/view?i=",I1195)</f>
        <v>https://www.dgiwg.org/FAD/fdd/view?i=114680</v>
      </c>
      <c r="K1195" s="304" t="s">
        <v>35244</v>
      </c>
      <c r="L1195" s="188">
        <v>27</v>
      </c>
      <c r="M1195" s="179" t="s">
        <v>151</v>
      </c>
    </row>
    <row r="1196" spans="1:13" ht="25.5">
      <c r="A1196" s="313" t="str">
        <f t="shared" si="18"/>
        <v>AirspaceActivityCode_highIntensityRadioTrans</v>
      </c>
      <c r="B1196" s="330"/>
      <c r="C1196" s="334"/>
      <c r="D1196" s="188" t="s">
        <v>16165</v>
      </c>
      <c r="E1196" s="189" t="s">
        <v>16166</v>
      </c>
      <c r="F1196" s="162" t="s">
        <v>16167</v>
      </c>
      <c r="G1196" s="162" t="s">
        <v>16114</v>
      </c>
      <c r="H1196" s="219"/>
      <c r="I1196" s="169">
        <v>114681</v>
      </c>
      <c r="J1196" s="304" t="str">
        <f>CONCATENATE([2]Cover!$D$6,"fdd/view?i=",I1196)</f>
        <v>https://www.dgiwg.org/FAD/fdd/view?i=114681</v>
      </c>
      <c r="K1196" s="304" t="s">
        <v>35245</v>
      </c>
      <c r="L1196" s="188">
        <v>28</v>
      </c>
      <c r="M1196" s="179" t="s">
        <v>151</v>
      </c>
    </row>
    <row r="1197" spans="1:13" ht="25.5">
      <c r="A1197" s="313" t="str">
        <f t="shared" si="18"/>
        <v>AirspaceActivityCode_highlyPopulatedArea</v>
      </c>
      <c r="B1197" s="330"/>
      <c r="C1197" s="334"/>
      <c r="D1197" s="188" t="s">
        <v>16168</v>
      </c>
      <c r="E1197" s="189" t="s">
        <v>16169</v>
      </c>
      <c r="F1197" s="162" t="s">
        <v>16170</v>
      </c>
      <c r="G1197" s="162" t="s">
        <v>16075</v>
      </c>
      <c r="H1197" s="219"/>
      <c r="I1197" s="169">
        <v>114682</v>
      </c>
      <c r="J1197" s="304" t="str">
        <f>CONCATENATE([2]Cover!$D$6,"fdd/view?i=",I1197)</f>
        <v>https://www.dgiwg.org/FAD/fdd/view?i=114682</v>
      </c>
      <c r="K1197" s="304" t="s">
        <v>35246</v>
      </c>
      <c r="L1197" s="188">
        <v>29</v>
      </c>
      <c r="M1197" s="179" t="s">
        <v>151</v>
      </c>
    </row>
    <row r="1198" spans="1:13" ht="25.5">
      <c r="A1198" s="313" t="str">
        <f t="shared" si="18"/>
        <v>AirspaceActivityCode_hotAirBalloons</v>
      </c>
      <c r="B1198" s="330"/>
      <c r="C1198" s="334"/>
      <c r="D1198" s="188" t="s">
        <v>16171</v>
      </c>
      <c r="E1198" s="189" t="s">
        <v>16172</v>
      </c>
      <c r="F1198" s="162" t="s">
        <v>16173</v>
      </c>
      <c r="G1198" s="162" t="s">
        <v>16092</v>
      </c>
      <c r="H1198" s="219"/>
      <c r="I1198" s="169">
        <v>114683</v>
      </c>
      <c r="J1198" s="304" t="str">
        <f>CONCATENATE([2]Cover!$D$6,"fdd/view?i=",I1198)</f>
        <v>https://www.dgiwg.org/FAD/fdd/view?i=114683</v>
      </c>
      <c r="K1198" s="304" t="s">
        <v>35247</v>
      </c>
      <c r="L1198" s="188">
        <v>30</v>
      </c>
      <c r="M1198" s="179" t="s">
        <v>151</v>
      </c>
    </row>
    <row r="1199" spans="1:13" ht="38.25">
      <c r="A1199" s="313" t="str">
        <f t="shared" si="18"/>
        <v>AirspaceActivityCode_laserUsage</v>
      </c>
      <c r="B1199" s="330"/>
      <c r="C1199" s="334"/>
      <c r="D1199" s="188" t="s">
        <v>16174</v>
      </c>
      <c r="E1199" s="189" t="s">
        <v>16175</v>
      </c>
      <c r="F1199" s="162" t="s">
        <v>16176</v>
      </c>
      <c r="G1199" s="162" t="s">
        <v>16177</v>
      </c>
      <c r="H1199" s="221" t="s">
        <v>16178</v>
      </c>
      <c r="I1199" s="169">
        <v>114684</v>
      </c>
      <c r="J1199" s="304" t="str">
        <f>CONCATENATE([2]Cover!$D$6,"fdd/view?i=",I1199)</f>
        <v>https://www.dgiwg.org/FAD/fdd/view?i=114684</v>
      </c>
      <c r="K1199" s="304" t="s">
        <v>35248</v>
      </c>
      <c r="L1199" s="188">
        <v>31</v>
      </c>
      <c r="M1199" s="179" t="s">
        <v>151</v>
      </c>
    </row>
    <row r="1200" spans="1:13" ht="25.5">
      <c r="A1200" s="313" t="str">
        <f t="shared" si="18"/>
        <v>AirspaceActivityCode_militaryOperations</v>
      </c>
      <c r="B1200" s="330"/>
      <c r="C1200" s="334"/>
      <c r="D1200" s="188" t="s">
        <v>16179</v>
      </c>
      <c r="E1200" s="189" t="s">
        <v>16180</v>
      </c>
      <c r="F1200" s="162" t="s">
        <v>16181</v>
      </c>
      <c r="G1200" s="162" t="s">
        <v>16080</v>
      </c>
      <c r="H1200" s="219"/>
      <c r="I1200" s="169">
        <v>114685</v>
      </c>
      <c r="J1200" s="304" t="str">
        <f>CONCATENATE([2]Cover!$D$6,"fdd/view?i=",I1200)</f>
        <v>https://www.dgiwg.org/FAD/fdd/view?i=114685</v>
      </c>
      <c r="K1200" s="304" t="s">
        <v>35249</v>
      </c>
      <c r="L1200" s="188">
        <v>32</v>
      </c>
      <c r="M1200" s="179" t="s">
        <v>151</v>
      </c>
    </row>
    <row r="1201" spans="1:13" ht="51">
      <c r="A1201" s="313" t="str">
        <f t="shared" si="18"/>
        <v>AirspaceActivityCode_naturalReserve</v>
      </c>
      <c r="B1201" s="330"/>
      <c r="C1201" s="334"/>
      <c r="D1201" s="188" t="s">
        <v>16182</v>
      </c>
      <c r="E1201" s="189" t="s">
        <v>16183</v>
      </c>
      <c r="F1201" s="162" t="s">
        <v>16184</v>
      </c>
      <c r="G1201" s="162" t="s">
        <v>16185</v>
      </c>
      <c r="H1201" s="219"/>
      <c r="I1201" s="169">
        <v>114686</v>
      </c>
      <c r="J1201" s="304" t="str">
        <f>CONCATENATE([2]Cover!$D$6,"fdd/view?i=",I1201)</f>
        <v>https://www.dgiwg.org/FAD/fdd/view?i=114686</v>
      </c>
      <c r="K1201" s="304" t="s">
        <v>35250</v>
      </c>
      <c r="L1201" s="188">
        <v>33</v>
      </c>
      <c r="M1201" s="179" t="s">
        <v>151</v>
      </c>
    </row>
    <row r="1202" spans="1:13" ht="25.5">
      <c r="A1202" s="313" t="str">
        <f t="shared" si="18"/>
        <v>AirspaceActivityCode_navalFiringAndOrPractice</v>
      </c>
      <c r="B1202" s="330"/>
      <c r="C1202" s="334"/>
      <c r="D1202" s="188" t="s">
        <v>16186</v>
      </c>
      <c r="E1202" s="189" t="s">
        <v>16187</v>
      </c>
      <c r="F1202" s="162" t="s">
        <v>16188</v>
      </c>
      <c r="G1202" s="162" t="s">
        <v>3273</v>
      </c>
      <c r="H1202" s="221" t="s">
        <v>16189</v>
      </c>
      <c r="I1202" s="169">
        <v>114699</v>
      </c>
      <c r="J1202" s="304" t="str">
        <f>CONCATENATE([2]Cover!$D$6,"fdd/view?i=",I1202)</f>
        <v>https://www.dgiwg.org/FAD/fdd/view?i=114699</v>
      </c>
      <c r="K1202" s="304" t="s">
        <v>35251</v>
      </c>
      <c r="L1202" s="188">
        <v>46</v>
      </c>
      <c r="M1202" s="179" t="s">
        <v>151</v>
      </c>
    </row>
    <row r="1203" spans="1:13" ht="25.5">
      <c r="A1203" s="313" t="str">
        <f t="shared" si="18"/>
        <v>AirspaceActivityCode_noiseAbatement</v>
      </c>
      <c r="B1203" s="330"/>
      <c r="C1203" s="334"/>
      <c r="D1203" s="188" t="s">
        <v>16190</v>
      </c>
      <c r="E1203" s="189" t="s">
        <v>16191</v>
      </c>
      <c r="F1203" s="162" t="s">
        <v>16192</v>
      </c>
      <c r="G1203" s="162" t="s">
        <v>16075</v>
      </c>
      <c r="H1203" s="219"/>
      <c r="I1203" s="169">
        <v>114687</v>
      </c>
      <c r="J1203" s="304" t="str">
        <f>CONCATENATE([2]Cover!$D$6,"fdd/view?i=",I1203)</f>
        <v>https://www.dgiwg.org/FAD/fdd/view?i=114687</v>
      </c>
      <c r="K1203" s="304" t="s">
        <v>35252</v>
      </c>
      <c r="L1203" s="188">
        <v>34</v>
      </c>
      <c r="M1203" s="179" t="s">
        <v>151</v>
      </c>
    </row>
    <row r="1204" spans="1:13" ht="25.5">
      <c r="A1204" s="313" t="str">
        <f t="shared" si="18"/>
        <v>AirspaceActivityCode_nuclearEnergyPlant</v>
      </c>
      <c r="B1204" s="330"/>
      <c r="C1204" s="334"/>
      <c r="D1204" s="188" t="s">
        <v>16193</v>
      </c>
      <c r="E1204" s="189" t="s">
        <v>16194</v>
      </c>
      <c r="F1204" s="162" t="s">
        <v>16195</v>
      </c>
      <c r="G1204" s="162" t="s">
        <v>16131</v>
      </c>
      <c r="H1204" s="221" t="s">
        <v>16196</v>
      </c>
      <c r="I1204" s="169">
        <v>114688</v>
      </c>
      <c r="J1204" s="304" t="str">
        <f>CONCATENATE([2]Cover!$D$6,"fdd/view?i=",I1204)</f>
        <v>https://www.dgiwg.org/FAD/fdd/view?i=114688</v>
      </c>
      <c r="K1204" s="304" t="s">
        <v>35253</v>
      </c>
      <c r="L1204" s="188">
        <v>35</v>
      </c>
      <c r="M1204" s="179" t="s">
        <v>151</v>
      </c>
    </row>
    <row r="1205" spans="1:13">
      <c r="A1205" s="313" t="str">
        <f t="shared" si="18"/>
        <v>AirspaceActivityCode_oilField</v>
      </c>
      <c r="B1205" s="330"/>
      <c r="C1205" s="334"/>
      <c r="D1205" s="188" t="s">
        <v>16197</v>
      </c>
      <c r="E1205" s="189" t="s">
        <v>16198</v>
      </c>
      <c r="F1205" s="162" t="s">
        <v>16199</v>
      </c>
      <c r="G1205" s="162" t="s">
        <v>16131</v>
      </c>
      <c r="H1205" s="219"/>
      <c r="I1205" s="169">
        <v>114689</v>
      </c>
      <c r="J1205" s="304" t="str">
        <f>CONCATENATE([2]Cover!$D$6,"fdd/view?i=",I1205)</f>
        <v>https://www.dgiwg.org/FAD/fdd/view?i=114689</v>
      </c>
      <c r="K1205" s="304" t="s">
        <v>35254</v>
      </c>
      <c r="L1205" s="188">
        <v>36</v>
      </c>
      <c r="M1205" s="179" t="s">
        <v>151</v>
      </c>
    </row>
    <row r="1206" spans="1:13" ht="38.25">
      <c r="A1206" s="313" t="str">
        <f t="shared" si="18"/>
        <v>AirspaceActivityCode_parachuteJumping</v>
      </c>
      <c r="B1206" s="330"/>
      <c r="C1206" s="334"/>
      <c r="D1206" s="188" t="s">
        <v>16200</v>
      </c>
      <c r="E1206" s="189" t="s">
        <v>16201</v>
      </c>
      <c r="F1206" s="162" t="s">
        <v>16202</v>
      </c>
      <c r="G1206" s="162" t="s">
        <v>16203</v>
      </c>
      <c r="H1206" s="219"/>
      <c r="I1206" s="169">
        <v>114691</v>
      </c>
      <c r="J1206" s="304" t="str">
        <f>CONCATENATE([2]Cover!$D$6,"fdd/view?i=",I1206)</f>
        <v>https://www.dgiwg.org/FAD/fdd/view?i=114691</v>
      </c>
      <c r="K1206" s="304" t="s">
        <v>35255</v>
      </c>
      <c r="L1206" s="188">
        <v>38</v>
      </c>
      <c r="M1206" s="179" t="s">
        <v>151</v>
      </c>
    </row>
    <row r="1207" spans="1:13" ht="76.5">
      <c r="A1207" s="313" t="str">
        <f t="shared" si="18"/>
        <v>AirspaceActivityCode_paragliding</v>
      </c>
      <c r="B1207" s="330"/>
      <c r="C1207" s="334"/>
      <c r="D1207" s="188" t="s">
        <v>16204</v>
      </c>
      <c r="E1207" s="189" t="s">
        <v>16205</v>
      </c>
      <c r="F1207" s="162" t="s">
        <v>16206</v>
      </c>
      <c r="G1207" s="162" t="s">
        <v>16207</v>
      </c>
      <c r="H1207" s="219"/>
      <c r="I1207" s="169">
        <v>114692</v>
      </c>
      <c r="J1207" s="304" t="str">
        <f>CONCATENATE([2]Cover!$D$6,"fdd/view?i=",I1207)</f>
        <v>https://www.dgiwg.org/FAD/fdd/view?i=114692</v>
      </c>
      <c r="K1207" s="304" t="s">
        <v>35256</v>
      </c>
      <c r="L1207" s="188">
        <v>39</v>
      </c>
      <c r="M1207" s="179" t="s">
        <v>151</v>
      </c>
    </row>
    <row r="1208" spans="1:13" ht="25.5">
      <c r="A1208" s="313" t="str">
        <f t="shared" si="18"/>
        <v>AirspaceActivityCode_petrochemicalRefinery</v>
      </c>
      <c r="B1208" s="330"/>
      <c r="C1208" s="334"/>
      <c r="D1208" s="188" t="s">
        <v>16208</v>
      </c>
      <c r="E1208" s="189" t="s">
        <v>16209</v>
      </c>
      <c r="F1208" s="162" t="s">
        <v>16210</v>
      </c>
      <c r="G1208" s="162" t="s">
        <v>16131</v>
      </c>
      <c r="H1208" s="221" t="s">
        <v>16211</v>
      </c>
      <c r="I1208" s="169">
        <v>114690</v>
      </c>
      <c r="J1208" s="304" t="str">
        <f>CONCATENATE([2]Cover!$D$6,"fdd/view?i=",I1208)</f>
        <v>https://www.dgiwg.org/FAD/fdd/view?i=114690</v>
      </c>
      <c r="K1208" s="304" t="s">
        <v>35257</v>
      </c>
      <c r="L1208" s="188">
        <v>37</v>
      </c>
      <c r="M1208" s="179" t="s">
        <v>151</v>
      </c>
    </row>
    <row r="1209" spans="1:13">
      <c r="A1209" s="313" t="str">
        <f t="shared" si="18"/>
        <v>AirspaceActivityCode_president</v>
      </c>
      <c r="B1209" s="330"/>
      <c r="C1209" s="334"/>
      <c r="D1209" s="188" t="s">
        <v>16212</v>
      </c>
      <c r="E1209" s="189" t="s">
        <v>16213</v>
      </c>
      <c r="F1209" s="162" t="s">
        <v>16214</v>
      </c>
      <c r="G1209" s="162" t="s">
        <v>16075</v>
      </c>
      <c r="H1209" s="219"/>
      <c r="I1209" s="169">
        <v>114693</v>
      </c>
      <c r="J1209" s="304" t="str">
        <f>CONCATENATE([2]Cover!$D$6,"fdd/view?i=",I1209)</f>
        <v>https://www.dgiwg.org/FAD/fdd/view?i=114693</v>
      </c>
      <c r="K1209" s="304" t="s">
        <v>35258</v>
      </c>
      <c r="L1209" s="188">
        <v>40</v>
      </c>
      <c r="M1209" s="179" t="s">
        <v>151</v>
      </c>
    </row>
    <row r="1210" spans="1:13" ht="51">
      <c r="A1210" s="313" t="str">
        <f t="shared" si="18"/>
        <v>AirspaceActivityCode_radiosonde</v>
      </c>
      <c r="B1210" s="330"/>
      <c r="C1210" s="334"/>
      <c r="D1210" s="188" t="s">
        <v>16215</v>
      </c>
      <c r="E1210" s="189" t="s">
        <v>16216</v>
      </c>
      <c r="F1210" s="162" t="s">
        <v>16217</v>
      </c>
      <c r="G1210" s="162" t="s">
        <v>16218</v>
      </c>
      <c r="H1210" s="221" t="s">
        <v>16219</v>
      </c>
      <c r="I1210" s="169">
        <v>114666</v>
      </c>
      <c r="J1210" s="304" t="str">
        <f>CONCATENATE([2]Cover!$D$6,"fdd/view?i=",I1210)</f>
        <v>https://www.dgiwg.org/FAD/fdd/view?i=114666</v>
      </c>
      <c r="K1210" s="304" t="s">
        <v>35259</v>
      </c>
      <c r="L1210" s="188">
        <v>13</v>
      </c>
      <c r="M1210" s="179" t="s">
        <v>151</v>
      </c>
    </row>
    <row r="1211" spans="1:13" ht="25.5">
      <c r="A1211" s="313" t="str">
        <f t="shared" si="18"/>
        <v>AirspaceActivityCode_rnavEquipment</v>
      </c>
      <c r="B1211" s="330"/>
      <c r="C1211" s="334"/>
      <c r="D1211" s="188" t="s">
        <v>16220</v>
      </c>
      <c r="E1211" s="189" t="s">
        <v>16221</v>
      </c>
      <c r="F1211" s="162" t="s">
        <v>16222</v>
      </c>
      <c r="G1211" s="162" t="s">
        <v>16070</v>
      </c>
      <c r="H1211" s="221" t="s">
        <v>16223</v>
      </c>
      <c r="I1211" s="169">
        <v>114695</v>
      </c>
      <c r="J1211" s="304" t="str">
        <f>CONCATENATE([2]Cover!$D$6,"fdd/view?i=",I1211)</f>
        <v>https://www.dgiwg.org/FAD/fdd/view?i=114695</v>
      </c>
      <c r="K1211" s="304" t="s">
        <v>35260</v>
      </c>
      <c r="L1211" s="188">
        <v>42</v>
      </c>
      <c r="M1211" s="179" t="s">
        <v>151</v>
      </c>
    </row>
    <row r="1212" spans="1:13" ht="38.25">
      <c r="A1212" s="313" t="str">
        <f t="shared" si="18"/>
        <v>AirspaceActivityCode_rvsmEquipment</v>
      </c>
      <c r="B1212" s="330"/>
      <c r="C1212" s="334"/>
      <c r="D1212" s="188" t="s">
        <v>16224</v>
      </c>
      <c r="E1212" s="189" t="s">
        <v>16225</v>
      </c>
      <c r="F1212" s="162" t="s">
        <v>16226</v>
      </c>
      <c r="G1212" s="162" t="s">
        <v>16070</v>
      </c>
      <c r="H1212" s="221" t="s">
        <v>16227</v>
      </c>
      <c r="I1212" s="169">
        <v>114696</v>
      </c>
      <c r="J1212" s="304" t="str">
        <f>CONCATENATE([2]Cover!$D$6,"fdd/view?i=",I1212)</f>
        <v>https://www.dgiwg.org/FAD/fdd/view?i=114696</v>
      </c>
      <c r="K1212" s="304" t="s">
        <v>35261</v>
      </c>
      <c r="L1212" s="188">
        <v>43</v>
      </c>
      <c r="M1212" s="179" t="s">
        <v>151</v>
      </c>
    </row>
    <row r="1213" spans="1:13" ht="25.5">
      <c r="A1213" s="313" t="str">
        <f t="shared" si="18"/>
        <v>AirspaceActivityCode_seasonalCropDusting</v>
      </c>
      <c r="B1213" s="330"/>
      <c r="C1213" s="334"/>
      <c r="D1213" s="188" t="s">
        <v>16228</v>
      </c>
      <c r="E1213" s="189" t="s">
        <v>16229</v>
      </c>
      <c r="F1213" s="162" t="s">
        <v>16230</v>
      </c>
      <c r="G1213" s="162" t="s">
        <v>16092</v>
      </c>
      <c r="H1213" s="219"/>
      <c r="I1213" s="169">
        <v>114697</v>
      </c>
      <c r="J1213" s="304" t="str">
        <f>CONCATENATE([2]Cover!$D$6,"fdd/view?i=",I1213)</f>
        <v>https://www.dgiwg.org/FAD/fdd/view?i=114697</v>
      </c>
      <c r="K1213" s="304" t="s">
        <v>35262</v>
      </c>
      <c r="L1213" s="188">
        <v>44</v>
      </c>
      <c r="M1213" s="179" t="s">
        <v>151</v>
      </c>
    </row>
    <row r="1214" spans="1:13" ht="38.25">
      <c r="A1214" s="313" t="str">
        <f t="shared" si="18"/>
        <v>AirspaceActivityCode_sensitiveFauna</v>
      </c>
      <c r="B1214" s="330"/>
      <c r="C1214" s="334"/>
      <c r="D1214" s="188" t="s">
        <v>16231</v>
      </c>
      <c r="E1214" s="189" t="s">
        <v>16232</v>
      </c>
      <c r="F1214" s="162" t="s">
        <v>16233</v>
      </c>
      <c r="G1214" s="162" t="s">
        <v>16234</v>
      </c>
      <c r="H1214" s="219"/>
      <c r="I1214" s="169">
        <v>114698</v>
      </c>
      <c r="J1214" s="304" t="str">
        <f>CONCATENATE([2]Cover!$D$6,"fdd/view?i=",I1214)</f>
        <v>https://www.dgiwg.org/FAD/fdd/view?i=114698</v>
      </c>
      <c r="K1214" s="304" t="s">
        <v>35263</v>
      </c>
      <c r="L1214" s="188">
        <v>45</v>
      </c>
      <c r="M1214" s="179" t="s">
        <v>151</v>
      </c>
    </row>
    <row r="1215" spans="1:13" ht="25.5">
      <c r="A1215" s="313" t="str">
        <f t="shared" si="18"/>
        <v>AirspaceActivityCode_shootingFromGround</v>
      </c>
      <c r="B1215" s="330"/>
      <c r="C1215" s="334"/>
      <c r="D1215" s="188" t="s">
        <v>16235</v>
      </c>
      <c r="E1215" s="189" t="s">
        <v>16236</v>
      </c>
      <c r="F1215" s="162" t="s">
        <v>16237</v>
      </c>
      <c r="G1215" s="162" t="s">
        <v>16238</v>
      </c>
      <c r="H1215" s="219"/>
      <c r="I1215" s="169">
        <v>114700</v>
      </c>
      <c r="J1215" s="304" t="str">
        <f>CONCATENATE([2]Cover!$D$6,"fdd/view?i=",I1215)</f>
        <v>https://www.dgiwg.org/FAD/fdd/view?i=114700</v>
      </c>
      <c r="K1215" s="304" t="s">
        <v>35264</v>
      </c>
      <c r="L1215" s="188">
        <v>47</v>
      </c>
      <c r="M1215" s="179" t="s">
        <v>151</v>
      </c>
    </row>
    <row r="1216" spans="1:13" ht="25.5">
      <c r="A1216" s="313" t="str">
        <f t="shared" si="18"/>
        <v>AirspaceActivityCode_spaceFlightOperations</v>
      </c>
      <c r="B1216" s="330"/>
      <c r="C1216" s="334"/>
      <c r="D1216" s="188" t="s">
        <v>16239</v>
      </c>
      <c r="E1216" s="189" t="s">
        <v>16240</v>
      </c>
      <c r="F1216" s="162" t="s">
        <v>16241</v>
      </c>
      <c r="G1216" s="162" t="s">
        <v>16092</v>
      </c>
      <c r="H1216" s="219"/>
      <c r="I1216" s="169">
        <v>114701</v>
      </c>
      <c r="J1216" s="304" t="str">
        <f>CONCATENATE([2]Cover!$D$6,"fdd/view?i=",I1216)</f>
        <v>https://www.dgiwg.org/FAD/fdd/view?i=114701</v>
      </c>
      <c r="K1216" s="304" t="s">
        <v>35265</v>
      </c>
      <c r="L1216" s="188">
        <v>48</v>
      </c>
      <c r="M1216" s="179" t="s">
        <v>151</v>
      </c>
    </row>
    <row r="1217" spans="1:13" ht="25.5">
      <c r="A1217" s="313" t="str">
        <f t="shared" si="18"/>
        <v>AirspaceActivityCode_specialEquipment</v>
      </c>
      <c r="B1217" s="330"/>
      <c r="C1217" s="334"/>
      <c r="D1217" s="188" t="s">
        <v>16242</v>
      </c>
      <c r="E1217" s="189" t="s">
        <v>16243</v>
      </c>
      <c r="F1217" s="162" t="s">
        <v>16244</v>
      </c>
      <c r="G1217" s="162" t="s">
        <v>16070</v>
      </c>
      <c r="H1217" s="219"/>
      <c r="I1217" s="169">
        <v>114702</v>
      </c>
      <c r="J1217" s="304" t="str">
        <f>CONCATENATE([2]Cover!$D$6,"fdd/view?i=",I1217)</f>
        <v>https://www.dgiwg.org/FAD/fdd/view?i=114702</v>
      </c>
      <c r="K1217" s="304" t="s">
        <v>35266</v>
      </c>
      <c r="L1217" s="188">
        <v>49</v>
      </c>
      <c r="M1217" s="179" t="s">
        <v>151</v>
      </c>
    </row>
    <row r="1218" spans="1:13" ht="25.5">
      <c r="A1218" s="313" t="str">
        <f t="shared" si="18"/>
        <v>AirspaceActivityCode_specialProcedure</v>
      </c>
      <c r="B1218" s="330"/>
      <c r="C1218" s="334"/>
      <c r="D1218" s="188" t="s">
        <v>16245</v>
      </c>
      <c r="E1218" s="189" t="s">
        <v>16246</v>
      </c>
      <c r="F1218" s="162" t="s">
        <v>16247</v>
      </c>
      <c r="G1218" s="162" t="s">
        <v>16248</v>
      </c>
      <c r="H1218" s="219"/>
      <c r="I1218" s="169">
        <v>114703</v>
      </c>
      <c r="J1218" s="304" t="str">
        <f>CONCATENATE([2]Cover!$D$6,"fdd/view?i=",I1218)</f>
        <v>https://www.dgiwg.org/FAD/fdd/view?i=114703</v>
      </c>
      <c r="K1218" s="304" t="s">
        <v>35267</v>
      </c>
      <c r="L1218" s="188">
        <v>50</v>
      </c>
      <c r="M1218" s="179" t="s">
        <v>151</v>
      </c>
    </row>
    <row r="1219" spans="1:13">
      <c r="A1219" s="313" t="str">
        <f t="shared" ref="A1219:A1282" si="19">HYPERLINK(J1219,K1219)</f>
        <v>AirspaceActivityCode_targetTowing</v>
      </c>
      <c r="B1219" s="330"/>
      <c r="C1219" s="334"/>
      <c r="D1219" s="188" t="s">
        <v>16249</v>
      </c>
      <c r="E1219" s="189" t="s">
        <v>16250</v>
      </c>
      <c r="F1219" s="162" t="s">
        <v>16251</v>
      </c>
      <c r="G1219" s="162" t="s">
        <v>16080</v>
      </c>
      <c r="H1219" s="219"/>
      <c r="I1219" s="169">
        <v>114704</v>
      </c>
      <c r="J1219" s="304" t="str">
        <f>CONCATENATE([2]Cover!$D$6,"fdd/view?i=",I1219)</f>
        <v>https://www.dgiwg.org/FAD/fdd/view?i=114704</v>
      </c>
      <c r="K1219" s="304" t="s">
        <v>35268</v>
      </c>
      <c r="L1219" s="188">
        <v>51</v>
      </c>
      <c r="M1219" s="179" t="s">
        <v>151</v>
      </c>
    </row>
    <row r="1220" spans="1:13" ht="25.5">
      <c r="A1220" s="313" t="str">
        <f t="shared" si="19"/>
        <v>AirspaceActivityCode_technicalActivity</v>
      </c>
      <c r="B1220" s="330"/>
      <c r="C1220" s="334"/>
      <c r="D1220" s="188" t="s">
        <v>16252</v>
      </c>
      <c r="E1220" s="189" t="s">
        <v>16253</v>
      </c>
      <c r="F1220" s="162" t="s">
        <v>16254</v>
      </c>
      <c r="G1220" s="162" t="s">
        <v>16131</v>
      </c>
      <c r="H1220" s="219"/>
      <c r="I1220" s="169">
        <v>114705</v>
      </c>
      <c r="J1220" s="304" t="str">
        <f>CONCATENATE([2]Cover!$D$6,"fdd/view?i=",I1220)</f>
        <v>https://www.dgiwg.org/FAD/fdd/view?i=114705</v>
      </c>
      <c r="K1220" s="304" t="s">
        <v>35269</v>
      </c>
      <c r="L1220" s="188">
        <v>52</v>
      </c>
      <c r="M1220" s="179" t="s">
        <v>151</v>
      </c>
    </row>
    <row r="1221" spans="1:13">
      <c r="A1221" s="313" t="str">
        <f t="shared" si="19"/>
        <v>AirspaceActivityCode_training</v>
      </c>
      <c r="B1221" s="330"/>
      <c r="C1221" s="334"/>
      <c r="D1221" s="188" t="s">
        <v>16255</v>
      </c>
      <c r="E1221" s="189" t="s">
        <v>16256</v>
      </c>
      <c r="F1221" s="162" t="s">
        <v>16257</v>
      </c>
      <c r="G1221" s="162" t="s">
        <v>16092</v>
      </c>
      <c r="H1221" s="219"/>
      <c r="I1221" s="169">
        <v>114706</v>
      </c>
      <c r="J1221" s="304" t="str">
        <f>CONCATENATE([2]Cover!$D$6,"fdd/view?i=",I1221)</f>
        <v>https://www.dgiwg.org/FAD/fdd/view?i=114706</v>
      </c>
      <c r="K1221" s="304" t="s">
        <v>35270</v>
      </c>
      <c r="L1221" s="188">
        <v>53</v>
      </c>
      <c r="M1221" s="179" t="s">
        <v>151</v>
      </c>
    </row>
    <row r="1222" spans="1:13" ht="25.5">
      <c r="A1222" s="313" t="str">
        <f t="shared" si="19"/>
        <v>AirspaceActivityCode_ultraLightFlights</v>
      </c>
      <c r="B1222" s="330"/>
      <c r="C1222" s="334"/>
      <c r="D1222" s="188" t="s">
        <v>16258</v>
      </c>
      <c r="E1222" s="189" t="s">
        <v>16259</v>
      </c>
      <c r="F1222" s="162" t="s">
        <v>16260</v>
      </c>
      <c r="G1222" s="162" t="s">
        <v>16092</v>
      </c>
      <c r="H1222" s="219"/>
      <c r="I1222" s="169">
        <v>114707</v>
      </c>
      <c r="J1222" s="304" t="str">
        <f>CONCATENATE([2]Cover!$D$6,"fdd/view?i=",I1222)</f>
        <v>https://www.dgiwg.org/FAD/fdd/view?i=114707</v>
      </c>
      <c r="K1222" s="304" t="s">
        <v>35271</v>
      </c>
      <c r="L1222" s="188">
        <v>54</v>
      </c>
      <c r="M1222" s="179" t="s">
        <v>151</v>
      </c>
    </row>
    <row r="1223" spans="1:13" ht="25.5">
      <c r="A1223" s="313" t="str">
        <f t="shared" si="19"/>
        <v>AirspaceActivityCode_underwaterExplosions</v>
      </c>
      <c r="B1223" s="330"/>
      <c r="C1223" s="334"/>
      <c r="D1223" s="188" t="s">
        <v>16261</v>
      </c>
      <c r="E1223" s="189" t="s">
        <v>16262</v>
      </c>
      <c r="F1223" s="162" t="s">
        <v>16263</v>
      </c>
      <c r="G1223" s="162" t="s">
        <v>16264</v>
      </c>
      <c r="H1223" s="219"/>
      <c r="I1223" s="169">
        <v>114708</v>
      </c>
      <c r="J1223" s="304" t="str">
        <f>CONCATENATE([2]Cover!$D$6,"fdd/view?i=",I1223)</f>
        <v>https://www.dgiwg.org/FAD/fdd/view?i=114708</v>
      </c>
      <c r="K1223" s="304" t="s">
        <v>35272</v>
      </c>
      <c r="L1223" s="188">
        <v>55</v>
      </c>
      <c r="M1223" s="179" t="s">
        <v>151</v>
      </c>
    </row>
    <row r="1224" spans="1:13" ht="76.5">
      <c r="A1224" s="313" t="str">
        <f t="shared" si="19"/>
        <v>AirspaceActivityCode_unmannedAerialVehicles</v>
      </c>
      <c r="B1224" s="330"/>
      <c r="C1224" s="334"/>
      <c r="D1224" s="188" t="s">
        <v>16265</v>
      </c>
      <c r="E1224" s="189" t="s">
        <v>16266</v>
      </c>
      <c r="F1224" s="162" t="s">
        <v>16267</v>
      </c>
      <c r="G1224" s="162" t="s">
        <v>16268</v>
      </c>
      <c r="H1224" s="221" t="s">
        <v>16269</v>
      </c>
      <c r="I1224" s="169">
        <v>114709</v>
      </c>
      <c r="J1224" s="304" t="str">
        <f>CONCATENATE([2]Cover!$D$6,"fdd/view?i=",I1224)</f>
        <v>https://www.dgiwg.org/FAD/fdd/view?i=114709</v>
      </c>
      <c r="K1224" s="304" t="s">
        <v>35273</v>
      </c>
      <c r="L1224" s="188">
        <v>56</v>
      </c>
      <c r="M1224" s="179" t="s">
        <v>151</v>
      </c>
    </row>
    <row r="1225" spans="1:13" ht="25.5">
      <c r="A1225" s="313" t="str">
        <f t="shared" si="19"/>
        <v>AirspaceActivityCode_vipPublicFigure</v>
      </c>
      <c r="B1225" s="330"/>
      <c r="C1225" s="334"/>
      <c r="D1225" s="188" t="s">
        <v>16270</v>
      </c>
      <c r="E1225" s="189" t="s">
        <v>16271</v>
      </c>
      <c r="F1225" s="162" t="s">
        <v>16272</v>
      </c>
      <c r="G1225" s="162" t="s">
        <v>16075</v>
      </c>
      <c r="H1225" s="219"/>
      <c r="I1225" s="169">
        <v>114711</v>
      </c>
      <c r="J1225" s="304" t="str">
        <f>CONCATENATE([2]Cover!$D$6,"fdd/view?i=",I1225)</f>
        <v>https://www.dgiwg.org/FAD/fdd/view?i=114711</v>
      </c>
      <c r="K1225" s="304" t="s">
        <v>35274</v>
      </c>
      <c r="L1225" s="188">
        <v>58</v>
      </c>
      <c r="M1225" s="179" t="s">
        <v>151</v>
      </c>
    </row>
    <row r="1226" spans="1:13" ht="25.5">
      <c r="A1226" s="313" t="str">
        <f t="shared" si="19"/>
        <v>AirspaceActivityCode_vipVicePresident</v>
      </c>
      <c r="B1226" s="331"/>
      <c r="C1226" s="335"/>
      <c r="D1226" s="181" t="s">
        <v>16273</v>
      </c>
      <c r="E1226" s="192" t="s">
        <v>16274</v>
      </c>
      <c r="F1226" s="193" t="s">
        <v>16275</v>
      </c>
      <c r="G1226" s="193" t="s">
        <v>16075</v>
      </c>
      <c r="H1226" s="220"/>
      <c r="I1226" s="169">
        <v>114710</v>
      </c>
      <c r="J1226" s="304" t="str">
        <f>CONCATENATE([2]Cover!$D$6,"fdd/view?i=",I1226)</f>
        <v>https://www.dgiwg.org/FAD/fdd/view?i=114710</v>
      </c>
      <c r="K1226" s="304" t="s">
        <v>35275</v>
      </c>
      <c r="L1226" s="181">
        <v>57</v>
      </c>
      <c r="M1226" s="179" t="s">
        <v>151</v>
      </c>
    </row>
    <row r="1227" spans="1:13" ht="25.5">
      <c r="A1227" s="313" t="str">
        <f t="shared" si="19"/>
        <v>AirspaceClassCode_classA</v>
      </c>
      <c r="B1227" s="332" t="str">
        <f>HYPERLINK("[#]Datatypes!A134:L134","AirspaceClassCode")</f>
        <v>AirspaceClassCode</v>
      </c>
      <c r="C1227" s="333" t="s">
        <v>11573</v>
      </c>
      <c r="D1227" s="202" t="s">
        <v>16276</v>
      </c>
      <c r="E1227" s="203" t="s">
        <v>16277</v>
      </c>
      <c r="F1227" s="204" t="s">
        <v>16278</v>
      </c>
      <c r="G1227" s="205"/>
      <c r="H1227" s="218"/>
      <c r="I1227" s="169">
        <v>114716</v>
      </c>
      <c r="J1227" s="304" t="str">
        <f>CONCATENATE([2]Cover!$D$6,"fdd/view?i=",I1227)</f>
        <v>https://www.dgiwg.org/FAD/fdd/view?i=114716</v>
      </c>
      <c r="K1227" s="304" t="s">
        <v>35276</v>
      </c>
      <c r="L1227" s="202">
        <v>1</v>
      </c>
      <c r="M1227" s="179" t="s">
        <v>151</v>
      </c>
    </row>
    <row r="1228" spans="1:13" ht="25.5">
      <c r="A1228" s="313" t="str">
        <f t="shared" si="19"/>
        <v>AirspaceClassCode_classB</v>
      </c>
      <c r="B1228" s="330"/>
      <c r="C1228" s="334"/>
      <c r="D1228" s="188" t="s">
        <v>16279</v>
      </c>
      <c r="E1228" s="189" t="s">
        <v>16280</v>
      </c>
      <c r="F1228" s="162" t="s">
        <v>16281</v>
      </c>
      <c r="G1228" s="190"/>
      <c r="H1228" s="219"/>
      <c r="I1228" s="169">
        <v>114717</v>
      </c>
      <c r="J1228" s="304" t="str">
        <f>CONCATENATE([2]Cover!$D$6,"fdd/view?i=",I1228)</f>
        <v>https://www.dgiwg.org/FAD/fdd/view?i=114717</v>
      </c>
      <c r="K1228" s="304" t="s">
        <v>35277</v>
      </c>
      <c r="L1228" s="188">
        <v>2</v>
      </c>
      <c r="M1228" s="179" t="s">
        <v>151</v>
      </c>
    </row>
    <row r="1229" spans="1:13" ht="38.25">
      <c r="A1229" s="313" t="str">
        <f t="shared" si="19"/>
        <v>AirspaceClassCode_classC</v>
      </c>
      <c r="B1229" s="330"/>
      <c r="C1229" s="334"/>
      <c r="D1229" s="188" t="s">
        <v>16282</v>
      </c>
      <c r="E1229" s="189" t="s">
        <v>16283</v>
      </c>
      <c r="F1229" s="162" t="s">
        <v>16284</v>
      </c>
      <c r="G1229" s="162" t="s">
        <v>16285</v>
      </c>
      <c r="H1229" s="219"/>
      <c r="I1229" s="169">
        <v>114718</v>
      </c>
      <c r="J1229" s="304" t="str">
        <f>CONCATENATE([2]Cover!$D$6,"fdd/view?i=",I1229)</f>
        <v>https://www.dgiwg.org/FAD/fdd/view?i=114718</v>
      </c>
      <c r="K1229" s="304" t="s">
        <v>35278</v>
      </c>
      <c r="L1229" s="188">
        <v>3</v>
      </c>
      <c r="M1229" s="179" t="s">
        <v>151</v>
      </c>
    </row>
    <row r="1230" spans="1:13" ht="51">
      <c r="A1230" s="313" t="str">
        <f t="shared" si="19"/>
        <v>AirspaceClassCode_classD</v>
      </c>
      <c r="B1230" s="330"/>
      <c r="C1230" s="334"/>
      <c r="D1230" s="188" t="s">
        <v>16286</v>
      </c>
      <c r="E1230" s="189" t="s">
        <v>16287</v>
      </c>
      <c r="F1230" s="162" t="s">
        <v>16288</v>
      </c>
      <c r="G1230" s="190"/>
      <c r="H1230" s="219"/>
      <c r="I1230" s="169">
        <v>114719</v>
      </c>
      <c r="J1230" s="304" t="str">
        <f>CONCATENATE([2]Cover!$D$6,"fdd/view?i=",I1230)</f>
        <v>https://www.dgiwg.org/FAD/fdd/view?i=114719</v>
      </c>
      <c r="K1230" s="304" t="s">
        <v>35279</v>
      </c>
      <c r="L1230" s="188">
        <v>4</v>
      </c>
      <c r="M1230" s="179" t="s">
        <v>151</v>
      </c>
    </row>
    <row r="1231" spans="1:13" ht="38.25">
      <c r="A1231" s="313" t="str">
        <f t="shared" si="19"/>
        <v>AirspaceClassCode_classE</v>
      </c>
      <c r="B1231" s="330"/>
      <c r="C1231" s="334"/>
      <c r="D1231" s="188" t="s">
        <v>16289</v>
      </c>
      <c r="E1231" s="189" t="s">
        <v>16290</v>
      </c>
      <c r="F1231" s="162" t="s">
        <v>16291</v>
      </c>
      <c r="G1231" s="162" t="s">
        <v>16292</v>
      </c>
      <c r="H1231" s="219"/>
      <c r="I1231" s="169">
        <v>114720</v>
      </c>
      <c r="J1231" s="304" t="str">
        <f>CONCATENATE([2]Cover!$D$6,"fdd/view?i=",I1231)</f>
        <v>https://www.dgiwg.org/FAD/fdd/view?i=114720</v>
      </c>
      <c r="K1231" s="304" t="s">
        <v>35280</v>
      </c>
      <c r="L1231" s="188">
        <v>5</v>
      </c>
      <c r="M1231" s="179" t="s">
        <v>151</v>
      </c>
    </row>
    <row r="1232" spans="1:13" ht="51">
      <c r="A1232" s="313" t="str">
        <f t="shared" si="19"/>
        <v>AirspaceClassCode_classF</v>
      </c>
      <c r="B1232" s="330"/>
      <c r="C1232" s="334"/>
      <c r="D1232" s="188" t="s">
        <v>16293</v>
      </c>
      <c r="E1232" s="189" t="s">
        <v>16294</v>
      </c>
      <c r="F1232" s="162" t="s">
        <v>16295</v>
      </c>
      <c r="G1232" s="162" t="s">
        <v>16296</v>
      </c>
      <c r="H1232" s="219"/>
      <c r="I1232" s="169">
        <v>114721</v>
      </c>
      <c r="J1232" s="304" t="str">
        <f>CONCATENATE([2]Cover!$D$6,"fdd/view?i=",I1232)</f>
        <v>https://www.dgiwg.org/FAD/fdd/view?i=114721</v>
      </c>
      <c r="K1232" s="304" t="s">
        <v>35281</v>
      </c>
      <c r="L1232" s="188">
        <v>6</v>
      </c>
      <c r="M1232" s="179" t="s">
        <v>151</v>
      </c>
    </row>
    <row r="1233" spans="1:13" ht="25.5">
      <c r="A1233" s="313" t="str">
        <f t="shared" si="19"/>
        <v>AirspaceClassCode_classG</v>
      </c>
      <c r="B1233" s="331"/>
      <c r="C1233" s="335"/>
      <c r="D1233" s="181" t="s">
        <v>16297</v>
      </c>
      <c r="E1233" s="192" t="s">
        <v>16298</v>
      </c>
      <c r="F1233" s="193" t="s">
        <v>16299</v>
      </c>
      <c r="G1233" s="194"/>
      <c r="H1233" s="220"/>
      <c r="I1233" s="169">
        <v>114722</v>
      </c>
      <c r="J1233" s="304" t="str">
        <f>CONCATENATE([2]Cover!$D$6,"fdd/view?i=",I1233)</f>
        <v>https://www.dgiwg.org/FAD/fdd/view?i=114722</v>
      </c>
      <c r="K1233" s="304" t="s">
        <v>35282</v>
      </c>
      <c r="L1233" s="181">
        <v>7</v>
      </c>
      <c r="M1233" s="179" t="s">
        <v>151</v>
      </c>
    </row>
    <row r="1234" spans="1:13" ht="25.5">
      <c r="A1234" s="313" t="str">
        <f t="shared" si="19"/>
        <v>AirspaceControlCode_bothCivilMilitaryControl</v>
      </c>
      <c r="B1234" s="332" t="str">
        <f>HYPERLINK("[#]Datatypes!A136:L136","AirspaceControlCode")</f>
        <v>AirspaceControlCode</v>
      </c>
      <c r="C1234" s="333" t="s">
        <v>11575</v>
      </c>
      <c r="D1234" s="202" t="s">
        <v>16300</v>
      </c>
      <c r="E1234" s="203" t="s">
        <v>16301</v>
      </c>
      <c r="F1234" s="204" t="s">
        <v>16302</v>
      </c>
      <c r="G1234" s="205"/>
      <c r="H1234" s="218"/>
      <c r="I1234" s="169">
        <v>114760</v>
      </c>
      <c r="J1234" s="304" t="str">
        <f>CONCATENATE([2]Cover!$D$6,"fdd/view?i=",I1234)</f>
        <v>https://www.dgiwg.org/FAD/fdd/view?i=114760</v>
      </c>
      <c r="K1234" s="304" t="s">
        <v>35283</v>
      </c>
      <c r="L1234" s="202">
        <v>3</v>
      </c>
      <c r="M1234" s="179" t="s">
        <v>151</v>
      </c>
    </row>
    <row r="1235" spans="1:13" ht="25.5">
      <c r="A1235" s="313" t="str">
        <f t="shared" si="19"/>
        <v>AirspaceControlCode_civilControl</v>
      </c>
      <c r="B1235" s="330"/>
      <c r="C1235" s="334"/>
      <c r="D1235" s="188" t="s">
        <v>16303</v>
      </c>
      <c r="E1235" s="189" t="s">
        <v>16304</v>
      </c>
      <c r="F1235" s="162" t="s">
        <v>16305</v>
      </c>
      <c r="G1235" s="190"/>
      <c r="H1235" s="219"/>
      <c r="I1235" s="169">
        <v>114759</v>
      </c>
      <c r="J1235" s="304" t="str">
        <f>CONCATENATE([2]Cover!$D$6,"fdd/view?i=",I1235)</f>
        <v>https://www.dgiwg.org/FAD/fdd/view?i=114759</v>
      </c>
      <c r="K1235" s="304" t="s">
        <v>35284</v>
      </c>
      <c r="L1235" s="188">
        <v>2</v>
      </c>
      <c r="M1235" s="179" t="s">
        <v>151</v>
      </c>
    </row>
    <row r="1236" spans="1:13" ht="25.5">
      <c r="A1236" s="313" t="str">
        <f t="shared" si="19"/>
        <v>AirspaceControlCode_militaryControl</v>
      </c>
      <c r="B1236" s="331"/>
      <c r="C1236" s="335"/>
      <c r="D1236" s="181" t="s">
        <v>16306</v>
      </c>
      <c r="E1236" s="192" t="s">
        <v>16307</v>
      </c>
      <c r="F1236" s="193" t="s">
        <v>16308</v>
      </c>
      <c r="G1236" s="194"/>
      <c r="H1236" s="220"/>
      <c r="I1236" s="169">
        <v>114758</v>
      </c>
      <c r="J1236" s="304" t="str">
        <f>CONCATENATE([2]Cover!$D$6,"fdd/view?i=",I1236)</f>
        <v>https://www.dgiwg.org/FAD/fdd/view?i=114758</v>
      </c>
      <c r="K1236" s="304" t="s">
        <v>35285</v>
      </c>
      <c r="L1236" s="181">
        <v>1</v>
      </c>
      <c r="M1236" s="179" t="s">
        <v>151</v>
      </c>
    </row>
    <row r="1237" spans="1:13" ht="76.5">
      <c r="A1237" s="313" t="str">
        <f t="shared" si="19"/>
        <v>AirspaceTypeCode_advisoryArea</v>
      </c>
      <c r="B1237" s="332" t="str">
        <f>HYPERLINK("[#]Datatypes!A138:L138","AirspaceTypeCode")</f>
        <v>AirspaceTypeCode</v>
      </c>
      <c r="C1237" s="333" t="s">
        <v>11577</v>
      </c>
      <c r="D1237" s="202" t="s">
        <v>16309</v>
      </c>
      <c r="E1237" s="203" t="s">
        <v>16310</v>
      </c>
      <c r="F1237" s="204" t="s">
        <v>16311</v>
      </c>
      <c r="G1237" s="204" t="s">
        <v>16312</v>
      </c>
      <c r="H1237" s="218"/>
      <c r="I1237" s="169">
        <v>114745</v>
      </c>
      <c r="J1237" s="304" t="str">
        <f>CONCATENATE([2]Cover!$D$6,"fdd/view?i=",I1237)</f>
        <v>https://www.dgiwg.org/FAD/fdd/view?i=114745</v>
      </c>
      <c r="K1237" s="304" t="s">
        <v>35286</v>
      </c>
      <c r="L1237" s="202">
        <v>23</v>
      </c>
      <c r="M1237" s="179" t="s">
        <v>151</v>
      </c>
    </row>
    <row r="1238" spans="1:13" ht="25.5">
      <c r="A1238" s="313" t="str">
        <f t="shared" si="19"/>
        <v>AirspaceTypeCode_aerodromeTrafficZone</v>
      </c>
      <c r="B1238" s="330"/>
      <c r="C1238" s="334"/>
      <c r="D1238" s="188" t="s">
        <v>16313</v>
      </c>
      <c r="E1238" s="189" t="s">
        <v>16314</v>
      </c>
      <c r="F1238" s="162" t="s">
        <v>16315</v>
      </c>
      <c r="G1238" s="162" t="s">
        <v>16316</v>
      </c>
      <c r="H1238" s="219"/>
      <c r="I1238" s="169">
        <v>114748</v>
      </c>
      <c r="J1238" s="304" t="str">
        <f>CONCATENATE([2]Cover!$D$6,"fdd/view?i=",I1238)</f>
        <v>https://www.dgiwg.org/FAD/fdd/view?i=114748</v>
      </c>
      <c r="K1238" s="304" t="s">
        <v>35287</v>
      </c>
      <c r="L1238" s="188">
        <v>26</v>
      </c>
      <c r="M1238" s="179" t="s">
        <v>151</v>
      </c>
    </row>
    <row r="1239" spans="1:13" ht="51">
      <c r="A1239" s="313" t="str">
        <f t="shared" si="19"/>
        <v>AirspaceTypeCode_airDefenseIdentZone</v>
      </c>
      <c r="B1239" s="330"/>
      <c r="C1239" s="334"/>
      <c r="D1239" s="188" t="s">
        <v>16317</v>
      </c>
      <c r="E1239" s="189" t="s">
        <v>16318</v>
      </c>
      <c r="F1239" s="162" t="s">
        <v>16319</v>
      </c>
      <c r="G1239" s="162" t="s">
        <v>16316</v>
      </c>
      <c r="H1239" s="219"/>
      <c r="I1239" s="169">
        <v>114723</v>
      </c>
      <c r="J1239" s="304" t="str">
        <f>CONCATENATE([2]Cover!$D$6,"fdd/view?i=",I1239)</f>
        <v>https://www.dgiwg.org/FAD/fdd/view?i=114723</v>
      </c>
      <c r="K1239" s="304" t="s">
        <v>35288</v>
      </c>
      <c r="L1239" s="188">
        <v>1</v>
      </c>
      <c r="M1239" s="179" t="s">
        <v>151</v>
      </c>
    </row>
    <row r="1240" spans="1:13" ht="25.5">
      <c r="A1240" s="313" t="str">
        <f t="shared" si="19"/>
        <v>AirspaceTypeCode_airway</v>
      </c>
      <c r="B1240" s="330"/>
      <c r="C1240" s="334"/>
      <c r="D1240" s="188" t="s">
        <v>16320</v>
      </c>
      <c r="E1240" s="189" t="s">
        <v>16321</v>
      </c>
      <c r="F1240" s="162" t="s">
        <v>16322</v>
      </c>
      <c r="G1240" s="162" t="s">
        <v>16323</v>
      </c>
      <c r="H1240" s="219"/>
      <c r="I1240" s="169">
        <v>114724</v>
      </c>
      <c r="J1240" s="304" t="str">
        <f>CONCATENATE([2]Cover!$D$6,"fdd/view?i=",I1240)</f>
        <v>https://www.dgiwg.org/FAD/fdd/view?i=114724</v>
      </c>
      <c r="K1240" s="304" t="s">
        <v>35289</v>
      </c>
      <c r="L1240" s="188">
        <v>2</v>
      </c>
      <c r="M1240" s="179" t="s">
        <v>151</v>
      </c>
    </row>
    <row r="1241" spans="1:13" ht="25.5">
      <c r="A1241" s="313" t="str">
        <f t="shared" si="19"/>
        <v>AirspaceTypeCode_alertArea</v>
      </c>
      <c r="B1241" s="330"/>
      <c r="C1241" s="334"/>
      <c r="D1241" s="188" t="s">
        <v>16324</v>
      </c>
      <c r="E1241" s="189" t="s">
        <v>16325</v>
      </c>
      <c r="F1241" s="162" t="s">
        <v>16326</v>
      </c>
      <c r="G1241" s="162" t="s">
        <v>16327</v>
      </c>
      <c r="H1241" s="219"/>
      <c r="I1241" s="169">
        <v>114725</v>
      </c>
      <c r="J1241" s="304" t="str">
        <f>CONCATENATE([2]Cover!$D$6,"fdd/view?i=",I1241)</f>
        <v>https://www.dgiwg.org/FAD/fdd/view?i=114725</v>
      </c>
      <c r="K1241" s="304" t="s">
        <v>35290</v>
      </c>
      <c r="L1241" s="188">
        <v>3</v>
      </c>
      <c r="M1241" s="179" t="s">
        <v>151</v>
      </c>
    </row>
    <row r="1242" spans="1:13" ht="51">
      <c r="A1242" s="313" t="str">
        <f t="shared" si="19"/>
        <v>AirspaceTypeCode_altimeterSettingRegion</v>
      </c>
      <c r="B1242" s="330"/>
      <c r="C1242" s="334"/>
      <c r="D1242" s="188" t="s">
        <v>16328</v>
      </c>
      <c r="E1242" s="189" t="s">
        <v>16329</v>
      </c>
      <c r="F1242" s="162" t="s">
        <v>16330</v>
      </c>
      <c r="G1242" s="162" t="s">
        <v>16331</v>
      </c>
      <c r="H1242" s="219"/>
      <c r="I1242" s="169">
        <v>114726</v>
      </c>
      <c r="J1242" s="304" t="str">
        <f>CONCATENATE([2]Cover!$D$6,"fdd/view?i=",I1242)</f>
        <v>https://www.dgiwg.org/FAD/fdd/view?i=114726</v>
      </c>
      <c r="K1242" s="304" t="s">
        <v>35291</v>
      </c>
      <c r="L1242" s="188">
        <v>4</v>
      </c>
      <c r="M1242" s="179" t="s">
        <v>151</v>
      </c>
    </row>
    <row r="1243" spans="1:13" ht="38.25">
      <c r="A1243" s="313" t="str">
        <f t="shared" si="19"/>
        <v>AirspaceTypeCode_amcManageableDangerArea</v>
      </c>
      <c r="B1243" s="330"/>
      <c r="C1243" s="334"/>
      <c r="D1243" s="188" t="s">
        <v>16332</v>
      </c>
      <c r="E1243" s="189" t="s">
        <v>16333</v>
      </c>
      <c r="F1243" s="162" t="s">
        <v>16334</v>
      </c>
      <c r="G1243" s="162" t="s">
        <v>16335</v>
      </c>
      <c r="H1243" s="219"/>
      <c r="I1243" s="169">
        <v>114727</v>
      </c>
      <c r="J1243" s="304" t="str">
        <f>CONCATENATE([2]Cover!$D$6,"fdd/view?i=",I1243)</f>
        <v>https://www.dgiwg.org/FAD/fdd/view?i=114727</v>
      </c>
      <c r="K1243" s="304" t="s">
        <v>35292</v>
      </c>
      <c r="L1243" s="188">
        <v>5</v>
      </c>
      <c r="M1243" s="179" t="s">
        <v>151</v>
      </c>
    </row>
    <row r="1244" spans="1:13" ht="38.25">
      <c r="A1244" s="313" t="str">
        <f t="shared" si="19"/>
        <v>AirspaceTypeCode_amcManageableRestrictArea</v>
      </c>
      <c r="B1244" s="330"/>
      <c r="C1244" s="334"/>
      <c r="D1244" s="188" t="s">
        <v>16336</v>
      </c>
      <c r="E1244" s="189" t="s">
        <v>16337</v>
      </c>
      <c r="F1244" s="162" t="s">
        <v>16338</v>
      </c>
      <c r="G1244" s="162" t="s">
        <v>16335</v>
      </c>
      <c r="H1244" s="219"/>
      <c r="I1244" s="169">
        <v>114728</v>
      </c>
      <c r="J1244" s="304" t="str">
        <f>CONCATENATE([2]Cover!$D$6,"fdd/view?i=",I1244)</f>
        <v>https://www.dgiwg.org/FAD/fdd/view?i=114728</v>
      </c>
      <c r="K1244" s="304" t="s">
        <v>35293</v>
      </c>
      <c r="L1244" s="188">
        <v>6</v>
      </c>
      <c r="M1244" s="179" t="s">
        <v>151</v>
      </c>
    </row>
    <row r="1245" spans="1:13" ht="63.75">
      <c r="A1245" s="313" t="str">
        <f t="shared" si="19"/>
        <v>AirspaceTypeCode_areaMinimumAltitude</v>
      </c>
      <c r="B1245" s="330"/>
      <c r="C1245" s="334"/>
      <c r="D1245" s="188" t="s">
        <v>5442</v>
      </c>
      <c r="E1245" s="189" t="s">
        <v>16339</v>
      </c>
      <c r="F1245" s="162" t="s">
        <v>16340</v>
      </c>
      <c r="G1245" s="162" t="s">
        <v>16341</v>
      </c>
      <c r="H1245" s="219"/>
      <c r="I1245" s="169">
        <v>114735</v>
      </c>
      <c r="J1245" s="304" t="str">
        <f>CONCATENATE([2]Cover!$D$6,"fdd/view?i=",I1245)</f>
        <v>https://www.dgiwg.org/FAD/fdd/view?i=114735</v>
      </c>
      <c r="K1245" s="304" t="s">
        <v>35294</v>
      </c>
      <c r="L1245" s="188">
        <v>13</v>
      </c>
      <c r="M1245" s="179" t="s">
        <v>151</v>
      </c>
    </row>
    <row r="1246" spans="1:13" ht="25.5">
      <c r="A1246" s="313" t="str">
        <f t="shared" si="19"/>
        <v>AirspaceTypeCode_controlArea</v>
      </c>
      <c r="B1246" s="330"/>
      <c r="C1246" s="334"/>
      <c r="D1246" s="188" t="s">
        <v>16342</v>
      </c>
      <c r="E1246" s="189" t="s">
        <v>16343</v>
      </c>
      <c r="F1246" s="162" t="s">
        <v>16344</v>
      </c>
      <c r="G1246" s="162" t="s">
        <v>16316</v>
      </c>
      <c r="H1246" s="219"/>
      <c r="I1246" s="169">
        <v>114729</v>
      </c>
      <c r="J1246" s="304" t="str">
        <f>CONCATENATE([2]Cover!$D$6,"fdd/view?i=",I1246)</f>
        <v>https://www.dgiwg.org/FAD/fdd/view?i=114729</v>
      </c>
      <c r="K1246" s="304" t="s">
        <v>35295</v>
      </c>
      <c r="L1246" s="188">
        <v>7</v>
      </c>
      <c r="M1246" s="179" t="s">
        <v>151</v>
      </c>
    </row>
    <row r="1247" spans="1:13" ht="25.5">
      <c r="A1247" s="313" t="str">
        <f t="shared" si="19"/>
        <v>AirspaceTypeCode_controlSector</v>
      </c>
      <c r="B1247" s="330"/>
      <c r="C1247" s="334"/>
      <c r="D1247" s="188" t="s">
        <v>16345</v>
      </c>
      <c r="E1247" s="189" t="s">
        <v>16346</v>
      </c>
      <c r="F1247" s="162" t="s">
        <v>16347</v>
      </c>
      <c r="G1247" s="162" t="s">
        <v>16316</v>
      </c>
      <c r="H1247" s="219"/>
      <c r="I1247" s="169">
        <v>114730</v>
      </c>
      <c r="J1247" s="304" t="str">
        <f>CONCATENATE([2]Cover!$D$6,"fdd/view?i=",I1247)</f>
        <v>https://www.dgiwg.org/FAD/fdd/view?i=114730</v>
      </c>
      <c r="K1247" s="304" t="s">
        <v>35296</v>
      </c>
      <c r="L1247" s="188">
        <v>8</v>
      </c>
      <c r="M1247" s="179" t="s">
        <v>151</v>
      </c>
    </row>
    <row r="1248" spans="1:13" ht="25.5">
      <c r="A1248" s="313" t="str">
        <f t="shared" si="19"/>
        <v>AirspaceTypeCode_controlZone</v>
      </c>
      <c r="B1248" s="330"/>
      <c r="C1248" s="334"/>
      <c r="D1248" s="188" t="s">
        <v>16348</v>
      </c>
      <c r="E1248" s="189" t="s">
        <v>16349</v>
      </c>
      <c r="F1248" s="162" t="s">
        <v>16350</v>
      </c>
      <c r="G1248" s="162" t="s">
        <v>16316</v>
      </c>
      <c r="H1248" s="219"/>
      <c r="I1248" s="169">
        <v>114731</v>
      </c>
      <c r="J1248" s="304" t="str">
        <f>CONCATENATE([2]Cover!$D$6,"fdd/view?i=",I1248)</f>
        <v>https://www.dgiwg.org/FAD/fdd/view?i=114731</v>
      </c>
      <c r="K1248" s="304" t="s">
        <v>35297</v>
      </c>
      <c r="L1248" s="188">
        <v>9</v>
      </c>
      <c r="M1248" s="179" t="s">
        <v>151</v>
      </c>
    </row>
    <row r="1249" spans="1:13" ht="38.25">
      <c r="A1249" s="313" t="str">
        <f t="shared" si="19"/>
        <v>AirspaceTypeCode_crossBorderArea</v>
      </c>
      <c r="B1249" s="330"/>
      <c r="C1249" s="334"/>
      <c r="D1249" s="188" t="s">
        <v>16351</v>
      </c>
      <c r="E1249" s="189" t="s">
        <v>16352</v>
      </c>
      <c r="F1249" s="162" t="s">
        <v>16353</v>
      </c>
      <c r="G1249" s="162" t="s">
        <v>16335</v>
      </c>
      <c r="H1249" s="219"/>
      <c r="I1249" s="169">
        <v>114732</v>
      </c>
      <c r="J1249" s="304" t="str">
        <f>CONCATENATE([2]Cover!$D$6,"fdd/view?i=",I1249)</f>
        <v>https://www.dgiwg.org/FAD/fdd/view?i=114732</v>
      </c>
      <c r="K1249" s="304" t="s">
        <v>35298</v>
      </c>
      <c r="L1249" s="188">
        <v>10</v>
      </c>
      <c r="M1249" s="179" t="s">
        <v>151</v>
      </c>
    </row>
    <row r="1250" spans="1:13" ht="25.5">
      <c r="A1250" s="313" t="str">
        <f t="shared" si="19"/>
        <v>AirspaceTypeCode_dangerArea</v>
      </c>
      <c r="B1250" s="330"/>
      <c r="C1250" s="334"/>
      <c r="D1250" s="188" t="s">
        <v>16354</v>
      </c>
      <c r="E1250" s="189" t="s">
        <v>16355</v>
      </c>
      <c r="F1250" s="162" t="s">
        <v>16356</v>
      </c>
      <c r="G1250" s="162" t="s">
        <v>16316</v>
      </c>
      <c r="H1250" s="219"/>
      <c r="I1250" s="169">
        <v>114733</v>
      </c>
      <c r="J1250" s="304" t="str">
        <f>CONCATENATE([2]Cover!$D$6,"fdd/view?i=",I1250)</f>
        <v>https://www.dgiwg.org/FAD/fdd/view?i=114733</v>
      </c>
      <c r="K1250" s="304" t="s">
        <v>35299</v>
      </c>
      <c r="L1250" s="188">
        <v>11</v>
      </c>
      <c r="M1250" s="179" t="s">
        <v>151</v>
      </c>
    </row>
    <row r="1251" spans="1:13" ht="25.5">
      <c r="A1251" s="313" t="str">
        <f t="shared" si="19"/>
        <v>AirspaceTypeCode_flightInformationRegion</v>
      </c>
      <c r="B1251" s="330"/>
      <c r="C1251" s="334"/>
      <c r="D1251" s="188" t="s">
        <v>16357</v>
      </c>
      <c r="E1251" s="189" t="s">
        <v>16358</v>
      </c>
      <c r="F1251" s="162" t="s">
        <v>16359</v>
      </c>
      <c r="G1251" s="162" t="s">
        <v>16360</v>
      </c>
      <c r="H1251" s="219"/>
      <c r="I1251" s="169">
        <v>114734</v>
      </c>
      <c r="J1251" s="304" t="str">
        <f>CONCATENATE([2]Cover!$D$6,"fdd/view?i=",I1251)</f>
        <v>https://www.dgiwg.org/FAD/fdd/view?i=114734</v>
      </c>
      <c r="K1251" s="304" t="s">
        <v>35300</v>
      </c>
      <c r="L1251" s="188">
        <v>12</v>
      </c>
      <c r="M1251" s="179" t="s">
        <v>151</v>
      </c>
    </row>
    <row r="1252" spans="1:13" ht="51">
      <c r="A1252" s="313" t="str">
        <f t="shared" si="19"/>
        <v>AirspaceTypeCode_frenchPeripheralZone</v>
      </c>
      <c r="B1252" s="330"/>
      <c r="C1252" s="334"/>
      <c r="D1252" s="188" t="s">
        <v>16361</v>
      </c>
      <c r="E1252" s="189" t="s">
        <v>16362</v>
      </c>
      <c r="F1252" s="162" t="s">
        <v>16363</v>
      </c>
      <c r="G1252" s="162" t="s">
        <v>16364</v>
      </c>
      <c r="H1252" s="219"/>
      <c r="I1252" s="169">
        <v>114752</v>
      </c>
      <c r="J1252" s="304" t="str">
        <f>CONCATENATE([2]Cover!$D$6,"fdd/view?i=",I1252)</f>
        <v>https://www.dgiwg.org/FAD/fdd/view?i=114752</v>
      </c>
      <c r="K1252" s="304" t="s">
        <v>35301</v>
      </c>
      <c r="L1252" s="188">
        <v>30</v>
      </c>
      <c r="M1252" s="179" t="s">
        <v>151</v>
      </c>
    </row>
    <row r="1253" spans="1:13" ht="51">
      <c r="A1253" s="313" t="str">
        <f t="shared" si="19"/>
        <v>AirspaceTypeCode_germanDeconflictionLine</v>
      </c>
      <c r="B1253" s="330"/>
      <c r="C1253" s="334"/>
      <c r="D1253" s="188" t="s">
        <v>16365</v>
      </c>
      <c r="E1253" s="189" t="s">
        <v>16366</v>
      </c>
      <c r="F1253" s="162" t="s">
        <v>16367</v>
      </c>
      <c r="G1253" s="162" t="s">
        <v>16368</v>
      </c>
      <c r="H1253" s="219"/>
      <c r="I1253" s="169">
        <v>114755</v>
      </c>
      <c r="J1253" s="304" t="str">
        <f>CONCATENATE([2]Cover!$D$6,"fdd/view?i=",I1253)</f>
        <v>https://www.dgiwg.org/FAD/fdd/view?i=114755</v>
      </c>
      <c r="K1253" s="304" t="s">
        <v>35302</v>
      </c>
      <c r="L1253" s="188">
        <v>33</v>
      </c>
      <c r="M1253" s="179" t="s">
        <v>151</v>
      </c>
    </row>
    <row r="1254" spans="1:13" ht="25.5">
      <c r="A1254" s="313" t="str">
        <f t="shared" si="19"/>
        <v>AirspaceTypeCode_germanLowFlyAreas250Feet</v>
      </c>
      <c r="B1254" s="330"/>
      <c r="C1254" s="334"/>
      <c r="D1254" s="188" t="s">
        <v>16369</v>
      </c>
      <c r="E1254" s="189" t="s">
        <v>16370</v>
      </c>
      <c r="F1254" s="162" t="s">
        <v>16371</v>
      </c>
      <c r="G1254" s="162" t="s">
        <v>16368</v>
      </c>
      <c r="H1254" s="219"/>
      <c r="I1254" s="169">
        <v>114756</v>
      </c>
      <c r="J1254" s="304" t="str">
        <f>CONCATENATE([2]Cover!$D$6,"fdd/view?i=",I1254)</f>
        <v>https://www.dgiwg.org/FAD/fdd/view?i=114756</v>
      </c>
      <c r="K1254" s="304" t="s">
        <v>35303</v>
      </c>
      <c r="L1254" s="188">
        <v>34</v>
      </c>
      <c r="M1254" s="179" t="s">
        <v>151</v>
      </c>
    </row>
    <row r="1255" spans="1:13" ht="51">
      <c r="A1255" s="313" t="str">
        <f t="shared" si="19"/>
        <v>AirspaceTypeCode_germanNightLowFlyingSys</v>
      </c>
      <c r="B1255" s="330"/>
      <c r="C1255" s="334"/>
      <c r="D1255" s="188" t="s">
        <v>16372</v>
      </c>
      <c r="E1255" s="189" t="s">
        <v>16373</v>
      </c>
      <c r="F1255" s="162" t="s">
        <v>16374</v>
      </c>
      <c r="G1255" s="162" t="s">
        <v>16375</v>
      </c>
      <c r="H1255" s="219"/>
      <c r="I1255" s="169">
        <v>114754</v>
      </c>
      <c r="J1255" s="304" t="str">
        <f>CONCATENATE([2]Cover!$D$6,"fdd/view?i=",I1255)</f>
        <v>https://www.dgiwg.org/FAD/fdd/view?i=114754</v>
      </c>
      <c r="K1255" s="304" t="s">
        <v>35304</v>
      </c>
      <c r="L1255" s="188">
        <v>32</v>
      </c>
      <c r="M1255" s="179" t="s">
        <v>151</v>
      </c>
    </row>
    <row r="1256" spans="1:13" ht="76.5">
      <c r="A1256" s="313" t="str">
        <f t="shared" si="19"/>
        <v>AirspaceTypeCode_lowerTrafficArea</v>
      </c>
      <c r="B1256" s="330"/>
      <c r="C1256" s="334"/>
      <c r="D1256" s="188" t="s">
        <v>16376</v>
      </c>
      <c r="E1256" s="189" t="s">
        <v>16377</v>
      </c>
      <c r="F1256" s="162" t="s">
        <v>16378</v>
      </c>
      <c r="G1256" s="162" t="s">
        <v>16379</v>
      </c>
      <c r="H1256" s="219"/>
      <c r="I1256" s="169">
        <v>114744</v>
      </c>
      <c r="J1256" s="304" t="str">
        <f>CONCATENATE([2]Cover!$D$6,"fdd/view?i=",I1256)</f>
        <v>https://www.dgiwg.org/FAD/fdd/view?i=114744</v>
      </c>
      <c r="K1256" s="304" t="s">
        <v>35305</v>
      </c>
      <c r="L1256" s="188">
        <v>22</v>
      </c>
      <c r="M1256" s="179" t="s">
        <v>151</v>
      </c>
    </row>
    <row r="1257" spans="1:13" ht="25.5">
      <c r="A1257" s="313" t="str">
        <f t="shared" si="19"/>
        <v>AirspaceTypeCode_milAerodromeTrafficZone</v>
      </c>
      <c r="B1257" s="330"/>
      <c r="C1257" s="334"/>
      <c r="D1257" s="188" t="s">
        <v>16380</v>
      </c>
      <c r="E1257" s="189" t="s">
        <v>16381</v>
      </c>
      <c r="F1257" s="162" t="s">
        <v>16382</v>
      </c>
      <c r="G1257" s="162" t="s">
        <v>16383</v>
      </c>
      <c r="H1257" s="219"/>
      <c r="I1257" s="169">
        <v>114747</v>
      </c>
      <c r="J1257" s="304" t="str">
        <f>CONCATENATE([2]Cover!$D$6,"fdd/view?i=",I1257)</f>
        <v>https://www.dgiwg.org/FAD/fdd/view?i=114747</v>
      </c>
      <c r="K1257" s="304" t="s">
        <v>35306</v>
      </c>
      <c r="L1257" s="188">
        <v>25</v>
      </c>
      <c r="M1257" s="179" t="s">
        <v>151</v>
      </c>
    </row>
    <row r="1258" spans="1:13" ht="63.75">
      <c r="A1258" s="313" t="str">
        <f t="shared" si="19"/>
        <v>AirspaceTypeCode_militaryOperationsArea</v>
      </c>
      <c r="B1258" s="330"/>
      <c r="C1258" s="334"/>
      <c r="D1258" s="188" t="s">
        <v>16384</v>
      </c>
      <c r="E1258" s="189" t="s">
        <v>16385</v>
      </c>
      <c r="F1258" s="162" t="s">
        <v>16386</v>
      </c>
      <c r="G1258" s="162" t="s">
        <v>16387</v>
      </c>
      <c r="H1258" s="219"/>
      <c r="I1258" s="169">
        <v>118570</v>
      </c>
      <c r="J1258" s="304" t="str">
        <f>CONCATENATE([2]Cover!$D$6,"fdd/view?i=",I1258)</f>
        <v>https://www.dgiwg.org/FAD/fdd/view?i=118570</v>
      </c>
      <c r="K1258" s="304" t="s">
        <v>35307</v>
      </c>
      <c r="L1258" s="188">
        <v>36</v>
      </c>
      <c r="M1258" s="179" t="s">
        <v>151</v>
      </c>
    </row>
    <row r="1259" spans="1:13" ht="25.5">
      <c r="A1259" s="313" t="str">
        <f t="shared" si="19"/>
        <v>AirspaceTypeCode_milTerminalControlArea</v>
      </c>
      <c r="B1259" s="330"/>
      <c r="C1259" s="334"/>
      <c r="D1259" s="188" t="s">
        <v>16388</v>
      </c>
      <c r="E1259" s="189" t="s">
        <v>16389</v>
      </c>
      <c r="F1259" s="162" t="s">
        <v>16390</v>
      </c>
      <c r="G1259" s="162" t="s">
        <v>16383</v>
      </c>
      <c r="H1259" s="219"/>
      <c r="I1259" s="169">
        <v>114749</v>
      </c>
      <c r="J1259" s="304" t="str">
        <f>CONCATENATE([2]Cover!$D$6,"fdd/view?i=",I1259)</f>
        <v>https://www.dgiwg.org/FAD/fdd/view?i=114749</v>
      </c>
      <c r="K1259" s="304" t="s">
        <v>35308</v>
      </c>
      <c r="L1259" s="188">
        <v>27</v>
      </c>
      <c r="M1259" s="179" t="s">
        <v>151</v>
      </c>
    </row>
    <row r="1260" spans="1:13" ht="63.75">
      <c r="A1260" s="313" t="str">
        <f t="shared" si="19"/>
        <v>AirspaceTypeCode_noFlyArea</v>
      </c>
      <c r="B1260" s="330"/>
      <c r="C1260" s="334"/>
      <c r="D1260" s="188" t="s">
        <v>16391</v>
      </c>
      <c r="E1260" s="189" t="s">
        <v>16392</v>
      </c>
      <c r="F1260" s="162" t="s">
        <v>16393</v>
      </c>
      <c r="G1260" s="162" t="s">
        <v>16394</v>
      </c>
      <c r="H1260" s="219"/>
      <c r="I1260" s="169">
        <v>119636</v>
      </c>
      <c r="J1260" s="304" t="str">
        <f>CONCATENATE([2]Cover!$D$6,"fdd/view?i=",I1260)</f>
        <v>https://www.dgiwg.org/FAD/fdd/view?i=119636</v>
      </c>
      <c r="K1260" s="304" t="s">
        <v>35309</v>
      </c>
      <c r="L1260" s="188">
        <v>41</v>
      </c>
      <c r="M1260" s="179" t="s">
        <v>151</v>
      </c>
    </row>
    <row r="1261" spans="1:13" ht="25.5">
      <c r="A1261" s="313" t="str">
        <f t="shared" si="19"/>
        <v>AirspaceTypeCode_oceanicControlArea</v>
      </c>
      <c r="B1261" s="330"/>
      <c r="C1261" s="334"/>
      <c r="D1261" s="188" t="s">
        <v>16395</v>
      </c>
      <c r="E1261" s="189" t="s">
        <v>16396</v>
      </c>
      <c r="F1261" s="162" t="s">
        <v>16397</v>
      </c>
      <c r="G1261" s="162" t="s">
        <v>16383</v>
      </c>
      <c r="H1261" s="219"/>
      <c r="I1261" s="169">
        <v>114736</v>
      </c>
      <c r="J1261" s="304" t="str">
        <f>CONCATENATE([2]Cover!$D$6,"fdd/view?i=",I1261)</f>
        <v>https://www.dgiwg.org/FAD/fdd/view?i=114736</v>
      </c>
      <c r="K1261" s="304" t="s">
        <v>35310</v>
      </c>
      <c r="L1261" s="188">
        <v>14</v>
      </c>
      <c r="M1261" s="179" t="s">
        <v>151</v>
      </c>
    </row>
    <row r="1262" spans="1:13" ht="25.5">
      <c r="A1262" s="313" t="str">
        <f t="shared" si="19"/>
        <v>AirspaceTypeCode_prohibitedArea</v>
      </c>
      <c r="B1262" s="330"/>
      <c r="C1262" s="334"/>
      <c r="D1262" s="188" t="s">
        <v>16398</v>
      </c>
      <c r="E1262" s="189" t="s">
        <v>16399</v>
      </c>
      <c r="F1262" s="162" t="s">
        <v>16400</v>
      </c>
      <c r="G1262" s="162" t="s">
        <v>16316</v>
      </c>
      <c r="H1262" s="219"/>
      <c r="I1262" s="169">
        <v>114737</v>
      </c>
      <c r="J1262" s="304" t="str">
        <f>CONCATENATE([2]Cover!$D$6,"fdd/view?i=",I1262)</f>
        <v>https://www.dgiwg.org/FAD/fdd/view?i=114737</v>
      </c>
      <c r="K1262" s="304" t="s">
        <v>35311</v>
      </c>
      <c r="L1262" s="188">
        <v>15</v>
      </c>
      <c r="M1262" s="179" t="s">
        <v>151</v>
      </c>
    </row>
    <row r="1263" spans="1:13" ht="38.25">
      <c r="A1263" s="313" t="str">
        <f t="shared" si="19"/>
        <v>AirspaceTypeCode_reducedCoOrdinationArea</v>
      </c>
      <c r="B1263" s="330"/>
      <c r="C1263" s="334"/>
      <c r="D1263" s="188" t="s">
        <v>16401</v>
      </c>
      <c r="E1263" s="189" t="s">
        <v>16402</v>
      </c>
      <c r="F1263" s="162" t="s">
        <v>16403</v>
      </c>
      <c r="G1263" s="162" t="s">
        <v>16335</v>
      </c>
      <c r="H1263" s="219"/>
      <c r="I1263" s="169">
        <v>114751</v>
      </c>
      <c r="J1263" s="304" t="str">
        <f>CONCATENATE([2]Cover!$D$6,"fdd/view?i=",I1263)</f>
        <v>https://www.dgiwg.org/FAD/fdd/view?i=114751</v>
      </c>
      <c r="K1263" s="304" t="s">
        <v>35312</v>
      </c>
      <c r="L1263" s="188">
        <v>29</v>
      </c>
      <c r="M1263" s="179" t="s">
        <v>151</v>
      </c>
    </row>
    <row r="1264" spans="1:13" ht="89.25">
      <c r="A1264" s="313" t="str">
        <f t="shared" si="19"/>
        <v>AirspaceTypeCode_restrictedArea</v>
      </c>
      <c r="B1264" s="330"/>
      <c r="C1264" s="334"/>
      <c r="D1264" s="188" t="s">
        <v>16404</v>
      </c>
      <c r="E1264" s="189" t="s">
        <v>16405</v>
      </c>
      <c r="F1264" s="162" t="s">
        <v>16406</v>
      </c>
      <c r="G1264" s="162" t="s">
        <v>16407</v>
      </c>
      <c r="H1264" s="219"/>
      <c r="I1264" s="169">
        <v>114738</v>
      </c>
      <c r="J1264" s="304" t="str">
        <f>CONCATENATE([2]Cover!$D$6,"fdd/view?i=",I1264)</f>
        <v>https://www.dgiwg.org/FAD/fdd/view?i=114738</v>
      </c>
      <c r="K1264" s="304" t="s">
        <v>35313</v>
      </c>
      <c r="L1264" s="188">
        <v>16</v>
      </c>
      <c r="M1264" s="179" t="s">
        <v>151</v>
      </c>
    </row>
    <row r="1265" spans="1:13" ht="51">
      <c r="A1265" s="313" t="str">
        <f t="shared" si="19"/>
        <v>AirspaceTypeCode_specialRulesZone</v>
      </c>
      <c r="B1265" s="330"/>
      <c r="C1265" s="334"/>
      <c r="D1265" s="188" t="s">
        <v>16408</v>
      </c>
      <c r="E1265" s="189" t="s">
        <v>16409</v>
      </c>
      <c r="F1265" s="162" t="s">
        <v>16410</v>
      </c>
      <c r="G1265" s="162" t="s">
        <v>16411</v>
      </c>
      <c r="H1265" s="219"/>
      <c r="I1265" s="169">
        <v>114757</v>
      </c>
      <c r="J1265" s="304" t="str">
        <f>CONCATENATE([2]Cover!$D$6,"fdd/view?i=",I1265)</f>
        <v>https://www.dgiwg.org/FAD/fdd/view?i=114757</v>
      </c>
      <c r="K1265" s="304" t="s">
        <v>35314</v>
      </c>
      <c r="L1265" s="188">
        <v>35</v>
      </c>
      <c r="M1265" s="179" t="s">
        <v>151</v>
      </c>
    </row>
    <row r="1266" spans="1:13" ht="38.25">
      <c r="A1266" s="313" t="str">
        <f t="shared" si="19"/>
        <v>AirspaceTypeCode_standardPressureRegion</v>
      </c>
      <c r="B1266" s="330"/>
      <c r="C1266" s="334"/>
      <c r="D1266" s="188" t="s">
        <v>16412</v>
      </c>
      <c r="E1266" s="189" t="s">
        <v>16413</v>
      </c>
      <c r="F1266" s="162" t="s">
        <v>16414</v>
      </c>
      <c r="G1266" s="162" t="s">
        <v>16415</v>
      </c>
      <c r="H1266" s="219"/>
      <c r="I1266" s="169">
        <v>114750</v>
      </c>
      <c r="J1266" s="304" t="str">
        <f>CONCATENATE([2]Cover!$D$6,"fdd/view?i=",I1266)</f>
        <v>https://www.dgiwg.org/FAD/fdd/view?i=114750</v>
      </c>
      <c r="K1266" s="304" t="s">
        <v>35315</v>
      </c>
      <c r="L1266" s="188">
        <v>28</v>
      </c>
      <c r="M1266" s="179" t="s">
        <v>151</v>
      </c>
    </row>
    <row r="1267" spans="1:13" ht="25.5">
      <c r="A1267" s="313" t="str">
        <f t="shared" si="19"/>
        <v>AirspaceTypeCode_temporaryReservedArea</v>
      </c>
      <c r="B1267" s="330"/>
      <c r="C1267" s="334"/>
      <c r="D1267" s="188" t="s">
        <v>16416</v>
      </c>
      <c r="E1267" s="189" t="s">
        <v>16417</v>
      </c>
      <c r="F1267" s="162" t="s">
        <v>16418</v>
      </c>
      <c r="G1267" s="162" t="s">
        <v>16419</v>
      </c>
      <c r="H1267" s="219"/>
      <c r="I1267" s="169">
        <v>114740</v>
      </c>
      <c r="J1267" s="304" t="str">
        <f>CONCATENATE([2]Cover!$D$6,"fdd/view?i=",I1267)</f>
        <v>https://www.dgiwg.org/FAD/fdd/view?i=114740</v>
      </c>
      <c r="K1267" s="304" t="s">
        <v>35316</v>
      </c>
      <c r="L1267" s="188">
        <v>18</v>
      </c>
      <c r="M1267" s="179" t="s">
        <v>151</v>
      </c>
    </row>
    <row r="1268" spans="1:13" ht="38.25">
      <c r="A1268" s="313" t="str">
        <f t="shared" si="19"/>
        <v>AirspaceTypeCode_temporarySegregatedArea</v>
      </c>
      <c r="B1268" s="330"/>
      <c r="C1268" s="334"/>
      <c r="D1268" s="188" t="s">
        <v>16420</v>
      </c>
      <c r="E1268" s="189" t="s">
        <v>16421</v>
      </c>
      <c r="F1268" s="162" t="s">
        <v>16422</v>
      </c>
      <c r="G1268" s="162" t="s">
        <v>16423</v>
      </c>
      <c r="H1268" s="219"/>
      <c r="I1268" s="169">
        <v>114739</v>
      </c>
      <c r="J1268" s="304" t="str">
        <f>CONCATENATE([2]Cover!$D$6,"fdd/view?i=",I1268)</f>
        <v>https://www.dgiwg.org/FAD/fdd/view?i=114739</v>
      </c>
      <c r="K1268" s="304" t="s">
        <v>35317</v>
      </c>
      <c r="L1268" s="188">
        <v>17</v>
      </c>
      <c r="M1268" s="179" t="s">
        <v>151</v>
      </c>
    </row>
    <row r="1269" spans="1:13" ht="25.5">
      <c r="A1269" s="313" t="str">
        <f t="shared" si="19"/>
        <v>AirspaceTypeCode_terminalControlArea</v>
      </c>
      <c r="B1269" s="330"/>
      <c r="C1269" s="334"/>
      <c r="D1269" s="188" t="s">
        <v>16424</v>
      </c>
      <c r="E1269" s="189" t="s">
        <v>16425</v>
      </c>
      <c r="F1269" s="162" t="s">
        <v>16426</v>
      </c>
      <c r="G1269" s="162" t="s">
        <v>16316</v>
      </c>
      <c r="H1269" s="219"/>
      <c r="I1269" s="169">
        <v>114741</v>
      </c>
      <c r="J1269" s="304" t="str">
        <f>CONCATENATE([2]Cover!$D$6,"fdd/view?i=",I1269)</f>
        <v>https://www.dgiwg.org/FAD/fdd/view?i=114741</v>
      </c>
      <c r="K1269" s="304" t="s">
        <v>35318</v>
      </c>
      <c r="L1269" s="188">
        <v>19</v>
      </c>
      <c r="M1269" s="179" t="s">
        <v>151</v>
      </c>
    </row>
    <row r="1270" spans="1:13" ht="76.5">
      <c r="A1270" s="313" t="str">
        <f t="shared" si="19"/>
        <v>AirspaceTypeCode_upperAdvisoryArea</v>
      </c>
      <c r="B1270" s="330"/>
      <c r="C1270" s="334"/>
      <c r="D1270" s="188" t="s">
        <v>16427</v>
      </c>
      <c r="E1270" s="189" t="s">
        <v>16428</v>
      </c>
      <c r="F1270" s="162" t="s">
        <v>16429</v>
      </c>
      <c r="G1270" s="162" t="s">
        <v>16312</v>
      </c>
      <c r="H1270" s="219"/>
      <c r="I1270" s="169">
        <v>114746</v>
      </c>
      <c r="J1270" s="304" t="str">
        <f>CONCATENATE([2]Cover!$D$6,"fdd/view?i=",I1270)</f>
        <v>https://www.dgiwg.org/FAD/fdd/view?i=114746</v>
      </c>
      <c r="K1270" s="304" t="s">
        <v>35319</v>
      </c>
      <c r="L1270" s="188">
        <v>24</v>
      </c>
      <c r="M1270" s="179" t="s">
        <v>151</v>
      </c>
    </row>
    <row r="1271" spans="1:13" ht="25.5">
      <c r="A1271" s="313" t="str">
        <f t="shared" si="19"/>
        <v>AirspaceTypeCode_upperControlArea</v>
      </c>
      <c r="B1271" s="330"/>
      <c r="C1271" s="334"/>
      <c r="D1271" s="188" t="s">
        <v>16430</v>
      </c>
      <c r="E1271" s="189" t="s">
        <v>16431</v>
      </c>
      <c r="F1271" s="162" t="s">
        <v>16397</v>
      </c>
      <c r="G1271" s="162" t="s">
        <v>16383</v>
      </c>
      <c r="H1271" s="219"/>
      <c r="I1271" s="169">
        <v>114742</v>
      </c>
      <c r="J1271" s="304" t="str">
        <f>CONCATENATE([2]Cover!$D$6,"fdd/view?i=",I1271)</f>
        <v>https://www.dgiwg.org/FAD/fdd/view?i=114742</v>
      </c>
      <c r="K1271" s="304" t="s">
        <v>35320</v>
      </c>
      <c r="L1271" s="188">
        <v>20</v>
      </c>
      <c r="M1271" s="179" t="s">
        <v>151</v>
      </c>
    </row>
    <row r="1272" spans="1:13" ht="25.5">
      <c r="A1272" s="313" t="str">
        <f t="shared" si="19"/>
        <v>AirspaceTypeCode_upperFlightInfoRegion</v>
      </c>
      <c r="B1272" s="330"/>
      <c r="C1272" s="334"/>
      <c r="D1272" s="188" t="s">
        <v>16432</v>
      </c>
      <c r="E1272" s="189" t="s">
        <v>16433</v>
      </c>
      <c r="F1272" s="162" t="s">
        <v>16434</v>
      </c>
      <c r="G1272" s="162" t="s">
        <v>16435</v>
      </c>
      <c r="H1272" s="219"/>
      <c r="I1272" s="169">
        <v>114743</v>
      </c>
      <c r="J1272" s="304" t="str">
        <f>CONCATENATE([2]Cover!$D$6,"fdd/view?i=",I1272)</f>
        <v>https://www.dgiwg.org/FAD/fdd/view?i=114743</v>
      </c>
      <c r="K1272" s="304" t="s">
        <v>35321</v>
      </c>
      <c r="L1272" s="188">
        <v>21</v>
      </c>
      <c r="M1272" s="179" t="s">
        <v>151</v>
      </c>
    </row>
    <row r="1273" spans="1:13" ht="38.25">
      <c r="A1273" s="313" t="str">
        <f t="shared" si="19"/>
        <v>AirspaceTypeCode_warningArea</v>
      </c>
      <c r="B1273" s="331"/>
      <c r="C1273" s="335"/>
      <c r="D1273" s="181" t="s">
        <v>16436</v>
      </c>
      <c r="E1273" s="192" t="s">
        <v>16437</v>
      </c>
      <c r="F1273" s="193" t="s">
        <v>16438</v>
      </c>
      <c r="G1273" s="193" t="s">
        <v>16327</v>
      </c>
      <c r="H1273" s="220"/>
      <c r="I1273" s="169">
        <v>114753</v>
      </c>
      <c r="J1273" s="304" t="str">
        <f>CONCATENATE([2]Cover!$D$6,"fdd/view?i=",I1273)</f>
        <v>https://www.dgiwg.org/FAD/fdd/view?i=114753</v>
      </c>
      <c r="K1273" s="304" t="s">
        <v>35322</v>
      </c>
      <c r="L1273" s="181">
        <v>31</v>
      </c>
      <c r="M1273" s="179" t="s">
        <v>151</v>
      </c>
    </row>
    <row r="1274" spans="1:13" ht="25.5">
      <c r="A1274" s="313" t="str">
        <f t="shared" si="19"/>
        <v>AllowedAircraftOnRouteCode_helicopterPerformanceClass</v>
      </c>
      <c r="B1274" s="332" t="str">
        <f>HYPERLINK("[#]Datatypes!A140:L140","AllowedAircraftOnRouteCode")</f>
        <v>AllowedAircraftOnRouteCode</v>
      </c>
      <c r="C1274" s="333" t="s">
        <v>11579</v>
      </c>
      <c r="D1274" s="202" t="s">
        <v>16442</v>
      </c>
      <c r="E1274" s="203" t="s">
        <v>7417</v>
      </c>
      <c r="F1274" s="204" t="s">
        <v>16443</v>
      </c>
      <c r="G1274" s="205"/>
      <c r="H1274" s="218"/>
      <c r="I1274" s="169">
        <v>115703</v>
      </c>
      <c r="J1274" s="304" t="str">
        <f>CONCATENATE([2]Cover!$D$6,"fdd/view?i=",I1274)</f>
        <v>https://www.dgiwg.org/FAD/fdd/view?i=115703</v>
      </c>
      <c r="K1274" s="304" t="s">
        <v>35323</v>
      </c>
      <c r="L1274" s="202">
        <v>6</v>
      </c>
      <c r="M1274" s="179" t="s">
        <v>151</v>
      </c>
    </row>
    <row r="1275" spans="1:13" ht="25.5">
      <c r="A1275" s="313" t="str">
        <f t="shared" si="19"/>
        <v>AllowedAircraftOnRouteCode_helicopterPropeller</v>
      </c>
      <c r="B1275" s="330"/>
      <c r="C1275" s="334"/>
      <c r="D1275" s="188" t="s">
        <v>16439</v>
      </c>
      <c r="E1275" s="189" t="s">
        <v>16440</v>
      </c>
      <c r="F1275" s="162" t="s">
        <v>16441</v>
      </c>
      <c r="G1275" s="190"/>
      <c r="H1275" s="219"/>
      <c r="I1275" s="169">
        <v>115702</v>
      </c>
      <c r="J1275" s="304" t="str">
        <f>CONCATENATE([2]Cover!$D$6,"fdd/view?i=",I1275)</f>
        <v>https://www.dgiwg.org/FAD/fdd/view?i=115702</v>
      </c>
      <c r="K1275" s="304" t="s">
        <v>35324</v>
      </c>
      <c r="L1275" s="188">
        <v>5</v>
      </c>
      <c r="M1275" s="179" t="s">
        <v>151</v>
      </c>
    </row>
    <row r="1276" spans="1:13">
      <c r="A1276" s="313" t="str">
        <f t="shared" si="19"/>
        <v>AllowedAircraftOnRouteCode_jet</v>
      </c>
      <c r="B1276" s="330"/>
      <c r="C1276" s="334"/>
      <c r="D1276" s="188" t="s">
        <v>16444</v>
      </c>
      <c r="E1276" s="189" t="s">
        <v>16445</v>
      </c>
      <c r="F1276" s="162" t="s">
        <v>16446</v>
      </c>
      <c r="G1276" s="190"/>
      <c r="H1276" s="219"/>
      <c r="I1276" s="169">
        <v>115704</v>
      </c>
      <c r="J1276" s="304" t="str">
        <f>CONCATENATE([2]Cover!$D$6,"fdd/view?i=",I1276)</f>
        <v>https://www.dgiwg.org/FAD/fdd/view?i=115704</v>
      </c>
      <c r="K1276" s="304" t="s">
        <v>35325</v>
      </c>
      <c r="L1276" s="188">
        <v>2</v>
      </c>
      <c r="M1276" s="179" t="s">
        <v>151</v>
      </c>
    </row>
    <row r="1277" spans="1:13" ht="25.5">
      <c r="A1277" s="313" t="str">
        <f t="shared" si="19"/>
        <v>AllowedAircraftOnRouteCode_jetPropeller</v>
      </c>
      <c r="B1277" s="330"/>
      <c r="C1277" s="334"/>
      <c r="D1277" s="188" t="s">
        <v>16447</v>
      </c>
      <c r="E1277" s="189" t="s">
        <v>16448</v>
      </c>
      <c r="F1277" s="162" t="s">
        <v>16449</v>
      </c>
      <c r="G1277" s="190"/>
      <c r="H1277" s="219"/>
      <c r="I1277" s="169">
        <v>115705</v>
      </c>
      <c r="J1277" s="304" t="str">
        <f>CONCATENATE([2]Cover!$D$6,"fdd/view?i=",I1277)</f>
        <v>https://www.dgiwg.org/FAD/fdd/view?i=115705</v>
      </c>
      <c r="K1277" s="304" t="s">
        <v>35326</v>
      </c>
      <c r="L1277" s="188">
        <v>3</v>
      </c>
      <c r="M1277" s="179" t="s">
        <v>151</v>
      </c>
    </row>
    <row r="1278" spans="1:13" ht="25.5">
      <c r="A1278" s="313" t="str">
        <f t="shared" si="19"/>
        <v>AllowedAircraftOnRouteCode_jetPropellerHelicopter</v>
      </c>
      <c r="B1278" s="330"/>
      <c r="C1278" s="334"/>
      <c r="D1278" s="188" t="s">
        <v>16450</v>
      </c>
      <c r="E1278" s="189" t="s">
        <v>16451</v>
      </c>
      <c r="F1278" s="162" t="s">
        <v>16452</v>
      </c>
      <c r="G1278" s="190"/>
      <c r="H1278" s="219"/>
      <c r="I1278" s="169">
        <v>115706</v>
      </c>
      <c r="J1278" s="304" t="str">
        <f>CONCATENATE([2]Cover!$D$6,"fdd/view?i=",I1278)</f>
        <v>https://www.dgiwg.org/FAD/fdd/view?i=115706</v>
      </c>
      <c r="K1278" s="304" t="s">
        <v>35327</v>
      </c>
      <c r="L1278" s="188">
        <v>1</v>
      </c>
      <c r="M1278" s="179" t="s">
        <v>151</v>
      </c>
    </row>
    <row r="1279" spans="1:13" ht="25.5">
      <c r="A1279" s="313" t="str">
        <f t="shared" si="19"/>
        <v>AllowedAircraftOnRouteCode_propeller</v>
      </c>
      <c r="B1279" s="331"/>
      <c r="C1279" s="335"/>
      <c r="D1279" s="181" t="s">
        <v>16453</v>
      </c>
      <c r="E1279" s="192" t="s">
        <v>16454</v>
      </c>
      <c r="F1279" s="193" t="s">
        <v>16455</v>
      </c>
      <c r="G1279" s="194"/>
      <c r="H1279" s="220"/>
      <c r="I1279" s="169">
        <v>115707</v>
      </c>
      <c r="J1279" s="304" t="str">
        <f>CONCATENATE([2]Cover!$D$6,"fdd/view?i=",I1279)</f>
        <v>https://www.dgiwg.org/FAD/fdd/view?i=115707</v>
      </c>
      <c r="K1279" s="304" t="s">
        <v>35328</v>
      </c>
      <c r="L1279" s="181">
        <v>4</v>
      </c>
      <c r="M1279" s="179" t="s">
        <v>151</v>
      </c>
    </row>
    <row r="1280" spans="1:13" ht="25.5">
      <c r="A1280" s="313" t="str">
        <f t="shared" si="19"/>
        <v>AltitudeDescriptionCode_asAssigned</v>
      </c>
      <c r="B1280" s="332" t="str">
        <f>HYPERLINK("[#]Datatypes!A142:L142","AltitudeDescriptionCode")</f>
        <v>AltitudeDescriptionCode</v>
      </c>
      <c r="C1280" s="333" t="s">
        <v>11581</v>
      </c>
      <c r="D1280" s="202" t="s">
        <v>16456</v>
      </c>
      <c r="E1280" s="203" t="s">
        <v>16457</v>
      </c>
      <c r="F1280" s="204" t="s">
        <v>16458</v>
      </c>
      <c r="G1280" s="205"/>
      <c r="H1280" s="218"/>
      <c r="I1280" s="169">
        <v>115647</v>
      </c>
      <c r="J1280" s="304" t="str">
        <f>CONCATENATE([2]Cover!$D$6,"fdd/view?i=",I1280)</f>
        <v>https://www.dgiwg.org/FAD/fdd/view?i=115647</v>
      </c>
      <c r="K1280" s="304" t="s">
        <v>35329</v>
      </c>
      <c r="L1280" s="202">
        <v>7</v>
      </c>
      <c r="M1280" s="179" t="s">
        <v>151</v>
      </c>
    </row>
    <row r="1281" spans="1:13" ht="25.5">
      <c r="A1281" s="313" t="str">
        <f t="shared" si="19"/>
        <v>AltitudeDescriptionCode_atOrAbove</v>
      </c>
      <c r="B1281" s="330"/>
      <c r="C1281" s="334"/>
      <c r="D1281" s="188" t="s">
        <v>16459</v>
      </c>
      <c r="E1281" s="189" t="s">
        <v>16460</v>
      </c>
      <c r="F1281" s="162" t="s">
        <v>16461</v>
      </c>
      <c r="G1281" s="190"/>
      <c r="H1281" s="219"/>
      <c r="I1281" s="169">
        <v>115642</v>
      </c>
      <c r="J1281" s="304" t="str">
        <f>CONCATENATE([2]Cover!$D$6,"fdd/view?i=",I1281)</f>
        <v>https://www.dgiwg.org/FAD/fdd/view?i=115642</v>
      </c>
      <c r="K1281" s="304" t="s">
        <v>35330</v>
      </c>
      <c r="L1281" s="188">
        <v>2</v>
      </c>
      <c r="M1281" s="179" t="s">
        <v>151</v>
      </c>
    </row>
    <row r="1282" spans="1:13" ht="25.5">
      <c r="A1282" s="313" t="str">
        <f t="shared" si="19"/>
        <v>AltitudeDescriptionCode_atOrBelow</v>
      </c>
      <c r="B1282" s="330"/>
      <c r="C1282" s="334"/>
      <c r="D1282" s="188" t="s">
        <v>16462</v>
      </c>
      <c r="E1282" s="189" t="s">
        <v>16463</v>
      </c>
      <c r="F1282" s="162" t="s">
        <v>16464</v>
      </c>
      <c r="G1282" s="190"/>
      <c r="H1282" s="219"/>
      <c r="I1282" s="169">
        <v>115643</v>
      </c>
      <c r="J1282" s="304" t="str">
        <f>CONCATENATE([2]Cover!$D$6,"fdd/view?i=",I1282)</f>
        <v>https://www.dgiwg.org/FAD/fdd/view?i=115643</v>
      </c>
      <c r="K1282" s="304" t="s">
        <v>35331</v>
      </c>
      <c r="L1282" s="188">
        <v>3</v>
      </c>
      <c r="M1282" s="179" t="s">
        <v>151</v>
      </c>
    </row>
    <row r="1283" spans="1:13" ht="25.5">
      <c r="A1283" s="313" t="str">
        <f t="shared" ref="A1283:A1346" si="20">HYPERLINK(J1283,K1283)</f>
        <v>AltitudeDescriptionCode_between</v>
      </c>
      <c r="B1283" s="330"/>
      <c r="C1283" s="334"/>
      <c r="D1283" s="188" t="s">
        <v>16465</v>
      </c>
      <c r="E1283" s="189" t="s">
        <v>16466</v>
      </c>
      <c r="F1283" s="162" t="s">
        <v>16467</v>
      </c>
      <c r="G1283" s="190"/>
      <c r="H1283" s="221" t="s">
        <v>16468</v>
      </c>
      <c r="I1283" s="169">
        <v>115641</v>
      </c>
      <c r="J1283" s="304" t="str">
        <f>CONCATENATE([2]Cover!$D$6,"fdd/view?i=",I1283)</f>
        <v>https://www.dgiwg.org/FAD/fdd/view?i=115641</v>
      </c>
      <c r="K1283" s="304" t="s">
        <v>35332</v>
      </c>
      <c r="L1283" s="188">
        <v>1</v>
      </c>
      <c r="M1283" s="179" t="s">
        <v>151</v>
      </c>
    </row>
    <row r="1284" spans="1:13" ht="25.5">
      <c r="A1284" s="313" t="str">
        <f t="shared" si="20"/>
        <v>AltitudeDescriptionCode_expected</v>
      </c>
      <c r="B1284" s="330"/>
      <c r="C1284" s="334"/>
      <c r="D1284" s="188" t="s">
        <v>16469</v>
      </c>
      <c r="E1284" s="189" t="s">
        <v>16470</v>
      </c>
      <c r="F1284" s="162" t="s">
        <v>16471</v>
      </c>
      <c r="G1284" s="190"/>
      <c r="H1284" s="219"/>
      <c r="I1284" s="169">
        <v>115646</v>
      </c>
      <c r="J1284" s="304" t="str">
        <f>CONCATENATE([2]Cover!$D$6,"fdd/view?i=",I1284)</f>
        <v>https://www.dgiwg.org/FAD/fdd/view?i=115646</v>
      </c>
      <c r="K1284" s="304" t="s">
        <v>35333</v>
      </c>
      <c r="L1284" s="188">
        <v>6</v>
      </c>
      <c r="M1284" s="179" t="s">
        <v>151</v>
      </c>
    </row>
    <row r="1285" spans="1:13" ht="25.5">
      <c r="A1285" s="313" t="str">
        <f t="shared" si="20"/>
        <v>AltitudeDescriptionCode_mandatory</v>
      </c>
      <c r="B1285" s="330"/>
      <c r="C1285" s="334"/>
      <c r="D1285" s="188" t="s">
        <v>16472</v>
      </c>
      <c r="E1285" s="189" t="s">
        <v>16473</v>
      </c>
      <c r="F1285" s="162" t="s">
        <v>16474</v>
      </c>
      <c r="G1285" s="190"/>
      <c r="H1285" s="219"/>
      <c r="I1285" s="169">
        <v>115644</v>
      </c>
      <c r="J1285" s="304" t="str">
        <f>CONCATENATE([2]Cover!$D$6,"fdd/view?i=",I1285)</f>
        <v>https://www.dgiwg.org/FAD/fdd/view?i=115644</v>
      </c>
      <c r="K1285" s="304" t="s">
        <v>35334</v>
      </c>
      <c r="L1285" s="188">
        <v>4</v>
      </c>
      <c r="M1285" s="179" t="s">
        <v>151</v>
      </c>
    </row>
    <row r="1286" spans="1:13" ht="25.5">
      <c r="A1286" s="313" t="str">
        <f t="shared" si="20"/>
        <v>AltitudeDescriptionCode_recommended</v>
      </c>
      <c r="B1286" s="331"/>
      <c r="C1286" s="335"/>
      <c r="D1286" s="181" t="s">
        <v>16475</v>
      </c>
      <c r="E1286" s="192" t="s">
        <v>16476</v>
      </c>
      <c r="F1286" s="193" t="s">
        <v>16477</v>
      </c>
      <c r="G1286" s="194"/>
      <c r="H1286" s="220"/>
      <c r="I1286" s="169">
        <v>115645</v>
      </c>
      <c r="J1286" s="304" t="str">
        <f>CONCATENATE([2]Cover!$D$6,"fdd/view?i=",I1286)</f>
        <v>https://www.dgiwg.org/FAD/fdd/view?i=115645</v>
      </c>
      <c r="K1286" s="304" t="s">
        <v>35335</v>
      </c>
      <c r="L1286" s="181">
        <v>5</v>
      </c>
      <c r="M1286" s="179" t="s">
        <v>151</v>
      </c>
    </row>
    <row r="1287" spans="1:13" ht="25.5">
      <c r="A1287" s="313" t="str">
        <f t="shared" si="20"/>
        <v>AmusementAttractionTypeCode_artificialMountain</v>
      </c>
      <c r="B1287" s="332" t="str">
        <f>HYPERLINK("[#]Datatypes!A144:L144","AmusementAttractionTypeCode")</f>
        <v>AmusementAttractionTypeCode</v>
      </c>
      <c r="C1287" s="333" t="s">
        <v>11583</v>
      </c>
      <c r="D1287" s="202" t="s">
        <v>16478</v>
      </c>
      <c r="E1287" s="203" t="s">
        <v>16479</v>
      </c>
      <c r="F1287" s="204" t="s">
        <v>16480</v>
      </c>
      <c r="G1287" s="205"/>
      <c r="H1287" s="218"/>
      <c r="I1287" s="169">
        <v>103235</v>
      </c>
      <c r="J1287" s="304" t="str">
        <f>CONCATENATE([2]Cover!$D$6,"fdd/view?i=",I1287)</f>
        <v>https://www.dgiwg.org/FAD/fdd/view?i=103235</v>
      </c>
      <c r="K1287" s="304" t="s">
        <v>35336</v>
      </c>
      <c r="L1287" s="202">
        <v>1</v>
      </c>
      <c r="M1287" s="179" t="s">
        <v>151</v>
      </c>
    </row>
    <row r="1288" spans="1:13" ht="25.5">
      <c r="A1288" s="313" t="str">
        <f t="shared" si="20"/>
        <v>AmusementAttractionTypeCode_ferrisWheel</v>
      </c>
      <c r="B1288" s="330"/>
      <c r="C1288" s="334"/>
      <c r="D1288" s="188" t="s">
        <v>16481</v>
      </c>
      <c r="E1288" s="189" t="s">
        <v>16482</v>
      </c>
      <c r="F1288" s="162" t="s">
        <v>16483</v>
      </c>
      <c r="G1288" s="190"/>
      <c r="H1288" s="219"/>
      <c r="I1288" s="169">
        <v>103236</v>
      </c>
      <c r="J1288" s="304" t="str">
        <f>CONCATENATE([2]Cover!$D$6,"fdd/view?i=",I1288)</f>
        <v>https://www.dgiwg.org/FAD/fdd/view?i=103236</v>
      </c>
      <c r="K1288" s="304" t="s">
        <v>35337</v>
      </c>
      <c r="L1288" s="188">
        <v>2</v>
      </c>
      <c r="M1288" s="179" t="s">
        <v>151</v>
      </c>
    </row>
    <row r="1289" spans="1:13" ht="25.5">
      <c r="A1289" s="313" t="str">
        <f t="shared" si="20"/>
        <v>AmusementAttractionTypeCode_rollerCoaster</v>
      </c>
      <c r="B1289" s="330"/>
      <c r="C1289" s="334"/>
      <c r="D1289" s="188" t="s">
        <v>16484</v>
      </c>
      <c r="E1289" s="189" t="s">
        <v>16485</v>
      </c>
      <c r="F1289" s="162" t="s">
        <v>16486</v>
      </c>
      <c r="G1289" s="190"/>
      <c r="H1289" s="219"/>
      <c r="I1289" s="169">
        <v>103238</v>
      </c>
      <c r="J1289" s="304" t="str">
        <f>CONCATENATE([2]Cover!$D$6,"fdd/view?i=",I1289)</f>
        <v>https://www.dgiwg.org/FAD/fdd/view?i=103238</v>
      </c>
      <c r="K1289" s="304" t="s">
        <v>35338</v>
      </c>
      <c r="L1289" s="188">
        <v>3</v>
      </c>
      <c r="M1289" s="179" t="s">
        <v>151</v>
      </c>
    </row>
    <row r="1290" spans="1:13" ht="25.5">
      <c r="A1290" s="313" t="str">
        <f t="shared" si="20"/>
        <v>AmusementAttractionTypeCode_spherical</v>
      </c>
      <c r="B1290" s="330"/>
      <c r="C1290" s="334"/>
      <c r="D1290" s="188" t="s">
        <v>16487</v>
      </c>
      <c r="E1290" s="189" t="s">
        <v>16488</v>
      </c>
      <c r="F1290" s="162" t="s">
        <v>16489</v>
      </c>
      <c r="G1290" s="162" t="s">
        <v>16490</v>
      </c>
      <c r="H1290" s="219"/>
      <c r="I1290" s="169">
        <v>103488</v>
      </c>
      <c r="J1290" s="304" t="str">
        <f>CONCATENATE([2]Cover!$D$6,"fdd/view?i=",I1290)</f>
        <v>https://www.dgiwg.org/FAD/fdd/view?i=103488</v>
      </c>
      <c r="K1290" s="304" t="s">
        <v>35339</v>
      </c>
      <c r="L1290" s="188">
        <v>4</v>
      </c>
      <c r="M1290" s="179" t="s">
        <v>151</v>
      </c>
    </row>
    <row r="1291" spans="1:13" ht="25.5">
      <c r="A1291" s="313" t="str">
        <f t="shared" si="20"/>
        <v>AmusementAttractionTypeCode_verticalRide</v>
      </c>
      <c r="B1291" s="330"/>
      <c r="C1291" s="334"/>
      <c r="D1291" s="188" t="s">
        <v>16491</v>
      </c>
      <c r="E1291" s="189" t="s">
        <v>16492</v>
      </c>
      <c r="F1291" s="162" t="s">
        <v>16493</v>
      </c>
      <c r="G1291" s="162" t="s">
        <v>16494</v>
      </c>
      <c r="H1291" s="219"/>
      <c r="I1291" s="169">
        <v>117825</v>
      </c>
      <c r="J1291" s="304" t="str">
        <f>CONCATENATE([2]Cover!$D$6,"fdd/view?i=",I1291)</f>
        <v>https://www.dgiwg.org/FAD/fdd/view?i=117825</v>
      </c>
      <c r="K1291" s="304" t="s">
        <v>35340</v>
      </c>
      <c r="L1291" s="188">
        <v>6</v>
      </c>
      <c r="M1291" s="179" t="s">
        <v>151</v>
      </c>
    </row>
    <row r="1292" spans="1:13" ht="89.25">
      <c r="A1292" s="313" t="str">
        <f t="shared" si="20"/>
        <v>AmusementAttractionTypeCode_waterAttraction</v>
      </c>
      <c r="B1292" s="331"/>
      <c r="C1292" s="335"/>
      <c r="D1292" s="181" t="s">
        <v>16495</v>
      </c>
      <c r="E1292" s="192" t="s">
        <v>16496</v>
      </c>
      <c r="F1292" s="193" t="s">
        <v>16497</v>
      </c>
      <c r="G1292" s="193" t="s">
        <v>16498</v>
      </c>
      <c r="H1292" s="220"/>
      <c r="I1292" s="169">
        <v>112737</v>
      </c>
      <c r="J1292" s="304" t="str">
        <f>CONCATENATE([2]Cover!$D$6,"fdd/view?i=",I1292)</f>
        <v>https://www.dgiwg.org/FAD/fdd/view?i=112737</v>
      </c>
      <c r="K1292" s="304" t="s">
        <v>35341</v>
      </c>
      <c r="L1292" s="181">
        <v>5</v>
      </c>
      <c r="M1292" s="179" t="s">
        <v>151</v>
      </c>
    </row>
    <row r="1293" spans="1:13" ht="25.5">
      <c r="A1293" s="313" t="str">
        <f t="shared" si="20"/>
        <v>AnchorageTypeCode_anchorageBerth</v>
      </c>
      <c r="B1293" s="332" t="str">
        <f>HYPERLINK("[#]Datatypes!A146:L146","AnchorageTypeCode")</f>
        <v>AnchorageTypeCode</v>
      </c>
      <c r="C1293" s="333" t="s">
        <v>11585</v>
      </c>
      <c r="D1293" s="202" t="s">
        <v>16499</v>
      </c>
      <c r="E1293" s="203" t="s">
        <v>16500</v>
      </c>
      <c r="F1293" s="204" t="s">
        <v>16501</v>
      </c>
      <c r="G1293" s="204" t="s">
        <v>16502</v>
      </c>
      <c r="H1293" s="218"/>
      <c r="I1293" s="169">
        <v>111324</v>
      </c>
      <c r="J1293" s="304" t="str">
        <f>CONCATENATE([2]Cover!$D$6,"fdd/view?i=",I1293)</f>
        <v>https://www.dgiwg.org/FAD/fdd/view?i=111324</v>
      </c>
      <c r="K1293" s="304" t="s">
        <v>35342</v>
      </c>
      <c r="L1293" s="202">
        <v>13</v>
      </c>
      <c r="M1293" s="179" t="s">
        <v>151</v>
      </c>
    </row>
    <row r="1294" spans="1:13" ht="25.5">
      <c r="A1294" s="313" t="str">
        <f t="shared" si="20"/>
        <v>AnchorageTypeCode_anchorageUpTo24Hours</v>
      </c>
      <c r="B1294" s="330"/>
      <c r="C1294" s="334"/>
      <c r="D1294" s="188" t="s">
        <v>16503</v>
      </c>
      <c r="E1294" s="189" t="s">
        <v>16504</v>
      </c>
      <c r="F1294" s="162" t="s">
        <v>16505</v>
      </c>
      <c r="G1294" s="190"/>
      <c r="H1294" s="219"/>
      <c r="I1294" s="169">
        <v>111139</v>
      </c>
      <c r="J1294" s="304" t="str">
        <f>CONCATENATE([2]Cover!$D$6,"fdd/view?i=",I1294)</f>
        <v>https://www.dgiwg.org/FAD/fdd/view?i=111139</v>
      </c>
      <c r="K1294" s="304" t="s">
        <v>35343</v>
      </c>
      <c r="L1294" s="188">
        <v>9</v>
      </c>
      <c r="M1294" s="179" t="s">
        <v>151</v>
      </c>
    </row>
    <row r="1295" spans="1:13" ht="25.5">
      <c r="A1295" s="313" t="str">
        <f t="shared" si="20"/>
        <v>AnchorageTypeCode_deepWaterAnchorage</v>
      </c>
      <c r="B1295" s="330"/>
      <c r="C1295" s="334"/>
      <c r="D1295" s="188" t="s">
        <v>16506</v>
      </c>
      <c r="E1295" s="189" t="s">
        <v>16507</v>
      </c>
      <c r="F1295" s="162" t="s">
        <v>16508</v>
      </c>
      <c r="G1295" s="190"/>
      <c r="H1295" s="221" t="s">
        <v>16509</v>
      </c>
      <c r="I1295" s="169">
        <v>111132</v>
      </c>
      <c r="J1295" s="304" t="str">
        <f>CONCATENATE([2]Cover!$D$6,"fdd/view?i=",I1295)</f>
        <v>https://www.dgiwg.org/FAD/fdd/view?i=111132</v>
      </c>
      <c r="K1295" s="304" t="s">
        <v>35344</v>
      </c>
      <c r="L1295" s="188">
        <v>2</v>
      </c>
      <c r="M1295" s="179" t="s">
        <v>151</v>
      </c>
    </row>
    <row r="1296" spans="1:13" ht="25.5">
      <c r="A1296" s="313" t="str">
        <f t="shared" si="20"/>
        <v>AnchorageTypeCode_explosivesAnchorage</v>
      </c>
      <c r="B1296" s="330"/>
      <c r="C1296" s="334"/>
      <c r="D1296" s="188" t="s">
        <v>16510</v>
      </c>
      <c r="E1296" s="189" t="s">
        <v>16511</v>
      </c>
      <c r="F1296" s="162" t="s">
        <v>16512</v>
      </c>
      <c r="G1296" s="190"/>
      <c r="H1296" s="219"/>
      <c r="I1296" s="169">
        <v>111134</v>
      </c>
      <c r="J1296" s="304" t="str">
        <f>CONCATENATE([2]Cover!$D$6,"fdd/view?i=",I1296)</f>
        <v>https://www.dgiwg.org/FAD/fdd/view?i=111134</v>
      </c>
      <c r="K1296" s="304" t="s">
        <v>35345</v>
      </c>
      <c r="L1296" s="188">
        <v>4</v>
      </c>
      <c r="M1296" s="179" t="s">
        <v>151</v>
      </c>
    </row>
    <row r="1297" spans="1:13" ht="102">
      <c r="A1297" s="313" t="str">
        <f t="shared" si="20"/>
        <v>AnchorageTypeCode_navalReserveAnchorage</v>
      </c>
      <c r="B1297" s="330"/>
      <c r="C1297" s="334"/>
      <c r="D1297" s="188" t="s">
        <v>16513</v>
      </c>
      <c r="E1297" s="189" t="s">
        <v>16514</v>
      </c>
      <c r="F1297" s="162" t="s">
        <v>16515</v>
      </c>
      <c r="G1297" s="162" t="s">
        <v>16516</v>
      </c>
      <c r="H1297" s="219"/>
      <c r="I1297" s="169">
        <v>111142</v>
      </c>
      <c r="J1297" s="304" t="str">
        <f>CONCATENATE([2]Cover!$D$6,"fdd/view?i=",I1297)</f>
        <v>https://www.dgiwg.org/FAD/fdd/view?i=111142</v>
      </c>
      <c r="K1297" s="304" t="s">
        <v>35346</v>
      </c>
      <c r="L1297" s="188">
        <v>12</v>
      </c>
      <c r="M1297" s="179" t="s">
        <v>151</v>
      </c>
    </row>
    <row r="1298" spans="1:13" ht="25.5">
      <c r="A1298" s="313" t="str">
        <f t="shared" si="20"/>
        <v>AnchorageTypeCode_quarantineAnchorage</v>
      </c>
      <c r="B1298" s="330"/>
      <c r="C1298" s="334"/>
      <c r="D1298" s="188" t="s">
        <v>16517</v>
      </c>
      <c r="E1298" s="189" t="s">
        <v>16518</v>
      </c>
      <c r="F1298" s="162" t="s">
        <v>16519</v>
      </c>
      <c r="G1298" s="190"/>
      <c r="H1298" s="219"/>
      <c r="I1298" s="169">
        <v>111135</v>
      </c>
      <c r="J1298" s="304" t="str">
        <f>CONCATENATE([2]Cover!$D$6,"fdd/view?i=",I1298)</f>
        <v>https://www.dgiwg.org/FAD/fdd/view?i=111135</v>
      </c>
      <c r="K1298" s="304" t="s">
        <v>35347</v>
      </c>
      <c r="L1298" s="188">
        <v>5</v>
      </c>
      <c r="M1298" s="179" t="s">
        <v>151</v>
      </c>
    </row>
    <row r="1299" spans="1:13" ht="38.25">
      <c r="A1299" s="313" t="str">
        <f t="shared" si="20"/>
        <v>AnchorageTypeCode_reservedAnchorage</v>
      </c>
      <c r="B1299" s="330"/>
      <c r="C1299" s="334"/>
      <c r="D1299" s="188" t="s">
        <v>16520</v>
      </c>
      <c r="E1299" s="189" t="s">
        <v>16521</v>
      </c>
      <c r="F1299" s="162" t="s">
        <v>16522</v>
      </c>
      <c r="G1299" s="190"/>
      <c r="H1299" s="219"/>
      <c r="I1299" s="169">
        <v>111141</v>
      </c>
      <c r="J1299" s="304" t="str">
        <f>CONCATENATE([2]Cover!$D$6,"fdd/view?i=",I1299)</f>
        <v>https://www.dgiwg.org/FAD/fdd/view?i=111141</v>
      </c>
      <c r="K1299" s="304" t="s">
        <v>35348</v>
      </c>
      <c r="L1299" s="188">
        <v>11</v>
      </c>
      <c r="M1299" s="179" t="s">
        <v>151</v>
      </c>
    </row>
    <row r="1300" spans="1:13" ht="25.5">
      <c r="A1300" s="313" t="str">
        <f t="shared" si="20"/>
        <v>AnchorageTypeCode_seaplaneAnchorage</v>
      </c>
      <c r="B1300" s="330"/>
      <c r="C1300" s="334"/>
      <c r="D1300" s="188" t="s">
        <v>16523</v>
      </c>
      <c r="E1300" s="189" t="s">
        <v>16524</v>
      </c>
      <c r="F1300" s="162" t="s">
        <v>16525</v>
      </c>
      <c r="G1300" s="190"/>
      <c r="H1300" s="219"/>
      <c r="I1300" s="169">
        <v>111136</v>
      </c>
      <c r="J1300" s="304" t="str">
        <f>CONCATENATE([2]Cover!$D$6,"fdd/view?i=",I1300)</f>
        <v>https://www.dgiwg.org/FAD/fdd/view?i=111136</v>
      </c>
      <c r="K1300" s="304" t="s">
        <v>35349</v>
      </c>
      <c r="L1300" s="188">
        <v>6</v>
      </c>
      <c r="M1300" s="179" t="s">
        <v>151</v>
      </c>
    </row>
    <row r="1301" spans="1:13" ht="25.5">
      <c r="A1301" s="313" t="str">
        <f t="shared" si="20"/>
        <v>AnchorageTypeCode_smallCraftAnchorage</v>
      </c>
      <c r="B1301" s="330"/>
      <c r="C1301" s="334"/>
      <c r="D1301" s="188" t="s">
        <v>16526</v>
      </c>
      <c r="E1301" s="189" t="s">
        <v>16527</v>
      </c>
      <c r="F1301" s="162" t="s">
        <v>16528</v>
      </c>
      <c r="G1301" s="190"/>
      <c r="H1301" s="221" t="s">
        <v>16529</v>
      </c>
      <c r="I1301" s="169">
        <v>111137</v>
      </c>
      <c r="J1301" s="304" t="str">
        <f>CONCATENATE([2]Cover!$D$6,"fdd/view?i=",I1301)</f>
        <v>https://www.dgiwg.org/FAD/fdd/view?i=111137</v>
      </c>
      <c r="K1301" s="304" t="s">
        <v>35350</v>
      </c>
      <c r="L1301" s="188">
        <v>7</v>
      </c>
      <c r="M1301" s="179" t="s">
        <v>151</v>
      </c>
    </row>
    <row r="1302" spans="1:13" ht="25.5">
      <c r="A1302" s="313" t="str">
        <f t="shared" si="20"/>
        <v>AnchorageTypeCode_smallCraftMooringArea</v>
      </c>
      <c r="B1302" s="330"/>
      <c r="C1302" s="334"/>
      <c r="D1302" s="188" t="s">
        <v>16530</v>
      </c>
      <c r="E1302" s="189" t="s">
        <v>16531</v>
      </c>
      <c r="F1302" s="162" t="s">
        <v>16532</v>
      </c>
      <c r="G1302" s="190"/>
      <c r="H1302" s="219"/>
      <c r="I1302" s="169">
        <v>111138</v>
      </c>
      <c r="J1302" s="304" t="str">
        <f>CONCATENATE([2]Cover!$D$6,"fdd/view?i=",I1302)</f>
        <v>https://www.dgiwg.org/FAD/fdd/view?i=111138</v>
      </c>
      <c r="K1302" s="304" t="s">
        <v>35351</v>
      </c>
      <c r="L1302" s="188">
        <v>8</v>
      </c>
      <c r="M1302" s="179" t="s">
        <v>151</v>
      </c>
    </row>
    <row r="1303" spans="1:13" ht="25.5">
      <c r="A1303" s="313" t="str">
        <f t="shared" si="20"/>
        <v>AnchorageTypeCode_tankerAnchorage</v>
      </c>
      <c r="B1303" s="330"/>
      <c r="C1303" s="334"/>
      <c r="D1303" s="188" t="s">
        <v>16533</v>
      </c>
      <c r="E1303" s="189" t="s">
        <v>16534</v>
      </c>
      <c r="F1303" s="162" t="s">
        <v>16535</v>
      </c>
      <c r="G1303" s="190"/>
      <c r="H1303" s="219"/>
      <c r="I1303" s="169">
        <v>111133</v>
      </c>
      <c r="J1303" s="304" t="str">
        <f>CONCATENATE([2]Cover!$D$6,"fdd/view?i=",I1303)</f>
        <v>https://www.dgiwg.org/FAD/fdd/view?i=111133</v>
      </c>
      <c r="K1303" s="304" t="s">
        <v>35352</v>
      </c>
      <c r="L1303" s="188">
        <v>3</v>
      </c>
      <c r="M1303" s="179" t="s">
        <v>151</v>
      </c>
    </row>
    <row r="1304" spans="1:13" ht="25.5">
      <c r="A1304" s="313" t="str">
        <f t="shared" si="20"/>
        <v>AnchorageTypeCode_timeLimited</v>
      </c>
      <c r="B1304" s="330"/>
      <c r="C1304" s="334"/>
      <c r="D1304" s="188" t="s">
        <v>16536</v>
      </c>
      <c r="E1304" s="189" t="s">
        <v>16537</v>
      </c>
      <c r="F1304" s="162" t="s">
        <v>16538</v>
      </c>
      <c r="G1304" s="162" t="s">
        <v>16539</v>
      </c>
      <c r="H1304" s="219"/>
      <c r="I1304" s="169">
        <v>111140</v>
      </c>
      <c r="J1304" s="304" t="str">
        <f>CONCATENATE([2]Cover!$D$6,"fdd/view?i=",I1304)</f>
        <v>https://www.dgiwg.org/FAD/fdd/view?i=111140</v>
      </c>
      <c r="K1304" s="304" t="s">
        <v>35353</v>
      </c>
      <c r="L1304" s="188">
        <v>10</v>
      </c>
      <c r="M1304" s="179" t="s">
        <v>151</v>
      </c>
    </row>
    <row r="1305" spans="1:13" ht="25.5">
      <c r="A1305" s="313" t="str">
        <f t="shared" si="20"/>
        <v>AnchorageTypeCode_unrestrictedAnchorage</v>
      </c>
      <c r="B1305" s="331"/>
      <c r="C1305" s="335"/>
      <c r="D1305" s="181" t="s">
        <v>16540</v>
      </c>
      <c r="E1305" s="192" t="s">
        <v>16541</v>
      </c>
      <c r="F1305" s="193" t="s">
        <v>16542</v>
      </c>
      <c r="G1305" s="194"/>
      <c r="H1305" s="220"/>
      <c r="I1305" s="169">
        <v>111131</v>
      </c>
      <c r="J1305" s="304" t="str">
        <f>CONCATENATE([2]Cover!$D$6,"fdd/view?i=",I1305)</f>
        <v>https://www.dgiwg.org/FAD/fdd/view?i=111131</v>
      </c>
      <c r="K1305" s="304" t="s">
        <v>35354</v>
      </c>
      <c r="L1305" s="181">
        <v>1</v>
      </c>
      <c r="M1305" s="179" t="s">
        <v>151</v>
      </c>
    </row>
    <row r="1306" spans="1:13" ht="38.25">
      <c r="A1306" s="313" t="str">
        <f t="shared" si="20"/>
        <v>ApproachCapMarkingsCode_nonPrecision</v>
      </c>
      <c r="B1306" s="332" t="str">
        <f>HYPERLINK("[#]Datatypes!A148:L148","ApproachCapMarkingsCode")</f>
        <v>ApproachCapMarkingsCode</v>
      </c>
      <c r="C1306" s="333" t="s">
        <v>11587</v>
      </c>
      <c r="D1306" s="202" t="s">
        <v>16543</v>
      </c>
      <c r="E1306" s="203" t="s">
        <v>16544</v>
      </c>
      <c r="F1306" s="204" t="s">
        <v>16545</v>
      </c>
      <c r="G1306" s="204" t="s">
        <v>16546</v>
      </c>
      <c r="H1306" s="218"/>
      <c r="I1306" s="169">
        <v>119011</v>
      </c>
      <c r="J1306" s="304" t="str">
        <f>CONCATENATE([2]Cover!$D$6,"fdd/view?i=",I1306)</f>
        <v>https://www.dgiwg.org/FAD/fdd/view?i=119011</v>
      </c>
      <c r="K1306" s="304" t="s">
        <v>35355</v>
      </c>
      <c r="L1306" s="202">
        <v>2</v>
      </c>
      <c r="M1306" s="179" t="s">
        <v>151</v>
      </c>
    </row>
    <row r="1307" spans="1:13" ht="38.25">
      <c r="A1307" s="313" t="str">
        <f t="shared" si="20"/>
        <v>ApproachCapMarkingsCode_precision</v>
      </c>
      <c r="B1307" s="330"/>
      <c r="C1307" s="334"/>
      <c r="D1307" s="188" t="s">
        <v>16547</v>
      </c>
      <c r="E1307" s="189" t="s">
        <v>16548</v>
      </c>
      <c r="F1307" s="162" t="s">
        <v>16549</v>
      </c>
      <c r="G1307" s="162" t="s">
        <v>16550</v>
      </c>
      <c r="H1307" s="219"/>
      <c r="I1307" s="169">
        <v>119012</v>
      </c>
      <c r="J1307" s="304" t="str">
        <f>CONCATENATE([2]Cover!$D$6,"fdd/view?i=",I1307)</f>
        <v>https://www.dgiwg.org/FAD/fdd/view?i=119012</v>
      </c>
      <c r="K1307" s="304" t="s">
        <v>35356</v>
      </c>
      <c r="L1307" s="188">
        <v>3</v>
      </c>
      <c r="M1307" s="179" t="s">
        <v>151</v>
      </c>
    </row>
    <row r="1308" spans="1:13" ht="25.5">
      <c r="A1308" s="313" t="str">
        <f t="shared" si="20"/>
        <v>ApproachCapMarkingsCode_visual</v>
      </c>
      <c r="B1308" s="331"/>
      <c r="C1308" s="335"/>
      <c r="D1308" s="181" t="s">
        <v>16551</v>
      </c>
      <c r="E1308" s="192" t="s">
        <v>16552</v>
      </c>
      <c r="F1308" s="193" t="s">
        <v>16553</v>
      </c>
      <c r="G1308" s="193" t="s">
        <v>16554</v>
      </c>
      <c r="H1308" s="220"/>
      <c r="I1308" s="169">
        <v>119010</v>
      </c>
      <c r="J1308" s="304" t="str">
        <f>CONCATENATE([2]Cover!$D$6,"fdd/view?i=",I1308)</f>
        <v>https://www.dgiwg.org/FAD/fdd/view?i=119010</v>
      </c>
      <c r="K1308" s="304" t="s">
        <v>35357</v>
      </c>
      <c r="L1308" s="181">
        <v>1</v>
      </c>
      <c r="M1308" s="179" t="s">
        <v>151</v>
      </c>
    </row>
    <row r="1309" spans="1:13" ht="25.5">
      <c r="A1309" s="313" t="str">
        <f t="shared" si="20"/>
        <v>ApproachPrefixCode_converging</v>
      </c>
      <c r="B1309" s="332" t="str">
        <f>HYPERLINK("[#]Datatypes!A152:L152","ApproachPrefixCode")</f>
        <v>ApproachPrefixCode</v>
      </c>
      <c r="C1309" s="333" t="s">
        <v>11592</v>
      </c>
      <c r="D1309" s="202" t="s">
        <v>16555</v>
      </c>
      <c r="E1309" s="203" t="s">
        <v>16556</v>
      </c>
      <c r="F1309" s="204" t="s">
        <v>16557</v>
      </c>
      <c r="G1309" s="205"/>
      <c r="H1309" s="218"/>
      <c r="I1309" s="169">
        <v>116116</v>
      </c>
      <c r="J1309" s="304" t="str">
        <f>CONCATENATE([2]Cover!$D$6,"fdd/view?i=",I1309)</f>
        <v>https://www.dgiwg.org/FAD/fdd/view?i=116116</v>
      </c>
      <c r="K1309" s="304" t="s">
        <v>35358</v>
      </c>
      <c r="L1309" s="202">
        <v>3</v>
      </c>
      <c r="M1309" s="179" t="s">
        <v>151</v>
      </c>
    </row>
    <row r="1310" spans="1:13">
      <c r="A1310" s="313" t="str">
        <f t="shared" si="20"/>
        <v>ApproachPrefixCode_copter</v>
      </c>
      <c r="B1310" s="330"/>
      <c r="C1310" s="334"/>
      <c r="D1310" s="188" t="s">
        <v>16558</v>
      </c>
      <c r="E1310" s="189" t="s">
        <v>16559</v>
      </c>
      <c r="F1310" s="162" t="s">
        <v>16560</v>
      </c>
      <c r="G1310" s="190"/>
      <c r="H1310" s="219"/>
      <c r="I1310" s="169">
        <v>116115</v>
      </c>
      <c r="J1310" s="304" t="str">
        <f>CONCATENATE([2]Cover!$D$6,"fdd/view?i=",I1310)</f>
        <v>https://www.dgiwg.org/FAD/fdd/view?i=116115</v>
      </c>
      <c r="K1310" s="304" t="s">
        <v>35359</v>
      </c>
      <c r="L1310" s="188">
        <v>2</v>
      </c>
      <c r="M1310" s="179" t="s">
        <v>151</v>
      </c>
    </row>
    <row r="1311" spans="1:13" ht="25.5">
      <c r="A1311" s="313" t="str">
        <f t="shared" si="20"/>
        <v>ApproachPrefixCode_hi</v>
      </c>
      <c r="B1311" s="331"/>
      <c r="C1311" s="335"/>
      <c r="D1311" s="181" t="s">
        <v>16561</v>
      </c>
      <c r="E1311" s="192" t="s">
        <v>16562</v>
      </c>
      <c r="F1311" s="193" t="s">
        <v>16563</v>
      </c>
      <c r="G1311" s="193" t="s">
        <v>16564</v>
      </c>
      <c r="H1311" s="220"/>
      <c r="I1311" s="169">
        <v>116114</v>
      </c>
      <c r="J1311" s="304" t="str">
        <f>CONCATENATE([2]Cover!$D$6,"fdd/view?i=",I1311)</f>
        <v>https://www.dgiwg.org/FAD/fdd/view?i=116114</v>
      </c>
      <c r="K1311" s="304" t="s">
        <v>35360</v>
      </c>
      <c r="L1311" s="181">
        <v>1</v>
      </c>
      <c r="M1311" s="179" t="s">
        <v>151</v>
      </c>
    </row>
    <row r="1312" spans="1:13" ht="25.5">
      <c r="A1312" s="313" t="str">
        <f t="shared" si="20"/>
        <v>ApproachTypeCode_airborneRadarApproach</v>
      </c>
      <c r="B1312" s="332" t="str">
        <f>HYPERLINK("[#]Datatypes!A154:L154","ApproachTypeCode")</f>
        <v>ApproachTypeCode</v>
      </c>
      <c r="C1312" s="333" t="s">
        <v>11594</v>
      </c>
      <c r="D1312" s="202" t="s">
        <v>16568</v>
      </c>
      <c r="E1312" s="203" t="s">
        <v>16569</v>
      </c>
      <c r="F1312" s="204" t="s">
        <v>16570</v>
      </c>
      <c r="G1312" s="205"/>
      <c r="H1312" s="218"/>
      <c r="I1312" s="169">
        <v>115722</v>
      </c>
      <c r="J1312" s="304" t="str">
        <f>CONCATENATE([2]Cover!$D$6,"fdd/view?i=",I1312)</f>
        <v>https://www.dgiwg.org/FAD/fdd/view?i=115722</v>
      </c>
      <c r="K1312" s="304" t="s">
        <v>35361</v>
      </c>
      <c r="L1312" s="202">
        <v>2</v>
      </c>
      <c r="M1312" s="179" t="s">
        <v>151</v>
      </c>
    </row>
    <row r="1313" spans="1:13" ht="25.5">
      <c r="A1313" s="313" t="str">
        <f t="shared" si="20"/>
        <v>ApproachTypeCode_airportSurveillanceRadar</v>
      </c>
      <c r="B1313" s="330"/>
      <c r="C1313" s="334"/>
      <c r="D1313" s="188" t="s">
        <v>16571</v>
      </c>
      <c r="E1313" s="189" t="s">
        <v>16572</v>
      </c>
      <c r="F1313" s="162" t="s">
        <v>16573</v>
      </c>
      <c r="G1313" s="190"/>
      <c r="H1313" s="219"/>
      <c r="I1313" s="169">
        <v>115721</v>
      </c>
      <c r="J1313" s="304" t="str">
        <f>CONCATENATE([2]Cover!$D$6,"fdd/view?i=",I1313)</f>
        <v>https://www.dgiwg.org/FAD/fdd/view?i=115721</v>
      </c>
      <c r="K1313" s="304" t="s">
        <v>35362</v>
      </c>
      <c r="L1313" s="188">
        <v>1</v>
      </c>
      <c r="M1313" s="179" t="s">
        <v>151</v>
      </c>
    </row>
    <row r="1314" spans="1:13" ht="25.5">
      <c r="A1314" s="313" t="str">
        <f t="shared" si="20"/>
        <v>ApproachTypeCode_airRouteSurveillanceRadar</v>
      </c>
      <c r="B1314" s="330"/>
      <c r="C1314" s="334"/>
      <c r="D1314" s="188" t="s">
        <v>16565</v>
      </c>
      <c r="E1314" s="189" t="s">
        <v>16566</v>
      </c>
      <c r="F1314" s="162" t="s">
        <v>16567</v>
      </c>
      <c r="G1314" s="190"/>
      <c r="H1314" s="219"/>
      <c r="I1314" s="169">
        <v>115723</v>
      </c>
      <c r="J1314" s="304" t="str">
        <f>CONCATENATE([2]Cover!$D$6,"fdd/view?i=",I1314)</f>
        <v>https://www.dgiwg.org/FAD/fdd/view?i=115723</v>
      </c>
      <c r="K1314" s="304" t="s">
        <v>35363</v>
      </c>
      <c r="L1314" s="188">
        <v>3</v>
      </c>
      <c r="M1314" s="179" t="s">
        <v>151</v>
      </c>
    </row>
    <row r="1315" spans="1:13" ht="25.5">
      <c r="A1315" s="313" t="str">
        <f t="shared" si="20"/>
        <v>ApproachTypeCode_areaNavigation</v>
      </c>
      <c r="B1315" s="330"/>
      <c r="C1315" s="334"/>
      <c r="D1315" s="188" t="s">
        <v>16574</v>
      </c>
      <c r="E1315" s="189" t="s">
        <v>16575</v>
      </c>
      <c r="F1315" s="162" t="s">
        <v>16576</v>
      </c>
      <c r="G1315" s="190"/>
      <c r="H1315" s="219"/>
      <c r="I1315" s="169">
        <v>115749</v>
      </c>
      <c r="J1315" s="304" t="str">
        <f>CONCATENATE([2]Cover!$D$6,"fdd/view?i=",I1315)</f>
        <v>https://www.dgiwg.org/FAD/fdd/view?i=115749</v>
      </c>
      <c r="K1315" s="304" t="s">
        <v>35364</v>
      </c>
      <c r="L1315" s="188">
        <v>29</v>
      </c>
      <c r="M1315" s="179" t="s">
        <v>151</v>
      </c>
    </row>
    <row r="1316" spans="1:13" ht="25.5">
      <c r="A1316" s="313" t="str">
        <f t="shared" si="20"/>
        <v>ApproachTypeCode_distanceMeasuringEquipment</v>
      </c>
      <c r="B1316" s="330"/>
      <c r="C1316" s="334"/>
      <c r="D1316" s="188" t="s">
        <v>16580</v>
      </c>
      <c r="E1316" s="189" t="s">
        <v>2116</v>
      </c>
      <c r="F1316" s="162" t="s">
        <v>16581</v>
      </c>
      <c r="G1316" s="190"/>
      <c r="H1316" s="219"/>
      <c r="I1316" s="169">
        <v>115744</v>
      </c>
      <c r="J1316" s="304" t="str">
        <f>CONCATENATE([2]Cover!$D$6,"fdd/view?i=",I1316)</f>
        <v>https://www.dgiwg.org/FAD/fdd/view?i=115744</v>
      </c>
      <c r="K1316" s="304" t="s">
        <v>35365</v>
      </c>
      <c r="L1316" s="188">
        <v>24</v>
      </c>
      <c r="M1316" s="179" t="s">
        <v>151</v>
      </c>
    </row>
    <row r="1317" spans="1:13" ht="51">
      <c r="A1317" s="313" t="str">
        <f t="shared" si="20"/>
        <v>ApproachTypeCode_dmeWithDistMeasuringEquip</v>
      </c>
      <c r="B1317" s="330"/>
      <c r="C1317" s="334"/>
      <c r="D1317" s="188" t="s">
        <v>16582</v>
      </c>
      <c r="E1317" s="189" t="s">
        <v>16583</v>
      </c>
      <c r="F1317" s="162" t="s">
        <v>16584</v>
      </c>
      <c r="G1317" s="190"/>
      <c r="H1317" s="219"/>
      <c r="I1317" s="169">
        <v>115745</v>
      </c>
      <c r="J1317" s="304" t="str">
        <f>CONCATENATE([2]Cover!$D$6,"fdd/view?i=",I1317)</f>
        <v>https://www.dgiwg.org/FAD/fdd/view?i=115745</v>
      </c>
      <c r="K1317" s="304" t="s">
        <v>35366</v>
      </c>
      <c r="L1317" s="188">
        <v>25</v>
      </c>
      <c r="M1317" s="179" t="s">
        <v>151</v>
      </c>
    </row>
    <row r="1318" spans="1:13" ht="38.25">
      <c r="A1318" s="313" t="str">
        <f t="shared" si="20"/>
        <v>ApproachTypeCode_globalNavSatelliteSystem</v>
      </c>
      <c r="B1318" s="330"/>
      <c r="C1318" s="334"/>
      <c r="D1318" s="188" t="s">
        <v>16585</v>
      </c>
      <c r="E1318" s="189" t="s">
        <v>2601</v>
      </c>
      <c r="F1318" s="162" t="s">
        <v>16586</v>
      </c>
      <c r="G1318" s="190"/>
      <c r="H1318" s="219"/>
      <c r="I1318" s="169">
        <v>115748</v>
      </c>
      <c r="J1318" s="304" t="str">
        <f>CONCATENATE([2]Cover!$D$6,"fdd/view?i=",I1318)</f>
        <v>https://www.dgiwg.org/FAD/fdd/view?i=115748</v>
      </c>
      <c r="K1318" s="304" t="s">
        <v>35367</v>
      </c>
      <c r="L1318" s="188">
        <v>28</v>
      </c>
      <c r="M1318" s="179" t="s">
        <v>151</v>
      </c>
    </row>
    <row r="1319" spans="1:13" ht="25.5">
      <c r="A1319" s="313" t="str">
        <f t="shared" si="20"/>
        <v>ApproachTypeCode_globalPositioningSystem</v>
      </c>
      <c r="B1319" s="330"/>
      <c r="C1319" s="334"/>
      <c r="D1319" s="188" t="s">
        <v>16587</v>
      </c>
      <c r="E1319" s="189" t="s">
        <v>16588</v>
      </c>
      <c r="F1319" s="162" t="s">
        <v>16589</v>
      </c>
      <c r="G1319" s="190"/>
      <c r="H1319" s="219"/>
      <c r="I1319" s="169">
        <v>115747</v>
      </c>
      <c r="J1319" s="304" t="str">
        <f>CONCATENATE([2]Cover!$D$6,"fdd/view?i=",I1319)</f>
        <v>https://www.dgiwg.org/FAD/fdd/view?i=115747</v>
      </c>
      <c r="K1319" s="304" t="s">
        <v>35368</v>
      </c>
      <c r="L1319" s="188">
        <v>27</v>
      </c>
      <c r="M1319" s="179" t="s">
        <v>151</v>
      </c>
    </row>
    <row r="1320" spans="1:13" ht="51">
      <c r="A1320" s="313" t="str">
        <f t="shared" si="20"/>
        <v>ApproachTypeCode_ilsUsingPrecRunwayMonitor</v>
      </c>
      <c r="B1320" s="330"/>
      <c r="C1320" s="334"/>
      <c r="D1320" s="188" t="s">
        <v>16595</v>
      </c>
      <c r="E1320" s="189" t="s">
        <v>16596</v>
      </c>
      <c r="F1320" s="162" t="s">
        <v>16597</v>
      </c>
      <c r="G1320" s="190"/>
      <c r="H1320" s="219"/>
      <c r="I1320" s="169">
        <v>115727</v>
      </c>
      <c r="J1320" s="304" t="str">
        <f>CONCATENATE([2]Cover!$D$6,"fdd/view?i=",I1320)</f>
        <v>https://www.dgiwg.org/FAD/fdd/view?i=115727</v>
      </c>
      <c r="K1320" s="304" t="s">
        <v>35369</v>
      </c>
      <c r="L1320" s="188">
        <v>7</v>
      </c>
      <c r="M1320" s="179" t="s">
        <v>151</v>
      </c>
    </row>
    <row r="1321" spans="1:13" ht="51">
      <c r="A1321" s="313" t="str">
        <f t="shared" si="20"/>
        <v>ApproachTypeCode_ilsWithDistMeasuringEquip</v>
      </c>
      <c r="B1321" s="330"/>
      <c r="C1321" s="334"/>
      <c r="D1321" s="188" t="s">
        <v>16598</v>
      </c>
      <c r="E1321" s="189" t="s">
        <v>16599</v>
      </c>
      <c r="F1321" s="162" t="s">
        <v>16600</v>
      </c>
      <c r="G1321" s="190"/>
      <c r="H1321" s="219"/>
      <c r="I1321" s="169">
        <v>115726</v>
      </c>
      <c r="J1321" s="304" t="str">
        <f>CONCATENATE([2]Cover!$D$6,"fdd/view?i=",I1321)</f>
        <v>https://www.dgiwg.org/FAD/fdd/view?i=115726</v>
      </c>
      <c r="K1321" s="304" t="s">
        <v>35370</v>
      </c>
      <c r="L1321" s="188">
        <v>6</v>
      </c>
      <c r="M1321" s="179" t="s">
        <v>151</v>
      </c>
    </row>
    <row r="1322" spans="1:13" ht="25.5">
      <c r="A1322" s="313" t="str">
        <f t="shared" si="20"/>
        <v>ApproachTypeCode_instrumentGuidanceSystem</v>
      </c>
      <c r="B1322" s="330"/>
      <c r="C1322" s="334"/>
      <c r="D1322" s="188" t="s">
        <v>16590</v>
      </c>
      <c r="E1322" s="189" t="s">
        <v>16591</v>
      </c>
      <c r="F1322" s="162" t="s">
        <v>16592</v>
      </c>
      <c r="G1322" s="190"/>
      <c r="H1322" s="219"/>
      <c r="I1322" s="169">
        <v>115750</v>
      </c>
      <c r="J1322" s="304" t="str">
        <f>CONCATENATE([2]Cover!$D$6,"fdd/view?i=",I1322)</f>
        <v>https://www.dgiwg.org/FAD/fdd/view?i=115750</v>
      </c>
      <c r="K1322" s="304" t="s">
        <v>35371</v>
      </c>
      <c r="L1322" s="188">
        <v>30</v>
      </c>
      <c r="M1322" s="179" t="s">
        <v>151</v>
      </c>
    </row>
    <row r="1323" spans="1:13" ht="25.5">
      <c r="A1323" s="313" t="str">
        <f t="shared" si="20"/>
        <v>ApproachTypeCode_instrumentLandingSystem</v>
      </c>
      <c r="B1323" s="330"/>
      <c r="C1323" s="334"/>
      <c r="D1323" s="188" t="s">
        <v>16593</v>
      </c>
      <c r="E1323" s="189" t="s">
        <v>2866</v>
      </c>
      <c r="F1323" s="162" t="s">
        <v>16594</v>
      </c>
      <c r="G1323" s="190"/>
      <c r="H1323" s="219"/>
      <c r="I1323" s="169">
        <v>115725</v>
      </c>
      <c r="J1323" s="304" t="str">
        <f>CONCATENATE([2]Cover!$D$6,"fdd/view?i=",I1323)</f>
        <v>https://www.dgiwg.org/FAD/fdd/view?i=115725</v>
      </c>
      <c r="K1323" s="304" t="s">
        <v>35372</v>
      </c>
      <c r="L1323" s="188">
        <v>5</v>
      </c>
      <c r="M1323" s="179" t="s">
        <v>151</v>
      </c>
    </row>
    <row r="1324" spans="1:13" ht="63.75">
      <c r="A1324" s="313" t="str">
        <f t="shared" si="20"/>
        <v>ApproachTypeCode_ldaWithDistMeasuringEquip</v>
      </c>
      <c r="B1324" s="330"/>
      <c r="C1324" s="334"/>
      <c r="D1324" s="188" t="s">
        <v>16615</v>
      </c>
      <c r="E1324" s="189" t="s">
        <v>16616</v>
      </c>
      <c r="F1324" s="162" t="s">
        <v>16617</v>
      </c>
      <c r="G1324" s="190"/>
      <c r="H1324" s="219"/>
      <c r="I1324" s="169">
        <v>115729</v>
      </c>
      <c r="J1324" s="304" t="str">
        <f>CONCATENATE([2]Cover!$D$6,"fdd/view?i=",I1324)</f>
        <v>https://www.dgiwg.org/FAD/fdd/view?i=115729</v>
      </c>
      <c r="K1324" s="304" t="s">
        <v>35373</v>
      </c>
      <c r="L1324" s="188">
        <v>9</v>
      </c>
      <c r="M1324" s="179" t="s">
        <v>151</v>
      </c>
    </row>
    <row r="1325" spans="1:13" ht="25.5">
      <c r="A1325" s="313" t="str">
        <f t="shared" si="20"/>
        <v>ApproachTypeCode_localizer</v>
      </c>
      <c r="B1325" s="330"/>
      <c r="C1325" s="334"/>
      <c r="D1325" s="188" t="s">
        <v>16601</v>
      </c>
      <c r="E1325" s="189" t="s">
        <v>16602</v>
      </c>
      <c r="F1325" s="162" t="s">
        <v>16603</v>
      </c>
      <c r="G1325" s="190"/>
      <c r="H1325" s="219"/>
      <c r="I1325" s="169">
        <v>115730</v>
      </c>
      <c r="J1325" s="304" t="str">
        <f>CONCATENATE([2]Cover!$D$6,"fdd/view?i=",I1325)</f>
        <v>https://www.dgiwg.org/FAD/fdd/view?i=115730</v>
      </c>
      <c r="K1325" s="304" t="s">
        <v>35374</v>
      </c>
      <c r="L1325" s="188">
        <v>10</v>
      </c>
      <c r="M1325" s="179" t="s">
        <v>151</v>
      </c>
    </row>
    <row r="1326" spans="1:13" ht="25.5">
      <c r="A1326" s="313" t="str">
        <f t="shared" si="20"/>
        <v>ApproachTypeCode_localizerBackCourse</v>
      </c>
      <c r="B1326" s="330"/>
      <c r="C1326" s="334"/>
      <c r="D1326" s="188" t="s">
        <v>16604</v>
      </c>
      <c r="E1326" s="189" t="s">
        <v>16605</v>
      </c>
      <c r="F1326" s="162" t="s">
        <v>16606</v>
      </c>
      <c r="G1326" s="190"/>
      <c r="H1326" s="219"/>
      <c r="I1326" s="169">
        <v>115731</v>
      </c>
      <c r="J1326" s="304" t="str">
        <f>CONCATENATE([2]Cover!$D$6,"fdd/view?i=",I1326)</f>
        <v>https://www.dgiwg.org/FAD/fdd/view?i=115731</v>
      </c>
      <c r="K1326" s="304" t="s">
        <v>35375</v>
      </c>
      <c r="L1326" s="188">
        <v>11</v>
      </c>
      <c r="M1326" s="179" t="s">
        <v>151</v>
      </c>
    </row>
    <row r="1327" spans="1:13" ht="25.5">
      <c r="A1327" s="313" t="str">
        <f t="shared" si="20"/>
        <v>ApproachTypeCode_localizerTypeDirectionAid</v>
      </c>
      <c r="B1327" s="330"/>
      <c r="C1327" s="334"/>
      <c r="D1327" s="188" t="s">
        <v>16613</v>
      </c>
      <c r="E1327" s="189" t="s">
        <v>3033</v>
      </c>
      <c r="F1327" s="162" t="s">
        <v>16614</v>
      </c>
      <c r="G1327" s="190"/>
      <c r="H1327" s="219"/>
      <c r="I1327" s="169">
        <v>115728</v>
      </c>
      <c r="J1327" s="304" t="str">
        <f>CONCATENATE([2]Cover!$D$6,"fdd/view?i=",I1327)</f>
        <v>https://www.dgiwg.org/FAD/fdd/view?i=115728</v>
      </c>
      <c r="K1327" s="304" t="s">
        <v>35376</v>
      </c>
      <c r="L1327" s="188">
        <v>8</v>
      </c>
      <c r="M1327" s="179" t="s">
        <v>151</v>
      </c>
    </row>
    <row r="1328" spans="1:13" ht="38.25">
      <c r="A1328" s="313" t="str">
        <f t="shared" si="20"/>
        <v>ApproachTypeCode_localizerWithDme</v>
      </c>
      <c r="B1328" s="330"/>
      <c r="C1328" s="334"/>
      <c r="D1328" s="188" t="s">
        <v>16607</v>
      </c>
      <c r="E1328" s="189" t="s">
        <v>16608</v>
      </c>
      <c r="F1328" s="162" t="s">
        <v>16609</v>
      </c>
      <c r="G1328" s="190"/>
      <c r="H1328" s="219"/>
      <c r="I1328" s="169">
        <v>115732</v>
      </c>
      <c r="J1328" s="304" t="str">
        <f>CONCATENATE([2]Cover!$D$6,"fdd/view?i=",I1328)</f>
        <v>https://www.dgiwg.org/FAD/fdd/view?i=115732</v>
      </c>
      <c r="K1328" s="304" t="s">
        <v>35377</v>
      </c>
      <c r="L1328" s="188">
        <v>12</v>
      </c>
      <c r="M1328" s="179" t="s">
        <v>151</v>
      </c>
    </row>
    <row r="1329" spans="1:13" ht="38.25">
      <c r="A1329" s="313" t="str">
        <f t="shared" si="20"/>
        <v>ApproachTypeCode_localizerWithDmeBackCourse</v>
      </c>
      <c r="B1329" s="330"/>
      <c r="C1329" s="334"/>
      <c r="D1329" s="188" t="s">
        <v>16610</v>
      </c>
      <c r="E1329" s="189" t="s">
        <v>16611</v>
      </c>
      <c r="F1329" s="162" t="s">
        <v>16612</v>
      </c>
      <c r="G1329" s="190"/>
      <c r="H1329" s="219"/>
      <c r="I1329" s="169">
        <v>115733</v>
      </c>
      <c r="J1329" s="304" t="str">
        <f>CONCATENATE([2]Cover!$D$6,"fdd/view?i=",I1329)</f>
        <v>https://www.dgiwg.org/FAD/fdd/view?i=115733</v>
      </c>
      <c r="K1329" s="304" t="s">
        <v>35378</v>
      </c>
      <c r="L1329" s="188">
        <v>13</v>
      </c>
      <c r="M1329" s="179" t="s">
        <v>151</v>
      </c>
    </row>
    <row r="1330" spans="1:13" ht="25.5">
      <c r="A1330" s="313" t="str">
        <f t="shared" si="20"/>
        <v>ApproachTypeCode_microwaveLandingSystem</v>
      </c>
      <c r="B1330" s="330"/>
      <c r="C1330" s="334"/>
      <c r="D1330" s="188" t="s">
        <v>16618</v>
      </c>
      <c r="E1330" s="189" t="s">
        <v>3170</v>
      </c>
      <c r="F1330" s="162" t="s">
        <v>16619</v>
      </c>
      <c r="G1330" s="190"/>
      <c r="H1330" s="219"/>
      <c r="I1330" s="169">
        <v>115734</v>
      </c>
      <c r="J1330" s="304" t="str">
        <f>CONCATENATE([2]Cover!$D$6,"fdd/view?i=",I1330)</f>
        <v>https://www.dgiwg.org/FAD/fdd/view?i=115734</v>
      </c>
      <c r="K1330" s="304" t="s">
        <v>35379</v>
      </c>
      <c r="L1330" s="188">
        <v>14</v>
      </c>
      <c r="M1330" s="179" t="s">
        <v>151</v>
      </c>
    </row>
    <row r="1331" spans="1:13" ht="51">
      <c r="A1331" s="313" t="str">
        <f t="shared" si="20"/>
        <v>ApproachTypeCode_mlsWithDistMeasuringEquip</v>
      </c>
      <c r="B1331" s="330"/>
      <c r="C1331" s="334"/>
      <c r="D1331" s="188" t="s">
        <v>16620</v>
      </c>
      <c r="E1331" s="189" t="s">
        <v>16621</v>
      </c>
      <c r="F1331" s="162" t="s">
        <v>16622</v>
      </c>
      <c r="G1331" s="190"/>
      <c r="H1331" s="219"/>
      <c r="I1331" s="169">
        <v>115735</v>
      </c>
      <c r="J1331" s="304" t="str">
        <f>CONCATENATE([2]Cover!$D$6,"fdd/view?i=",I1331)</f>
        <v>https://www.dgiwg.org/FAD/fdd/view?i=115735</v>
      </c>
      <c r="K1331" s="304" t="s">
        <v>35380</v>
      </c>
      <c r="L1331" s="188">
        <v>15</v>
      </c>
      <c r="M1331" s="179" t="s">
        <v>151</v>
      </c>
    </row>
    <row r="1332" spans="1:13" ht="51">
      <c r="A1332" s="313" t="str">
        <f t="shared" si="20"/>
        <v>ApproachTypeCode_ndbWithDistMeasuringEquip</v>
      </c>
      <c r="B1332" s="330"/>
      <c r="C1332" s="334"/>
      <c r="D1332" s="188" t="s">
        <v>16626</v>
      </c>
      <c r="E1332" s="189" t="s">
        <v>16627</v>
      </c>
      <c r="F1332" s="162" t="s">
        <v>16628</v>
      </c>
      <c r="G1332" s="190"/>
      <c r="H1332" s="219"/>
      <c r="I1332" s="169">
        <v>115737</v>
      </c>
      <c r="J1332" s="304" t="str">
        <f>CONCATENATE([2]Cover!$D$6,"fdd/view?i=",I1332)</f>
        <v>https://www.dgiwg.org/FAD/fdd/view?i=115737</v>
      </c>
      <c r="K1332" s="304" t="s">
        <v>35381</v>
      </c>
      <c r="L1332" s="188">
        <v>17</v>
      </c>
      <c r="M1332" s="179" t="s">
        <v>151</v>
      </c>
    </row>
    <row r="1333" spans="1:13" ht="25.5">
      <c r="A1333" s="313" t="str">
        <f t="shared" si="20"/>
        <v>ApproachTypeCode_nonDirectionalBeacon</v>
      </c>
      <c r="B1333" s="330"/>
      <c r="C1333" s="334"/>
      <c r="D1333" s="188" t="s">
        <v>16623</v>
      </c>
      <c r="E1333" s="189" t="s">
        <v>16624</v>
      </c>
      <c r="F1333" s="162" t="s">
        <v>16625</v>
      </c>
      <c r="G1333" s="190"/>
      <c r="H1333" s="219"/>
      <c r="I1333" s="169">
        <v>115736</v>
      </c>
      <c r="J1333" s="304" t="str">
        <f>CONCATENATE([2]Cover!$D$6,"fdd/view?i=",I1333)</f>
        <v>https://www.dgiwg.org/FAD/fdd/view?i=115736</v>
      </c>
      <c r="K1333" s="304" t="s">
        <v>35382</v>
      </c>
      <c r="L1333" s="188">
        <v>16</v>
      </c>
      <c r="M1333" s="179" t="s">
        <v>151</v>
      </c>
    </row>
    <row r="1334" spans="1:13" ht="25.5">
      <c r="A1334" s="313" t="str">
        <f t="shared" si="20"/>
        <v>ApproachTypeCode_precisionApproachRadar</v>
      </c>
      <c r="B1334" s="330"/>
      <c r="C1334" s="334"/>
      <c r="D1334" s="188" t="s">
        <v>16629</v>
      </c>
      <c r="E1334" s="189" t="s">
        <v>3472</v>
      </c>
      <c r="F1334" s="162" t="s">
        <v>16630</v>
      </c>
      <c r="G1334" s="190"/>
      <c r="H1334" s="219"/>
      <c r="I1334" s="169">
        <v>115724</v>
      </c>
      <c r="J1334" s="304" t="str">
        <f>CONCATENATE([2]Cover!$D$6,"fdd/view?i=",I1334)</f>
        <v>https://www.dgiwg.org/FAD/fdd/view?i=115724</v>
      </c>
      <c r="K1334" s="304" t="s">
        <v>35383</v>
      </c>
      <c r="L1334" s="188">
        <v>4</v>
      </c>
      <c r="M1334" s="179" t="s">
        <v>151</v>
      </c>
    </row>
    <row r="1335" spans="1:13" ht="25.5">
      <c r="A1335" s="313" t="str">
        <f t="shared" si="20"/>
        <v>ApproachTypeCode_requiredNavPerformance</v>
      </c>
      <c r="B1335" s="330"/>
      <c r="C1335" s="334"/>
      <c r="D1335" s="188" t="s">
        <v>16631</v>
      </c>
      <c r="E1335" s="189" t="s">
        <v>16632</v>
      </c>
      <c r="F1335" s="162" t="s">
        <v>16633</v>
      </c>
      <c r="G1335" s="190"/>
      <c r="H1335" s="219"/>
      <c r="I1335" s="169">
        <v>115746</v>
      </c>
      <c r="J1335" s="304" t="str">
        <f>CONCATENATE([2]Cover!$D$6,"fdd/view?i=",I1335)</f>
        <v>https://www.dgiwg.org/FAD/fdd/view?i=115746</v>
      </c>
      <c r="K1335" s="304" t="s">
        <v>35384</v>
      </c>
      <c r="L1335" s="188">
        <v>26</v>
      </c>
      <c r="M1335" s="179" t="s">
        <v>151</v>
      </c>
    </row>
    <row r="1336" spans="1:13" ht="38.25">
      <c r="A1336" s="313" t="str">
        <f t="shared" si="20"/>
        <v>ApproachTypeCode_rnavToInstLandingSys</v>
      </c>
      <c r="B1336" s="330"/>
      <c r="C1336" s="334"/>
      <c r="D1336" s="188" t="s">
        <v>16577</v>
      </c>
      <c r="E1336" s="189" t="s">
        <v>16578</v>
      </c>
      <c r="F1336" s="162" t="s">
        <v>16579</v>
      </c>
      <c r="G1336" s="190"/>
      <c r="H1336" s="219"/>
      <c r="I1336" s="169">
        <v>115751</v>
      </c>
      <c r="J1336" s="304" t="str">
        <f>CONCATENATE([2]Cover!$D$6,"fdd/view?i=",I1336)</f>
        <v>https://www.dgiwg.org/FAD/fdd/view?i=115751</v>
      </c>
      <c r="K1336" s="304" t="s">
        <v>35385</v>
      </c>
      <c r="L1336" s="188">
        <v>31</v>
      </c>
      <c r="M1336" s="179" t="s">
        <v>151</v>
      </c>
    </row>
    <row r="1337" spans="1:13" ht="38.25">
      <c r="A1337" s="313" t="str">
        <f t="shared" si="20"/>
        <v>ApproachTypeCode_satelliteBasedAugSystem</v>
      </c>
      <c r="B1337" s="330"/>
      <c r="C1337" s="334"/>
      <c r="D1337" s="188" t="s">
        <v>9979</v>
      </c>
      <c r="E1337" s="189" t="s">
        <v>3775</v>
      </c>
      <c r="F1337" s="162" t="s">
        <v>16634</v>
      </c>
      <c r="G1337" s="190"/>
      <c r="H1337" s="219"/>
      <c r="I1337" s="169">
        <v>115754</v>
      </c>
      <c r="J1337" s="304" t="str">
        <f>CONCATENATE([2]Cover!$D$6,"fdd/view?i=",I1337)</f>
        <v>https://www.dgiwg.org/FAD/fdd/view?i=115754</v>
      </c>
      <c r="K1337" s="304" t="s">
        <v>35386</v>
      </c>
      <c r="L1337" s="188">
        <v>34</v>
      </c>
      <c r="M1337" s="179" t="s">
        <v>151</v>
      </c>
    </row>
    <row r="1338" spans="1:13" ht="25.5">
      <c r="A1338" s="313" t="str">
        <f t="shared" si="20"/>
        <v>ApproachTypeCode_simplifiedDirectionalFac</v>
      </c>
      <c r="B1338" s="330"/>
      <c r="C1338" s="334"/>
      <c r="D1338" s="188" t="s">
        <v>16635</v>
      </c>
      <c r="E1338" s="189" t="s">
        <v>3914</v>
      </c>
      <c r="F1338" s="162" t="s">
        <v>16636</v>
      </c>
      <c r="G1338" s="190"/>
      <c r="H1338" s="219"/>
      <c r="I1338" s="169">
        <v>115738</v>
      </c>
      <c r="J1338" s="304" t="str">
        <f>CONCATENATE([2]Cover!$D$6,"fdd/view?i=",I1338)</f>
        <v>https://www.dgiwg.org/FAD/fdd/view?i=115738</v>
      </c>
      <c r="K1338" s="304" t="s">
        <v>35387</v>
      </c>
      <c r="L1338" s="188">
        <v>18</v>
      </c>
      <c r="M1338" s="179" t="s">
        <v>151</v>
      </c>
    </row>
    <row r="1339" spans="1:13" ht="38.25">
      <c r="A1339" s="313" t="str">
        <f t="shared" si="20"/>
        <v>ApproachTypeCode_specAircraftCrewApproval</v>
      </c>
      <c r="B1339" s="330"/>
      <c r="C1339" s="334"/>
      <c r="D1339" s="188" t="s">
        <v>16637</v>
      </c>
      <c r="E1339" s="189" t="s">
        <v>16638</v>
      </c>
      <c r="F1339" s="162" t="s">
        <v>16639</v>
      </c>
      <c r="G1339" s="190"/>
      <c r="H1339" s="219"/>
      <c r="I1339" s="169">
        <v>115752</v>
      </c>
      <c r="J1339" s="304" t="str">
        <f>CONCATENATE([2]Cover!$D$6,"fdd/view?i=",I1339)</f>
        <v>https://www.dgiwg.org/FAD/fdd/view?i=115752</v>
      </c>
      <c r="K1339" s="304" t="s">
        <v>35388</v>
      </c>
      <c r="L1339" s="188">
        <v>32</v>
      </c>
      <c r="M1339" s="179" t="s">
        <v>151</v>
      </c>
    </row>
    <row r="1340" spans="1:13" ht="25.5">
      <c r="A1340" s="313" t="str">
        <f t="shared" si="20"/>
        <v>ApproachTypeCode_transponderLandingSystem</v>
      </c>
      <c r="B1340" s="330"/>
      <c r="C1340" s="334"/>
      <c r="D1340" s="188" t="s">
        <v>16640</v>
      </c>
      <c r="E1340" s="189" t="s">
        <v>16641</v>
      </c>
      <c r="F1340" s="162" t="s">
        <v>16642</v>
      </c>
      <c r="G1340" s="190"/>
      <c r="H1340" s="219"/>
      <c r="I1340" s="169">
        <v>115739</v>
      </c>
      <c r="J1340" s="304" t="str">
        <f>CONCATENATE([2]Cover!$D$6,"fdd/view?i=",I1340)</f>
        <v>https://www.dgiwg.org/FAD/fdd/view?i=115739</v>
      </c>
      <c r="K1340" s="304" t="s">
        <v>35389</v>
      </c>
      <c r="L1340" s="188">
        <v>19</v>
      </c>
      <c r="M1340" s="179" t="s">
        <v>151</v>
      </c>
    </row>
    <row r="1341" spans="1:13" ht="38.25">
      <c r="A1341" s="313" t="str">
        <f t="shared" si="20"/>
        <v>ApproachTypeCode_uhfTacticalAirNavBeacon</v>
      </c>
      <c r="B1341" s="330"/>
      <c r="C1341" s="334"/>
      <c r="D1341" s="188" t="s">
        <v>16643</v>
      </c>
      <c r="E1341" s="189" t="s">
        <v>16644</v>
      </c>
      <c r="F1341" s="162" t="s">
        <v>16645</v>
      </c>
      <c r="G1341" s="190"/>
      <c r="H1341" s="219"/>
      <c r="I1341" s="169">
        <v>115742</v>
      </c>
      <c r="J1341" s="304" t="str">
        <f>CONCATENATE([2]Cover!$D$6,"fdd/view?i=",I1341)</f>
        <v>https://www.dgiwg.org/FAD/fdd/view?i=115742</v>
      </c>
      <c r="K1341" s="304" t="s">
        <v>35390</v>
      </c>
      <c r="L1341" s="188">
        <v>22</v>
      </c>
      <c r="M1341" s="179" t="s">
        <v>151</v>
      </c>
    </row>
    <row r="1342" spans="1:13" ht="25.5">
      <c r="A1342" s="313" t="str">
        <f t="shared" si="20"/>
        <v>ApproachTypeCode_vhfOmnidirectionalRadio</v>
      </c>
      <c r="B1342" s="330"/>
      <c r="C1342" s="334"/>
      <c r="D1342" s="188" t="s">
        <v>16646</v>
      </c>
      <c r="E1342" s="189" t="s">
        <v>16647</v>
      </c>
      <c r="F1342" s="162" t="s">
        <v>16648</v>
      </c>
      <c r="G1342" s="190"/>
      <c r="H1342" s="219"/>
      <c r="I1342" s="169">
        <v>115740</v>
      </c>
      <c r="J1342" s="304" t="str">
        <f>CONCATENATE([2]Cover!$D$6,"fdd/view?i=",I1342)</f>
        <v>https://www.dgiwg.org/FAD/fdd/view?i=115740</v>
      </c>
      <c r="K1342" s="304" t="s">
        <v>35391</v>
      </c>
      <c r="L1342" s="188">
        <v>20</v>
      </c>
      <c r="M1342" s="179" t="s">
        <v>151</v>
      </c>
    </row>
    <row r="1343" spans="1:13" ht="25.5">
      <c r="A1343" s="313" t="str">
        <f t="shared" si="20"/>
        <v>ApproachTypeCode_visual</v>
      </c>
      <c r="B1343" s="330"/>
      <c r="C1343" s="334"/>
      <c r="D1343" s="188" t="s">
        <v>16551</v>
      </c>
      <c r="E1343" s="189" t="s">
        <v>16552</v>
      </c>
      <c r="F1343" s="162" t="s">
        <v>16655</v>
      </c>
      <c r="G1343" s="190"/>
      <c r="H1343" s="219"/>
      <c r="I1343" s="169">
        <v>115753</v>
      </c>
      <c r="J1343" s="304" t="str">
        <f>CONCATENATE([2]Cover!$D$6,"fdd/view?i=",I1343)</f>
        <v>https://www.dgiwg.org/FAD/fdd/view?i=115753</v>
      </c>
      <c r="K1343" s="304" t="s">
        <v>35392</v>
      </c>
      <c r="L1343" s="188">
        <v>33</v>
      </c>
      <c r="M1343" s="179" t="s">
        <v>151</v>
      </c>
    </row>
    <row r="1344" spans="1:13" ht="51">
      <c r="A1344" s="313" t="str">
        <f t="shared" si="20"/>
        <v>ApproachTypeCode_vorWithDistMeasuringEquip</v>
      </c>
      <c r="B1344" s="330"/>
      <c r="C1344" s="334"/>
      <c r="D1344" s="188" t="s">
        <v>16649</v>
      </c>
      <c r="E1344" s="189" t="s">
        <v>16650</v>
      </c>
      <c r="F1344" s="162" t="s">
        <v>16651</v>
      </c>
      <c r="G1344" s="190"/>
      <c r="H1344" s="219"/>
      <c r="I1344" s="169">
        <v>115741</v>
      </c>
      <c r="J1344" s="304" t="str">
        <f>CONCATENATE([2]Cover!$D$6,"fdd/view?i=",I1344)</f>
        <v>https://www.dgiwg.org/FAD/fdd/view?i=115741</v>
      </c>
      <c r="K1344" s="304" t="s">
        <v>35393</v>
      </c>
      <c r="L1344" s="188">
        <v>21</v>
      </c>
      <c r="M1344" s="179" t="s">
        <v>151</v>
      </c>
    </row>
    <row r="1345" spans="1:13" ht="51">
      <c r="A1345" s="313" t="str">
        <f t="shared" si="20"/>
        <v>ApproachTypeCode_vorWithTacanBeacon</v>
      </c>
      <c r="B1345" s="331"/>
      <c r="C1345" s="335"/>
      <c r="D1345" s="181" t="s">
        <v>16652</v>
      </c>
      <c r="E1345" s="192" t="s">
        <v>16653</v>
      </c>
      <c r="F1345" s="193" t="s">
        <v>16654</v>
      </c>
      <c r="G1345" s="194"/>
      <c r="H1345" s="220"/>
      <c r="I1345" s="169">
        <v>115743</v>
      </c>
      <c r="J1345" s="304" t="str">
        <f>CONCATENATE([2]Cover!$D$6,"fdd/view?i=",I1345)</f>
        <v>https://www.dgiwg.org/FAD/fdd/view?i=115743</v>
      </c>
      <c r="K1345" s="304" t="s">
        <v>35394</v>
      </c>
      <c r="L1345" s="181">
        <v>23</v>
      </c>
      <c r="M1345" s="179" t="s">
        <v>151</v>
      </c>
    </row>
    <row r="1346" spans="1:13" ht="25.5">
      <c r="A1346" s="313" t="str">
        <f t="shared" si="20"/>
        <v>ApronTypeCode_cargo</v>
      </c>
      <c r="B1346" s="332" t="str">
        <f>HYPERLINK("[#]Datatypes!A156:L156","ApronTypeCode")</f>
        <v>ApronTypeCode</v>
      </c>
      <c r="C1346" s="333" t="s">
        <v>11596</v>
      </c>
      <c r="D1346" s="202" t="s">
        <v>16656</v>
      </c>
      <c r="E1346" s="203" t="s">
        <v>16657</v>
      </c>
      <c r="F1346" s="204" t="s">
        <v>16658</v>
      </c>
      <c r="G1346" s="205"/>
      <c r="H1346" s="218"/>
      <c r="I1346" s="169">
        <v>115423</v>
      </c>
      <c r="J1346" s="304" t="str">
        <f>CONCATENATE([2]Cover!$D$6,"fdd/view?i=",I1346)</f>
        <v>https://www.dgiwg.org/FAD/fdd/view?i=115423</v>
      </c>
      <c r="K1346" s="304" t="s">
        <v>35395</v>
      </c>
      <c r="L1346" s="202">
        <v>2</v>
      </c>
      <c r="M1346" s="179" t="s">
        <v>151</v>
      </c>
    </row>
    <row r="1347" spans="1:13" ht="51">
      <c r="A1347" s="313" t="str">
        <f t="shared" ref="A1347:A1410" si="21">HYPERLINK(J1347,K1347)</f>
        <v>ApronTypeCode_dispersal</v>
      </c>
      <c r="B1347" s="330"/>
      <c r="C1347" s="334"/>
      <c r="D1347" s="188" t="s">
        <v>16659</v>
      </c>
      <c r="E1347" s="189" t="s">
        <v>16660</v>
      </c>
      <c r="F1347" s="162" t="s">
        <v>16661</v>
      </c>
      <c r="G1347" s="162" t="s">
        <v>16662</v>
      </c>
      <c r="H1347" s="219"/>
      <c r="I1347" s="169">
        <v>115428</v>
      </c>
      <c r="J1347" s="304" t="str">
        <f>CONCATENATE([2]Cover!$D$6,"fdd/view?i=",I1347)</f>
        <v>https://www.dgiwg.org/FAD/fdd/view?i=115428</v>
      </c>
      <c r="K1347" s="304" t="s">
        <v>35396</v>
      </c>
      <c r="L1347" s="188">
        <v>7</v>
      </c>
      <c r="M1347" s="179" t="s">
        <v>151</v>
      </c>
    </row>
    <row r="1348" spans="1:13" ht="38.25">
      <c r="A1348" s="313" t="str">
        <f t="shared" si="21"/>
        <v>ApronTypeCode_generalAviation</v>
      </c>
      <c r="B1348" s="330"/>
      <c r="C1348" s="334"/>
      <c r="D1348" s="188" t="s">
        <v>16663</v>
      </c>
      <c r="E1348" s="189" t="s">
        <v>16664</v>
      </c>
      <c r="F1348" s="162" t="s">
        <v>16665</v>
      </c>
      <c r="G1348" s="190"/>
      <c r="H1348" s="219"/>
      <c r="I1348" s="169">
        <v>115426</v>
      </c>
      <c r="J1348" s="304" t="str">
        <f>CONCATENATE([2]Cover!$D$6,"fdd/view?i=",I1348)</f>
        <v>https://www.dgiwg.org/FAD/fdd/view?i=115426</v>
      </c>
      <c r="K1348" s="304" t="s">
        <v>35397</v>
      </c>
      <c r="L1348" s="188">
        <v>5</v>
      </c>
      <c r="M1348" s="179" t="s">
        <v>151</v>
      </c>
    </row>
    <row r="1349" spans="1:13" ht="25.5">
      <c r="A1349" s="313" t="str">
        <f t="shared" si="21"/>
        <v>ApronTypeCode_holding</v>
      </c>
      <c r="B1349" s="330"/>
      <c r="C1349" s="334"/>
      <c r="D1349" s="188" t="s">
        <v>16666</v>
      </c>
      <c r="E1349" s="189" t="s">
        <v>16667</v>
      </c>
      <c r="F1349" s="162" t="s">
        <v>16668</v>
      </c>
      <c r="G1349" s="190"/>
      <c r="H1349" s="219"/>
      <c r="I1349" s="169">
        <v>115429</v>
      </c>
      <c r="J1349" s="304" t="str">
        <f>CONCATENATE([2]Cover!$D$6,"fdd/view?i=",I1349)</f>
        <v>https://www.dgiwg.org/FAD/fdd/view?i=115429</v>
      </c>
      <c r="K1349" s="304" t="s">
        <v>35398</v>
      </c>
      <c r="L1349" s="188">
        <v>8</v>
      </c>
      <c r="M1349" s="179" t="s">
        <v>151</v>
      </c>
    </row>
    <row r="1350" spans="1:13" ht="25.5">
      <c r="A1350" s="313" t="str">
        <f t="shared" si="21"/>
        <v>ApronTypeCode_military</v>
      </c>
      <c r="B1350" s="330"/>
      <c r="C1350" s="334"/>
      <c r="D1350" s="188" t="s">
        <v>15601</v>
      </c>
      <c r="E1350" s="189" t="s">
        <v>15602</v>
      </c>
      <c r="F1350" s="162" t="s">
        <v>16669</v>
      </c>
      <c r="G1350" s="190"/>
      <c r="H1350" s="219"/>
      <c r="I1350" s="169">
        <v>115427</v>
      </c>
      <c r="J1350" s="304" t="str">
        <f>CONCATENATE([2]Cover!$D$6,"fdd/view?i=",I1350)</f>
        <v>https://www.dgiwg.org/FAD/fdd/view?i=115427</v>
      </c>
      <c r="K1350" s="304" t="s">
        <v>35399</v>
      </c>
      <c r="L1350" s="188">
        <v>6</v>
      </c>
      <c r="M1350" s="179" t="s">
        <v>151</v>
      </c>
    </row>
    <row r="1351" spans="1:13" ht="25.5">
      <c r="A1351" s="313" t="str">
        <f t="shared" si="21"/>
        <v>ApronTypeCode_passenger</v>
      </c>
      <c r="B1351" s="330"/>
      <c r="C1351" s="334"/>
      <c r="D1351" s="188" t="s">
        <v>16670</v>
      </c>
      <c r="E1351" s="189" t="s">
        <v>16671</v>
      </c>
      <c r="F1351" s="162" t="s">
        <v>16672</v>
      </c>
      <c r="G1351" s="190"/>
      <c r="H1351" s="219"/>
      <c r="I1351" s="169">
        <v>115422</v>
      </c>
      <c r="J1351" s="304" t="str">
        <f>CONCATENATE([2]Cover!$D$6,"fdd/view?i=",I1351)</f>
        <v>https://www.dgiwg.org/FAD/fdd/view?i=115422</v>
      </c>
      <c r="K1351" s="304" t="s">
        <v>35400</v>
      </c>
      <c r="L1351" s="188">
        <v>1</v>
      </c>
      <c r="M1351" s="179" t="s">
        <v>151</v>
      </c>
    </row>
    <row r="1352" spans="1:13" ht="25.5">
      <c r="A1352" s="313" t="str">
        <f t="shared" si="21"/>
        <v>ApronTypeCode_remoteParking</v>
      </c>
      <c r="B1352" s="330"/>
      <c r="C1352" s="334"/>
      <c r="D1352" s="188" t="s">
        <v>16673</v>
      </c>
      <c r="E1352" s="189" t="s">
        <v>16674</v>
      </c>
      <c r="F1352" s="162" t="s">
        <v>16675</v>
      </c>
      <c r="G1352" s="190"/>
      <c r="H1352" s="219"/>
      <c r="I1352" s="169">
        <v>115424</v>
      </c>
      <c r="J1352" s="304" t="str">
        <f>CONCATENATE([2]Cover!$D$6,"fdd/view?i=",I1352)</f>
        <v>https://www.dgiwg.org/FAD/fdd/view?i=115424</v>
      </c>
      <c r="K1352" s="304" t="s">
        <v>35401</v>
      </c>
      <c r="L1352" s="188">
        <v>3</v>
      </c>
      <c r="M1352" s="179" t="s">
        <v>151</v>
      </c>
    </row>
    <row r="1353" spans="1:13" ht="38.25">
      <c r="A1353" s="313" t="str">
        <f t="shared" si="21"/>
        <v>ApronTypeCode_servicesHangar</v>
      </c>
      <c r="B1353" s="331"/>
      <c r="C1353" s="335"/>
      <c r="D1353" s="181" t="s">
        <v>16676</v>
      </c>
      <c r="E1353" s="192" t="s">
        <v>16677</v>
      </c>
      <c r="F1353" s="193" t="s">
        <v>16678</v>
      </c>
      <c r="G1353" s="194"/>
      <c r="H1353" s="220"/>
      <c r="I1353" s="169">
        <v>115425</v>
      </c>
      <c r="J1353" s="304" t="str">
        <f>CONCATENATE([2]Cover!$D$6,"fdd/view?i=",I1353)</f>
        <v>https://www.dgiwg.org/FAD/fdd/view?i=115425</v>
      </c>
      <c r="K1353" s="304" t="s">
        <v>35402</v>
      </c>
      <c r="L1353" s="181">
        <v>4</v>
      </c>
      <c r="M1353" s="179" t="s">
        <v>151</v>
      </c>
    </row>
    <row r="1354" spans="1:13" ht="38.25">
      <c r="A1354" s="313" t="str">
        <f t="shared" si="21"/>
        <v>ApronUsageCode_alert</v>
      </c>
      <c r="B1354" s="332" t="str">
        <f>HYPERLINK("[#]Datatypes!A158:L158","ApronUsageCode")</f>
        <v>ApronUsageCode</v>
      </c>
      <c r="C1354" s="333" t="s">
        <v>11598</v>
      </c>
      <c r="D1354" s="202" t="s">
        <v>16679</v>
      </c>
      <c r="E1354" s="203" t="s">
        <v>16680</v>
      </c>
      <c r="F1354" s="204" t="s">
        <v>16681</v>
      </c>
      <c r="G1354" s="205"/>
      <c r="H1354" s="218"/>
      <c r="I1354" s="169">
        <v>115437</v>
      </c>
      <c r="J1354" s="304" t="str">
        <f>CONCATENATE([2]Cover!$D$6,"fdd/view?i=",I1354)</f>
        <v>https://www.dgiwg.org/FAD/fdd/view?i=115437</v>
      </c>
      <c r="K1354" s="304" t="s">
        <v>35403</v>
      </c>
      <c r="L1354" s="202">
        <v>8</v>
      </c>
      <c r="M1354" s="179" t="s">
        <v>151</v>
      </c>
    </row>
    <row r="1355" spans="1:13" ht="25.5">
      <c r="A1355" s="313" t="str">
        <f t="shared" si="21"/>
        <v>ApronUsageCode_compassRose</v>
      </c>
      <c r="B1355" s="330"/>
      <c r="C1355" s="334"/>
      <c r="D1355" s="188" t="s">
        <v>16682</v>
      </c>
      <c r="E1355" s="189" t="s">
        <v>16683</v>
      </c>
      <c r="F1355" s="162" t="s">
        <v>16684</v>
      </c>
      <c r="G1355" s="190"/>
      <c r="H1355" s="219"/>
      <c r="I1355" s="169">
        <v>115434</v>
      </c>
      <c r="J1355" s="304" t="str">
        <f>CONCATENATE([2]Cover!$D$6,"fdd/view?i=",I1355)</f>
        <v>https://www.dgiwg.org/FAD/fdd/view?i=115434</v>
      </c>
      <c r="K1355" s="304" t="s">
        <v>35404</v>
      </c>
      <c r="L1355" s="188">
        <v>5</v>
      </c>
      <c r="M1355" s="179" t="s">
        <v>151</v>
      </c>
    </row>
    <row r="1356" spans="1:13" ht="38.25">
      <c r="A1356" s="313" t="str">
        <f t="shared" si="21"/>
        <v>ApronUsageCode_decontamination</v>
      </c>
      <c r="B1356" s="330"/>
      <c r="C1356" s="334"/>
      <c r="D1356" s="188" t="s">
        <v>16685</v>
      </c>
      <c r="E1356" s="189" t="s">
        <v>16686</v>
      </c>
      <c r="F1356" s="162" t="s">
        <v>16687</v>
      </c>
      <c r="G1356" s="190"/>
      <c r="H1356" s="219"/>
      <c r="I1356" s="169">
        <v>115443</v>
      </c>
      <c r="J1356" s="304" t="str">
        <f>CONCATENATE([2]Cover!$D$6,"fdd/view?i=",I1356)</f>
        <v>https://www.dgiwg.org/FAD/fdd/view?i=115443</v>
      </c>
      <c r="K1356" s="304" t="s">
        <v>35405</v>
      </c>
      <c r="L1356" s="188">
        <v>14</v>
      </c>
      <c r="M1356" s="179" t="s">
        <v>151</v>
      </c>
    </row>
    <row r="1357" spans="1:13" ht="51">
      <c r="A1357" s="313" t="str">
        <f t="shared" si="21"/>
        <v>ApronUsageCode_deIcingAntiIcing</v>
      </c>
      <c r="B1357" s="330"/>
      <c r="C1357" s="334"/>
      <c r="D1357" s="188" t="s">
        <v>16688</v>
      </c>
      <c r="E1357" s="189" t="s">
        <v>16689</v>
      </c>
      <c r="F1357" s="162" t="s">
        <v>16690</v>
      </c>
      <c r="G1357" s="190"/>
      <c r="H1357" s="219"/>
      <c r="I1357" s="169">
        <v>115441</v>
      </c>
      <c r="J1357" s="304" t="str">
        <f>CONCATENATE([2]Cover!$D$6,"fdd/view?i=",I1357)</f>
        <v>https://www.dgiwg.org/FAD/fdd/view?i=115441</v>
      </c>
      <c r="K1357" s="304" t="s">
        <v>35406</v>
      </c>
      <c r="L1357" s="188">
        <v>12</v>
      </c>
      <c r="M1357" s="179" t="s">
        <v>151</v>
      </c>
    </row>
    <row r="1358" spans="1:13" ht="25.5">
      <c r="A1358" s="313" t="str">
        <f t="shared" si="21"/>
        <v>ApronUsageCode_engineRunUp</v>
      </c>
      <c r="B1358" s="330"/>
      <c r="C1358" s="334"/>
      <c r="D1358" s="188" t="s">
        <v>16691</v>
      </c>
      <c r="E1358" s="189" t="s">
        <v>16692</v>
      </c>
      <c r="F1358" s="162" t="s">
        <v>16693</v>
      </c>
      <c r="G1358" s="162" t="s">
        <v>16694</v>
      </c>
      <c r="H1358" s="219"/>
      <c r="I1358" s="169">
        <v>115435</v>
      </c>
      <c r="J1358" s="304" t="str">
        <f>CONCATENATE([2]Cover!$D$6,"fdd/view?i=",I1358)</f>
        <v>https://www.dgiwg.org/FAD/fdd/view?i=115435</v>
      </c>
      <c r="K1358" s="304" t="s">
        <v>35407</v>
      </c>
      <c r="L1358" s="188">
        <v>6</v>
      </c>
      <c r="M1358" s="179" t="s">
        <v>151</v>
      </c>
    </row>
    <row r="1359" spans="1:13" ht="38.25">
      <c r="A1359" s="313" t="str">
        <f t="shared" si="21"/>
        <v>ApronUsageCode_firingIn</v>
      </c>
      <c r="B1359" s="330"/>
      <c r="C1359" s="334"/>
      <c r="D1359" s="188" t="s">
        <v>16695</v>
      </c>
      <c r="E1359" s="189" t="s">
        <v>16696</v>
      </c>
      <c r="F1359" s="162" t="s">
        <v>16697</v>
      </c>
      <c r="G1359" s="190"/>
      <c r="H1359" s="219"/>
      <c r="I1359" s="169">
        <v>115438</v>
      </c>
      <c r="J1359" s="304" t="str">
        <f>CONCATENATE([2]Cover!$D$6,"fdd/view?i=",I1359)</f>
        <v>https://www.dgiwg.org/FAD/fdd/view?i=115438</v>
      </c>
      <c r="K1359" s="304" t="s">
        <v>35408</v>
      </c>
      <c r="L1359" s="188">
        <v>9</v>
      </c>
      <c r="M1359" s="179" t="s">
        <v>151</v>
      </c>
    </row>
    <row r="1360" spans="1:13">
      <c r="A1360" s="313" t="str">
        <f t="shared" si="21"/>
        <v>ApronUsageCode_fuelling</v>
      </c>
      <c r="B1360" s="330"/>
      <c r="C1360" s="334"/>
      <c r="D1360" s="188" t="s">
        <v>16698</v>
      </c>
      <c r="E1360" s="189" t="s">
        <v>16699</v>
      </c>
      <c r="F1360" s="162" t="s">
        <v>16700</v>
      </c>
      <c r="G1360" s="190"/>
      <c r="H1360" s="219"/>
      <c r="I1360" s="169">
        <v>115432</v>
      </c>
      <c r="J1360" s="304" t="str">
        <f>CONCATENATE([2]Cover!$D$6,"fdd/view?i=",I1360)</f>
        <v>https://www.dgiwg.org/FAD/fdd/view?i=115432</v>
      </c>
      <c r="K1360" s="304" t="s">
        <v>35409</v>
      </c>
      <c r="L1360" s="188">
        <v>3</v>
      </c>
      <c r="M1360" s="179" t="s">
        <v>151</v>
      </c>
    </row>
    <row r="1361" spans="1:13" ht="25.5">
      <c r="A1361" s="313" t="str">
        <f t="shared" si="21"/>
        <v>ApronUsageCode_hotRefuelling</v>
      </c>
      <c r="B1361" s="330"/>
      <c r="C1361" s="334"/>
      <c r="D1361" s="188" t="s">
        <v>16701</v>
      </c>
      <c r="E1361" s="189" t="s">
        <v>16702</v>
      </c>
      <c r="F1361" s="162" t="s">
        <v>16703</v>
      </c>
      <c r="G1361" s="190"/>
      <c r="H1361" s="219"/>
      <c r="I1361" s="169">
        <v>115439</v>
      </c>
      <c r="J1361" s="304" t="str">
        <f>CONCATENATE([2]Cover!$D$6,"fdd/view?i=",I1361)</f>
        <v>https://www.dgiwg.org/FAD/fdd/view?i=115439</v>
      </c>
      <c r="K1361" s="304" t="s">
        <v>35410</v>
      </c>
      <c r="L1361" s="188">
        <v>10</v>
      </c>
      <c r="M1361" s="179" t="s">
        <v>151</v>
      </c>
    </row>
    <row r="1362" spans="1:13" ht="25.5">
      <c r="A1362" s="313" t="str">
        <f t="shared" si="21"/>
        <v>ApronUsageCode_insAlignment</v>
      </c>
      <c r="B1362" s="330"/>
      <c r="C1362" s="334"/>
      <c r="D1362" s="188" t="s">
        <v>16704</v>
      </c>
      <c r="E1362" s="189" t="s">
        <v>16705</v>
      </c>
      <c r="F1362" s="162" t="s">
        <v>16706</v>
      </c>
      <c r="G1362" s="190"/>
      <c r="H1362" s="219"/>
      <c r="I1362" s="169">
        <v>115442</v>
      </c>
      <c r="J1362" s="304" t="str">
        <f>CONCATENATE([2]Cover!$D$6,"fdd/view?i=",I1362)</f>
        <v>https://www.dgiwg.org/FAD/fdd/view?i=115442</v>
      </c>
      <c r="K1362" s="304" t="s">
        <v>35411</v>
      </c>
      <c r="L1362" s="188">
        <v>13</v>
      </c>
      <c r="M1362" s="179" t="s">
        <v>151</v>
      </c>
    </row>
    <row r="1363" spans="1:13" ht="25.5">
      <c r="A1363" s="313" t="str">
        <f t="shared" si="21"/>
        <v>ApronUsageCode_loadingUnloading</v>
      </c>
      <c r="B1363" s="330"/>
      <c r="C1363" s="334"/>
      <c r="D1363" s="188" t="s">
        <v>16707</v>
      </c>
      <c r="E1363" s="189" t="s">
        <v>16708</v>
      </c>
      <c r="F1363" s="162" t="s">
        <v>16709</v>
      </c>
      <c r="G1363" s="190"/>
      <c r="H1363" s="219"/>
      <c r="I1363" s="169">
        <v>115431</v>
      </c>
      <c r="J1363" s="304" t="str">
        <f>CONCATENATE([2]Cover!$D$6,"fdd/view?i=",I1363)</f>
        <v>https://www.dgiwg.org/FAD/fdd/view?i=115431</v>
      </c>
      <c r="K1363" s="304" t="s">
        <v>35412</v>
      </c>
      <c r="L1363" s="188">
        <v>2</v>
      </c>
      <c r="M1363" s="179" t="s">
        <v>151</v>
      </c>
    </row>
    <row r="1364" spans="1:13" ht="25.5">
      <c r="A1364" s="313" t="str">
        <f t="shared" si="21"/>
        <v>ApronUsageCode_maintenance</v>
      </c>
      <c r="B1364" s="330"/>
      <c r="C1364" s="334"/>
      <c r="D1364" s="188" t="s">
        <v>16710</v>
      </c>
      <c r="E1364" s="189" t="s">
        <v>16711</v>
      </c>
      <c r="F1364" s="162" t="s">
        <v>16712</v>
      </c>
      <c r="G1364" s="162" t="s">
        <v>16713</v>
      </c>
      <c r="H1364" s="219"/>
      <c r="I1364" s="169">
        <v>115436</v>
      </c>
      <c r="J1364" s="304" t="str">
        <f>CONCATENATE([2]Cover!$D$6,"fdd/view?i=",I1364)</f>
        <v>https://www.dgiwg.org/FAD/fdd/view?i=115436</v>
      </c>
      <c r="K1364" s="304" t="s">
        <v>35413</v>
      </c>
      <c r="L1364" s="188">
        <v>7</v>
      </c>
      <c r="M1364" s="179" t="s">
        <v>151</v>
      </c>
    </row>
    <row r="1365" spans="1:13">
      <c r="A1365" s="313" t="str">
        <f t="shared" si="21"/>
        <v>ApronUsageCode_parking</v>
      </c>
      <c r="B1365" s="330"/>
      <c r="C1365" s="334"/>
      <c r="D1365" s="188" t="s">
        <v>16714</v>
      </c>
      <c r="E1365" s="189" t="s">
        <v>16715</v>
      </c>
      <c r="F1365" s="162" t="s">
        <v>16716</v>
      </c>
      <c r="G1365" s="190"/>
      <c r="H1365" s="219"/>
      <c r="I1365" s="169">
        <v>115430</v>
      </c>
      <c r="J1365" s="304" t="str">
        <f>CONCATENATE([2]Cover!$D$6,"fdd/view?i=",I1365)</f>
        <v>https://www.dgiwg.org/FAD/fdd/view?i=115430</v>
      </c>
      <c r="K1365" s="304" t="s">
        <v>35414</v>
      </c>
      <c r="L1365" s="188">
        <v>1</v>
      </c>
      <c r="M1365" s="179" t="s">
        <v>151</v>
      </c>
    </row>
    <row r="1366" spans="1:13">
      <c r="A1366" s="313" t="str">
        <f t="shared" si="21"/>
        <v>ApronUsageCode_transient</v>
      </c>
      <c r="B1366" s="330"/>
      <c r="C1366" s="334"/>
      <c r="D1366" s="188" t="s">
        <v>13383</v>
      </c>
      <c r="E1366" s="189" t="s">
        <v>13384</v>
      </c>
      <c r="F1366" s="162" t="s">
        <v>16717</v>
      </c>
      <c r="G1366" s="190"/>
      <c r="H1366" s="219"/>
      <c r="I1366" s="169">
        <v>115433</v>
      </c>
      <c r="J1366" s="304" t="str">
        <f>CONCATENATE([2]Cover!$D$6,"fdd/view?i=",I1366)</f>
        <v>https://www.dgiwg.org/FAD/fdd/view?i=115433</v>
      </c>
      <c r="K1366" s="304" t="s">
        <v>35415</v>
      </c>
      <c r="L1366" s="188">
        <v>4</v>
      </c>
      <c r="M1366" s="179" t="s">
        <v>151</v>
      </c>
    </row>
    <row r="1367" spans="1:13" ht="25.5">
      <c r="A1367" s="313" t="str">
        <f t="shared" si="21"/>
        <v>ApronUsageCode_weaponLoading</v>
      </c>
      <c r="B1367" s="331"/>
      <c r="C1367" s="335"/>
      <c r="D1367" s="181" t="s">
        <v>16718</v>
      </c>
      <c r="E1367" s="192" t="s">
        <v>16719</v>
      </c>
      <c r="F1367" s="193" t="s">
        <v>16720</v>
      </c>
      <c r="G1367" s="194"/>
      <c r="H1367" s="220"/>
      <c r="I1367" s="169">
        <v>115440</v>
      </c>
      <c r="J1367" s="304" t="str">
        <f>CONCATENATE([2]Cover!$D$6,"fdd/view?i=",I1367)</f>
        <v>https://www.dgiwg.org/FAD/fdd/view?i=115440</v>
      </c>
      <c r="K1367" s="304" t="s">
        <v>35416</v>
      </c>
      <c r="L1367" s="181">
        <v>11</v>
      </c>
      <c r="M1367" s="179" t="s">
        <v>151</v>
      </c>
    </row>
    <row r="1368" spans="1:13" ht="38.25">
      <c r="A1368" s="313" t="str">
        <f t="shared" si="21"/>
        <v>AquacultureFacilityTypeCode_fishFarm</v>
      </c>
      <c r="B1368" s="332" t="str">
        <f>HYPERLINK("[#]Datatypes!A160:L160","AquacultureFacilityTypeCode")</f>
        <v>AquacultureFacilityTypeCode</v>
      </c>
      <c r="C1368" s="333" t="s">
        <v>11600</v>
      </c>
      <c r="D1368" s="202" t="s">
        <v>16721</v>
      </c>
      <c r="E1368" s="203" t="s">
        <v>16722</v>
      </c>
      <c r="F1368" s="204" t="s">
        <v>16723</v>
      </c>
      <c r="G1368" s="204" t="s">
        <v>2383</v>
      </c>
      <c r="H1368" s="218"/>
      <c r="I1368" s="169">
        <v>114167</v>
      </c>
      <c r="J1368" s="304" t="str">
        <f>CONCATENATE([2]Cover!$D$6,"fdd/view?i=",I1368)</f>
        <v>https://www.dgiwg.org/FAD/fdd/view?i=114167</v>
      </c>
      <c r="K1368" s="304" t="s">
        <v>35417</v>
      </c>
      <c r="L1368" s="202">
        <v>7</v>
      </c>
      <c r="M1368" s="179" t="s">
        <v>151</v>
      </c>
    </row>
    <row r="1369" spans="1:13" ht="38.25">
      <c r="A1369" s="313" t="str">
        <f t="shared" si="21"/>
        <v>AquacultureFacilityTypeCode_fishHatchery</v>
      </c>
      <c r="B1369" s="330"/>
      <c r="C1369" s="334"/>
      <c r="D1369" s="188" t="s">
        <v>16724</v>
      </c>
      <c r="E1369" s="189" t="s">
        <v>16725</v>
      </c>
      <c r="F1369" s="162" t="s">
        <v>16726</v>
      </c>
      <c r="G1369" s="190"/>
      <c r="H1369" s="219"/>
      <c r="I1369" s="169">
        <v>114165</v>
      </c>
      <c r="J1369" s="304" t="str">
        <f>CONCATENATE([2]Cover!$D$6,"fdd/view?i=",I1369)</f>
        <v>https://www.dgiwg.org/FAD/fdd/view?i=114165</v>
      </c>
      <c r="K1369" s="304" t="s">
        <v>35418</v>
      </c>
      <c r="L1369" s="188">
        <v>5</v>
      </c>
      <c r="M1369" s="179" t="s">
        <v>151</v>
      </c>
    </row>
    <row r="1370" spans="1:13" ht="25.5">
      <c r="A1370" s="313" t="str">
        <f t="shared" si="21"/>
        <v>AquacultureFacilityTypeCode_freshwaterPrawnFarm</v>
      </c>
      <c r="B1370" s="330"/>
      <c r="C1370" s="334"/>
      <c r="D1370" s="188" t="s">
        <v>16727</v>
      </c>
      <c r="E1370" s="189" t="s">
        <v>16728</v>
      </c>
      <c r="F1370" s="162" t="s">
        <v>16729</v>
      </c>
      <c r="G1370" s="190"/>
      <c r="H1370" s="219"/>
      <c r="I1370" s="169">
        <v>114166</v>
      </c>
      <c r="J1370" s="304" t="str">
        <f>CONCATENATE([2]Cover!$D$6,"fdd/view?i=",I1370)</f>
        <v>https://www.dgiwg.org/FAD/fdd/view?i=114166</v>
      </c>
      <c r="K1370" s="304" t="s">
        <v>35419</v>
      </c>
      <c r="L1370" s="188">
        <v>6</v>
      </c>
      <c r="M1370" s="179" t="s">
        <v>151</v>
      </c>
    </row>
    <row r="1371" spans="1:13" ht="25.5">
      <c r="A1371" s="313" t="str">
        <f t="shared" si="21"/>
        <v>AquacultureFacilityTypeCode_kelpFarm</v>
      </c>
      <c r="B1371" s="330"/>
      <c r="C1371" s="334"/>
      <c r="D1371" s="188" t="s">
        <v>16730</v>
      </c>
      <c r="E1371" s="189" t="s">
        <v>16731</v>
      </c>
      <c r="F1371" s="162" t="s">
        <v>16732</v>
      </c>
      <c r="G1371" s="190"/>
      <c r="H1371" s="219"/>
      <c r="I1371" s="169">
        <v>114164</v>
      </c>
      <c r="J1371" s="304" t="str">
        <f>CONCATENATE([2]Cover!$D$6,"fdd/view?i=",I1371)</f>
        <v>https://www.dgiwg.org/FAD/fdd/view?i=114164</v>
      </c>
      <c r="K1371" s="304" t="s">
        <v>35420</v>
      </c>
      <c r="L1371" s="188">
        <v>4</v>
      </c>
      <c r="M1371" s="179" t="s">
        <v>151</v>
      </c>
    </row>
    <row r="1372" spans="1:13" ht="51">
      <c r="A1372" s="313" t="str">
        <f t="shared" si="21"/>
        <v>AquacultureFacilityTypeCode_marineCulture</v>
      </c>
      <c r="B1372" s="330"/>
      <c r="C1372" s="334"/>
      <c r="D1372" s="188" t="s">
        <v>16733</v>
      </c>
      <c r="E1372" s="189" t="s">
        <v>16734</v>
      </c>
      <c r="F1372" s="162" t="s">
        <v>16735</v>
      </c>
      <c r="G1372" s="190"/>
      <c r="H1372" s="219"/>
      <c r="I1372" s="169">
        <v>114161</v>
      </c>
      <c r="J1372" s="304" t="str">
        <f>CONCATENATE([2]Cover!$D$6,"fdd/view?i=",I1372)</f>
        <v>https://www.dgiwg.org/FAD/fdd/view?i=114161</v>
      </c>
      <c r="K1372" s="304" t="s">
        <v>35421</v>
      </c>
      <c r="L1372" s="188">
        <v>1</v>
      </c>
      <c r="M1372" s="179" t="s">
        <v>151</v>
      </c>
    </row>
    <row r="1373" spans="1:13" ht="140.25">
      <c r="A1373" s="313" t="str">
        <f t="shared" si="21"/>
        <v>AquacultureFacilityTypeCode_seaRanch</v>
      </c>
      <c r="B1373" s="330"/>
      <c r="C1373" s="334"/>
      <c r="D1373" s="188" t="s">
        <v>16736</v>
      </c>
      <c r="E1373" s="189" t="s">
        <v>16737</v>
      </c>
      <c r="F1373" s="162" t="s">
        <v>16738</v>
      </c>
      <c r="G1373" s="162" t="s">
        <v>16739</v>
      </c>
      <c r="H1373" s="219"/>
      <c r="I1373" s="169">
        <v>114162</v>
      </c>
      <c r="J1373" s="304" t="str">
        <f>CONCATENATE([2]Cover!$D$6,"fdd/view?i=",I1373)</f>
        <v>https://www.dgiwg.org/FAD/fdd/view?i=114162</v>
      </c>
      <c r="K1373" s="304" t="s">
        <v>35422</v>
      </c>
      <c r="L1373" s="188">
        <v>2</v>
      </c>
      <c r="M1373" s="179" t="s">
        <v>151</v>
      </c>
    </row>
    <row r="1374" spans="1:13" ht="25.5">
      <c r="A1374" s="313" t="str">
        <f t="shared" si="21"/>
        <v>AquacultureFacilityTypeCode_shrimpFarm</v>
      </c>
      <c r="B1374" s="331"/>
      <c r="C1374" s="335"/>
      <c r="D1374" s="181" t="s">
        <v>16740</v>
      </c>
      <c r="E1374" s="192" t="s">
        <v>16741</v>
      </c>
      <c r="F1374" s="193" t="s">
        <v>16742</v>
      </c>
      <c r="G1374" s="194"/>
      <c r="H1374" s="220"/>
      <c r="I1374" s="169">
        <v>114163</v>
      </c>
      <c r="J1374" s="304" t="str">
        <f>CONCATENATE([2]Cover!$D$6,"fdd/view?i=",I1374)</f>
        <v>https://www.dgiwg.org/FAD/fdd/view?i=114163</v>
      </c>
      <c r="K1374" s="304" t="s">
        <v>35423</v>
      </c>
      <c r="L1374" s="181">
        <v>3</v>
      </c>
      <c r="M1374" s="179" t="s">
        <v>151</v>
      </c>
    </row>
    <row r="1375" spans="1:13" ht="38.25">
      <c r="A1375" s="313" t="str">
        <f t="shared" si="21"/>
        <v>AquaticVegGrowthHabitCode_emergent</v>
      </c>
      <c r="B1375" s="332" t="str">
        <f>HYPERLINK("[#]Datatypes!A162:L162","AquaticVegGrowthHabitCode")</f>
        <v>AquaticVegGrowthHabitCode</v>
      </c>
      <c r="C1375" s="333" t="s">
        <v>11602</v>
      </c>
      <c r="D1375" s="202" t="s">
        <v>16743</v>
      </c>
      <c r="E1375" s="203" t="s">
        <v>16744</v>
      </c>
      <c r="F1375" s="204" t="s">
        <v>16745</v>
      </c>
      <c r="G1375" s="204" t="s">
        <v>16746</v>
      </c>
      <c r="H1375" s="218"/>
      <c r="I1375" s="169">
        <v>119350</v>
      </c>
      <c r="J1375" s="304" t="str">
        <f>CONCATENATE([2]Cover!$D$6,"fdd/view?i=",I1375)</f>
        <v>https://www.dgiwg.org/FAD/fdd/view?i=119350</v>
      </c>
      <c r="K1375" s="304" t="s">
        <v>35424</v>
      </c>
      <c r="L1375" s="202">
        <v>2</v>
      </c>
      <c r="M1375" s="179" t="s">
        <v>151</v>
      </c>
    </row>
    <row r="1376" spans="1:13" ht="38.25">
      <c r="A1376" s="313" t="str">
        <f t="shared" si="21"/>
        <v>AquaticVegGrowthHabitCode_freeFloating</v>
      </c>
      <c r="B1376" s="330"/>
      <c r="C1376" s="334"/>
      <c r="D1376" s="188" t="s">
        <v>16747</v>
      </c>
      <c r="E1376" s="189" t="s">
        <v>16748</v>
      </c>
      <c r="F1376" s="162" t="s">
        <v>16749</v>
      </c>
      <c r="G1376" s="162" t="s">
        <v>16750</v>
      </c>
      <c r="H1376" s="219"/>
      <c r="I1376" s="169">
        <v>119351</v>
      </c>
      <c r="J1376" s="304" t="str">
        <f>CONCATENATE([2]Cover!$D$6,"fdd/view?i=",I1376)</f>
        <v>https://www.dgiwg.org/FAD/fdd/view?i=119351</v>
      </c>
      <c r="K1376" s="304" t="s">
        <v>35425</v>
      </c>
      <c r="L1376" s="188">
        <v>3</v>
      </c>
      <c r="M1376" s="179" t="s">
        <v>151</v>
      </c>
    </row>
    <row r="1377" spans="1:13" ht="51">
      <c r="A1377" s="313" t="str">
        <f t="shared" si="21"/>
        <v>AquaticVegGrowthHabitCode_submerged</v>
      </c>
      <c r="B1377" s="330"/>
      <c r="C1377" s="334"/>
      <c r="D1377" s="188" t="s">
        <v>16751</v>
      </c>
      <c r="E1377" s="189" t="s">
        <v>16752</v>
      </c>
      <c r="F1377" s="162" t="s">
        <v>16753</v>
      </c>
      <c r="G1377" s="162" t="s">
        <v>16754</v>
      </c>
      <c r="H1377" s="219"/>
      <c r="I1377" s="169">
        <v>119349</v>
      </c>
      <c r="J1377" s="304" t="str">
        <f>CONCATENATE([2]Cover!$D$6,"fdd/view?i=",I1377)</f>
        <v>https://www.dgiwg.org/FAD/fdd/view?i=119349</v>
      </c>
      <c r="K1377" s="304" t="s">
        <v>35426</v>
      </c>
      <c r="L1377" s="188">
        <v>1</v>
      </c>
      <c r="M1377" s="179" t="s">
        <v>151</v>
      </c>
    </row>
    <row r="1378" spans="1:13" ht="38.25">
      <c r="A1378" s="313" t="str">
        <f t="shared" si="21"/>
        <v>AquaticVegGrowthHabitCode_waterlogged</v>
      </c>
      <c r="B1378" s="331"/>
      <c r="C1378" s="335"/>
      <c r="D1378" s="181" t="s">
        <v>16755</v>
      </c>
      <c r="E1378" s="192" t="s">
        <v>16756</v>
      </c>
      <c r="F1378" s="193" t="s">
        <v>16757</v>
      </c>
      <c r="G1378" s="193" t="s">
        <v>16758</v>
      </c>
      <c r="H1378" s="220"/>
      <c r="I1378" s="169">
        <v>119352</v>
      </c>
      <c r="J1378" s="304" t="str">
        <f>CONCATENATE([2]Cover!$D$6,"fdd/view?i=",I1378)</f>
        <v>https://www.dgiwg.org/FAD/fdd/view?i=119352</v>
      </c>
      <c r="K1378" s="304" t="s">
        <v>35427</v>
      </c>
      <c r="L1378" s="181">
        <v>4</v>
      </c>
      <c r="M1378" s="179" t="s">
        <v>151</v>
      </c>
    </row>
    <row r="1379" spans="1:13" ht="38.25">
      <c r="A1379" s="313" t="str">
        <f t="shared" si="21"/>
        <v>AqueductTypeCode_qanat</v>
      </c>
      <c r="B1379" s="332" t="str">
        <f>HYPERLINK("[#]Datatypes!A164:L164","AqueductTypeCode")</f>
        <v>AqueductTypeCode</v>
      </c>
      <c r="C1379" s="333" t="s">
        <v>11604</v>
      </c>
      <c r="D1379" s="202" t="s">
        <v>16759</v>
      </c>
      <c r="E1379" s="203" t="s">
        <v>16760</v>
      </c>
      <c r="F1379" s="204" t="s">
        <v>16761</v>
      </c>
      <c r="G1379" s="204" t="s">
        <v>16762</v>
      </c>
      <c r="H1379" s="218"/>
      <c r="I1379" s="169">
        <v>119387</v>
      </c>
      <c r="J1379" s="304" t="str">
        <f>CONCATENATE([2]Cover!$D$6,"fdd/view?i=",I1379)</f>
        <v>https://www.dgiwg.org/FAD/fdd/view?i=119387</v>
      </c>
      <c r="K1379" s="304" t="s">
        <v>35428</v>
      </c>
      <c r="L1379" s="202">
        <v>6</v>
      </c>
      <c r="M1379" s="179" t="s">
        <v>151</v>
      </c>
    </row>
    <row r="1380" spans="1:13" ht="38.25">
      <c r="A1380" s="313" t="str">
        <f t="shared" si="21"/>
        <v>AqueductTypeCode_surface</v>
      </c>
      <c r="B1380" s="330"/>
      <c r="C1380" s="334"/>
      <c r="D1380" s="188" t="s">
        <v>16763</v>
      </c>
      <c r="E1380" s="189" t="s">
        <v>12976</v>
      </c>
      <c r="F1380" s="162" t="s">
        <v>16764</v>
      </c>
      <c r="G1380" s="162" t="s">
        <v>16765</v>
      </c>
      <c r="H1380" s="219"/>
      <c r="I1380" s="169">
        <v>112733</v>
      </c>
      <c r="J1380" s="304" t="str">
        <f>CONCATENATE([2]Cover!$D$6,"fdd/view?i=",I1380)</f>
        <v>https://www.dgiwg.org/FAD/fdd/view?i=112733</v>
      </c>
      <c r="K1380" s="304" t="s">
        <v>35429</v>
      </c>
      <c r="L1380" s="188">
        <v>5</v>
      </c>
      <c r="M1380" s="179" t="s">
        <v>151</v>
      </c>
    </row>
    <row r="1381" spans="1:13">
      <c r="A1381" s="313" t="str">
        <f t="shared" si="21"/>
        <v>AqueductTypeCode_underground</v>
      </c>
      <c r="B1381" s="330"/>
      <c r="C1381" s="334"/>
      <c r="D1381" s="188" t="s">
        <v>16766</v>
      </c>
      <c r="E1381" s="189" t="s">
        <v>16767</v>
      </c>
      <c r="F1381" s="162" t="s">
        <v>16768</v>
      </c>
      <c r="G1381" s="162" t="s">
        <v>16769</v>
      </c>
      <c r="H1381" s="219"/>
      <c r="I1381" s="169">
        <v>101798</v>
      </c>
      <c r="J1381" s="304" t="str">
        <f>CONCATENATE([2]Cover!$D$6,"fdd/view?i=",I1381)</f>
        <v>https://www.dgiwg.org/FAD/fdd/view?i=101798</v>
      </c>
      <c r="K1381" s="304" t="s">
        <v>35430</v>
      </c>
      <c r="L1381" s="188">
        <v>3</v>
      </c>
      <c r="M1381" s="179" t="s">
        <v>151</v>
      </c>
    </row>
    <row r="1382" spans="1:13" ht="25.5">
      <c r="A1382" s="313" t="str">
        <f t="shared" si="21"/>
        <v>AqueductTypeCode_underwater</v>
      </c>
      <c r="B1382" s="331"/>
      <c r="C1382" s="335"/>
      <c r="D1382" s="181" t="s">
        <v>16770</v>
      </c>
      <c r="E1382" s="192" t="s">
        <v>16771</v>
      </c>
      <c r="F1382" s="193" t="s">
        <v>16772</v>
      </c>
      <c r="G1382" s="193" t="s">
        <v>16773</v>
      </c>
      <c r="H1382" s="220"/>
      <c r="I1382" s="169">
        <v>112734</v>
      </c>
      <c r="J1382" s="304" t="str">
        <f>CONCATENATE([2]Cover!$D$6,"fdd/view?i=",I1382)</f>
        <v>https://www.dgiwg.org/FAD/fdd/view?i=112734</v>
      </c>
      <c r="K1382" s="304" t="s">
        <v>35431</v>
      </c>
      <c r="L1382" s="181">
        <v>4</v>
      </c>
      <c r="M1382" s="179" t="s">
        <v>151</v>
      </c>
    </row>
    <row r="1383" spans="1:13" ht="25.5">
      <c r="A1383" s="313" t="str">
        <f t="shared" si="21"/>
        <v>AquiferCompositionCode_basalt</v>
      </c>
      <c r="B1383" s="332" t="str">
        <f>HYPERLINK("[#]Datatypes!A166:L166","AquiferCompositionCode")</f>
        <v>AquiferCompositionCode</v>
      </c>
      <c r="C1383" s="333" t="s">
        <v>11606</v>
      </c>
      <c r="D1383" s="202" t="s">
        <v>16774</v>
      </c>
      <c r="E1383" s="203" t="s">
        <v>16775</v>
      </c>
      <c r="F1383" s="204" t="s">
        <v>16776</v>
      </c>
      <c r="G1383" s="205"/>
      <c r="H1383" s="218"/>
      <c r="I1383" s="169">
        <v>119035</v>
      </c>
      <c r="J1383" s="304" t="str">
        <f>CONCATENATE([2]Cover!$D$6,"fdd/view?i=",I1383)</f>
        <v>https://www.dgiwg.org/FAD/fdd/view?i=119035</v>
      </c>
      <c r="K1383" s="304" t="s">
        <v>35432</v>
      </c>
      <c r="L1383" s="202">
        <v>1</v>
      </c>
      <c r="M1383" s="179" t="s">
        <v>151</v>
      </c>
    </row>
    <row r="1384" spans="1:13">
      <c r="A1384" s="313" t="str">
        <f t="shared" si="21"/>
        <v>AquiferCompositionCode_boulders</v>
      </c>
      <c r="B1384" s="330"/>
      <c r="C1384" s="334"/>
      <c r="D1384" s="188" t="s">
        <v>16777</v>
      </c>
      <c r="E1384" s="189" t="s">
        <v>16778</v>
      </c>
      <c r="F1384" s="162" t="s">
        <v>16779</v>
      </c>
      <c r="G1384" s="190"/>
      <c r="H1384" s="219"/>
      <c r="I1384" s="169">
        <v>119036</v>
      </c>
      <c r="J1384" s="304" t="str">
        <f>CONCATENATE([2]Cover!$D$6,"fdd/view?i=",I1384)</f>
        <v>https://www.dgiwg.org/FAD/fdd/view?i=119036</v>
      </c>
      <c r="K1384" s="304" t="s">
        <v>35433</v>
      </c>
      <c r="L1384" s="188">
        <v>2</v>
      </c>
      <c r="M1384" s="179" t="s">
        <v>151</v>
      </c>
    </row>
    <row r="1385" spans="1:13" ht="63.75">
      <c r="A1385" s="313" t="str">
        <f t="shared" si="21"/>
        <v>AquiferCompositionCode_clay</v>
      </c>
      <c r="B1385" s="330"/>
      <c r="C1385" s="334"/>
      <c r="D1385" s="188" t="s">
        <v>15090</v>
      </c>
      <c r="E1385" s="189" t="s">
        <v>15091</v>
      </c>
      <c r="F1385" s="162" t="s">
        <v>16780</v>
      </c>
      <c r="G1385" s="162" t="s">
        <v>16781</v>
      </c>
      <c r="H1385" s="219"/>
      <c r="I1385" s="169">
        <v>119037</v>
      </c>
      <c r="J1385" s="304" t="str">
        <f>CONCATENATE([2]Cover!$D$6,"fdd/view?i=",I1385)</f>
        <v>https://www.dgiwg.org/FAD/fdd/view?i=119037</v>
      </c>
      <c r="K1385" s="304" t="s">
        <v>35434</v>
      </c>
      <c r="L1385" s="188">
        <v>3</v>
      </c>
      <c r="M1385" s="179" t="s">
        <v>151</v>
      </c>
    </row>
    <row r="1386" spans="1:13" ht="38.25">
      <c r="A1386" s="313" t="str">
        <f t="shared" si="21"/>
        <v>AquiferCompositionCode_conglomerate</v>
      </c>
      <c r="B1386" s="330"/>
      <c r="C1386" s="334"/>
      <c r="D1386" s="188" t="s">
        <v>16782</v>
      </c>
      <c r="E1386" s="189" t="s">
        <v>16783</v>
      </c>
      <c r="F1386" s="162" t="s">
        <v>16784</v>
      </c>
      <c r="G1386" s="162" t="s">
        <v>16785</v>
      </c>
      <c r="H1386" s="219"/>
      <c r="I1386" s="169">
        <v>119038</v>
      </c>
      <c r="J1386" s="304" t="str">
        <f>CONCATENATE([2]Cover!$D$6,"fdd/view?i=",I1386)</f>
        <v>https://www.dgiwg.org/FAD/fdd/view?i=119038</v>
      </c>
      <c r="K1386" s="304" t="s">
        <v>35435</v>
      </c>
      <c r="L1386" s="188">
        <v>4</v>
      </c>
      <c r="M1386" s="179" t="s">
        <v>151</v>
      </c>
    </row>
    <row r="1387" spans="1:13" ht="25.5">
      <c r="A1387" s="313" t="str">
        <f t="shared" si="21"/>
        <v>AquiferCompositionCode_dolomite</v>
      </c>
      <c r="B1387" s="330"/>
      <c r="C1387" s="334"/>
      <c r="D1387" s="188" t="s">
        <v>16786</v>
      </c>
      <c r="E1387" s="189" t="s">
        <v>16787</v>
      </c>
      <c r="F1387" s="162" t="s">
        <v>16788</v>
      </c>
      <c r="G1387" s="190"/>
      <c r="H1387" s="219"/>
      <c r="I1387" s="169">
        <v>119039</v>
      </c>
      <c r="J1387" s="304" t="str">
        <f>CONCATENATE([2]Cover!$D$6,"fdd/view?i=",I1387)</f>
        <v>https://www.dgiwg.org/FAD/fdd/view?i=119039</v>
      </c>
      <c r="K1387" s="304" t="s">
        <v>35436</v>
      </c>
      <c r="L1387" s="188">
        <v>5</v>
      </c>
      <c r="M1387" s="179" t="s">
        <v>151</v>
      </c>
    </row>
    <row r="1388" spans="1:13" ht="38.25">
      <c r="A1388" s="313" t="str">
        <f t="shared" si="21"/>
        <v>AquiferCompositionCode_granite</v>
      </c>
      <c r="B1388" s="330"/>
      <c r="C1388" s="334"/>
      <c r="D1388" s="188" t="s">
        <v>16789</v>
      </c>
      <c r="E1388" s="189" t="s">
        <v>16790</v>
      </c>
      <c r="F1388" s="162" t="s">
        <v>16791</v>
      </c>
      <c r="G1388" s="190"/>
      <c r="H1388" s="219"/>
      <c r="I1388" s="169">
        <v>119040</v>
      </c>
      <c r="J1388" s="304" t="str">
        <f>CONCATENATE([2]Cover!$D$6,"fdd/view?i=",I1388)</f>
        <v>https://www.dgiwg.org/FAD/fdd/view?i=119040</v>
      </c>
      <c r="K1388" s="304" t="s">
        <v>35437</v>
      </c>
      <c r="L1388" s="188">
        <v>6</v>
      </c>
      <c r="M1388" s="179" t="s">
        <v>151</v>
      </c>
    </row>
    <row r="1389" spans="1:13" ht="25.5">
      <c r="A1389" s="313" t="str">
        <f t="shared" si="21"/>
        <v>AquiferCompositionCode_gravel</v>
      </c>
      <c r="B1389" s="330"/>
      <c r="C1389" s="334"/>
      <c r="D1389" s="188" t="s">
        <v>15105</v>
      </c>
      <c r="E1389" s="189" t="s">
        <v>15106</v>
      </c>
      <c r="F1389" s="162" t="s">
        <v>16792</v>
      </c>
      <c r="G1389" s="162" t="s">
        <v>16793</v>
      </c>
      <c r="H1389" s="219"/>
      <c r="I1389" s="169">
        <v>119041</v>
      </c>
      <c r="J1389" s="304" t="str">
        <f>CONCATENATE([2]Cover!$D$6,"fdd/view?i=",I1389)</f>
        <v>https://www.dgiwg.org/FAD/fdd/view?i=119041</v>
      </c>
      <c r="K1389" s="304" t="s">
        <v>35438</v>
      </c>
      <c r="L1389" s="188">
        <v>7</v>
      </c>
      <c r="M1389" s="179" t="s">
        <v>151</v>
      </c>
    </row>
    <row r="1390" spans="1:13" ht="51">
      <c r="A1390" s="313" t="str">
        <f t="shared" si="21"/>
        <v>AquiferCompositionCode_igneousRock</v>
      </c>
      <c r="B1390" s="330"/>
      <c r="C1390" s="334"/>
      <c r="D1390" s="188" t="s">
        <v>16794</v>
      </c>
      <c r="E1390" s="189" t="s">
        <v>16795</v>
      </c>
      <c r="F1390" s="162" t="s">
        <v>16796</v>
      </c>
      <c r="G1390" s="162" t="s">
        <v>16797</v>
      </c>
      <c r="H1390" s="219"/>
      <c r="I1390" s="169">
        <v>119042</v>
      </c>
      <c r="J1390" s="304" t="str">
        <f>CONCATENATE([2]Cover!$D$6,"fdd/view?i=",I1390)</f>
        <v>https://www.dgiwg.org/FAD/fdd/view?i=119042</v>
      </c>
      <c r="K1390" s="304" t="s">
        <v>35439</v>
      </c>
      <c r="L1390" s="188">
        <v>8</v>
      </c>
      <c r="M1390" s="179" t="s">
        <v>151</v>
      </c>
    </row>
    <row r="1391" spans="1:13" ht="76.5">
      <c r="A1391" s="313" t="str">
        <f t="shared" si="21"/>
        <v>AquiferCompositionCode_karst</v>
      </c>
      <c r="B1391" s="330"/>
      <c r="C1391" s="334"/>
      <c r="D1391" s="188" t="s">
        <v>16798</v>
      </c>
      <c r="E1391" s="189" t="s">
        <v>16799</v>
      </c>
      <c r="F1391" s="162" t="s">
        <v>16800</v>
      </c>
      <c r="G1391" s="162" t="s">
        <v>16801</v>
      </c>
      <c r="H1391" s="219"/>
      <c r="I1391" s="169">
        <v>119043</v>
      </c>
      <c r="J1391" s="304" t="str">
        <f>CONCATENATE([2]Cover!$D$6,"fdd/view?i=",I1391)</f>
        <v>https://www.dgiwg.org/FAD/fdd/view?i=119043</v>
      </c>
      <c r="K1391" s="304" t="s">
        <v>35440</v>
      </c>
      <c r="L1391" s="188">
        <v>9</v>
      </c>
      <c r="M1391" s="179" t="s">
        <v>151</v>
      </c>
    </row>
    <row r="1392" spans="1:13" ht="51">
      <c r="A1392" s="313" t="str">
        <f t="shared" si="21"/>
        <v>AquiferCompositionCode_limestone</v>
      </c>
      <c r="B1392" s="330"/>
      <c r="C1392" s="334"/>
      <c r="D1392" s="188" t="s">
        <v>16802</v>
      </c>
      <c r="E1392" s="189" t="s">
        <v>16803</v>
      </c>
      <c r="F1392" s="162" t="s">
        <v>16804</v>
      </c>
      <c r="G1392" s="162" t="s">
        <v>16805</v>
      </c>
      <c r="H1392" s="219"/>
      <c r="I1392" s="169">
        <v>119044</v>
      </c>
      <c r="J1392" s="304" t="str">
        <f>CONCATENATE([2]Cover!$D$6,"fdd/view?i=",I1392)</f>
        <v>https://www.dgiwg.org/FAD/fdd/view?i=119044</v>
      </c>
      <c r="K1392" s="304" t="s">
        <v>35441</v>
      </c>
      <c r="L1392" s="188">
        <v>10</v>
      </c>
      <c r="M1392" s="179" t="s">
        <v>151</v>
      </c>
    </row>
    <row r="1393" spans="1:13" ht="38.25">
      <c r="A1393" s="313" t="str">
        <f t="shared" si="21"/>
        <v>AquiferCompositionCode_marl</v>
      </c>
      <c r="B1393" s="330"/>
      <c r="C1393" s="334"/>
      <c r="D1393" s="188" t="s">
        <v>16806</v>
      </c>
      <c r="E1393" s="189" t="s">
        <v>16807</v>
      </c>
      <c r="F1393" s="162" t="s">
        <v>16808</v>
      </c>
      <c r="G1393" s="162" t="s">
        <v>16809</v>
      </c>
      <c r="H1393" s="219"/>
      <c r="I1393" s="169">
        <v>119045</v>
      </c>
      <c r="J1393" s="304" t="str">
        <f>CONCATENATE([2]Cover!$D$6,"fdd/view?i=",I1393)</f>
        <v>https://www.dgiwg.org/FAD/fdd/view?i=119045</v>
      </c>
      <c r="K1393" s="304" t="s">
        <v>35442</v>
      </c>
      <c r="L1393" s="188">
        <v>11</v>
      </c>
      <c r="M1393" s="179" t="s">
        <v>151</v>
      </c>
    </row>
    <row r="1394" spans="1:13" ht="25.5">
      <c r="A1394" s="313" t="str">
        <f t="shared" si="21"/>
        <v>AquiferCompositionCode_metamorphicRock</v>
      </c>
      <c r="B1394" s="330"/>
      <c r="C1394" s="334"/>
      <c r="D1394" s="188" t="s">
        <v>16810</v>
      </c>
      <c r="E1394" s="189" t="s">
        <v>16811</v>
      </c>
      <c r="F1394" s="162" t="s">
        <v>16812</v>
      </c>
      <c r="G1394" s="162" t="s">
        <v>16813</v>
      </c>
      <c r="H1394" s="219"/>
      <c r="I1394" s="169">
        <v>119046</v>
      </c>
      <c r="J1394" s="304" t="str">
        <f>CONCATENATE([2]Cover!$D$6,"fdd/view?i=",I1394)</f>
        <v>https://www.dgiwg.org/FAD/fdd/view?i=119046</v>
      </c>
      <c r="K1394" s="304" t="s">
        <v>35443</v>
      </c>
      <c r="L1394" s="188">
        <v>12</v>
      </c>
      <c r="M1394" s="179" t="s">
        <v>151</v>
      </c>
    </row>
    <row r="1395" spans="1:13" ht="38.25">
      <c r="A1395" s="313" t="str">
        <f t="shared" si="21"/>
        <v>AquiferCompositionCode_mud</v>
      </c>
      <c r="B1395" s="330"/>
      <c r="C1395" s="334"/>
      <c r="D1395" s="188" t="s">
        <v>16814</v>
      </c>
      <c r="E1395" s="189" t="s">
        <v>16815</v>
      </c>
      <c r="F1395" s="162" t="s">
        <v>16816</v>
      </c>
      <c r="G1395" s="162" t="s">
        <v>16817</v>
      </c>
      <c r="H1395" s="219"/>
      <c r="I1395" s="169">
        <v>119047</v>
      </c>
      <c r="J1395" s="304" t="str">
        <f>CONCATENATE([2]Cover!$D$6,"fdd/view?i=",I1395)</f>
        <v>https://www.dgiwg.org/FAD/fdd/view?i=119047</v>
      </c>
      <c r="K1395" s="304" t="s">
        <v>35444</v>
      </c>
      <c r="L1395" s="188">
        <v>13</v>
      </c>
      <c r="M1395" s="179" t="s">
        <v>151</v>
      </c>
    </row>
    <row r="1396" spans="1:13" ht="25.5">
      <c r="A1396" s="313" t="str">
        <f t="shared" si="21"/>
        <v>AquiferCompositionCode_sand</v>
      </c>
      <c r="B1396" s="330"/>
      <c r="C1396" s="334"/>
      <c r="D1396" s="188" t="s">
        <v>15137</v>
      </c>
      <c r="E1396" s="189" t="s">
        <v>15138</v>
      </c>
      <c r="F1396" s="162" t="s">
        <v>16818</v>
      </c>
      <c r="G1396" s="190"/>
      <c r="H1396" s="219"/>
      <c r="I1396" s="169">
        <v>119048</v>
      </c>
      <c r="J1396" s="304" t="str">
        <f>CONCATENATE([2]Cover!$D$6,"fdd/view?i=",I1396)</f>
        <v>https://www.dgiwg.org/FAD/fdd/view?i=119048</v>
      </c>
      <c r="K1396" s="304" t="s">
        <v>35445</v>
      </c>
      <c r="L1396" s="188">
        <v>14</v>
      </c>
      <c r="M1396" s="179" t="s">
        <v>151</v>
      </c>
    </row>
    <row r="1397" spans="1:13" ht="38.25">
      <c r="A1397" s="313" t="str">
        <f t="shared" si="21"/>
        <v>AquiferCompositionCode_schist</v>
      </c>
      <c r="B1397" s="330"/>
      <c r="C1397" s="334"/>
      <c r="D1397" s="188" t="s">
        <v>16819</v>
      </c>
      <c r="E1397" s="189" t="s">
        <v>16820</v>
      </c>
      <c r="F1397" s="162" t="s">
        <v>16821</v>
      </c>
      <c r="G1397" s="190"/>
      <c r="H1397" s="219"/>
      <c r="I1397" s="169">
        <v>119049</v>
      </c>
      <c r="J1397" s="304" t="str">
        <f>CONCATENATE([2]Cover!$D$6,"fdd/view?i=",I1397)</f>
        <v>https://www.dgiwg.org/FAD/fdd/view?i=119049</v>
      </c>
      <c r="K1397" s="304" t="s">
        <v>35446</v>
      </c>
      <c r="L1397" s="188">
        <v>15</v>
      </c>
      <c r="M1397" s="179" t="s">
        <v>151</v>
      </c>
    </row>
    <row r="1398" spans="1:13" ht="51">
      <c r="A1398" s="313" t="str">
        <f t="shared" si="21"/>
        <v>AquiferCompositionCode_semiConsolidatedVolcanicAsh</v>
      </c>
      <c r="B1398" s="330"/>
      <c r="C1398" s="334"/>
      <c r="D1398" s="188" t="s">
        <v>16822</v>
      </c>
      <c r="E1398" s="189" t="s">
        <v>16823</v>
      </c>
      <c r="F1398" s="162" t="s">
        <v>16824</v>
      </c>
      <c r="G1398" s="162" t="s">
        <v>16825</v>
      </c>
      <c r="H1398" s="219"/>
      <c r="I1398" s="169">
        <v>119051</v>
      </c>
      <c r="J1398" s="304" t="str">
        <f>CONCATENATE([2]Cover!$D$6,"fdd/view?i=",I1398)</f>
        <v>https://www.dgiwg.org/FAD/fdd/view?i=119051</v>
      </c>
      <c r="K1398" s="304" t="s">
        <v>35447</v>
      </c>
      <c r="L1398" s="188">
        <v>17</v>
      </c>
      <c r="M1398" s="179" t="s">
        <v>151</v>
      </c>
    </row>
    <row r="1399" spans="1:13" ht="38.25">
      <c r="A1399" s="313" t="str">
        <f t="shared" si="21"/>
        <v>AquiferCompositionCode_unconsolidated</v>
      </c>
      <c r="B1399" s="330"/>
      <c r="C1399" s="334"/>
      <c r="D1399" s="188" t="s">
        <v>16826</v>
      </c>
      <c r="E1399" s="189" t="s">
        <v>16827</v>
      </c>
      <c r="F1399" s="162" t="s">
        <v>16828</v>
      </c>
      <c r="G1399" s="162" t="s">
        <v>16829</v>
      </c>
      <c r="H1399" s="219"/>
      <c r="I1399" s="169">
        <v>119050</v>
      </c>
      <c r="J1399" s="304" t="str">
        <f>CONCATENATE([2]Cover!$D$6,"fdd/view?i=",I1399)</f>
        <v>https://www.dgiwg.org/FAD/fdd/view?i=119050</v>
      </c>
      <c r="K1399" s="304" t="s">
        <v>35448</v>
      </c>
      <c r="L1399" s="188">
        <v>16</v>
      </c>
      <c r="M1399" s="179" t="s">
        <v>151</v>
      </c>
    </row>
    <row r="1400" spans="1:13" ht="25.5">
      <c r="A1400" s="313" t="str">
        <f t="shared" si="21"/>
        <v>AquiferCompositionCode_volcanicRock</v>
      </c>
      <c r="B1400" s="331"/>
      <c r="C1400" s="335"/>
      <c r="D1400" s="181" t="s">
        <v>16830</v>
      </c>
      <c r="E1400" s="192" t="s">
        <v>16831</v>
      </c>
      <c r="F1400" s="193" t="s">
        <v>16832</v>
      </c>
      <c r="G1400" s="194"/>
      <c r="H1400" s="223" t="s">
        <v>16833</v>
      </c>
      <c r="I1400" s="169">
        <v>119052</v>
      </c>
      <c r="J1400" s="304" t="str">
        <f>CONCATENATE([2]Cover!$D$6,"fdd/view?i=",I1400)</f>
        <v>https://www.dgiwg.org/FAD/fdd/view?i=119052</v>
      </c>
      <c r="K1400" s="304" t="s">
        <v>35449</v>
      </c>
      <c r="L1400" s="181">
        <v>18</v>
      </c>
      <c r="M1400" s="179" t="s">
        <v>151</v>
      </c>
    </row>
    <row r="1401" spans="1:13" ht="25.5">
      <c r="A1401" s="313" t="str">
        <f t="shared" si="21"/>
        <v>AquiferOverburdenCode_basalt</v>
      </c>
      <c r="B1401" s="332" t="str">
        <f>HYPERLINK("[#]Datatypes!A168:L168","AquiferOverburdenCode")</f>
        <v>AquiferOverburdenCode</v>
      </c>
      <c r="C1401" s="333" t="s">
        <v>11608</v>
      </c>
      <c r="D1401" s="202" t="s">
        <v>16774</v>
      </c>
      <c r="E1401" s="203" t="s">
        <v>16775</v>
      </c>
      <c r="F1401" s="204" t="s">
        <v>16776</v>
      </c>
      <c r="G1401" s="205"/>
      <c r="H1401" s="218"/>
      <c r="I1401" s="169">
        <v>119015</v>
      </c>
      <c r="J1401" s="304" t="str">
        <f>CONCATENATE([2]Cover!$D$6,"fdd/view?i=",I1401)</f>
        <v>https://www.dgiwg.org/FAD/fdd/view?i=119015</v>
      </c>
      <c r="K1401" s="304" t="s">
        <v>35450</v>
      </c>
      <c r="L1401" s="202">
        <v>1</v>
      </c>
      <c r="M1401" s="179" t="s">
        <v>151</v>
      </c>
    </row>
    <row r="1402" spans="1:13">
      <c r="A1402" s="313" t="str">
        <f t="shared" si="21"/>
        <v>AquiferOverburdenCode_boulders</v>
      </c>
      <c r="B1402" s="330"/>
      <c r="C1402" s="334"/>
      <c r="D1402" s="188" t="s">
        <v>16777</v>
      </c>
      <c r="E1402" s="189" t="s">
        <v>16778</v>
      </c>
      <c r="F1402" s="162" t="s">
        <v>16779</v>
      </c>
      <c r="G1402" s="190"/>
      <c r="H1402" s="219"/>
      <c r="I1402" s="169">
        <v>119016</v>
      </c>
      <c r="J1402" s="304" t="str">
        <f>CONCATENATE([2]Cover!$D$6,"fdd/view?i=",I1402)</f>
        <v>https://www.dgiwg.org/FAD/fdd/view?i=119016</v>
      </c>
      <c r="K1402" s="304" t="s">
        <v>35451</v>
      </c>
      <c r="L1402" s="188">
        <v>2</v>
      </c>
      <c r="M1402" s="179" t="s">
        <v>151</v>
      </c>
    </row>
    <row r="1403" spans="1:13" ht="63.75">
      <c r="A1403" s="313" t="str">
        <f t="shared" si="21"/>
        <v>AquiferOverburdenCode_clay</v>
      </c>
      <c r="B1403" s="330"/>
      <c r="C1403" s="334"/>
      <c r="D1403" s="188" t="s">
        <v>15090</v>
      </c>
      <c r="E1403" s="189" t="s">
        <v>15091</v>
      </c>
      <c r="F1403" s="162" t="s">
        <v>16780</v>
      </c>
      <c r="G1403" s="162" t="s">
        <v>16781</v>
      </c>
      <c r="H1403" s="219"/>
      <c r="I1403" s="169">
        <v>119017</v>
      </c>
      <c r="J1403" s="304" t="str">
        <f>CONCATENATE([2]Cover!$D$6,"fdd/view?i=",I1403)</f>
        <v>https://www.dgiwg.org/FAD/fdd/view?i=119017</v>
      </c>
      <c r="K1403" s="304" t="s">
        <v>35452</v>
      </c>
      <c r="L1403" s="188">
        <v>3</v>
      </c>
      <c r="M1403" s="179" t="s">
        <v>151</v>
      </c>
    </row>
    <row r="1404" spans="1:13" ht="38.25">
      <c r="A1404" s="313" t="str">
        <f t="shared" si="21"/>
        <v>AquiferOverburdenCode_conglomerate</v>
      </c>
      <c r="B1404" s="330"/>
      <c r="C1404" s="334"/>
      <c r="D1404" s="188" t="s">
        <v>16782</v>
      </c>
      <c r="E1404" s="189" t="s">
        <v>16783</v>
      </c>
      <c r="F1404" s="162" t="s">
        <v>16784</v>
      </c>
      <c r="G1404" s="162" t="s">
        <v>16785</v>
      </c>
      <c r="H1404" s="219"/>
      <c r="I1404" s="169">
        <v>119018</v>
      </c>
      <c r="J1404" s="304" t="str">
        <f>CONCATENATE([2]Cover!$D$6,"fdd/view?i=",I1404)</f>
        <v>https://www.dgiwg.org/FAD/fdd/view?i=119018</v>
      </c>
      <c r="K1404" s="304" t="s">
        <v>35453</v>
      </c>
      <c r="L1404" s="188">
        <v>4</v>
      </c>
      <c r="M1404" s="179" t="s">
        <v>151</v>
      </c>
    </row>
    <row r="1405" spans="1:13" ht="25.5">
      <c r="A1405" s="313" t="str">
        <f t="shared" si="21"/>
        <v>AquiferOverburdenCode_dolomite</v>
      </c>
      <c r="B1405" s="330"/>
      <c r="C1405" s="334"/>
      <c r="D1405" s="188" t="s">
        <v>16786</v>
      </c>
      <c r="E1405" s="189" t="s">
        <v>16787</v>
      </c>
      <c r="F1405" s="162" t="s">
        <v>16788</v>
      </c>
      <c r="G1405" s="190"/>
      <c r="H1405" s="219"/>
      <c r="I1405" s="169">
        <v>119019</v>
      </c>
      <c r="J1405" s="304" t="str">
        <f>CONCATENATE([2]Cover!$D$6,"fdd/view?i=",I1405)</f>
        <v>https://www.dgiwg.org/FAD/fdd/view?i=119019</v>
      </c>
      <c r="K1405" s="304" t="s">
        <v>35454</v>
      </c>
      <c r="L1405" s="188">
        <v>5</v>
      </c>
      <c r="M1405" s="179" t="s">
        <v>151</v>
      </c>
    </row>
    <row r="1406" spans="1:13" ht="38.25">
      <c r="A1406" s="313" t="str">
        <f t="shared" si="21"/>
        <v>AquiferOverburdenCode_granite</v>
      </c>
      <c r="B1406" s="330"/>
      <c r="C1406" s="334"/>
      <c r="D1406" s="188" t="s">
        <v>16789</v>
      </c>
      <c r="E1406" s="189" t="s">
        <v>16790</v>
      </c>
      <c r="F1406" s="162" t="s">
        <v>16791</v>
      </c>
      <c r="G1406" s="190"/>
      <c r="H1406" s="219"/>
      <c r="I1406" s="169">
        <v>119020</v>
      </c>
      <c r="J1406" s="304" t="str">
        <f>CONCATENATE([2]Cover!$D$6,"fdd/view?i=",I1406)</f>
        <v>https://www.dgiwg.org/FAD/fdd/view?i=119020</v>
      </c>
      <c r="K1406" s="304" t="s">
        <v>35455</v>
      </c>
      <c r="L1406" s="188">
        <v>6</v>
      </c>
      <c r="M1406" s="179" t="s">
        <v>151</v>
      </c>
    </row>
    <row r="1407" spans="1:13" ht="25.5">
      <c r="A1407" s="313" t="str">
        <f t="shared" si="21"/>
        <v>AquiferOverburdenCode_gravel</v>
      </c>
      <c r="B1407" s="330"/>
      <c r="C1407" s="334"/>
      <c r="D1407" s="188" t="s">
        <v>15105</v>
      </c>
      <c r="E1407" s="189" t="s">
        <v>15106</v>
      </c>
      <c r="F1407" s="162" t="s">
        <v>16792</v>
      </c>
      <c r="G1407" s="162" t="s">
        <v>16793</v>
      </c>
      <c r="H1407" s="219"/>
      <c r="I1407" s="169">
        <v>119021</v>
      </c>
      <c r="J1407" s="304" t="str">
        <f>CONCATENATE([2]Cover!$D$6,"fdd/view?i=",I1407)</f>
        <v>https://www.dgiwg.org/FAD/fdd/view?i=119021</v>
      </c>
      <c r="K1407" s="304" t="s">
        <v>35456</v>
      </c>
      <c r="L1407" s="188">
        <v>7</v>
      </c>
      <c r="M1407" s="179" t="s">
        <v>151</v>
      </c>
    </row>
    <row r="1408" spans="1:13" ht="51">
      <c r="A1408" s="313" t="str">
        <f t="shared" si="21"/>
        <v>AquiferOverburdenCode_igneousRock</v>
      </c>
      <c r="B1408" s="330"/>
      <c r="C1408" s="334"/>
      <c r="D1408" s="188" t="s">
        <v>16794</v>
      </c>
      <c r="E1408" s="189" t="s">
        <v>16795</v>
      </c>
      <c r="F1408" s="162" t="s">
        <v>16796</v>
      </c>
      <c r="G1408" s="162" t="s">
        <v>16797</v>
      </c>
      <c r="H1408" s="219"/>
      <c r="I1408" s="169">
        <v>119022</v>
      </c>
      <c r="J1408" s="304" t="str">
        <f>CONCATENATE([2]Cover!$D$6,"fdd/view?i=",I1408)</f>
        <v>https://www.dgiwg.org/FAD/fdd/view?i=119022</v>
      </c>
      <c r="K1408" s="304" t="s">
        <v>35457</v>
      </c>
      <c r="L1408" s="188">
        <v>8</v>
      </c>
      <c r="M1408" s="179" t="s">
        <v>151</v>
      </c>
    </row>
    <row r="1409" spans="1:13" ht="76.5">
      <c r="A1409" s="313" t="str">
        <f t="shared" si="21"/>
        <v>AquiferOverburdenCode_karst</v>
      </c>
      <c r="B1409" s="330"/>
      <c r="C1409" s="334"/>
      <c r="D1409" s="188" t="s">
        <v>16798</v>
      </c>
      <c r="E1409" s="189" t="s">
        <v>16799</v>
      </c>
      <c r="F1409" s="162" t="s">
        <v>16800</v>
      </c>
      <c r="G1409" s="162" t="s">
        <v>16801</v>
      </c>
      <c r="H1409" s="219"/>
      <c r="I1409" s="169">
        <v>119023</v>
      </c>
      <c r="J1409" s="304" t="str">
        <f>CONCATENATE([2]Cover!$D$6,"fdd/view?i=",I1409)</f>
        <v>https://www.dgiwg.org/FAD/fdd/view?i=119023</v>
      </c>
      <c r="K1409" s="304" t="s">
        <v>35458</v>
      </c>
      <c r="L1409" s="188">
        <v>9</v>
      </c>
      <c r="M1409" s="179" t="s">
        <v>151</v>
      </c>
    </row>
    <row r="1410" spans="1:13" ht="51">
      <c r="A1410" s="313" t="str">
        <f t="shared" si="21"/>
        <v>AquiferOverburdenCode_limestone</v>
      </c>
      <c r="B1410" s="330"/>
      <c r="C1410" s="334"/>
      <c r="D1410" s="188" t="s">
        <v>16802</v>
      </c>
      <c r="E1410" s="189" t="s">
        <v>16803</v>
      </c>
      <c r="F1410" s="162" t="s">
        <v>16804</v>
      </c>
      <c r="G1410" s="162" t="s">
        <v>16805</v>
      </c>
      <c r="H1410" s="219"/>
      <c r="I1410" s="169">
        <v>119024</v>
      </c>
      <c r="J1410" s="304" t="str">
        <f>CONCATENATE([2]Cover!$D$6,"fdd/view?i=",I1410)</f>
        <v>https://www.dgiwg.org/FAD/fdd/view?i=119024</v>
      </c>
      <c r="K1410" s="304" t="s">
        <v>35459</v>
      </c>
      <c r="L1410" s="188">
        <v>10</v>
      </c>
      <c r="M1410" s="179" t="s">
        <v>151</v>
      </c>
    </row>
    <row r="1411" spans="1:13" ht="38.25">
      <c r="A1411" s="313" t="str">
        <f t="shared" ref="A1411:A1474" si="22">HYPERLINK(J1411,K1411)</f>
        <v>AquiferOverburdenCode_marl</v>
      </c>
      <c r="B1411" s="330"/>
      <c r="C1411" s="334"/>
      <c r="D1411" s="188" t="s">
        <v>16806</v>
      </c>
      <c r="E1411" s="189" t="s">
        <v>16807</v>
      </c>
      <c r="F1411" s="162" t="s">
        <v>16808</v>
      </c>
      <c r="G1411" s="162" t="s">
        <v>16809</v>
      </c>
      <c r="H1411" s="219"/>
      <c r="I1411" s="169">
        <v>119025</v>
      </c>
      <c r="J1411" s="304" t="str">
        <f>CONCATENATE([2]Cover!$D$6,"fdd/view?i=",I1411)</f>
        <v>https://www.dgiwg.org/FAD/fdd/view?i=119025</v>
      </c>
      <c r="K1411" s="304" t="s">
        <v>35460</v>
      </c>
      <c r="L1411" s="188">
        <v>11</v>
      </c>
      <c r="M1411" s="179" t="s">
        <v>151</v>
      </c>
    </row>
    <row r="1412" spans="1:13" ht="25.5">
      <c r="A1412" s="313" t="str">
        <f t="shared" si="22"/>
        <v>AquiferOverburdenCode_metamorphicRock</v>
      </c>
      <c r="B1412" s="330"/>
      <c r="C1412" s="334"/>
      <c r="D1412" s="188" t="s">
        <v>16810</v>
      </c>
      <c r="E1412" s="189" t="s">
        <v>16811</v>
      </c>
      <c r="F1412" s="162" t="s">
        <v>16812</v>
      </c>
      <c r="G1412" s="162" t="s">
        <v>16813</v>
      </c>
      <c r="H1412" s="219"/>
      <c r="I1412" s="169">
        <v>119026</v>
      </c>
      <c r="J1412" s="304" t="str">
        <f>CONCATENATE([2]Cover!$D$6,"fdd/view?i=",I1412)</f>
        <v>https://www.dgiwg.org/FAD/fdd/view?i=119026</v>
      </c>
      <c r="K1412" s="304" t="s">
        <v>35461</v>
      </c>
      <c r="L1412" s="188">
        <v>12</v>
      </c>
      <c r="M1412" s="179" t="s">
        <v>151</v>
      </c>
    </row>
    <row r="1413" spans="1:13" ht="38.25">
      <c r="A1413" s="313" t="str">
        <f t="shared" si="22"/>
        <v>AquiferOverburdenCode_mud</v>
      </c>
      <c r="B1413" s="330"/>
      <c r="C1413" s="334"/>
      <c r="D1413" s="188" t="s">
        <v>16814</v>
      </c>
      <c r="E1413" s="189" t="s">
        <v>16815</v>
      </c>
      <c r="F1413" s="162" t="s">
        <v>16816</v>
      </c>
      <c r="G1413" s="162" t="s">
        <v>16817</v>
      </c>
      <c r="H1413" s="219"/>
      <c r="I1413" s="169">
        <v>119027</v>
      </c>
      <c r="J1413" s="304" t="str">
        <f>CONCATENATE([2]Cover!$D$6,"fdd/view?i=",I1413)</f>
        <v>https://www.dgiwg.org/FAD/fdd/view?i=119027</v>
      </c>
      <c r="K1413" s="304" t="s">
        <v>35462</v>
      </c>
      <c r="L1413" s="188">
        <v>13</v>
      </c>
      <c r="M1413" s="179" t="s">
        <v>151</v>
      </c>
    </row>
    <row r="1414" spans="1:13" ht="25.5">
      <c r="A1414" s="313" t="str">
        <f t="shared" si="22"/>
        <v>AquiferOverburdenCode_sand</v>
      </c>
      <c r="B1414" s="330"/>
      <c r="C1414" s="334"/>
      <c r="D1414" s="188" t="s">
        <v>15137</v>
      </c>
      <c r="E1414" s="189" t="s">
        <v>15138</v>
      </c>
      <c r="F1414" s="162" t="s">
        <v>16818</v>
      </c>
      <c r="G1414" s="190"/>
      <c r="H1414" s="219"/>
      <c r="I1414" s="169">
        <v>119028</v>
      </c>
      <c r="J1414" s="304" t="str">
        <f>CONCATENATE([2]Cover!$D$6,"fdd/view?i=",I1414)</f>
        <v>https://www.dgiwg.org/FAD/fdd/view?i=119028</v>
      </c>
      <c r="K1414" s="304" t="s">
        <v>35463</v>
      </c>
      <c r="L1414" s="188">
        <v>14</v>
      </c>
      <c r="M1414" s="179" t="s">
        <v>151</v>
      </c>
    </row>
    <row r="1415" spans="1:13" ht="38.25">
      <c r="A1415" s="313" t="str">
        <f t="shared" si="22"/>
        <v>AquiferOverburdenCode_schist</v>
      </c>
      <c r="B1415" s="330"/>
      <c r="C1415" s="334"/>
      <c r="D1415" s="188" t="s">
        <v>16819</v>
      </c>
      <c r="E1415" s="189" t="s">
        <v>16820</v>
      </c>
      <c r="F1415" s="162" t="s">
        <v>16821</v>
      </c>
      <c r="G1415" s="190"/>
      <c r="H1415" s="219"/>
      <c r="I1415" s="169">
        <v>119029</v>
      </c>
      <c r="J1415" s="304" t="str">
        <f>CONCATENATE([2]Cover!$D$6,"fdd/view?i=",I1415)</f>
        <v>https://www.dgiwg.org/FAD/fdd/view?i=119029</v>
      </c>
      <c r="K1415" s="304" t="s">
        <v>35464</v>
      </c>
      <c r="L1415" s="188">
        <v>15</v>
      </c>
      <c r="M1415" s="179" t="s">
        <v>151</v>
      </c>
    </row>
    <row r="1416" spans="1:13" ht="51">
      <c r="A1416" s="313" t="str">
        <f t="shared" si="22"/>
        <v>AquiferOverburdenCode_semiConsolidatedVolcanicAsh</v>
      </c>
      <c r="B1416" s="330"/>
      <c r="C1416" s="334"/>
      <c r="D1416" s="188" t="s">
        <v>16822</v>
      </c>
      <c r="E1416" s="189" t="s">
        <v>16823</v>
      </c>
      <c r="F1416" s="162" t="s">
        <v>16824</v>
      </c>
      <c r="G1416" s="162" t="s">
        <v>16825</v>
      </c>
      <c r="H1416" s="219"/>
      <c r="I1416" s="169">
        <v>119031</v>
      </c>
      <c r="J1416" s="304" t="str">
        <f>CONCATENATE([2]Cover!$D$6,"fdd/view?i=",I1416)</f>
        <v>https://www.dgiwg.org/FAD/fdd/view?i=119031</v>
      </c>
      <c r="K1416" s="304" t="s">
        <v>35465</v>
      </c>
      <c r="L1416" s="188">
        <v>17</v>
      </c>
      <c r="M1416" s="179" t="s">
        <v>151</v>
      </c>
    </row>
    <row r="1417" spans="1:13" ht="38.25">
      <c r="A1417" s="313" t="str">
        <f t="shared" si="22"/>
        <v>AquiferOverburdenCode_unconsolidated</v>
      </c>
      <c r="B1417" s="330"/>
      <c r="C1417" s="334"/>
      <c r="D1417" s="188" t="s">
        <v>16826</v>
      </c>
      <c r="E1417" s="189" t="s">
        <v>16827</v>
      </c>
      <c r="F1417" s="162" t="s">
        <v>16828</v>
      </c>
      <c r="G1417" s="162" t="s">
        <v>16829</v>
      </c>
      <c r="H1417" s="219"/>
      <c r="I1417" s="169">
        <v>119030</v>
      </c>
      <c r="J1417" s="304" t="str">
        <f>CONCATENATE([2]Cover!$D$6,"fdd/view?i=",I1417)</f>
        <v>https://www.dgiwg.org/FAD/fdd/view?i=119030</v>
      </c>
      <c r="K1417" s="304" t="s">
        <v>35466</v>
      </c>
      <c r="L1417" s="188">
        <v>16</v>
      </c>
      <c r="M1417" s="179" t="s">
        <v>151</v>
      </c>
    </row>
    <row r="1418" spans="1:13" ht="25.5">
      <c r="A1418" s="313" t="str">
        <f t="shared" si="22"/>
        <v>AquiferOverburdenCode_volcanicRock</v>
      </c>
      <c r="B1418" s="331"/>
      <c r="C1418" s="335"/>
      <c r="D1418" s="181" t="s">
        <v>16830</v>
      </c>
      <c r="E1418" s="192" t="s">
        <v>16831</v>
      </c>
      <c r="F1418" s="193" t="s">
        <v>16832</v>
      </c>
      <c r="G1418" s="194"/>
      <c r="H1418" s="223" t="s">
        <v>16833</v>
      </c>
      <c r="I1418" s="169">
        <v>119032</v>
      </c>
      <c r="J1418" s="304" t="str">
        <f>CONCATENATE([2]Cover!$D$6,"fdd/view?i=",I1418)</f>
        <v>https://www.dgiwg.org/FAD/fdd/view?i=119032</v>
      </c>
      <c r="K1418" s="304" t="s">
        <v>35467</v>
      </c>
      <c r="L1418" s="181">
        <v>18</v>
      </c>
      <c r="M1418" s="179" t="s">
        <v>151</v>
      </c>
    </row>
    <row r="1419" spans="1:13" ht="25.5">
      <c r="A1419" s="313" t="str">
        <f t="shared" si="22"/>
        <v>ArrestSysCommandCode_argentinianAirForce</v>
      </c>
      <c r="B1419" s="332" t="str">
        <f>HYPERLINK("[#]Datatypes!A174:L174","ArrestSysCommandCode")</f>
        <v>ArrestSysCommandCode</v>
      </c>
      <c r="C1419" s="333" t="s">
        <v>11614</v>
      </c>
      <c r="D1419" s="202" t="s">
        <v>16834</v>
      </c>
      <c r="E1419" s="203" t="s">
        <v>16835</v>
      </c>
      <c r="F1419" s="204" t="s">
        <v>16836</v>
      </c>
      <c r="G1419" s="205"/>
      <c r="H1419" s="218"/>
      <c r="I1419" s="169">
        <v>203965</v>
      </c>
      <c r="J1419" s="304" t="str">
        <f>CONCATENATE([2]Cover!$D$6,"fdd/view?i=",I1419)</f>
        <v>https://www.dgiwg.org/FAD/fdd/view?i=203965</v>
      </c>
      <c r="K1419" s="304" t="s">
        <v>35468</v>
      </c>
      <c r="L1419" s="202">
        <v>1</v>
      </c>
      <c r="M1419" s="179" t="s">
        <v>1295</v>
      </c>
    </row>
    <row r="1420" spans="1:13" ht="25.5">
      <c r="A1420" s="313" t="str">
        <f t="shared" si="22"/>
        <v>ArrestSysCommandCode_australianDeptOfSupply</v>
      </c>
      <c r="B1420" s="330"/>
      <c r="C1420" s="334"/>
      <c r="D1420" s="188" t="s">
        <v>16837</v>
      </c>
      <c r="E1420" s="189" t="s">
        <v>16838</v>
      </c>
      <c r="F1420" s="162" t="s">
        <v>16836</v>
      </c>
      <c r="G1420" s="190"/>
      <c r="H1420" s="219"/>
      <c r="I1420" s="169">
        <v>203967</v>
      </c>
      <c r="J1420" s="304" t="str">
        <f>CONCATENATE([2]Cover!$D$6,"fdd/view?i=",I1420)</f>
        <v>https://www.dgiwg.org/FAD/fdd/view?i=203967</v>
      </c>
      <c r="K1420" s="304" t="s">
        <v>35469</v>
      </c>
      <c r="L1420" s="188">
        <v>3</v>
      </c>
      <c r="M1420" s="179" t="s">
        <v>1295</v>
      </c>
    </row>
    <row r="1421" spans="1:13" ht="25.5">
      <c r="A1421" s="313" t="str">
        <f t="shared" si="22"/>
        <v>ArrestSysCommandCode_austrianAirForce</v>
      </c>
      <c r="B1421" s="330"/>
      <c r="C1421" s="334"/>
      <c r="D1421" s="188" t="s">
        <v>16839</v>
      </c>
      <c r="E1421" s="189" t="s">
        <v>16840</v>
      </c>
      <c r="F1421" s="162" t="s">
        <v>16836</v>
      </c>
      <c r="G1421" s="190"/>
      <c r="H1421" s="219"/>
      <c r="I1421" s="169">
        <v>203966</v>
      </c>
      <c r="J1421" s="304" t="str">
        <f>CONCATENATE([2]Cover!$D$6,"fdd/view?i=",I1421)</f>
        <v>https://www.dgiwg.org/FAD/fdd/view?i=203966</v>
      </c>
      <c r="K1421" s="304" t="s">
        <v>35470</v>
      </c>
      <c r="L1421" s="188">
        <v>2</v>
      </c>
      <c r="M1421" s="179" t="s">
        <v>1295</v>
      </c>
    </row>
    <row r="1422" spans="1:13" ht="38.25">
      <c r="A1422" s="313" t="str">
        <f t="shared" si="22"/>
        <v>ArrestSysCommandCode_bangladeshDeptCivAviation</v>
      </c>
      <c r="B1422" s="330"/>
      <c r="C1422" s="334"/>
      <c r="D1422" s="188" t="s">
        <v>16841</v>
      </c>
      <c r="E1422" s="189" t="s">
        <v>16842</v>
      </c>
      <c r="F1422" s="162" t="s">
        <v>16836</v>
      </c>
      <c r="G1422" s="190"/>
      <c r="H1422" s="219"/>
      <c r="I1422" s="169">
        <v>203968</v>
      </c>
      <c r="J1422" s="304" t="str">
        <f>CONCATENATE([2]Cover!$D$6,"fdd/view?i=",I1422)</f>
        <v>https://www.dgiwg.org/FAD/fdd/view?i=203968</v>
      </c>
      <c r="K1422" s="304" t="s">
        <v>35471</v>
      </c>
      <c r="L1422" s="188">
        <v>4</v>
      </c>
      <c r="M1422" s="179" t="s">
        <v>1295</v>
      </c>
    </row>
    <row r="1423" spans="1:13" ht="25.5">
      <c r="A1423" s="313" t="str">
        <f t="shared" si="22"/>
        <v>ArrestSysCommandCode_belgiumAirForce</v>
      </c>
      <c r="B1423" s="330"/>
      <c r="C1423" s="334"/>
      <c r="D1423" s="188" t="s">
        <v>16843</v>
      </c>
      <c r="E1423" s="189" t="s">
        <v>16844</v>
      </c>
      <c r="F1423" s="162" t="s">
        <v>16836</v>
      </c>
      <c r="G1423" s="190"/>
      <c r="H1423" s="219"/>
      <c r="I1423" s="169">
        <v>203969</v>
      </c>
      <c r="J1423" s="304" t="str">
        <f>CONCATENATE([2]Cover!$D$6,"fdd/view?i=",I1423)</f>
        <v>https://www.dgiwg.org/FAD/fdd/view?i=203969</v>
      </c>
      <c r="K1423" s="304" t="s">
        <v>35472</v>
      </c>
      <c r="L1423" s="188">
        <v>5</v>
      </c>
      <c r="M1423" s="179" t="s">
        <v>1295</v>
      </c>
    </row>
    <row r="1424" spans="1:13" ht="25.5">
      <c r="A1424" s="313" t="str">
        <f t="shared" si="22"/>
        <v>ArrestSysCommandCode_brazilianAirForce</v>
      </c>
      <c r="B1424" s="330"/>
      <c r="C1424" s="334"/>
      <c r="D1424" s="188" t="s">
        <v>16845</v>
      </c>
      <c r="E1424" s="189" t="s">
        <v>16846</v>
      </c>
      <c r="F1424" s="162" t="s">
        <v>16836</v>
      </c>
      <c r="G1424" s="190"/>
      <c r="H1424" s="219"/>
      <c r="I1424" s="169">
        <v>203970</v>
      </c>
      <c r="J1424" s="304" t="str">
        <f>CONCATENATE([2]Cover!$D$6,"fdd/view?i=",I1424)</f>
        <v>https://www.dgiwg.org/FAD/fdd/view?i=203970</v>
      </c>
      <c r="K1424" s="304" t="s">
        <v>35473</v>
      </c>
      <c r="L1424" s="188">
        <v>6</v>
      </c>
      <c r="M1424" s="179" t="s">
        <v>1295</v>
      </c>
    </row>
    <row r="1425" spans="1:13" ht="25.5">
      <c r="A1425" s="313" t="str">
        <f t="shared" si="22"/>
        <v>ArrestSysCommandCode_canadianArmedForces</v>
      </c>
      <c r="B1425" s="330"/>
      <c r="C1425" s="334"/>
      <c r="D1425" s="188" t="s">
        <v>16847</v>
      </c>
      <c r="E1425" s="189" t="s">
        <v>16848</v>
      </c>
      <c r="F1425" s="162" t="s">
        <v>16836</v>
      </c>
      <c r="G1425" s="190"/>
      <c r="H1425" s="219"/>
      <c r="I1425" s="169">
        <v>203971</v>
      </c>
      <c r="J1425" s="304" t="str">
        <f>CONCATENATE([2]Cover!$D$6,"fdd/view?i=",I1425)</f>
        <v>https://www.dgiwg.org/FAD/fdd/view?i=203971</v>
      </c>
      <c r="K1425" s="304" t="s">
        <v>35474</v>
      </c>
      <c r="L1425" s="188">
        <v>7</v>
      </c>
      <c r="M1425" s="179" t="s">
        <v>1295</v>
      </c>
    </row>
    <row r="1426" spans="1:13" ht="25.5">
      <c r="A1426" s="313" t="str">
        <f t="shared" si="22"/>
        <v>ArrestSysCommandCode_chileanAirForce</v>
      </c>
      <c r="B1426" s="330"/>
      <c r="C1426" s="334"/>
      <c r="D1426" s="188" t="s">
        <v>16849</v>
      </c>
      <c r="E1426" s="189" t="s">
        <v>16850</v>
      </c>
      <c r="F1426" s="162" t="s">
        <v>16836</v>
      </c>
      <c r="G1426" s="190"/>
      <c r="H1426" s="219"/>
      <c r="I1426" s="169">
        <v>203972</v>
      </c>
      <c r="J1426" s="304" t="str">
        <f>CONCATENATE([2]Cover!$D$6,"fdd/view?i=",I1426)</f>
        <v>https://www.dgiwg.org/FAD/fdd/view?i=203972</v>
      </c>
      <c r="K1426" s="304" t="s">
        <v>35475</v>
      </c>
      <c r="L1426" s="188">
        <v>8</v>
      </c>
      <c r="M1426" s="179" t="s">
        <v>1295</v>
      </c>
    </row>
    <row r="1427" spans="1:13" ht="25.5">
      <c r="A1427" s="313" t="str">
        <f t="shared" si="22"/>
        <v>ArrestSysCommandCode_chineseAirForce</v>
      </c>
      <c r="B1427" s="330"/>
      <c r="C1427" s="334"/>
      <c r="D1427" s="188" t="s">
        <v>16851</v>
      </c>
      <c r="E1427" s="189" t="s">
        <v>16852</v>
      </c>
      <c r="F1427" s="162" t="s">
        <v>16836</v>
      </c>
      <c r="G1427" s="190"/>
      <c r="H1427" s="219"/>
      <c r="I1427" s="169">
        <v>203973</v>
      </c>
      <c r="J1427" s="304" t="str">
        <f>CONCATENATE([2]Cover!$D$6,"fdd/view?i=",I1427)</f>
        <v>https://www.dgiwg.org/FAD/fdd/view?i=203973</v>
      </c>
      <c r="K1427" s="304" t="s">
        <v>35476</v>
      </c>
      <c r="L1427" s="188">
        <v>9</v>
      </c>
      <c r="M1427" s="179" t="s">
        <v>1295</v>
      </c>
    </row>
    <row r="1428" spans="1:13">
      <c r="A1428" s="313" t="str">
        <f t="shared" si="22"/>
        <v>ArrestSysCommandCode_civilian</v>
      </c>
      <c r="B1428" s="330"/>
      <c r="C1428" s="334"/>
      <c r="D1428" s="188" t="s">
        <v>16853</v>
      </c>
      <c r="E1428" s="189" t="s">
        <v>16854</v>
      </c>
      <c r="F1428" s="162" t="s">
        <v>16836</v>
      </c>
      <c r="G1428" s="190"/>
      <c r="H1428" s="219"/>
      <c r="I1428" s="169">
        <v>203974</v>
      </c>
      <c r="J1428" s="304" t="str">
        <f>CONCATENATE([2]Cover!$D$6,"fdd/view?i=",I1428)</f>
        <v>https://www.dgiwg.org/FAD/fdd/view?i=203974</v>
      </c>
      <c r="K1428" s="304" t="s">
        <v>35477</v>
      </c>
      <c r="L1428" s="188">
        <v>10</v>
      </c>
      <c r="M1428" s="179" t="s">
        <v>1295</v>
      </c>
    </row>
    <row r="1429" spans="1:13" ht="25.5">
      <c r="A1429" s="313" t="str">
        <f t="shared" si="22"/>
        <v>ArrestSysCommandCode_colombianAirForce</v>
      </c>
      <c r="B1429" s="330"/>
      <c r="C1429" s="334"/>
      <c r="D1429" s="188" t="s">
        <v>16855</v>
      </c>
      <c r="E1429" s="189" t="s">
        <v>16856</v>
      </c>
      <c r="F1429" s="162" t="s">
        <v>16836</v>
      </c>
      <c r="G1429" s="190"/>
      <c r="H1429" s="219"/>
      <c r="I1429" s="169">
        <v>203975</v>
      </c>
      <c r="J1429" s="304" t="str">
        <f>CONCATENATE([2]Cover!$D$6,"fdd/view?i=",I1429)</f>
        <v>https://www.dgiwg.org/FAD/fdd/view?i=203975</v>
      </c>
      <c r="K1429" s="304" t="s">
        <v>35478</v>
      </c>
      <c r="L1429" s="188">
        <v>11</v>
      </c>
      <c r="M1429" s="179" t="s">
        <v>1295</v>
      </c>
    </row>
    <row r="1430" spans="1:13" ht="25.5">
      <c r="A1430" s="313" t="str">
        <f t="shared" si="22"/>
        <v>ArrestSysCommandCode_finnishDefenseForces</v>
      </c>
      <c r="B1430" s="330"/>
      <c r="C1430" s="334"/>
      <c r="D1430" s="188" t="s">
        <v>16857</v>
      </c>
      <c r="E1430" s="189" t="s">
        <v>16858</v>
      </c>
      <c r="F1430" s="162" t="s">
        <v>16836</v>
      </c>
      <c r="G1430" s="190"/>
      <c r="H1430" s="219"/>
      <c r="I1430" s="169">
        <v>203976</v>
      </c>
      <c r="J1430" s="304" t="str">
        <f>CONCATENATE([2]Cover!$D$6,"fdd/view?i=",I1430)</f>
        <v>https://www.dgiwg.org/FAD/fdd/view?i=203976</v>
      </c>
      <c r="K1430" s="304" t="s">
        <v>35479</v>
      </c>
      <c r="L1430" s="188">
        <v>12</v>
      </c>
      <c r="M1430" s="179" t="s">
        <v>1295</v>
      </c>
    </row>
    <row r="1431" spans="1:13" ht="25.5">
      <c r="A1431" s="313" t="str">
        <f t="shared" si="22"/>
        <v>ArrestSysCommandCode_frenchAirForce</v>
      </c>
      <c r="B1431" s="330"/>
      <c r="C1431" s="334"/>
      <c r="D1431" s="188" t="s">
        <v>16859</v>
      </c>
      <c r="E1431" s="189" t="s">
        <v>16860</v>
      </c>
      <c r="F1431" s="162" t="s">
        <v>16836</v>
      </c>
      <c r="G1431" s="190"/>
      <c r="H1431" s="219"/>
      <c r="I1431" s="169">
        <v>203977</v>
      </c>
      <c r="J1431" s="304" t="str">
        <f>CONCATENATE([2]Cover!$D$6,"fdd/view?i=",I1431)</f>
        <v>https://www.dgiwg.org/FAD/fdd/view?i=203977</v>
      </c>
      <c r="K1431" s="304" t="s">
        <v>35480</v>
      </c>
      <c r="L1431" s="188">
        <v>13</v>
      </c>
      <c r="M1431" s="179" t="s">
        <v>1295</v>
      </c>
    </row>
    <row r="1432" spans="1:13" ht="25.5">
      <c r="A1432" s="313" t="str">
        <f t="shared" si="22"/>
        <v>ArrestSysCommandCode_frenchNavy</v>
      </c>
      <c r="B1432" s="330"/>
      <c r="C1432" s="334"/>
      <c r="D1432" s="188" t="s">
        <v>16861</v>
      </c>
      <c r="E1432" s="189" t="s">
        <v>16862</v>
      </c>
      <c r="F1432" s="162" t="s">
        <v>16836</v>
      </c>
      <c r="G1432" s="190"/>
      <c r="H1432" s="219"/>
      <c r="I1432" s="169">
        <v>203978</v>
      </c>
      <c r="J1432" s="304" t="str">
        <f>CONCATENATE([2]Cover!$D$6,"fdd/view?i=",I1432)</f>
        <v>https://www.dgiwg.org/FAD/fdd/view?i=203978</v>
      </c>
      <c r="K1432" s="304" t="s">
        <v>35481</v>
      </c>
      <c r="L1432" s="188">
        <v>14</v>
      </c>
      <c r="M1432" s="179" t="s">
        <v>1295</v>
      </c>
    </row>
    <row r="1433" spans="1:13" ht="25.5">
      <c r="A1433" s="313" t="str">
        <f t="shared" si="22"/>
        <v>ArrestSysCommandCode_germanAirForce</v>
      </c>
      <c r="B1433" s="330"/>
      <c r="C1433" s="334"/>
      <c r="D1433" s="188" t="s">
        <v>16863</v>
      </c>
      <c r="E1433" s="189" t="s">
        <v>16864</v>
      </c>
      <c r="F1433" s="162" t="s">
        <v>16836</v>
      </c>
      <c r="G1433" s="190"/>
      <c r="H1433" s="219"/>
      <c r="I1433" s="169">
        <v>203979</v>
      </c>
      <c r="J1433" s="304" t="str">
        <f>CONCATENATE([2]Cover!$D$6,"fdd/view?i=",I1433)</f>
        <v>https://www.dgiwg.org/FAD/fdd/view?i=203979</v>
      </c>
      <c r="K1433" s="304" t="s">
        <v>35482</v>
      </c>
      <c r="L1433" s="188">
        <v>15</v>
      </c>
      <c r="M1433" s="179" t="s">
        <v>1295</v>
      </c>
    </row>
    <row r="1434" spans="1:13" ht="25.5">
      <c r="A1434" s="313" t="str">
        <f t="shared" si="22"/>
        <v>ArrestSysCommandCode_germanNavy</v>
      </c>
      <c r="B1434" s="330"/>
      <c r="C1434" s="334"/>
      <c r="D1434" s="188" t="s">
        <v>16865</v>
      </c>
      <c r="E1434" s="189" t="s">
        <v>16866</v>
      </c>
      <c r="F1434" s="162" t="s">
        <v>16836</v>
      </c>
      <c r="G1434" s="190"/>
      <c r="H1434" s="219"/>
      <c r="I1434" s="169">
        <v>203980</v>
      </c>
      <c r="J1434" s="304" t="str">
        <f>CONCATENATE([2]Cover!$D$6,"fdd/view?i=",I1434)</f>
        <v>https://www.dgiwg.org/FAD/fdd/view?i=203980</v>
      </c>
      <c r="K1434" s="304" t="s">
        <v>35483</v>
      </c>
      <c r="L1434" s="188">
        <v>16</v>
      </c>
      <c r="M1434" s="179" t="s">
        <v>1295</v>
      </c>
    </row>
    <row r="1435" spans="1:13" ht="25.5">
      <c r="A1435" s="313" t="str">
        <f t="shared" si="22"/>
        <v>ArrestSysCommandCode_hellenicAirForceCommand</v>
      </c>
      <c r="B1435" s="330"/>
      <c r="C1435" s="334"/>
      <c r="D1435" s="188" t="s">
        <v>16867</v>
      </c>
      <c r="E1435" s="189" t="s">
        <v>16868</v>
      </c>
      <c r="F1435" s="162" t="s">
        <v>16836</v>
      </c>
      <c r="G1435" s="190"/>
      <c r="H1435" s="219"/>
      <c r="I1435" s="169">
        <v>203981</v>
      </c>
      <c r="J1435" s="304" t="str">
        <f>CONCATENATE([2]Cover!$D$6,"fdd/view?i=",I1435)</f>
        <v>https://www.dgiwg.org/FAD/fdd/view?i=203981</v>
      </c>
      <c r="K1435" s="304" t="s">
        <v>35484</v>
      </c>
      <c r="L1435" s="188">
        <v>17</v>
      </c>
      <c r="M1435" s="179" t="s">
        <v>1295</v>
      </c>
    </row>
    <row r="1436" spans="1:13" ht="25.5">
      <c r="A1436" s="313" t="str">
        <f t="shared" si="22"/>
        <v>ArrestSysCommandCode_indianAirForce</v>
      </c>
      <c r="B1436" s="330"/>
      <c r="C1436" s="334"/>
      <c r="D1436" s="188" t="s">
        <v>16869</v>
      </c>
      <c r="E1436" s="189" t="s">
        <v>16870</v>
      </c>
      <c r="F1436" s="162" t="s">
        <v>16836</v>
      </c>
      <c r="G1436" s="190"/>
      <c r="H1436" s="219"/>
      <c r="I1436" s="169">
        <v>203982</v>
      </c>
      <c r="J1436" s="304" t="str">
        <f>CONCATENATE([2]Cover!$D$6,"fdd/view?i=",I1436)</f>
        <v>https://www.dgiwg.org/FAD/fdd/view?i=203982</v>
      </c>
      <c r="K1436" s="304" t="s">
        <v>35485</v>
      </c>
      <c r="L1436" s="188">
        <v>18</v>
      </c>
      <c r="M1436" s="179" t="s">
        <v>1295</v>
      </c>
    </row>
    <row r="1437" spans="1:13" ht="25.5">
      <c r="A1437" s="313" t="str">
        <f t="shared" si="22"/>
        <v>ArrestSysCommandCode_indonesianAirForce</v>
      </c>
      <c r="B1437" s="330"/>
      <c r="C1437" s="334"/>
      <c r="D1437" s="188" t="s">
        <v>16871</v>
      </c>
      <c r="E1437" s="189" t="s">
        <v>16872</v>
      </c>
      <c r="F1437" s="162" t="s">
        <v>16836</v>
      </c>
      <c r="G1437" s="190"/>
      <c r="H1437" s="219"/>
      <c r="I1437" s="169">
        <v>203983</v>
      </c>
      <c r="J1437" s="304" t="str">
        <f>CONCATENATE([2]Cover!$D$6,"fdd/view?i=",I1437)</f>
        <v>https://www.dgiwg.org/FAD/fdd/view?i=203983</v>
      </c>
      <c r="K1437" s="304" t="s">
        <v>35486</v>
      </c>
      <c r="L1437" s="188">
        <v>19</v>
      </c>
      <c r="M1437" s="179" t="s">
        <v>1295</v>
      </c>
    </row>
    <row r="1438" spans="1:13" ht="25.5">
      <c r="A1438" s="313" t="str">
        <f t="shared" si="22"/>
        <v>ArrestSysCommandCode_iranianAirForce</v>
      </c>
      <c r="B1438" s="330"/>
      <c r="C1438" s="334"/>
      <c r="D1438" s="188" t="s">
        <v>16873</v>
      </c>
      <c r="E1438" s="189" t="s">
        <v>16874</v>
      </c>
      <c r="F1438" s="162" t="s">
        <v>16836</v>
      </c>
      <c r="G1438" s="190"/>
      <c r="H1438" s="219"/>
      <c r="I1438" s="169">
        <v>203984</v>
      </c>
      <c r="J1438" s="304" t="str">
        <f>CONCATENATE([2]Cover!$D$6,"fdd/view?i=",I1438)</f>
        <v>https://www.dgiwg.org/FAD/fdd/view?i=203984</v>
      </c>
      <c r="K1438" s="304" t="s">
        <v>35487</v>
      </c>
      <c r="L1438" s="188">
        <v>20</v>
      </c>
      <c r="M1438" s="179" t="s">
        <v>1295</v>
      </c>
    </row>
    <row r="1439" spans="1:13" ht="25.5">
      <c r="A1439" s="313" t="str">
        <f t="shared" si="22"/>
        <v>ArrestSysCommandCode_israeliAirForce</v>
      </c>
      <c r="B1439" s="330"/>
      <c r="C1439" s="334"/>
      <c r="D1439" s="188" t="s">
        <v>16875</v>
      </c>
      <c r="E1439" s="189" t="s">
        <v>16876</v>
      </c>
      <c r="F1439" s="162" t="s">
        <v>16836</v>
      </c>
      <c r="G1439" s="190"/>
      <c r="H1439" s="219"/>
      <c r="I1439" s="169">
        <v>203985</v>
      </c>
      <c r="J1439" s="304" t="str">
        <f>CONCATENATE([2]Cover!$D$6,"fdd/view?i=",I1439)</f>
        <v>https://www.dgiwg.org/FAD/fdd/view?i=203985</v>
      </c>
      <c r="K1439" s="304" t="s">
        <v>35488</v>
      </c>
      <c r="L1439" s="188">
        <v>21</v>
      </c>
      <c r="M1439" s="179" t="s">
        <v>1295</v>
      </c>
    </row>
    <row r="1440" spans="1:13" ht="25.5">
      <c r="A1440" s="313" t="str">
        <f t="shared" si="22"/>
        <v>ArrestSysCommandCode_italianAirForce</v>
      </c>
      <c r="B1440" s="330"/>
      <c r="C1440" s="334"/>
      <c r="D1440" s="188" t="s">
        <v>16877</v>
      </c>
      <c r="E1440" s="189" t="s">
        <v>16878</v>
      </c>
      <c r="F1440" s="162" t="s">
        <v>16836</v>
      </c>
      <c r="G1440" s="190"/>
      <c r="H1440" s="219"/>
      <c r="I1440" s="169">
        <v>203986</v>
      </c>
      <c r="J1440" s="304" t="str">
        <f>CONCATENATE([2]Cover!$D$6,"fdd/view?i=",I1440)</f>
        <v>https://www.dgiwg.org/FAD/fdd/view?i=203986</v>
      </c>
      <c r="K1440" s="304" t="s">
        <v>35489</v>
      </c>
      <c r="L1440" s="188">
        <v>22</v>
      </c>
      <c r="M1440" s="179" t="s">
        <v>1295</v>
      </c>
    </row>
    <row r="1441" spans="1:13" ht="25.5">
      <c r="A1441" s="313" t="str">
        <f t="shared" si="22"/>
        <v>ArrestSysCommandCode_japanAirSelfDefenseForce</v>
      </c>
      <c r="B1441" s="330"/>
      <c r="C1441" s="334"/>
      <c r="D1441" s="188" t="s">
        <v>16879</v>
      </c>
      <c r="E1441" s="189" t="s">
        <v>16880</v>
      </c>
      <c r="F1441" s="162" t="s">
        <v>16836</v>
      </c>
      <c r="G1441" s="190"/>
      <c r="H1441" s="219"/>
      <c r="I1441" s="169">
        <v>203987</v>
      </c>
      <c r="J1441" s="304" t="str">
        <f>CONCATENATE([2]Cover!$D$6,"fdd/view?i=",I1441)</f>
        <v>https://www.dgiwg.org/FAD/fdd/view?i=203987</v>
      </c>
      <c r="K1441" s="304" t="s">
        <v>35490</v>
      </c>
      <c r="L1441" s="188">
        <v>23</v>
      </c>
      <c r="M1441" s="179" t="s">
        <v>1295</v>
      </c>
    </row>
    <row r="1442" spans="1:13" ht="25.5">
      <c r="A1442" s="313" t="str">
        <f t="shared" si="22"/>
        <v>ArrestSysCommandCode_japanCivilAviationBureau</v>
      </c>
      <c r="B1442" s="330"/>
      <c r="C1442" s="334"/>
      <c r="D1442" s="188" t="s">
        <v>16881</v>
      </c>
      <c r="E1442" s="189" t="s">
        <v>16882</v>
      </c>
      <c r="F1442" s="162" t="s">
        <v>16836</v>
      </c>
      <c r="G1442" s="190"/>
      <c r="H1442" s="219"/>
      <c r="I1442" s="169">
        <v>203988</v>
      </c>
      <c r="J1442" s="304" t="str">
        <f>CONCATENATE([2]Cover!$D$6,"fdd/view?i=",I1442)</f>
        <v>https://www.dgiwg.org/FAD/fdd/view?i=203988</v>
      </c>
      <c r="K1442" s="304" t="s">
        <v>35491</v>
      </c>
      <c r="L1442" s="188">
        <v>24</v>
      </c>
      <c r="M1442" s="179" t="s">
        <v>1295</v>
      </c>
    </row>
    <row r="1443" spans="1:13" ht="25.5">
      <c r="A1443" s="313" t="str">
        <f t="shared" si="22"/>
        <v>ArrestSysCommandCode_japanGndSelfDefenseForce</v>
      </c>
      <c r="B1443" s="330"/>
      <c r="C1443" s="334"/>
      <c r="D1443" s="188" t="s">
        <v>16883</v>
      </c>
      <c r="E1443" s="189" t="s">
        <v>16884</v>
      </c>
      <c r="F1443" s="162" t="s">
        <v>16836</v>
      </c>
      <c r="G1443" s="190"/>
      <c r="H1443" s="219"/>
      <c r="I1443" s="169">
        <v>203989</v>
      </c>
      <c r="J1443" s="304" t="str">
        <f>CONCATENATE([2]Cover!$D$6,"fdd/view?i=",I1443)</f>
        <v>https://www.dgiwg.org/FAD/fdd/view?i=203989</v>
      </c>
      <c r="K1443" s="304" t="s">
        <v>35492</v>
      </c>
      <c r="L1443" s="188">
        <v>25</v>
      </c>
      <c r="M1443" s="179" t="s">
        <v>1295</v>
      </c>
    </row>
    <row r="1444" spans="1:13" ht="25.5">
      <c r="A1444" s="313" t="str">
        <f t="shared" si="22"/>
        <v>ArrestSysCommandCode_japanMarSelfDefenseForce</v>
      </c>
      <c r="B1444" s="330"/>
      <c r="C1444" s="334"/>
      <c r="D1444" s="188" t="s">
        <v>16885</v>
      </c>
      <c r="E1444" s="189" t="s">
        <v>16886</v>
      </c>
      <c r="F1444" s="162" t="s">
        <v>16836</v>
      </c>
      <c r="G1444" s="190"/>
      <c r="H1444" s="219"/>
      <c r="I1444" s="169">
        <v>203990</v>
      </c>
      <c r="J1444" s="304" t="str">
        <f>CONCATENATE([2]Cover!$D$6,"fdd/view?i=",I1444)</f>
        <v>https://www.dgiwg.org/FAD/fdd/view?i=203990</v>
      </c>
      <c r="K1444" s="304" t="s">
        <v>35493</v>
      </c>
      <c r="L1444" s="188">
        <v>26</v>
      </c>
      <c r="M1444" s="179" t="s">
        <v>1295</v>
      </c>
    </row>
    <row r="1445" spans="1:13" ht="25.5">
      <c r="A1445" s="313" t="str">
        <f t="shared" si="22"/>
        <v>ArrestSysCommandCode_libyanAirForce</v>
      </c>
      <c r="B1445" s="330"/>
      <c r="C1445" s="334"/>
      <c r="D1445" s="188" t="s">
        <v>16887</v>
      </c>
      <c r="E1445" s="189" t="s">
        <v>16888</v>
      </c>
      <c r="F1445" s="162" t="s">
        <v>16836</v>
      </c>
      <c r="G1445" s="190"/>
      <c r="H1445" s="219"/>
      <c r="I1445" s="169">
        <v>203991</v>
      </c>
      <c r="J1445" s="304" t="str">
        <f>CONCATENATE([2]Cover!$D$6,"fdd/view?i=",I1445)</f>
        <v>https://www.dgiwg.org/FAD/fdd/view?i=203991</v>
      </c>
      <c r="K1445" s="304" t="s">
        <v>35494</v>
      </c>
      <c r="L1445" s="188">
        <v>27</v>
      </c>
      <c r="M1445" s="179" t="s">
        <v>1295</v>
      </c>
    </row>
    <row r="1446" spans="1:13" ht="25.5">
      <c r="A1446" s="313" t="str">
        <f t="shared" si="22"/>
        <v>ArrestSysCommandCode_mexicanAirForce</v>
      </c>
      <c r="B1446" s="330"/>
      <c r="C1446" s="334"/>
      <c r="D1446" s="188" t="s">
        <v>16889</v>
      </c>
      <c r="E1446" s="189" t="s">
        <v>16890</v>
      </c>
      <c r="F1446" s="162" t="s">
        <v>16836</v>
      </c>
      <c r="G1446" s="190"/>
      <c r="H1446" s="219"/>
      <c r="I1446" s="169">
        <v>203992</v>
      </c>
      <c r="J1446" s="304" t="str">
        <f>CONCATENATE([2]Cover!$D$6,"fdd/view?i=",I1446)</f>
        <v>https://www.dgiwg.org/FAD/fdd/view?i=203992</v>
      </c>
      <c r="K1446" s="304" t="s">
        <v>35495</v>
      </c>
      <c r="L1446" s="188">
        <v>28</v>
      </c>
      <c r="M1446" s="179" t="s">
        <v>1295</v>
      </c>
    </row>
    <row r="1447" spans="1:13" ht="25.5">
      <c r="A1447" s="313" t="str">
        <f t="shared" si="22"/>
        <v>ArrestSysCommandCode_omanAirForce</v>
      </c>
      <c r="B1447" s="330"/>
      <c r="C1447" s="334"/>
      <c r="D1447" s="188" t="s">
        <v>16891</v>
      </c>
      <c r="E1447" s="189" t="s">
        <v>16892</v>
      </c>
      <c r="F1447" s="162" t="s">
        <v>16836</v>
      </c>
      <c r="G1447" s="190"/>
      <c r="H1447" s="219"/>
      <c r="I1447" s="169">
        <v>203993</v>
      </c>
      <c r="J1447" s="304" t="str">
        <f>CONCATENATE([2]Cover!$D$6,"fdd/view?i=",I1447)</f>
        <v>https://www.dgiwg.org/FAD/fdd/view?i=203993</v>
      </c>
      <c r="K1447" s="304" t="s">
        <v>35496</v>
      </c>
      <c r="L1447" s="188">
        <v>29</v>
      </c>
      <c r="M1447" s="179" t="s">
        <v>1295</v>
      </c>
    </row>
    <row r="1448" spans="1:13" ht="25.5">
      <c r="A1448" s="313" t="str">
        <f t="shared" si="22"/>
        <v>ArrestSysCommandCode_pacificAirForces</v>
      </c>
      <c r="B1448" s="330"/>
      <c r="C1448" s="334"/>
      <c r="D1448" s="188" t="s">
        <v>16893</v>
      </c>
      <c r="E1448" s="189" t="s">
        <v>16894</v>
      </c>
      <c r="F1448" s="162" t="s">
        <v>16836</v>
      </c>
      <c r="G1448" s="190"/>
      <c r="H1448" s="219"/>
      <c r="I1448" s="169">
        <v>203994</v>
      </c>
      <c r="J1448" s="304" t="str">
        <f>CONCATENATE([2]Cover!$D$6,"fdd/view?i=",I1448)</f>
        <v>https://www.dgiwg.org/FAD/fdd/view?i=203994</v>
      </c>
      <c r="K1448" s="304" t="s">
        <v>35497</v>
      </c>
      <c r="L1448" s="188">
        <v>30</v>
      </c>
      <c r="M1448" s="179" t="s">
        <v>1295</v>
      </c>
    </row>
    <row r="1449" spans="1:13" ht="25.5">
      <c r="A1449" s="313" t="str">
        <f t="shared" si="22"/>
        <v>ArrestSysCommandCode_pakistaniAirForce</v>
      </c>
      <c r="B1449" s="330"/>
      <c r="C1449" s="334"/>
      <c r="D1449" s="188" t="s">
        <v>16895</v>
      </c>
      <c r="E1449" s="189" t="s">
        <v>16896</v>
      </c>
      <c r="F1449" s="162" t="s">
        <v>16836</v>
      </c>
      <c r="G1449" s="190"/>
      <c r="H1449" s="219"/>
      <c r="I1449" s="169">
        <v>203995</v>
      </c>
      <c r="J1449" s="304" t="str">
        <f>CONCATENATE([2]Cover!$D$6,"fdd/view?i=",I1449)</f>
        <v>https://www.dgiwg.org/FAD/fdd/view?i=203995</v>
      </c>
      <c r="K1449" s="304" t="s">
        <v>35498</v>
      </c>
      <c r="L1449" s="188">
        <v>31</v>
      </c>
      <c r="M1449" s="179" t="s">
        <v>1295</v>
      </c>
    </row>
    <row r="1450" spans="1:13" ht="25.5">
      <c r="A1450" s="313" t="str">
        <f t="shared" si="22"/>
        <v>ArrestSysCommandCode_peruvianAirForce</v>
      </c>
      <c r="B1450" s="330"/>
      <c r="C1450" s="334"/>
      <c r="D1450" s="188" t="s">
        <v>16897</v>
      </c>
      <c r="E1450" s="189" t="s">
        <v>16898</v>
      </c>
      <c r="F1450" s="162" t="s">
        <v>16836</v>
      </c>
      <c r="G1450" s="190"/>
      <c r="H1450" s="219"/>
      <c r="I1450" s="169">
        <v>203996</v>
      </c>
      <c r="J1450" s="304" t="str">
        <f>CONCATENATE([2]Cover!$D$6,"fdd/view?i=",I1450)</f>
        <v>https://www.dgiwg.org/FAD/fdd/view?i=203996</v>
      </c>
      <c r="K1450" s="304" t="s">
        <v>35499</v>
      </c>
      <c r="L1450" s="188">
        <v>32</v>
      </c>
      <c r="M1450" s="179" t="s">
        <v>1295</v>
      </c>
    </row>
    <row r="1451" spans="1:13" ht="25.5">
      <c r="A1451" s="313" t="str">
        <f t="shared" si="22"/>
        <v>ArrestSysCommandCode_philippineAirForce</v>
      </c>
      <c r="B1451" s="330"/>
      <c r="C1451" s="334"/>
      <c r="D1451" s="188" t="s">
        <v>16899</v>
      </c>
      <c r="E1451" s="189" t="s">
        <v>16900</v>
      </c>
      <c r="F1451" s="162" t="s">
        <v>16836</v>
      </c>
      <c r="G1451" s="190"/>
      <c r="H1451" s="219"/>
      <c r="I1451" s="169">
        <v>203997</v>
      </c>
      <c r="J1451" s="304" t="str">
        <f>CONCATENATE([2]Cover!$D$6,"fdd/view?i=",I1451)</f>
        <v>https://www.dgiwg.org/FAD/fdd/view?i=203997</v>
      </c>
      <c r="K1451" s="304" t="s">
        <v>35500</v>
      </c>
      <c r="L1451" s="188">
        <v>33</v>
      </c>
      <c r="M1451" s="179" t="s">
        <v>1295</v>
      </c>
    </row>
    <row r="1452" spans="1:13" ht="25.5">
      <c r="A1452" s="313" t="str">
        <f t="shared" si="22"/>
        <v>ArrestSysCommandCode_portugueseAirForce</v>
      </c>
      <c r="B1452" s="330"/>
      <c r="C1452" s="334"/>
      <c r="D1452" s="188" t="s">
        <v>16901</v>
      </c>
      <c r="E1452" s="189" t="s">
        <v>16902</v>
      </c>
      <c r="F1452" s="162" t="s">
        <v>16836</v>
      </c>
      <c r="G1452" s="190"/>
      <c r="H1452" s="219"/>
      <c r="I1452" s="169">
        <v>203998</v>
      </c>
      <c r="J1452" s="304" t="str">
        <f>CONCATENATE([2]Cover!$D$6,"fdd/view?i=",I1452)</f>
        <v>https://www.dgiwg.org/FAD/fdd/view?i=203998</v>
      </c>
      <c r="K1452" s="304" t="s">
        <v>35501</v>
      </c>
      <c r="L1452" s="188">
        <v>34</v>
      </c>
      <c r="M1452" s="179" t="s">
        <v>1295</v>
      </c>
    </row>
    <row r="1453" spans="1:13" ht="25.5">
      <c r="A1453" s="313" t="str">
        <f t="shared" si="22"/>
        <v>ArrestSysCommandCode_republicOfKoreaAirForce</v>
      </c>
      <c r="B1453" s="330"/>
      <c r="C1453" s="334"/>
      <c r="D1453" s="188" t="s">
        <v>16903</v>
      </c>
      <c r="E1453" s="189" t="s">
        <v>16904</v>
      </c>
      <c r="F1453" s="162" t="s">
        <v>16836</v>
      </c>
      <c r="G1453" s="190"/>
      <c r="H1453" s="219"/>
      <c r="I1453" s="169">
        <v>203999</v>
      </c>
      <c r="J1453" s="304" t="str">
        <f>CONCATENATE([2]Cover!$D$6,"fdd/view?i=",I1453)</f>
        <v>https://www.dgiwg.org/FAD/fdd/view?i=203999</v>
      </c>
      <c r="K1453" s="304" t="s">
        <v>35502</v>
      </c>
      <c r="L1453" s="188">
        <v>35</v>
      </c>
      <c r="M1453" s="179" t="s">
        <v>1295</v>
      </c>
    </row>
    <row r="1454" spans="1:13" ht="25.5">
      <c r="A1454" s="313" t="str">
        <f t="shared" si="22"/>
        <v>ArrestSysCommandCode_royalAirForce</v>
      </c>
      <c r="B1454" s="330"/>
      <c r="C1454" s="334"/>
      <c r="D1454" s="188" t="s">
        <v>16905</v>
      </c>
      <c r="E1454" s="189" t="s">
        <v>16906</v>
      </c>
      <c r="F1454" s="162" t="s">
        <v>16836</v>
      </c>
      <c r="G1454" s="190"/>
      <c r="H1454" s="219"/>
      <c r="I1454" s="169">
        <v>204000</v>
      </c>
      <c r="J1454" s="304" t="str">
        <f>CONCATENATE([2]Cover!$D$6,"fdd/view?i=",I1454)</f>
        <v>https://www.dgiwg.org/FAD/fdd/view?i=204000</v>
      </c>
      <c r="K1454" s="304" t="s">
        <v>35503</v>
      </c>
      <c r="L1454" s="188">
        <v>36</v>
      </c>
      <c r="M1454" s="179" t="s">
        <v>1295</v>
      </c>
    </row>
    <row r="1455" spans="1:13" ht="25.5">
      <c r="A1455" s="313" t="str">
        <f t="shared" si="22"/>
        <v>ArrestSysCommandCode_royalAustralianAirForce</v>
      </c>
      <c r="B1455" s="330"/>
      <c r="C1455" s="334"/>
      <c r="D1455" s="188" t="s">
        <v>16907</v>
      </c>
      <c r="E1455" s="189" t="s">
        <v>16908</v>
      </c>
      <c r="F1455" s="162" t="s">
        <v>16836</v>
      </c>
      <c r="G1455" s="190"/>
      <c r="H1455" s="219"/>
      <c r="I1455" s="169">
        <v>204001</v>
      </c>
      <c r="J1455" s="304" t="str">
        <f>CONCATENATE([2]Cover!$D$6,"fdd/view?i=",I1455)</f>
        <v>https://www.dgiwg.org/FAD/fdd/view?i=204001</v>
      </c>
      <c r="K1455" s="304" t="s">
        <v>35504</v>
      </c>
      <c r="L1455" s="188">
        <v>37</v>
      </c>
      <c r="M1455" s="179" t="s">
        <v>1295</v>
      </c>
    </row>
    <row r="1456" spans="1:13" ht="25.5">
      <c r="A1456" s="313" t="str">
        <f t="shared" si="22"/>
        <v>ArrestSysCommandCode_royalAustralianNavy</v>
      </c>
      <c r="B1456" s="330"/>
      <c r="C1456" s="334"/>
      <c r="D1456" s="188" t="s">
        <v>16909</v>
      </c>
      <c r="E1456" s="189" t="s">
        <v>16910</v>
      </c>
      <c r="F1456" s="162" t="s">
        <v>16836</v>
      </c>
      <c r="G1456" s="190"/>
      <c r="H1456" s="219"/>
      <c r="I1456" s="169">
        <v>204002</v>
      </c>
      <c r="J1456" s="304" t="str">
        <f>CONCATENATE([2]Cover!$D$6,"fdd/view?i=",I1456)</f>
        <v>https://www.dgiwg.org/FAD/fdd/view?i=204002</v>
      </c>
      <c r="K1456" s="304" t="s">
        <v>35505</v>
      </c>
      <c r="L1456" s="188">
        <v>38</v>
      </c>
      <c r="M1456" s="179" t="s">
        <v>1295</v>
      </c>
    </row>
    <row r="1457" spans="1:13" ht="25.5">
      <c r="A1457" s="313" t="str">
        <f t="shared" si="22"/>
        <v>ArrestSysCommandCode_royalDanishAirForce</v>
      </c>
      <c r="B1457" s="330"/>
      <c r="C1457" s="334"/>
      <c r="D1457" s="188" t="s">
        <v>16911</v>
      </c>
      <c r="E1457" s="189" t="s">
        <v>16912</v>
      </c>
      <c r="F1457" s="162" t="s">
        <v>16836</v>
      </c>
      <c r="G1457" s="190"/>
      <c r="H1457" s="219"/>
      <c r="I1457" s="169">
        <v>204003</v>
      </c>
      <c r="J1457" s="304" t="str">
        <f>CONCATENATE([2]Cover!$D$6,"fdd/view?i=",I1457)</f>
        <v>https://www.dgiwg.org/FAD/fdd/view?i=204003</v>
      </c>
      <c r="K1457" s="304" t="s">
        <v>35506</v>
      </c>
      <c r="L1457" s="188">
        <v>39</v>
      </c>
      <c r="M1457" s="179" t="s">
        <v>1295</v>
      </c>
    </row>
    <row r="1458" spans="1:13" ht="25.5">
      <c r="A1458" s="313" t="str">
        <f t="shared" si="22"/>
        <v>ArrestSysCommandCode_royalJordanianAirForce</v>
      </c>
      <c r="B1458" s="330"/>
      <c r="C1458" s="334"/>
      <c r="D1458" s="188" t="s">
        <v>16913</v>
      </c>
      <c r="E1458" s="189" t="s">
        <v>16914</v>
      </c>
      <c r="F1458" s="162" t="s">
        <v>16836</v>
      </c>
      <c r="G1458" s="190"/>
      <c r="H1458" s="219"/>
      <c r="I1458" s="169">
        <v>204004</v>
      </c>
      <c r="J1458" s="304" t="str">
        <f>CONCATENATE([2]Cover!$D$6,"fdd/view?i=",I1458)</f>
        <v>https://www.dgiwg.org/FAD/fdd/view?i=204004</v>
      </c>
      <c r="K1458" s="304" t="s">
        <v>35507</v>
      </c>
      <c r="L1458" s="188">
        <v>40</v>
      </c>
      <c r="M1458" s="179" t="s">
        <v>1295</v>
      </c>
    </row>
    <row r="1459" spans="1:13" ht="25.5">
      <c r="A1459" s="313" t="str">
        <f t="shared" si="22"/>
        <v>ArrestSysCommandCode_royalMalaysianAirForce</v>
      </c>
      <c r="B1459" s="330"/>
      <c r="C1459" s="334"/>
      <c r="D1459" s="188" t="s">
        <v>16915</v>
      </c>
      <c r="E1459" s="189" t="s">
        <v>16916</v>
      </c>
      <c r="F1459" s="162" t="s">
        <v>16836</v>
      </c>
      <c r="G1459" s="190"/>
      <c r="H1459" s="219"/>
      <c r="I1459" s="169">
        <v>204005</v>
      </c>
      <c r="J1459" s="304" t="str">
        <f>CONCATENATE([2]Cover!$D$6,"fdd/view?i=",I1459)</f>
        <v>https://www.dgiwg.org/FAD/fdd/view?i=204005</v>
      </c>
      <c r="K1459" s="304" t="s">
        <v>35508</v>
      </c>
      <c r="L1459" s="188">
        <v>41</v>
      </c>
      <c r="M1459" s="179" t="s">
        <v>1295</v>
      </c>
    </row>
    <row r="1460" spans="1:13" ht="25.5">
      <c r="A1460" s="313" t="str">
        <f t="shared" si="22"/>
        <v>ArrestSysCommandCode_royalNavyUnitedKingdom</v>
      </c>
      <c r="B1460" s="330"/>
      <c r="C1460" s="334"/>
      <c r="D1460" s="188" t="s">
        <v>16917</v>
      </c>
      <c r="E1460" s="189" t="s">
        <v>16918</v>
      </c>
      <c r="F1460" s="162" t="s">
        <v>16836</v>
      </c>
      <c r="G1460" s="190"/>
      <c r="H1460" s="219"/>
      <c r="I1460" s="169">
        <v>204006</v>
      </c>
      <c r="J1460" s="304" t="str">
        <f>CONCATENATE([2]Cover!$D$6,"fdd/view?i=",I1460)</f>
        <v>https://www.dgiwg.org/FAD/fdd/view?i=204006</v>
      </c>
      <c r="K1460" s="304" t="s">
        <v>35509</v>
      </c>
      <c r="L1460" s="188">
        <v>42</v>
      </c>
      <c r="M1460" s="179" t="s">
        <v>1295</v>
      </c>
    </row>
    <row r="1461" spans="1:13" ht="25.5">
      <c r="A1461" s="313" t="str">
        <f t="shared" si="22"/>
        <v>ArrestSysCommandCode_royalNetherlandsAirForce</v>
      </c>
      <c r="B1461" s="330"/>
      <c r="C1461" s="334"/>
      <c r="D1461" s="188" t="s">
        <v>16919</v>
      </c>
      <c r="E1461" s="189" t="s">
        <v>16920</v>
      </c>
      <c r="F1461" s="162" t="s">
        <v>16836</v>
      </c>
      <c r="G1461" s="190"/>
      <c r="H1461" s="219"/>
      <c r="I1461" s="169">
        <v>204007</v>
      </c>
      <c r="J1461" s="304" t="str">
        <f>CONCATENATE([2]Cover!$D$6,"fdd/view?i=",I1461)</f>
        <v>https://www.dgiwg.org/FAD/fdd/view?i=204007</v>
      </c>
      <c r="K1461" s="304" t="s">
        <v>35510</v>
      </c>
      <c r="L1461" s="188">
        <v>43</v>
      </c>
      <c r="M1461" s="179" t="s">
        <v>1295</v>
      </c>
    </row>
    <row r="1462" spans="1:13" ht="25.5">
      <c r="A1462" s="313" t="str">
        <f t="shared" si="22"/>
        <v>ArrestSysCommandCode_royalNetherlandsNavy</v>
      </c>
      <c r="B1462" s="330"/>
      <c r="C1462" s="334"/>
      <c r="D1462" s="188" t="s">
        <v>16921</v>
      </c>
      <c r="E1462" s="189" t="s">
        <v>16922</v>
      </c>
      <c r="F1462" s="162" t="s">
        <v>16836</v>
      </c>
      <c r="G1462" s="190"/>
      <c r="H1462" s="219"/>
      <c r="I1462" s="169">
        <v>204008</v>
      </c>
      <c r="J1462" s="304" t="str">
        <f>CONCATENATE([2]Cover!$D$6,"fdd/view?i=",I1462)</f>
        <v>https://www.dgiwg.org/FAD/fdd/view?i=204008</v>
      </c>
      <c r="K1462" s="304" t="s">
        <v>35511</v>
      </c>
      <c r="L1462" s="188">
        <v>44</v>
      </c>
      <c r="M1462" s="179" t="s">
        <v>1295</v>
      </c>
    </row>
    <row r="1463" spans="1:13" ht="25.5">
      <c r="A1463" s="313" t="str">
        <f t="shared" si="22"/>
        <v>ArrestSysCommandCode_royalNewZealandAirForce</v>
      </c>
      <c r="B1463" s="330"/>
      <c r="C1463" s="334"/>
      <c r="D1463" s="188" t="s">
        <v>16923</v>
      </c>
      <c r="E1463" s="189" t="s">
        <v>16924</v>
      </c>
      <c r="F1463" s="162" t="s">
        <v>16836</v>
      </c>
      <c r="G1463" s="190"/>
      <c r="H1463" s="219"/>
      <c r="I1463" s="169">
        <v>204009</v>
      </c>
      <c r="J1463" s="304" t="str">
        <f>CONCATENATE([2]Cover!$D$6,"fdd/view?i=",I1463)</f>
        <v>https://www.dgiwg.org/FAD/fdd/view?i=204009</v>
      </c>
      <c r="K1463" s="304" t="s">
        <v>35512</v>
      </c>
      <c r="L1463" s="188">
        <v>45</v>
      </c>
      <c r="M1463" s="179" t="s">
        <v>1295</v>
      </c>
    </row>
    <row r="1464" spans="1:13" ht="25.5">
      <c r="A1464" s="313" t="str">
        <f t="shared" si="22"/>
        <v>ArrestSysCommandCode_royalNorwegianAirForce</v>
      </c>
      <c r="B1464" s="330"/>
      <c r="C1464" s="334"/>
      <c r="D1464" s="188" t="s">
        <v>16925</v>
      </c>
      <c r="E1464" s="189" t="s">
        <v>16926</v>
      </c>
      <c r="F1464" s="162" t="s">
        <v>16836</v>
      </c>
      <c r="G1464" s="190"/>
      <c r="H1464" s="219"/>
      <c r="I1464" s="169">
        <v>204010</v>
      </c>
      <c r="J1464" s="304" t="str">
        <f>CONCATENATE([2]Cover!$D$6,"fdd/view?i=",I1464)</f>
        <v>https://www.dgiwg.org/FAD/fdd/view?i=204010</v>
      </c>
      <c r="K1464" s="304" t="s">
        <v>35513</v>
      </c>
      <c r="L1464" s="188">
        <v>46</v>
      </c>
      <c r="M1464" s="179" t="s">
        <v>1295</v>
      </c>
    </row>
    <row r="1465" spans="1:13" ht="25.5">
      <c r="A1465" s="313" t="str">
        <f t="shared" si="22"/>
        <v>ArrestSysCommandCode_royalSaudiArabianAirForce</v>
      </c>
      <c r="B1465" s="330"/>
      <c r="C1465" s="334"/>
      <c r="D1465" s="188" t="s">
        <v>16927</v>
      </c>
      <c r="E1465" s="189" t="s">
        <v>16928</v>
      </c>
      <c r="F1465" s="162" t="s">
        <v>16836</v>
      </c>
      <c r="G1465" s="190"/>
      <c r="H1465" s="219"/>
      <c r="I1465" s="169">
        <v>204011</v>
      </c>
      <c r="J1465" s="304" t="str">
        <f>CONCATENATE([2]Cover!$D$6,"fdd/view?i=",I1465)</f>
        <v>https://www.dgiwg.org/FAD/fdd/view?i=204011</v>
      </c>
      <c r="K1465" s="304" t="s">
        <v>35514</v>
      </c>
      <c r="L1465" s="188">
        <v>47</v>
      </c>
      <c r="M1465" s="179" t="s">
        <v>1295</v>
      </c>
    </row>
    <row r="1466" spans="1:13" ht="25.5">
      <c r="A1466" s="313" t="str">
        <f t="shared" si="22"/>
        <v>ArrestSysCommandCode_royalSwedishAirForce</v>
      </c>
      <c r="B1466" s="330"/>
      <c r="C1466" s="334"/>
      <c r="D1466" s="188" t="s">
        <v>16929</v>
      </c>
      <c r="E1466" s="189" t="s">
        <v>16930</v>
      </c>
      <c r="F1466" s="162" t="s">
        <v>16836</v>
      </c>
      <c r="G1466" s="190"/>
      <c r="H1466" s="219"/>
      <c r="I1466" s="169">
        <v>204012</v>
      </c>
      <c r="J1466" s="304" t="str">
        <f>CONCATENATE([2]Cover!$D$6,"fdd/view?i=",I1466)</f>
        <v>https://www.dgiwg.org/FAD/fdd/view?i=204012</v>
      </c>
      <c r="K1466" s="304" t="s">
        <v>35515</v>
      </c>
      <c r="L1466" s="188">
        <v>48</v>
      </c>
      <c r="M1466" s="179" t="s">
        <v>1295</v>
      </c>
    </row>
    <row r="1467" spans="1:13" ht="25.5">
      <c r="A1467" s="313" t="str">
        <f t="shared" si="22"/>
        <v>ArrestSysCommandCode_royalThaiAirForce</v>
      </c>
      <c r="B1467" s="330"/>
      <c r="C1467" s="334"/>
      <c r="D1467" s="188" t="s">
        <v>16931</v>
      </c>
      <c r="E1467" s="189" t="s">
        <v>16932</v>
      </c>
      <c r="F1467" s="162" t="s">
        <v>16836</v>
      </c>
      <c r="G1467" s="190"/>
      <c r="H1467" s="219"/>
      <c r="I1467" s="169">
        <v>204013</v>
      </c>
      <c r="J1467" s="304" t="str">
        <f>CONCATENATE([2]Cover!$D$6,"fdd/view?i=",I1467)</f>
        <v>https://www.dgiwg.org/FAD/fdd/view?i=204013</v>
      </c>
      <c r="K1467" s="304" t="s">
        <v>35516</v>
      </c>
      <c r="L1467" s="188">
        <v>49</v>
      </c>
      <c r="M1467" s="179" t="s">
        <v>1295</v>
      </c>
    </row>
    <row r="1468" spans="1:13" ht="25.5">
      <c r="A1468" s="313" t="str">
        <f t="shared" si="22"/>
        <v>ArrestSysCommandCode_singaporeArmedForces</v>
      </c>
      <c r="B1468" s="330"/>
      <c r="C1468" s="334"/>
      <c r="D1468" s="188" t="s">
        <v>16933</v>
      </c>
      <c r="E1468" s="189" t="s">
        <v>16934</v>
      </c>
      <c r="F1468" s="162" t="s">
        <v>16836</v>
      </c>
      <c r="G1468" s="190"/>
      <c r="H1468" s="219"/>
      <c r="I1468" s="169">
        <v>204014</v>
      </c>
      <c r="J1468" s="304" t="str">
        <f>CONCATENATE([2]Cover!$D$6,"fdd/view?i=",I1468)</f>
        <v>https://www.dgiwg.org/FAD/fdd/view?i=204014</v>
      </c>
      <c r="K1468" s="304" t="s">
        <v>35517</v>
      </c>
      <c r="L1468" s="188">
        <v>50</v>
      </c>
      <c r="M1468" s="179" t="s">
        <v>1295</v>
      </c>
    </row>
    <row r="1469" spans="1:13" ht="25.5">
      <c r="A1469" s="313" t="str">
        <f t="shared" si="22"/>
        <v>ArrestSysCommandCode_southAfricanAirForce</v>
      </c>
      <c r="B1469" s="330"/>
      <c r="C1469" s="334"/>
      <c r="D1469" s="188" t="s">
        <v>16935</v>
      </c>
      <c r="E1469" s="189" t="s">
        <v>16936</v>
      </c>
      <c r="F1469" s="162" t="s">
        <v>16836</v>
      </c>
      <c r="G1469" s="190"/>
      <c r="H1469" s="219"/>
      <c r="I1469" s="169">
        <v>204015</v>
      </c>
      <c r="J1469" s="304" t="str">
        <f>CONCATENATE([2]Cover!$D$6,"fdd/view?i=",I1469)</f>
        <v>https://www.dgiwg.org/FAD/fdd/view?i=204015</v>
      </c>
      <c r="K1469" s="304" t="s">
        <v>35518</v>
      </c>
      <c r="L1469" s="188">
        <v>51</v>
      </c>
      <c r="M1469" s="179" t="s">
        <v>1295</v>
      </c>
    </row>
    <row r="1470" spans="1:13" ht="25.5">
      <c r="A1470" s="313" t="str">
        <f t="shared" si="22"/>
        <v>ArrestSysCommandCode_spanishAirForce</v>
      </c>
      <c r="B1470" s="330"/>
      <c r="C1470" s="334"/>
      <c r="D1470" s="188" t="s">
        <v>16937</v>
      </c>
      <c r="E1470" s="189" t="s">
        <v>16938</v>
      </c>
      <c r="F1470" s="162" t="s">
        <v>16836</v>
      </c>
      <c r="G1470" s="190"/>
      <c r="H1470" s="219"/>
      <c r="I1470" s="169">
        <v>204016</v>
      </c>
      <c r="J1470" s="304" t="str">
        <f>CONCATENATE([2]Cover!$D$6,"fdd/view?i=",I1470)</f>
        <v>https://www.dgiwg.org/FAD/fdd/view?i=204016</v>
      </c>
      <c r="K1470" s="304" t="s">
        <v>35519</v>
      </c>
      <c r="L1470" s="188">
        <v>52</v>
      </c>
      <c r="M1470" s="179" t="s">
        <v>1295</v>
      </c>
    </row>
    <row r="1471" spans="1:13" ht="25.5">
      <c r="A1471" s="313" t="str">
        <f t="shared" si="22"/>
        <v>ArrestSysCommandCode_swissAirForce</v>
      </c>
      <c r="B1471" s="330"/>
      <c r="C1471" s="334"/>
      <c r="D1471" s="188" t="s">
        <v>16939</v>
      </c>
      <c r="E1471" s="189" t="s">
        <v>16940</v>
      </c>
      <c r="F1471" s="162" t="s">
        <v>16836</v>
      </c>
      <c r="G1471" s="190"/>
      <c r="H1471" s="219"/>
      <c r="I1471" s="169">
        <v>204017</v>
      </c>
      <c r="J1471" s="304" t="str">
        <f>CONCATENATE([2]Cover!$D$6,"fdd/view?i=",I1471)</f>
        <v>https://www.dgiwg.org/FAD/fdd/view?i=204017</v>
      </c>
      <c r="K1471" s="304" t="s">
        <v>35520</v>
      </c>
      <c r="L1471" s="188">
        <v>53</v>
      </c>
      <c r="M1471" s="179" t="s">
        <v>1295</v>
      </c>
    </row>
    <row r="1472" spans="1:13" ht="25.5">
      <c r="A1472" s="313" t="str">
        <f t="shared" si="22"/>
        <v>ArrestSysCommandCode_turkishAirForce</v>
      </c>
      <c r="B1472" s="330"/>
      <c r="C1472" s="334"/>
      <c r="D1472" s="188" t="s">
        <v>16941</v>
      </c>
      <c r="E1472" s="189" t="s">
        <v>16942</v>
      </c>
      <c r="F1472" s="162" t="s">
        <v>16836</v>
      </c>
      <c r="G1472" s="190"/>
      <c r="H1472" s="219"/>
      <c r="I1472" s="169">
        <v>204018</v>
      </c>
      <c r="J1472" s="304" t="str">
        <f>CONCATENATE([2]Cover!$D$6,"fdd/view?i=",I1472)</f>
        <v>https://www.dgiwg.org/FAD/fdd/view?i=204018</v>
      </c>
      <c r="K1472" s="304" t="s">
        <v>35521</v>
      </c>
      <c r="L1472" s="188">
        <v>54</v>
      </c>
      <c r="M1472" s="179" t="s">
        <v>1295</v>
      </c>
    </row>
    <row r="1473" spans="1:13" ht="38.25">
      <c r="A1473" s="313" t="str">
        <f t="shared" si="22"/>
        <v>ArrestSysCommandCode_usAirForceAirCombatCmd</v>
      </c>
      <c r="B1473" s="330"/>
      <c r="C1473" s="334"/>
      <c r="D1473" s="188" t="s">
        <v>16943</v>
      </c>
      <c r="E1473" s="189" t="s">
        <v>16944</v>
      </c>
      <c r="F1473" s="162" t="s">
        <v>16836</v>
      </c>
      <c r="G1473" s="190"/>
      <c r="H1473" s="219"/>
      <c r="I1473" s="169">
        <v>204019</v>
      </c>
      <c r="J1473" s="304" t="str">
        <f>CONCATENATE([2]Cover!$D$6,"fdd/view?i=",I1473)</f>
        <v>https://www.dgiwg.org/FAD/fdd/view?i=204019</v>
      </c>
      <c r="K1473" s="304" t="s">
        <v>35522</v>
      </c>
      <c r="L1473" s="188">
        <v>55</v>
      </c>
      <c r="M1473" s="179" t="s">
        <v>1295</v>
      </c>
    </row>
    <row r="1474" spans="1:13" ht="38.25">
      <c r="A1474" s="313" t="str">
        <f t="shared" si="22"/>
        <v>ArrestSysCommandCode_usAirForceAirMobilityCmd</v>
      </c>
      <c r="B1474" s="330"/>
      <c r="C1474" s="334"/>
      <c r="D1474" s="188" t="s">
        <v>16947</v>
      </c>
      <c r="E1474" s="189" t="s">
        <v>16948</v>
      </c>
      <c r="F1474" s="162" t="s">
        <v>16836</v>
      </c>
      <c r="G1474" s="190"/>
      <c r="H1474" s="219"/>
      <c r="I1474" s="169">
        <v>204021</v>
      </c>
      <c r="J1474" s="304" t="str">
        <f>CONCATENATE([2]Cover!$D$6,"fdd/view?i=",I1474)</f>
        <v>https://www.dgiwg.org/FAD/fdd/view?i=204021</v>
      </c>
      <c r="K1474" s="304" t="s">
        <v>35523</v>
      </c>
      <c r="L1474" s="188">
        <v>57</v>
      </c>
      <c r="M1474" s="179" t="s">
        <v>1295</v>
      </c>
    </row>
    <row r="1475" spans="1:13" ht="38.25">
      <c r="A1475" s="313" t="str">
        <f t="shared" ref="A1475:A1538" si="23">HYPERLINK(J1475,K1475)</f>
        <v>ArrestSysCommandCode_usAirForceEducTrainCmd</v>
      </c>
      <c r="B1475" s="330"/>
      <c r="C1475" s="334"/>
      <c r="D1475" s="188" t="s">
        <v>16945</v>
      </c>
      <c r="E1475" s="189" t="s">
        <v>16946</v>
      </c>
      <c r="F1475" s="162" t="s">
        <v>16836</v>
      </c>
      <c r="G1475" s="190"/>
      <c r="H1475" s="219"/>
      <c r="I1475" s="169">
        <v>204020</v>
      </c>
      <c r="J1475" s="304" t="str">
        <f>CONCATENATE([2]Cover!$D$6,"fdd/view?i=",I1475)</f>
        <v>https://www.dgiwg.org/FAD/fdd/view?i=204020</v>
      </c>
      <c r="K1475" s="304" t="s">
        <v>35524</v>
      </c>
      <c r="L1475" s="188">
        <v>56</v>
      </c>
      <c r="M1475" s="179" t="s">
        <v>1295</v>
      </c>
    </row>
    <row r="1476" spans="1:13" ht="38.25">
      <c r="A1476" s="313" t="str">
        <f t="shared" si="23"/>
        <v>ArrestSysCommandCode_usAirForceElecSecurityCmd</v>
      </c>
      <c r="B1476" s="330"/>
      <c r="C1476" s="334"/>
      <c r="D1476" s="188" t="s">
        <v>16949</v>
      </c>
      <c r="E1476" s="189" t="s">
        <v>16950</v>
      </c>
      <c r="F1476" s="162" t="s">
        <v>16836</v>
      </c>
      <c r="G1476" s="190"/>
      <c r="H1476" s="219"/>
      <c r="I1476" s="169">
        <v>204022</v>
      </c>
      <c r="J1476" s="304" t="str">
        <f>CONCATENATE([2]Cover!$D$6,"fdd/view?i=",I1476)</f>
        <v>https://www.dgiwg.org/FAD/fdd/view?i=204022</v>
      </c>
      <c r="K1476" s="304" t="s">
        <v>35525</v>
      </c>
      <c r="L1476" s="188">
        <v>58</v>
      </c>
      <c r="M1476" s="179" t="s">
        <v>1295</v>
      </c>
    </row>
    <row r="1477" spans="1:13" ht="25.5">
      <c r="A1477" s="313" t="str">
        <f t="shared" si="23"/>
        <v>ArrestSysCommandCode_usAirForceEurope</v>
      </c>
      <c r="B1477" s="330"/>
      <c r="C1477" s="334"/>
      <c r="D1477" s="188" t="s">
        <v>16951</v>
      </c>
      <c r="E1477" s="189" t="s">
        <v>16952</v>
      </c>
      <c r="F1477" s="162" t="s">
        <v>16836</v>
      </c>
      <c r="G1477" s="190"/>
      <c r="H1477" s="219"/>
      <c r="I1477" s="169">
        <v>204023</v>
      </c>
      <c r="J1477" s="304" t="str">
        <f>CONCATENATE([2]Cover!$D$6,"fdd/view?i=",I1477)</f>
        <v>https://www.dgiwg.org/FAD/fdd/view?i=204023</v>
      </c>
      <c r="K1477" s="304" t="s">
        <v>35526</v>
      </c>
      <c r="L1477" s="188">
        <v>59</v>
      </c>
      <c r="M1477" s="179" t="s">
        <v>1295</v>
      </c>
    </row>
    <row r="1478" spans="1:13" ht="25.5">
      <c r="A1478" s="313" t="str">
        <f t="shared" si="23"/>
        <v>ArrestSysCommandCode_usAirForceMaterialCmd</v>
      </c>
      <c r="B1478" s="330"/>
      <c r="C1478" s="334"/>
      <c r="D1478" s="188" t="s">
        <v>16953</v>
      </c>
      <c r="E1478" s="189" t="s">
        <v>16954</v>
      </c>
      <c r="F1478" s="162" t="s">
        <v>16836</v>
      </c>
      <c r="G1478" s="190"/>
      <c r="H1478" s="219"/>
      <c r="I1478" s="169">
        <v>204024</v>
      </c>
      <c r="J1478" s="304" t="str">
        <f>CONCATENATE([2]Cover!$D$6,"fdd/view?i=",I1478)</f>
        <v>https://www.dgiwg.org/FAD/fdd/view?i=204024</v>
      </c>
      <c r="K1478" s="304" t="s">
        <v>35527</v>
      </c>
      <c r="L1478" s="188">
        <v>60</v>
      </c>
      <c r="M1478" s="179" t="s">
        <v>1295</v>
      </c>
    </row>
    <row r="1479" spans="1:13" ht="25.5">
      <c r="A1479" s="313" t="str">
        <f t="shared" si="23"/>
        <v>ArrestSysCommandCode_usAirForceReserve</v>
      </c>
      <c r="B1479" s="330"/>
      <c r="C1479" s="334"/>
      <c r="D1479" s="188" t="s">
        <v>16955</v>
      </c>
      <c r="E1479" s="189" t="s">
        <v>16956</v>
      </c>
      <c r="F1479" s="162" t="s">
        <v>16836</v>
      </c>
      <c r="G1479" s="190"/>
      <c r="H1479" s="219"/>
      <c r="I1479" s="169">
        <v>204025</v>
      </c>
      <c r="J1479" s="304" t="str">
        <f>CONCATENATE([2]Cover!$D$6,"fdd/view?i=",I1479)</f>
        <v>https://www.dgiwg.org/FAD/fdd/view?i=204025</v>
      </c>
      <c r="K1479" s="304" t="s">
        <v>35528</v>
      </c>
      <c r="L1479" s="188">
        <v>61</v>
      </c>
      <c r="M1479" s="179" t="s">
        <v>1295</v>
      </c>
    </row>
    <row r="1480" spans="1:13" ht="25.5">
      <c r="A1480" s="313" t="str">
        <f t="shared" si="23"/>
        <v>ArrestSysCommandCode_usAirForceSpaceCmd</v>
      </c>
      <c r="B1480" s="330"/>
      <c r="C1480" s="334"/>
      <c r="D1480" s="188" t="s">
        <v>16957</v>
      </c>
      <c r="E1480" s="189" t="s">
        <v>16958</v>
      </c>
      <c r="F1480" s="162" t="s">
        <v>16836</v>
      </c>
      <c r="G1480" s="190"/>
      <c r="H1480" s="219"/>
      <c r="I1480" s="169">
        <v>204026</v>
      </c>
      <c r="J1480" s="304" t="str">
        <f>CONCATENATE([2]Cover!$D$6,"fdd/view?i=",I1480)</f>
        <v>https://www.dgiwg.org/FAD/fdd/view?i=204026</v>
      </c>
      <c r="K1480" s="304" t="s">
        <v>35529</v>
      </c>
      <c r="L1480" s="188">
        <v>62</v>
      </c>
      <c r="M1480" s="179" t="s">
        <v>1295</v>
      </c>
    </row>
    <row r="1481" spans="1:13" ht="25.5">
      <c r="A1481" s="313" t="str">
        <f t="shared" si="23"/>
        <v>ArrestSysCommandCode_usAirNationalGuard</v>
      </c>
      <c r="B1481" s="330"/>
      <c r="C1481" s="334"/>
      <c r="D1481" s="188" t="s">
        <v>16959</v>
      </c>
      <c r="E1481" s="189" t="s">
        <v>16960</v>
      </c>
      <c r="F1481" s="162" t="s">
        <v>16836</v>
      </c>
      <c r="G1481" s="190"/>
      <c r="H1481" s="219"/>
      <c r="I1481" s="169">
        <v>204027</v>
      </c>
      <c r="J1481" s="304" t="str">
        <f>CONCATENATE([2]Cover!$D$6,"fdd/view?i=",I1481)</f>
        <v>https://www.dgiwg.org/FAD/fdd/view?i=204027</v>
      </c>
      <c r="K1481" s="304" t="s">
        <v>35530</v>
      </c>
      <c r="L1481" s="188">
        <v>63</v>
      </c>
      <c r="M1481" s="179" t="s">
        <v>1295</v>
      </c>
    </row>
    <row r="1482" spans="1:13" ht="25.5">
      <c r="A1482" s="313" t="str">
        <f t="shared" si="23"/>
        <v>ArrestSysCommandCode_usNavyMarineCorps</v>
      </c>
      <c r="B1482" s="330"/>
      <c r="C1482" s="334"/>
      <c r="D1482" s="188" t="s">
        <v>16961</v>
      </c>
      <c r="E1482" s="189" t="s">
        <v>16962</v>
      </c>
      <c r="F1482" s="162" t="s">
        <v>16836</v>
      </c>
      <c r="G1482" s="190"/>
      <c r="H1482" s="219"/>
      <c r="I1482" s="169">
        <v>204028</v>
      </c>
      <c r="J1482" s="304" t="str">
        <f>CONCATENATE([2]Cover!$D$6,"fdd/view?i=",I1482)</f>
        <v>https://www.dgiwg.org/FAD/fdd/view?i=204028</v>
      </c>
      <c r="K1482" s="304" t="s">
        <v>35531</v>
      </c>
      <c r="L1482" s="188">
        <v>64</v>
      </c>
      <c r="M1482" s="179" t="s">
        <v>1295</v>
      </c>
    </row>
    <row r="1483" spans="1:13" ht="25.5">
      <c r="A1483" s="313" t="str">
        <f t="shared" si="23"/>
        <v>ArrestSysCommandCode_usNavyNavalAirAtlantic</v>
      </c>
      <c r="B1483" s="330"/>
      <c r="C1483" s="334"/>
      <c r="D1483" s="188" t="s">
        <v>16963</v>
      </c>
      <c r="E1483" s="189" t="s">
        <v>16964</v>
      </c>
      <c r="F1483" s="162" t="s">
        <v>16836</v>
      </c>
      <c r="G1483" s="190"/>
      <c r="H1483" s="219"/>
      <c r="I1483" s="169">
        <v>204029</v>
      </c>
      <c r="J1483" s="304" t="str">
        <f>CONCATENATE([2]Cover!$D$6,"fdd/view?i=",I1483)</f>
        <v>https://www.dgiwg.org/FAD/fdd/view?i=204029</v>
      </c>
      <c r="K1483" s="304" t="s">
        <v>35532</v>
      </c>
      <c r="L1483" s="188">
        <v>65</v>
      </c>
      <c r="M1483" s="179" t="s">
        <v>1295</v>
      </c>
    </row>
    <row r="1484" spans="1:13" ht="25.5">
      <c r="A1484" s="313" t="str">
        <f t="shared" si="23"/>
        <v>ArrestSysCommandCode_usNavyNavalAirPacific</v>
      </c>
      <c r="B1484" s="330"/>
      <c r="C1484" s="334"/>
      <c r="D1484" s="188" t="s">
        <v>16965</v>
      </c>
      <c r="E1484" s="189" t="s">
        <v>16966</v>
      </c>
      <c r="F1484" s="162" t="s">
        <v>16836</v>
      </c>
      <c r="G1484" s="190"/>
      <c r="H1484" s="219"/>
      <c r="I1484" s="169">
        <v>204030</v>
      </c>
      <c r="J1484" s="304" t="str">
        <f>CONCATENATE([2]Cover!$D$6,"fdd/view?i=",I1484)</f>
        <v>https://www.dgiwg.org/FAD/fdd/view?i=204030</v>
      </c>
      <c r="K1484" s="304" t="s">
        <v>35533</v>
      </c>
      <c r="L1484" s="188">
        <v>66</v>
      </c>
      <c r="M1484" s="179" t="s">
        <v>1295</v>
      </c>
    </row>
    <row r="1485" spans="1:13" ht="25.5">
      <c r="A1485" s="313" t="str">
        <f t="shared" si="23"/>
        <v>ArrestSysCommandCode_usNavyNavalAirTraining</v>
      </c>
      <c r="B1485" s="330"/>
      <c r="C1485" s="334"/>
      <c r="D1485" s="188" t="s">
        <v>16967</v>
      </c>
      <c r="E1485" s="189" t="s">
        <v>16968</v>
      </c>
      <c r="F1485" s="162" t="s">
        <v>16836</v>
      </c>
      <c r="G1485" s="190"/>
      <c r="H1485" s="219"/>
      <c r="I1485" s="169">
        <v>204031</v>
      </c>
      <c r="J1485" s="304" t="str">
        <f>CONCATENATE([2]Cover!$D$6,"fdd/view?i=",I1485)</f>
        <v>https://www.dgiwg.org/FAD/fdd/view?i=204031</v>
      </c>
      <c r="K1485" s="304" t="s">
        <v>35534</v>
      </c>
      <c r="L1485" s="188">
        <v>67</v>
      </c>
      <c r="M1485" s="179" t="s">
        <v>1295</v>
      </c>
    </row>
    <row r="1486" spans="1:13" ht="25.5">
      <c r="A1486" s="313" t="str">
        <f t="shared" si="23"/>
        <v>ArrestSysCommandCode_usNavyNavalForcesEurope</v>
      </c>
      <c r="B1486" s="330"/>
      <c r="C1486" s="334"/>
      <c r="D1486" s="188" t="s">
        <v>16969</v>
      </c>
      <c r="E1486" s="189" t="s">
        <v>16970</v>
      </c>
      <c r="F1486" s="162" t="s">
        <v>16836</v>
      </c>
      <c r="G1486" s="190"/>
      <c r="H1486" s="219"/>
      <c r="I1486" s="169">
        <v>204032</v>
      </c>
      <c r="J1486" s="304" t="str">
        <f>CONCATENATE([2]Cover!$D$6,"fdd/view?i=",I1486)</f>
        <v>https://www.dgiwg.org/FAD/fdd/view?i=204032</v>
      </c>
      <c r="K1486" s="304" t="s">
        <v>35535</v>
      </c>
      <c r="L1486" s="188">
        <v>68</v>
      </c>
      <c r="M1486" s="179" t="s">
        <v>1295</v>
      </c>
    </row>
    <row r="1487" spans="1:13" ht="25.5">
      <c r="A1487" s="313" t="str">
        <f t="shared" si="23"/>
        <v>ArrestSysCommandCode_usNavyNavalMaterial</v>
      </c>
      <c r="B1487" s="331"/>
      <c r="C1487" s="335"/>
      <c r="D1487" s="181" t="s">
        <v>16971</v>
      </c>
      <c r="E1487" s="192" t="s">
        <v>16972</v>
      </c>
      <c r="F1487" s="193" t="s">
        <v>16836</v>
      </c>
      <c r="G1487" s="194"/>
      <c r="H1487" s="220"/>
      <c r="I1487" s="169">
        <v>204033</v>
      </c>
      <c r="J1487" s="304" t="str">
        <f>CONCATENATE([2]Cover!$D$6,"fdd/view?i=",I1487)</f>
        <v>https://www.dgiwg.org/FAD/fdd/view?i=204033</v>
      </c>
      <c r="K1487" s="304" t="s">
        <v>35536</v>
      </c>
      <c r="L1487" s="181">
        <v>69</v>
      </c>
      <c r="M1487" s="179" t="s">
        <v>1295</v>
      </c>
    </row>
    <row r="1488" spans="1:13" ht="25.5">
      <c r="A1488" s="313" t="str">
        <f t="shared" si="23"/>
        <v>ArrestSysEnergyAbsCode_barrierDiskSafeland</v>
      </c>
      <c r="B1488" s="332" t="str">
        <f>HYPERLINK("[#]Datatypes!A176:L176","ArrestSysEnergyAbsCode")</f>
        <v>ArrestSysEnergyAbsCode</v>
      </c>
      <c r="C1488" s="333" t="s">
        <v>11616</v>
      </c>
      <c r="D1488" s="202" t="s">
        <v>17232</v>
      </c>
      <c r="E1488" s="203" t="s">
        <v>17233</v>
      </c>
      <c r="F1488" s="204" t="s">
        <v>17234</v>
      </c>
      <c r="G1488" s="204" t="s">
        <v>17186</v>
      </c>
      <c r="H1488" s="222" t="s">
        <v>17233</v>
      </c>
      <c r="I1488" s="169">
        <v>115569</v>
      </c>
      <c r="J1488" s="304" t="str">
        <f>CONCATENATE([2]Cover!$D$6,"fdd/view?i=",I1488)</f>
        <v>https://www.dgiwg.org/FAD/fdd/view?i=115569</v>
      </c>
      <c r="K1488" s="304" t="s">
        <v>35537</v>
      </c>
      <c r="L1488" s="202">
        <v>72</v>
      </c>
      <c r="M1488" s="179" t="s">
        <v>151</v>
      </c>
    </row>
    <row r="1489" spans="1:13" ht="25.5">
      <c r="A1489" s="313" t="str">
        <f t="shared" si="23"/>
        <v>ArrestSysEnergyAbsCode_chainCHAG</v>
      </c>
      <c r="B1489" s="330"/>
      <c r="C1489" s="334"/>
      <c r="D1489" s="188" t="s">
        <v>17127</v>
      </c>
      <c r="E1489" s="189" t="s">
        <v>17128</v>
      </c>
      <c r="F1489" s="162" t="s">
        <v>17129</v>
      </c>
      <c r="G1489" s="162" t="s">
        <v>16976</v>
      </c>
      <c r="H1489" s="221" t="s">
        <v>17128</v>
      </c>
      <c r="I1489" s="169">
        <v>115536</v>
      </c>
      <c r="J1489" s="304" t="str">
        <f>CONCATENATE([2]Cover!$D$6,"fdd/view?i=",I1489)</f>
        <v>https://www.dgiwg.org/FAD/fdd/view?i=115536</v>
      </c>
      <c r="K1489" s="304" t="s">
        <v>35538</v>
      </c>
      <c r="L1489" s="188">
        <v>39</v>
      </c>
      <c r="M1489" s="179" t="s">
        <v>151</v>
      </c>
    </row>
    <row r="1490" spans="1:13" ht="25.5">
      <c r="A1490" s="313" t="str">
        <f t="shared" si="23"/>
        <v>ArrestSysEnergyAbsCode_chainE5</v>
      </c>
      <c r="B1490" s="330"/>
      <c r="C1490" s="334"/>
      <c r="D1490" s="188" t="s">
        <v>17142</v>
      </c>
      <c r="E1490" s="189" t="s">
        <v>17143</v>
      </c>
      <c r="F1490" s="162" t="s">
        <v>17144</v>
      </c>
      <c r="G1490" s="162" t="s">
        <v>17089</v>
      </c>
      <c r="H1490" s="221" t="s">
        <v>17143</v>
      </c>
      <c r="I1490" s="169">
        <v>115541</v>
      </c>
      <c r="J1490" s="304" t="str">
        <f>CONCATENATE([2]Cover!$D$6,"fdd/view?i=",I1490)</f>
        <v>https://www.dgiwg.org/FAD/fdd/view?i=115541</v>
      </c>
      <c r="K1490" s="304" t="s">
        <v>35539</v>
      </c>
      <c r="L1490" s="188">
        <v>44</v>
      </c>
      <c r="M1490" s="179" t="s">
        <v>151</v>
      </c>
    </row>
    <row r="1491" spans="1:13" ht="25.5">
      <c r="A1491" s="313" t="str">
        <f t="shared" si="23"/>
        <v>ArrestSysEnergyAbsCode_chainE5_1</v>
      </c>
      <c r="B1491" s="330"/>
      <c r="C1491" s="334"/>
      <c r="D1491" s="188" t="s">
        <v>17145</v>
      </c>
      <c r="E1491" s="189" t="s">
        <v>17146</v>
      </c>
      <c r="F1491" s="162" t="s">
        <v>17147</v>
      </c>
      <c r="G1491" s="162" t="s">
        <v>17089</v>
      </c>
      <c r="H1491" s="221" t="s">
        <v>17146</v>
      </c>
      <c r="I1491" s="169">
        <v>115542</v>
      </c>
      <c r="J1491" s="304" t="str">
        <f>CONCATENATE([2]Cover!$D$6,"fdd/view?i=",I1491)</f>
        <v>https://www.dgiwg.org/FAD/fdd/view?i=115542</v>
      </c>
      <c r="K1491" s="304" t="s">
        <v>35540</v>
      </c>
      <c r="L1491" s="188">
        <v>45</v>
      </c>
      <c r="M1491" s="179" t="s">
        <v>151</v>
      </c>
    </row>
    <row r="1492" spans="1:13" ht="25.5">
      <c r="A1492" s="313" t="str">
        <f t="shared" si="23"/>
        <v>ArrestSysEnergyAbsCode_chainE5_2</v>
      </c>
      <c r="B1492" s="330"/>
      <c r="C1492" s="334"/>
      <c r="D1492" s="188" t="s">
        <v>17148</v>
      </c>
      <c r="E1492" s="189" t="s">
        <v>17149</v>
      </c>
      <c r="F1492" s="162" t="s">
        <v>17150</v>
      </c>
      <c r="G1492" s="162" t="s">
        <v>17089</v>
      </c>
      <c r="H1492" s="221" t="s">
        <v>17149</v>
      </c>
      <c r="I1492" s="169">
        <v>115543</v>
      </c>
      <c r="J1492" s="304" t="str">
        <f>CONCATENATE([2]Cover!$D$6,"fdd/view?i=",I1492)</f>
        <v>https://www.dgiwg.org/FAD/fdd/view?i=115543</v>
      </c>
      <c r="K1492" s="304" t="s">
        <v>35541</v>
      </c>
      <c r="L1492" s="188">
        <v>46</v>
      </c>
      <c r="M1492" s="179" t="s">
        <v>151</v>
      </c>
    </row>
    <row r="1493" spans="1:13" ht="25.5">
      <c r="A1493" s="313" t="str">
        <f t="shared" si="23"/>
        <v>ArrestSysEnergyAbsCode_chainE5_3</v>
      </c>
      <c r="B1493" s="330"/>
      <c r="C1493" s="334"/>
      <c r="D1493" s="188" t="s">
        <v>17151</v>
      </c>
      <c r="E1493" s="189" t="s">
        <v>17152</v>
      </c>
      <c r="F1493" s="162" t="s">
        <v>17153</v>
      </c>
      <c r="G1493" s="162" t="s">
        <v>17089</v>
      </c>
      <c r="H1493" s="221" t="s">
        <v>17152</v>
      </c>
      <c r="I1493" s="169">
        <v>115544</v>
      </c>
      <c r="J1493" s="304" t="str">
        <f>CONCATENATE([2]Cover!$D$6,"fdd/view?i=",I1493)</f>
        <v>https://www.dgiwg.org/FAD/fdd/view?i=115544</v>
      </c>
      <c r="K1493" s="304" t="s">
        <v>35542</v>
      </c>
      <c r="L1493" s="188">
        <v>47</v>
      </c>
      <c r="M1493" s="179" t="s">
        <v>151</v>
      </c>
    </row>
    <row r="1494" spans="1:13" ht="25.5">
      <c r="A1494" s="313" t="str">
        <f t="shared" si="23"/>
        <v>ArrestSysEnergyAbsCode_chainE6</v>
      </c>
      <c r="B1494" s="330"/>
      <c r="C1494" s="334"/>
      <c r="D1494" s="188" t="s">
        <v>17154</v>
      </c>
      <c r="E1494" s="189" t="s">
        <v>17155</v>
      </c>
      <c r="F1494" s="162" t="s">
        <v>17156</v>
      </c>
      <c r="G1494" s="162" t="s">
        <v>17089</v>
      </c>
      <c r="H1494" s="221" t="s">
        <v>17155</v>
      </c>
      <c r="I1494" s="169">
        <v>115545</v>
      </c>
      <c r="J1494" s="304" t="str">
        <f>CONCATENATE([2]Cover!$D$6,"fdd/view?i=",I1494)</f>
        <v>https://www.dgiwg.org/FAD/fdd/view?i=115545</v>
      </c>
      <c r="K1494" s="304" t="s">
        <v>35543</v>
      </c>
      <c r="L1494" s="188">
        <v>48</v>
      </c>
      <c r="M1494" s="179" t="s">
        <v>151</v>
      </c>
    </row>
    <row r="1495" spans="1:13" ht="25.5">
      <c r="A1495" s="313" t="str">
        <f t="shared" si="23"/>
        <v>ArrestSysEnergyAbsCode_diskBEFAB_12_3</v>
      </c>
      <c r="B1495" s="330"/>
      <c r="C1495" s="334"/>
      <c r="D1495" s="188" t="s">
        <v>17095</v>
      </c>
      <c r="E1495" s="189" t="s">
        <v>17096</v>
      </c>
      <c r="F1495" s="162" t="s">
        <v>17097</v>
      </c>
      <c r="G1495" s="162" t="s">
        <v>16976</v>
      </c>
      <c r="H1495" s="221" t="s">
        <v>17098</v>
      </c>
      <c r="I1495" s="169">
        <v>115528</v>
      </c>
      <c r="J1495" s="304" t="str">
        <f>CONCATENATE([2]Cover!$D$6,"fdd/view?i=",I1495)</f>
        <v>https://www.dgiwg.org/FAD/fdd/view?i=115528</v>
      </c>
      <c r="K1495" s="304" t="s">
        <v>35544</v>
      </c>
      <c r="L1495" s="188">
        <v>31</v>
      </c>
      <c r="M1495" s="179" t="s">
        <v>151</v>
      </c>
    </row>
    <row r="1496" spans="1:13" ht="25.5">
      <c r="A1496" s="313" t="str">
        <f t="shared" si="23"/>
        <v>ArrestSysEnergyAbsCode_diskBEFAB_20_4</v>
      </c>
      <c r="B1496" s="330"/>
      <c r="C1496" s="334"/>
      <c r="D1496" s="188" t="s">
        <v>17099</v>
      </c>
      <c r="E1496" s="189" t="s">
        <v>17100</v>
      </c>
      <c r="F1496" s="162" t="s">
        <v>17101</v>
      </c>
      <c r="G1496" s="162" t="s">
        <v>16976</v>
      </c>
      <c r="H1496" s="221" t="s">
        <v>17102</v>
      </c>
      <c r="I1496" s="169">
        <v>115529</v>
      </c>
      <c r="J1496" s="304" t="str">
        <f>CONCATENATE([2]Cover!$D$6,"fdd/view?i=",I1496)</f>
        <v>https://www.dgiwg.org/FAD/fdd/view?i=115529</v>
      </c>
      <c r="K1496" s="304" t="s">
        <v>35545</v>
      </c>
      <c r="L1496" s="188">
        <v>32</v>
      </c>
      <c r="M1496" s="179" t="s">
        <v>151</v>
      </c>
    </row>
    <row r="1497" spans="1:13" ht="25.5">
      <c r="A1497" s="313" t="str">
        <f t="shared" si="23"/>
        <v>ArrestSysEnergyAbsCode_diskBEFAB_21_2</v>
      </c>
      <c r="B1497" s="330"/>
      <c r="C1497" s="334"/>
      <c r="D1497" s="188" t="s">
        <v>17103</v>
      </c>
      <c r="E1497" s="189" t="s">
        <v>17104</v>
      </c>
      <c r="F1497" s="162" t="s">
        <v>17105</v>
      </c>
      <c r="G1497" s="162" t="s">
        <v>16976</v>
      </c>
      <c r="H1497" s="221" t="s">
        <v>17106</v>
      </c>
      <c r="I1497" s="169">
        <v>115530</v>
      </c>
      <c r="J1497" s="304" t="str">
        <f>CONCATENATE([2]Cover!$D$6,"fdd/view?i=",I1497)</f>
        <v>https://www.dgiwg.org/FAD/fdd/view?i=115530</v>
      </c>
      <c r="K1497" s="304" t="s">
        <v>35546</v>
      </c>
      <c r="L1497" s="188">
        <v>33</v>
      </c>
      <c r="M1497" s="179" t="s">
        <v>151</v>
      </c>
    </row>
    <row r="1498" spans="1:13" ht="25.5">
      <c r="A1498" s="313" t="str">
        <f t="shared" si="23"/>
        <v>ArrestSysEnergyAbsCode_diskBEFAB_24_4</v>
      </c>
      <c r="B1498" s="330"/>
      <c r="C1498" s="334"/>
      <c r="D1498" s="188" t="s">
        <v>17107</v>
      </c>
      <c r="E1498" s="189" t="s">
        <v>17108</v>
      </c>
      <c r="F1498" s="162" t="s">
        <v>17109</v>
      </c>
      <c r="G1498" s="162" t="s">
        <v>16976</v>
      </c>
      <c r="H1498" s="221" t="s">
        <v>17110</v>
      </c>
      <c r="I1498" s="169">
        <v>115531</v>
      </c>
      <c r="J1498" s="304" t="str">
        <f>CONCATENATE([2]Cover!$D$6,"fdd/view?i=",I1498)</f>
        <v>https://www.dgiwg.org/FAD/fdd/view?i=115531</v>
      </c>
      <c r="K1498" s="304" t="s">
        <v>35547</v>
      </c>
      <c r="L1498" s="188">
        <v>34</v>
      </c>
      <c r="M1498" s="179" t="s">
        <v>151</v>
      </c>
    </row>
    <row r="1499" spans="1:13" ht="25.5">
      <c r="A1499" s="313" t="str">
        <f t="shared" si="23"/>
        <v>ArrestSysEnergyAbsCode_diskBEFAB_56_2</v>
      </c>
      <c r="B1499" s="330"/>
      <c r="C1499" s="334"/>
      <c r="D1499" s="188" t="s">
        <v>17111</v>
      </c>
      <c r="E1499" s="189" t="s">
        <v>17112</v>
      </c>
      <c r="F1499" s="162" t="s">
        <v>17113</v>
      </c>
      <c r="G1499" s="162" t="s">
        <v>16976</v>
      </c>
      <c r="H1499" s="221" t="s">
        <v>17114</v>
      </c>
      <c r="I1499" s="169">
        <v>115532</v>
      </c>
      <c r="J1499" s="304" t="str">
        <f>CONCATENATE([2]Cover!$D$6,"fdd/view?i=",I1499)</f>
        <v>https://www.dgiwg.org/FAD/fdd/view?i=115532</v>
      </c>
      <c r="K1499" s="304" t="s">
        <v>35548</v>
      </c>
      <c r="L1499" s="188">
        <v>35</v>
      </c>
      <c r="M1499" s="179" t="s">
        <v>151</v>
      </c>
    </row>
    <row r="1500" spans="1:13" ht="25.5">
      <c r="A1500" s="313" t="str">
        <f t="shared" si="23"/>
        <v>ArrestSysEnergyAbsCode_diskBEFAB_6_3</v>
      </c>
      <c r="B1500" s="330"/>
      <c r="C1500" s="334"/>
      <c r="D1500" s="188" t="s">
        <v>17115</v>
      </c>
      <c r="E1500" s="189" t="s">
        <v>17116</v>
      </c>
      <c r="F1500" s="162" t="s">
        <v>17117</v>
      </c>
      <c r="G1500" s="162" t="s">
        <v>16976</v>
      </c>
      <c r="H1500" s="221" t="s">
        <v>17118</v>
      </c>
      <c r="I1500" s="169">
        <v>115533</v>
      </c>
      <c r="J1500" s="304" t="str">
        <f>CONCATENATE([2]Cover!$D$6,"fdd/view?i=",I1500)</f>
        <v>https://www.dgiwg.org/FAD/fdd/view?i=115533</v>
      </c>
      <c r="K1500" s="304" t="s">
        <v>35549</v>
      </c>
      <c r="L1500" s="188">
        <v>36</v>
      </c>
      <c r="M1500" s="179" t="s">
        <v>151</v>
      </c>
    </row>
    <row r="1501" spans="1:13" ht="25.5">
      <c r="A1501" s="313" t="str">
        <f t="shared" si="23"/>
        <v>ArrestSysEnergyAbsCode_diskBEFAB_60_2</v>
      </c>
      <c r="B1501" s="330"/>
      <c r="C1501" s="334"/>
      <c r="D1501" s="188" t="s">
        <v>17119</v>
      </c>
      <c r="E1501" s="189" t="s">
        <v>17120</v>
      </c>
      <c r="F1501" s="162" t="s">
        <v>17121</v>
      </c>
      <c r="G1501" s="162" t="s">
        <v>16976</v>
      </c>
      <c r="H1501" s="221" t="s">
        <v>17122</v>
      </c>
      <c r="I1501" s="169">
        <v>115534</v>
      </c>
      <c r="J1501" s="304" t="str">
        <f>CONCATENATE([2]Cover!$D$6,"fdd/view?i=",I1501)</f>
        <v>https://www.dgiwg.org/FAD/fdd/view?i=115534</v>
      </c>
      <c r="K1501" s="304" t="s">
        <v>35550</v>
      </c>
      <c r="L1501" s="188">
        <v>37</v>
      </c>
      <c r="M1501" s="179" t="s">
        <v>151</v>
      </c>
    </row>
    <row r="1502" spans="1:13" ht="25.5">
      <c r="A1502" s="313" t="str">
        <f t="shared" si="23"/>
        <v>ArrestSysEnergyAbsCode_diskBEFAB_8_3</v>
      </c>
      <c r="B1502" s="330"/>
      <c r="C1502" s="334"/>
      <c r="D1502" s="188" t="s">
        <v>17123</v>
      </c>
      <c r="E1502" s="189" t="s">
        <v>17124</v>
      </c>
      <c r="F1502" s="162" t="s">
        <v>17125</v>
      </c>
      <c r="G1502" s="162" t="s">
        <v>16976</v>
      </c>
      <c r="H1502" s="221" t="s">
        <v>17126</v>
      </c>
      <c r="I1502" s="169">
        <v>115535</v>
      </c>
      <c r="J1502" s="304" t="str">
        <f>CONCATENATE([2]Cover!$D$6,"fdd/view?i=",I1502)</f>
        <v>https://www.dgiwg.org/FAD/fdd/view?i=115535</v>
      </c>
      <c r="K1502" s="304" t="s">
        <v>35551</v>
      </c>
      <c r="L1502" s="188">
        <v>38</v>
      </c>
      <c r="M1502" s="179" t="s">
        <v>151</v>
      </c>
    </row>
    <row r="1503" spans="1:13" ht="25.5">
      <c r="A1503" s="313" t="str">
        <f t="shared" si="23"/>
        <v>ArrestSysEnergyAbsCode_diskRAF_MK_12A</v>
      </c>
      <c r="B1503" s="330"/>
      <c r="C1503" s="334"/>
      <c r="D1503" s="188" t="s">
        <v>17211</v>
      </c>
      <c r="E1503" s="189" t="s">
        <v>17212</v>
      </c>
      <c r="F1503" s="162" t="s">
        <v>17213</v>
      </c>
      <c r="G1503" s="162" t="s">
        <v>17186</v>
      </c>
      <c r="H1503" s="221" t="s">
        <v>17212</v>
      </c>
      <c r="I1503" s="169">
        <v>115562</v>
      </c>
      <c r="J1503" s="304" t="str">
        <f>CONCATENATE([2]Cover!$D$6,"fdd/view?i=",I1503)</f>
        <v>https://www.dgiwg.org/FAD/fdd/view?i=115562</v>
      </c>
      <c r="K1503" s="304" t="s">
        <v>35552</v>
      </c>
      <c r="L1503" s="188">
        <v>65</v>
      </c>
      <c r="M1503" s="179" t="s">
        <v>151</v>
      </c>
    </row>
    <row r="1504" spans="1:13" ht="25.5">
      <c r="A1504" s="313" t="str">
        <f t="shared" si="23"/>
        <v>ArrestSysEnergyAbsCode_diskRAF_MK_6</v>
      </c>
      <c r="B1504" s="330"/>
      <c r="C1504" s="334"/>
      <c r="D1504" s="188" t="s">
        <v>17214</v>
      </c>
      <c r="E1504" s="189" t="s">
        <v>17215</v>
      </c>
      <c r="F1504" s="162" t="s">
        <v>17216</v>
      </c>
      <c r="G1504" s="162" t="s">
        <v>16976</v>
      </c>
      <c r="H1504" s="221" t="s">
        <v>17215</v>
      </c>
      <c r="I1504" s="169">
        <v>115563</v>
      </c>
      <c r="J1504" s="304" t="str">
        <f>CONCATENATE([2]Cover!$D$6,"fdd/view?i=",I1504)</f>
        <v>https://www.dgiwg.org/FAD/fdd/view?i=115563</v>
      </c>
      <c r="K1504" s="304" t="s">
        <v>35553</v>
      </c>
      <c r="L1504" s="188">
        <v>66</v>
      </c>
      <c r="M1504" s="179" t="s">
        <v>151</v>
      </c>
    </row>
    <row r="1505" spans="1:13" ht="38.25">
      <c r="A1505" s="313" t="str">
        <f t="shared" si="23"/>
        <v>ArrestSysEnergyAbsCode_diskRafTypeA_BEFAB_6_3</v>
      </c>
      <c r="B1505" s="330"/>
      <c r="C1505" s="334"/>
      <c r="D1505" s="188" t="s">
        <v>17220</v>
      </c>
      <c r="E1505" s="189" t="s">
        <v>17221</v>
      </c>
      <c r="F1505" s="162" t="s">
        <v>17222</v>
      </c>
      <c r="G1505" s="162" t="s">
        <v>17186</v>
      </c>
      <c r="H1505" s="221" t="s">
        <v>17221</v>
      </c>
      <c r="I1505" s="169">
        <v>115565</v>
      </c>
      <c r="J1505" s="304" t="str">
        <f>CONCATENATE([2]Cover!$D$6,"fdd/view?i=",I1505)</f>
        <v>https://www.dgiwg.org/FAD/fdd/view?i=115565</v>
      </c>
      <c r="K1505" s="304" t="s">
        <v>35554</v>
      </c>
      <c r="L1505" s="188">
        <v>68</v>
      </c>
      <c r="M1505" s="179" t="s">
        <v>151</v>
      </c>
    </row>
    <row r="1506" spans="1:13" ht="38.25">
      <c r="A1506" s="313" t="str">
        <f t="shared" si="23"/>
        <v>ArrestSysEnergyAbsCode_diskRafTypeB_BEFAB_12_3</v>
      </c>
      <c r="B1506" s="330"/>
      <c r="C1506" s="334"/>
      <c r="D1506" s="188" t="s">
        <v>17223</v>
      </c>
      <c r="E1506" s="189" t="s">
        <v>17224</v>
      </c>
      <c r="F1506" s="162" t="s">
        <v>17225</v>
      </c>
      <c r="G1506" s="162" t="s">
        <v>17186</v>
      </c>
      <c r="H1506" s="221" t="s">
        <v>17224</v>
      </c>
      <c r="I1506" s="169">
        <v>115566</v>
      </c>
      <c r="J1506" s="304" t="str">
        <f>CONCATENATE([2]Cover!$D$6,"fdd/view?i=",I1506)</f>
        <v>https://www.dgiwg.org/FAD/fdd/view?i=115566</v>
      </c>
      <c r="K1506" s="304" t="s">
        <v>35555</v>
      </c>
      <c r="L1506" s="188">
        <v>69</v>
      </c>
      <c r="M1506" s="179" t="s">
        <v>151</v>
      </c>
    </row>
    <row r="1507" spans="1:13" ht="38.25">
      <c r="A1507" s="313" t="str">
        <f t="shared" si="23"/>
        <v>ArrestSysEnergyAbsCode_engMatArrestSystem</v>
      </c>
      <c r="B1507" s="330"/>
      <c r="C1507" s="334"/>
      <c r="D1507" s="188" t="s">
        <v>17157</v>
      </c>
      <c r="E1507" s="189" t="s">
        <v>17158</v>
      </c>
      <c r="F1507" s="162" t="s">
        <v>17159</v>
      </c>
      <c r="G1507" s="190"/>
      <c r="H1507" s="219"/>
      <c r="I1507" s="169">
        <v>115571</v>
      </c>
      <c r="J1507" s="304" t="str">
        <f>CONCATENATE([2]Cover!$D$6,"fdd/view?i=",I1507)</f>
        <v>https://www.dgiwg.org/FAD/fdd/view?i=115571</v>
      </c>
      <c r="K1507" s="304" t="s">
        <v>35556</v>
      </c>
      <c r="L1507" s="188">
        <v>74</v>
      </c>
      <c r="M1507" s="179" t="s">
        <v>151</v>
      </c>
    </row>
    <row r="1508" spans="1:13" ht="25.5">
      <c r="A1508" s="313" t="str">
        <f t="shared" si="23"/>
        <v>ArrestSysEnergyAbsCode_linearBAK_6</v>
      </c>
      <c r="B1508" s="330"/>
      <c r="C1508" s="334"/>
      <c r="D1508" s="188" t="s">
        <v>17086</v>
      </c>
      <c r="E1508" s="189" t="s">
        <v>17087</v>
      </c>
      <c r="F1508" s="162" t="s">
        <v>17088</v>
      </c>
      <c r="G1508" s="162" t="s">
        <v>17089</v>
      </c>
      <c r="H1508" s="221" t="s">
        <v>17090</v>
      </c>
      <c r="I1508" s="169">
        <v>115526</v>
      </c>
      <c r="J1508" s="304" t="str">
        <f>CONCATENATE([2]Cover!$D$6,"fdd/view?i=",I1508)</f>
        <v>https://www.dgiwg.org/FAD/fdd/view?i=115526</v>
      </c>
      <c r="K1508" s="304" t="s">
        <v>35557</v>
      </c>
      <c r="L1508" s="188">
        <v>29</v>
      </c>
      <c r="M1508" s="179" t="s">
        <v>151</v>
      </c>
    </row>
    <row r="1509" spans="1:13" ht="25.5">
      <c r="A1509" s="313" t="str">
        <f t="shared" si="23"/>
        <v>ArrestSysEnergyAbsCode_linearSPRAG_MK_1</v>
      </c>
      <c r="B1509" s="330"/>
      <c r="C1509" s="334"/>
      <c r="D1509" s="188" t="s">
        <v>17235</v>
      </c>
      <c r="E1509" s="189" t="s">
        <v>17236</v>
      </c>
      <c r="F1509" s="162" t="s">
        <v>17237</v>
      </c>
      <c r="G1509" s="162" t="s">
        <v>17089</v>
      </c>
      <c r="H1509" s="221" t="s">
        <v>17236</v>
      </c>
      <c r="I1509" s="169">
        <v>115570</v>
      </c>
      <c r="J1509" s="304" t="str">
        <f>CONCATENATE([2]Cover!$D$6,"fdd/view?i=",I1509)</f>
        <v>https://www.dgiwg.org/FAD/fdd/view?i=115570</v>
      </c>
      <c r="K1509" s="304" t="s">
        <v>35558</v>
      </c>
      <c r="L1509" s="188">
        <v>73</v>
      </c>
      <c r="M1509" s="179" t="s">
        <v>151</v>
      </c>
    </row>
    <row r="1510" spans="1:13" ht="51">
      <c r="A1510" s="313" t="str">
        <f t="shared" si="23"/>
        <v>ArrestSysEnergyAbsCode_mobileRotaryHydraulicWater</v>
      </c>
      <c r="B1510" s="330"/>
      <c r="C1510" s="334"/>
      <c r="D1510" s="188" t="s">
        <v>17205</v>
      </c>
      <c r="E1510" s="189" t="s">
        <v>17206</v>
      </c>
      <c r="F1510" s="162" t="s">
        <v>17207</v>
      </c>
      <c r="G1510" s="190"/>
      <c r="H1510" s="221" t="s">
        <v>17206</v>
      </c>
      <c r="I1510" s="169">
        <v>115560</v>
      </c>
      <c r="J1510" s="304" t="str">
        <f>CONCATENATE([2]Cover!$D$6,"fdd/view?i=",I1510)</f>
        <v>https://www.dgiwg.org/FAD/fdd/view?i=115560</v>
      </c>
      <c r="K1510" s="304" t="s">
        <v>35559</v>
      </c>
      <c r="L1510" s="188">
        <v>63</v>
      </c>
      <c r="M1510" s="179" t="s">
        <v>151</v>
      </c>
    </row>
    <row r="1511" spans="1:13" ht="25.5">
      <c r="A1511" s="313" t="str">
        <f t="shared" si="23"/>
        <v>ArrestSysEnergyAbsCode_mobileRotaryM21</v>
      </c>
      <c r="B1511" s="330"/>
      <c r="C1511" s="334"/>
      <c r="D1511" s="188" t="s">
        <v>17163</v>
      </c>
      <c r="E1511" s="189" t="s">
        <v>17164</v>
      </c>
      <c r="F1511" s="162" t="s">
        <v>17165</v>
      </c>
      <c r="G1511" s="162" t="s">
        <v>16976</v>
      </c>
      <c r="H1511" s="221" t="s">
        <v>17164</v>
      </c>
      <c r="I1511" s="169">
        <v>115547</v>
      </c>
      <c r="J1511" s="304" t="str">
        <f>CONCATENATE([2]Cover!$D$6,"fdd/view?i=",I1511)</f>
        <v>https://www.dgiwg.org/FAD/fdd/view?i=115547</v>
      </c>
      <c r="K1511" s="304" t="s">
        <v>35560</v>
      </c>
      <c r="L1511" s="188">
        <v>50</v>
      </c>
      <c r="M1511" s="179" t="s">
        <v>151</v>
      </c>
    </row>
    <row r="1512" spans="1:13" ht="38.25">
      <c r="A1512" s="313" t="str">
        <f t="shared" si="23"/>
        <v>ArrestSysEnergyAbsCode_mobileRotaryMAAS</v>
      </c>
      <c r="B1512" s="330"/>
      <c r="C1512" s="334"/>
      <c r="D1512" s="188" t="s">
        <v>17166</v>
      </c>
      <c r="E1512" s="189" t="s">
        <v>17167</v>
      </c>
      <c r="F1512" s="162" t="s">
        <v>17168</v>
      </c>
      <c r="G1512" s="162" t="s">
        <v>17169</v>
      </c>
      <c r="H1512" s="221" t="s">
        <v>17170</v>
      </c>
      <c r="I1512" s="169">
        <v>115548</v>
      </c>
      <c r="J1512" s="304" t="str">
        <f>CONCATENATE([2]Cover!$D$6,"fdd/view?i=",I1512)</f>
        <v>https://www.dgiwg.org/FAD/fdd/view?i=115548</v>
      </c>
      <c r="K1512" s="304" t="s">
        <v>35561</v>
      </c>
      <c r="L1512" s="188">
        <v>51</v>
      </c>
      <c r="M1512" s="179" t="s">
        <v>151</v>
      </c>
    </row>
    <row r="1513" spans="1:13" ht="25.5">
      <c r="A1513" s="313" t="str">
        <f t="shared" si="23"/>
        <v>ArrestSysEnergyAbsCode_mobileRotaryMAG_I</v>
      </c>
      <c r="B1513" s="330"/>
      <c r="C1513" s="334"/>
      <c r="D1513" s="188" t="s">
        <v>17171</v>
      </c>
      <c r="E1513" s="189" t="s">
        <v>17172</v>
      </c>
      <c r="F1513" s="162" t="s">
        <v>17173</v>
      </c>
      <c r="G1513" s="162" t="s">
        <v>17089</v>
      </c>
      <c r="H1513" s="221" t="s">
        <v>17172</v>
      </c>
      <c r="I1513" s="169">
        <v>115549</v>
      </c>
      <c r="J1513" s="304" t="str">
        <f>CONCATENATE([2]Cover!$D$6,"fdd/view?i=",I1513)</f>
        <v>https://www.dgiwg.org/FAD/fdd/view?i=115549</v>
      </c>
      <c r="K1513" s="304" t="s">
        <v>35562</v>
      </c>
      <c r="L1513" s="188">
        <v>52</v>
      </c>
      <c r="M1513" s="179" t="s">
        <v>151</v>
      </c>
    </row>
    <row r="1514" spans="1:13" ht="25.5">
      <c r="A1514" s="313" t="str">
        <f t="shared" si="23"/>
        <v>ArrestSysEnergyAbsCode_mobileRotaryMAG_II</v>
      </c>
      <c r="B1514" s="330"/>
      <c r="C1514" s="334"/>
      <c r="D1514" s="188" t="s">
        <v>17174</v>
      </c>
      <c r="E1514" s="189" t="s">
        <v>17175</v>
      </c>
      <c r="F1514" s="162" t="s">
        <v>17176</v>
      </c>
      <c r="G1514" s="162" t="s">
        <v>17089</v>
      </c>
      <c r="H1514" s="221" t="s">
        <v>17175</v>
      </c>
      <c r="I1514" s="169">
        <v>115550</v>
      </c>
      <c r="J1514" s="304" t="str">
        <f>CONCATENATE([2]Cover!$D$6,"fdd/view?i=",I1514)</f>
        <v>https://www.dgiwg.org/FAD/fdd/view?i=115550</v>
      </c>
      <c r="K1514" s="304" t="s">
        <v>35563</v>
      </c>
      <c r="L1514" s="188">
        <v>53</v>
      </c>
      <c r="M1514" s="179" t="s">
        <v>151</v>
      </c>
    </row>
    <row r="1515" spans="1:13" ht="25.5">
      <c r="A1515" s="313" t="str">
        <f t="shared" si="23"/>
        <v>ArrestSysEnergyAbsCode_mobileRotaryMAG_III</v>
      </c>
      <c r="B1515" s="330"/>
      <c r="C1515" s="334"/>
      <c r="D1515" s="188" t="s">
        <v>17177</v>
      </c>
      <c r="E1515" s="189" t="s">
        <v>17178</v>
      </c>
      <c r="F1515" s="162" t="s">
        <v>17179</v>
      </c>
      <c r="G1515" s="162" t="s">
        <v>17089</v>
      </c>
      <c r="H1515" s="221" t="s">
        <v>17178</v>
      </c>
      <c r="I1515" s="169">
        <v>115551</v>
      </c>
      <c r="J1515" s="304" t="str">
        <f>CONCATENATE([2]Cover!$D$6,"fdd/view?i=",I1515)</f>
        <v>https://www.dgiwg.org/FAD/fdd/view?i=115551</v>
      </c>
      <c r="K1515" s="304" t="s">
        <v>35564</v>
      </c>
      <c r="L1515" s="188">
        <v>54</v>
      </c>
      <c r="M1515" s="179" t="s">
        <v>151</v>
      </c>
    </row>
    <row r="1516" spans="1:13" ht="25.5">
      <c r="A1516" s="313" t="str">
        <f t="shared" si="23"/>
        <v>ArrestSysEnergyAbsCode_mobileRotaryMAG_IV</v>
      </c>
      <c r="B1516" s="330"/>
      <c r="C1516" s="334"/>
      <c r="D1516" s="188" t="s">
        <v>17180</v>
      </c>
      <c r="E1516" s="189" t="s">
        <v>17181</v>
      </c>
      <c r="F1516" s="162" t="s">
        <v>17182</v>
      </c>
      <c r="G1516" s="162" t="s">
        <v>17089</v>
      </c>
      <c r="H1516" s="221" t="s">
        <v>17181</v>
      </c>
      <c r="I1516" s="169">
        <v>115552</v>
      </c>
      <c r="J1516" s="304" t="str">
        <f>CONCATENATE([2]Cover!$D$6,"fdd/view?i=",I1516)</f>
        <v>https://www.dgiwg.org/FAD/fdd/view?i=115552</v>
      </c>
      <c r="K1516" s="304" t="s">
        <v>35565</v>
      </c>
      <c r="L1516" s="188">
        <v>55</v>
      </c>
      <c r="M1516" s="179" t="s">
        <v>151</v>
      </c>
    </row>
    <row r="1517" spans="1:13" ht="25.5">
      <c r="A1517" s="313" t="str">
        <f t="shared" si="23"/>
        <v>ArrestSysEnergyAbsCode_mobileRotaryMAG_IX</v>
      </c>
      <c r="B1517" s="330"/>
      <c r="C1517" s="334"/>
      <c r="D1517" s="188" t="s">
        <v>17183</v>
      </c>
      <c r="E1517" s="189" t="s">
        <v>17184</v>
      </c>
      <c r="F1517" s="162" t="s">
        <v>17185</v>
      </c>
      <c r="G1517" s="162" t="s">
        <v>17186</v>
      </c>
      <c r="H1517" s="221" t="s">
        <v>17184</v>
      </c>
      <c r="I1517" s="169">
        <v>115553</v>
      </c>
      <c r="J1517" s="304" t="str">
        <f>CONCATENATE([2]Cover!$D$6,"fdd/view?i=",I1517)</f>
        <v>https://www.dgiwg.org/FAD/fdd/view?i=115553</v>
      </c>
      <c r="K1517" s="304" t="s">
        <v>35566</v>
      </c>
      <c r="L1517" s="188">
        <v>56</v>
      </c>
      <c r="M1517" s="179" t="s">
        <v>151</v>
      </c>
    </row>
    <row r="1518" spans="1:13" ht="25.5">
      <c r="A1518" s="313" t="str">
        <f t="shared" si="23"/>
        <v>ArrestSysEnergyAbsCode_mobileRotaryMAG_VI</v>
      </c>
      <c r="B1518" s="330"/>
      <c r="C1518" s="334"/>
      <c r="D1518" s="188" t="s">
        <v>17187</v>
      </c>
      <c r="E1518" s="189" t="s">
        <v>17188</v>
      </c>
      <c r="F1518" s="162" t="s">
        <v>17189</v>
      </c>
      <c r="G1518" s="162" t="s">
        <v>17089</v>
      </c>
      <c r="H1518" s="221" t="s">
        <v>17188</v>
      </c>
      <c r="I1518" s="169">
        <v>115554</v>
      </c>
      <c r="J1518" s="304" t="str">
        <f>CONCATENATE([2]Cover!$D$6,"fdd/view?i=",I1518)</f>
        <v>https://www.dgiwg.org/FAD/fdd/view?i=115554</v>
      </c>
      <c r="K1518" s="304" t="s">
        <v>35567</v>
      </c>
      <c r="L1518" s="188">
        <v>57</v>
      </c>
      <c r="M1518" s="179" t="s">
        <v>151</v>
      </c>
    </row>
    <row r="1519" spans="1:13" ht="25.5">
      <c r="A1519" s="313" t="str">
        <f t="shared" si="23"/>
        <v>ArrestSysEnergyAbsCode_mobileRotaryMAG_VII</v>
      </c>
      <c r="B1519" s="330"/>
      <c r="C1519" s="334"/>
      <c r="D1519" s="188" t="s">
        <v>17190</v>
      </c>
      <c r="E1519" s="189" t="s">
        <v>17191</v>
      </c>
      <c r="F1519" s="162" t="s">
        <v>17192</v>
      </c>
      <c r="G1519" s="162" t="s">
        <v>17186</v>
      </c>
      <c r="H1519" s="221" t="s">
        <v>17191</v>
      </c>
      <c r="I1519" s="169">
        <v>115555</v>
      </c>
      <c r="J1519" s="304" t="str">
        <f>CONCATENATE([2]Cover!$D$6,"fdd/view?i=",I1519)</f>
        <v>https://www.dgiwg.org/FAD/fdd/view?i=115555</v>
      </c>
      <c r="K1519" s="304" t="s">
        <v>35568</v>
      </c>
      <c r="L1519" s="188">
        <v>58</v>
      </c>
      <c r="M1519" s="179" t="s">
        <v>151</v>
      </c>
    </row>
    <row r="1520" spans="1:13" ht="25.5">
      <c r="A1520" s="313" t="str">
        <f t="shared" si="23"/>
        <v>ArrestSysEnergyAbsCode_mobileRotaryMAG_VIII</v>
      </c>
      <c r="B1520" s="330"/>
      <c r="C1520" s="334"/>
      <c r="D1520" s="188" t="s">
        <v>17193</v>
      </c>
      <c r="E1520" s="189" t="s">
        <v>17194</v>
      </c>
      <c r="F1520" s="162" t="s">
        <v>17195</v>
      </c>
      <c r="G1520" s="162" t="s">
        <v>17089</v>
      </c>
      <c r="H1520" s="221" t="s">
        <v>17194</v>
      </c>
      <c r="I1520" s="169">
        <v>115556</v>
      </c>
      <c r="J1520" s="304" t="str">
        <f>CONCATENATE([2]Cover!$D$6,"fdd/view?i=",I1520)</f>
        <v>https://www.dgiwg.org/FAD/fdd/view?i=115556</v>
      </c>
      <c r="K1520" s="304" t="s">
        <v>35569</v>
      </c>
      <c r="L1520" s="188">
        <v>59</v>
      </c>
      <c r="M1520" s="179" t="s">
        <v>151</v>
      </c>
    </row>
    <row r="1521" spans="1:13" ht="25.5">
      <c r="A1521" s="313" t="str">
        <f t="shared" si="23"/>
        <v>ArrestSysEnergyAbsCode_mobileRotaryMAG_X</v>
      </c>
      <c r="B1521" s="330"/>
      <c r="C1521" s="334"/>
      <c r="D1521" s="188" t="s">
        <v>17196</v>
      </c>
      <c r="E1521" s="189" t="s">
        <v>17197</v>
      </c>
      <c r="F1521" s="162" t="s">
        <v>17198</v>
      </c>
      <c r="G1521" s="162" t="s">
        <v>17089</v>
      </c>
      <c r="H1521" s="221" t="s">
        <v>17197</v>
      </c>
      <c r="I1521" s="169">
        <v>115557</v>
      </c>
      <c r="J1521" s="304" t="str">
        <f>CONCATENATE([2]Cover!$D$6,"fdd/view?i=",I1521)</f>
        <v>https://www.dgiwg.org/FAD/fdd/view?i=115557</v>
      </c>
      <c r="K1521" s="304" t="s">
        <v>35570</v>
      </c>
      <c r="L1521" s="188">
        <v>60</v>
      </c>
      <c r="M1521" s="179" t="s">
        <v>151</v>
      </c>
    </row>
    <row r="1522" spans="1:13" ht="25.5">
      <c r="A1522" s="313" t="str">
        <f t="shared" si="23"/>
        <v>ArrestSysEnergyAbsCode_rafPortableArrestingGear</v>
      </c>
      <c r="B1522" s="330"/>
      <c r="C1522" s="334"/>
      <c r="D1522" s="188" t="s">
        <v>17217</v>
      </c>
      <c r="E1522" s="189" t="s">
        <v>17218</v>
      </c>
      <c r="F1522" s="162" t="s">
        <v>17219</v>
      </c>
      <c r="G1522" s="162" t="s">
        <v>17089</v>
      </c>
      <c r="H1522" s="221" t="s">
        <v>17218</v>
      </c>
      <c r="I1522" s="169">
        <v>115564</v>
      </c>
      <c r="J1522" s="304" t="str">
        <f>CONCATENATE([2]Cover!$D$6,"fdd/view?i=",I1522)</f>
        <v>https://www.dgiwg.org/FAD/fdd/view?i=115564</v>
      </c>
      <c r="K1522" s="304" t="s">
        <v>35571</v>
      </c>
      <c r="L1522" s="188">
        <v>67</v>
      </c>
      <c r="M1522" s="179" t="s">
        <v>151</v>
      </c>
    </row>
    <row r="1523" spans="1:13" ht="25.5">
      <c r="A1523" s="313" t="str">
        <f t="shared" si="23"/>
        <v>ArrestSysEnergyAbsCode_rotary1300</v>
      </c>
      <c r="B1523" s="330"/>
      <c r="C1523" s="334"/>
      <c r="D1523" s="188" t="s">
        <v>16973</v>
      </c>
      <c r="E1523" s="189" t="s">
        <v>16974</v>
      </c>
      <c r="F1523" s="162" t="s">
        <v>16975</v>
      </c>
      <c r="G1523" s="162" t="s">
        <v>16976</v>
      </c>
      <c r="H1523" s="221" t="s">
        <v>16977</v>
      </c>
      <c r="I1523" s="169">
        <v>115498</v>
      </c>
      <c r="J1523" s="304" t="str">
        <f>CONCATENATE([2]Cover!$D$6,"fdd/view?i=",I1523)</f>
        <v>https://www.dgiwg.org/FAD/fdd/view?i=115498</v>
      </c>
      <c r="K1523" s="304" t="s">
        <v>35572</v>
      </c>
      <c r="L1523" s="188">
        <v>1</v>
      </c>
      <c r="M1523" s="179" t="s">
        <v>151</v>
      </c>
    </row>
    <row r="1524" spans="1:13" ht="25.5">
      <c r="A1524" s="313" t="str">
        <f t="shared" si="23"/>
        <v>ArrestSysEnergyAbsCode_rotary2800</v>
      </c>
      <c r="B1524" s="330"/>
      <c r="C1524" s="334"/>
      <c r="D1524" s="188" t="s">
        <v>16978</v>
      </c>
      <c r="E1524" s="189" t="s">
        <v>16979</v>
      </c>
      <c r="F1524" s="162" t="s">
        <v>16980</v>
      </c>
      <c r="G1524" s="162" t="s">
        <v>16976</v>
      </c>
      <c r="H1524" s="221" t="s">
        <v>16981</v>
      </c>
      <c r="I1524" s="169">
        <v>115499</v>
      </c>
      <c r="J1524" s="304" t="str">
        <f>CONCATENATE([2]Cover!$D$6,"fdd/view?i=",I1524)</f>
        <v>https://www.dgiwg.org/FAD/fdd/view?i=115499</v>
      </c>
      <c r="K1524" s="304" t="s">
        <v>35573</v>
      </c>
      <c r="L1524" s="188">
        <v>2</v>
      </c>
      <c r="M1524" s="179" t="s">
        <v>151</v>
      </c>
    </row>
    <row r="1525" spans="1:13" ht="25.5">
      <c r="A1525" s="313" t="str">
        <f t="shared" si="23"/>
        <v>ArrestSysEnergyAbsCode_rotary34B_1A</v>
      </c>
      <c r="B1525" s="330"/>
      <c r="C1525" s="334"/>
      <c r="D1525" s="188" t="s">
        <v>16982</v>
      </c>
      <c r="E1525" s="189" t="s">
        <v>16983</v>
      </c>
      <c r="F1525" s="162" t="s">
        <v>16984</v>
      </c>
      <c r="G1525" s="162" t="s">
        <v>16976</v>
      </c>
      <c r="H1525" s="221" t="s">
        <v>16985</v>
      </c>
      <c r="I1525" s="169">
        <v>115500</v>
      </c>
      <c r="J1525" s="304" t="str">
        <f>CONCATENATE([2]Cover!$D$6,"fdd/view?i=",I1525)</f>
        <v>https://www.dgiwg.org/FAD/fdd/view?i=115500</v>
      </c>
      <c r="K1525" s="304" t="s">
        <v>35574</v>
      </c>
      <c r="L1525" s="188">
        <v>3</v>
      </c>
      <c r="M1525" s="179" t="s">
        <v>151</v>
      </c>
    </row>
    <row r="1526" spans="1:13" ht="25.5">
      <c r="A1526" s="313" t="str">
        <f t="shared" si="23"/>
        <v>ArrestSysEnergyAbsCode_rotary34B_1B</v>
      </c>
      <c r="B1526" s="330"/>
      <c r="C1526" s="334"/>
      <c r="D1526" s="188" t="s">
        <v>16986</v>
      </c>
      <c r="E1526" s="189" t="s">
        <v>16987</v>
      </c>
      <c r="F1526" s="162" t="s">
        <v>16988</v>
      </c>
      <c r="G1526" s="162" t="s">
        <v>16976</v>
      </c>
      <c r="H1526" s="221" t="s">
        <v>16989</v>
      </c>
      <c r="I1526" s="169">
        <v>115501</v>
      </c>
      <c r="J1526" s="304" t="str">
        <f>CONCATENATE([2]Cover!$D$6,"fdd/view?i=",I1526)</f>
        <v>https://www.dgiwg.org/FAD/fdd/view?i=115501</v>
      </c>
      <c r="K1526" s="304" t="s">
        <v>35575</v>
      </c>
      <c r="L1526" s="188">
        <v>4</v>
      </c>
      <c r="M1526" s="179" t="s">
        <v>151</v>
      </c>
    </row>
    <row r="1527" spans="1:13" ht="25.5">
      <c r="A1527" s="313" t="str">
        <f t="shared" si="23"/>
        <v>ArrestSysEnergyAbsCode_rotary34B_1C</v>
      </c>
      <c r="B1527" s="330"/>
      <c r="C1527" s="334"/>
      <c r="D1527" s="188" t="s">
        <v>16990</v>
      </c>
      <c r="E1527" s="189" t="s">
        <v>16991</v>
      </c>
      <c r="F1527" s="162" t="s">
        <v>16992</v>
      </c>
      <c r="G1527" s="162" t="s">
        <v>16976</v>
      </c>
      <c r="H1527" s="221" t="s">
        <v>16993</v>
      </c>
      <c r="I1527" s="169">
        <v>115502</v>
      </c>
      <c r="J1527" s="304" t="str">
        <f>CONCATENATE([2]Cover!$D$6,"fdd/view?i=",I1527)</f>
        <v>https://www.dgiwg.org/FAD/fdd/view?i=115502</v>
      </c>
      <c r="K1527" s="304" t="s">
        <v>35576</v>
      </c>
      <c r="L1527" s="188">
        <v>5</v>
      </c>
      <c r="M1527" s="179" t="s">
        <v>151</v>
      </c>
    </row>
    <row r="1528" spans="1:13" ht="25.5">
      <c r="A1528" s="313" t="str">
        <f t="shared" si="23"/>
        <v>ArrestSysEnergyAbsCode_rotary34D_1F</v>
      </c>
      <c r="B1528" s="330"/>
      <c r="C1528" s="334"/>
      <c r="D1528" s="188" t="s">
        <v>16994</v>
      </c>
      <c r="E1528" s="189" t="s">
        <v>16995</v>
      </c>
      <c r="F1528" s="162" t="s">
        <v>16996</v>
      </c>
      <c r="G1528" s="162" t="s">
        <v>16976</v>
      </c>
      <c r="H1528" s="221" t="s">
        <v>16997</v>
      </c>
      <c r="I1528" s="169">
        <v>115503</v>
      </c>
      <c r="J1528" s="304" t="str">
        <f>CONCATENATE([2]Cover!$D$6,"fdd/view?i=",I1528)</f>
        <v>https://www.dgiwg.org/FAD/fdd/view?i=115503</v>
      </c>
      <c r="K1528" s="304" t="s">
        <v>35577</v>
      </c>
      <c r="L1528" s="188">
        <v>6</v>
      </c>
      <c r="M1528" s="179" t="s">
        <v>151</v>
      </c>
    </row>
    <row r="1529" spans="1:13" ht="25.5">
      <c r="A1529" s="313" t="str">
        <f t="shared" si="23"/>
        <v>ArrestSysEnergyAbsCode_rotary44B_2C</v>
      </c>
      <c r="B1529" s="330"/>
      <c r="C1529" s="334"/>
      <c r="D1529" s="188" t="s">
        <v>16998</v>
      </c>
      <c r="E1529" s="189" t="s">
        <v>16999</v>
      </c>
      <c r="F1529" s="162" t="s">
        <v>17000</v>
      </c>
      <c r="G1529" s="162" t="s">
        <v>16976</v>
      </c>
      <c r="H1529" s="221" t="s">
        <v>17001</v>
      </c>
      <c r="I1529" s="169">
        <v>115504</v>
      </c>
      <c r="J1529" s="304" t="str">
        <f>CONCATENATE([2]Cover!$D$6,"fdd/view?i=",I1529)</f>
        <v>https://www.dgiwg.org/FAD/fdd/view?i=115504</v>
      </c>
      <c r="K1529" s="304" t="s">
        <v>35578</v>
      </c>
      <c r="L1529" s="188">
        <v>7</v>
      </c>
      <c r="M1529" s="179" t="s">
        <v>151</v>
      </c>
    </row>
    <row r="1530" spans="1:13" ht="25.5">
      <c r="A1530" s="313" t="str">
        <f t="shared" si="23"/>
        <v>ArrestSysEnergyAbsCode_rotary44B_2D</v>
      </c>
      <c r="B1530" s="330"/>
      <c r="C1530" s="334"/>
      <c r="D1530" s="188" t="s">
        <v>17002</v>
      </c>
      <c r="E1530" s="189" t="s">
        <v>17003</v>
      </c>
      <c r="F1530" s="162" t="s">
        <v>17004</v>
      </c>
      <c r="G1530" s="162" t="s">
        <v>16976</v>
      </c>
      <c r="H1530" s="221" t="s">
        <v>17005</v>
      </c>
      <c r="I1530" s="169">
        <v>115505</v>
      </c>
      <c r="J1530" s="304" t="str">
        <f>CONCATENATE([2]Cover!$D$6,"fdd/view?i=",I1530)</f>
        <v>https://www.dgiwg.org/FAD/fdd/view?i=115505</v>
      </c>
      <c r="K1530" s="304" t="s">
        <v>35579</v>
      </c>
      <c r="L1530" s="188">
        <v>8</v>
      </c>
      <c r="M1530" s="179" t="s">
        <v>151</v>
      </c>
    </row>
    <row r="1531" spans="1:13" ht="25.5">
      <c r="A1531" s="313" t="str">
        <f t="shared" si="23"/>
        <v>ArrestSysEnergyAbsCode_rotary44B_2E</v>
      </c>
      <c r="B1531" s="330"/>
      <c r="C1531" s="334"/>
      <c r="D1531" s="188" t="s">
        <v>17006</v>
      </c>
      <c r="E1531" s="189" t="s">
        <v>17007</v>
      </c>
      <c r="F1531" s="162" t="s">
        <v>17008</v>
      </c>
      <c r="G1531" s="162" t="s">
        <v>16976</v>
      </c>
      <c r="H1531" s="221" t="s">
        <v>17009</v>
      </c>
      <c r="I1531" s="169">
        <v>115506</v>
      </c>
      <c r="J1531" s="304" t="str">
        <f>CONCATENATE([2]Cover!$D$6,"fdd/view?i=",I1531)</f>
        <v>https://www.dgiwg.org/FAD/fdd/view?i=115506</v>
      </c>
      <c r="K1531" s="304" t="s">
        <v>35580</v>
      </c>
      <c r="L1531" s="188">
        <v>9</v>
      </c>
      <c r="M1531" s="179" t="s">
        <v>151</v>
      </c>
    </row>
    <row r="1532" spans="1:13" ht="25.5">
      <c r="A1532" s="313" t="str">
        <f t="shared" si="23"/>
        <v>ArrestSysEnergyAbsCode_rotary44B_2F</v>
      </c>
      <c r="B1532" s="330"/>
      <c r="C1532" s="334"/>
      <c r="D1532" s="188" t="s">
        <v>17010</v>
      </c>
      <c r="E1532" s="189" t="s">
        <v>17011</v>
      </c>
      <c r="F1532" s="162" t="s">
        <v>17012</v>
      </c>
      <c r="G1532" s="162" t="s">
        <v>16976</v>
      </c>
      <c r="H1532" s="221" t="s">
        <v>17013</v>
      </c>
      <c r="I1532" s="169">
        <v>115507</v>
      </c>
      <c r="J1532" s="304" t="str">
        <f>CONCATENATE([2]Cover!$D$6,"fdd/view?i=",I1532)</f>
        <v>https://www.dgiwg.org/FAD/fdd/view?i=115507</v>
      </c>
      <c r="K1532" s="304" t="s">
        <v>35581</v>
      </c>
      <c r="L1532" s="188">
        <v>10</v>
      </c>
      <c r="M1532" s="179" t="s">
        <v>151</v>
      </c>
    </row>
    <row r="1533" spans="1:13" ht="25.5">
      <c r="A1533" s="313" t="str">
        <f t="shared" si="23"/>
        <v>ArrestSysEnergyAbsCode_rotary44B_2H</v>
      </c>
      <c r="B1533" s="330"/>
      <c r="C1533" s="334"/>
      <c r="D1533" s="188" t="s">
        <v>17014</v>
      </c>
      <c r="E1533" s="189" t="s">
        <v>17015</v>
      </c>
      <c r="F1533" s="162" t="s">
        <v>17016</v>
      </c>
      <c r="G1533" s="162" t="s">
        <v>16976</v>
      </c>
      <c r="H1533" s="221" t="s">
        <v>17017</v>
      </c>
      <c r="I1533" s="169">
        <v>115508</v>
      </c>
      <c r="J1533" s="304" t="str">
        <f>CONCATENATE([2]Cover!$D$6,"fdd/view?i=",I1533)</f>
        <v>https://www.dgiwg.org/FAD/fdd/view?i=115508</v>
      </c>
      <c r="K1533" s="304" t="s">
        <v>35582</v>
      </c>
      <c r="L1533" s="188">
        <v>11</v>
      </c>
      <c r="M1533" s="179" t="s">
        <v>151</v>
      </c>
    </row>
    <row r="1534" spans="1:13" ht="25.5">
      <c r="A1534" s="313" t="str">
        <f t="shared" si="23"/>
        <v>ArrestSysEnergyAbsCode_rotary44B_2I</v>
      </c>
      <c r="B1534" s="330"/>
      <c r="C1534" s="334"/>
      <c r="D1534" s="188" t="s">
        <v>17018</v>
      </c>
      <c r="E1534" s="189" t="s">
        <v>17019</v>
      </c>
      <c r="F1534" s="162" t="s">
        <v>17020</v>
      </c>
      <c r="G1534" s="162" t="s">
        <v>16976</v>
      </c>
      <c r="H1534" s="221" t="s">
        <v>17021</v>
      </c>
      <c r="I1534" s="169">
        <v>115509</v>
      </c>
      <c r="J1534" s="304" t="str">
        <f>CONCATENATE([2]Cover!$D$6,"fdd/view?i=",I1534)</f>
        <v>https://www.dgiwg.org/FAD/fdd/view?i=115509</v>
      </c>
      <c r="K1534" s="304" t="s">
        <v>35583</v>
      </c>
      <c r="L1534" s="188">
        <v>12</v>
      </c>
      <c r="M1534" s="179" t="s">
        <v>151</v>
      </c>
    </row>
    <row r="1535" spans="1:13" ht="25.5">
      <c r="A1535" s="313" t="str">
        <f t="shared" si="23"/>
        <v>ArrestSysEnergyAbsCode_rotary44B_2L</v>
      </c>
      <c r="B1535" s="330"/>
      <c r="C1535" s="334"/>
      <c r="D1535" s="188" t="s">
        <v>17022</v>
      </c>
      <c r="E1535" s="189" t="s">
        <v>17023</v>
      </c>
      <c r="F1535" s="162" t="s">
        <v>17024</v>
      </c>
      <c r="G1535" s="162" t="s">
        <v>16976</v>
      </c>
      <c r="H1535" s="221" t="s">
        <v>17025</v>
      </c>
      <c r="I1535" s="169">
        <v>115510</v>
      </c>
      <c r="J1535" s="304" t="str">
        <f>CONCATENATE([2]Cover!$D$6,"fdd/view?i=",I1535)</f>
        <v>https://www.dgiwg.org/FAD/fdd/view?i=115510</v>
      </c>
      <c r="K1535" s="304" t="s">
        <v>35584</v>
      </c>
      <c r="L1535" s="188">
        <v>13</v>
      </c>
      <c r="M1535" s="179" t="s">
        <v>151</v>
      </c>
    </row>
    <row r="1536" spans="1:13" ht="25.5">
      <c r="A1536" s="313" t="str">
        <f t="shared" si="23"/>
        <v>ArrestSysEnergyAbsCode_rotary44B_3A</v>
      </c>
      <c r="B1536" s="330"/>
      <c r="C1536" s="334"/>
      <c r="D1536" s="188" t="s">
        <v>17026</v>
      </c>
      <c r="E1536" s="189" t="s">
        <v>17027</v>
      </c>
      <c r="F1536" s="162" t="s">
        <v>17028</v>
      </c>
      <c r="G1536" s="162" t="s">
        <v>16976</v>
      </c>
      <c r="H1536" s="221" t="s">
        <v>17029</v>
      </c>
      <c r="I1536" s="169">
        <v>115511</v>
      </c>
      <c r="J1536" s="304" t="str">
        <f>CONCATENATE([2]Cover!$D$6,"fdd/view?i=",I1536)</f>
        <v>https://www.dgiwg.org/FAD/fdd/view?i=115511</v>
      </c>
      <c r="K1536" s="304" t="s">
        <v>35585</v>
      </c>
      <c r="L1536" s="188">
        <v>14</v>
      </c>
      <c r="M1536" s="179" t="s">
        <v>151</v>
      </c>
    </row>
    <row r="1537" spans="1:13" ht="25.5">
      <c r="A1537" s="313" t="str">
        <f t="shared" si="23"/>
        <v>ArrestSysEnergyAbsCode_rotary44B_3H</v>
      </c>
      <c r="B1537" s="330"/>
      <c r="C1537" s="334"/>
      <c r="D1537" s="188" t="s">
        <v>17030</v>
      </c>
      <c r="E1537" s="189" t="s">
        <v>17031</v>
      </c>
      <c r="F1537" s="162" t="s">
        <v>17032</v>
      </c>
      <c r="G1537" s="162" t="s">
        <v>16976</v>
      </c>
      <c r="H1537" s="221" t="s">
        <v>17033</v>
      </c>
      <c r="I1537" s="169">
        <v>115512</v>
      </c>
      <c r="J1537" s="304" t="str">
        <f>CONCATENATE([2]Cover!$D$6,"fdd/view?i=",I1537)</f>
        <v>https://www.dgiwg.org/FAD/fdd/view?i=115512</v>
      </c>
      <c r="K1537" s="304" t="s">
        <v>35586</v>
      </c>
      <c r="L1537" s="188">
        <v>15</v>
      </c>
      <c r="M1537" s="179" t="s">
        <v>151</v>
      </c>
    </row>
    <row r="1538" spans="1:13" ht="25.5">
      <c r="A1538" s="313" t="str">
        <f t="shared" si="23"/>
        <v>ArrestSysEnergyAbsCode_rotary44B_3L</v>
      </c>
      <c r="B1538" s="330"/>
      <c r="C1538" s="334"/>
      <c r="D1538" s="188" t="s">
        <v>17034</v>
      </c>
      <c r="E1538" s="189" t="s">
        <v>17035</v>
      </c>
      <c r="F1538" s="162" t="s">
        <v>17036</v>
      </c>
      <c r="G1538" s="162" t="s">
        <v>16976</v>
      </c>
      <c r="H1538" s="221" t="s">
        <v>17037</v>
      </c>
      <c r="I1538" s="169">
        <v>115513</v>
      </c>
      <c r="J1538" s="304" t="str">
        <f>CONCATENATE([2]Cover!$D$6,"fdd/view?i=",I1538)</f>
        <v>https://www.dgiwg.org/FAD/fdd/view?i=115513</v>
      </c>
      <c r="K1538" s="304" t="s">
        <v>35587</v>
      </c>
      <c r="L1538" s="188">
        <v>16</v>
      </c>
      <c r="M1538" s="179" t="s">
        <v>151</v>
      </c>
    </row>
    <row r="1539" spans="1:13" ht="25.5">
      <c r="A1539" s="313" t="str">
        <f t="shared" ref="A1539:A1602" si="24">HYPERLINK(J1539,K1539)</f>
        <v>ArrestSysEnergyAbsCode_rotary44B_4C</v>
      </c>
      <c r="B1539" s="330"/>
      <c r="C1539" s="334"/>
      <c r="D1539" s="188" t="s">
        <v>17038</v>
      </c>
      <c r="E1539" s="189" t="s">
        <v>17039</v>
      </c>
      <c r="F1539" s="162" t="s">
        <v>17040</v>
      </c>
      <c r="G1539" s="162" t="s">
        <v>16976</v>
      </c>
      <c r="H1539" s="221" t="s">
        <v>17041</v>
      </c>
      <c r="I1539" s="169">
        <v>115514</v>
      </c>
      <c r="J1539" s="304" t="str">
        <f>CONCATENATE([2]Cover!$D$6,"fdd/view?i=",I1539)</f>
        <v>https://www.dgiwg.org/FAD/fdd/view?i=115514</v>
      </c>
      <c r="K1539" s="304" t="s">
        <v>35588</v>
      </c>
      <c r="L1539" s="188">
        <v>17</v>
      </c>
      <c r="M1539" s="179" t="s">
        <v>151</v>
      </c>
    </row>
    <row r="1540" spans="1:13" ht="25.5">
      <c r="A1540" s="313" t="str">
        <f t="shared" si="24"/>
        <v>ArrestSysEnergyAbsCode_rotary44B_4E</v>
      </c>
      <c r="B1540" s="330"/>
      <c r="C1540" s="334"/>
      <c r="D1540" s="188" t="s">
        <v>17042</v>
      </c>
      <c r="E1540" s="189" t="s">
        <v>17043</v>
      </c>
      <c r="F1540" s="162" t="s">
        <v>17044</v>
      </c>
      <c r="G1540" s="162" t="s">
        <v>16976</v>
      </c>
      <c r="H1540" s="221" t="s">
        <v>17045</v>
      </c>
      <c r="I1540" s="169">
        <v>115515</v>
      </c>
      <c r="J1540" s="304" t="str">
        <f>CONCATENATE([2]Cover!$D$6,"fdd/view?i=",I1540)</f>
        <v>https://www.dgiwg.org/FAD/fdd/view?i=115515</v>
      </c>
      <c r="K1540" s="304" t="s">
        <v>35589</v>
      </c>
      <c r="L1540" s="188">
        <v>18</v>
      </c>
      <c r="M1540" s="179" t="s">
        <v>151</v>
      </c>
    </row>
    <row r="1541" spans="1:13" ht="25.5">
      <c r="A1541" s="313" t="str">
        <f t="shared" si="24"/>
        <v>ArrestSysEnergyAbsCode_rotary44B_4H</v>
      </c>
      <c r="B1541" s="330"/>
      <c r="C1541" s="334"/>
      <c r="D1541" s="188" t="s">
        <v>17046</v>
      </c>
      <c r="E1541" s="189" t="s">
        <v>17047</v>
      </c>
      <c r="F1541" s="162" t="s">
        <v>17048</v>
      </c>
      <c r="G1541" s="162" t="s">
        <v>16976</v>
      </c>
      <c r="H1541" s="221" t="s">
        <v>17049</v>
      </c>
      <c r="I1541" s="169">
        <v>115516</v>
      </c>
      <c r="J1541" s="304" t="str">
        <f>CONCATENATE([2]Cover!$D$6,"fdd/view?i=",I1541)</f>
        <v>https://www.dgiwg.org/FAD/fdd/view?i=115516</v>
      </c>
      <c r="K1541" s="304" t="s">
        <v>35590</v>
      </c>
      <c r="L1541" s="188">
        <v>19</v>
      </c>
      <c r="M1541" s="179" t="s">
        <v>151</v>
      </c>
    </row>
    <row r="1542" spans="1:13" ht="25.5">
      <c r="A1542" s="313" t="str">
        <f t="shared" si="24"/>
        <v>ArrestSysEnergyAbsCode_rotary500S</v>
      </c>
      <c r="B1542" s="330"/>
      <c r="C1542" s="334"/>
      <c r="D1542" s="188" t="s">
        <v>17050</v>
      </c>
      <c r="E1542" s="189" t="s">
        <v>17051</v>
      </c>
      <c r="F1542" s="162" t="s">
        <v>17052</v>
      </c>
      <c r="G1542" s="162" t="s">
        <v>16976</v>
      </c>
      <c r="H1542" s="221" t="s">
        <v>17053</v>
      </c>
      <c r="I1542" s="169">
        <v>115517</v>
      </c>
      <c r="J1542" s="304" t="str">
        <f>CONCATENATE([2]Cover!$D$6,"fdd/view?i=",I1542)</f>
        <v>https://www.dgiwg.org/FAD/fdd/view?i=115517</v>
      </c>
      <c r="K1542" s="304" t="s">
        <v>35591</v>
      </c>
      <c r="L1542" s="188">
        <v>20</v>
      </c>
      <c r="M1542" s="179" t="s">
        <v>151</v>
      </c>
    </row>
    <row r="1543" spans="1:13" ht="25.5">
      <c r="A1543" s="313" t="str">
        <f t="shared" si="24"/>
        <v>ArrestSysEnergyAbsCode_rotary500S_4</v>
      </c>
      <c r="B1543" s="330"/>
      <c r="C1543" s="334"/>
      <c r="D1543" s="188" t="s">
        <v>17054</v>
      </c>
      <c r="E1543" s="189" t="s">
        <v>17055</v>
      </c>
      <c r="F1543" s="162" t="s">
        <v>17056</v>
      </c>
      <c r="G1543" s="162" t="s">
        <v>16976</v>
      </c>
      <c r="H1543" s="221" t="s">
        <v>17057</v>
      </c>
      <c r="I1543" s="169">
        <v>115518</v>
      </c>
      <c r="J1543" s="304" t="str">
        <f>CONCATENATE([2]Cover!$D$6,"fdd/view?i=",I1543)</f>
        <v>https://www.dgiwg.org/FAD/fdd/view?i=115518</v>
      </c>
      <c r="K1543" s="304" t="s">
        <v>35592</v>
      </c>
      <c r="L1543" s="188">
        <v>21</v>
      </c>
      <c r="M1543" s="179" t="s">
        <v>151</v>
      </c>
    </row>
    <row r="1544" spans="1:13" ht="25.5">
      <c r="A1544" s="313" t="str">
        <f t="shared" si="24"/>
        <v>ArrestSysEnergyAbsCode_rotary500S_6</v>
      </c>
      <c r="B1544" s="330"/>
      <c r="C1544" s="334"/>
      <c r="D1544" s="188" t="s">
        <v>17058</v>
      </c>
      <c r="E1544" s="189" t="s">
        <v>17059</v>
      </c>
      <c r="F1544" s="162" t="s">
        <v>17060</v>
      </c>
      <c r="G1544" s="162" t="s">
        <v>16976</v>
      </c>
      <c r="H1544" s="221" t="s">
        <v>17061</v>
      </c>
      <c r="I1544" s="169">
        <v>115519</v>
      </c>
      <c r="J1544" s="304" t="str">
        <f>CONCATENATE([2]Cover!$D$6,"fdd/view?i=",I1544)</f>
        <v>https://www.dgiwg.org/FAD/fdd/view?i=115519</v>
      </c>
      <c r="K1544" s="304" t="s">
        <v>35593</v>
      </c>
      <c r="L1544" s="188">
        <v>22</v>
      </c>
      <c r="M1544" s="179" t="s">
        <v>151</v>
      </c>
    </row>
    <row r="1545" spans="1:13" ht="25.5">
      <c r="A1545" s="313" t="str">
        <f t="shared" si="24"/>
        <v>ArrestSysEnergyAbsCode_rotary500S_8</v>
      </c>
      <c r="B1545" s="330"/>
      <c r="C1545" s="334"/>
      <c r="D1545" s="188" t="s">
        <v>17062</v>
      </c>
      <c r="E1545" s="189" t="s">
        <v>17063</v>
      </c>
      <c r="F1545" s="162" t="s">
        <v>17064</v>
      </c>
      <c r="G1545" s="162" t="s">
        <v>16976</v>
      </c>
      <c r="H1545" s="221" t="s">
        <v>17065</v>
      </c>
      <c r="I1545" s="169">
        <v>115520</v>
      </c>
      <c r="J1545" s="304" t="str">
        <f>CONCATENATE([2]Cover!$D$6,"fdd/view?i=",I1545)</f>
        <v>https://www.dgiwg.org/FAD/fdd/view?i=115520</v>
      </c>
      <c r="K1545" s="304" t="s">
        <v>35594</v>
      </c>
      <c r="L1545" s="188">
        <v>23</v>
      </c>
      <c r="M1545" s="179" t="s">
        <v>151</v>
      </c>
    </row>
    <row r="1546" spans="1:13" ht="25.5">
      <c r="A1546" s="313" t="str">
        <f t="shared" si="24"/>
        <v>ArrestSysEnergyAbsCode_rotaryAAE_64</v>
      </c>
      <c r="B1546" s="330"/>
      <c r="C1546" s="334"/>
      <c r="D1546" s="188" t="s">
        <v>17070</v>
      </c>
      <c r="E1546" s="189" t="s">
        <v>17071</v>
      </c>
      <c r="F1546" s="162" t="s">
        <v>17072</v>
      </c>
      <c r="G1546" s="162" t="s">
        <v>16976</v>
      </c>
      <c r="H1546" s="221" t="s">
        <v>17073</v>
      </c>
      <c r="I1546" s="169">
        <v>115522</v>
      </c>
      <c r="J1546" s="304" t="str">
        <f>CONCATENATE([2]Cover!$D$6,"fdd/view?i=",I1546)</f>
        <v>https://www.dgiwg.org/FAD/fdd/view?i=115522</v>
      </c>
      <c r="K1546" s="304" t="s">
        <v>35595</v>
      </c>
      <c r="L1546" s="188">
        <v>25</v>
      </c>
      <c r="M1546" s="179" t="s">
        <v>151</v>
      </c>
    </row>
    <row r="1547" spans="1:13" ht="25.5">
      <c r="A1547" s="313" t="str">
        <f t="shared" si="24"/>
        <v>ArrestSysEnergyAbsCode_rotaryBAK_12A</v>
      </c>
      <c r="B1547" s="330"/>
      <c r="C1547" s="334"/>
      <c r="D1547" s="188" t="s">
        <v>17074</v>
      </c>
      <c r="E1547" s="189" t="s">
        <v>17075</v>
      </c>
      <c r="F1547" s="162" t="s">
        <v>17076</v>
      </c>
      <c r="G1547" s="162" t="s">
        <v>16976</v>
      </c>
      <c r="H1547" s="221" t="s">
        <v>17077</v>
      </c>
      <c r="I1547" s="169">
        <v>115523</v>
      </c>
      <c r="J1547" s="304" t="str">
        <f>CONCATENATE([2]Cover!$D$6,"fdd/view?i=",I1547)</f>
        <v>https://www.dgiwg.org/FAD/fdd/view?i=115523</v>
      </c>
      <c r="K1547" s="304" t="s">
        <v>35596</v>
      </c>
      <c r="L1547" s="188">
        <v>26</v>
      </c>
      <c r="M1547" s="179" t="s">
        <v>151</v>
      </c>
    </row>
    <row r="1548" spans="1:13" ht="25.5">
      <c r="A1548" s="313" t="str">
        <f t="shared" si="24"/>
        <v>ArrestSysEnergyAbsCode_rotaryBAK_12B</v>
      </c>
      <c r="B1548" s="330"/>
      <c r="C1548" s="334"/>
      <c r="D1548" s="188" t="s">
        <v>17078</v>
      </c>
      <c r="E1548" s="189" t="s">
        <v>17079</v>
      </c>
      <c r="F1548" s="162" t="s">
        <v>17080</v>
      </c>
      <c r="G1548" s="162" t="s">
        <v>16976</v>
      </c>
      <c r="H1548" s="221" t="s">
        <v>17081</v>
      </c>
      <c r="I1548" s="169">
        <v>115524</v>
      </c>
      <c r="J1548" s="304" t="str">
        <f>CONCATENATE([2]Cover!$D$6,"fdd/view?i=",I1548)</f>
        <v>https://www.dgiwg.org/FAD/fdd/view?i=115524</v>
      </c>
      <c r="K1548" s="304" t="s">
        <v>35597</v>
      </c>
      <c r="L1548" s="188">
        <v>27</v>
      </c>
      <c r="M1548" s="179" t="s">
        <v>151</v>
      </c>
    </row>
    <row r="1549" spans="1:13" ht="25.5">
      <c r="A1549" s="313" t="str">
        <f t="shared" si="24"/>
        <v>ArrestSysEnergyAbsCode_rotaryBAK_13</v>
      </c>
      <c r="B1549" s="330"/>
      <c r="C1549" s="334"/>
      <c r="D1549" s="188" t="s">
        <v>17082</v>
      </c>
      <c r="E1549" s="189" t="s">
        <v>17083</v>
      </c>
      <c r="F1549" s="162" t="s">
        <v>17084</v>
      </c>
      <c r="G1549" s="162" t="s">
        <v>16976</v>
      </c>
      <c r="H1549" s="221" t="s">
        <v>17085</v>
      </c>
      <c r="I1549" s="169">
        <v>115525</v>
      </c>
      <c r="J1549" s="304" t="str">
        <f>CONCATENATE([2]Cover!$D$6,"fdd/view?i=",I1549)</f>
        <v>https://www.dgiwg.org/FAD/fdd/view?i=115525</v>
      </c>
      <c r="K1549" s="304" t="s">
        <v>35598</v>
      </c>
      <c r="L1549" s="188">
        <v>28</v>
      </c>
      <c r="M1549" s="179" t="s">
        <v>151</v>
      </c>
    </row>
    <row r="1550" spans="1:13" ht="25.5">
      <c r="A1550" s="313" t="str">
        <f t="shared" si="24"/>
        <v>ArrestSysEnergyAbsCode_rotaryBAK_9</v>
      </c>
      <c r="B1550" s="330"/>
      <c r="C1550" s="334"/>
      <c r="D1550" s="188" t="s">
        <v>17091</v>
      </c>
      <c r="E1550" s="189" t="s">
        <v>17092</v>
      </c>
      <c r="F1550" s="162" t="s">
        <v>17093</v>
      </c>
      <c r="G1550" s="162" t="s">
        <v>16976</v>
      </c>
      <c r="H1550" s="221" t="s">
        <v>17094</v>
      </c>
      <c r="I1550" s="169">
        <v>115527</v>
      </c>
      <c r="J1550" s="304" t="str">
        <f>CONCATENATE([2]Cover!$D$6,"fdd/view?i=",I1550)</f>
        <v>https://www.dgiwg.org/FAD/fdd/view?i=115527</v>
      </c>
      <c r="K1550" s="304" t="s">
        <v>35599</v>
      </c>
      <c r="L1550" s="188">
        <v>30</v>
      </c>
      <c r="M1550" s="179" t="s">
        <v>151</v>
      </c>
    </row>
    <row r="1551" spans="1:13" ht="25.5">
      <c r="A1551" s="313" t="str">
        <f t="shared" si="24"/>
        <v>ArrestSysEnergyAbsCode_rotaryChainJetStop</v>
      </c>
      <c r="B1551" s="330"/>
      <c r="C1551" s="334"/>
      <c r="D1551" s="188" t="s">
        <v>17160</v>
      </c>
      <c r="E1551" s="189" t="s">
        <v>17161</v>
      </c>
      <c r="F1551" s="162" t="s">
        <v>17162</v>
      </c>
      <c r="G1551" s="162" t="s">
        <v>16976</v>
      </c>
      <c r="H1551" s="221" t="s">
        <v>17161</v>
      </c>
      <c r="I1551" s="169">
        <v>115546</v>
      </c>
      <c r="J1551" s="304" t="str">
        <f>CONCATENATE([2]Cover!$D$6,"fdd/view?i=",I1551)</f>
        <v>https://www.dgiwg.org/FAD/fdd/view?i=115546</v>
      </c>
      <c r="K1551" s="304" t="s">
        <v>35600</v>
      </c>
      <c r="L1551" s="188">
        <v>49</v>
      </c>
      <c r="M1551" s="179" t="s">
        <v>151</v>
      </c>
    </row>
    <row r="1552" spans="1:13" ht="25.5">
      <c r="A1552" s="313" t="str">
        <f t="shared" si="24"/>
        <v>ArrestSysEnergyAbsCode_rotaryDualBAK_12</v>
      </c>
      <c r="B1552" s="330"/>
      <c r="C1552" s="334"/>
      <c r="D1552" s="188" t="s">
        <v>17130</v>
      </c>
      <c r="E1552" s="189" t="s">
        <v>17131</v>
      </c>
      <c r="F1552" s="162" t="s">
        <v>17132</v>
      </c>
      <c r="G1552" s="162" t="s">
        <v>16976</v>
      </c>
      <c r="H1552" s="221" t="s">
        <v>17131</v>
      </c>
      <c r="I1552" s="169">
        <v>115537</v>
      </c>
      <c r="J1552" s="304" t="str">
        <f>CONCATENATE([2]Cover!$D$6,"fdd/view?i=",I1552)</f>
        <v>https://www.dgiwg.org/FAD/fdd/view?i=115537</v>
      </c>
      <c r="K1552" s="304" t="s">
        <v>35601</v>
      </c>
      <c r="L1552" s="188">
        <v>40</v>
      </c>
      <c r="M1552" s="179" t="s">
        <v>151</v>
      </c>
    </row>
    <row r="1553" spans="1:13" ht="25.5">
      <c r="A1553" s="313" t="str">
        <f t="shared" si="24"/>
        <v>ArrestSysEnergyAbsCode_rotaryE15</v>
      </c>
      <c r="B1553" s="330"/>
      <c r="C1553" s="334"/>
      <c r="D1553" s="188" t="s">
        <v>17133</v>
      </c>
      <c r="E1553" s="189" t="s">
        <v>17134</v>
      </c>
      <c r="F1553" s="162" t="s">
        <v>17135</v>
      </c>
      <c r="G1553" s="162" t="s">
        <v>17089</v>
      </c>
      <c r="H1553" s="221" t="s">
        <v>17134</v>
      </c>
      <c r="I1553" s="169">
        <v>115538</v>
      </c>
      <c r="J1553" s="304" t="str">
        <f>CONCATENATE([2]Cover!$D$6,"fdd/view?i=",I1553)</f>
        <v>https://www.dgiwg.org/FAD/fdd/view?i=115538</v>
      </c>
      <c r="K1553" s="304" t="s">
        <v>35602</v>
      </c>
      <c r="L1553" s="188">
        <v>41</v>
      </c>
      <c r="M1553" s="179" t="s">
        <v>151</v>
      </c>
    </row>
    <row r="1554" spans="1:13" ht="25.5">
      <c r="A1554" s="313" t="str">
        <f t="shared" si="24"/>
        <v>ArrestSysEnergyAbsCode_rotaryE27</v>
      </c>
      <c r="B1554" s="330"/>
      <c r="C1554" s="334"/>
      <c r="D1554" s="188" t="s">
        <v>17136</v>
      </c>
      <c r="E1554" s="189" t="s">
        <v>17137</v>
      </c>
      <c r="F1554" s="162" t="s">
        <v>17138</v>
      </c>
      <c r="G1554" s="162" t="s">
        <v>17089</v>
      </c>
      <c r="H1554" s="221" t="s">
        <v>17137</v>
      </c>
      <c r="I1554" s="169">
        <v>115539</v>
      </c>
      <c r="J1554" s="304" t="str">
        <f>CONCATENATE([2]Cover!$D$6,"fdd/view?i=",I1554)</f>
        <v>https://www.dgiwg.org/FAD/fdd/view?i=115539</v>
      </c>
      <c r="K1554" s="304" t="s">
        <v>35603</v>
      </c>
      <c r="L1554" s="188">
        <v>42</v>
      </c>
      <c r="M1554" s="179" t="s">
        <v>151</v>
      </c>
    </row>
    <row r="1555" spans="1:13" ht="25.5">
      <c r="A1555" s="313" t="str">
        <f t="shared" si="24"/>
        <v>ArrestSysEnergyAbsCode_rotaryE28</v>
      </c>
      <c r="B1555" s="330"/>
      <c r="C1555" s="334"/>
      <c r="D1555" s="188" t="s">
        <v>17139</v>
      </c>
      <c r="E1555" s="189" t="s">
        <v>17140</v>
      </c>
      <c r="F1555" s="162" t="s">
        <v>17141</v>
      </c>
      <c r="G1555" s="162" t="s">
        <v>16976</v>
      </c>
      <c r="H1555" s="221" t="s">
        <v>17140</v>
      </c>
      <c r="I1555" s="169">
        <v>115540</v>
      </c>
      <c r="J1555" s="304" t="str">
        <f>CONCATENATE([2]Cover!$D$6,"fdd/view?i=",I1555)</f>
        <v>https://www.dgiwg.org/FAD/fdd/view?i=115540</v>
      </c>
      <c r="K1555" s="304" t="s">
        <v>35604</v>
      </c>
      <c r="L1555" s="188">
        <v>43</v>
      </c>
      <c r="M1555" s="179" t="s">
        <v>151</v>
      </c>
    </row>
    <row r="1556" spans="1:13" ht="38.25">
      <c r="A1556" s="313" t="str">
        <f t="shared" si="24"/>
        <v>ArrestSysEnergyAbsCode_rotaryHydraulicWater</v>
      </c>
      <c r="B1556" s="330"/>
      <c r="C1556" s="334"/>
      <c r="D1556" s="188" t="s">
        <v>17229</v>
      </c>
      <c r="E1556" s="189" t="s">
        <v>17230</v>
      </c>
      <c r="F1556" s="162" t="s">
        <v>17231</v>
      </c>
      <c r="G1556" s="190"/>
      <c r="H1556" s="221" t="s">
        <v>17230</v>
      </c>
      <c r="I1556" s="169">
        <v>115568</v>
      </c>
      <c r="J1556" s="304" t="str">
        <f>CONCATENATE([2]Cover!$D$6,"fdd/view?i=",I1556)</f>
        <v>https://www.dgiwg.org/FAD/fdd/view?i=115568</v>
      </c>
      <c r="K1556" s="304" t="s">
        <v>35605</v>
      </c>
      <c r="L1556" s="188">
        <v>71</v>
      </c>
      <c r="M1556" s="179" t="s">
        <v>151</v>
      </c>
    </row>
    <row r="1557" spans="1:13" ht="25.5">
      <c r="A1557" s="313" t="str">
        <f t="shared" si="24"/>
        <v>ArrestSysEnergyAbsCode_rotaryPUAG_MK_21</v>
      </c>
      <c r="B1557" s="330"/>
      <c r="C1557" s="334"/>
      <c r="D1557" s="188" t="s">
        <v>17208</v>
      </c>
      <c r="E1557" s="189" t="s">
        <v>17209</v>
      </c>
      <c r="F1557" s="162" t="s">
        <v>17210</v>
      </c>
      <c r="G1557" s="162" t="s">
        <v>17089</v>
      </c>
      <c r="H1557" s="221" t="s">
        <v>17209</v>
      </c>
      <c r="I1557" s="169">
        <v>115561</v>
      </c>
      <c r="J1557" s="304" t="str">
        <f>CONCATENATE([2]Cover!$D$6,"fdd/view?i=",I1557)</f>
        <v>https://www.dgiwg.org/FAD/fdd/view?i=115561</v>
      </c>
      <c r="K1557" s="304" t="s">
        <v>35606</v>
      </c>
      <c r="L1557" s="188">
        <v>64</v>
      </c>
      <c r="M1557" s="179" t="s">
        <v>151</v>
      </c>
    </row>
    <row r="1558" spans="1:13" ht="25.5">
      <c r="A1558" s="313" t="str">
        <f t="shared" si="24"/>
        <v>ArrestSysEnergyAbsCode_rotaryRHAG_MK_1</v>
      </c>
      <c r="B1558" s="330"/>
      <c r="C1558" s="334"/>
      <c r="D1558" s="188" t="s">
        <v>17226</v>
      </c>
      <c r="E1558" s="189" t="s">
        <v>17227</v>
      </c>
      <c r="F1558" s="162" t="s">
        <v>17228</v>
      </c>
      <c r="G1558" s="162" t="s">
        <v>17089</v>
      </c>
      <c r="H1558" s="221" t="s">
        <v>17227</v>
      </c>
      <c r="I1558" s="169">
        <v>115567</v>
      </c>
      <c r="J1558" s="304" t="str">
        <f>CONCATENATE([2]Cover!$D$6,"fdd/view?i=",I1558)</f>
        <v>https://www.dgiwg.org/FAD/fdd/view?i=115567</v>
      </c>
      <c r="K1558" s="304" t="s">
        <v>35607</v>
      </c>
      <c r="L1558" s="188">
        <v>70</v>
      </c>
      <c r="M1558" s="179" t="s">
        <v>151</v>
      </c>
    </row>
    <row r="1559" spans="1:13" ht="25.5">
      <c r="A1559" s="313" t="str">
        <f t="shared" si="24"/>
        <v>ArrestSysEnergyAbsCode_rotaryTrans500S_8</v>
      </c>
      <c r="B1559" s="330"/>
      <c r="C1559" s="334"/>
      <c r="D1559" s="188" t="s">
        <v>17066</v>
      </c>
      <c r="E1559" s="189" t="s">
        <v>17067</v>
      </c>
      <c r="F1559" s="162" t="s">
        <v>17068</v>
      </c>
      <c r="G1559" s="162" t="s">
        <v>16976</v>
      </c>
      <c r="H1559" s="221" t="s">
        <v>17069</v>
      </c>
      <c r="I1559" s="169">
        <v>115521</v>
      </c>
      <c r="J1559" s="304" t="str">
        <f>CONCATENATE([2]Cover!$D$6,"fdd/view?i=",I1559)</f>
        <v>https://www.dgiwg.org/FAD/fdd/view?i=115521</v>
      </c>
      <c r="K1559" s="304" t="s">
        <v>35608</v>
      </c>
      <c r="L1559" s="188">
        <v>24</v>
      </c>
      <c r="M1559" s="179" t="s">
        <v>151</v>
      </c>
    </row>
    <row r="1560" spans="1:13" ht="25.5">
      <c r="A1560" s="313" t="str">
        <f t="shared" si="24"/>
        <v>ArrestSysEnergyAbsCode_textileMB_100</v>
      </c>
      <c r="B1560" s="330"/>
      <c r="C1560" s="334"/>
      <c r="D1560" s="188" t="s">
        <v>17199</v>
      </c>
      <c r="E1560" s="189" t="s">
        <v>17200</v>
      </c>
      <c r="F1560" s="162" t="s">
        <v>17201</v>
      </c>
      <c r="G1560" s="190"/>
      <c r="H1560" s="221" t="s">
        <v>17200</v>
      </c>
      <c r="I1560" s="169">
        <v>115558</v>
      </c>
      <c r="J1560" s="304" t="str">
        <f>CONCATENATE([2]Cover!$D$6,"fdd/view?i=",I1560)</f>
        <v>https://www.dgiwg.org/FAD/fdd/view?i=115558</v>
      </c>
      <c r="K1560" s="304" t="s">
        <v>35609</v>
      </c>
      <c r="L1560" s="188">
        <v>61</v>
      </c>
      <c r="M1560" s="179" t="s">
        <v>151</v>
      </c>
    </row>
    <row r="1561" spans="1:13" ht="25.5">
      <c r="A1561" s="313" t="str">
        <f t="shared" si="24"/>
        <v>ArrestSysEnergyAbsCode_textileMB_60</v>
      </c>
      <c r="B1561" s="331"/>
      <c r="C1561" s="335"/>
      <c r="D1561" s="181" t="s">
        <v>17202</v>
      </c>
      <c r="E1561" s="192" t="s">
        <v>17203</v>
      </c>
      <c r="F1561" s="193" t="s">
        <v>17204</v>
      </c>
      <c r="G1561" s="194"/>
      <c r="H1561" s="223" t="s">
        <v>17203</v>
      </c>
      <c r="I1561" s="169">
        <v>115559</v>
      </c>
      <c r="J1561" s="304" t="str">
        <f>CONCATENATE([2]Cover!$D$6,"fdd/view?i=",I1561)</f>
        <v>https://www.dgiwg.org/FAD/fdd/view?i=115559</v>
      </c>
      <c r="K1561" s="304" t="s">
        <v>35610</v>
      </c>
      <c r="L1561" s="181">
        <v>62</v>
      </c>
      <c r="M1561" s="179" t="s">
        <v>151</v>
      </c>
    </row>
    <row r="1562" spans="1:13" ht="25.5">
      <c r="A1562" s="313" t="str">
        <f t="shared" si="24"/>
        <v>ArrestSysEngageDevCode_barricadeNet61QSII</v>
      </c>
      <c r="B1562" s="332" t="str">
        <f>HYPERLINK("[#]Datatypes!A178:L178","ArrestSysEngageDevCode")</f>
        <v>ArrestSysEngageDevCode</v>
      </c>
      <c r="C1562" s="333" t="s">
        <v>11618</v>
      </c>
      <c r="D1562" s="202" t="s">
        <v>17238</v>
      </c>
      <c r="E1562" s="203" t="s">
        <v>17239</v>
      </c>
      <c r="F1562" s="204" t="s">
        <v>17240</v>
      </c>
      <c r="G1562" s="205"/>
      <c r="H1562" s="218"/>
      <c r="I1562" s="169">
        <v>115572</v>
      </c>
      <c r="J1562" s="304" t="str">
        <f>CONCATENATE([2]Cover!$D$6,"fdd/view?i=",I1562)</f>
        <v>https://www.dgiwg.org/FAD/fdd/view?i=115572</v>
      </c>
      <c r="K1562" s="304" t="s">
        <v>35611</v>
      </c>
      <c r="L1562" s="202">
        <v>1</v>
      </c>
      <c r="M1562" s="179" t="s">
        <v>151</v>
      </c>
    </row>
    <row r="1563" spans="1:13" ht="25.5">
      <c r="A1563" s="313" t="str">
        <f t="shared" si="24"/>
        <v>ArrestSysEngageDevCode_hook63PI</v>
      </c>
      <c r="B1563" s="330"/>
      <c r="C1563" s="334"/>
      <c r="D1563" s="188" t="s">
        <v>17244</v>
      </c>
      <c r="E1563" s="189" t="s">
        <v>17245</v>
      </c>
      <c r="F1563" s="162" t="s">
        <v>17246</v>
      </c>
      <c r="G1563" s="190"/>
      <c r="H1563" s="219"/>
      <c r="I1563" s="169">
        <v>115574</v>
      </c>
      <c r="J1563" s="304" t="str">
        <f>CONCATENATE([2]Cover!$D$6,"fdd/view?i=",I1563)</f>
        <v>https://www.dgiwg.org/FAD/fdd/view?i=115574</v>
      </c>
      <c r="K1563" s="304" t="s">
        <v>35612</v>
      </c>
      <c r="L1563" s="188">
        <v>3</v>
      </c>
      <c r="M1563" s="179" t="s">
        <v>151</v>
      </c>
    </row>
    <row r="1564" spans="1:13" ht="25.5">
      <c r="A1564" s="313" t="str">
        <f t="shared" si="24"/>
        <v>ArrestSysEngageDevCode_hookBAK_14</v>
      </c>
      <c r="B1564" s="330"/>
      <c r="C1564" s="334"/>
      <c r="D1564" s="188" t="s">
        <v>17256</v>
      </c>
      <c r="E1564" s="189" t="s">
        <v>17257</v>
      </c>
      <c r="F1564" s="162" t="s">
        <v>17258</v>
      </c>
      <c r="G1564" s="162" t="s">
        <v>17259</v>
      </c>
      <c r="H1564" s="219"/>
      <c r="I1564" s="169">
        <v>115578</v>
      </c>
      <c r="J1564" s="304" t="str">
        <f>CONCATENATE([2]Cover!$D$6,"fdd/view?i=",I1564)</f>
        <v>https://www.dgiwg.org/FAD/fdd/view?i=115578</v>
      </c>
      <c r="K1564" s="304" t="s">
        <v>35613</v>
      </c>
      <c r="L1564" s="188">
        <v>7</v>
      </c>
      <c r="M1564" s="179" t="s">
        <v>151</v>
      </c>
    </row>
    <row r="1565" spans="1:13" ht="25.5">
      <c r="A1565" s="313" t="str">
        <f t="shared" si="24"/>
        <v>ArrestSysEngageDevCode_hookCable</v>
      </c>
      <c r="B1565" s="330"/>
      <c r="C1565" s="334"/>
      <c r="D1565" s="188" t="s">
        <v>17266</v>
      </c>
      <c r="E1565" s="189" t="s">
        <v>17267</v>
      </c>
      <c r="F1565" s="162" t="s">
        <v>17268</v>
      </c>
      <c r="G1565" s="190"/>
      <c r="H1565" s="219"/>
      <c r="I1565" s="169">
        <v>115581</v>
      </c>
      <c r="J1565" s="304" t="str">
        <f>CONCATENATE([2]Cover!$D$6,"fdd/view?i=",I1565)</f>
        <v>https://www.dgiwg.org/FAD/fdd/view?i=115581</v>
      </c>
      <c r="K1565" s="304" t="s">
        <v>35614</v>
      </c>
      <c r="L1565" s="188">
        <v>10</v>
      </c>
      <c r="M1565" s="179" t="s">
        <v>151</v>
      </c>
    </row>
    <row r="1566" spans="1:13" ht="25.5">
      <c r="A1566" s="313" t="str">
        <f t="shared" si="24"/>
        <v>ArrestSysEngageDevCode_hookTypeH</v>
      </c>
      <c r="B1566" s="330"/>
      <c r="C1566" s="334"/>
      <c r="D1566" s="188" t="s">
        <v>17290</v>
      </c>
      <c r="E1566" s="189" t="s">
        <v>17291</v>
      </c>
      <c r="F1566" s="162" t="s">
        <v>17258</v>
      </c>
      <c r="G1566" s="162" t="s">
        <v>17292</v>
      </c>
      <c r="H1566" s="219"/>
      <c r="I1566" s="169">
        <v>115589</v>
      </c>
      <c r="J1566" s="304" t="str">
        <f>CONCATENATE([2]Cover!$D$6,"fdd/view?i=",I1566)</f>
        <v>https://www.dgiwg.org/FAD/fdd/view?i=115589</v>
      </c>
      <c r="K1566" s="304" t="s">
        <v>35615</v>
      </c>
      <c r="L1566" s="188">
        <v>17</v>
      </c>
      <c r="M1566" s="179" t="s">
        <v>151</v>
      </c>
    </row>
    <row r="1567" spans="1:13">
      <c r="A1567" s="313" t="str">
        <f t="shared" si="24"/>
        <v>ArrestSysEngageDevCode_hpNet</v>
      </c>
      <c r="B1567" s="330"/>
      <c r="C1567" s="334"/>
      <c r="D1567" s="188" t="s">
        <v>17269</v>
      </c>
      <c r="E1567" s="189" t="s">
        <v>17270</v>
      </c>
      <c r="F1567" s="162" t="s">
        <v>17271</v>
      </c>
      <c r="G1567" s="190"/>
      <c r="H1567" s="219"/>
      <c r="I1567" s="169">
        <v>115582</v>
      </c>
      <c r="J1567" s="304" t="str">
        <f>CONCATENATE([2]Cover!$D$6,"fdd/view?i=",I1567)</f>
        <v>https://www.dgiwg.org/FAD/fdd/view?i=115582</v>
      </c>
      <c r="K1567" s="304" t="s">
        <v>35616</v>
      </c>
      <c r="L1567" s="188">
        <v>11</v>
      </c>
      <c r="M1567" s="179" t="s">
        <v>151</v>
      </c>
    </row>
    <row r="1568" spans="1:13">
      <c r="A1568" s="313" t="str">
        <f t="shared" si="24"/>
        <v>ArrestSysEngageDevCode_jayBar</v>
      </c>
      <c r="B1568" s="330"/>
      <c r="C1568" s="334"/>
      <c r="D1568" s="188" t="s">
        <v>17272</v>
      </c>
      <c r="E1568" s="189" t="s">
        <v>17273</v>
      </c>
      <c r="F1568" s="162" t="s">
        <v>17274</v>
      </c>
      <c r="G1568" s="190"/>
      <c r="H1568" s="219"/>
      <c r="I1568" s="169">
        <v>115583</v>
      </c>
      <c r="J1568" s="304" t="str">
        <f>CONCATENATE([2]Cover!$D$6,"fdd/view?i=",I1568)</f>
        <v>https://www.dgiwg.org/FAD/fdd/view?i=115583</v>
      </c>
      <c r="K1568" s="304" t="s">
        <v>35617</v>
      </c>
      <c r="L1568" s="188">
        <v>12</v>
      </c>
      <c r="M1568" s="179" t="s">
        <v>151</v>
      </c>
    </row>
    <row r="1569" spans="1:13" ht="25.5">
      <c r="A1569" s="313" t="str">
        <f t="shared" si="24"/>
        <v>ArrestSysEngageDevCode_jetBarrier</v>
      </c>
      <c r="B1569" s="330"/>
      <c r="C1569" s="334"/>
      <c r="D1569" s="188" t="s">
        <v>17275</v>
      </c>
      <c r="E1569" s="189" t="s">
        <v>17276</v>
      </c>
      <c r="F1569" s="162" t="s">
        <v>17277</v>
      </c>
      <c r="G1569" s="190"/>
      <c r="H1569" s="219"/>
      <c r="I1569" s="169">
        <v>115584</v>
      </c>
      <c r="J1569" s="304" t="str">
        <f>CONCATENATE([2]Cover!$D$6,"fdd/view?i=",I1569)</f>
        <v>https://www.dgiwg.org/FAD/fdd/view?i=115584</v>
      </c>
      <c r="K1569" s="304" t="s">
        <v>35618</v>
      </c>
      <c r="L1569" s="188">
        <v>18</v>
      </c>
      <c r="M1569" s="179" t="s">
        <v>151</v>
      </c>
    </row>
    <row r="1570" spans="1:13">
      <c r="A1570" s="313" t="str">
        <f t="shared" si="24"/>
        <v>ArrestSysEngageDevCode_net</v>
      </c>
      <c r="B1570" s="330"/>
      <c r="C1570" s="334"/>
      <c r="D1570" s="188" t="s">
        <v>17287</v>
      </c>
      <c r="E1570" s="189" t="s">
        <v>17288</v>
      </c>
      <c r="F1570" s="162" t="s">
        <v>17289</v>
      </c>
      <c r="G1570" s="190"/>
      <c r="H1570" s="219"/>
      <c r="I1570" s="169">
        <v>115588</v>
      </c>
      <c r="J1570" s="304" t="str">
        <f>CONCATENATE([2]Cover!$D$6,"fdd/view?i=",I1570)</f>
        <v>https://www.dgiwg.org/FAD/fdd/view?i=115588</v>
      </c>
      <c r="K1570" s="304" t="s">
        <v>35619</v>
      </c>
      <c r="L1570" s="188">
        <v>16</v>
      </c>
      <c r="M1570" s="179" t="s">
        <v>151</v>
      </c>
    </row>
    <row r="1571" spans="1:13">
      <c r="A1571" s="313" t="str">
        <f t="shared" si="24"/>
        <v>ArrestSysEngageDevCode_netA30</v>
      </c>
      <c r="B1571" s="330"/>
      <c r="C1571" s="334"/>
      <c r="D1571" s="188" t="s">
        <v>17247</v>
      </c>
      <c r="E1571" s="189" t="s">
        <v>17248</v>
      </c>
      <c r="F1571" s="162" t="s">
        <v>17249</v>
      </c>
      <c r="G1571" s="190"/>
      <c r="H1571" s="219"/>
      <c r="I1571" s="169">
        <v>115575</v>
      </c>
      <c r="J1571" s="304" t="str">
        <f>CONCATENATE([2]Cover!$D$6,"fdd/view?i=",I1571)</f>
        <v>https://www.dgiwg.org/FAD/fdd/view?i=115575</v>
      </c>
      <c r="K1571" s="304" t="s">
        <v>35620</v>
      </c>
      <c r="L1571" s="188">
        <v>4</v>
      </c>
      <c r="M1571" s="179" t="s">
        <v>151</v>
      </c>
    </row>
    <row r="1572" spans="1:13">
      <c r="A1572" s="313" t="str">
        <f t="shared" si="24"/>
        <v>ArrestSysEngageDevCode_netA40</v>
      </c>
      <c r="B1572" s="330"/>
      <c r="C1572" s="334"/>
      <c r="D1572" s="188" t="s">
        <v>17250</v>
      </c>
      <c r="E1572" s="189" t="s">
        <v>17251</v>
      </c>
      <c r="F1572" s="162" t="s">
        <v>17252</v>
      </c>
      <c r="G1572" s="190"/>
      <c r="H1572" s="219"/>
      <c r="I1572" s="169">
        <v>115576</v>
      </c>
      <c r="J1572" s="304" t="str">
        <f>CONCATENATE([2]Cover!$D$6,"fdd/view?i=",I1572)</f>
        <v>https://www.dgiwg.org/FAD/fdd/view?i=115576</v>
      </c>
      <c r="K1572" s="304" t="s">
        <v>35621</v>
      </c>
      <c r="L1572" s="188">
        <v>5</v>
      </c>
      <c r="M1572" s="179" t="s">
        <v>151</v>
      </c>
    </row>
    <row r="1573" spans="1:13" ht="25.5">
      <c r="A1573" s="313" t="str">
        <f t="shared" si="24"/>
        <v>ArrestSysEngageDevCode_netMA_1</v>
      </c>
      <c r="B1573" s="330"/>
      <c r="C1573" s="334"/>
      <c r="D1573" s="188" t="s">
        <v>17278</v>
      </c>
      <c r="E1573" s="189" t="s">
        <v>17279</v>
      </c>
      <c r="F1573" s="162" t="s">
        <v>17280</v>
      </c>
      <c r="G1573" s="190"/>
      <c r="H1573" s="219"/>
      <c r="I1573" s="169">
        <v>115585</v>
      </c>
      <c r="J1573" s="304" t="str">
        <f>CONCATENATE([2]Cover!$D$6,"fdd/view?i=",I1573)</f>
        <v>https://www.dgiwg.org/FAD/fdd/view?i=115585</v>
      </c>
      <c r="K1573" s="304" t="s">
        <v>35622</v>
      </c>
      <c r="L1573" s="188">
        <v>13</v>
      </c>
      <c r="M1573" s="179" t="s">
        <v>151</v>
      </c>
    </row>
    <row r="1574" spans="1:13" ht="25.5">
      <c r="A1574" s="313" t="str">
        <f t="shared" si="24"/>
        <v>ArrestSysEngageDevCode_netMA_1a</v>
      </c>
      <c r="B1574" s="330"/>
      <c r="C1574" s="334"/>
      <c r="D1574" s="188" t="s">
        <v>17281</v>
      </c>
      <c r="E1574" s="189" t="s">
        <v>17282</v>
      </c>
      <c r="F1574" s="162" t="s">
        <v>17283</v>
      </c>
      <c r="G1574" s="190"/>
      <c r="H1574" s="219"/>
      <c r="I1574" s="169">
        <v>115586</v>
      </c>
      <c r="J1574" s="304" t="str">
        <f>CONCATENATE([2]Cover!$D$6,"fdd/view?i=",I1574)</f>
        <v>https://www.dgiwg.org/FAD/fdd/view?i=115586</v>
      </c>
      <c r="K1574" s="304" t="s">
        <v>35623</v>
      </c>
      <c r="L1574" s="188">
        <v>14</v>
      </c>
      <c r="M1574" s="179" t="s">
        <v>151</v>
      </c>
    </row>
    <row r="1575" spans="1:13" ht="25.5">
      <c r="A1575" s="313" t="str">
        <f t="shared" si="24"/>
        <v>ArrestSysEngageDevCode_netWithHook62NI</v>
      </c>
      <c r="B1575" s="330"/>
      <c r="C1575" s="334"/>
      <c r="D1575" s="188" t="s">
        <v>17241</v>
      </c>
      <c r="E1575" s="189" t="s">
        <v>17242</v>
      </c>
      <c r="F1575" s="162" t="s">
        <v>17243</v>
      </c>
      <c r="G1575" s="190"/>
      <c r="H1575" s="219"/>
      <c r="I1575" s="169">
        <v>115573</v>
      </c>
      <c r="J1575" s="304" t="str">
        <f>CONCATENATE([2]Cover!$D$6,"fdd/view?i=",I1575)</f>
        <v>https://www.dgiwg.org/FAD/fdd/view?i=115573</v>
      </c>
      <c r="K1575" s="304" t="s">
        <v>35624</v>
      </c>
      <c r="L1575" s="188">
        <v>2</v>
      </c>
      <c r="M1575" s="179" t="s">
        <v>151</v>
      </c>
    </row>
    <row r="1576" spans="1:13" ht="25.5">
      <c r="A1576" s="313" t="str">
        <f t="shared" si="24"/>
        <v>ArrestSysEngageDevCode_stanchionNetBAK_15</v>
      </c>
      <c r="B1576" s="330"/>
      <c r="C1576" s="334"/>
      <c r="D1576" s="188" t="s">
        <v>17260</v>
      </c>
      <c r="E1576" s="189" t="s">
        <v>17261</v>
      </c>
      <c r="F1576" s="162" t="s">
        <v>17262</v>
      </c>
      <c r="G1576" s="190"/>
      <c r="H1576" s="219"/>
      <c r="I1576" s="169">
        <v>115579</v>
      </c>
      <c r="J1576" s="304" t="str">
        <f>CONCATENATE([2]Cover!$D$6,"fdd/view?i=",I1576)</f>
        <v>https://www.dgiwg.org/FAD/fdd/view?i=115579</v>
      </c>
      <c r="K1576" s="304" t="s">
        <v>35625</v>
      </c>
      <c r="L1576" s="188">
        <v>8</v>
      </c>
      <c r="M1576" s="179" t="s">
        <v>151</v>
      </c>
    </row>
    <row r="1577" spans="1:13" ht="25.5">
      <c r="A1577" s="313" t="str">
        <f t="shared" si="24"/>
        <v>ArrestSysEngageDevCode_strutBAK_11</v>
      </c>
      <c r="B1577" s="330"/>
      <c r="C1577" s="334"/>
      <c r="D1577" s="188" t="s">
        <v>17253</v>
      </c>
      <c r="E1577" s="189" t="s">
        <v>17254</v>
      </c>
      <c r="F1577" s="162" t="s">
        <v>17255</v>
      </c>
      <c r="G1577" s="190"/>
      <c r="H1577" s="219"/>
      <c r="I1577" s="169">
        <v>115577</v>
      </c>
      <c r="J1577" s="304" t="str">
        <f>CONCATENATE([2]Cover!$D$6,"fdd/view?i=",I1577)</f>
        <v>https://www.dgiwg.org/FAD/fdd/view?i=115577</v>
      </c>
      <c r="K1577" s="304" t="s">
        <v>35626</v>
      </c>
      <c r="L1577" s="188">
        <v>6</v>
      </c>
      <c r="M1577" s="179" t="s">
        <v>151</v>
      </c>
    </row>
    <row r="1578" spans="1:13" ht="25.5">
      <c r="A1578" s="313" t="str">
        <f t="shared" si="24"/>
        <v>ArrestSysEngageDevCode_withHookBAK_15</v>
      </c>
      <c r="B1578" s="330"/>
      <c r="C1578" s="334"/>
      <c r="D1578" s="188" t="s">
        <v>17263</v>
      </c>
      <c r="E1578" s="189" t="s">
        <v>17264</v>
      </c>
      <c r="F1578" s="162" t="s">
        <v>17265</v>
      </c>
      <c r="G1578" s="190"/>
      <c r="H1578" s="219"/>
      <c r="I1578" s="169">
        <v>115580</v>
      </c>
      <c r="J1578" s="304" t="str">
        <f>CONCATENATE([2]Cover!$D$6,"fdd/view?i=",I1578)</f>
        <v>https://www.dgiwg.org/FAD/fdd/view?i=115580</v>
      </c>
      <c r="K1578" s="304" t="s">
        <v>35627</v>
      </c>
      <c r="L1578" s="188">
        <v>9</v>
      </c>
      <c r="M1578" s="179" t="s">
        <v>151</v>
      </c>
    </row>
    <row r="1579" spans="1:13" ht="25.5">
      <c r="A1579" s="313" t="str">
        <f t="shared" si="24"/>
        <v>ArrestSysEngageDevCode_withHookCableMA_1a</v>
      </c>
      <c r="B1579" s="331"/>
      <c r="C1579" s="335"/>
      <c r="D1579" s="181" t="s">
        <v>17284</v>
      </c>
      <c r="E1579" s="192" t="s">
        <v>17285</v>
      </c>
      <c r="F1579" s="193" t="s">
        <v>17286</v>
      </c>
      <c r="G1579" s="194"/>
      <c r="H1579" s="220"/>
      <c r="I1579" s="169">
        <v>115587</v>
      </c>
      <c r="J1579" s="304" t="str">
        <f>CONCATENATE([2]Cover!$D$6,"fdd/view?i=",I1579)</f>
        <v>https://www.dgiwg.org/FAD/fdd/view?i=115587</v>
      </c>
      <c r="K1579" s="304" t="s">
        <v>35628</v>
      </c>
      <c r="L1579" s="181">
        <v>15</v>
      </c>
      <c r="M1579" s="179" t="s">
        <v>151</v>
      </c>
    </row>
    <row r="1580" spans="1:13" ht="25.5">
      <c r="A1580" s="313" t="str">
        <f t="shared" si="24"/>
        <v>ArrestSysEngageDirectCode_bidirectional</v>
      </c>
      <c r="B1580" s="332" t="str">
        <f>HYPERLINK("[#]Datatypes!A180:L180","ArrestSysEngageDirectCode")</f>
        <v>ArrestSysEngageDirectCode</v>
      </c>
      <c r="C1580" s="333" t="s">
        <v>11620</v>
      </c>
      <c r="D1580" s="202" t="s">
        <v>5684</v>
      </c>
      <c r="E1580" s="203" t="s">
        <v>5685</v>
      </c>
      <c r="F1580" s="204" t="s">
        <v>17293</v>
      </c>
      <c r="G1580" s="205"/>
      <c r="H1580" s="218"/>
      <c r="I1580" s="169">
        <v>115590</v>
      </c>
      <c r="J1580" s="304" t="str">
        <f>CONCATENATE([2]Cover!$D$6,"fdd/view?i=",I1580)</f>
        <v>https://www.dgiwg.org/FAD/fdd/view?i=115590</v>
      </c>
      <c r="K1580" s="304" t="s">
        <v>35629</v>
      </c>
      <c r="L1580" s="202">
        <v>1</v>
      </c>
      <c r="M1580" s="179" t="s">
        <v>151</v>
      </c>
    </row>
    <row r="1581" spans="1:13" ht="25.5">
      <c r="A1581" s="313" t="str">
        <f t="shared" si="24"/>
        <v>ArrestSysEngageDirectCode_highEnd</v>
      </c>
      <c r="B1581" s="330"/>
      <c r="C1581" s="334"/>
      <c r="D1581" s="188" t="s">
        <v>17294</v>
      </c>
      <c r="E1581" s="189" t="s">
        <v>17295</v>
      </c>
      <c r="F1581" s="162" t="s">
        <v>17296</v>
      </c>
      <c r="G1581" s="162" t="s">
        <v>17297</v>
      </c>
      <c r="H1581" s="219"/>
      <c r="I1581" s="169">
        <v>115591</v>
      </c>
      <c r="J1581" s="304" t="str">
        <f>CONCATENATE([2]Cover!$D$6,"fdd/view?i=",I1581)</f>
        <v>https://www.dgiwg.org/FAD/fdd/view?i=115591</v>
      </c>
      <c r="K1581" s="304" t="s">
        <v>35630</v>
      </c>
      <c r="L1581" s="188">
        <v>2</v>
      </c>
      <c r="M1581" s="179" t="s">
        <v>151</v>
      </c>
    </row>
    <row r="1582" spans="1:13" ht="25.5">
      <c r="A1582" s="313" t="str">
        <f t="shared" si="24"/>
        <v>ArrestSysEngageDirectCode_lowEnd</v>
      </c>
      <c r="B1582" s="331"/>
      <c r="C1582" s="335"/>
      <c r="D1582" s="181" t="s">
        <v>17298</v>
      </c>
      <c r="E1582" s="192" t="s">
        <v>17299</v>
      </c>
      <c r="F1582" s="193" t="s">
        <v>17300</v>
      </c>
      <c r="G1582" s="193" t="s">
        <v>17297</v>
      </c>
      <c r="H1582" s="220"/>
      <c r="I1582" s="169">
        <v>115592</v>
      </c>
      <c r="J1582" s="304" t="str">
        <f>CONCATENATE([2]Cover!$D$6,"fdd/view?i=",I1582)</f>
        <v>https://www.dgiwg.org/FAD/fdd/view?i=115592</v>
      </c>
      <c r="K1582" s="304" t="s">
        <v>35631</v>
      </c>
      <c r="L1582" s="181">
        <v>3</v>
      </c>
      <c r="M1582" s="179" t="s">
        <v>151</v>
      </c>
    </row>
    <row r="1583" spans="1:13" ht="38.25">
      <c r="A1583" s="313" t="str">
        <f t="shared" si="24"/>
        <v>AutomatedWeatherStationTypeCode_transmissometer</v>
      </c>
      <c r="B1583" s="196" t="str">
        <f>HYPERLINK("[#]Datatypes!A182:L182","AutomatedWeatherStationTypeCode")</f>
        <v>AutomatedWeatherStationTypeCode</v>
      </c>
      <c r="C1583" s="197" t="s">
        <v>11622</v>
      </c>
      <c r="D1583" s="213" t="s">
        <v>17301</v>
      </c>
      <c r="E1583" s="214" t="s">
        <v>17302</v>
      </c>
      <c r="F1583" s="215" t="s">
        <v>17303</v>
      </c>
      <c r="G1583" s="215" t="s">
        <v>17304</v>
      </c>
      <c r="H1583" s="224"/>
      <c r="I1583" s="169">
        <v>207915</v>
      </c>
      <c r="J1583" s="304" t="str">
        <f>CONCATENATE([2]Cover!$D$6,"fdd/view?i=",I1583)</f>
        <v>https://www.dgiwg.org/FAD/fdd/view?i=207915</v>
      </c>
      <c r="K1583" s="304" t="s">
        <v>35632</v>
      </c>
      <c r="L1583" s="213">
        <v>1</v>
      </c>
      <c r="M1583" s="179" t="s">
        <v>1295</v>
      </c>
    </row>
    <row r="1584" spans="1:13" ht="25.5">
      <c r="A1584" s="313" t="str">
        <f t="shared" si="24"/>
        <v>AvailabilityCategoryCode_confirmedAvailable</v>
      </c>
      <c r="B1584" s="332" t="str">
        <f>HYPERLINK("[#]Datatypes!A184:L184","AvailabilityCategoryCode")</f>
        <v>AvailabilityCategoryCode</v>
      </c>
      <c r="C1584" s="333" t="s">
        <v>11624</v>
      </c>
      <c r="D1584" s="202" t="s">
        <v>17305</v>
      </c>
      <c r="E1584" s="203" t="s">
        <v>17306</v>
      </c>
      <c r="F1584" s="204" t="s">
        <v>17307</v>
      </c>
      <c r="G1584" s="205"/>
      <c r="H1584" s="218"/>
      <c r="I1584" s="169">
        <v>119265</v>
      </c>
      <c r="J1584" s="304" t="str">
        <f>CONCATENATE([2]Cover!$D$6,"fdd/view?i=",I1584)</f>
        <v>https://www.dgiwg.org/FAD/fdd/view?i=119265</v>
      </c>
      <c r="K1584" s="304" t="s">
        <v>35633</v>
      </c>
      <c r="L1584" s="202">
        <v>2</v>
      </c>
      <c r="M1584" s="179" t="s">
        <v>151</v>
      </c>
    </row>
    <row r="1585" spans="1:13" ht="25.5">
      <c r="A1585" s="313" t="str">
        <f t="shared" si="24"/>
        <v>AvailabilityCategoryCode_notAvailable</v>
      </c>
      <c r="B1585" s="330"/>
      <c r="C1585" s="334"/>
      <c r="D1585" s="188" t="s">
        <v>17308</v>
      </c>
      <c r="E1585" s="189" t="s">
        <v>17309</v>
      </c>
      <c r="F1585" s="162" t="s">
        <v>17310</v>
      </c>
      <c r="G1585" s="190"/>
      <c r="H1585" s="219"/>
      <c r="I1585" s="169">
        <v>119264</v>
      </c>
      <c r="J1585" s="304" t="str">
        <f>CONCATENATE([2]Cover!$D$6,"fdd/view?i=",I1585)</f>
        <v>https://www.dgiwg.org/FAD/fdd/view?i=119264</v>
      </c>
      <c r="K1585" s="304" t="s">
        <v>35634</v>
      </c>
      <c r="L1585" s="188">
        <v>1</v>
      </c>
      <c r="M1585" s="179" t="s">
        <v>151</v>
      </c>
    </row>
    <row r="1586" spans="1:13" ht="25.5">
      <c r="A1586" s="313" t="str">
        <f t="shared" si="24"/>
        <v>AvailabilityCategoryCode_unconfirmedAvailable</v>
      </c>
      <c r="B1586" s="331"/>
      <c r="C1586" s="335"/>
      <c r="D1586" s="181" t="s">
        <v>17311</v>
      </c>
      <c r="E1586" s="192" t="s">
        <v>17312</v>
      </c>
      <c r="F1586" s="193" t="s">
        <v>17313</v>
      </c>
      <c r="G1586" s="194"/>
      <c r="H1586" s="220"/>
      <c r="I1586" s="169">
        <v>119266</v>
      </c>
      <c r="J1586" s="304" t="str">
        <f>CONCATENATE([2]Cover!$D$6,"fdd/view?i=",I1586)</f>
        <v>https://www.dgiwg.org/FAD/fdd/view?i=119266</v>
      </c>
      <c r="K1586" s="304" t="s">
        <v>35635</v>
      </c>
      <c r="L1586" s="181">
        <v>3</v>
      </c>
      <c r="M1586" s="179" t="s">
        <v>151</v>
      </c>
    </row>
    <row r="1587" spans="1:13">
      <c r="A1587" s="313" t="str">
        <f t="shared" si="24"/>
        <v>AvailablePolCode_aviationFuel</v>
      </c>
      <c r="B1587" s="332" t="str">
        <f>HYPERLINK("[#]Datatypes!A186:L186","AvailablePolCode")</f>
        <v>AvailablePolCode</v>
      </c>
      <c r="C1587" s="333" t="s">
        <v>11626</v>
      </c>
      <c r="D1587" s="202" t="s">
        <v>17314</v>
      </c>
      <c r="E1587" s="203" t="s">
        <v>17315</v>
      </c>
      <c r="F1587" s="204" t="s">
        <v>17316</v>
      </c>
      <c r="G1587" s="204" t="s">
        <v>17317</v>
      </c>
      <c r="H1587" s="218"/>
      <c r="I1587" s="169">
        <v>103634</v>
      </c>
      <c r="J1587" s="304" t="str">
        <f>CONCATENATE([2]Cover!$D$6,"fdd/view?i=",I1587)</f>
        <v>https://www.dgiwg.org/FAD/fdd/view?i=103634</v>
      </c>
      <c r="K1587" s="304" t="s">
        <v>35636</v>
      </c>
      <c r="L1587" s="202">
        <v>2</v>
      </c>
      <c r="M1587" s="179" t="s">
        <v>151</v>
      </c>
    </row>
    <row r="1588" spans="1:13" ht="165.75">
      <c r="A1588" s="313" t="str">
        <f t="shared" si="24"/>
        <v>AvailablePolCode_biodiesel</v>
      </c>
      <c r="B1588" s="330"/>
      <c r="C1588" s="334"/>
      <c r="D1588" s="188" t="s">
        <v>17318</v>
      </c>
      <c r="E1588" s="189" t="s">
        <v>17319</v>
      </c>
      <c r="F1588" s="162" t="s">
        <v>17320</v>
      </c>
      <c r="G1588" s="162" t="s">
        <v>17321</v>
      </c>
      <c r="H1588" s="219"/>
      <c r="I1588" s="169">
        <v>119367</v>
      </c>
      <c r="J1588" s="304" t="str">
        <f>CONCATENATE([2]Cover!$D$6,"fdd/view?i=",I1588)</f>
        <v>https://www.dgiwg.org/FAD/fdd/view?i=119367</v>
      </c>
      <c r="K1588" s="304" t="s">
        <v>35637</v>
      </c>
      <c r="L1588" s="188">
        <v>16</v>
      </c>
      <c r="M1588" s="179" t="s">
        <v>151</v>
      </c>
    </row>
    <row r="1589" spans="1:13" ht="127.5">
      <c r="A1589" s="313" t="str">
        <f t="shared" si="24"/>
        <v>AvailablePolCode_biodieselBlend</v>
      </c>
      <c r="B1589" s="330"/>
      <c r="C1589" s="334"/>
      <c r="D1589" s="188" t="s">
        <v>17322</v>
      </c>
      <c r="E1589" s="189" t="s">
        <v>17323</v>
      </c>
      <c r="F1589" s="162" t="s">
        <v>17324</v>
      </c>
      <c r="G1589" s="162" t="s">
        <v>17325</v>
      </c>
      <c r="H1589" s="219"/>
      <c r="I1589" s="169">
        <v>119392</v>
      </c>
      <c r="J1589" s="304" t="str">
        <f>CONCATENATE([2]Cover!$D$6,"fdd/view?i=",I1589)</f>
        <v>https://www.dgiwg.org/FAD/fdd/view?i=119392</v>
      </c>
      <c r="K1589" s="304" t="s">
        <v>35638</v>
      </c>
      <c r="L1589" s="188">
        <v>22</v>
      </c>
      <c r="M1589" s="179" t="s">
        <v>151</v>
      </c>
    </row>
    <row r="1590" spans="1:13" ht="25.5">
      <c r="A1590" s="313" t="str">
        <f t="shared" si="24"/>
        <v>AvailablePolCode_butane</v>
      </c>
      <c r="B1590" s="330"/>
      <c r="C1590" s="334"/>
      <c r="D1590" s="188" t="s">
        <v>17326</v>
      </c>
      <c r="E1590" s="189" t="s">
        <v>17327</v>
      </c>
      <c r="F1590" s="162" t="s">
        <v>17328</v>
      </c>
      <c r="G1590" s="190"/>
      <c r="H1590" s="219"/>
      <c r="I1590" s="169">
        <v>103645</v>
      </c>
      <c r="J1590" s="304" t="str">
        <f>CONCATENATE([2]Cover!$D$6,"fdd/view?i=",I1590)</f>
        <v>https://www.dgiwg.org/FAD/fdd/view?i=103645</v>
      </c>
      <c r="K1590" s="304" t="s">
        <v>35639</v>
      </c>
      <c r="L1590" s="188">
        <v>13</v>
      </c>
      <c r="M1590" s="179" t="s">
        <v>151</v>
      </c>
    </row>
    <row r="1591" spans="1:13" ht="25.5">
      <c r="A1591" s="313" t="str">
        <f t="shared" si="24"/>
        <v>AvailablePolCode_coal</v>
      </c>
      <c r="B1591" s="330"/>
      <c r="C1591" s="334"/>
      <c r="D1591" s="188" t="s">
        <v>17329</v>
      </c>
      <c r="E1591" s="189" t="s">
        <v>17330</v>
      </c>
      <c r="F1591" s="162" t="s">
        <v>17331</v>
      </c>
      <c r="G1591" s="162" t="s">
        <v>17332</v>
      </c>
      <c r="H1591" s="219"/>
      <c r="I1591" s="169">
        <v>103638</v>
      </c>
      <c r="J1591" s="304" t="str">
        <f>CONCATENATE([2]Cover!$D$6,"fdd/view?i=",I1591)</f>
        <v>https://www.dgiwg.org/FAD/fdd/view?i=103638</v>
      </c>
      <c r="K1591" s="304" t="s">
        <v>35640</v>
      </c>
      <c r="L1591" s="188">
        <v>6</v>
      </c>
      <c r="M1591" s="179" t="s">
        <v>151</v>
      </c>
    </row>
    <row r="1592" spans="1:13" ht="38.25">
      <c r="A1592" s="313" t="str">
        <f t="shared" si="24"/>
        <v>AvailablePolCode_compressedNaturalGas</v>
      </c>
      <c r="B1592" s="330"/>
      <c r="C1592" s="334"/>
      <c r="D1592" s="188" t="s">
        <v>17333</v>
      </c>
      <c r="E1592" s="189" t="s">
        <v>17334</v>
      </c>
      <c r="F1592" s="162" t="s">
        <v>17335</v>
      </c>
      <c r="G1592" s="162" t="s">
        <v>17336</v>
      </c>
      <c r="H1592" s="219"/>
      <c r="I1592" s="169">
        <v>103644</v>
      </c>
      <c r="J1592" s="304" t="str">
        <f>CONCATENATE([2]Cover!$D$6,"fdd/view?i=",I1592)</f>
        <v>https://www.dgiwg.org/FAD/fdd/view?i=103644</v>
      </c>
      <c r="K1592" s="304" t="s">
        <v>35641</v>
      </c>
      <c r="L1592" s="188">
        <v>12</v>
      </c>
      <c r="M1592" s="179" t="s">
        <v>151</v>
      </c>
    </row>
    <row r="1593" spans="1:13">
      <c r="A1593" s="313" t="str">
        <f t="shared" si="24"/>
        <v>AvailablePolCode_dieselOil</v>
      </c>
      <c r="B1593" s="330"/>
      <c r="C1593" s="334"/>
      <c r="D1593" s="188" t="s">
        <v>17337</v>
      </c>
      <c r="E1593" s="189" t="s">
        <v>17338</v>
      </c>
      <c r="F1593" s="162" t="s">
        <v>17339</v>
      </c>
      <c r="G1593" s="190"/>
      <c r="H1593" s="221" t="s">
        <v>17340</v>
      </c>
      <c r="I1593" s="169">
        <v>103637</v>
      </c>
      <c r="J1593" s="304" t="str">
        <f>CONCATENATE([2]Cover!$D$6,"fdd/view?i=",I1593)</f>
        <v>https://www.dgiwg.org/FAD/fdd/view?i=103637</v>
      </c>
      <c r="K1593" s="304" t="s">
        <v>35642</v>
      </c>
      <c r="L1593" s="188">
        <v>5</v>
      </c>
      <c r="M1593" s="179" t="s">
        <v>151</v>
      </c>
    </row>
    <row r="1594" spans="1:13" ht="25.5">
      <c r="A1594" s="313" t="str">
        <f t="shared" si="24"/>
        <v>AvailablePolCode_ethanol</v>
      </c>
      <c r="B1594" s="330"/>
      <c r="C1594" s="334"/>
      <c r="D1594" s="188" t="s">
        <v>17341</v>
      </c>
      <c r="E1594" s="189" t="s">
        <v>17342</v>
      </c>
      <c r="F1594" s="162" t="s">
        <v>17343</v>
      </c>
      <c r="G1594" s="162" t="s">
        <v>17344</v>
      </c>
      <c r="H1594" s="221" t="s">
        <v>17345</v>
      </c>
      <c r="I1594" s="169">
        <v>103646</v>
      </c>
      <c r="J1594" s="304" t="str">
        <f>CONCATENATE([2]Cover!$D$6,"fdd/view?i=",I1594)</f>
        <v>https://www.dgiwg.org/FAD/fdd/view?i=103646</v>
      </c>
      <c r="K1594" s="304" t="s">
        <v>35643</v>
      </c>
      <c r="L1594" s="188">
        <v>14</v>
      </c>
      <c r="M1594" s="179" t="s">
        <v>151</v>
      </c>
    </row>
    <row r="1595" spans="1:13" ht="76.5">
      <c r="A1595" s="313" t="str">
        <f t="shared" si="24"/>
        <v>AvailablePolCode_ethanol85</v>
      </c>
      <c r="B1595" s="330"/>
      <c r="C1595" s="334"/>
      <c r="D1595" s="188" t="s">
        <v>17346</v>
      </c>
      <c r="E1595" s="189" t="s">
        <v>17347</v>
      </c>
      <c r="F1595" s="162" t="s">
        <v>17348</v>
      </c>
      <c r="G1595" s="162" t="s">
        <v>17349</v>
      </c>
      <c r="H1595" s="219"/>
      <c r="I1595" s="169">
        <v>119368</v>
      </c>
      <c r="J1595" s="304" t="str">
        <f>CONCATENATE([2]Cover!$D$6,"fdd/view?i=",I1595)</f>
        <v>https://www.dgiwg.org/FAD/fdd/view?i=119368</v>
      </c>
      <c r="K1595" s="304" t="s">
        <v>35644</v>
      </c>
      <c r="L1595" s="188">
        <v>17</v>
      </c>
      <c r="M1595" s="179" t="s">
        <v>151</v>
      </c>
    </row>
    <row r="1596" spans="1:13" ht="38.25">
      <c r="A1596" s="313" t="str">
        <f t="shared" si="24"/>
        <v>AvailablePolCode_hydrogen</v>
      </c>
      <c r="B1596" s="330"/>
      <c r="C1596" s="334"/>
      <c r="D1596" s="188" t="s">
        <v>17350</v>
      </c>
      <c r="E1596" s="189" t="s">
        <v>17351</v>
      </c>
      <c r="F1596" s="162" t="s">
        <v>17352</v>
      </c>
      <c r="G1596" s="162" t="s">
        <v>17353</v>
      </c>
      <c r="H1596" s="219"/>
      <c r="I1596" s="169">
        <v>119369</v>
      </c>
      <c r="J1596" s="304" t="str">
        <f>CONCATENATE([2]Cover!$D$6,"fdd/view?i=",I1596)</f>
        <v>https://www.dgiwg.org/FAD/fdd/view?i=119369</v>
      </c>
      <c r="K1596" s="304" t="s">
        <v>35645</v>
      </c>
      <c r="L1596" s="188">
        <v>18</v>
      </c>
      <c r="M1596" s="179" t="s">
        <v>151</v>
      </c>
    </row>
    <row r="1597" spans="1:13" ht="25.5">
      <c r="A1597" s="313" t="str">
        <f t="shared" si="24"/>
        <v>AvailablePolCode_hythane</v>
      </c>
      <c r="B1597" s="330"/>
      <c r="C1597" s="334"/>
      <c r="D1597" s="188" t="s">
        <v>17354</v>
      </c>
      <c r="E1597" s="189" t="s">
        <v>17355</v>
      </c>
      <c r="F1597" s="162" t="s">
        <v>17356</v>
      </c>
      <c r="G1597" s="162" t="s">
        <v>17357</v>
      </c>
      <c r="H1597" s="221" t="s">
        <v>17358</v>
      </c>
      <c r="I1597" s="169">
        <v>119370</v>
      </c>
      <c r="J1597" s="304" t="str">
        <f>CONCATENATE([2]Cover!$D$6,"fdd/view?i=",I1597)</f>
        <v>https://www.dgiwg.org/FAD/fdd/view?i=119370</v>
      </c>
      <c r="K1597" s="304" t="s">
        <v>35646</v>
      </c>
      <c r="L1597" s="188">
        <v>19</v>
      </c>
      <c r="M1597" s="179" t="s">
        <v>151</v>
      </c>
    </row>
    <row r="1598" spans="1:13" ht="25.5">
      <c r="A1598" s="313" t="str">
        <f t="shared" si="24"/>
        <v>AvailablePolCode_kerosene</v>
      </c>
      <c r="B1598" s="330"/>
      <c r="C1598" s="334"/>
      <c r="D1598" s="188" t="s">
        <v>17359</v>
      </c>
      <c r="E1598" s="189" t="s">
        <v>17360</v>
      </c>
      <c r="F1598" s="162" t="s">
        <v>17361</v>
      </c>
      <c r="G1598" s="162" t="s">
        <v>17362</v>
      </c>
      <c r="H1598" s="219"/>
      <c r="I1598" s="169">
        <v>103635</v>
      </c>
      <c r="J1598" s="304" t="str">
        <f>CONCATENATE([2]Cover!$D$6,"fdd/view?i=",I1598)</f>
        <v>https://www.dgiwg.org/FAD/fdd/view?i=103635</v>
      </c>
      <c r="K1598" s="304" t="s">
        <v>35647</v>
      </c>
      <c r="L1598" s="188">
        <v>3</v>
      </c>
      <c r="M1598" s="179" t="s">
        <v>151</v>
      </c>
    </row>
    <row r="1599" spans="1:13" ht="51">
      <c r="A1599" s="313" t="str">
        <f t="shared" si="24"/>
        <v>AvailablePolCode_liquefiedNaturalGas</v>
      </c>
      <c r="B1599" s="330"/>
      <c r="C1599" s="334"/>
      <c r="D1599" s="188" t="s">
        <v>17363</v>
      </c>
      <c r="E1599" s="189" t="s">
        <v>17364</v>
      </c>
      <c r="F1599" s="162" t="s">
        <v>17365</v>
      </c>
      <c r="G1599" s="162" t="s">
        <v>17366</v>
      </c>
      <c r="H1599" s="221" t="s">
        <v>17367</v>
      </c>
      <c r="I1599" s="169">
        <v>119371</v>
      </c>
      <c r="J1599" s="304" t="str">
        <f>CONCATENATE([2]Cover!$D$6,"fdd/view?i=",I1599)</f>
        <v>https://www.dgiwg.org/FAD/fdd/view?i=119371</v>
      </c>
      <c r="K1599" s="304" t="s">
        <v>35648</v>
      </c>
      <c r="L1599" s="188">
        <v>20</v>
      </c>
      <c r="M1599" s="179" t="s">
        <v>151</v>
      </c>
    </row>
    <row r="1600" spans="1:13" ht="102">
      <c r="A1600" s="313" t="str">
        <f t="shared" si="24"/>
        <v>AvailablePolCode_liquefiedPetroleumGas</v>
      </c>
      <c r="B1600" s="330"/>
      <c r="C1600" s="334"/>
      <c r="D1600" s="188" t="s">
        <v>17368</v>
      </c>
      <c r="E1600" s="189" t="s">
        <v>17369</v>
      </c>
      <c r="F1600" s="162" t="s">
        <v>17370</v>
      </c>
      <c r="G1600" s="162" t="s">
        <v>17371</v>
      </c>
      <c r="H1600" s="219"/>
      <c r="I1600" s="169">
        <v>103643</v>
      </c>
      <c r="J1600" s="304" t="str">
        <f>CONCATENATE([2]Cover!$D$6,"fdd/view?i=",I1600)</f>
        <v>https://www.dgiwg.org/FAD/fdd/view?i=103643</v>
      </c>
      <c r="K1600" s="304" t="s">
        <v>35649</v>
      </c>
      <c r="L1600" s="188">
        <v>11</v>
      </c>
      <c r="M1600" s="179" t="s">
        <v>151</v>
      </c>
    </row>
    <row r="1601" spans="1:13">
      <c r="A1601" s="313" t="str">
        <f t="shared" si="24"/>
        <v>AvailablePolCode_lubricants</v>
      </c>
      <c r="B1601" s="330"/>
      <c r="C1601" s="334"/>
      <c r="D1601" s="188" t="s">
        <v>17372</v>
      </c>
      <c r="E1601" s="189" t="s">
        <v>17373</v>
      </c>
      <c r="F1601" s="162" t="s">
        <v>17374</v>
      </c>
      <c r="G1601" s="190"/>
      <c r="H1601" s="219"/>
      <c r="I1601" s="169">
        <v>103640</v>
      </c>
      <c r="J1601" s="304" t="str">
        <f>CONCATENATE([2]Cover!$D$6,"fdd/view?i=",I1601)</f>
        <v>https://www.dgiwg.org/FAD/fdd/view?i=103640</v>
      </c>
      <c r="K1601" s="304" t="s">
        <v>35650</v>
      </c>
      <c r="L1601" s="188">
        <v>8</v>
      </c>
      <c r="M1601" s="179" t="s">
        <v>151</v>
      </c>
    </row>
    <row r="1602" spans="1:13" ht="38.25">
      <c r="A1602" s="313" t="str">
        <f t="shared" si="24"/>
        <v>AvailablePolCode_methane</v>
      </c>
      <c r="B1602" s="330"/>
      <c r="C1602" s="334"/>
      <c r="D1602" s="188" t="s">
        <v>17375</v>
      </c>
      <c r="E1602" s="189" t="s">
        <v>17376</v>
      </c>
      <c r="F1602" s="162" t="s">
        <v>17377</v>
      </c>
      <c r="G1602" s="162" t="s">
        <v>17378</v>
      </c>
      <c r="H1602" s="219"/>
      <c r="I1602" s="169">
        <v>103641</v>
      </c>
      <c r="J1602" s="304" t="str">
        <f>CONCATENATE([2]Cover!$D$6,"fdd/view?i=",I1602)</f>
        <v>https://www.dgiwg.org/FAD/fdd/view?i=103641</v>
      </c>
      <c r="K1602" s="304" t="s">
        <v>35651</v>
      </c>
      <c r="L1602" s="188">
        <v>9</v>
      </c>
      <c r="M1602" s="179" t="s">
        <v>151</v>
      </c>
    </row>
    <row r="1603" spans="1:13">
      <c r="A1603" s="313" t="str">
        <f t="shared" ref="A1603:A1666" si="25">HYPERLINK(J1603,K1603)</f>
        <v>AvailablePolCode_noPolAvailable</v>
      </c>
      <c r="B1603" s="330"/>
      <c r="C1603" s="334"/>
      <c r="D1603" s="188" t="s">
        <v>17379</v>
      </c>
      <c r="E1603" s="189" t="s">
        <v>17380</v>
      </c>
      <c r="F1603" s="162" t="s">
        <v>17381</v>
      </c>
      <c r="G1603" s="190"/>
      <c r="H1603" s="219"/>
      <c r="I1603" s="169">
        <v>103647</v>
      </c>
      <c r="J1603" s="304" t="str">
        <f>CONCATENATE([2]Cover!$D$6,"fdd/view?i=",I1603)</f>
        <v>https://www.dgiwg.org/FAD/fdd/view?i=103647</v>
      </c>
      <c r="K1603" s="304" t="s">
        <v>35652</v>
      </c>
      <c r="L1603" s="188">
        <v>15</v>
      </c>
      <c r="M1603" s="179" t="s">
        <v>151</v>
      </c>
    </row>
    <row r="1604" spans="1:13" ht="38.25">
      <c r="A1604" s="313" t="str">
        <f t="shared" si="25"/>
        <v>AvailablePolCode_oil</v>
      </c>
      <c r="B1604" s="330"/>
      <c r="C1604" s="334"/>
      <c r="D1604" s="188" t="s">
        <v>17382</v>
      </c>
      <c r="E1604" s="189" t="s">
        <v>17383</v>
      </c>
      <c r="F1604" s="162" t="s">
        <v>17384</v>
      </c>
      <c r="G1604" s="190"/>
      <c r="H1604" s="219"/>
      <c r="I1604" s="169">
        <v>103639</v>
      </c>
      <c r="J1604" s="304" t="str">
        <f>CONCATENATE([2]Cover!$D$6,"fdd/view?i=",I1604)</f>
        <v>https://www.dgiwg.org/FAD/fdd/view?i=103639</v>
      </c>
      <c r="K1604" s="304" t="s">
        <v>35653</v>
      </c>
      <c r="L1604" s="188">
        <v>7</v>
      </c>
      <c r="M1604" s="179" t="s">
        <v>151</v>
      </c>
    </row>
    <row r="1605" spans="1:13">
      <c r="A1605" s="313" t="str">
        <f t="shared" si="25"/>
        <v>AvailablePolCode_petrol</v>
      </c>
      <c r="B1605" s="330"/>
      <c r="C1605" s="334"/>
      <c r="D1605" s="188" t="s">
        <v>17385</v>
      </c>
      <c r="E1605" s="189" t="s">
        <v>17386</v>
      </c>
      <c r="F1605" s="162" t="s">
        <v>17387</v>
      </c>
      <c r="G1605" s="190"/>
      <c r="H1605" s="221" t="s">
        <v>17388</v>
      </c>
      <c r="I1605" s="169">
        <v>103633</v>
      </c>
      <c r="J1605" s="304" t="str">
        <f>CONCATENATE([2]Cover!$D$6,"fdd/view?i=",I1605)</f>
        <v>https://www.dgiwg.org/FAD/fdd/view?i=103633</v>
      </c>
      <c r="K1605" s="304" t="s">
        <v>35654</v>
      </c>
      <c r="L1605" s="188">
        <v>1</v>
      </c>
      <c r="M1605" s="179" t="s">
        <v>151</v>
      </c>
    </row>
    <row r="1606" spans="1:13" ht="165.75">
      <c r="A1606" s="313" t="str">
        <f t="shared" si="25"/>
        <v>AvailablePolCode_propane</v>
      </c>
      <c r="B1606" s="330"/>
      <c r="C1606" s="334"/>
      <c r="D1606" s="188" t="s">
        <v>17389</v>
      </c>
      <c r="E1606" s="189" t="s">
        <v>17390</v>
      </c>
      <c r="F1606" s="162" t="s">
        <v>17391</v>
      </c>
      <c r="G1606" s="162" t="s">
        <v>17392</v>
      </c>
      <c r="H1606" s="219"/>
      <c r="I1606" s="169">
        <v>119372</v>
      </c>
      <c r="J1606" s="304" t="str">
        <f>CONCATENATE([2]Cover!$D$6,"fdd/view?i=",I1606)</f>
        <v>https://www.dgiwg.org/FAD/fdd/view?i=119372</v>
      </c>
      <c r="K1606" s="304" t="s">
        <v>35655</v>
      </c>
      <c r="L1606" s="188">
        <v>21</v>
      </c>
      <c r="M1606" s="179" t="s">
        <v>151</v>
      </c>
    </row>
    <row r="1607" spans="1:13" ht="38.25">
      <c r="A1607" s="313" t="str">
        <f t="shared" si="25"/>
        <v>AvailablePolCode_specialFuel</v>
      </c>
      <c r="B1607" s="330"/>
      <c r="C1607" s="334"/>
      <c r="D1607" s="188" t="s">
        <v>17393</v>
      </c>
      <c r="E1607" s="189" t="s">
        <v>17394</v>
      </c>
      <c r="F1607" s="162" t="s">
        <v>17395</v>
      </c>
      <c r="G1607" s="162" t="s">
        <v>17396</v>
      </c>
      <c r="H1607" s="219"/>
      <c r="I1607" s="169">
        <v>103642</v>
      </c>
      <c r="J1607" s="304" t="str">
        <f>CONCATENATE([2]Cover!$D$6,"fdd/view?i=",I1607)</f>
        <v>https://www.dgiwg.org/FAD/fdd/view?i=103642</v>
      </c>
      <c r="K1607" s="304" t="s">
        <v>35656</v>
      </c>
      <c r="L1607" s="188">
        <v>10</v>
      </c>
      <c r="M1607" s="179" t="s">
        <v>151</v>
      </c>
    </row>
    <row r="1608" spans="1:13" ht="25.5">
      <c r="A1608" s="313" t="str">
        <f t="shared" si="25"/>
        <v>AvailablePolCode_water</v>
      </c>
      <c r="B1608" s="331"/>
      <c r="C1608" s="335"/>
      <c r="D1608" s="181" t="s">
        <v>15146</v>
      </c>
      <c r="E1608" s="192" t="s">
        <v>15147</v>
      </c>
      <c r="F1608" s="193" t="s">
        <v>17397</v>
      </c>
      <c r="G1608" s="193" t="s">
        <v>17398</v>
      </c>
      <c r="H1608" s="220"/>
      <c r="I1608" s="169">
        <v>103636</v>
      </c>
      <c r="J1608" s="304" t="str">
        <f>CONCATENATE([2]Cover!$D$6,"fdd/view?i=",I1608)</f>
        <v>https://www.dgiwg.org/FAD/fdd/view?i=103636</v>
      </c>
      <c r="K1608" s="304" t="s">
        <v>35657</v>
      </c>
      <c r="L1608" s="181">
        <v>4</v>
      </c>
      <c r="M1608" s="179" t="s">
        <v>151</v>
      </c>
    </row>
    <row r="1609" spans="1:13" ht="25.5">
      <c r="A1609" s="313" t="str">
        <f t="shared" si="25"/>
        <v>AvailableVesselServiceCode_boatHoist</v>
      </c>
      <c r="B1609" s="332" t="str">
        <f>HYPERLINK("[#]Datatypes!A188:L188","AvailableVesselServiceCode")</f>
        <v>AvailableVesselServiceCode</v>
      </c>
      <c r="C1609" s="333" t="s">
        <v>11628</v>
      </c>
      <c r="D1609" s="202" t="s">
        <v>17399</v>
      </c>
      <c r="E1609" s="203" t="s">
        <v>17400</v>
      </c>
      <c r="F1609" s="204" t="s">
        <v>17401</v>
      </c>
      <c r="G1609" s="205"/>
      <c r="H1609" s="218"/>
      <c r="I1609" s="169">
        <v>101641</v>
      </c>
      <c r="J1609" s="304" t="str">
        <f>CONCATENATE([2]Cover!$D$6,"fdd/view?i=",I1609)</f>
        <v>https://www.dgiwg.org/FAD/fdd/view?i=101641</v>
      </c>
      <c r="K1609" s="304" t="s">
        <v>35658</v>
      </c>
      <c r="L1609" s="202">
        <v>23</v>
      </c>
      <c r="M1609" s="179" t="s">
        <v>151</v>
      </c>
    </row>
    <row r="1610" spans="1:13" ht="25.5">
      <c r="A1610" s="313" t="str">
        <f t="shared" si="25"/>
        <v>AvailableVesselServiceCode_boatPark</v>
      </c>
      <c r="B1610" s="330"/>
      <c r="C1610" s="334"/>
      <c r="D1610" s="188" t="s">
        <v>17402</v>
      </c>
      <c r="E1610" s="189" t="s">
        <v>17403</v>
      </c>
      <c r="F1610" s="162" t="s">
        <v>17404</v>
      </c>
      <c r="G1610" s="190"/>
      <c r="H1610" s="219"/>
      <c r="I1610" s="169">
        <v>101647</v>
      </c>
      <c r="J1610" s="304" t="str">
        <f>CONCATENATE([2]Cover!$D$6,"fdd/view?i=",I1610)</f>
        <v>https://www.dgiwg.org/FAD/fdd/view?i=101647</v>
      </c>
      <c r="K1610" s="304" t="s">
        <v>35659</v>
      </c>
      <c r="L1610" s="188">
        <v>29</v>
      </c>
      <c r="M1610" s="179" t="s">
        <v>151</v>
      </c>
    </row>
    <row r="1611" spans="1:13" ht="25.5">
      <c r="A1611" s="313" t="str">
        <f t="shared" si="25"/>
        <v>AvailableVesselServiceCode_boatYard</v>
      </c>
      <c r="B1611" s="330"/>
      <c r="C1611" s="334"/>
      <c r="D1611" s="188" t="s">
        <v>17405</v>
      </c>
      <c r="E1611" s="189" t="s">
        <v>17406</v>
      </c>
      <c r="F1611" s="162" t="s">
        <v>17407</v>
      </c>
      <c r="G1611" s="190"/>
      <c r="H1611" s="219"/>
      <c r="I1611" s="169">
        <v>101642</v>
      </c>
      <c r="J1611" s="304" t="str">
        <f>CONCATENATE([2]Cover!$D$6,"fdd/view?i=",I1611)</f>
        <v>https://www.dgiwg.org/FAD/fdd/view?i=101642</v>
      </c>
      <c r="K1611" s="304" t="s">
        <v>35660</v>
      </c>
      <c r="L1611" s="188">
        <v>24</v>
      </c>
      <c r="M1611" s="179" t="s">
        <v>151</v>
      </c>
    </row>
    <row r="1612" spans="1:13" ht="25.5">
      <c r="A1612" s="313" t="str">
        <f t="shared" si="25"/>
        <v>AvailableVesselServiceCode_bottleGas</v>
      </c>
      <c r="B1612" s="330"/>
      <c r="C1612" s="334"/>
      <c r="D1612" s="188" t="s">
        <v>17408</v>
      </c>
      <c r="E1612" s="189" t="s">
        <v>17409</v>
      </c>
      <c r="F1612" s="162" t="s">
        <v>17410</v>
      </c>
      <c r="G1612" s="162" t="s">
        <v>17411</v>
      </c>
      <c r="H1612" s="219"/>
      <c r="I1612" s="169">
        <v>101629</v>
      </c>
      <c r="J1612" s="304" t="str">
        <f>CONCATENATE([2]Cover!$D$6,"fdd/view?i=",I1612)</f>
        <v>https://www.dgiwg.org/FAD/fdd/view?i=101629</v>
      </c>
      <c r="K1612" s="304" t="s">
        <v>35661</v>
      </c>
      <c r="L1612" s="188">
        <v>11</v>
      </c>
      <c r="M1612" s="179" t="s">
        <v>151</v>
      </c>
    </row>
    <row r="1613" spans="1:13" ht="25.5">
      <c r="A1613" s="313" t="str">
        <f t="shared" si="25"/>
        <v>AvailableVesselServiceCode_campingSite</v>
      </c>
      <c r="B1613" s="330"/>
      <c r="C1613" s="334"/>
      <c r="D1613" s="188" t="s">
        <v>17412</v>
      </c>
      <c r="E1613" s="189" t="s">
        <v>17413</v>
      </c>
      <c r="F1613" s="162" t="s">
        <v>17414</v>
      </c>
      <c r="G1613" s="190"/>
      <c r="H1613" s="219"/>
      <c r="I1613" s="169">
        <v>101649</v>
      </c>
      <c r="J1613" s="304" t="str">
        <f>CONCATENATE([2]Cover!$D$6,"fdd/view?i=",I1613)</f>
        <v>https://www.dgiwg.org/FAD/fdd/view?i=101649</v>
      </c>
      <c r="K1613" s="304" t="s">
        <v>35662</v>
      </c>
      <c r="L1613" s="188">
        <v>31</v>
      </c>
      <c r="M1613" s="179" t="s">
        <v>151</v>
      </c>
    </row>
    <row r="1614" spans="1:13" ht="25.5">
      <c r="A1614" s="313" t="str">
        <f t="shared" si="25"/>
        <v>AvailableVesselServiceCode_caravanSite</v>
      </c>
      <c r="B1614" s="330"/>
      <c r="C1614" s="334"/>
      <c r="D1614" s="188" t="s">
        <v>17418</v>
      </c>
      <c r="E1614" s="189" t="s">
        <v>17419</v>
      </c>
      <c r="F1614" s="162" t="s">
        <v>17420</v>
      </c>
      <c r="G1614" s="190"/>
      <c r="H1614" s="219"/>
      <c r="I1614" s="169">
        <v>101648</v>
      </c>
      <c r="J1614" s="304" t="str">
        <f>CONCATENATE([2]Cover!$D$6,"fdd/view?i=",I1614)</f>
        <v>https://www.dgiwg.org/FAD/fdd/view?i=101648</v>
      </c>
      <c r="K1614" s="304" t="s">
        <v>35663</v>
      </c>
      <c r="L1614" s="188">
        <v>30</v>
      </c>
      <c r="M1614" s="179" t="s">
        <v>151</v>
      </c>
    </row>
    <row r="1615" spans="1:13" ht="25.5">
      <c r="A1615" s="313" t="str">
        <f t="shared" si="25"/>
        <v>AvailableVesselServiceCode_carPark</v>
      </c>
      <c r="B1615" s="330"/>
      <c r="C1615" s="334"/>
      <c r="D1615" s="188" t="s">
        <v>17415</v>
      </c>
      <c r="E1615" s="189" t="s">
        <v>17416</v>
      </c>
      <c r="F1615" s="162" t="s">
        <v>17417</v>
      </c>
      <c r="G1615" s="190"/>
      <c r="H1615" s="219"/>
      <c r="I1615" s="169">
        <v>101646</v>
      </c>
      <c r="J1615" s="304" t="str">
        <f>CONCATENATE([2]Cover!$D$6,"fdd/view?i=",I1615)</f>
        <v>https://www.dgiwg.org/FAD/fdd/view?i=101646</v>
      </c>
      <c r="K1615" s="304" t="s">
        <v>35664</v>
      </c>
      <c r="L1615" s="188">
        <v>28</v>
      </c>
      <c r="M1615" s="179" t="s">
        <v>151</v>
      </c>
    </row>
    <row r="1616" spans="1:13" ht="25.5">
      <c r="A1616" s="313" t="str">
        <f t="shared" si="25"/>
        <v>AvailableVesselServiceCode_chandler</v>
      </c>
      <c r="B1616" s="330"/>
      <c r="C1616" s="334"/>
      <c r="D1616" s="188" t="s">
        <v>17421</v>
      </c>
      <c r="E1616" s="189" t="s">
        <v>17422</v>
      </c>
      <c r="F1616" s="162" t="s">
        <v>17423</v>
      </c>
      <c r="G1616" s="190"/>
      <c r="H1616" s="219"/>
      <c r="I1616" s="169">
        <v>101622</v>
      </c>
      <c r="J1616" s="304" t="str">
        <f>CONCATENATE([2]Cover!$D$6,"fdd/view?i=",I1616)</f>
        <v>https://www.dgiwg.org/FAD/fdd/view?i=101622</v>
      </c>
      <c r="K1616" s="304" t="s">
        <v>35665</v>
      </c>
      <c r="L1616" s="188">
        <v>4</v>
      </c>
      <c r="M1616" s="179" t="s">
        <v>151</v>
      </c>
    </row>
    <row r="1617" spans="1:13" ht="25.5">
      <c r="A1617" s="313" t="str">
        <f t="shared" si="25"/>
        <v>AvailableVesselServiceCode_drinkingWater</v>
      </c>
      <c r="B1617" s="330"/>
      <c r="C1617" s="334"/>
      <c r="D1617" s="188" t="s">
        <v>17424</v>
      </c>
      <c r="E1617" s="189" t="s">
        <v>17425</v>
      </c>
      <c r="F1617" s="162" t="s">
        <v>17426</v>
      </c>
      <c r="G1617" s="190"/>
      <c r="H1617" s="219"/>
      <c r="I1617" s="169">
        <v>101626</v>
      </c>
      <c r="J1617" s="304" t="str">
        <f>CONCATENATE([2]Cover!$D$6,"fdd/view?i=",I1617)</f>
        <v>https://www.dgiwg.org/FAD/fdd/view?i=101626</v>
      </c>
      <c r="K1617" s="304" t="s">
        <v>35666</v>
      </c>
      <c r="L1617" s="188">
        <v>8</v>
      </c>
      <c r="M1617" s="179" t="s">
        <v>151</v>
      </c>
    </row>
    <row r="1618" spans="1:13" ht="25.5">
      <c r="A1618" s="313" t="str">
        <f t="shared" si="25"/>
        <v>AvailableVesselServiceCode_electricity</v>
      </c>
      <c r="B1618" s="330"/>
      <c r="C1618" s="334"/>
      <c r="D1618" s="188" t="s">
        <v>17427</v>
      </c>
      <c r="E1618" s="189" t="s">
        <v>17428</v>
      </c>
      <c r="F1618" s="162" t="s">
        <v>17429</v>
      </c>
      <c r="G1618" s="190"/>
      <c r="H1618" s="219"/>
      <c r="I1618" s="169">
        <v>101628</v>
      </c>
      <c r="J1618" s="304" t="str">
        <f>CONCATENATE([2]Cover!$D$6,"fdd/view?i=",I1618)</f>
        <v>https://www.dgiwg.org/FAD/fdd/view?i=101628</v>
      </c>
      <c r="K1618" s="304" t="s">
        <v>35667</v>
      </c>
      <c r="L1618" s="188">
        <v>10</v>
      </c>
      <c r="M1618" s="179" t="s">
        <v>151</v>
      </c>
    </row>
    <row r="1619" spans="1:13" ht="25.5">
      <c r="A1619" s="313" t="str">
        <f t="shared" si="25"/>
        <v>AvailableVesselServiceCode_emergencyTelephone</v>
      </c>
      <c r="B1619" s="330"/>
      <c r="C1619" s="334"/>
      <c r="D1619" s="188" t="s">
        <v>17430</v>
      </c>
      <c r="E1619" s="189" t="s">
        <v>17431</v>
      </c>
      <c r="F1619" s="162" t="s">
        <v>17432</v>
      </c>
      <c r="G1619" s="190"/>
      <c r="H1619" s="219"/>
      <c r="I1619" s="169">
        <v>101651</v>
      </c>
      <c r="J1619" s="304" t="str">
        <f>CONCATENATE([2]Cover!$D$6,"fdd/view?i=",I1619)</f>
        <v>https://www.dgiwg.org/FAD/fdd/view?i=101651</v>
      </c>
      <c r="K1619" s="304" t="s">
        <v>35668</v>
      </c>
      <c r="L1619" s="188">
        <v>33</v>
      </c>
      <c r="M1619" s="179" t="s">
        <v>151</v>
      </c>
    </row>
    <row r="1620" spans="1:13" ht="25.5">
      <c r="A1620" s="313" t="str">
        <f t="shared" si="25"/>
        <v>AvailableVesselServiceCode_fuelStation</v>
      </c>
      <c r="B1620" s="330"/>
      <c r="C1620" s="334"/>
      <c r="D1620" s="188" t="s">
        <v>17433</v>
      </c>
      <c r="E1620" s="189" t="s">
        <v>17434</v>
      </c>
      <c r="F1620" s="162" t="s">
        <v>17435</v>
      </c>
      <c r="G1620" s="190"/>
      <c r="H1620" s="219"/>
      <c r="I1620" s="169">
        <v>101627</v>
      </c>
      <c r="J1620" s="304" t="str">
        <f>CONCATENATE([2]Cover!$D$6,"fdd/view?i=",I1620)</f>
        <v>https://www.dgiwg.org/FAD/fdd/view?i=101627</v>
      </c>
      <c r="K1620" s="304" t="s">
        <v>35669</v>
      </c>
      <c r="L1620" s="188">
        <v>9</v>
      </c>
      <c r="M1620" s="179" t="s">
        <v>151</v>
      </c>
    </row>
    <row r="1621" spans="1:13" ht="38.25">
      <c r="A1621" s="313" t="str">
        <f t="shared" si="25"/>
        <v>AvailableVesselServiceCode_hotel</v>
      </c>
      <c r="B1621" s="330"/>
      <c r="C1621" s="334"/>
      <c r="D1621" s="188" t="s">
        <v>17436</v>
      </c>
      <c r="E1621" s="189" t="s">
        <v>17437</v>
      </c>
      <c r="F1621" s="162" t="s">
        <v>17438</v>
      </c>
      <c r="G1621" s="190"/>
      <c r="H1621" s="219"/>
      <c r="I1621" s="169">
        <v>101643</v>
      </c>
      <c r="J1621" s="304" t="str">
        <f>CONCATENATE([2]Cover!$D$6,"fdd/view?i=",I1621)</f>
        <v>https://www.dgiwg.org/FAD/fdd/view?i=101643</v>
      </c>
      <c r="K1621" s="304" t="s">
        <v>35670</v>
      </c>
      <c r="L1621" s="188">
        <v>25</v>
      </c>
      <c r="M1621" s="179" t="s">
        <v>151</v>
      </c>
    </row>
    <row r="1622" spans="1:13" ht="25.5">
      <c r="A1622" s="313" t="str">
        <f t="shared" si="25"/>
        <v>AvailableVesselServiceCode_launderette</v>
      </c>
      <c r="B1622" s="330"/>
      <c r="C1622" s="334"/>
      <c r="D1622" s="188" t="s">
        <v>17439</v>
      </c>
      <c r="E1622" s="189" t="s">
        <v>17440</v>
      </c>
      <c r="F1622" s="162" t="s">
        <v>17441</v>
      </c>
      <c r="G1622" s="190"/>
      <c r="H1622" s="219"/>
      <c r="I1622" s="169">
        <v>101631</v>
      </c>
      <c r="J1622" s="304" t="str">
        <f>CONCATENATE([2]Cover!$D$6,"fdd/view?i=",I1622)</f>
        <v>https://www.dgiwg.org/FAD/fdd/view?i=101631</v>
      </c>
      <c r="K1622" s="304" t="s">
        <v>35671</v>
      </c>
      <c r="L1622" s="188">
        <v>13</v>
      </c>
      <c r="M1622" s="179" t="s">
        <v>151</v>
      </c>
    </row>
    <row r="1623" spans="1:13" ht="25.5">
      <c r="A1623" s="313" t="str">
        <f t="shared" si="25"/>
        <v>AvailableVesselServiceCode_mechanicsWorkshop</v>
      </c>
      <c r="B1623" s="330"/>
      <c r="C1623" s="334"/>
      <c r="D1623" s="188" t="s">
        <v>17442</v>
      </c>
      <c r="E1623" s="189" t="s">
        <v>17443</v>
      </c>
      <c r="F1623" s="162" t="s">
        <v>17444</v>
      </c>
      <c r="G1623" s="190"/>
      <c r="H1623" s="219"/>
      <c r="I1623" s="169">
        <v>101655</v>
      </c>
      <c r="J1623" s="304" t="str">
        <f>CONCATENATE([2]Cover!$D$6,"fdd/view?i=",I1623)</f>
        <v>https://www.dgiwg.org/FAD/fdd/view?i=101655</v>
      </c>
      <c r="K1623" s="304" t="s">
        <v>35672</v>
      </c>
      <c r="L1623" s="188">
        <v>37</v>
      </c>
      <c r="M1623" s="179" t="s">
        <v>151</v>
      </c>
    </row>
    <row r="1624" spans="1:13" ht="25.5">
      <c r="A1624" s="313" t="str">
        <f t="shared" si="25"/>
        <v>AvailableVesselServiceCode_noneAvailable</v>
      </c>
      <c r="B1624" s="330"/>
      <c r="C1624" s="334"/>
      <c r="D1624" s="188" t="s">
        <v>17445</v>
      </c>
      <c r="E1624" s="189" t="s">
        <v>17446</v>
      </c>
      <c r="F1624" s="162" t="s">
        <v>17447</v>
      </c>
      <c r="G1624" s="190"/>
      <c r="H1624" s="219"/>
      <c r="I1624" s="169">
        <v>101659</v>
      </c>
      <c r="J1624" s="304" t="str">
        <f>CONCATENATE([2]Cover!$D$6,"fdd/view?i=",I1624)</f>
        <v>https://www.dgiwg.org/FAD/fdd/view?i=101659</v>
      </c>
      <c r="K1624" s="304" t="s">
        <v>35673</v>
      </c>
      <c r="L1624" s="188">
        <v>41</v>
      </c>
      <c r="M1624" s="179" t="s">
        <v>151</v>
      </c>
    </row>
    <row r="1625" spans="1:13" ht="25.5">
      <c r="A1625" s="313" t="str">
        <f t="shared" si="25"/>
        <v>AvailableVesselServiceCode_pharmacy</v>
      </c>
      <c r="B1625" s="330"/>
      <c r="C1625" s="334"/>
      <c r="D1625" s="188" t="s">
        <v>17448</v>
      </c>
      <c r="E1625" s="189" t="s">
        <v>17449</v>
      </c>
      <c r="F1625" s="162" t="s">
        <v>17450</v>
      </c>
      <c r="G1625" s="190"/>
      <c r="H1625" s="219"/>
      <c r="I1625" s="169">
        <v>101625</v>
      </c>
      <c r="J1625" s="304" t="str">
        <f>CONCATENATE([2]Cover!$D$6,"fdd/view?i=",I1625)</f>
        <v>https://www.dgiwg.org/FAD/fdd/view?i=101625</v>
      </c>
      <c r="K1625" s="304" t="s">
        <v>35674</v>
      </c>
      <c r="L1625" s="188">
        <v>7</v>
      </c>
      <c r="M1625" s="179" t="s">
        <v>151</v>
      </c>
    </row>
    <row r="1626" spans="1:13" ht="25.5">
      <c r="A1626" s="313" t="str">
        <f t="shared" si="25"/>
        <v>AvailableVesselServiceCode_physician</v>
      </c>
      <c r="B1626" s="330"/>
      <c r="C1626" s="334"/>
      <c r="D1626" s="188" t="s">
        <v>17451</v>
      </c>
      <c r="E1626" s="189" t="s">
        <v>17452</v>
      </c>
      <c r="F1626" s="162" t="s">
        <v>17453</v>
      </c>
      <c r="G1626" s="190"/>
      <c r="H1626" s="219"/>
      <c r="I1626" s="169">
        <v>101624</v>
      </c>
      <c r="J1626" s="304" t="str">
        <f>CONCATENATE([2]Cover!$D$6,"fdd/view?i=",I1626)</f>
        <v>https://www.dgiwg.org/FAD/fdd/view?i=101624</v>
      </c>
      <c r="K1626" s="304" t="s">
        <v>35675</v>
      </c>
      <c r="L1626" s="188">
        <v>6</v>
      </c>
      <c r="M1626" s="179" t="s">
        <v>151</v>
      </c>
    </row>
    <row r="1627" spans="1:13" ht="25.5">
      <c r="A1627" s="313" t="str">
        <f t="shared" si="25"/>
        <v>AvailableVesselServiceCode_picnicArea</v>
      </c>
      <c r="B1627" s="330"/>
      <c r="C1627" s="334"/>
      <c r="D1627" s="188" t="s">
        <v>17454</v>
      </c>
      <c r="E1627" s="189" t="s">
        <v>17455</v>
      </c>
      <c r="F1627" s="162" t="s">
        <v>17456</v>
      </c>
      <c r="G1627" s="190"/>
      <c r="H1627" s="219"/>
      <c r="I1627" s="169">
        <v>101654</v>
      </c>
      <c r="J1627" s="304" t="str">
        <f>CONCATENATE([2]Cover!$D$6,"fdd/view?i=",I1627)</f>
        <v>https://www.dgiwg.org/FAD/fdd/view?i=101654</v>
      </c>
      <c r="K1627" s="304" t="s">
        <v>35676</v>
      </c>
      <c r="L1627" s="188">
        <v>36</v>
      </c>
      <c r="M1627" s="179" t="s">
        <v>151</v>
      </c>
    </row>
    <row r="1628" spans="1:13" ht="25.5">
      <c r="A1628" s="313" t="str">
        <f t="shared" si="25"/>
        <v>AvailableVesselServiceCode_postBox</v>
      </c>
      <c r="B1628" s="330"/>
      <c r="C1628" s="334"/>
      <c r="D1628" s="188" t="s">
        <v>17457</v>
      </c>
      <c r="E1628" s="189" t="s">
        <v>17458</v>
      </c>
      <c r="F1628" s="162" t="s">
        <v>17459</v>
      </c>
      <c r="G1628" s="190"/>
      <c r="H1628" s="219"/>
      <c r="I1628" s="169">
        <v>101633</v>
      </c>
      <c r="J1628" s="304" t="str">
        <f>CONCATENATE([2]Cover!$D$6,"fdd/view?i=",I1628)</f>
        <v>https://www.dgiwg.org/FAD/fdd/view?i=101633</v>
      </c>
      <c r="K1628" s="304" t="s">
        <v>35677</v>
      </c>
      <c r="L1628" s="188">
        <v>15</v>
      </c>
      <c r="M1628" s="179" t="s">
        <v>151</v>
      </c>
    </row>
    <row r="1629" spans="1:13" ht="25.5">
      <c r="A1629" s="313" t="str">
        <f t="shared" si="25"/>
        <v>AvailableVesselServiceCode_provisions</v>
      </c>
      <c r="B1629" s="330"/>
      <c r="C1629" s="334"/>
      <c r="D1629" s="188" t="s">
        <v>17460</v>
      </c>
      <c r="E1629" s="189" t="s">
        <v>17461</v>
      </c>
      <c r="F1629" s="162" t="s">
        <v>17462</v>
      </c>
      <c r="G1629" s="190"/>
      <c r="H1629" s="219"/>
      <c r="I1629" s="169">
        <v>101623</v>
      </c>
      <c r="J1629" s="304" t="str">
        <f>CONCATENATE([2]Cover!$D$6,"fdd/view?i=",I1629)</f>
        <v>https://www.dgiwg.org/FAD/fdd/view?i=101623</v>
      </c>
      <c r="K1629" s="304" t="s">
        <v>35678</v>
      </c>
      <c r="L1629" s="188">
        <v>5</v>
      </c>
      <c r="M1629" s="179" t="s">
        <v>151</v>
      </c>
    </row>
    <row r="1630" spans="1:13" ht="25.5">
      <c r="A1630" s="313" t="str">
        <f t="shared" si="25"/>
        <v>AvailableVesselServiceCode_publicTelephone</v>
      </c>
      <c r="B1630" s="330"/>
      <c r="C1630" s="334"/>
      <c r="D1630" s="188" t="s">
        <v>17463</v>
      </c>
      <c r="E1630" s="189" t="s">
        <v>17464</v>
      </c>
      <c r="F1630" s="162" t="s">
        <v>17465</v>
      </c>
      <c r="G1630" s="190"/>
      <c r="H1630" s="219"/>
      <c r="I1630" s="169">
        <v>101634</v>
      </c>
      <c r="J1630" s="304" t="str">
        <f>CONCATENATE([2]Cover!$D$6,"fdd/view?i=",I1630)</f>
        <v>https://www.dgiwg.org/FAD/fdd/view?i=101634</v>
      </c>
      <c r="K1630" s="304" t="s">
        <v>35679</v>
      </c>
      <c r="L1630" s="188">
        <v>16</v>
      </c>
      <c r="M1630" s="179" t="s">
        <v>151</v>
      </c>
    </row>
    <row r="1631" spans="1:13" ht="25.5">
      <c r="A1631" s="313" t="str">
        <f t="shared" si="25"/>
        <v>AvailableVesselServiceCode_publicToilets</v>
      </c>
      <c r="B1631" s="330"/>
      <c r="C1631" s="334"/>
      <c r="D1631" s="188" t="s">
        <v>17466</v>
      </c>
      <c r="E1631" s="189" t="s">
        <v>17467</v>
      </c>
      <c r="F1631" s="162" t="s">
        <v>17468</v>
      </c>
      <c r="G1631" s="190"/>
      <c r="H1631" s="219"/>
      <c r="I1631" s="169">
        <v>101632</v>
      </c>
      <c r="J1631" s="304" t="str">
        <f>CONCATENATE([2]Cover!$D$6,"fdd/view?i=",I1631)</f>
        <v>https://www.dgiwg.org/FAD/fdd/view?i=101632</v>
      </c>
      <c r="K1631" s="304" t="s">
        <v>35680</v>
      </c>
      <c r="L1631" s="188">
        <v>14</v>
      </c>
      <c r="M1631" s="179" t="s">
        <v>151</v>
      </c>
    </row>
    <row r="1632" spans="1:13" ht="38.25">
      <c r="A1632" s="313" t="str">
        <f t="shared" si="25"/>
        <v>AvailableVesselServiceCode_rampMarine</v>
      </c>
      <c r="B1632" s="330"/>
      <c r="C1632" s="334"/>
      <c r="D1632" s="188" t="s">
        <v>17469</v>
      </c>
      <c r="E1632" s="189" t="s">
        <v>17470</v>
      </c>
      <c r="F1632" s="162" t="s">
        <v>17471</v>
      </c>
      <c r="G1632" s="162" t="s">
        <v>17472</v>
      </c>
      <c r="H1632" s="219"/>
      <c r="I1632" s="169">
        <v>101652</v>
      </c>
      <c r="J1632" s="304" t="str">
        <f>CONCATENATE([2]Cover!$D$6,"fdd/view?i=",I1632)</f>
        <v>https://www.dgiwg.org/FAD/fdd/view?i=101652</v>
      </c>
      <c r="K1632" s="304" t="s">
        <v>35681</v>
      </c>
      <c r="L1632" s="188">
        <v>34</v>
      </c>
      <c r="M1632" s="179" t="s">
        <v>151</v>
      </c>
    </row>
    <row r="1633" spans="1:13" ht="25.5">
      <c r="A1633" s="313" t="str">
        <f t="shared" si="25"/>
        <v>AvailableVesselServiceCode_refuseBin</v>
      </c>
      <c r="B1633" s="330"/>
      <c r="C1633" s="334"/>
      <c r="D1633" s="188" t="s">
        <v>17473</v>
      </c>
      <c r="E1633" s="189" t="s">
        <v>17474</v>
      </c>
      <c r="F1633" s="162" t="s">
        <v>17475</v>
      </c>
      <c r="G1633" s="190"/>
      <c r="H1633" s="219"/>
      <c r="I1633" s="169">
        <v>101635</v>
      </c>
      <c r="J1633" s="304" t="str">
        <f>CONCATENATE([2]Cover!$D$6,"fdd/view?i=",I1633)</f>
        <v>https://www.dgiwg.org/FAD/fdd/view?i=101635</v>
      </c>
      <c r="K1633" s="304" t="s">
        <v>35682</v>
      </c>
      <c r="L1633" s="188">
        <v>17</v>
      </c>
      <c r="M1633" s="179" t="s">
        <v>151</v>
      </c>
    </row>
    <row r="1634" spans="1:13" ht="25.5">
      <c r="A1634" s="313" t="str">
        <f t="shared" si="25"/>
        <v>AvailableVesselServiceCode_restaurant</v>
      </c>
      <c r="B1634" s="330"/>
      <c r="C1634" s="334"/>
      <c r="D1634" s="188" t="s">
        <v>17476</v>
      </c>
      <c r="E1634" s="189" t="s">
        <v>17477</v>
      </c>
      <c r="F1634" s="162" t="s">
        <v>17478</v>
      </c>
      <c r="G1634" s="190"/>
      <c r="H1634" s="219"/>
      <c r="I1634" s="169">
        <v>101644</v>
      </c>
      <c r="J1634" s="304" t="str">
        <f>CONCATENATE([2]Cover!$D$6,"fdd/view?i=",I1634)</f>
        <v>https://www.dgiwg.org/FAD/fdd/view?i=101644</v>
      </c>
      <c r="K1634" s="304" t="s">
        <v>35683</v>
      </c>
      <c r="L1634" s="188">
        <v>26</v>
      </c>
      <c r="M1634" s="179" t="s">
        <v>151</v>
      </c>
    </row>
    <row r="1635" spans="1:13" ht="25.5">
      <c r="A1635" s="313" t="str">
        <f t="shared" si="25"/>
        <v>AvailableVesselServiceCode_sailmaker</v>
      </c>
      <c r="B1635" s="330"/>
      <c r="C1635" s="334"/>
      <c r="D1635" s="188" t="s">
        <v>17479</v>
      </c>
      <c r="E1635" s="189" t="s">
        <v>17480</v>
      </c>
      <c r="F1635" s="162" t="s">
        <v>17481</v>
      </c>
      <c r="G1635" s="190"/>
      <c r="H1635" s="219"/>
      <c r="I1635" s="169">
        <v>101621</v>
      </c>
      <c r="J1635" s="304" t="str">
        <f>CONCATENATE([2]Cover!$D$6,"fdd/view?i=",I1635)</f>
        <v>https://www.dgiwg.org/FAD/fdd/view?i=101621</v>
      </c>
      <c r="K1635" s="304" t="s">
        <v>35684</v>
      </c>
      <c r="L1635" s="188">
        <v>3</v>
      </c>
      <c r="M1635" s="179" t="s">
        <v>151</v>
      </c>
    </row>
    <row r="1636" spans="1:13" ht="25.5">
      <c r="A1636" s="313" t="str">
        <f t="shared" si="25"/>
        <v>AvailableVesselServiceCode_scrubbingBerth</v>
      </c>
      <c r="B1636" s="330"/>
      <c r="C1636" s="334"/>
      <c r="D1636" s="188" t="s">
        <v>17482</v>
      </c>
      <c r="E1636" s="189" t="s">
        <v>17483</v>
      </c>
      <c r="F1636" s="162" t="s">
        <v>17484</v>
      </c>
      <c r="G1636" s="190"/>
      <c r="H1636" s="219"/>
      <c r="I1636" s="169">
        <v>101653</v>
      </c>
      <c r="J1636" s="304" t="str">
        <f>CONCATENATE([2]Cover!$D$6,"fdd/view?i=",I1636)</f>
        <v>https://www.dgiwg.org/FAD/fdd/view?i=101653</v>
      </c>
      <c r="K1636" s="304" t="s">
        <v>35685</v>
      </c>
      <c r="L1636" s="188">
        <v>35</v>
      </c>
      <c r="M1636" s="179" t="s">
        <v>151</v>
      </c>
    </row>
    <row r="1637" spans="1:13" ht="25.5">
      <c r="A1637" s="313" t="str">
        <f t="shared" si="25"/>
        <v>AvailableVesselServiceCode_securityService</v>
      </c>
      <c r="B1637" s="330"/>
      <c r="C1637" s="334"/>
      <c r="D1637" s="188" t="s">
        <v>17485</v>
      </c>
      <c r="E1637" s="189" t="s">
        <v>17486</v>
      </c>
      <c r="F1637" s="162" t="s">
        <v>17487</v>
      </c>
      <c r="G1637" s="190"/>
      <c r="H1637" s="219"/>
      <c r="I1637" s="169">
        <v>101656</v>
      </c>
      <c r="J1637" s="304" t="str">
        <f>CONCATENATE([2]Cover!$D$6,"fdd/view?i=",I1637)</f>
        <v>https://www.dgiwg.org/FAD/fdd/view?i=101656</v>
      </c>
      <c r="K1637" s="304" t="s">
        <v>35686</v>
      </c>
      <c r="L1637" s="188">
        <v>38</v>
      </c>
      <c r="M1637" s="179" t="s">
        <v>151</v>
      </c>
    </row>
    <row r="1638" spans="1:13" ht="25.5">
      <c r="A1638" s="313" t="str">
        <f t="shared" si="25"/>
        <v>AvailableVesselServiceCode_seweragePumpOutStation</v>
      </c>
      <c r="B1638" s="330"/>
      <c r="C1638" s="334"/>
      <c r="D1638" s="188" t="s">
        <v>17488</v>
      </c>
      <c r="E1638" s="189" t="s">
        <v>17489</v>
      </c>
      <c r="F1638" s="162" t="s">
        <v>17490</v>
      </c>
      <c r="G1638" s="190"/>
      <c r="H1638" s="219"/>
      <c r="I1638" s="169">
        <v>101650</v>
      </c>
      <c r="J1638" s="304" t="str">
        <f>CONCATENATE([2]Cover!$D$6,"fdd/view?i=",I1638)</f>
        <v>https://www.dgiwg.org/FAD/fdd/view?i=101650</v>
      </c>
      <c r="K1638" s="304" t="s">
        <v>35687</v>
      </c>
      <c r="L1638" s="188">
        <v>32</v>
      </c>
      <c r="M1638" s="179" t="s">
        <v>151</v>
      </c>
    </row>
    <row r="1639" spans="1:13" ht="25.5">
      <c r="A1639" s="313" t="str">
        <f t="shared" si="25"/>
        <v>AvailableVesselServiceCode_showers</v>
      </c>
      <c r="B1639" s="330"/>
      <c r="C1639" s="334"/>
      <c r="D1639" s="188" t="s">
        <v>17491</v>
      </c>
      <c r="E1639" s="189" t="s">
        <v>17492</v>
      </c>
      <c r="F1639" s="162" t="s">
        <v>17493</v>
      </c>
      <c r="G1639" s="190"/>
      <c r="H1639" s="219"/>
      <c r="I1639" s="169">
        <v>101630</v>
      </c>
      <c r="J1639" s="304" t="str">
        <f>CONCATENATE([2]Cover!$D$6,"fdd/view?i=",I1639)</f>
        <v>https://www.dgiwg.org/FAD/fdd/view?i=101630</v>
      </c>
      <c r="K1639" s="304" t="s">
        <v>35688</v>
      </c>
      <c r="L1639" s="188">
        <v>12</v>
      </c>
      <c r="M1639" s="179" t="s">
        <v>151</v>
      </c>
    </row>
    <row r="1640" spans="1:13" ht="25.5">
      <c r="A1640" s="313" t="str">
        <f t="shared" si="25"/>
        <v>AvailableVesselServiceCode_visitorsBerth</v>
      </c>
      <c r="B1640" s="330"/>
      <c r="C1640" s="334"/>
      <c r="D1640" s="188" t="s">
        <v>17494</v>
      </c>
      <c r="E1640" s="189" t="s">
        <v>17495</v>
      </c>
      <c r="F1640" s="162" t="s">
        <v>17496</v>
      </c>
      <c r="G1640" s="190"/>
      <c r="H1640" s="219"/>
      <c r="I1640" s="169">
        <v>101619</v>
      </c>
      <c r="J1640" s="304" t="str">
        <f>CONCATENATE([2]Cover!$D$6,"fdd/view?i=",I1640)</f>
        <v>https://www.dgiwg.org/FAD/fdd/view?i=101619</v>
      </c>
      <c r="K1640" s="304" t="s">
        <v>35689</v>
      </c>
      <c r="L1640" s="188">
        <v>1</v>
      </c>
      <c r="M1640" s="179" t="s">
        <v>151</v>
      </c>
    </row>
    <row r="1641" spans="1:13" ht="25.5">
      <c r="A1641" s="313" t="str">
        <f t="shared" si="25"/>
        <v>AvailableVesselServiceCode_visitorsMooring</v>
      </c>
      <c r="B1641" s="330"/>
      <c r="C1641" s="334"/>
      <c r="D1641" s="188" t="s">
        <v>17497</v>
      </c>
      <c r="E1641" s="189" t="s">
        <v>17498</v>
      </c>
      <c r="F1641" s="162" t="s">
        <v>17499</v>
      </c>
      <c r="G1641" s="190"/>
      <c r="H1641" s="219"/>
      <c r="I1641" s="169">
        <v>101620</v>
      </c>
      <c r="J1641" s="304" t="str">
        <f>CONCATENATE([2]Cover!$D$6,"fdd/view?i=",I1641)</f>
        <v>https://www.dgiwg.org/FAD/fdd/view?i=101620</v>
      </c>
      <c r="K1641" s="304" t="s">
        <v>35690</v>
      </c>
      <c r="L1641" s="188">
        <v>2</v>
      </c>
      <c r="M1641" s="179" t="s">
        <v>151</v>
      </c>
    </row>
    <row r="1642" spans="1:13" ht="25.5">
      <c r="A1642" s="313" t="str">
        <f t="shared" si="25"/>
        <v>AvailableVesselServiceCode_yachtClub</v>
      </c>
      <c r="B1642" s="331"/>
      <c r="C1642" s="335"/>
      <c r="D1642" s="181" t="s">
        <v>17500</v>
      </c>
      <c r="E1642" s="192" t="s">
        <v>17501</v>
      </c>
      <c r="F1642" s="193" t="s">
        <v>17502</v>
      </c>
      <c r="G1642" s="194"/>
      <c r="H1642" s="220"/>
      <c r="I1642" s="169">
        <v>101640</v>
      </c>
      <c r="J1642" s="304" t="str">
        <f>CONCATENATE([2]Cover!$D$6,"fdd/view?i=",I1642)</f>
        <v>https://www.dgiwg.org/FAD/fdd/view?i=101640</v>
      </c>
      <c r="K1642" s="304" t="s">
        <v>35691</v>
      </c>
      <c r="L1642" s="181">
        <v>22</v>
      </c>
      <c r="M1642" s="179" t="s">
        <v>151</v>
      </c>
    </row>
    <row r="1643" spans="1:13">
      <c r="A1643" s="313" t="str">
        <f t="shared" si="25"/>
        <v>AviationFuelTypeCode_a</v>
      </c>
      <c r="B1643" s="332" t="str">
        <f>HYPERLINK("[#]Datatypes!A190:L190","AviationFuelTypeCode")</f>
        <v>AviationFuelTypeCode</v>
      </c>
      <c r="C1643" s="333" t="s">
        <v>11630</v>
      </c>
      <c r="D1643" s="202" t="s">
        <v>17503</v>
      </c>
      <c r="E1643" s="203" t="s">
        <v>17504</v>
      </c>
      <c r="F1643" s="204" t="s">
        <v>17505</v>
      </c>
      <c r="G1643" s="205"/>
      <c r="H1643" s="218"/>
      <c r="I1643" s="169">
        <v>116219</v>
      </c>
      <c r="J1643" s="304" t="str">
        <f>CONCATENATE([2]Cover!$D$6,"fdd/view?i=",I1643)</f>
        <v>https://www.dgiwg.org/FAD/fdd/view?i=116219</v>
      </c>
      <c r="K1643" s="304" t="s">
        <v>35692</v>
      </c>
      <c r="L1643" s="202">
        <v>1</v>
      </c>
      <c r="M1643" s="179" t="s">
        <v>151</v>
      </c>
    </row>
    <row r="1644" spans="1:13">
      <c r="A1644" s="313" t="str">
        <f t="shared" si="25"/>
        <v>AviationFuelTypeCode_a1</v>
      </c>
      <c r="B1644" s="330"/>
      <c r="C1644" s="334"/>
      <c r="D1644" s="188" t="s">
        <v>17506</v>
      </c>
      <c r="E1644" s="189" t="s">
        <v>17507</v>
      </c>
      <c r="F1644" s="162" t="s">
        <v>17508</v>
      </c>
      <c r="G1644" s="190"/>
      <c r="H1644" s="221" t="s">
        <v>17509</v>
      </c>
      <c r="I1644" s="169">
        <v>116220</v>
      </c>
      <c r="J1644" s="304" t="str">
        <f>CONCATENATE([2]Cover!$D$6,"fdd/view?i=",I1644)</f>
        <v>https://www.dgiwg.org/FAD/fdd/view?i=116220</v>
      </c>
      <c r="K1644" s="304" t="s">
        <v>35693</v>
      </c>
      <c r="L1644" s="188">
        <v>2</v>
      </c>
      <c r="M1644" s="179" t="s">
        <v>151</v>
      </c>
    </row>
    <row r="1645" spans="1:13" ht="25.5">
      <c r="A1645" s="313" t="str">
        <f t="shared" si="25"/>
        <v>AviationFuelTypeCode_a1_Plus</v>
      </c>
      <c r="B1645" s="330"/>
      <c r="C1645" s="334"/>
      <c r="D1645" s="188" t="s">
        <v>17510</v>
      </c>
      <c r="E1645" s="189" t="s">
        <v>17511</v>
      </c>
      <c r="F1645" s="162" t="s">
        <v>17512</v>
      </c>
      <c r="G1645" s="190"/>
      <c r="H1645" s="219"/>
      <c r="I1645" s="169">
        <v>116221</v>
      </c>
      <c r="J1645" s="304" t="str">
        <f>CONCATENATE([2]Cover!$D$6,"fdd/view?i=",I1645)</f>
        <v>https://www.dgiwg.org/FAD/fdd/view?i=116221</v>
      </c>
      <c r="K1645" s="304" t="s">
        <v>35694</v>
      </c>
      <c r="L1645" s="188">
        <v>3</v>
      </c>
      <c r="M1645" s="179" t="s">
        <v>151</v>
      </c>
    </row>
    <row r="1646" spans="1:13">
      <c r="A1646" s="313" t="str">
        <f t="shared" si="25"/>
        <v>AviationFuelTypeCode_all</v>
      </c>
      <c r="B1646" s="330"/>
      <c r="C1646" s="334"/>
      <c r="D1646" s="188" t="s">
        <v>17513</v>
      </c>
      <c r="E1646" s="189" t="s">
        <v>17514</v>
      </c>
      <c r="F1646" s="162" t="s">
        <v>17515</v>
      </c>
      <c r="G1646" s="190"/>
      <c r="H1646" s="219"/>
      <c r="I1646" s="169">
        <v>116222</v>
      </c>
      <c r="J1646" s="304" t="str">
        <f>CONCATENATE([2]Cover!$D$6,"fdd/view?i=",I1646)</f>
        <v>https://www.dgiwg.org/FAD/fdd/view?i=116222</v>
      </c>
      <c r="K1646" s="304" t="s">
        <v>35695</v>
      </c>
      <c r="L1646" s="188">
        <v>4</v>
      </c>
      <c r="M1646" s="179" t="s">
        <v>151</v>
      </c>
    </row>
    <row r="1647" spans="1:13">
      <c r="A1647" s="313" t="str">
        <f t="shared" si="25"/>
        <v>AviationFuelTypeCode_avGas</v>
      </c>
      <c r="B1647" s="330"/>
      <c r="C1647" s="334"/>
      <c r="D1647" s="188" t="s">
        <v>17516</v>
      </c>
      <c r="E1647" s="189" t="s">
        <v>17517</v>
      </c>
      <c r="F1647" s="162" t="s">
        <v>17518</v>
      </c>
      <c r="G1647" s="190"/>
      <c r="H1647" s="219"/>
      <c r="I1647" s="169">
        <v>116223</v>
      </c>
      <c r="J1647" s="304" t="str">
        <f>CONCATENATE([2]Cover!$D$6,"fdd/view?i=",I1647)</f>
        <v>https://www.dgiwg.org/FAD/fdd/view?i=116223</v>
      </c>
      <c r="K1647" s="304" t="s">
        <v>35696</v>
      </c>
      <c r="L1647" s="188">
        <v>5</v>
      </c>
      <c r="M1647" s="179" t="s">
        <v>151</v>
      </c>
    </row>
    <row r="1648" spans="1:13">
      <c r="A1648" s="313" t="str">
        <f t="shared" si="25"/>
        <v>AviationFuelTypeCode_avGas_LL</v>
      </c>
      <c r="B1648" s="330"/>
      <c r="C1648" s="334"/>
      <c r="D1648" s="188" t="s">
        <v>17519</v>
      </c>
      <c r="E1648" s="189" t="s">
        <v>17520</v>
      </c>
      <c r="F1648" s="162" t="s">
        <v>17521</v>
      </c>
      <c r="G1648" s="190"/>
      <c r="H1648" s="221" t="s">
        <v>17522</v>
      </c>
      <c r="I1648" s="169">
        <v>116224</v>
      </c>
      <c r="J1648" s="304" t="str">
        <f>CONCATENATE([2]Cover!$D$6,"fdd/view?i=",I1648)</f>
        <v>https://www.dgiwg.org/FAD/fdd/view?i=116224</v>
      </c>
      <c r="K1648" s="304" t="s">
        <v>35697</v>
      </c>
      <c r="L1648" s="188">
        <v>6</v>
      </c>
      <c r="M1648" s="179" t="s">
        <v>151</v>
      </c>
    </row>
    <row r="1649" spans="1:13">
      <c r="A1649" s="313" t="str">
        <f t="shared" si="25"/>
        <v>AviationFuelTypeCode_b</v>
      </c>
      <c r="B1649" s="330"/>
      <c r="C1649" s="334"/>
      <c r="D1649" s="188" t="s">
        <v>17523</v>
      </c>
      <c r="E1649" s="189" t="s">
        <v>17524</v>
      </c>
      <c r="F1649" s="162" t="s">
        <v>17525</v>
      </c>
      <c r="G1649" s="190"/>
      <c r="H1649" s="219"/>
      <c r="I1649" s="169">
        <v>116225</v>
      </c>
      <c r="J1649" s="304" t="str">
        <f>CONCATENATE([2]Cover!$D$6,"fdd/view?i=",I1649)</f>
        <v>https://www.dgiwg.org/FAD/fdd/view?i=116225</v>
      </c>
      <c r="K1649" s="304" t="s">
        <v>35698</v>
      </c>
      <c r="L1649" s="188">
        <v>7</v>
      </c>
      <c r="M1649" s="179" t="s">
        <v>151</v>
      </c>
    </row>
    <row r="1650" spans="1:13">
      <c r="A1650" s="313" t="str">
        <f t="shared" si="25"/>
        <v>AviationFuelTypeCode_b_Plus</v>
      </c>
      <c r="B1650" s="330"/>
      <c r="C1650" s="334"/>
      <c r="D1650" s="188" t="s">
        <v>17526</v>
      </c>
      <c r="E1650" s="189" t="s">
        <v>17527</v>
      </c>
      <c r="F1650" s="162" t="s">
        <v>17528</v>
      </c>
      <c r="G1650" s="190"/>
      <c r="H1650" s="219"/>
      <c r="I1650" s="169">
        <v>116226</v>
      </c>
      <c r="J1650" s="304" t="str">
        <f>CONCATENATE([2]Cover!$D$6,"fdd/view?i=",I1650)</f>
        <v>https://www.dgiwg.org/FAD/fdd/view?i=116226</v>
      </c>
      <c r="K1650" s="304" t="s">
        <v>35699</v>
      </c>
      <c r="L1650" s="188">
        <v>8</v>
      </c>
      <c r="M1650" s="179" t="s">
        <v>151</v>
      </c>
    </row>
    <row r="1651" spans="1:13">
      <c r="A1651" s="313" t="str">
        <f t="shared" si="25"/>
        <v>AviationFuelTypeCode_jet</v>
      </c>
      <c r="B1651" s="330"/>
      <c r="C1651" s="334"/>
      <c r="D1651" s="188" t="s">
        <v>16444</v>
      </c>
      <c r="E1651" s="189" t="s">
        <v>16445</v>
      </c>
      <c r="F1651" s="162" t="s">
        <v>17529</v>
      </c>
      <c r="G1651" s="190"/>
      <c r="H1651" s="219"/>
      <c r="I1651" s="169">
        <v>116227</v>
      </c>
      <c r="J1651" s="304" t="str">
        <f>CONCATENATE([2]Cover!$D$6,"fdd/view?i=",I1651)</f>
        <v>https://www.dgiwg.org/FAD/fdd/view?i=116227</v>
      </c>
      <c r="K1651" s="304" t="s">
        <v>35700</v>
      </c>
      <c r="L1651" s="188">
        <v>9</v>
      </c>
      <c r="M1651" s="179" t="s">
        <v>151</v>
      </c>
    </row>
    <row r="1652" spans="1:13">
      <c r="A1652" s="313" t="str">
        <f t="shared" si="25"/>
        <v>AviationFuelTypeCode_jp1</v>
      </c>
      <c r="B1652" s="330"/>
      <c r="C1652" s="334"/>
      <c r="D1652" s="188" t="s">
        <v>17530</v>
      </c>
      <c r="E1652" s="189" t="s">
        <v>17531</v>
      </c>
      <c r="F1652" s="162" t="s">
        <v>17532</v>
      </c>
      <c r="G1652" s="190"/>
      <c r="H1652" s="219"/>
      <c r="I1652" s="169">
        <v>116228</v>
      </c>
      <c r="J1652" s="304" t="str">
        <f>CONCATENATE([2]Cover!$D$6,"fdd/view?i=",I1652)</f>
        <v>https://www.dgiwg.org/FAD/fdd/view?i=116228</v>
      </c>
      <c r="K1652" s="304" t="s">
        <v>35701</v>
      </c>
      <c r="L1652" s="188">
        <v>10</v>
      </c>
      <c r="M1652" s="179" t="s">
        <v>151</v>
      </c>
    </row>
    <row r="1653" spans="1:13">
      <c r="A1653" s="313" t="str">
        <f t="shared" si="25"/>
        <v>AviationFuelTypeCode_jp10</v>
      </c>
      <c r="B1653" s="330"/>
      <c r="C1653" s="334"/>
      <c r="D1653" s="188" t="s">
        <v>17533</v>
      </c>
      <c r="E1653" s="189" t="s">
        <v>17534</v>
      </c>
      <c r="F1653" s="162" t="s">
        <v>17535</v>
      </c>
      <c r="G1653" s="190"/>
      <c r="H1653" s="219"/>
      <c r="I1653" s="169">
        <v>116229</v>
      </c>
      <c r="J1653" s="304" t="str">
        <f>CONCATENATE([2]Cover!$D$6,"fdd/view?i=",I1653)</f>
        <v>https://www.dgiwg.org/FAD/fdd/view?i=116229</v>
      </c>
      <c r="K1653" s="304" t="s">
        <v>35702</v>
      </c>
      <c r="L1653" s="188">
        <v>11</v>
      </c>
      <c r="M1653" s="179" t="s">
        <v>151</v>
      </c>
    </row>
    <row r="1654" spans="1:13">
      <c r="A1654" s="313" t="str">
        <f t="shared" si="25"/>
        <v>AviationFuelTypeCode_jp2</v>
      </c>
      <c r="B1654" s="330"/>
      <c r="C1654" s="334"/>
      <c r="D1654" s="188" t="s">
        <v>17536</v>
      </c>
      <c r="E1654" s="189" t="s">
        <v>17537</v>
      </c>
      <c r="F1654" s="162" t="s">
        <v>17538</v>
      </c>
      <c r="G1654" s="190"/>
      <c r="H1654" s="219"/>
      <c r="I1654" s="169">
        <v>116230</v>
      </c>
      <c r="J1654" s="304" t="str">
        <f>CONCATENATE([2]Cover!$D$6,"fdd/view?i=",I1654)</f>
        <v>https://www.dgiwg.org/FAD/fdd/view?i=116230</v>
      </c>
      <c r="K1654" s="304" t="s">
        <v>35703</v>
      </c>
      <c r="L1654" s="188">
        <v>12</v>
      </c>
      <c r="M1654" s="179" t="s">
        <v>151</v>
      </c>
    </row>
    <row r="1655" spans="1:13">
      <c r="A1655" s="313" t="str">
        <f t="shared" si="25"/>
        <v>AviationFuelTypeCode_jp3</v>
      </c>
      <c r="B1655" s="330"/>
      <c r="C1655" s="334"/>
      <c r="D1655" s="188" t="s">
        <v>17539</v>
      </c>
      <c r="E1655" s="189" t="s">
        <v>17540</v>
      </c>
      <c r="F1655" s="162" t="s">
        <v>17541</v>
      </c>
      <c r="G1655" s="190"/>
      <c r="H1655" s="219"/>
      <c r="I1655" s="169">
        <v>116231</v>
      </c>
      <c r="J1655" s="304" t="str">
        <f>CONCATENATE([2]Cover!$D$6,"fdd/view?i=",I1655)</f>
        <v>https://www.dgiwg.org/FAD/fdd/view?i=116231</v>
      </c>
      <c r="K1655" s="304" t="s">
        <v>35704</v>
      </c>
      <c r="L1655" s="188">
        <v>13</v>
      </c>
      <c r="M1655" s="179" t="s">
        <v>151</v>
      </c>
    </row>
    <row r="1656" spans="1:13">
      <c r="A1656" s="313" t="str">
        <f t="shared" si="25"/>
        <v>AviationFuelTypeCode_jp4</v>
      </c>
      <c r="B1656" s="330"/>
      <c r="C1656" s="334"/>
      <c r="D1656" s="188" t="s">
        <v>17542</v>
      </c>
      <c r="E1656" s="189" t="s">
        <v>17543</v>
      </c>
      <c r="F1656" s="162" t="s">
        <v>17544</v>
      </c>
      <c r="G1656" s="190"/>
      <c r="H1656" s="221" t="s">
        <v>17545</v>
      </c>
      <c r="I1656" s="169">
        <v>116232</v>
      </c>
      <c r="J1656" s="304" t="str">
        <f>CONCATENATE([2]Cover!$D$6,"fdd/view?i=",I1656)</f>
        <v>https://www.dgiwg.org/FAD/fdd/view?i=116232</v>
      </c>
      <c r="K1656" s="304" t="s">
        <v>35705</v>
      </c>
      <c r="L1656" s="188">
        <v>14</v>
      </c>
      <c r="M1656" s="179" t="s">
        <v>151</v>
      </c>
    </row>
    <row r="1657" spans="1:13" ht="25.5">
      <c r="A1657" s="313" t="str">
        <f t="shared" si="25"/>
        <v>AviationFuelTypeCode_jp5</v>
      </c>
      <c r="B1657" s="330"/>
      <c r="C1657" s="334"/>
      <c r="D1657" s="188" t="s">
        <v>17546</v>
      </c>
      <c r="E1657" s="189" t="s">
        <v>17547</v>
      </c>
      <c r="F1657" s="162" t="s">
        <v>17548</v>
      </c>
      <c r="G1657" s="190"/>
      <c r="H1657" s="221" t="s">
        <v>17549</v>
      </c>
      <c r="I1657" s="169">
        <v>116233</v>
      </c>
      <c r="J1657" s="304" t="str">
        <f>CONCATENATE([2]Cover!$D$6,"fdd/view?i=",I1657)</f>
        <v>https://www.dgiwg.org/FAD/fdd/view?i=116233</v>
      </c>
      <c r="K1657" s="304" t="s">
        <v>35706</v>
      </c>
      <c r="L1657" s="188">
        <v>15</v>
      </c>
      <c r="M1657" s="179" t="s">
        <v>151</v>
      </c>
    </row>
    <row r="1658" spans="1:13">
      <c r="A1658" s="313" t="str">
        <f t="shared" si="25"/>
        <v>AviationFuelTypeCode_jp6</v>
      </c>
      <c r="B1658" s="330"/>
      <c r="C1658" s="334"/>
      <c r="D1658" s="188" t="s">
        <v>17550</v>
      </c>
      <c r="E1658" s="189" t="s">
        <v>17551</v>
      </c>
      <c r="F1658" s="162" t="s">
        <v>17552</v>
      </c>
      <c r="G1658" s="190"/>
      <c r="H1658" s="219"/>
      <c r="I1658" s="169">
        <v>116234</v>
      </c>
      <c r="J1658" s="304" t="str">
        <f>CONCATENATE([2]Cover!$D$6,"fdd/view?i=",I1658)</f>
        <v>https://www.dgiwg.org/FAD/fdd/view?i=116234</v>
      </c>
      <c r="K1658" s="304" t="s">
        <v>35707</v>
      </c>
      <c r="L1658" s="188">
        <v>16</v>
      </c>
      <c r="M1658" s="179" t="s">
        <v>151</v>
      </c>
    </row>
    <row r="1659" spans="1:13">
      <c r="A1659" s="313" t="str">
        <f t="shared" si="25"/>
        <v>AviationFuelTypeCode_jp7</v>
      </c>
      <c r="B1659" s="330"/>
      <c r="C1659" s="334"/>
      <c r="D1659" s="188" t="s">
        <v>17553</v>
      </c>
      <c r="E1659" s="189" t="s">
        <v>17554</v>
      </c>
      <c r="F1659" s="162" t="s">
        <v>17555</v>
      </c>
      <c r="G1659" s="162" t="s">
        <v>17556</v>
      </c>
      <c r="H1659" s="219"/>
      <c r="I1659" s="169">
        <v>116235</v>
      </c>
      <c r="J1659" s="304" t="str">
        <f>CONCATENATE([2]Cover!$D$6,"fdd/view?i=",I1659)</f>
        <v>https://www.dgiwg.org/FAD/fdd/view?i=116235</v>
      </c>
      <c r="K1659" s="304" t="s">
        <v>35708</v>
      </c>
      <c r="L1659" s="188">
        <v>17</v>
      </c>
      <c r="M1659" s="179" t="s">
        <v>151</v>
      </c>
    </row>
    <row r="1660" spans="1:13">
      <c r="A1660" s="313" t="str">
        <f t="shared" si="25"/>
        <v>AviationFuelTypeCode_jp8</v>
      </c>
      <c r="B1660" s="330"/>
      <c r="C1660" s="334"/>
      <c r="D1660" s="188" t="s">
        <v>17557</v>
      </c>
      <c r="E1660" s="189" t="s">
        <v>17558</v>
      </c>
      <c r="F1660" s="162" t="s">
        <v>17559</v>
      </c>
      <c r="G1660" s="190"/>
      <c r="H1660" s="221" t="s">
        <v>17560</v>
      </c>
      <c r="I1660" s="169">
        <v>116236</v>
      </c>
      <c r="J1660" s="304" t="str">
        <f>CONCATENATE([2]Cover!$D$6,"fdd/view?i=",I1660)</f>
        <v>https://www.dgiwg.org/FAD/fdd/view?i=116236</v>
      </c>
      <c r="K1660" s="304" t="s">
        <v>35709</v>
      </c>
      <c r="L1660" s="188">
        <v>18</v>
      </c>
      <c r="M1660" s="179" t="s">
        <v>151</v>
      </c>
    </row>
    <row r="1661" spans="1:13" ht="38.25">
      <c r="A1661" s="313" t="str">
        <f t="shared" si="25"/>
        <v>AviationFuelTypeCode_jp8_Plus100</v>
      </c>
      <c r="B1661" s="330"/>
      <c r="C1661" s="334"/>
      <c r="D1661" s="188" t="s">
        <v>17561</v>
      </c>
      <c r="E1661" s="189" t="s">
        <v>17562</v>
      </c>
      <c r="F1661" s="162" t="s">
        <v>17563</v>
      </c>
      <c r="G1661" s="190"/>
      <c r="H1661" s="219"/>
      <c r="I1661" s="169">
        <v>116237</v>
      </c>
      <c r="J1661" s="304" t="str">
        <f>CONCATENATE([2]Cover!$D$6,"fdd/view?i=",I1661)</f>
        <v>https://www.dgiwg.org/FAD/fdd/view?i=116237</v>
      </c>
      <c r="K1661" s="304" t="s">
        <v>35710</v>
      </c>
      <c r="L1661" s="188">
        <v>19</v>
      </c>
      <c r="M1661" s="179" t="s">
        <v>151</v>
      </c>
    </row>
    <row r="1662" spans="1:13">
      <c r="A1662" s="313" t="str">
        <f t="shared" si="25"/>
        <v>AviationFuelTypeCode_jp9</v>
      </c>
      <c r="B1662" s="330"/>
      <c r="C1662" s="334"/>
      <c r="D1662" s="188" t="s">
        <v>17564</v>
      </c>
      <c r="E1662" s="189" t="s">
        <v>17565</v>
      </c>
      <c r="F1662" s="162" t="s">
        <v>17566</v>
      </c>
      <c r="G1662" s="190"/>
      <c r="H1662" s="219"/>
      <c r="I1662" s="169">
        <v>116238</v>
      </c>
      <c r="J1662" s="304" t="str">
        <f>CONCATENATE([2]Cover!$D$6,"fdd/view?i=",I1662)</f>
        <v>https://www.dgiwg.org/FAD/fdd/view?i=116238</v>
      </c>
      <c r="K1662" s="304" t="s">
        <v>35711</v>
      </c>
      <c r="L1662" s="188">
        <v>20</v>
      </c>
      <c r="M1662" s="179" t="s">
        <v>151</v>
      </c>
    </row>
    <row r="1663" spans="1:13">
      <c r="A1663" s="313" t="str">
        <f t="shared" si="25"/>
        <v>AviationFuelTypeCode_mogas</v>
      </c>
      <c r="B1663" s="330"/>
      <c r="C1663" s="334"/>
      <c r="D1663" s="188" t="s">
        <v>17567</v>
      </c>
      <c r="E1663" s="189" t="s">
        <v>17568</v>
      </c>
      <c r="F1663" s="162" t="s">
        <v>17569</v>
      </c>
      <c r="G1663" s="190"/>
      <c r="H1663" s="219"/>
      <c r="I1663" s="169">
        <v>116239</v>
      </c>
      <c r="J1663" s="304" t="str">
        <f>CONCATENATE([2]Cover!$D$6,"fdd/view?i=",I1663)</f>
        <v>https://www.dgiwg.org/FAD/fdd/view?i=116239</v>
      </c>
      <c r="K1663" s="304" t="s">
        <v>35712</v>
      </c>
      <c r="L1663" s="188">
        <v>21</v>
      </c>
      <c r="M1663" s="179" t="s">
        <v>151</v>
      </c>
    </row>
    <row r="1664" spans="1:13" ht="25.5">
      <c r="A1664" s="313" t="str">
        <f t="shared" si="25"/>
        <v>AviationFuelTypeCode_octane100_130</v>
      </c>
      <c r="B1664" s="330"/>
      <c r="C1664" s="334"/>
      <c r="D1664" s="188" t="s">
        <v>17570</v>
      </c>
      <c r="E1664" s="189" t="s">
        <v>17571</v>
      </c>
      <c r="F1664" s="162" t="s">
        <v>17572</v>
      </c>
      <c r="G1664" s="190"/>
      <c r="H1664" s="219"/>
      <c r="I1664" s="169">
        <v>116240</v>
      </c>
      <c r="J1664" s="304" t="str">
        <f>CONCATENATE([2]Cover!$D$6,"fdd/view?i=",I1664)</f>
        <v>https://www.dgiwg.org/FAD/fdd/view?i=116240</v>
      </c>
      <c r="K1664" s="304" t="s">
        <v>35713</v>
      </c>
      <c r="L1664" s="188">
        <v>22</v>
      </c>
      <c r="M1664" s="179" t="s">
        <v>151</v>
      </c>
    </row>
    <row r="1665" spans="1:13" ht="25.5">
      <c r="A1665" s="313" t="str">
        <f t="shared" si="25"/>
        <v>AviationFuelTypeCode_octane108_135</v>
      </c>
      <c r="B1665" s="330"/>
      <c r="C1665" s="334"/>
      <c r="D1665" s="188" t="s">
        <v>17573</v>
      </c>
      <c r="E1665" s="189" t="s">
        <v>17574</v>
      </c>
      <c r="F1665" s="162" t="s">
        <v>17575</v>
      </c>
      <c r="G1665" s="190"/>
      <c r="H1665" s="219"/>
      <c r="I1665" s="169">
        <v>116241</v>
      </c>
      <c r="J1665" s="304" t="str">
        <f>CONCATENATE([2]Cover!$D$6,"fdd/view?i=",I1665)</f>
        <v>https://www.dgiwg.org/FAD/fdd/view?i=116241</v>
      </c>
      <c r="K1665" s="304" t="s">
        <v>35714</v>
      </c>
      <c r="L1665" s="188">
        <v>23</v>
      </c>
      <c r="M1665" s="179" t="s">
        <v>151</v>
      </c>
    </row>
    <row r="1666" spans="1:13" ht="25.5">
      <c r="A1666" s="313" t="str">
        <f t="shared" si="25"/>
        <v>AviationFuelTypeCode_octane115_145</v>
      </c>
      <c r="B1666" s="330"/>
      <c r="C1666" s="334"/>
      <c r="D1666" s="188" t="s">
        <v>17576</v>
      </c>
      <c r="E1666" s="189" t="s">
        <v>17577</v>
      </c>
      <c r="F1666" s="162" t="s">
        <v>17578</v>
      </c>
      <c r="G1666" s="190"/>
      <c r="H1666" s="221" t="s">
        <v>17579</v>
      </c>
      <c r="I1666" s="169">
        <v>116242</v>
      </c>
      <c r="J1666" s="304" t="str">
        <f>CONCATENATE([2]Cover!$D$6,"fdd/view?i=",I1666)</f>
        <v>https://www.dgiwg.org/FAD/fdd/view?i=116242</v>
      </c>
      <c r="K1666" s="304" t="s">
        <v>35715</v>
      </c>
      <c r="L1666" s="188">
        <v>24</v>
      </c>
      <c r="M1666" s="179" t="s">
        <v>151</v>
      </c>
    </row>
    <row r="1667" spans="1:13">
      <c r="A1667" s="313" t="str">
        <f t="shared" ref="A1667:A1730" si="26">HYPERLINK(J1667,K1667)</f>
        <v>AviationFuelTypeCode_octane73</v>
      </c>
      <c r="B1667" s="330"/>
      <c r="C1667" s="334"/>
      <c r="D1667" s="188" t="s">
        <v>17580</v>
      </c>
      <c r="E1667" s="189" t="s">
        <v>17581</v>
      </c>
      <c r="F1667" s="162" t="s">
        <v>17582</v>
      </c>
      <c r="G1667" s="190"/>
      <c r="H1667" s="219"/>
      <c r="I1667" s="169">
        <v>116243</v>
      </c>
      <c r="J1667" s="304" t="str">
        <f>CONCATENATE([2]Cover!$D$6,"fdd/view?i=",I1667)</f>
        <v>https://www.dgiwg.org/FAD/fdd/view?i=116243</v>
      </c>
      <c r="K1667" s="304" t="s">
        <v>35716</v>
      </c>
      <c r="L1667" s="188">
        <v>25</v>
      </c>
      <c r="M1667" s="179" t="s">
        <v>151</v>
      </c>
    </row>
    <row r="1668" spans="1:13">
      <c r="A1668" s="313" t="str">
        <f t="shared" si="26"/>
        <v>AviationFuelTypeCode_octane80</v>
      </c>
      <c r="B1668" s="330"/>
      <c r="C1668" s="334"/>
      <c r="D1668" s="188" t="s">
        <v>17583</v>
      </c>
      <c r="E1668" s="189" t="s">
        <v>17584</v>
      </c>
      <c r="F1668" s="162" t="s">
        <v>17585</v>
      </c>
      <c r="G1668" s="190"/>
      <c r="H1668" s="221" t="s">
        <v>17586</v>
      </c>
      <c r="I1668" s="169">
        <v>116244</v>
      </c>
      <c r="J1668" s="304" t="str">
        <f>CONCATENATE([2]Cover!$D$6,"fdd/view?i=",I1668)</f>
        <v>https://www.dgiwg.org/FAD/fdd/view?i=116244</v>
      </c>
      <c r="K1668" s="304" t="s">
        <v>35717</v>
      </c>
      <c r="L1668" s="188">
        <v>26</v>
      </c>
      <c r="M1668" s="179" t="s">
        <v>151</v>
      </c>
    </row>
    <row r="1669" spans="1:13" ht="25.5">
      <c r="A1669" s="313" t="str">
        <f t="shared" si="26"/>
        <v>AviationFuelTypeCode_octane80_87</v>
      </c>
      <c r="B1669" s="330"/>
      <c r="C1669" s="334"/>
      <c r="D1669" s="188" t="s">
        <v>17587</v>
      </c>
      <c r="E1669" s="189" t="s">
        <v>17588</v>
      </c>
      <c r="F1669" s="162" t="s">
        <v>17589</v>
      </c>
      <c r="G1669" s="190"/>
      <c r="H1669" s="219"/>
      <c r="I1669" s="169">
        <v>116245</v>
      </c>
      <c r="J1669" s="304" t="str">
        <f>CONCATENATE([2]Cover!$D$6,"fdd/view?i=",I1669)</f>
        <v>https://www.dgiwg.org/FAD/fdd/view?i=116245</v>
      </c>
      <c r="K1669" s="304" t="s">
        <v>35718</v>
      </c>
      <c r="L1669" s="188">
        <v>27</v>
      </c>
      <c r="M1669" s="179" t="s">
        <v>151</v>
      </c>
    </row>
    <row r="1670" spans="1:13" ht="25.5">
      <c r="A1670" s="313" t="str">
        <f t="shared" si="26"/>
        <v>AviationFuelTypeCode_octane82Unleaded</v>
      </c>
      <c r="B1670" s="330"/>
      <c r="C1670" s="334"/>
      <c r="D1670" s="188" t="s">
        <v>17590</v>
      </c>
      <c r="E1670" s="189" t="s">
        <v>17591</v>
      </c>
      <c r="F1670" s="162" t="s">
        <v>17592</v>
      </c>
      <c r="G1670" s="190"/>
      <c r="H1670" s="219"/>
      <c r="I1670" s="169">
        <v>116246</v>
      </c>
      <c r="J1670" s="304" t="str">
        <f>CONCATENATE([2]Cover!$D$6,"fdd/view?i=",I1670)</f>
        <v>https://www.dgiwg.org/FAD/fdd/view?i=116246</v>
      </c>
      <c r="K1670" s="304" t="s">
        <v>35719</v>
      </c>
      <c r="L1670" s="188">
        <v>28</v>
      </c>
      <c r="M1670" s="179" t="s">
        <v>151</v>
      </c>
    </row>
    <row r="1671" spans="1:13" ht="25.5">
      <c r="A1671" s="313" t="str">
        <f t="shared" si="26"/>
        <v>AviationFuelTypeCode_octane91_98</v>
      </c>
      <c r="B1671" s="330"/>
      <c r="C1671" s="334"/>
      <c r="D1671" s="188" t="s">
        <v>17593</v>
      </c>
      <c r="E1671" s="189" t="s">
        <v>17594</v>
      </c>
      <c r="F1671" s="162" t="s">
        <v>17595</v>
      </c>
      <c r="G1671" s="190"/>
      <c r="H1671" s="221" t="s">
        <v>17596</v>
      </c>
      <c r="I1671" s="169">
        <v>116247</v>
      </c>
      <c r="J1671" s="304" t="str">
        <f>CONCATENATE([2]Cover!$D$6,"fdd/view?i=",I1671)</f>
        <v>https://www.dgiwg.org/FAD/fdd/view?i=116247</v>
      </c>
      <c r="K1671" s="304" t="s">
        <v>35720</v>
      </c>
      <c r="L1671" s="188">
        <v>29</v>
      </c>
      <c r="M1671" s="179" t="s">
        <v>151</v>
      </c>
    </row>
    <row r="1672" spans="1:13">
      <c r="A1672" s="313" t="str">
        <f t="shared" si="26"/>
        <v>AviationFuelTypeCode_rt</v>
      </c>
      <c r="B1672" s="330"/>
      <c r="C1672" s="334"/>
      <c r="D1672" s="188" t="s">
        <v>17597</v>
      </c>
      <c r="E1672" s="189" t="s">
        <v>17598</v>
      </c>
      <c r="F1672" s="162" t="s">
        <v>17599</v>
      </c>
      <c r="G1672" s="190"/>
      <c r="H1672" s="219"/>
      <c r="I1672" s="169">
        <v>116248</v>
      </c>
      <c r="J1672" s="304" t="str">
        <f>CONCATENATE([2]Cover!$D$6,"fdd/view?i=",I1672)</f>
        <v>https://www.dgiwg.org/FAD/fdd/view?i=116248</v>
      </c>
      <c r="K1672" s="304" t="s">
        <v>35721</v>
      </c>
      <c r="L1672" s="188">
        <v>30</v>
      </c>
      <c r="M1672" s="179" t="s">
        <v>151</v>
      </c>
    </row>
    <row r="1673" spans="1:13">
      <c r="A1673" s="313" t="str">
        <f t="shared" si="26"/>
        <v>AviationFuelTypeCode_tr0</v>
      </c>
      <c r="B1673" s="330"/>
      <c r="C1673" s="334"/>
      <c r="D1673" s="188" t="s">
        <v>17600</v>
      </c>
      <c r="E1673" s="189" t="s">
        <v>17601</v>
      </c>
      <c r="F1673" s="162" t="s">
        <v>17602</v>
      </c>
      <c r="G1673" s="190"/>
      <c r="H1673" s="219"/>
      <c r="I1673" s="169">
        <v>116249</v>
      </c>
      <c r="J1673" s="304" t="str">
        <f>CONCATENATE([2]Cover!$D$6,"fdd/view?i=",I1673)</f>
        <v>https://www.dgiwg.org/FAD/fdd/view?i=116249</v>
      </c>
      <c r="K1673" s="304" t="s">
        <v>35722</v>
      </c>
      <c r="L1673" s="188">
        <v>31</v>
      </c>
      <c r="M1673" s="179" t="s">
        <v>151</v>
      </c>
    </row>
    <row r="1674" spans="1:13">
      <c r="A1674" s="313" t="str">
        <f t="shared" si="26"/>
        <v>AviationFuelTypeCode_tr4</v>
      </c>
      <c r="B1674" s="331"/>
      <c r="C1674" s="335"/>
      <c r="D1674" s="181" t="s">
        <v>17603</v>
      </c>
      <c r="E1674" s="192" t="s">
        <v>17604</v>
      </c>
      <c r="F1674" s="193" t="s">
        <v>17605</v>
      </c>
      <c r="G1674" s="194"/>
      <c r="H1674" s="220"/>
      <c r="I1674" s="169">
        <v>116250</v>
      </c>
      <c r="J1674" s="304" t="str">
        <f>CONCATENATE([2]Cover!$D$6,"fdd/view?i=",I1674)</f>
        <v>https://www.dgiwg.org/FAD/fdd/view?i=116250</v>
      </c>
      <c r="K1674" s="304" t="s">
        <v>35723</v>
      </c>
      <c r="L1674" s="181">
        <v>32</v>
      </c>
      <c r="M1674" s="179" t="s">
        <v>151</v>
      </c>
    </row>
    <row r="1675" spans="1:13" ht="25.5">
      <c r="A1675" s="313" t="str">
        <f t="shared" si="26"/>
        <v>AviationHydraulicFluidTypeCode_c_635</v>
      </c>
      <c r="B1675" s="332" t="str">
        <f>HYPERLINK("[#]Datatypes!A192:L192","AviationHydraulicFluidTypeCode")</f>
        <v>AviationHydraulicFluidTypeCode</v>
      </c>
      <c r="C1675" s="333" t="s">
        <v>11632</v>
      </c>
      <c r="D1675" s="202" t="s">
        <v>17606</v>
      </c>
      <c r="E1675" s="203" t="s">
        <v>17607</v>
      </c>
      <c r="F1675" s="204" t="s">
        <v>17608</v>
      </c>
      <c r="G1675" s="205"/>
      <c r="H1675" s="218"/>
      <c r="I1675" s="169">
        <v>116446</v>
      </c>
      <c r="J1675" s="304" t="str">
        <f>CONCATENATE([2]Cover!$D$6,"fdd/view?i=",I1675)</f>
        <v>https://www.dgiwg.org/FAD/fdd/view?i=116446</v>
      </c>
      <c r="K1675" s="304" t="s">
        <v>35724</v>
      </c>
      <c r="L1675" s="202">
        <v>5</v>
      </c>
      <c r="M1675" s="179" t="s">
        <v>151</v>
      </c>
    </row>
    <row r="1676" spans="1:13" ht="25.5">
      <c r="A1676" s="313" t="str">
        <f t="shared" si="26"/>
        <v>AviationHydraulicFluidTypeCode_h_515</v>
      </c>
      <c r="B1676" s="330"/>
      <c r="C1676" s="334"/>
      <c r="D1676" s="188" t="s">
        <v>17609</v>
      </c>
      <c r="E1676" s="189" t="s">
        <v>17610</v>
      </c>
      <c r="F1676" s="162" t="s">
        <v>17608</v>
      </c>
      <c r="G1676" s="190"/>
      <c r="H1676" s="219"/>
      <c r="I1676" s="169">
        <v>116442</v>
      </c>
      <c r="J1676" s="304" t="str">
        <f>CONCATENATE([2]Cover!$D$6,"fdd/view?i=",I1676)</f>
        <v>https://www.dgiwg.org/FAD/fdd/view?i=116442</v>
      </c>
      <c r="K1676" s="304" t="s">
        <v>35725</v>
      </c>
      <c r="L1676" s="188">
        <v>1</v>
      </c>
      <c r="M1676" s="179" t="s">
        <v>151</v>
      </c>
    </row>
    <row r="1677" spans="1:13" ht="25.5">
      <c r="A1677" s="313" t="str">
        <f t="shared" si="26"/>
        <v>AviationHydraulicFluidTypeCode_h_520</v>
      </c>
      <c r="B1677" s="330"/>
      <c r="C1677" s="334"/>
      <c r="D1677" s="188" t="s">
        <v>17611</v>
      </c>
      <c r="E1677" s="189" t="s">
        <v>17612</v>
      </c>
      <c r="F1677" s="162" t="s">
        <v>17608</v>
      </c>
      <c r="G1677" s="190"/>
      <c r="H1677" s="219"/>
      <c r="I1677" s="169">
        <v>116444</v>
      </c>
      <c r="J1677" s="304" t="str">
        <f>CONCATENATE([2]Cover!$D$6,"fdd/view?i=",I1677)</f>
        <v>https://www.dgiwg.org/FAD/fdd/view?i=116444</v>
      </c>
      <c r="K1677" s="304" t="s">
        <v>35726</v>
      </c>
      <c r="L1677" s="188">
        <v>3</v>
      </c>
      <c r="M1677" s="179" t="s">
        <v>151</v>
      </c>
    </row>
    <row r="1678" spans="1:13" ht="25.5">
      <c r="A1678" s="313" t="str">
        <f t="shared" si="26"/>
        <v>AviationHydraulicFluidTypeCode_h_537</v>
      </c>
      <c r="B1678" s="330"/>
      <c r="C1678" s="334"/>
      <c r="D1678" s="188" t="s">
        <v>17613</v>
      </c>
      <c r="E1678" s="189" t="s">
        <v>17614</v>
      </c>
      <c r="F1678" s="162" t="s">
        <v>17615</v>
      </c>
      <c r="G1678" s="190"/>
      <c r="H1678" s="221" t="s">
        <v>17616</v>
      </c>
      <c r="I1678" s="169">
        <v>116443</v>
      </c>
      <c r="J1678" s="304" t="str">
        <f>CONCATENATE([2]Cover!$D$6,"fdd/view?i=",I1678)</f>
        <v>https://www.dgiwg.org/FAD/fdd/view?i=116443</v>
      </c>
      <c r="K1678" s="304" t="s">
        <v>35727</v>
      </c>
      <c r="L1678" s="188">
        <v>2</v>
      </c>
      <c r="M1678" s="179" t="s">
        <v>151</v>
      </c>
    </row>
    <row r="1679" spans="1:13" ht="25.5">
      <c r="A1679" s="313" t="str">
        <f t="shared" si="26"/>
        <v>AviationHydraulicFluidTypeCode_h_538</v>
      </c>
      <c r="B1679" s="330"/>
      <c r="C1679" s="334"/>
      <c r="D1679" s="188" t="s">
        <v>17617</v>
      </c>
      <c r="E1679" s="189" t="s">
        <v>17618</v>
      </c>
      <c r="F1679" s="162" t="s">
        <v>17619</v>
      </c>
      <c r="G1679" s="190"/>
      <c r="H1679" s="219"/>
      <c r="I1679" s="169">
        <v>116445</v>
      </c>
      <c r="J1679" s="304" t="str">
        <f>CONCATENATE([2]Cover!$D$6,"fdd/view?i=",I1679)</f>
        <v>https://www.dgiwg.org/FAD/fdd/view?i=116445</v>
      </c>
      <c r="K1679" s="304" t="s">
        <v>35728</v>
      </c>
      <c r="L1679" s="188">
        <v>4</v>
      </c>
      <c r="M1679" s="179" t="s">
        <v>151</v>
      </c>
    </row>
    <row r="1680" spans="1:13" ht="25.5">
      <c r="A1680" s="313" t="str">
        <f t="shared" si="26"/>
        <v>AviationHydraulicFluidTypeCode_h_544</v>
      </c>
      <c r="B1680" s="330"/>
      <c r="C1680" s="334"/>
      <c r="D1680" s="188" t="s">
        <v>17620</v>
      </c>
      <c r="E1680" s="189" t="s">
        <v>17621</v>
      </c>
      <c r="F1680" s="162" t="s">
        <v>17619</v>
      </c>
      <c r="G1680" s="190"/>
      <c r="H1680" s="219"/>
      <c r="I1680" s="169">
        <v>116447</v>
      </c>
      <c r="J1680" s="304" t="str">
        <f>CONCATENATE([2]Cover!$D$6,"fdd/view?i=",I1680)</f>
        <v>https://www.dgiwg.org/FAD/fdd/view?i=116447</v>
      </c>
      <c r="K1680" s="304" t="s">
        <v>35729</v>
      </c>
      <c r="L1680" s="188">
        <v>6</v>
      </c>
      <c r="M1680" s="179" t="s">
        <v>151</v>
      </c>
    </row>
    <row r="1681" spans="1:13" ht="25.5">
      <c r="A1681" s="313" t="str">
        <f t="shared" si="26"/>
        <v>AviationHydraulicFluidTypeCode_skydrol</v>
      </c>
      <c r="B1681" s="331"/>
      <c r="C1681" s="335"/>
      <c r="D1681" s="181" t="s">
        <v>17622</v>
      </c>
      <c r="E1681" s="192" t="s">
        <v>17623</v>
      </c>
      <c r="F1681" s="193" t="s">
        <v>17624</v>
      </c>
      <c r="G1681" s="194"/>
      <c r="H1681" s="220"/>
      <c r="I1681" s="169">
        <v>116448</v>
      </c>
      <c r="J1681" s="304" t="str">
        <f>CONCATENATE([2]Cover!$D$6,"fdd/view?i=",I1681)</f>
        <v>https://www.dgiwg.org/FAD/fdd/view?i=116448</v>
      </c>
      <c r="K1681" s="304" t="s">
        <v>35730</v>
      </c>
      <c r="L1681" s="181">
        <v>7</v>
      </c>
      <c r="M1681" s="179" t="s">
        <v>151</v>
      </c>
    </row>
    <row r="1682" spans="1:13" ht="25.5">
      <c r="A1682" s="313" t="str">
        <f t="shared" si="26"/>
        <v>AviationNitrogenSupplyTypeCode_bottle</v>
      </c>
      <c r="B1682" s="332" t="str">
        <f>HYPERLINK("[#]Datatypes!A194:L194","AviationNitrogenSupplyTypeCode")</f>
        <v>AviationNitrogenSupplyTypeCode</v>
      </c>
      <c r="C1682" s="333" t="s">
        <v>11634</v>
      </c>
      <c r="D1682" s="202" t="s">
        <v>17625</v>
      </c>
      <c r="E1682" s="203" t="s">
        <v>17626</v>
      </c>
      <c r="F1682" s="204" t="s">
        <v>17627</v>
      </c>
      <c r="G1682" s="205"/>
      <c r="H1682" s="218"/>
      <c r="I1682" s="169">
        <v>116148</v>
      </c>
      <c r="J1682" s="304" t="str">
        <f>CONCATENATE([2]Cover!$D$6,"fdd/view?i=",I1682)</f>
        <v>https://www.dgiwg.org/FAD/fdd/view?i=116148</v>
      </c>
      <c r="K1682" s="304" t="s">
        <v>35731</v>
      </c>
      <c r="L1682" s="202">
        <v>8</v>
      </c>
      <c r="M1682" s="179" t="s">
        <v>151</v>
      </c>
    </row>
    <row r="1683" spans="1:13" ht="25.5">
      <c r="A1683" s="313" t="str">
        <f t="shared" si="26"/>
        <v>AviationNitrogenSupplyTypeCode_directTransfer</v>
      </c>
      <c r="B1683" s="330"/>
      <c r="C1683" s="334"/>
      <c r="D1683" s="188" t="s">
        <v>17628</v>
      </c>
      <c r="E1683" s="189" t="s">
        <v>17629</v>
      </c>
      <c r="F1683" s="162" t="s">
        <v>17630</v>
      </c>
      <c r="G1683" s="190"/>
      <c r="H1683" s="219"/>
      <c r="I1683" s="169">
        <v>116147</v>
      </c>
      <c r="J1683" s="304" t="str">
        <f>CONCATENATE([2]Cover!$D$6,"fdd/view?i=",I1683)</f>
        <v>https://www.dgiwg.org/FAD/fdd/view?i=116147</v>
      </c>
      <c r="K1683" s="304" t="s">
        <v>35732</v>
      </c>
      <c r="L1683" s="188">
        <v>7</v>
      </c>
      <c r="M1683" s="179" t="s">
        <v>151</v>
      </c>
    </row>
    <row r="1684" spans="1:13" ht="25.5">
      <c r="A1684" s="313" t="str">
        <f t="shared" si="26"/>
        <v>AviationNitrogenSupplyTypeCode_gasDirectTransfer</v>
      </c>
      <c r="B1684" s="330"/>
      <c r="C1684" s="334"/>
      <c r="D1684" s="188" t="s">
        <v>17631</v>
      </c>
      <c r="E1684" s="189" t="s">
        <v>17632</v>
      </c>
      <c r="F1684" s="162" t="s">
        <v>17633</v>
      </c>
      <c r="G1684" s="190"/>
      <c r="H1684" s="219"/>
      <c r="I1684" s="169">
        <v>116143</v>
      </c>
      <c r="J1684" s="304" t="str">
        <f>CONCATENATE([2]Cover!$D$6,"fdd/view?i=",I1684)</f>
        <v>https://www.dgiwg.org/FAD/fdd/view?i=116143</v>
      </c>
      <c r="K1684" s="304" t="s">
        <v>35733</v>
      </c>
      <c r="L1684" s="188">
        <v>3</v>
      </c>
      <c r="M1684" s="179" t="s">
        <v>151</v>
      </c>
    </row>
    <row r="1685" spans="1:13" ht="25.5">
      <c r="A1685" s="313" t="str">
        <f t="shared" si="26"/>
        <v>AviationNitrogenSupplyTypeCode_highPressureBottle</v>
      </c>
      <c r="B1685" s="330"/>
      <c r="C1685" s="334"/>
      <c r="D1685" s="188" t="s">
        <v>17634</v>
      </c>
      <c r="E1685" s="189" t="s">
        <v>17635</v>
      </c>
      <c r="F1685" s="162" t="s">
        <v>17636</v>
      </c>
      <c r="G1685" s="190"/>
      <c r="H1685" s="219"/>
      <c r="I1685" s="169">
        <v>116141</v>
      </c>
      <c r="J1685" s="304" t="str">
        <f>CONCATENATE([2]Cover!$D$6,"fdd/view?i=",I1685)</f>
        <v>https://www.dgiwg.org/FAD/fdd/view?i=116141</v>
      </c>
      <c r="K1685" s="304" t="s">
        <v>35734</v>
      </c>
      <c r="L1685" s="188">
        <v>1</v>
      </c>
      <c r="M1685" s="179" t="s">
        <v>151</v>
      </c>
    </row>
    <row r="1686" spans="1:13" ht="25.5">
      <c r="A1686" s="313" t="str">
        <f t="shared" si="26"/>
        <v>AviationNitrogenSupplyTypeCode_highPressureDirectTransfer</v>
      </c>
      <c r="B1686" s="330"/>
      <c r="C1686" s="334"/>
      <c r="D1686" s="188" t="s">
        <v>17637</v>
      </c>
      <c r="E1686" s="189" t="s">
        <v>17638</v>
      </c>
      <c r="F1686" s="162" t="s">
        <v>17639</v>
      </c>
      <c r="G1686" s="190"/>
      <c r="H1686" s="219"/>
      <c r="I1686" s="169">
        <v>116142</v>
      </c>
      <c r="J1686" s="304" t="str">
        <f>CONCATENATE([2]Cover!$D$6,"fdd/view?i=",I1686)</f>
        <v>https://www.dgiwg.org/FAD/fdd/view?i=116142</v>
      </c>
      <c r="K1686" s="304" t="s">
        <v>35735</v>
      </c>
      <c r="L1686" s="188">
        <v>2</v>
      </c>
      <c r="M1686" s="179" t="s">
        <v>151</v>
      </c>
    </row>
    <row r="1687" spans="1:13" ht="25.5">
      <c r="A1687" s="313" t="str">
        <f t="shared" si="26"/>
        <v>AviationNitrogenSupplyTypeCode_liquidDirectTransfer</v>
      </c>
      <c r="B1687" s="330"/>
      <c r="C1687" s="334"/>
      <c r="D1687" s="188" t="s">
        <v>17640</v>
      </c>
      <c r="E1687" s="189" t="s">
        <v>17641</v>
      </c>
      <c r="F1687" s="162" t="s">
        <v>17642</v>
      </c>
      <c r="G1687" s="190"/>
      <c r="H1687" s="219"/>
      <c r="I1687" s="169">
        <v>116144</v>
      </c>
      <c r="J1687" s="304" t="str">
        <f>CONCATENATE([2]Cover!$D$6,"fdd/view?i=",I1687)</f>
        <v>https://www.dgiwg.org/FAD/fdd/view?i=116144</v>
      </c>
      <c r="K1687" s="304" t="s">
        <v>35736</v>
      </c>
      <c r="L1687" s="188">
        <v>4</v>
      </c>
      <c r="M1687" s="179" t="s">
        <v>151</v>
      </c>
    </row>
    <row r="1688" spans="1:13" ht="25.5">
      <c r="A1688" s="313" t="str">
        <f t="shared" si="26"/>
        <v>AviationNitrogenSupplyTypeCode_lowPressureBottle</v>
      </c>
      <c r="B1688" s="330"/>
      <c r="C1688" s="334"/>
      <c r="D1688" s="188" t="s">
        <v>17643</v>
      </c>
      <c r="E1688" s="189" t="s">
        <v>17644</v>
      </c>
      <c r="F1688" s="162" t="s">
        <v>17645</v>
      </c>
      <c r="G1688" s="190"/>
      <c r="H1688" s="219"/>
      <c r="I1688" s="169">
        <v>116145</v>
      </c>
      <c r="J1688" s="304" t="str">
        <f>CONCATENATE([2]Cover!$D$6,"fdd/view?i=",I1688)</f>
        <v>https://www.dgiwg.org/FAD/fdd/view?i=116145</v>
      </c>
      <c r="K1688" s="304" t="s">
        <v>35737</v>
      </c>
      <c r="L1688" s="188">
        <v>5</v>
      </c>
      <c r="M1688" s="179" t="s">
        <v>151</v>
      </c>
    </row>
    <row r="1689" spans="1:13" ht="25.5">
      <c r="A1689" s="313" t="str">
        <f t="shared" si="26"/>
        <v>AviationNitrogenSupplyTypeCode_lowPressureDirectTransfer</v>
      </c>
      <c r="B1689" s="331"/>
      <c r="C1689" s="335"/>
      <c r="D1689" s="181" t="s">
        <v>17646</v>
      </c>
      <c r="E1689" s="192" t="s">
        <v>17647</v>
      </c>
      <c r="F1689" s="193" t="s">
        <v>17648</v>
      </c>
      <c r="G1689" s="194"/>
      <c r="H1689" s="220"/>
      <c r="I1689" s="169">
        <v>116146</v>
      </c>
      <c r="J1689" s="304" t="str">
        <f>CONCATENATE([2]Cover!$D$6,"fdd/view?i=",I1689)</f>
        <v>https://www.dgiwg.org/FAD/fdd/view?i=116146</v>
      </c>
      <c r="K1689" s="304" t="s">
        <v>35738</v>
      </c>
      <c r="L1689" s="181">
        <v>6</v>
      </c>
      <c r="M1689" s="179" t="s">
        <v>151</v>
      </c>
    </row>
    <row r="1690" spans="1:13">
      <c r="A1690" s="313" t="str">
        <f t="shared" si="26"/>
        <v>AviationOilTypeCode_o_113</v>
      </c>
      <c r="B1690" s="332" t="str">
        <f>HYPERLINK("[#]Datatypes!A196:L196","AviationOilTypeCode")</f>
        <v>AviationOilTypeCode</v>
      </c>
      <c r="C1690" s="333" t="s">
        <v>11636</v>
      </c>
      <c r="D1690" s="202" t="s">
        <v>17649</v>
      </c>
      <c r="E1690" s="203" t="s">
        <v>17650</v>
      </c>
      <c r="F1690" s="204" t="s">
        <v>17651</v>
      </c>
      <c r="G1690" s="205"/>
      <c r="H1690" s="218"/>
      <c r="I1690" s="169">
        <v>116251</v>
      </c>
      <c r="J1690" s="304" t="str">
        <f>CONCATENATE([2]Cover!$D$6,"fdd/view?i=",I1690)</f>
        <v>https://www.dgiwg.org/FAD/fdd/view?i=116251</v>
      </c>
      <c r="K1690" s="304" t="s">
        <v>35739</v>
      </c>
      <c r="L1690" s="202">
        <v>1</v>
      </c>
      <c r="M1690" s="179" t="s">
        <v>151</v>
      </c>
    </row>
    <row r="1691" spans="1:13">
      <c r="A1691" s="313" t="str">
        <f t="shared" si="26"/>
        <v>AviationOilTypeCode_o_117</v>
      </c>
      <c r="B1691" s="330"/>
      <c r="C1691" s="334"/>
      <c r="D1691" s="188" t="s">
        <v>17652</v>
      </c>
      <c r="E1691" s="189" t="s">
        <v>17653</v>
      </c>
      <c r="F1691" s="162" t="s">
        <v>17654</v>
      </c>
      <c r="G1691" s="190"/>
      <c r="H1691" s="219"/>
      <c r="I1691" s="169">
        <v>116252</v>
      </c>
      <c r="J1691" s="304" t="str">
        <f>CONCATENATE([2]Cover!$D$6,"fdd/view?i=",I1691)</f>
        <v>https://www.dgiwg.org/FAD/fdd/view?i=116252</v>
      </c>
      <c r="K1691" s="304" t="s">
        <v>35740</v>
      </c>
      <c r="L1691" s="188">
        <v>2</v>
      </c>
      <c r="M1691" s="179" t="s">
        <v>151</v>
      </c>
    </row>
    <row r="1692" spans="1:13">
      <c r="A1692" s="313" t="str">
        <f t="shared" si="26"/>
        <v>AviationOilTypeCode_o_117Plus</v>
      </c>
      <c r="B1692" s="330"/>
      <c r="C1692" s="334"/>
      <c r="D1692" s="188" t="s">
        <v>17655</v>
      </c>
      <c r="E1692" s="189" t="s">
        <v>17656</v>
      </c>
      <c r="F1692" s="162" t="s">
        <v>17657</v>
      </c>
      <c r="G1692" s="190"/>
      <c r="H1692" s="219"/>
      <c r="I1692" s="169">
        <v>116253</v>
      </c>
      <c r="J1692" s="304" t="str">
        <f>CONCATENATE([2]Cover!$D$6,"fdd/view?i=",I1692)</f>
        <v>https://www.dgiwg.org/FAD/fdd/view?i=116253</v>
      </c>
      <c r="K1692" s="304" t="s">
        <v>35741</v>
      </c>
      <c r="L1692" s="188">
        <v>3</v>
      </c>
      <c r="M1692" s="179" t="s">
        <v>151</v>
      </c>
    </row>
    <row r="1693" spans="1:13">
      <c r="A1693" s="313" t="str">
        <f t="shared" si="26"/>
        <v>AviationOilTypeCode_o_123</v>
      </c>
      <c r="B1693" s="330"/>
      <c r="C1693" s="334"/>
      <c r="D1693" s="188" t="s">
        <v>17658</v>
      </c>
      <c r="E1693" s="189" t="s">
        <v>17659</v>
      </c>
      <c r="F1693" s="162" t="s">
        <v>17660</v>
      </c>
      <c r="G1693" s="190"/>
      <c r="H1693" s="219"/>
      <c r="I1693" s="169">
        <v>116254</v>
      </c>
      <c r="J1693" s="304" t="str">
        <f>CONCATENATE([2]Cover!$D$6,"fdd/view?i=",I1693)</f>
        <v>https://www.dgiwg.org/FAD/fdd/view?i=116254</v>
      </c>
      <c r="K1693" s="304" t="s">
        <v>35742</v>
      </c>
      <c r="L1693" s="188">
        <v>4</v>
      </c>
      <c r="M1693" s="179" t="s">
        <v>151</v>
      </c>
    </row>
    <row r="1694" spans="1:13">
      <c r="A1694" s="313" t="str">
        <f t="shared" si="26"/>
        <v>AviationOilTypeCode_o_128</v>
      </c>
      <c r="B1694" s="330"/>
      <c r="C1694" s="334"/>
      <c r="D1694" s="188" t="s">
        <v>17661</v>
      </c>
      <c r="E1694" s="189" t="s">
        <v>17662</v>
      </c>
      <c r="F1694" s="162" t="s">
        <v>17663</v>
      </c>
      <c r="G1694" s="190"/>
      <c r="H1694" s="219"/>
      <c r="I1694" s="169">
        <v>116255</v>
      </c>
      <c r="J1694" s="304" t="str">
        <f>CONCATENATE([2]Cover!$D$6,"fdd/view?i=",I1694)</f>
        <v>https://www.dgiwg.org/FAD/fdd/view?i=116255</v>
      </c>
      <c r="K1694" s="304" t="s">
        <v>35743</v>
      </c>
      <c r="L1694" s="188">
        <v>5</v>
      </c>
      <c r="M1694" s="179" t="s">
        <v>151</v>
      </c>
    </row>
    <row r="1695" spans="1:13">
      <c r="A1695" s="313" t="str">
        <f t="shared" si="26"/>
        <v>AviationOilTypeCode_o_132</v>
      </c>
      <c r="B1695" s="330"/>
      <c r="C1695" s="334"/>
      <c r="D1695" s="188" t="s">
        <v>17664</v>
      </c>
      <c r="E1695" s="189" t="s">
        <v>17665</v>
      </c>
      <c r="F1695" s="162" t="s">
        <v>17666</v>
      </c>
      <c r="G1695" s="190"/>
      <c r="H1695" s="219"/>
      <c r="I1695" s="169">
        <v>116256</v>
      </c>
      <c r="J1695" s="304" t="str">
        <f>CONCATENATE([2]Cover!$D$6,"fdd/view?i=",I1695)</f>
        <v>https://www.dgiwg.org/FAD/fdd/view?i=116256</v>
      </c>
      <c r="K1695" s="304" t="s">
        <v>35744</v>
      </c>
      <c r="L1695" s="188">
        <v>6</v>
      </c>
      <c r="M1695" s="179" t="s">
        <v>151</v>
      </c>
    </row>
    <row r="1696" spans="1:13">
      <c r="A1696" s="313" t="str">
        <f t="shared" si="26"/>
        <v>AviationOilTypeCode_o_133</v>
      </c>
      <c r="B1696" s="330"/>
      <c r="C1696" s="334"/>
      <c r="D1696" s="188" t="s">
        <v>17667</v>
      </c>
      <c r="E1696" s="189" t="s">
        <v>17668</v>
      </c>
      <c r="F1696" s="162" t="s">
        <v>17669</v>
      </c>
      <c r="G1696" s="190"/>
      <c r="H1696" s="219"/>
      <c r="I1696" s="169">
        <v>116257</v>
      </c>
      <c r="J1696" s="304" t="str">
        <f>CONCATENATE([2]Cover!$D$6,"fdd/view?i=",I1696)</f>
        <v>https://www.dgiwg.org/FAD/fdd/view?i=116257</v>
      </c>
      <c r="K1696" s="304" t="s">
        <v>35745</v>
      </c>
      <c r="L1696" s="188">
        <v>7</v>
      </c>
      <c r="M1696" s="179" t="s">
        <v>151</v>
      </c>
    </row>
    <row r="1697" spans="1:13">
      <c r="A1697" s="313" t="str">
        <f t="shared" si="26"/>
        <v>AviationOilTypeCode_o_135</v>
      </c>
      <c r="B1697" s="330"/>
      <c r="C1697" s="334"/>
      <c r="D1697" s="188" t="s">
        <v>17670</v>
      </c>
      <c r="E1697" s="189" t="s">
        <v>17671</v>
      </c>
      <c r="F1697" s="162" t="s">
        <v>17672</v>
      </c>
      <c r="G1697" s="190"/>
      <c r="H1697" s="219"/>
      <c r="I1697" s="169">
        <v>116258</v>
      </c>
      <c r="J1697" s="304" t="str">
        <f>CONCATENATE([2]Cover!$D$6,"fdd/view?i=",I1697)</f>
        <v>https://www.dgiwg.org/FAD/fdd/view?i=116258</v>
      </c>
      <c r="K1697" s="304" t="s">
        <v>35746</v>
      </c>
      <c r="L1697" s="188">
        <v>8</v>
      </c>
      <c r="M1697" s="179" t="s">
        <v>151</v>
      </c>
    </row>
    <row r="1698" spans="1:13">
      <c r="A1698" s="313" t="str">
        <f t="shared" si="26"/>
        <v>AviationOilTypeCode_o_138</v>
      </c>
      <c r="B1698" s="330"/>
      <c r="C1698" s="334"/>
      <c r="D1698" s="188" t="s">
        <v>17673</v>
      </c>
      <c r="E1698" s="189" t="s">
        <v>17674</v>
      </c>
      <c r="F1698" s="162" t="s">
        <v>17672</v>
      </c>
      <c r="G1698" s="190"/>
      <c r="H1698" s="219"/>
      <c r="I1698" s="169">
        <v>116259</v>
      </c>
      <c r="J1698" s="304" t="str">
        <f>CONCATENATE([2]Cover!$D$6,"fdd/view?i=",I1698)</f>
        <v>https://www.dgiwg.org/FAD/fdd/view?i=116259</v>
      </c>
      <c r="K1698" s="304" t="s">
        <v>35747</v>
      </c>
      <c r="L1698" s="188">
        <v>9</v>
      </c>
      <c r="M1698" s="179" t="s">
        <v>151</v>
      </c>
    </row>
    <row r="1699" spans="1:13">
      <c r="A1699" s="313" t="str">
        <f t="shared" si="26"/>
        <v>AviationOilTypeCode_o_147</v>
      </c>
      <c r="B1699" s="330"/>
      <c r="C1699" s="334"/>
      <c r="D1699" s="188" t="s">
        <v>17675</v>
      </c>
      <c r="E1699" s="189" t="s">
        <v>17676</v>
      </c>
      <c r="F1699" s="162" t="s">
        <v>17677</v>
      </c>
      <c r="G1699" s="190"/>
      <c r="H1699" s="219"/>
      <c r="I1699" s="169">
        <v>116260</v>
      </c>
      <c r="J1699" s="304" t="str">
        <f>CONCATENATE([2]Cover!$D$6,"fdd/view?i=",I1699)</f>
        <v>https://www.dgiwg.org/FAD/fdd/view?i=116260</v>
      </c>
      <c r="K1699" s="304" t="s">
        <v>35748</v>
      </c>
      <c r="L1699" s="188">
        <v>10</v>
      </c>
      <c r="M1699" s="179" t="s">
        <v>151</v>
      </c>
    </row>
    <row r="1700" spans="1:13">
      <c r="A1700" s="313" t="str">
        <f t="shared" si="26"/>
        <v>AviationOilTypeCode_o_148</v>
      </c>
      <c r="B1700" s="330"/>
      <c r="C1700" s="334"/>
      <c r="D1700" s="188" t="s">
        <v>17678</v>
      </c>
      <c r="E1700" s="189" t="s">
        <v>17679</v>
      </c>
      <c r="F1700" s="162" t="s">
        <v>17680</v>
      </c>
      <c r="G1700" s="190"/>
      <c r="H1700" s="219"/>
      <c r="I1700" s="169">
        <v>116261</v>
      </c>
      <c r="J1700" s="304" t="str">
        <f>CONCATENATE([2]Cover!$D$6,"fdd/view?i=",I1700)</f>
        <v>https://www.dgiwg.org/FAD/fdd/view?i=116261</v>
      </c>
      <c r="K1700" s="304" t="s">
        <v>35749</v>
      </c>
      <c r="L1700" s="188">
        <v>11</v>
      </c>
      <c r="M1700" s="179" t="s">
        <v>151</v>
      </c>
    </row>
    <row r="1701" spans="1:13">
      <c r="A1701" s="313" t="str">
        <f t="shared" si="26"/>
        <v>AviationOilTypeCode_o_149</v>
      </c>
      <c r="B1701" s="330"/>
      <c r="C1701" s="334"/>
      <c r="D1701" s="188" t="s">
        <v>17681</v>
      </c>
      <c r="E1701" s="189" t="s">
        <v>17682</v>
      </c>
      <c r="F1701" s="162" t="s">
        <v>17683</v>
      </c>
      <c r="G1701" s="190"/>
      <c r="H1701" s="219"/>
      <c r="I1701" s="169">
        <v>116262</v>
      </c>
      <c r="J1701" s="304" t="str">
        <f>CONCATENATE([2]Cover!$D$6,"fdd/view?i=",I1701)</f>
        <v>https://www.dgiwg.org/FAD/fdd/view?i=116262</v>
      </c>
      <c r="K1701" s="304" t="s">
        <v>35750</v>
      </c>
      <c r="L1701" s="188">
        <v>12</v>
      </c>
      <c r="M1701" s="179" t="s">
        <v>151</v>
      </c>
    </row>
    <row r="1702" spans="1:13">
      <c r="A1702" s="313" t="str">
        <f t="shared" si="26"/>
        <v>AviationOilTypeCode_o_153</v>
      </c>
      <c r="B1702" s="330"/>
      <c r="C1702" s="334"/>
      <c r="D1702" s="188" t="s">
        <v>17684</v>
      </c>
      <c r="E1702" s="189" t="s">
        <v>17685</v>
      </c>
      <c r="F1702" s="162" t="s">
        <v>17686</v>
      </c>
      <c r="G1702" s="190"/>
      <c r="H1702" s="219"/>
      <c r="I1702" s="169">
        <v>116263</v>
      </c>
      <c r="J1702" s="304" t="str">
        <f>CONCATENATE([2]Cover!$D$6,"fdd/view?i=",I1702)</f>
        <v>https://www.dgiwg.org/FAD/fdd/view?i=116263</v>
      </c>
      <c r="K1702" s="304" t="s">
        <v>35751</v>
      </c>
      <c r="L1702" s="188">
        <v>13</v>
      </c>
      <c r="M1702" s="179" t="s">
        <v>151</v>
      </c>
    </row>
    <row r="1703" spans="1:13">
      <c r="A1703" s="313" t="str">
        <f t="shared" si="26"/>
        <v>AviationOilTypeCode_o_155</v>
      </c>
      <c r="B1703" s="330"/>
      <c r="C1703" s="334"/>
      <c r="D1703" s="188" t="s">
        <v>17687</v>
      </c>
      <c r="E1703" s="189" t="s">
        <v>17688</v>
      </c>
      <c r="F1703" s="162" t="s">
        <v>17689</v>
      </c>
      <c r="G1703" s="190"/>
      <c r="H1703" s="219"/>
      <c r="I1703" s="169">
        <v>116264</v>
      </c>
      <c r="J1703" s="304" t="str">
        <f>CONCATENATE([2]Cover!$D$6,"fdd/view?i=",I1703)</f>
        <v>https://www.dgiwg.org/FAD/fdd/view?i=116264</v>
      </c>
      <c r="K1703" s="304" t="s">
        <v>35752</v>
      </c>
      <c r="L1703" s="188">
        <v>14</v>
      </c>
      <c r="M1703" s="179" t="s">
        <v>151</v>
      </c>
    </row>
    <row r="1704" spans="1:13">
      <c r="A1704" s="313" t="str">
        <f t="shared" si="26"/>
        <v>AviationOilTypeCode_o_156</v>
      </c>
      <c r="B1704" s="330"/>
      <c r="C1704" s="334"/>
      <c r="D1704" s="188" t="s">
        <v>17690</v>
      </c>
      <c r="E1704" s="189" t="s">
        <v>17691</v>
      </c>
      <c r="F1704" s="162" t="s">
        <v>17692</v>
      </c>
      <c r="G1704" s="190"/>
      <c r="H1704" s="219"/>
      <c r="I1704" s="169">
        <v>116265</v>
      </c>
      <c r="J1704" s="304" t="str">
        <f>CONCATENATE([2]Cover!$D$6,"fdd/view?i=",I1704)</f>
        <v>https://www.dgiwg.org/FAD/fdd/view?i=116265</v>
      </c>
      <c r="K1704" s="304" t="s">
        <v>35753</v>
      </c>
      <c r="L1704" s="188">
        <v>15</v>
      </c>
      <c r="M1704" s="179" t="s">
        <v>151</v>
      </c>
    </row>
    <row r="1705" spans="1:13">
      <c r="A1705" s="313" t="str">
        <f t="shared" si="26"/>
        <v>AviationOilTypeCode_o_160</v>
      </c>
      <c r="B1705" s="330"/>
      <c r="C1705" s="334"/>
      <c r="D1705" s="188" t="s">
        <v>17693</v>
      </c>
      <c r="E1705" s="189" t="s">
        <v>17694</v>
      </c>
      <c r="F1705" s="162" t="s">
        <v>17695</v>
      </c>
      <c r="G1705" s="190"/>
      <c r="H1705" s="219"/>
      <c r="I1705" s="169">
        <v>116266</v>
      </c>
      <c r="J1705" s="304" t="str">
        <f>CONCATENATE([2]Cover!$D$6,"fdd/view?i=",I1705)</f>
        <v>https://www.dgiwg.org/FAD/fdd/view?i=116266</v>
      </c>
      <c r="K1705" s="304" t="s">
        <v>35754</v>
      </c>
      <c r="L1705" s="188">
        <v>16</v>
      </c>
      <c r="M1705" s="179" t="s">
        <v>151</v>
      </c>
    </row>
    <row r="1706" spans="1:13">
      <c r="A1706" s="313" t="str">
        <f t="shared" si="26"/>
        <v>AviationOilTypeCode_o_190</v>
      </c>
      <c r="B1706" s="330"/>
      <c r="C1706" s="334"/>
      <c r="D1706" s="188" t="s">
        <v>17696</v>
      </c>
      <c r="E1706" s="189" t="s">
        <v>17697</v>
      </c>
      <c r="F1706" s="162" t="s">
        <v>17698</v>
      </c>
      <c r="G1706" s="190"/>
      <c r="H1706" s="219"/>
      <c r="I1706" s="169">
        <v>116267</v>
      </c>
      <c r="J1706" s="304" t="str">
        <f>CONCATENATE([2]Cover!$D$6,"fdd/view?i=",I1706)</f>
        <v>https://www.dgiwg.org/FAD/fdd/view?i=116267</v>
      </c>
      <c r="K1706" s="304" t="s">
        <v>35755</v>
      </c>
      <c r="L1706" s="188">
        <v>17</v>
      </c>
      <c r="M1706" s="179" t="s">
        <v>151</v>
      </c>
    </row>
    <row r="1707" spans="1:13">
      <c r="A1707" s="313" t="str">
        <f t="shared" si="26"/>
        <v>AviationOilTypeCode_o_226</v>
      </c>
      <c r="B1707" s="331"/>
      <c r="C1707" s="335"/>
      <c r="D1707" s="181" t="s">
        <v>17699</v>
      </c>
      <c r="E1707" s="192" t="s">
        <v>17700</v>
      </c>
      <c r="F1707" s="193" t="s">
        <v>17701</v>
      </c>
      <c r="G1707" s="194"/>
      <c r="H1707" s="220"/>
      <c r="I1707" s="169">
        <v>116268</v>
      </c>
      <c r="J1707" s="304" t="str">
        <f>CONCATENATE([2]Cover!$D$6,"fdd/view?i=",I1707)</f>
        <v>https://www.dgiwg.org/FAD/fdd/view?i=116268</v>
      </c>
      <c r="K1707" s="304" t="s">
        <v>35756</v>
      </c>
      <c r="L1707" s="181">
        <v>18</v>
      </c>
      <c r="M1707" s="179" t="s">
        <v>151</v>
      </c>
    </row>
    <row r="1708" spans="1:13" ht="25.5">
      <c r="A1708" s="313" t="str">
        <f t="shared" si="26"/>
        <v>AviationOxygenSupplyTypeCode_bottle</v>
      </c>
      <c r="B1708" s="332" t="str">
        <f>HYPERLINK("[#]Datatypes!A198:L198","AviationOxygenSupplyTypeCode")</f>
        <v>AviationOxygenSupplyTypeCode</v>
      </c>
      <c r="C1708" s="333" t="s">
        <v>11638</v>
      </c>
      <c r="D1708" s="202" t="s">
        <v>17625</v>
      </c>
      <c r="E1708" s="203" t="s">
        <v>17626</v>
      </c>
      <c r="F1708" s="204" t="s">
        <v>17703</v>
      </c>
      <c r="G1708" s="205"/>
      <c r="H1708" s="222" t="s">
        <v>17702</v>
      </c>
      <c r="I1708" s="169">
        <v>116156</v>
      </c>
      <c r="J1708" s="304" t="str">
        <f>CONCATENATE([2]Cover!$D$6,"fdd/view?i=",I1708)</f>
        <v>https://www.dgiwg.org/FAD/fdd/view?i=116156</v>
      </c>
      <c r="K1708" s="304" t="s">
        <v>35757</v>
      </c>
      <c r="L1708" s="202">
        <v>8</v>
      </c>
      <c r="M1708" s="179" t="s">
        <v>151</v>
      </c>
    </row>
    <row r="1709" spans="1:13" ht="25.5">
      <c r="A1709" s="313" t="str">
        <f t="shared" si="26"/>
        <v>AviationOxygenSupplyTypeCode_directTransfer</v>
      </c>
      <c r="B1709" s="330"/>
      <c r="C1709" s="334"/>
      <c r="D1709" s="188" t="s">
        <v>17628</v>
      </c>
      <c r="E1709" s="189" t="s">
        <v>17629</v>
      </c>
      <c r="F1709" s="162" t="s">
        <v>17705</v>
      </c>
      <c r="G1709" s="190"/>
      <c r="H1709" s="221" t="s">
        <v>17704</v>
      </c>
      <c r="I1709" s="169">
        <v>116155</v>
      </c>
      <c r="J1709" s="304" t="str">
        <f>CONCATENATE([2]Cover!$D$6,"fdd/view?i=",I1709)</f>
        <v>https://www.dgiwg.org/FAD/fdd/view?i=116155</v>
      </c>
      <c r="K1709" s="304" t="s">
        <v>35758</v>
      </c>
      <c r="L1709" s="188">
        <v>7</v>
      </c>
      <c r="M1709" s="179" t="s">
        <v>151</v>
      </c>
    </row>
    <row r="1710" spans="1:13" ht="25.5">
      <c r="A1710" s="313" t="str">
        <f t="shared" si="26"/>
        <v>AviationOxygenSupplyTypeCode_gasDirectTransfer</v>
      </c>
      <c r="B1710" s="330"/>
      <c r="C1710" s="334"/>
      <c r="D1710" s="188" t="s">
        <v>17631</v>
      </c>
      <c r="E1710" s="189" t="s">
        <v>17632</v>
      </c>
      <c r="F1710" s="162" t="s">
        <v>17707</v>
      </c>
      <c r="G1710" s="190"/>
      <c r="H1710" s="221" t="s">
        <v>17706</v>
      </c>
      <c r="I1710" s="169">
        <v>116151</v>
      </c>
      <c r="J1710" s="304" t="str">
        <f>CONCATENATE([2]Cover!$D$6,"fdd/view?i=",I1710)</f>
        <v>https://www.dgiwg.org/FAD/fdd/view?i=116151</v>
      </c>
      <c r="K1710" s="304" t="s">
        <v>35759</v>
      </c>
      <c r="L1710" s="188">
        <v>3</v>
      </c>
      <c r="M1710" s="179" t="s">
        <v>151</v>
      </c>
    </row>
    <row r="1711" spans="1:13" ht="25.5">
      <c r="A1711" s="313" t="str">
        <f t="shared" si="26"/>
        <v>AviationOxygenSupplyTypeCode_highPressureBottle</v>
      </c>
      <c r="B1711" s="330"/>
      <c r="C1711" s="334"/>
      <c r="D1711" s="188" t="s">
        <v>17634</v>
      </c>
      <c r="E1711" s="189" t="s">
        <v>17635</v>
      </c>
      <c r="F1711" s="162" t="s">
        <v>17708</v>
      </c>
      <c r="G1711" s="190"/>
      <c r="H1711" s="221" t="s">
        <v>17709</v>
      </c>
      <c r="I1711" s="169">
        <v>116149</v>
      </c>
      <c r="J1711" s="304" t="str">
        <f>CONCATENATE([2]Cover!$D$6,"fdd/view?i=",I1711)</f>
        <v>https://www.dgiwg.org/FAD/fdd/view?i=116149</v>
      </c>
      <c r="K1711" s="304" t="s">
        <v>35760</v>
      </c>
      <c r="L1711" s="188">
        <v>1</v>
      </c>
      <c r="M1711" s="179" t="s">
        <v>151</v>
      </c>
    </row>
    <row r="1712" spans="1:13" ht="25.5">
      <c r="A1712" s="313" t="str">
        <f t="shared" si="26"/>
        <v>AviationOxygenSupplyTypeCode_highPressureDirectTransfer</v>
      </c>
      <c r="B1712" s="330"/>
      <c r="C1712" s="334"/>
      <c r="D1712" s="188" t="s">
        <v>17637</v>
      </c>
      <c r="E1712" s="189" t="s">
        <v>17638</v>
      </c>
      <c r="F1712" s="162" t="s">
        <v>17711</v>
      </c>
      <c r="G1712" s="190"/>
      <c r="H1712" s="221" t="s">
        <v>17710</v>
      </c>
      <c r="I1712" s="169">
        <v>116150</v>
      </c>
      <c r="J1712" s="304" t="str">
        <f>CONCATENATE([2]Cover!$D$6,"fdd/view?i=",I1712)</f>
        <v>https://www.dgiwg.org/FAD/fdd/view?i=116150</v>
      </c>
      <c r="K1712" s="304" t="s">
        <v>35761</v>
      </c>
      <c r="L1712" s="188">
        <v>2</v>
      </c>
      <c r="M1712" s="179" t="s">
        <v>151</v>
      </c>
    </row>
    <row r="1713" spans="1:13" ht="25.5">
      <c r="A1713" s="313" t="str">
        <f t="shared" si="26"/>
        <v>AviationOxygenSupplyTypeCode_liquidDirectTransfer</v>
      </c>
      <c r="B1713" s="330"/>
      <c r="C1713" s="334"/>
      <c r="D1713" s="188" t="s">
        <v>17640</v>
      </c>
      <c r="E1713" s="189" t="s">
        <v>17641</v>
      </c>
      <c r="F1713" s="162" t="s">
        <v>17713</v>
      </c>
      <c r="G1713" s="190"/>
      <c r="H1713" s="221" t="s">
        <v>17712</v>
      </c>
      <c r="I1713" s="169">
        <v>116152</v>
      </c>
      <c r="J1713" s="304" t="str">
        <f>CONCATENATE([2]Cover!$D$6,"fdd/view?i=",I1713)</f>
        <v>https://www.dgiwg.org/FAD/fdd/view?i=116152</v>
      </c>
      <c r="K1713" s="304" t="s">
        <v>35762</v>
      </c>
      <c r="L1713" s="188">
        <v>4</v>
      </c>
      <c r="M1713" s="179" t="s">
        <v>151</v>
      </c>
    </row>
    <row r="1714" spans="1:13" ht="25.5">
      <c r="A1714" s="313" t="str">
        <f t="shared" si="26"/>
        <v>AviationOxygenSupplyTypeCode_lowPressureBottle</v>
      </c>
      <c r="B1714" s="330"/>
      <c r="C1714" s="334"/>
      <c r="D1714" s="188" t="s">
        <v>17643</v>
      </c>
      <c r="E1714" s="189" t="s">
        <v>17644</v>
      </c>
      <c r="F1714" s="162" t="s">
        <v>17714</v>
      </c>
      <c r="G1714" s="190"/>
      <c r="H1714" s="221" t="s">
        <v>17715</v>
      </c>
      <c r="I1714" s="169">
        <v>116153</v>
      </c>
      <c r="J1714" s="304" t="str">
        <f>CONCATENATE([2]Cover!$D$6,"fdd/view?i=",I1714)</f>
        <v>https://www.dgiwg.org/FAD/fdd/view?i=116153</v>
      </c>
      <c r="K1714" s="304" t="s">
        <v>35763</v>
      </c>
      <c r="L1714" s="188">
        <v>5</v>
      </c>
      <c r="M1714" s="179" t="s">
        <v>151</v>
      </c>
    </row>
    <row r="1715" spans="1:13" ht="25.5">
      <c r="A1715" s="313" t="str">
        <f t="shared" si="26"/>
        <v>AviationOxygenSupplyTypeCode_lowPressureDirectTransfer</v>
      </c>
      <c r="B1715" s="331"/>
      <c r="C1715" s="335"/>
      <c r="D1715" s="181" t="s">
        <v>17646</v>
      </c>
      <c r="E1715" s="192" t="s">
        <v>17647</v>
      </c>
      <c r="F1715" s="193" t="s">
        <v>17717</v>
      </c>
      <c r="G1715" s="194"/>
      <c r="H1715" s="223" t="s">
        <v>17716</v>
      </c>
      <c r="I1715" s="169">
        <v>116154</v>
      </c>
      <c r="J1715" s="304" t="str">
        <f>CONCATENATE([2]Cover!$D$6,"fdd/view?i=",I1715)</f>
        <v>https://www.dgiwg.org/FAD/fdd/view?i=116154</v>
      </c>
      <c r="K1715" s="304" t="s">
        <v>35764</v>
      </c>
      <c r="L1715" s="181">
        <v>6</v>
      </c>
      <c r="M1715" s="179" t="s">
        <v>151</v>
      </c>
    </row>
    <row r="1716" spans="1:13" ht="38.25">
      <c r="A1716" s="313" t="str">
        <f t="shared" si="26"/>
        <v>AviationPortOfEntryStatusCode_airportOfEntry</v>
      </c>
      <c r="B1716" s="332" t="str">
        <f>HYPERLINK("[#]Datatypes!A200:L200","AviationPortOfEntryStatusCode")</f>
        <v>AviationPortOfEntryStatusCode</v>
      </c>
      <c r="C1716" s="333" t="s">
        <v>11640</v>
      </c>
      <c r="D1716" s="202" t="s">
        <v>17718</v>
      </c>
      <c r="E1716" s="203" t="s">
        <v>17719</v>
      </c>
      <c r="F1716" s="204" t="s">
        <v>17720</v>
      </c>
      <c r="G1716" s="204" t="s">
        <v>17721</v>
      </c>
      <c r="H1716" s="218"/>
      <c r="I1716" s="169">
        <v>207749</v>
      </c>
      <c r="J1716" s="304" t="str">
        <f>CONCATENATE([2]Cover!$D$6,"fdd/view?i=",I1716)</f>
        <v>https://www.dgiwg.org/FAD/fdd/view?i=207749</v>
      </c>
      <c r="K1716" s="304" t="s">
        <v>35765</v>
      </c>
      <c r="L1716" s="202">
        <v>1</v>
      </c>
      <c r="M1716" s="179" t="s">
        <v>1295</v>
      </c>
    </row>
    <row r="1717" spans="1:13" ht="51">
      <c r="A1717" s="313" t="str">
        <f t="shared" si="26"/>
        <v>AviationPortOfEntryStatusCode_airportOfEntryLandRights</v>
      </c>
      <c r="B1717" s="330"/>
      <c r="C1717" s="334"/>
      <c r="D1717" s="188" t="s">
        <v>17722</v>
      </c>
      <c r="E1717" s="189" t="s">
        <v>17723</v>
      </c>
      <c r="F1717" s="162" t="s">
        <v>17724</v>
      </c>
      <c r="G1717" s="162" t="s">
        <v>17725</v>
      </c>
      <c r="H1717" s="219"/>
      <c r="I1717" s="169">
        <v>207750</v>
      </c>
      <c r="J1717" s="304" t="str">
        <f>CONCATENATE([2]Cover!$D$6,"fdd/view?i=",I1717)</f>
        <v>https://www.dgiwg.org/FAD/fdd/view?i=207750</v>
      </c>
      <c r="K1717" s="304" t="s">
        <v>35766</v>
      </c>
      <c r="L1717" s="188">
        <v>2</v>
      </c>
      <c r="M1717" s="179" t="s">
        <v>1295</v>
      </c>
    </row>
    <row r="1718" spans="1:13" ht="25.5">
      <c r="A1718" s="313" t="str">
        <f t="shared" si="26"/>
        <v>AviationPortOfEntryStatusCode_landingRightsAirport</v>
      </c>
      <c r="B1718" s="330"/>
      <c r="C1718" s="334"/>
      <c r="D1718" s="188" t="s">
        <v>17726</v>
      </c>
      <c r="E1718" s="189" t="s">
        <v>17727</v>
      </c>
      <c r="F1718" s="162" t="s">
        <v>17728</v>
      </c>
      <c r="G1718" s="162" t="s">
        <v>17729</v>
      </c>
      <c r="H1718" s="219"/>
      <c r="I1718" s="169">
        <v>207751</v>
      </c>
      <c r="J1718" s="304" t="str">
        <f>CONCATENATE([2]Cover!$D$6,"fdd/view?i=",I1718)</f>
        <v>https://www.dgiwg.org/FAD/fdd/view?i=207751</v>
      </c>
      <c r="K1718" s="304" t="s">
        <v>35767</v>
      </c>
      <c r="L1718" s="188">
        <v>3</v>
      </c>
      <c r="M1718" s="179" t="s">
        <v>1295</v>
      </c>
    </row>
    <row r="1719" spans="1:13" ht="38.25">
      <c r="A1719" s="313" t="str">
        <f t="shared" si="26"/>
        <v>AviationPortOfEntryStatusCode_limitedAirportOfEntry</v>
      </c>
      <c r="B1719" s="330"/>
      <c r="C1719" s="334"/>
      <c r="D1719" s="188" t="s">
        <v>17730</v>
      </c>
      <c r="E1719" s="189" t="s">
        <v>17731</v>
      </c>
      <c r="F1719" s="162" t="s">
        <v>17732</v>
      </c>
      <c r="G1719" s="162" t="s">
        <v>17721</v>
      </c>
      <c r="H1719" s="219"/>
      <c r="I1719" s="169">
        <v>207753</v>
      </c>
      <c r="J1719" s="304" t="str">
        <f>CONCATENATE([2]Cover!$D$6,"fdd/view?i=",I1719)</f>
        <v>https://www.dgiwg.org/FAD/fdd/view?i=207753</v>
      </c>
      <c r="K1719" s="304" t="s">
        <v>35768</v>
      </c>
      <c r="L1719" s="188">
        <v>5</v>
      </c>
      <c r="M1719" s="179" t="s">
        <v>1295</v>
      </c>
    </row>
    <row r="1720" spans="1:13" ht="25.5">
      <c r="A1720" s="313" t="str">
        <f t="shared" si="26"/>
        <v>AviationPortOfEntryStatusCode_limitedLandingRightsAirport</v>
      </c>
      <c r="B1720" s="330"/>
      <c r="C1720" s="334"/>
      <c r="D1720" s="188" t="s">
        <v>17733</v>
      </c>
      <c r="E1720" s="189" t="s">
        <v>17734</v>
      </c>
      <c r="F1720" s="162" t="s">
        <v>17735</v>
      </c>
      <c r="G1720" s="162" t="s">
        <v>17729</v>
      </c>
      <c r="H1720" s="219"/>
      <c r="I1720" s="169">
        <v>207752</v>
      </c>
      <c r="J1720" s="304" t="str">
        <f>CONCATENATE([2]Cover!$D$6,"fdd/view?i=",I1720)</f>
        <v>https://www.dgiwg.org/FAD/fdd/view?i=207752</v>
      </c>
      <c r="K1720" s="304" t="s">
        <v>35769</v>
      </c>
      <c r="L1720" s="188">
        <v>4</v>
      </c>
      <c r="M1720" s="179" t="s">
        <v>1295</v>
      </c>
    </row>
    <row r="1721" spans="1:13" ht="38.25">
      <c r="A1721" s="313" t="str">
        <f t="shared" si="26"/>
        <v>AviationPortOfEntryStatusCode_regularAirportOfEntry</v>
      </c>
      <c r="B1721" s="330"/>
      <c r="C1721" s="334"/>
      <c r="D1721" s="188" t="s">
        <v>17736</v>
      </c>
      <c r="E1721" s="189" t="s">
        <v>17737</v>
      </c>
      <c r="F1721" s="162" t="s">
        <v>17738</v>
      </c>
      <c r="G1721" s="162" t="s">
        <v>17721</v>
      </c>
      <c r="H1721" s="219"/>
      <c r="I1721" s="169">
        <v>207754</v>
      </c>
      <c r="J1721" s="304" t="str">
        <f>CONCATENATE([2]Cover!$D$6,"fdd/view?i=",I1721)</f>
        <v>https://www.dgiwg.org/FAD/fdd/view?i=207754</v>
      </c>
      <c r="K1721" s="304" t="s">
        <v>35770</v>
      </c>
      <c r="L1721" s="188">
        <v>6</v>
      </c>
      <c r="M1721" s="179" t="s">
        <v>1295</v>
      </c>
    </row>
    <row r="1722" spans="1:13" ht="38.25">
      <c r="A1722" s="313" t="str">
        <f t="shared" si="26"/>
        <v>AviationPortOfEntryStatusCode_regularLandingRightsAirport</v>
      </c>
      <c r="B1722" s="331"/>
      <c r="C1722" s="335"/>
      <c r="D1722" s="181" t="s">
        <v>17739</v>
      </c>
      <c r="E1722" s="192" t="s">
        <v>17740</v>
      </c>
      <c r="F1722" s="193" t="s">
        <v>17741</v>
      </c>
      <c r="G1722" s="193" t="s">
        <v>17729</v>
      </c>
      <c r="H1722" s="220"/>
      <c r="I1722" s="169">
        <v>207755</v>
      </c>
      <c r="J1722" s="304" t="str">
        <f>CONCATENATE([2]Cover!$D$6,"fdd/view?i=",I1722)</f>
        <v>https://www.dgiwg.org/FAD/fdd/view?i=207755</v>
      </c>
      <c r="K1722" s="304" t="s">
        <v>35771</v>
      </c>
      <c r="L1722" s="181">
        <v>7</v>
      </c>
      <c r="M1722" s="179" t="s">
        <v>1295</v>
      </c>
    </row>
    <row r="1723" spans="1:13" ht="38.25">
      <c r="A1723" s="313" t="str">
        <f t="shared" si="26"/>
        <v>BackcourseLocalizerUseTypeCode_no</v>
      </c>
      <c r="B1723" s="332" t="str">
        <f>HYPERLINK("[#]Datatypes!A202:L202","BackcourseLocalizerUseTypeCode")</f>
        <v>BackcourseLocalizerUseTypeCode</v>
      </c>
      <c r="C1723" s="333" t="s">
        <v>11642</v>
      </c>
      <c r="D1723" s="202" t="s">
        <v>17742</v>
      </c>
      <c r="E1723" s="203" t="s">
        <v>17743</v>
      </c>
      <c r="F1723" s="204" t="s">
        <v>17744</v>
      </c>
      <c r="G1723" s="205"/>
      <c r="H1723" s="218"/>
      <c r="I1723" s="169">
        <v>115346</v>
      </c>
      <c r="J1723" s="304" t="str">
        <f>CONCATENATE([2]Cover!$D$6,"fdd/view?i=",I1723)</f>
        <v>https://www.dgiwg.org/FAD/fdd/view?i=115346</v>
      </c>
      <c r="K1723" s="304" t="s">
        <v>35772</v>
      </c>
      <c r="L1723" s="202">
        <v>1</v>
      </c>
      <c r="M1723" s="179" t="s">
        <v>151</v>
      </c>
    </row>
    <row r="1724" spans="1:13" ht="153">
      <c r="A1724" s="313" t="str">
        <f t="shared" si="26"/>
        <v>BackcourseLocalizerUseTypeCode_restricted</v>
      </c>
      <c r="B1724" s="330"/>
      <c r="C1724" s="334"/>
      <c r="D1724" s="188" t="s">
        <v>13338</v>
      </c>
      <c r="E1724" s="189" t="s">
        <v>13339</v>
      </c>
      <c r="F1724" s="162" t="s">
        <v>17745</v>
      </c>
      <c r="G1724" s="162" t="s">
        <v>17746</v>
      </c>
      <c r="H1724" s="219"/>
      <c r="I1724" s="169">
        <v>115347</v>
      </c>
      <c r="J1724" s="304" t="str">
        <f>CONCATENATE([2]Cover!$D$6,"fdd/view?i=",I1724)</f>
        <v>https://www.dgiwg.org/FAD/fdd/view?i=115347</v>
      </c>
      <c r="K1724" s="304" t="s">
        <v>35773</v>
      </c>
      <c r="L1724" s="188">
        <v>3</v>
      </c>
      <c r="M1724" s="179" t="s">
        <v>151</v>
      </c>
    </row>
    <row r="1725" spans="1:13" ht="140.25">
      <c r="A1725" s="313" t="str">
        <f t="shared" si="26"/>
        <v>BackcourseLocalizerUseTypeCode_yes</v>
      </c>
      <c r="B1725" s="331"/>
      <c r="C1725" s="335"/>
      <c r="D1725" s="181" t="s">
        <v>17747</v>
      </c>
      <c r="E1725" s="192" t="s">
        <v>17748</v>
      </c>
      <c r="F1725" s="193" t="s">
        <v>17749</v>
      </c>
      <c r="G1725" s="193" t="s">
        <v>17750</v>
      </c>
      <c r="H1725" s="220"/>
      <c r="I1725" s="169">
        <v>115348</v>
      </c>
      <c r="J1725" s="304" t="str">
        <f>CONCATENATE([2]Cover!$D$6,"fdd/view?i=",I1725)</f>
        <v>https://www.dgiwg.org/FAD/fdd/view?i=115348</v>
      </c>
      <c r="K1725" s="304" t="s">
        <v>35774</v>
      </c>
      <c r="L1725" s="181">
        <v>2</v>
      </c>
      <c r="M1725" s="179" t="s">
        <v>151</v>
      </c>
    </row>
    <row r="1726" spans="1:13" ht="38.25">
      <c r="A1726" s="313" t="str">
        <f t="shared" si="26"/>
        <v>BankOrientationCode_indeterminate</v>
      </c>
      <c r="B1726" s="332" t="str">
        <f>HYPERLINK("[#]Datatypes!A204:L204","BankOrientationCode")</f>
        <v>BankOrientationCode</v>
      </c>
      <c r="C1726" s="333" t="s">
        <v>11644</v>
      </c>
      <c r="D1726" s="202" t="s">
        <v>17751</v>
      </c>
      <c r="E1726" s="203" t="s">
        <v>17752</v>
      </c>
      <c r="F1726" s="204" t="s">
        <v>17753</v>
      </c>
      <c r="G1726" s="205"/>
      <c r="H1726" s="218"/>
      <c r="I1726" s="169">
        <v>117925</v>
      </c>
      <c r="J1726" s="304" t="str">
        <f>CONCATENATE([2]Cover!$D$6,"fdd/view?i=",I1726)</f>
        <v>https://www.dgiwg.org/FAD/fdd/view?i=117925</v>
      </c>
      <c r="K1726" s="304" t="s">
        <v>35775</v>
      </c>
      <c r="L1726" s="202">
        <v>3</v>
      </c>
      <c r="M1726" s="179" t="s">
        <v>151</v>
      </c>
    </row>
    <row r="1727" spans="1:13" ht="25.5">
      <c r="A1727" s="313" t="str">
        <f t="shared" si="26"/>
        <v>BankOrientationCode_left</v>
      </c>
      <c r="B1727" s="330"/>
      <c r="C1727" s="334"/>
      <c r="D1727" s="188" t="s">
        <v>17754</v>
      </c>
      <c r="E1727" s="189" t="s">
        <v>17755</v>
      </c>
      <c r="F1727" s="162" t="s">
        <v>17756</v>
      </c>
      <c r="G1727" s="162" t="s">
        <v>17757</v>
      </c>
      <c r="H1727" s="219"/>
      <c r="I1727" s="169">
        <v>117924</v>
      </c>
      <c r="J1727" s="304" t="str">
        <f>CONCATENATE([2]Cover!$D$6,"fdd/view?i=",I1727)</f>
        <v>https://www.dgiwg.org/FAD/fdd/view?i=117924</v>
      </c>
      <c r="K1727" s="304" t="s">
        <v>35776</v>
      </c>
      <c r="L1727" s="188">
        <v>2</v>
      </c>
      <c r="M1727" s="179" t="s">
        <v>151</v>
      </c>
    </row>
    <row r="1728" spans="1:13" ht="25.5">
      <c r="A1728" s="313" t="str">
        <f t="shared" si="26"/>
        <v>BankOrientationCode_noFlow</v>
      </c>
      <c r="B1728" s="330"/>
      <c r="C1728" s="334"/>
      <c r="D1728" s="188" t="s">
        <v>17758</v>
      </c>
      <c r="E1728" s="189" t="s">
        <v>17759</v>
      </c>
      <c r="F1728" s="162" t="s">
        <v>17760</v>
      </c>
      <c r="G1728" s="190"/>
      <c r="H1728" s="219"/>
      <c r="I1728" s="169">
        <v>117926</v>
      </c>
      <c r="J1728" s="304" t="str">
        <f>CONCATENATE([2]Cover!$D$6,"fdd/view?i=",I1728)</f>
        <v>https://www.dgiwg.org/FAD/fdd/view?i=117926</v>
      </c>
      <c r="K1728" s="304" t="s">
        <v>35777</v>
      </c>
      <c r="L1728" s="188">
        <v>4</v>
      </c>
      <c r="M1728" s="179" t="s">
        <v>151</v>
      </c>
    </row>
    <row r="1729" spans="1:13" ht="25.5">
      <c r="A1729" s="313" t="str">
        <f t="shared" si="26"/>
        <v>BankOrientationCode_right</v>
      </c>
      <c r="B1729" s="331"/>
      <c r="C1729" s="335"/>
      <c r="D1729" s="181" t="s">
        <v>17761</v>
      </c>
      <c r="E1729" s="192" t="s">
        <v>17762</v>
      </c>
      <c r="F1729" s="193" t="s">
        <v>17763</v>
      </c>
      <c r="G1729" s="193" t="s">
        <v>17764</v>
      </c>
      <c r="H1729" s="220"/>
      <c r="I1729" s="169">
        <v>117923</v>
      </c>
      <c r="J1729" s="304" t="str">
        <f>CONCATENATE([2]Cover!$D$6,"fdd/view?i=",I1729)</f>
        <v>https://www.dgiwg.org/FAD/fdd/view?i=117923</v>
      </c>
      <c r="K1729" s="304" t="s">
        <v>35778</v>
      </c>
      <c r="L1729" s="181">
        <v>1</v>
      </c>
      <c r="M1729" s="179" t="s">
        <v>151</v>
      </c>
    </row>
    <row r="1730" spans="1:13" ht="25.5">
      <c r="A1730" s="313" t="str">
        <f t="shared" si="26"/>
        <v>BankVegetationCharacterCode_bog</v>
      </c>
      <c r="B1730" s="332" t="str">
        <f>HYPERLINK("[#]Datatypes!A206:L206","BankVegetationCharacterCode")</f>
        <v>BankVegetationCharacterCode</v>
      </c>
      <c r="C1730" s="333" t="s">
        <v>11646</v>
      </c>
      <c r="D1730" s="202" t="s">
        <v>17765</v>
      </c>
      <c r="E1730" s="203" t="s">
        <v>1687</v>
      </c>
      <c r="F1730" s="204" t="s">
        <v>1688</v>
      </c>
      <c r="G1730" s="204" t="s">
        <v>17766</v>
      </c>
      <c r="H1730" s="218"/>
      <c r="I1730" s="169">
        <v>117832</v>
      </c>
      <c r="J1730" s="304" t="str">
        <f>CONCATENATE([2]Cover!$D$6,"fdd/view?i=",I1730)</f>
        <v>https://www.dgiwg.org/FAD/fdd/view?i=117832</v>
      </c>
      <c r="K1730" s="304" t="s">
        <v>35779</v>
      </c>
      <c r="L1730" s="202">
        <v>1</v>
      </c>
      <c r="M1730" s="179" t="s">
        <v>151</v>
      </c>
    </row>
    <row r="1731" spans="1:13" ht="38.25">
      <c r="A1731" s="313" t="str">
        <f t="shared" ref="A1731:A1794" si="27">HYPERLINK(J1731,K1731)</f>
        <v>BankVegetationCharacterCode_brush</v>
      </c>
      <c r="B1731" s="330"/>
      <c r="C1731" s="334"/>
      <c r="D1731" s="188" t="s">
        <v>17767</v>
      </c>
      <c r="E1731" s="189" t="s">
        <v>1742</v>
      </c>
      <c r="F1731" s="162" t="s">
        <v>1743</v>
      </c>
      <c r="G1731" s="162" t="s">
        <v>1744</v>
      </c>
      <c r="H1731" s="219"/>
      <c r="I1731" s="169">
        <v>117833</v>
      </c>
      <c r="J1731" s="304" t="str">
        <f>CONCATENATE([2]Cover!$D$6,"fdd/view?i=",I1731)</f>
        <v>https://www.dgiwg.org/FAD/fdd/view?i=117833</v>
      </c>
      <c r="K1731" s="304" t="s">
        <v>35780</v>
      </c>
      <c r="L1731" s="188">
        <v>2</v>
      </c>
      <c r="M1731" s="179" t="s">
        <v>151</v>
      </c>
    </row>
    <row r="1732" spans="1:13" ht="25.5">
      <c r="A1732" s="313" t="str">
        <f t="shared" si="27"/>
        <v>BankVegetationCharacterCode_cropLand</v>
      </c>
      <c r="B1732" s="330"/>
      <c r="C1732" s="334"/>
      <c r="D1732" s="188" t="s">
        <v>17768</v>
      </c>
      <c r="E1732" s="189" t="s">
        <v>1971</v>
      </c>
      <c r="F1732" s="162" t="s">
        <v>1972</v>
      </c>
      <c r="G1732" s="190"/>
      <c r="H1732" s="219"/>
      <c r="I1732" s="169">
        <v>117834</v>
      </c>
      <c r="J1732" s="304" t="str">
        <f>CONCATENATE([2]Cover!$D$6,"fdd/view?i=",I1732)</f>
        <v>https://www.dgiwg.org/FAD/fdd/view?i=117834</v>
      </c>
      <c r="K1732" s="304" t="s">
        <v>35781</v>
      </c>
      <c r="L1732" s="188">
        <v>3</v>
      </c>
      <c r="M1732" s="179" t="s">
        <v>151</v>
      </c>
    </row>
    <row r="1733" spans="1:13" ht="25.5">
      <c r="A1733" s="313" t="str">
        <f t="shared" si="27"/>
        <v>BankVegetationCharacterCode_forestClearing</v>
      </c>
      <c r="B1733" s="330"/>
      <c r="C1733" s="334"/>
      <c r="D1733" s="188" t="s">
        <v>17769</v>
      </c>
      <c r="E1733" s="189" t="s">
        <v>2455</v>
      </c>
      <c r="F1733" s="162" t="s">
        <v>2456</v>
      </c>
      <c r="G1733" s="190"/>
      <c r="H1733" s="219"/>
      <c r="I1733" s="169">
        <v>117835</v>
      </c>
      <c r="J1733" s="304" t="str">
        <f>CONCATENATE([2]Cover!$D$6,"fdd/view?i=",I1733)</f>
        <v>https://www.dgiwg.org/FAD/fdd/view?i=117835</v>
      </c>
      <c r="K1733" s="304" t="s">
        <v>35782</v>
      </c>
      <c r="L1733" s="188">
        <v>4</v>
      </c>
      <c r="M1733" s="179" t="s">
        <v>151</v>
      </c>
    </row>
    <row r="1734" spans="1:13" ht="25.5">
      <c r="A1734" s="313" t="str">
        <f t="shared" si="27"/>
        <v>BankVegetationCharacterCode_grass</v>
      </c>
      <c r="B1734" s="330"/>
      <c r="C1734" s="334"/>
      <c r="D1734" s="188" t="s">
        <v>15159</v>
      </c>
      <c r="E1734" s="189" t="s">
        <v>15160</v>
      </c>
      <c r="F1734" s="162" t="s">
        <v>17770</v>
      </c>
      <c r="G1734" s="190"/>
      <c r="H1734" s="219"/>
      <c r="I1734" s="169">
        <v>117836</v>
      </c>
      <c r="J1734" s="304" t="str">
        <f>CONCATENATE([2]Cover!$D$6,"fdd/view?i=",I1734)</f>
        <v>https://www.dgiwg.org/FAD/fdd/view?i=117836</v>
      </c>
      <c r="K1734" s="304" t="s">
        <v>35783</v>
      </c>
      <c r="L1734" s="188">
        <v>5</v>
      </c>
      <c r="M1734" s="179" t="s">
        <v>151</v>
      </c>
    </row>
    <row r="1735" spans="1:13" ht="51">
      <c r="A1735" s="313" t="str">
        <f t="shared" si="27"/>
        <v>BankVegetationCharacterCode_jungle</v>
      </c>
      <c r="B1735" s="330"/>
      <c r="C1735" s="334"/>
      <c r="D1735" s="188" t="s">
        <v>17771</v>
      </c>
      <c r="E1735" s="189" t="s">
        <v>17772</v>
      </c>
      <c r="F1735" s="162" t="s">
        <v>17773</v>
      </c>
      <c r="G1735" s="162" t="s">
        <v>17774</v>
      </c>
      <c r="H1735" s="219"/>
      <c r="I1735" s="169">
        <v>117837</v>
      </c>
      <c r="J1735" s="304" t="str">
        <f>CONCATENATE([2]Cover!$D$6,"fdd/view?i=",I1735)</f>
        <v>https://www.dgiwg.org/FAD/fdd/view?i=117837</v>
      </c>
      <c r="K1735" s="304" t="s">
        <v>35784</v>
      </c>
      <c r="L1735" s="188">
        <v>6</v>
      </c>
      <c r="M1735" s="179" t="s">
        <v>151</v>
      </c>
    </row>
    <row r="1736" spans="1:13" ht="38.25">
      <c r="A1736" s="313" t="str">
        <f t="shared" si="27"/>
        <v>BankVegetationCharacterCode_reclaimedLand</v>
      </c>
      <c r="B1736" s="330"/>
      <c r="C1736" s="334"/>
      <c r="D1736" s="188" t="s">
        <v>17775</v>
      </c>
      <c r="E1736" s="189" t="s">
        <v>17776</v>
      </c>
      <c r="F1736" s="162" t="s">
        <v>17777</v>
      </c>
      <c r="G1736" s="162" t="s">
        <v>17778</v>
      </c>
      <c r="H1736" s="219"/>
      <c r="I1736" s="169">
        <v>117838</v>
      </c>
      <c r="J1736" s="304" t="str">
        <f>CONCATENATE([2]Cover!$D$6,"fdd/view?i=",I1736)</f>
        <v>https://www.dgiwg.org/FAD/fdd/view?i=117838</v>
      </c>
      <c r="K1736" s="304" t="s">
        <v>35785</v>
      </c>
      <c r="L1736" s="188">
        <v>7</v>
      </c>
      <c r="M1736" s="179" t="s">
        <v>151</v>
      </c>
    </row>
    <row r="1737" spans="1:13" ht="38.25">
      <c r="A1737" s="313" t="str">
        <f t="shared" si="27"/>
        <v>BankVegetationCharacterCode_scrubland</v>
      </c>
      <c r="B1737" s="330"/>
      <c r="C1737" s="334"/>
      <c r="D1737" s="188" t="s">
        <v>17779</v>
      </c>
      <c r="E1737" s="189" t="s">
        <v>3782</v>
      </c>
      <c r="F1737" s="162" t="s">
        <v>3783</v>
      </c>
      <c r="G1737" s="190"/>
      <c r="H1737" s="219"/>
      <c r="I1737" s="169">
        <v>117839</v>
      </c>
      <c r="J1737" s="304" t="str">
        <f>CONCATENATE([2]Cover!$D$6,"fdd/view?i=",I1737)</f>
        <v>https://www.dgiwg.org/FAD/fdd/view?i=117839</v>
      </c>
      <c r="K1737" s="304" t="s">
        <v>35786</v>
      </c>
      <c r="L1737" s="188">
        <v>8</v>
      </c>
      <c r="M1737" s="179" t="s">
        <v>151</v>
      </c>
    </row>
    <row r="1738" spans="1:13" ht="38.25">
      <c r="A1738" s="313" t="str">
        <f t="shared" si="27"/>
        <v>BankVegetationCharacterCode_shrub</v>
      </c>
      <c r="B1738" s="330"/>
      <c r="C1738" s="334"/>
      <c r="D1738" s="188" t="s">
        <v>17780</v>
      </c>
      <c r="E1738" s="189" t="s">
        <v>17781</v>
      </c>
      <c r="F1738" s="162" t="s">
        <v>17782</v>
      </c>
      <c r="G1738" s="190"/>
      <c r="H1738" s="219"/>
      <c r="I1738" s="169">
        <v>117840</v>
      </c>
      <c r="J1738" s="304" t="str">
        <f>CONCATENATE([2]Cover!$D$6,"fdd/view?i=",I1738)</f>
        <v>https://www.dgiwg.org/FAD/fdd/view?i=117840</v>
      </c>
      <c r="K1738" s="304" t="s">
        <v>35787</v>
      </c>
      <c r="L1738" s="188">
        <v>9</v>
      </c>
      <c r="M1738" s="179" t="s">
        <v>151</v>
      </c>
    </row>
    <row r="1739" spans="1:13" ht="114.75">
      <c r="A1739" s="313" t="str">
        <f t="shared" si="27"/>
        <v>BankVegetationCharacterCode_swamp</v>
      </c>
      <c r="B1739" s="330"/>
      <c r="C1739" s="334"/>
      <c r="D1739" s="188" t="s">
        <v>17783</v>
      </c>
      <c r="E1739" s="189" t="s">
        <v>4165</v>
      </c>
      <c r="F1739" s="162" t="s">
        <v>4166</v>
      </c>
      <c r="G1739" s="162" t="s">
        <v>17784</v>
      </c>
      <c r="H1739" s="219"/>
      <c r="I1739" s="169">
        <v>207853</v>
      </c>
      <c r="J1739" s="304" t="str">
        <f>CONCATENATE([2]Cover!$D$6,"fdd/view?i=",I1739)</f>
        <v>https://www.dgiwg.org/FAD/fdd/view?i=207853</v>
      </c>
      <c r="K1739" s="304" t="s">
        <v>35788</v>
      </c>
      <c r="L1739" s="188">
        <v>13</v>
      </c>
      <c r="M1739" s="179" t="s">
        <v>1295</v>
      </c>
    </row>
    <row r="1740" spans="1:13" ht="38.25">
      <c r="A1740" s="313" t="str">
        <f t="shared" si="27"/>
        <v>BankVegetationCharacterCode_thicket</v>
      </c>
      <c r="B1740" s="330"/>
      <c r="C1740" s="334"/>
      <c r="D1740" s="188" t="s">
        <v>17785</v>
      </c>
      <c r="E1740" s="189" t="s">
        <v>4256</v>
      </c>
      <c r="F1740" s="162" t="s">
        <v>4257</v>
      </c>
      <c r="G1740" s="162" t="s">
        <v>4258</v>
      </c>
      <c r="H1740" s="219"/>
      <c r="I1740" s="169">
        <v>117841</v>
      </c>
      <c r="J1740" s="304" t="str">
        <f>CONCATENATE([2]Cover!$D$6,"fdd/view?i=",I1740)</f>
        <v>https://www.dgiwg.org/FAD/fdd/view?i=117841</v>
      </c>
      <c r="K1740" s="304" t="s">
        <v>35789</v>
      </c>
      <c r="L1740" s="188">
        <v>10</v>
      </c>
      <c r="M1740" s="179" t="s">
        <v>151</v>
      </c>
    </row>
    <row r="1741" spans="1:13" ht="25.5">
      <c r="A1741" s="313" t="str">
        <f t="shared" si="27"/>
        <v>BankVegetationCharacterCode_unvegetatedLand</v>
      </c>
      <c r="B1741" s="330"/>
      <c r="C1741" s="334"/>
      <c r="D1741" s="188" t="s">
        <v>17786</v>
      </c>
      <c r="E1741" s="189" t="s">
        <v>4405</v>
      </c>
      <c r="F1741" s="162" t="s">
        <v>4406</v>
      </c>
      <c r="G1741" s="190"/>
      <c r="H1741" s="219"/>
      <c r="I1741" s="169">
        <v>117842</v>
      </c>
      <c r="J1741" s="304" t="str">
        <f>CONCATENATE([2]Cover!$D$6,"fdd/view?i=",I1741)</f>
        <v>https://www.dgiwg.org/FAD/fdd/view?i=117842</v>
      </c>
      <c r="K1741" s="304" t="s">
        <v>35790</v>
      </c>
      <c r="L1741" s="188">
        <v>11</v>
      </c>
      <c r="M1741" s="179" t="s">
        <v>151</v>
      </c>
    </row>
    <row r="1742" spans="1:13" ht="25.5">
      <c r="A1742" s="313" t="str">
        <f t="shared" si="27"/>
        <v>BankVegetationCharacterCode_wood</v>
      </c>
      <c r="B1742" s="331"/>
      <c r="C1742" s="335"/>
      <c r="D1742" s="181" t="s">
        <v>15149</v>
      </c>
      <c r="E1742" s="192" t="s">
        <v>15150</v>
      </c>
      <c r="F1742" s="193" t="s">
        <v>17787</v>
      </c>
      <c r="G1742" s="194"/>
      <c r="H1742" s="223" t="s">
        <v>17788</v>
      </c>
      <c r="I1742" s="169">
        <v>117843</v>
      </c>
      <c r="J1742" s="304" t="str">
        <f>CONCATENATE([2]Cover!$D$6,"fdd/view?i=",I1742)</f>
        <v>https://www.dgiwg.org/FAD/fdd/view?i=117843</v>
      </c>
      <c r="K1742" s="304" t="s">
        <v>35791</v>
      </c>
      <c r="L1742" s="181">
        <v>12</v>
      </c>
      <c r="M1742" s="179" t="s">
        <v>151</v>
      </c>
    </row>
    <row r="1743" spans="1:13" ht="25.5">
      <c r="A1743" s="313" t="str">
        <f t="shared" si="27"/>
        <v>BarrierTopTypeCode_barbedWire</v>
      </c>
      <c r="B1743" s="332" t="str">
        <f>HYPERLINK("[#]Datatypes!A208:L208","BarrierTopTypeCode")</f>
        <v>BarrierTopTypeCode</v>
      </c>
      <c r="C1743" s="333" t="s">
        <v>11648</v>
      </c>
      <c r="D1743" s="202" t="s">
        <v>17789</v>
      </c>
      <c r="E1743" s="203" t="s">
        <v>17790</v>
      </c>
      <c r="F1743" s="204" t="s">
        <v>17791</v>
      </c>
      <c r="G1743" s="205"/>
      <c r="H1743" s="218"/>
      <c r="I1743" s="169">
        <v>111792</v>
      </c>
      <c r="J1743" s="304" t="str">
        <f>CONCATENATE([2]Cover!$D$6,"fdd/view?i=",I1743)</f>
        <v>https://www.dgiwg.org/FAD/fdd/view?i=111792</v>
      </c>
      <c r="K1743" s="304" t="s">
        <v>35792</v>
      </c>
      <c r="L1743" s="202">
        <v>1</v>
      </c>
      <c r="M1743" s="179" t="s">
        <v>151</v>
      </c>
    </row>
    <row r="1744" spans="1:13" ht="25.5">
      <c r="A1744" s="313" t="str">
        <f t="shared" si="27"/>
        <v>BarrierTopTypeCode_chainLink</v>
      </c>
      <c r="B1744" s="330"/>
      <c r="C1744" s="334"/>
      <c r="D1744" s="188" t="s">
        <v>17792</v>
      </c>
      <c r="E1744" s="189" t="s">
        <v>17793</v>
      </c>
      <c r="F1744" s="162" t="s">
        <v>17794</v>
      </c>
      <c r="G1744" s="162" t="s">
        <v>17795</v>
      </c>
      <c r="H1744" s="219"/>
      <c r="I1744" s="169">
        <v>111794</v>
      </c>
      <c r="J1744" s="304" t="str">
        <f>CONCATENATE([2]Cover!$D$6,"fdd/view?i=",I1744)</f>
        <v>https://www.dgiwg.org/FAD/fdd/view?i=111794</v>
      </c>
      <c r="K1744" s="304" t="s">
        <v>35793</v>
      </c>
      <c r="L1744" s="188">
        <v>2</v>
      </c>
      <c r="M1744" s="179" t="s">
        <v>151</v>
      </c>
    </row>
    <row r="1745" spans="1:13" ht="38.25">
      <c r="A1745" s="313" t="str">
        <f t="shared" si="27"/>
        <v>BarrierTopTypeCode_concertinaWire</v>
      </c>
      <c r="B1745" s="330"/>
      <c r="C1745" s="334"/>
      <c r="D1745" s="188" t="s">
        <v>17796</v>
      </c>
      <c r="E1745" s="189" t="s">
        <v>17797</v>
      </c>
      <c r="F1745" s="162" t="s">
        <v>17798</v>
      </c>
      <c r="G1745" s="190"/>
      <c r="H1745" s="219"/>
      <c r="I1745" s="169">
        <v>111796</v>
      </c>
      <c r="J1745" s="304" t="str">
        <f>CONCATENATE([2]Cover!$D$6,"fdd/view?i=",I1745)</f>
        <v>https://www.dgiwg.org/FAD/fdd/view?i=111796</v>
      </c>
      <c r="K1745" s="304" t="s">
        <v>35794</v>
      </c>
      <c r="L1745" s="188">
        <v>3</v>
      </c>
      <c r="M1745" s="179" t="s">
        <v>151</v>
      </c>
    </row>
    <row r="1746" spans="1:13" ht="25.5">
      <c r="A1746" s="313" t="str">
        <f t="shared" si="27"/>
        <v>BarrierTopTypeCode_electricWire</v>
      </c>
      <c r="B1746" s="330"/>
      <c r="C1746" s="334"/>
      <c r="D1746" s="188" t="s">
        <v>17799</v>
      </c>
      <c r="E1746" s="189" t="s">
        <v>17800</v>
      </c>
      <c r="F1746" s="162" t="s">
        <v>17801</v>
      </c>
      <c r="G1746" s="162" t="s">
        <v>17802</v>
      </c>
      <c r="H1746" s="219"/>
      <c r="I1746" s="169">
        <v>111798</v>
      </c>
      <c r="J1746" s="304" t="str">
        <f>CONCATENATE([2]Cover!$D$6,"fdd/view?i=",I1746)</f>
        <v>https://www.dgiwg.org/FAD/fdd/view?i=111798</v>
      </c>
      <c r="K1746" s="304" t="s">
        <v>35795</v>
      </c>
      <c r="L1746" s="188">
        <v>4</v>
      </c>
      <c r="M1746" s="179" t="s">
        <v>151</v>
      </c>
    </row>
    <row r="1747" spans="1:13" ht="38.25">
      <c r="A1747" s="313" t="str">
        <f t="shared" si="27"/>
        <v>BarrierTopTypeCode_spiked</v>
      </c>
      <c r="B1747" s="331"/>
      <c r="C1747" s="335"/>
      <c r="D1747" s="181" t="s">
        <v>17803</v>
      </c>
      <c r="E1747" s="192" t="s">
        <v>17804</v>
      </c>
      <c r="F1747" s="193" t="s">
        <v>17805</v>
      </c>
      <c r="G1747" s="194"/>
      <c r="H1747" s="220"/>
      <c r="I1747" s="169">
        <v>111800</v>
      </c>
      <c r="J1747" s="304" t="str">
        <f>CONCATENATE([2]Cover!$D$6,"fdd/view?i=",I1747)</f>
        <v>https://www.dgiwg.org/FAD/fdd/view?i=111800</v>
      </c>
      <c r="K1747" s="304" t="s">
        <v>35796</v>
      </c>
      <c r="L1747" s="181">
        <v>5</v>
      </c>
      <c r="M1747" s="179" t="s">
        <v>151</v>
      </c>
    </row>
    <row r="1748" spans="1:13" ht="25.5">
      <c r="A1748" s="313" t="str">
        <f t="shared" si="27"/>
        <v>BasinGateTypeCode_caisson</v>
      </c>
      <c r="B1748" s="332" t="str">
        <f>HYPERLINK("[#]Datatypes!A212:L212","BasinGateTypeCode")</f>
        <v>BasinGateTypeCode</v>
      </c>
      <c r="C1748" s="333" t="s">
        <v>11653</v>
      </c>
      <c r="D1748" s="202" t="s">
        <v>17806</v>
      </c>
      <c r="E1748" s="203" t="s">
        <v>17807</v>
      </c>
      <c r="F1748" s="204" t="s">
        <v>17808</v>
      </c>
      <c r="G1748" s="205"/>
      <c r="H1748" s="218"/>
      <c r="I1748" s="169">
        <v>117828</v>
      </c>
      <c r="J1748" s="304" t="str">
        <f>CONCATENATE([2]Cover!$D$6,"fdd/view?i=",I1748)</f>
        <v>https://www.dgiwg.org/FAD/fdd/view?i=117828</v>
      </c>
      <c r="K1748" s="304" t="s">
        <v>35797</v>
      </c>
      <c r="L1748" s="202">
        <v>1</v>
      </c>
      <c r="M1748" s="179" t="s">
        <v>151</v>
      </c>
    </row>
    <row r="1749" spans="1:13">
      <c r="A1749" s="313" t="str">
        <f t="shared" si="27"/>
        <v>BasinGateTypeCode_lockGate</v>
      </c>
      <c r="B1749" s="330"/>
      <c r="C1749" s="334"/>
      <c r="D1749" s="188" t="s">
        <v>17809</v>
      </c>
      <c r="E1749" s="189" t="s">
        <v>17810</v>
      </c>
      <c r="F1749" s="162" t="s">
        <v>17811</v>
      </c>
      <c r="G1749" s="190"/>
      <c r="H1749" s="219"/>
      <c r="I1749" s="169">
        <v>117829</v>
      </c>
      <c r="J1749" s="304" t="str">
        <f>CONCATENATE([2]Cover!$D$6,"fdd/view?i=",I1749)</f>
        <v>https://www.dgiwg.org/FAD/fdd/view?i=117829</v>
      </c>
      <c r="K1749" s="304" t="s">
        <v>35798</v>
      </c>
      <c r="L1749" s="188">
        <v>2</v>
      </c>
      <c r="M1749" s="179" t="s">
        <v>151</v>
      </c>
    </row>
    <row r="1750" spans="1:13" ht="38.25">
      <c r="A1750" s="313" t="str">
        <f t="shared" si="27"/>
        <v>BasinGateTypeCode_tideLock</v>
      </c>
      <c r="B1750" s="331"/>
      <c r="C1750" s="335"/>
      <c r="D1750" s="181" t="s">
        <v>17812</v>
      </c>
      <c r="E1750" s="192" t="s">
        <v>17813</v>
      </c>
      <c r="F1750" s="193" t="s">
        <v>17814</v>
      </c>
      <c r="G1750" s="193" t="s">
        <v>17815</v>
      </c>
      <c r="H1750" s="220"/>
      <c r="I1750" s="169">
        <v>117830</v>
      </c>
      <c r="J1750" s="304" t="str">
        <f>CONCATENATE([2]Cover!$D$6,"fdd/view?i=",I1750)</f>
        <v>https://www.dgiwg.org/FAD/fdd/view?i=117830</v>
      </c>
      <c r="K1750" s="304" t="s">
        <v>35799</v>
      </c>
      <c r="L1750" s="181">
        <v>3</v>
      </c>
      <c r="M1750" s="179" t="s">
        <v>151</v>
      </c>
    </row>
    <row r="1751" spans="1:13" ht="25.5">
      <c r="A1751" s="313" t="str">
        <f t="shared" si="27"/>
        <v>BathyMeasureQualityCatCode_depthDoubtful</v>
      </c>
      <c r="B1751" s="332" t="str">
        <f>HYPERLINK("[#]Datatypes!A214:L214","BathyMeasureQualityCatCode")</f>
        <v>BathyMeasureQualityCatCode</v>
      </c>
      <c r="C1751" s="333" t="s">
        <v>11655</v>
      </c>
      <c r="D1751" s="202" t="s">
        <v>17816</v>
      </c>
      <c r="E1751" s="203" t="s">
        <v>17817</v>
      </c>
      <c r="F1751" s="204" t="s">
        <v>17818</v>
      </c>
      <c r="G1751" s="204" t="s">
        <v>17819</v>
      </c>
      <c r="H1751" s="218"/>
      <c r="I1751" s="169">
        <v>110160</v>
      </c>
      <c r="J1751" s="304" t="str">
        <f>CONCATENATE([2]Cover!$D$6,"fdd/view?i=",I1751)</f>
        <v>https://www.dgiwg.org/FAD/fdd/view?i=110160</v>
      </c>
      <c r="K1751" s="304" t="s">
        <v>35800</v>
      </c>
      <c r="L1751" s="202">
        <v>5</v>
      </c>
      <c r="M1751" s="179" t="s">
        <v>151</v>
      </c>
    </row>
    <row r="1752" spans="1:13" ht="25.5">
      <c r="A1752" s="313" t="str">
        <f t="shared" si="27"/>
        <v>BathyMeasureQualityCatCode_depthKnown</v>
      </c>
      <c r="B1752" s="330"/>
      <c r="C1752" s="334"/>
      <c r="D1752" s="188" t="s">
        <v>17820</v>
      </c>
      <c r="E1752" s="189" t="s">
        <v>17821</v>
      </c>
      <c r="F1752" s="162" t="s">
        <v>17822</v>
      </c>
      <c r="G1752" s="162" t="s">
        <v>17823</v>
      </c>
      <c r="H1752" s="219"/>
      <c r="I1752" s="169">
        <v>103379</v>
      </c>
      <c r="J1752" s="304" t="str">
        <f>CONCATENATE([2]Cover!$D$6,"fdd/view?i=",I1752)</f>
        <v>https://www.dgiwg.org/FAD/fdd/view?i=103379</v>
      </c>
      <c r="K1752" s="304" t="s">
        <v>35801</v>
      </c>
      <c r="L1752" s="188">
        <v>1</v>
      </c>
      <c r="M1752" s="179" t="s">
        <v>151</v>
      </c>
    </row>
    <row r="1753" spans="1:13" ht="25.5">
      <c r="A1753" s="313" t="str">
        <f t="shared" si="27"/>
        <v>BathyMeasureQualityCatCode_depthUnknown</v>
      </c>
      <c r="B1753" s="330"/>
      <c r="C1753" s="334"/>
      <c r="D1753" s="188" t="s">
        <v>17824</v>
      </c>
      <c r="E1753" s="189" t="s">
        <v>17825</v>
      </c>
      <c r="F1753" s="162" t="s">
        <v>17826</v>
      </c>
      <c r="G1753" s="162" t="s">
        <v>17827</v>
      </c>
      <c r="H1753" s="219"/>
      <c r="I1753" s="169">
        <v>110159</v>
      </c>
      <c r="J1753" s="304" t="str">
        <f>CONCATENATE([2]Cover!$D$6,"fdd/view?i=",I1753)</f>
        <v>https://www.dgiwg.org/FAD/fdd/view?i=110159</v>
      </c>
      <c r="K1753" s="304" t="s">
        <v>35802</v>
      </c>
      <c r="L1753" s="188">
        <v>4</v>
      </c>
      <c r="M1753" s="179" t="s">
        <v>151</v>
      </c>
    </row>
    <row r="1754" spans="1:13" ht="25.5">
      <c r="A1754" s="313" t="str">
        <f t="shared" si="27"/>
        <v>BathyMeasureQualityCatCode_depthUnreliable</v>
      </c>
      <c r="B1754" s="330"/>
      <c r="C1754" s="334"/>
      <c r="D1754" s="188" t="s">
        <v>17828</v>
      </c>
      <c r="E1754" s="189" t="s">
        <v>17829</v>
      </c>
      <c r="F1754" s="162" t="s">
        <v>17830</v>
      </c>
      <c r="G1754" s="162" t="s">
        <v>17831</v>
      </c>
      <c r="H1754" s="219"/>
      <c r="I1754" s="169">
        <v>110161</v>
      </c>
      <c r="J1754" s="304" t="str">
        <f>CONCATENATE([2]Cover!$D$6,"fdd/view?i=",I1754)</f>
        <v>https://www.dgiwg.org/FAD/fdd/view?i=110161</v>
      </c>
      <c r="K1754" s="304" t="s">
        <v>35803</v>
      </c>
      <c r="L1754" s="188">
        <v>6</v>
      </c>
      <c r="M1754" s="179" t="s">
        <v>151</v>
      </c>
    </row>
    <row r="1755" spans="1:13" ht="25.5">
      <c r="A1755" s="313" t="str">
        <f t="shared" si="27"/>
        <v>BathyMeasureQualityCatCode_leastDepth</v>
      </c>
      <c r="B1755" s="330"/>
      <c r="C1755" s="334"/>
      <c r="D1755" s="188" t="s">
        <v>17832</v>
      </c>
      <c r="E1755" s="189" t="s">
        <v>17833</v>
      </c>
      <c r="F1755" s="162" t="s">
        <v>17834</v>
      </c>
      <c r="G1755" s="190"/>
      <c r="H1755" s="219"/>
      <c r="I1755" s="169">
        <v>110163</v>
      </c>
      <c r="J1755" s="304" t="str">
        <f>CONCATENATE([2]Cover!$D$6,"fdd/view?i=",I1755)</f>
        <v>https://www.dgiwg.org/FAD/fdd/view?i=110163</v>
      </c>
      <c r="K1755" s="304" t="s">
        <v>35804</v>
      </c>
      <c r="L1755" s="188">
        <v>8</v>
      </c>
      <c r="M1755" s="179" t="s">
        <v>151</v>
      </c>
    </row>
    <row r="1756" spans="1:13" ht="25.5">
      <c r="A1756" s="313" t="str">
        <f t="shared" si="27"/>
        <v>BathyMeasureQualityCatCode_maintainedDepth</v>
      </c>
      <c r="B1756" s="330"/>
      <c r="C1756" s="334"/>
      <c r="D1756" s="188" t="s">
        <v>17835</v>
      </c>
      <c r="E1756" s="189" t="s">
        <v>17836</v>
      </c>
      <c r="F1756" s="162" t="s">
        <v>17837</v>
      </c>
      <c r="G1756" s="190"/>
      <c r="H1756" s="219"/>
      <c r="I1756" s="169">
        <v>110166</v>
      </c>
      <c r="J1756" s="304" t="str">
        <f>CONCATENATE([2]Cover!$D$6,"fdd/view?i=",I1756)</f>
        <v>https://www.dgiwg.org/FAD/fdd/view?i=110166</v>
      </c>
      <c r="K1756" s="304" t="s">
        <v>35805</v>
      </c>
      <c r="L1756" s="188">
        <v>11</v>
      </c>
      <c r="M1756" s="179" t="s">
        <v>151</v>
      </c>
    </row>
    <row r="1757" spans="1:13" ht="25.5">
      <c r="A1757" s="313" t="str">
        <f t="shared" si="27"/>
        <v>BathyMeasureQualityCatCode_noBottom</v>
      </c>
      <c r="B1757" s="330"/>
      <c r="C1757" s="334"/>
      <c r="D1757" s="188" t="s">
        <v>17838</v>
      </c>
      <c r="E1757" s="189" t="s">
        <v>17839</v>
      </c>
      <c r="F1757" s="162" t="s">
        <v>17840</v>
      </c>
      <c r="G1757" s="190"/>
      <c r="H1757" s="219"/>
      <c r="I1757" s="169">
        <v>110162</v>
      </c>
      <c r="J1757" s="304" t="str">
        <f>CONCATENATE([2]Cover!$D$6,"fdd/view?i=",I1757)</f>
        <v>https://www.dgiwg.org/FAD/fdd/view?i=110162</v>
      </c>
      <c r="K1757" s="304" t="s">
        <v>35806</v>
      </c>
      <c r="L1757" s="188">
        <v>7</v>
      </c>
      <c r="M1757" s="179" t="s">
        <v>151</v>
      </c>
    </row>
    <row r="1758" spans="1:13" ht="25.5">
      <c r="A1758" s="313" t="str">
        <f t="shared" si="27"/>
        <v>BathyMeasureQualityCatCode_reportedDepth</v>
      </c>
      <c r="B1758" s="330"/>
      <c r="C1758" s="334"/>
      <c r="D1758" s="188" t="s">
        <v>17841</v>
      </c>
      <c r="E1758" s="189" t="s">
        <v>17842</v>
      </c>
      <c r="F1758" s="162" t="s">
        <v>17843</v>
      </c>
      <c r="G1758" s="162" t="s">
        <v>17844</v>
      </c>
      <c r="H1758" s="219"/>
      <c r="I1758" s="169">
        <v>110164</v>
      </c>
      <c r="J1758" s="304" t="str">
        <f>CONCATENATE([2]Cover!$D$6,"fdd/view?i=",I1758)</f>
        <v>https://www.dgiwg.org/FAD/fdd/view?i=110164</v>
      </c>
      <c r="K1758" s="304" t="s">
        <v>35807</v>
      </c>
      <c r="L1758" s="188">
        <v>9</v>
      </c>
      <c r="M1758" s="179" t="s">
        <v>151</v>
      </c>
    </row>
    <row r="1759" spans="1:13" ht="25.5">
      <c r="A1759" s="313" t="str">
        <f t="shared" si="27"/>
        <v>BathyMeasureQualityCatCode_safeClearanceKnown</v>
      </c>
      <c r="B1759" s="330"/>
      <c r="C1759" s="334"/>
      <c r="D1759" s="188" t="s">
        <v>17845</v>
      </c>
      <c r="E1759" s="189" t="s">
        <v>17846</v>
      </c>
      <c r="F1759" s="162" t="s">
        <v>17847</v>
      </c>
      <c r="G1759" s="190"/>
      <c r="H1759" s="219"/>
      <c r="I1759" s="169">
        <v>103381</v>
      </c>
      <c r="J1759" s="304" t="str">
        <f>CONCATENATE([2]Cover!$D$6,"fdd/view?i=",I1759)</f>
        <v>https://www.dgiwg.org/FAD/fdd/view?i=103381</v>
      </c>
      <c r="K1759" s="304" t="s">
        <v>35808</v>
      </c>
      <c r="L1759" s="188">
        <v>3</v>
      </c>
      <c r="M1759" s="179" t="s">
        <v>151</v>
      </c>
    </row>
    <row r="1760" spans="1:13" ht="25.5">
      <c r="A1760" s="313" t="str">
        <f t="shared" si="27"/>
        <v>BathyMeasureQualityCatCode_unconfirmedDepth</v>
      </c>
      <c r="B1760" s="330"/>
      <c r="C1760" s="334"/>
      <c r="D1760" s="188" t="s">
        <v>17848</v>
      </c>
      <c r="E1760" s="189" t="s">
        <v>17849</v>
      </c>
      <c r="F1760" s="162" t="s">
        <v>17850</v>
      </c>
      <c r="G1760" s="162" t="s">
        <v>17851</v>
      </c>
      <c r="H1760" s="219"/>
      <c r="I1760" s="169">
        <v>110165</v>
      </c>
      <c r="J1760" s="304" t="str">
        <f>CONCATENATE([2]Cover!$D$6,"fdd/view?i=",I1760)</f>
        <v>https://www.dgiwg.org/FAD/fdd/view?i=110165</v>
      </c>
      <c r="K1760" s="304" t="s">
        <v>35809</v>
      </c>
      <c r="L1760" s="188">
        <v>10</v>
      </c>
      <c r="M1760" s="179" t="s">
        <v>151</v>
      </c>
    </row>
    <row r="1761" spans="1:13" ht="25.5">
      <c r="A1761" s="313" t="str">
        <f t="shared" si="27"/>
        <v>BathyMeasureQualityCatCode_unmaintainedDepth</v>
      </c>
      <c r="B1761" s="331"/>
      <c r="C1761" s="335"/>
      <c r="D1761" s="181" t="s">
        <v>17852</v>
      </c>
      <c r="E1761" s="192" t="s">
        <v>17853</v>
      </c>
      <c r="F1761" s="193" t="s">
        <v>17854</v>
      </c>
      <c r="G1761" s="194"/>
      <c r="H1761" s="220"/>
      <c r="I1761" s="169">
        <v>110167</v>
      </c>
      <c r="J1761" s="304" t="str">
        <f>CONCATENATE([2]Cover!$D$6,"fdd/view?i=",I1761)</f>
        <v>https://www.dgiwg.org/FAD/fdd/view?i=110167</v>
      </c>
      <c r="K1761" s="304" t="s">
        <v>35810</v>
      </c>
      <c r="L1761" s="181">
        <v>12</v>
      </c>
      <c r="M1761" s="179" t="s">
        <v>151</v>
      </c>
    </row>
    <row r="1762" spans="1:13" ht="25.5">
      <c r="A1762" s="313" t="str">
        <f t="shared" si="27"/>
        <v>BathyMeasureTechniqueCode_areaSweptbySideScanSonar</v>
      </c>
      <c r="B1762" s="332" t="str">
        <f>HYPERLINK("[#]Datatypes!A216:L216","BathyMeasureTechniqueCode")</f>
        <v>BathyMeasureTechniqueCode</v>
      </c>
      <c r="C1762" s="333" t="s">
        <v>11657</v>
      </c>
      <c r="D1762" s="202" t="s">
        <v>17855</v>
      </c>
      <c r="E1762" s="203" t="s">
        <v>17856</v>
      </c>
      <c r="F1762" s="204" t="s">
        <v>17857</v>
      </c>
      <c r="G1762" s="205"/>
      <c r="H1762" s="218"/>
      <c r="I1762" s="169">
        <v>108435</v>
      </c>
      <c r="J1762" s="304" t="str">
        <f>CONCATENATE([2]Cover!$D$6,"fdd/view?i=",I1762)</f>
        <v>https://www.dgiwg.org/FAD/fdd/view?i=108435</v>
      </c>
      <c r="K1762" s="304" t="s">
        <v>35811</v>
      </c>
      <c r="L1762" s="202">
        <v>14</v>
      </c>
      <c r="M1762" s="179" t="s">
        <v>151</v>
      </c>
    </row>
    <row r="1763" spans="1:13" ht="38.25">
      <c r="A1763" s="313" t="str">
        <f t="shared" si="27"/>
        <v>BathyMeasureTechniqueCode_areaSweptVertAcousticSys</v>
      </c>
      <c r="B1763" s="330"/>
      <c r="C1763" s="334"/>
      <c r="D1763" s="188" t="s">
        <v>17858</v>
      </c>
      <c r="E1763" s="189" t="s">
        <v>17859</v>
      </c>
      <c r="F1763" s="162" t="s">
        <v>17860</v>
      </c>
      <c r="G1763" s="190"/>
      <c r="H1763" s="219"/>
      <c r="I1763" s="169">
        <v>108429</v>
      </c>
      <c r="J1763" s="304" t="str">
        <f>CONCATENATE([2]Cover!$D$6,"fdd/view?i=",I1763)</f>
        <v>https://www.dgiwg.org/FAD/fdd/view?i=108429</v>
      </c>
      <c r="K1763" s="304" t="s">
        <v>35812</v>
      </c>
      <c r="L1763" s="188">
        <v>8</v>
      </c>
      <c r="M1763" s="179" t="s">
        <v>151</v>
      </c>
    </row>
    <row r="1764" spans="1:13" ht="38.25">
      <c r="A1764" s="313" t="str">
        <f t="shared" si="27"/>
        <v>BathyMeasureTechniqueCode_areaSweptWireDrag</v>
      </c>
      <c r="B1764" s="330"/>
      <c r="C1764" s="334"/>
      <c r="D1764" s="188" t="s">
        <v>17861</v>
      </c>
      <c r="E1764" s="189" t="s">
        <v>17862</v>
      </c>
      <c r="F1764" s="162" t="s">
        <v>17863</v>
      </c>
      <c r="G1764" s="190"/>
      <c r="H1764" s="219"/>
      <c r="I1764" s="169">
        <v>108427</v>
      </c>
      <c r="J1764" s="304" t="str">
        <f>CONCATENATE([2]Cover!$D$6,"fdd/view?i=",I1764)</f>
        <v>https://www.dgiwg.org/FAD/fdd/view?i=108427</v>
      </c>
      <c r="K1764" s="304" t="s">
        <v>35813</v>
      </c>
      <c r="L1764" s="188">
        <v>6</v>
      </c>
      <c r="M1764" s="179" t="s">
        <v>151</v>
      </c>
    </row>
    <row r="1765" spans="1:13" ht="38.25">
      <c r="A1765" s="313" t="str">
        <f t="shared" si="27"/>
        <v>BathyMeasureTechniqueCode_bathymetricLidar</v>
      </c>
      <c r="B1765" s="330"/>
      <c r="C1765" s="334"/>
      <c r="D1765" s="188" t="s">
        <v>17864</v>
      </c>
      <c r="E1765" s="189" t="s">
        <v>17865</v>
      </c>
      <c r="F1765" s="162" t="s">
        <v>17866</v>
      </c>
      <c r="G1765" s="162" t="s">
        <v>17867</v>
      </c>
      <c r="H1765" s="219"/>
      <c r="I1765" s="169">
        <v>108436</v>
      </c>
      <c r="J1765" s="304" t="str">
        <f>CONCATENATE([2]Cover!$D$6,"fdd/view?i=",I1765)</f>
        <v>https://www.dgiwg.org/FAD/fdd/view?i=108436</v>
      </c>
      <c r="K1765" s="304" t="s">
        <v>35814</v>
      </c>
      <c r="L1765" s="188">
        <v>15</v>
      </c>
      <c r="M1765" s="179" t="s">
        <v>151</v>
      </c>
    </row>
    <row r="1766" spans="1:13" ht="25.5">
      <c r="A1766" s="313" t="str">
        <f t="shared" si="27"/>
        <v>BathyMeasureTechniqueCode_computerGenerated</v>
      </c>
      <c r="B1766" s="330"/>
      <c r="C1766" s="334"/>
      <c r="D1766" s="188" t="s">
        <v>17868</v>
      </c>
      <c r="E1766" s="189" t="s">
        <v>17869</v>
      </c>
      <c r="F1766" s="162" t="s">
        <v>17870</v>
      </c>
      <c r="G1766" s="190"/>
      <c r="H1766" s="219"/>
      <c r="I1766" s="169">
        <v>108434</v>
      </c>
      <c r="J1766" s="304" t="str">
        <f>CONCATENATE([2]Cover!$D$6,"fdd/view?i=",I1766)</f>
        <v>https://www.dgiwg.org/FAD/fdd/view?i=108434</v>
      </c>
      <c r="K1766" s="304" t="s">
        <v>35815</v>
      </c>
      <c r="L1766" s="188">
        <v>13</v>
      </c>
      <c r="M1766" s="179" t="s">
        <v>151</v>
      </c>
    </row>
    <row r="1767" spans="1:13" ht="25.5">
      <c r="A1767" s="313" t="str">
        <f t="shared" si="27"/>
        <v>BathyMeasureTechniqueCode_diver</v>
      </c>
      <c r="B1767" s="330"/>
      <c r="C1767" s="334"/>
      <c r="D1767" s="188" t="s">
        <v>17871</v>
      </c>
      <c r="E1767" s="189" t="s">
        <v>17872</v>
      </c>
      <c r="F1767" s="162" t="s">
        <v>17873</v>
      </c>
      <c r="G1767" s="190"/>
      <c r="H1767" s="219"/>
      <c r="I1767" s="169">
        <v>108425</v>
      </c>
      <c r="J1767" s="304" t="str">
        <f>CONCATENATE([2]Cover!$D$6,"fdd/view?i=",I1767)</f>
        <v>https://www.dgiwg.org/FAD/fdd/view?i=108425</v>
      </c>
      <c r="K1767" s="304" t="s">
        <v>35816</v>
      </c>
      <c r="L1767" s="188">
        <v>4</v>
      </c>
      <c r="M1767" s="179" t="s">
        <v>151</v>
      </c>
    </row>
    <row r="1768" spans="1:13" ht="38.25">
      <c r="A1768" s="313" t="str">
        <f t="shared" si="27"/>
        <v>BathyMeasureTechniqueCode_echoSounder</v>
      </c>
      <c r="B1768" s="330"/>
      <c r="C1768" s="334"/>
      <c r="D1768" s="188" t="s">
        <v>17874</v>
      </c>
      <c r="E1768" s="189" t="s">
        <v>17875</v>
      </c>
      <c r="F1768" s="162" t="s">
        <v>17876</v>
      </c>
      <c r="G1768" s="162" t="s">
        <v>17877</v>
      </c>
      <c r="H1768" s="221" t="s">
        <v>17878</v>
      </c>
      <c r="I1768" s="169">
        <v>108422</v>
      </c>
      <c r="J1768" s="304" t="str">
        <f>CONCATENATE([2]Cover!$D$6,"fdd/view?i=",I1768)</f>
        <v>https://www.dgiwg.org/FAD/fdd/view?i=108422</v>
      </c>
      <c r="K1768" s="304" t="s">
        <v>35817</v>
      </c>
      <c r="L1768" s="188">
        <v>1</v>
      </c>
      <c r="M1768" s="179" t="s">
        <v>151</v>
      </c>
    </row>
    <row r="1769" spans="1:13" ht="25.5">
      <c r="A1769" s="313" t="str">
        <f t="shared" si="27"/>
        <v>BathyMeasureTechniqueCode_electromagneticSensor</v>
      </c>
      <c r="B1769" s="330"/>
      <c r="C1769" s="334"/>
      <c r="D1769" s="188" t="s">
        <v>17879</v>
      </c>
      <c r="E1769" s="189" t="s">
        <v>17880</v>
      </c>
      <c r="F1769" s="162" t="s">
        <v>17881</v>
      </c>
      <c r="G1769" s="162" t="s">
        <v>17882</v>
      </c>
      <c r="H1769" s="219"/>
      <c r="I1769" s="169">
        <v>108430</v>
      </c>
      <c r="J1769" s="304" t="str">
        <f>CONCATENATE([2]Cover!$D$6,"fdd/view?i=",I1769)</f>
        <v>https://www.dgiwg.org/FAD/fdd/view?i=108430</v>
      </c>
      <c r="K1769" s="304" t="s">
        <v>35818</v>
      </c>
      <c r="L1769" s="188">
        <v>9</v>
      </c>
      <c r="M1769" s="179" t="s">
        <v>151</v>
      </c>
    </row>
    <row r="1770" spans="1:13" ht="25.5">
      <c r="A1770" s="313" t="str">
        <f t="shared" si="27"/>
        <v>BathyMeasureTechniqueCode_leadLine</v>
      </c>
      <c r="B1770" s="330"/>
      <c r="C1770" s="334"/>
      <c r="D1770" s="188" t="s">
        <v>17883</v>
      </c>
      <c r="E1770" s="189" t="s">
        <v>17884</v>
      </c>
      <c r="F1770" s="162" t="s">
        <v>17885</v>
      </c>
      <c r="G1770" s="190"/>
      <c r="H1770" s="219"/>
      <c r="I1770" s="169">
        <v>108426</v>
      </c>
      <c r="J1770" s="304" t="str">
        <f>CONCATENATE([2]Cover!$D$6,"fdd/view?i=",I1770)</f>
        <v>https://www.dgiwg.org/FAD/fdd/view?i=108426</v>
      </c>
      <c r="K1770" s="304" t="s">
        <v>35819</v>
      </c>
      <c r="L1770" s="188">
        <v>5</v>
      </c>
      <c r="M1770" s="179" t="s">
        <v>151</v>
      </c>
    </row>
    <row r="1771" spans="1:13" ht="25.5">
      <c r="A1771" s="313" t="str">
        <f t="shared" si="27"/>
        <v>BathyMeasureTechniqueCode_levelling</v>
      </c>
      <c r="B1771" s="330"/>
      <c r="C1771" s="334"/>
      <c r="D1771" s="188" t="s">
        <v>17886</v>
      </c>
      <c r="E1771" s="189" t="s">
        <v>17887</v>
      </c>
      <c r="F1771" s="162" t="s">
        <v>17888</v>
      </c>
      <c r="G1771" s="190"/>
      <c r="H1771" s="219"/>
      <c r="I1771" s="169">
        <v>108433</v>
      </c>
      <c r="J1771" s="304" t="str">
        <f>CONCATENATE([2]Cover!$D$6,"fdd/view?i=",I1771)</f>
        <v>https://www.dgiwg.org/FAD/fdd/view?i=108433</v>
      </c>
      <c r="K1771" s="304" t="s">
        <v>35820</v>
      </c>
      <c r="L1771" s="188">
        <v>12</v>
      </c>
      <c r="M1771" s="179" t="s">
        <v>151</v>
      </c>
    </row>
    <row r="1772" spans="1:13" ht="38.25">
      <c r="A1772" s="313" t="str">
        <f t="shared" si="27"/>
        <v>BathyMeasureTechniqueCode_multiBeamEchoSounder</v>
      </c>
      <c r="B1772" s="330"/>
      <c r="C1772" s="334"/>
      <c r="D1772" s="188" t="s">
        <v>17889</v>
      </c>
      <c r="E1772" s="189" t="s">
        <v>17890</v>
      </c>
      <c r="F1772" s="162" t="s">
        <v>17891</v>
      </c>
      <c r="G1772" s="190"/>
      <c r="H1772" s="219"/>
      <c r="I1772" s="169">
        <v>108424</v>
      </c>
      <c r="J1772" s="304" t="str">
        <f>CONCATENATE([2]Cover!$D$6,"fdd/view?i=",I1772)</f>
        <v>https://www.dgiwg.org/FAD/fdd/view?i=108424</v>
      </c>
      <c r="K1772" s="304" t="s">
        <v>35821</v>
      </c>
      <c r="L1772" s="188">
        <v>3</v>
      </c>
      <c r="M1772" s="179" t="s">
        <v>151</v>
      </c>
    </row>
    <row r="1773" spans="1:13" ht="25.5">
      <c r="A1773" s="313" t="str">
        <f t="shared" si="27"/>
        <v>BathyMeasureTechniqueCode_photogrammetry</v>
      </c>
      <c r="B1773" s="330"/>
      <c r="C1773" s="334"/>
      <c r="D1773" s="188" t="s">
        <v>17892</v>
      </c>
      <c r="E1773" s="189" t="s">
        <v>17893</v>
      </c>
      <c r="F1773" s="162" t="s">
        <v>17894</v>
      </c>
      <c r="G1773" s="190"/>
      <c r="H1773" s="219"/>
      <c r="I1773" s="169">
        <v>108431</v>
      </c>
      <c r="J1773" s="304" t="str">
        <f>CONCATENATE([2]Cover!$D$6,"fdd/view?i=",I1773)</f>
        <v>https://www.dgiwg.org/FAD/fdd/view?i=108431</v>
      </c>
      <c r="K1773" s="304" t="s">
        <v>35822</v>
      </c>
      <c r="L1773" s="188">
        <v>10</v>
      </c>
      <c r="M1773" s="179" t="s">
        <v>151</v>
      </c>
    </row>
    <row r="1774" spans="1:13" ht="25.5">
      <c r="A1774" s="313" t="str">
        <f t="shared" si="27"/>
        <v>BathyMeasureTechniqueCode_satelliteImagery</v>
      </c>
      <c r="B1774" s="330"/>
      <c r="C1774" s="334"/>
      <c r="D1774" s="188" t="s">
        <v>17895</v>
      </c>
      <c r="E1774" s="189" t="s">
        <v>17896</v>
      </c>
      <c r="F1774" s="162" t="s">
        <v>17897</v>
      </c>
      <c r="G1774" s="190"/>
      <c r="H1774" s="219"/>
      <c r="I1774" s="169">
        <v>108432</v>
      </c>
      <c r="J1774" s="304" t="str">
        <f>CONCATENATE([2]Cover!$D$6,"fdd/view?i=",I1774)</f>
        <v>https://www.dgiwg.org/FAD/fdd/view?i=108432</v>
      </c>
      <c r="K1774" s="304" t="s">
        <v>35823</v>
      </c>
      <c r="L1774" s="188">
        <v>11</v>
      </c>
      <c r="M1774" s="179" t="s">
        <v>151</v>
      </c>
    </row>
    <row r="1775" spans="1:13" ht="51">
      <c r="A1775" s="313" t="str">
        <f t="shared" si="27"/>
        <v>BathyMeasureTechniqueCode_sideScanSonar</v>
      </c>
      <c r="B1775" s="330"/>
      <c r="C1775" s="334"/>
      <c r="D1775" s="188" t="s">
        <v>17898</v>
      </c>
      <c r="E1775" s="189" t="s">
        <v>17899</v>
      </c>
      <c r="F1775" s="162" t="s">
        <v>17900</v>
      </c>
      <c r="G1775" s="190"/>
      <c r="H1775" s="219"/>
      <c r="I1775" s="169">
        <v>108423</v>
      </c>
      <c r="J1775" s="304" t="str">
        <f>CONCATENATE([2]Cover!$D$6,"fdd/view?i=",I1775)</f>
        <v>https://www.dgiwg.org/FAD/fdd/view?i=108423</v>
      </c>
      <c r="K1775" s="304" t="s">
        <v>35824</v>
      </c>
      <c r="L1775" s="188">
        <v>2</v>
      </c>
      <c r="M1775" s="179" t="s">
        <v>151</v>
      </c>
    </row>
    <row r="1776" spans="1:13" ht="25.5">
      <c r="A1776" s="313" t="str">
        <f t="shared" si="27"/>
        <v>BathyMeasureTechniqueCode_singlebeam</v>
      </c>
      <c r="B1776" s="330"/>
      <c r="C1776" s="334"/>
      <c r="D1776" s="188" t="s">
        <v>17901</v>
      </c>
      <c r="E1776" s="189" t="s">
        <v>17902</v>
      </c>
      <c r="F1776" s="162" t="s">
        <v>17903</v>
      </c>
      <c r="G1776" s="190"/>
      <c r="H1776" s="219"/>
      <c r="I1776" s="169">
        <v>108438</v>
      </c>
      <c r="J1776" s="304" t="str">
        <f>CONCATENATE([2]Cover!$D$6,"fdd/view?i=",I1776)</f>
        <v>https://www.dgiwg.org/FAD/fdd/view?i=108438</v>
      </c>
      <c r="K1776" s="304" t="s">
        <v>35825</v>
      </c>
      <c r="L1776" s="188">
        <v>17</v>
      </c>
      <c r="M1776" s="179" t="s">
        <v>151</v>
      </c>
    </row>
    <row r="1777" spans="1:13" ht="25.5">
      <c r="A1777" s="313" t="str">
        <f t="shared" si="27"/>
        <v>BathyMeasureTechniqueCode_underwaterUtilityVehicle</v>
      </c>
      <c r="B1777" s="331"/>
      <c r="C1777" s="335"/>
      <c r="D1777" s="181" t="s">
        <v>17904</v>
      </c>
      <c r="E1777" s="192" t="s">
        <v>17905</v>
      </c>
      <c r="F1777" s="193" t="s">
        <v>17906</v>
      </c>
      <c r="G1777" s="194"/>
      <c r="H1777" s="220"/>
      <c r="I1777" s="169">
        <v>110552</v>
      </c>
      <c r="J1777" s="304" t="str">
        <f>CONCATENATE([2]Cover!$D$6,"fdd/view?i=",I1777)</f>
        <v>https://www.dgiwg.org/FAD/fdd/view?i=110552</v>
      </c>
      <c r="K1777" s="304" t="s">
        <v>35826</v>
      </c>
      <c r="L1777" s="181">
        <v>18</v>
      </c>
      <c r="M1777" s="179" t="s">
        <v>151</v>
      </c>
    </row>
    <row r="1778" spans="1:13">
      <c r="A1778" s="313" t="str">
        <f t="shared" si="27"/>
        <v>BeachConfigurationCode_concave</v>
      </c>
      <c r="B1778" s="332" t="str">
        <f>HYPERLINK("[#]Datatypes!A218:L218","BeachConfigurationCode")</f>
        <v>BeachConfigurationCode</v>
      </c>
      <c r="C1778" s="333" t="s">
        <v>11659</v>
      </c>
      <c r="D1778" s="202" t="s">
        <v>17907</v>
      </c>
      <c r="E1778" s="203" t="s">
        <v>17908</v>
      </c>
      <c r="F1778" s="204" t="s">
        <v>17909</v>
      </c>
      <c r="G1778" s="205"/>
      <c r="H1778" s="218"/>
      <c r="I1778" s="169">
        <v>119260</v>
      </c>
      <c r="J1778" s="304" t="str">
        <f>CONCATENATE([2]Cover!$D$6,"fdd/view?i=",I1778)</f>
        <v>https://www.dgiwg.org/FAD/fdd/view?i=119260</v>
      </c>
      <c r="K1778" s="304" t="s">
        <v>35827</v>
      </c>
      <c r="L1778" s="202">
        <v>1</v>
      </c>
      <c r="M1778" s="179" t="s">
        <v>151</v>
      </c>
    </row>
    <row r="1779" spans="1:13">
      <c r="A1779" s="313" t="str">
        <f t="shared" si="27"/>
        <v>BeachConfigurationCode_convex</v>
      </c>
      <c r="B1779" s="330"/>
      <c r="C1779" s="334"/>
      <c r="D1779" s="188" t="s">
        <v>17910</v>
      </c>
      <c r="E1779" s="189" t="s">
        <v>17911</v>
      </c>
      <c r="F1779" s="162" t="s">
        <v>17912</v>
      </c>
      <c r="G1779" s="190"/>
      <c r="H1779" s="219"/>
      <c r="I1779" s="169">
        <v>119261</v>
      </c>
      <c r="J1779" s="304" t="str">
        <f>CONCATENATE([2]Cover!$D$6,"fdd/view?i=",I1779)</f>
        <v>https://www.dgiwg.org/FAD/fdd/view?i=119261</v>
      </c>
      <c r="K1779" s="304" t="s">
        <v>35828</v>
      </c>
      <c r="L1779" s="188">
        <v>2</v>
      </c>
      <c r="M1779" s="179" t="s">
        <v>151</v>
      </c>
    </row>
    <row r="1780" spans="1:13">
      <c r="A1780" s="313" t="str">
        <f t="shared" si="27"/>
        <v>BeachConfigurationCode_irregular</v>
      </c>
      <c r="B1780" s="330"/>
      <c r="C1780" s="334"/>
      <c r="D1780" s="188" t="s">
        <v>15417</v>
      </c>
      <c r="E1780" s="189" t="s">
        <v>15418</v>
      </c>
      <c r="F1780" s="162" t="s">
        <v>17913</v>
      </c>
      <c r="G1780" s="190"/>
      <c r="H1780" s="219"/>
      <c r="I1780" s="169">
        <v>119262</v>
      </c>
      <c r="J1780" s="304" t="str">
        <f>CONCATENATE([2]Cover!$D$6,"fdd/view?i=",I1780)</f>
        <v>https://www.dgiwg.org/FAD/fdd/view?i=119262</v>
      </c>
      <c r="K1780" s="304" t="s">
        <v>35829</v>
      </c>
      <c r="L1780" s="188">
        <v>3</v>
      </c>
      <c r="M1780" s="179" t="s">
        <v>151</v>
      </c>
    </row>
    <row r="1781" spans="1:13">
      <c r="A1781" s="313" t="str">
        <f t="shared" si="27"/>
        <v>BeachConfigurationCode_straight</v>
      </c>
      <c r="B1781" s="331"/>
      <c r="C1781" s="335"/>
      <c r="D1781" s="181" t="s">
        <v>17914</v>
      </c>
      <c r="E1781" s="192" t="s">
        <v>17915</v>
      </c>
      <c r="F1781" s="193" t="s">
        <v>17916</v>
      </c>
      <c r="G1781" s="194"/>
      <c r="H1781" s="220"/>
      <c r="I1781" s="169">
        <v>119263</v>
      </c>
      <c r="J1781" s="304" t="str">
        <f>CONCATENATE([2]Cover!$D$6,"fdd/view?i=",I1781)</f>
        <v>https://www.dgiwg.org/FAD/fdd/view?i=119263</v>
      </c>
      <c r="K1781" s="304" t="s">
        <v>35830</v>
      </c>
      <c r="L1781" s="181">
        <v>4</v>
      </c>
      <c r="M1781" s="179" t="s">
        <v>151</v>
      </c>
    </row>
    <row r="1782" spans="1:13">
      <c r="A1782" s="313" t="str">
        <f t="shared" si="27"/>
        <v>BeachTypeCode_beachLandingSite</v>
      </c>
      <c r="B1782" s="196" t="str">
        <f>HYPERLINK("[#]Datatypes!A220:L220","BeachTypeCode")</f>
        <v>BeachTypeCode</v>
      </c>
      <c r="C1782" s="197" t="s">
        <v>11661</v>
      </c>
      <c r="D1782" s="213" t="s">
        <v>17917</v>
      </c>
      <c r="E1782" s="214" t="s">
        <v>1656</v>
      </c>
      <c r="F1782" s="215" t="s">
        <v>1657</v>
      </c>
      <c r="G1782" s="216"/>
      <c r="H1782" s="224"/>
      <c r="I1782" s="169">
        <v>204262</v>
      </c>
      <c r="J1782" s="304" t="str">
        <f>CONCATENATE([2]Cover!$D$6,"fdd/view?i=",I1782)</f>
        <v>https://www.dgiwg.org/FAD/fdd/view?i=204262</v>
      </c>
      <c r="K1782" s="304" t="s">
        <v>35831</v>
      </c>
      <c r="L1782" s="213">
        <v>1</v>
      </c>
      <c r="M1782" s="179" t="s">
        <v>1295</v>
      </c>
    </row>
    <row r="1783" spans="1:13">
      <c r="A1783" s="313" t="str">
        <f t="shared" si="27"/>
        <v>BgnAdminLevelCode_firstOrder</v>
      </c>
      <c r="B1783" s="332" t="str">
        <f>HYPERLINK("[#]Datatypes!A224:L224","BgnAdminLevelCode")</f>
        <v>BgnAdminLevelCode</v>
      </c>
      <c r="C1783" s="333" t="s">
        <v>11666</v>
      </c>
      <c r="D1783" s="202" t="s">
        <v>17918</v>
      </c>
      <c r="E1783" s="203" t="s">
        <v>17919</v>
      </c>
      <c r="F1783" s="204" t="s">
        <v>17920</v>
      </c>
      <c r="G1783" s="204" t="s">
        <v>17921</v>
      </c>
      <c r="H1783" s="218"/>
      <c r="I1783" s="169">
        <v>202883</v>
      </c>
      <c r="J1783" s="304" t="str">
        <f>CONCATENATE([2]Cover!$D$6,"fdd/view?i=",I1783)</f>
        <v>https://www.dgiwg.org/FAD/fdd/view?i=202883</v>
      </c>
      <c r="K1783" s="304" t="s">
        <v>35832</v>
      </c>
      <c r="L1783" s="202">
        <v>1</v>
      </c>
      <c r="M1783" s="179" t="s">
        <v>1295</v>
      </c>
    </row>
    <row r="1784" spans="1:13">
      <c r="A1784" s="313" t="str">
        <f t="shared" si="27"/>
        <v>BgnAdminLevelCode_fourthOrder</v>
      </c>
      <c r="B1784" s="330"/>
      <c r="C1784" s="334"/>
      <c r="D1784" s="188" t="s">
        <v>17922</v>
      </c>
      <c r="E1784" s="189" t="s">
        <v>17923</v>
      </c>
      <c r="F1784" s="162" t="s">
        <v>17924</v>
      </c>
      <c r="G1784" s="190"/>
      <c r="H1784" s="219"/>
      <c r="I1784" s="169">
        <v>202886</v>
      </c>
      <c r="J1784" s="304" t="str">
        <f>CONCATENATE([2]Cover!$D$6,"fdd/view?i=",I1784)</f>
        <v>https://www.dgiwg.org/FAD/fdd/view?i=202886</v>
      </c>
      <c r="K1784" s="304" t="s">
        <v>35833</v>
      </c>
      <c r="L1784" s="188">
        <v>4</v>
      </c>
      <c r="M1784" s="179" t="s">
        <v>1295</v>
      </c>
    </row>
    <row r="1785" spans="1:13">
      <c r="A1785" s="313" t="str">
        <f t="shared" si="27"/>
        <v>BgnAdminLevelCode_secondOrder</v>
      </c>
      <c r="B1785" s="330"/>
      <c r="C1785" s="334"/>
      <c r="D1785" s="188" t="s">
        <v>17925</v>
      </c>
      <c r="E1785" s="189" t="s">
        <v>17926</v>
      </c>
      <c r="F1785" s="162" t="s">
        <v>17927</v>
      </c>
      <c r="G1785" s="162" t="s">
        <v>17928</v>
      </c>
      <c r="H1785" s="219"/>
      <c r="I1785" s="169">
        <v>202884</v>
      </c>
      <c r="J1785" s="304" t="str">
        <f>CONCATENATE([2]Cover!$D$6,"fdd/view?i=",I1785)</f>
        <v>https://www.dgiwg.org/FAD/fdd/view?i=202884</v>
      </c>
      <c r="K1785" s="304" t="s">
        <v>35834</v>
      </c>
      <c r="L1785" s="188">
        <v>2</v>
      </c>
      <c r="M1785" s="179" t="s">
        <v>1295</v>
      </c>
    </row>
    <row r="1786" spans="1:13">
      <c r="A1786" s="313" t="str">
        <f t="shared" si="27"/>
        <v>BgnAdminLevelCode_thirdOrder</v>
      </c>
      <c r="B1786" s="330"/>
      <c r="C1786" s="334"/>
      <c r="D1786" s="188" t="s">
        <v>17929</v>
      </c>
      <c r="E1786" s="189" t="s">
        <v>17930</v>
      </c>
      <c r="F1786" s="162" t="s">
        <v>17931</v>
      </c>
      <c r="G1786" s="190"/>
      <c r="H1786" s="219"/>
      <c r="I1786" s="169">
        <v>202885</v>
      </c>
      <c r="J1786" s="304" t="str">
        <f>CONCATENATE([2]Cover!$D$6,"fdd/view?i=",I1786)</f>
        <v>https://www.dgiwg.org/FAD/fdd/view?i=202885</v>
      </c>
      <c r="K1786" s="304" t="s">
        <v>35835</v>
      </c>
      <c r="L1786" s="188">
        <v>3</v>
      </c>
      <c r="M1786" s="179" t="s">
        <v>1295</v>
      </c>
    </row>
    <row r="1787" spans="1:13" ht="25.5">
      <c r="A1787" s="313" t="str">
        <f t="shared" si="27"/>
        <v>BgnAdminLevelCode_undifferentiated</v>
      </c>
      <c r="B1787" s="331"/>
      <c r="C1787" s="335"/>
      <c r="D1787" s="181" t="s">
        <v>17932</v>
      </c>
      <c r="E1787" s="192" t="s">
        <v>17933</v>
      </c>
      <c r="F1787" s="193" t="s">
        <v>17934</v>
      </c>
      <c r="G1787" s="194"/>
      <c r="H1787" s="220"/>
      <c r="I1787" s="169">
        <v>202887</v>
      </c>
      <c r="J1787" s="304" t="str">
        <f>CONCATENATE([2]Cover!$D$6,"fdd/view?i=",I1787)</f>
        <v>https://www.dgiwg.org/FAD/fdd/view?i=202887</v>
      </c>
      <c r="K1787" s="304" t="s">
        <v>35836</v>
      </c>
      <c r="L1787" s="181">
        <v>5</v>
      </c>
      <c r="M1787" s="179" t="s">
        <v>1295</v>
      </c>
    </row>
    <row r="1788" spans="1:13" ht="38.25">
      <c r="A1788" s="313" t="str">
        <f t="shared" si="27"/>
        <v>BogTypeCode_atlanticPlateauBog</v>
      </c>
      <c r="B1788" s="332" t="str">
        <f>HYPERLINK("[#]Datatypes!A226:L226","BogTypeCode")</f>
        <v>BogTypeCode</v>
      </c>
      <c r="C1788" s="333" t="s">
        <v>11668</v>
      </c>
      <c r="D1788" s="202" t="s">
        <v>17935</v>
      </c>
      <c r="E1788" s="203" t="s">
        <v>17936</v>
      </c>
      <c r="F1788" s="204" t="s">
        <v>17937</v>
      </c>
      <c r="G1788" s="204" t="s">
        <v>17938</v>
      </c>
      <c r="H1788" s="218"/>
      <c r="I1788" s="169">
        <v>110063</v>
      </c>
      <c r="J1788" s="304" t="str">
        <f>CONCATENATE([2]Cover!$D$6,"fdd/view?i=",I1788)</f>
        <v>https://www.dgiwg.org/FAD/fdd/view?i=110063</v>
      </c>
      <c r="K1788" s="304" t="s">
        <v>35837</v>
      </c>
      <c r="L1788" s="202">
        <v>3</v>
      </c>
      <c r="M1788" s="179" t="s">
        <v>151</v>
      </c>
    </row>
    <row r="1789" spans="1:13" ht="38.25">
      <c r="A1789" s="313" t="str">
        <f t="shared" si="27"/>
        <v>BogTypeCode_basinBog</v>
      </c>
      <c r="B1789" s="330"/>
      <c r="C1789" s="334"/>
      <c r="D1789" s="188" t="s">
        <v>17939</v>
      </c>
      <c r="E1789" s="189" t="s">
        <v>17940</v>
      </c>
      <c r="F1789" s="162" t="s">
        <v>17941</v>
      </c>
      <c r="G1789" s="162" t="s">
        <v>17942</v>
      </c>
      <c r="H1789" s="219"/>
      <c r="I1789" s="169">
        <v>110064</v>
      </c>
      <c r="J1789" s="304" t="str">
        <f>CONCATENATE([2]Cover!$D$6,"fdd/view?i=",I1789)</f>
        <v>https://www.dgiwg.org/FAD/fdd/view?i=110064</v>
      </c>
      <c r="K1789" s="304" t="s">
        <v>35838</v>
      </c>
      <c r="L1789" s="188">
        <v>4</v>
      </c>
      <c r="M1789" s="179" t="s">
        <v>151</v>
      </c>
    </row>
    <row r="1790" spans="1:13" ht="25.5">
      <c r="A1790" s="313" t="str">
        <f t="shared" si="27"/>
        <v>BogTypeCode_blanketBog</v>
      </c>
      <c r="B1790" s="330"/>
      <c r="C1790" s="334"/>
      <c r="D1790" s="188" t="s">
        <v>17943</v>
      </c>
      <c r="E1790" s="189" t="s">
        <v>17944</v>
      </c>
      <c r="F1790" s="162" t="s">
        <v>17945</v>
      </c>
      <c r="G1790" s="162" t="s">
        <v>17946</v>
      </c>
      <c r="H1790" s="219"/>
      <c r="I1790" s="169">
        <v>110065</v>
      </c>
      <c r="J1790" s="304" t="str">
        <f>CONCATENATE([2]Cover!$D$6,"fdd/view?i=",I1790)</f>
        <v>https://www.dgiwg.org/FAD/fdd/view?i=110065</v>
      </c>
      <c r="K1790" s="304" t="s">
        <v>35839</v>
      </c>
      <c r="L1790" s="188">
        <v>6</v>
      </c>
      <c r="M1790" s="179" t="s">
        <v>151</v>
      </c>
    </row>
    <row r="1791" spans="1:13" ht="102">
      <c r="A1791" s="313" t="str">
        <f t="shared" si="27"/>
        <v>BogTypeCode_cranberryBog</v>
      </c>
      <c r="B1791" s="330"/>
      <c r="C1791" s="334"/>
      <c r="D1791" s="188" t="s">
        <v>17947</v>
      </c>
      <c r="E1791" s="189" t="s">
        <v>17948</v>
      </c>
      <c r="F1791" s="162" t="s">
        <v>17949</v>
      </c>
      <c r="G1791" s="162" t="s">
        <v>17950</v>
      </c>
      <c r="H1791" s="219"/>
      <c r="I1791" s="169">
        <v>110066</v>
      </c>
      <c r="J1791" s="304" t="str">
        <f>CONCATENATE([2]Cover!$D$6,"fdd/view?i=",I1791)</f>
        <v>https://www.dgiwg.org/FAD/fdd/view?i=110066</v>
      </c>
      <c r="K1791" s="304" t="s">
        <v>35840</v>
      </c>
      <c r="L1791" s="188">
        <v>7</v>
      </c>
      <c r="M1791" s="179" t="s">
        <v>151</v>
      </c>
    </row>
    <row r="1792" spans="1:13" ht="76.5">
      <c r="A1792" s="313" t="str">
        <f t="shared" si="27"/>
        <v>BogTypeCode_domedBog</v>
      </c>
      <c r="B1792" s="330"/>
      <c r="C1792" s="334"/>
      <c r="D1792" s="188" t="s">
        <v>17951</v>
      </c>
      <c r="E1792" s="189" t="s">
        <v>17952</v>
      </c>
      <c r="F1792" s="162" t="s">
        <v>17953</v>
      </c>
      <c r="G1792" s="162" t="s">
        <v>17954</v>
      </c>
      <c r="H1792" s="219"/>
      <c r="I1792" s="169">
        <v>110067</v>
      </c>
      <c r="J1792" s="304" t="str">
        <f>CONCATENATE([2]Cover!$D$6,"fdd/view?i=",I1792)</f>
        <v>https://www.dgiwg.org/FAD/fdd/view?i=110067</v>
      </c>
      <c r="K1792" s="304" t="s">
        <v>35841</v>
      </c>
      <c r="L1792" s="188">
        <v>8</v>
      </c>
      <c r="M1792" s="179" t="s">
        <v>151</v>
      </c>
    </row>
    <row r="1793" spans="1:13" ht="38.25">
      <c r="A1793" s="313" t="str">
        <f t="shared" si="27"/>
        <v>BogTypeCode_fen</v>
      </c>
      <c r="B1793" s="330"/>
      <c r="C1793" s="334"/>
      <c r="D1793" s="188" t="s">
        <v>17955</v>
      </c>
      <c r="E1793" s="189" t="s">
        <v>17956</v>
      </c>
      <c r="F1793" s="162" t="s">
        <v>17957</v>
      </c>
      <c r="G1793" s="162" t="s">
        <v>17958</v>
      </c>
      <c r="H1793" s="219"/>
      <c r="I1793" s="169">
        <v>110068</v>
      </c>
      <c r="J1793" s="304" t="str">
        <f>CONCATENATE([2]Cover!$D$6,"fdd/view?i=",I1793)</f>
        <v>https://www.dgiwg.org/FAD/fdd/view?i=110068</v>
      </c>
      <c r="K1793" s="304" t="s">
        <v>35842</v>
      </c>
      <c r="L1793" s="188">
        <v>9</v>
      </c>
      <c r="M1793" s="179" t="s">
        <v>151</v>
      </c>
    </row>
    <row r="1794" spans="1:13" ht="25.5">
      <c r="A1794" s="313" t="str">
        <f t="shared" si="27"/>
        <v>BogTypeCode_flatBog</v>
      </c>
      <c r="B1794" s="330"/>
      <c r="C1794" s="334"/>
      <c r="D1794" s="188" t="s">
        <v>17959</v>
      </c>
      <c r="E1794" s="189" t="s">
        <v>17960</v>
      </c>
      <c r="F1794" s="162" t="s">
        <v>17961</v>
      </c>
      <c r="G1794" s="162" t="s">
        <v>17962</v>
      </c>
      <c r="H1794" s="219"/>
      <c r="I1794" s="169">
        <v>110069</v>
      </c>
      <c r="J1794" s="304" t="str">
        <f>CONCATENATE([2]Cover!$D$6,"fdd/view?i=",I1794)</f>
        <v>https://www.dgiwg.org/FAD/fdd/view?i=110069</v>
      </c>
      <c r="K1794" s="304" t="s">
        <v>35843</v>
      </c>
      <c r="L1794" s="188">
        <v>10</v>
      </c>
      <c r="M1794" s="179" t="s">
        <v>151</v>
      </c>
    </row>
    <row r="1795" spans="1:13" ht="25.5">
      <c r="A1795" s="313" t="str">
        <f t="shared" ref="A1795:A1858" si="28">HYPERLINK(J1795,K1795)</f>
        <v>BogTypeCode_horizontalFen</v>
      </c>
      <c r="B1795" s="330"/>
      <c r="C1795" s="334"/>
      <c r="D1795" s="188" t="s">
        <v>17963</v>
      </c>
      <c r="E1795" s="189" t="s">
        <v>17964</v>
      </c>
      <c r="F1795" s="162" t="s">
        <v>17965</v>
      </c>
      <c r="G1795" s="162" t="s">
        <v>17962</v>
      </c>
      <c r="H1795" s="219"/>
      <c r="I1795" s="169">
        <v>110070</v>
      </c>
      <c r="J1795" s="304" t="str">
        <f>CONCATENATE([2]Cover!$D$6,"fdd/view?i=",I1795)</f>
        <v>https://www.dgiwg.org/FAD/fdd/view?i=110070</v>
      </c>
      <c r="K1795" s="304" t="s">
        <v>35844</v>
      </c>
      <c r="L1795" s="188">
        <v>11</v>
      </c>
      <c r="M1795" s="179" t="s">
        <v>151</v>
      </c>
    </row>
    <row r="1796" spans="1:13" ht="38.25">
      <c r="A1796" s="313" t="str">
        <f t="shared" si="28"/>
        <v>BogTypeCode_lowlandPolygonBog</v>
      </c>
      <c r="B1796" s="330"/>
      <c r="C1796" s="334"/>
      <c r="D1796" s="188" t="s">
        <v>17966</v>
      </c>
      <c r="E1796" s="189" t="s">
        <v>17967</v>
      </c>
      <c r="F1796" s="162" t="s">
        <v>17968</v>
      </c>
      <c r="G1796" s="162" t="s">
        <v>17969</v>
      </c>
      <c r="H1796" s="219"/>
      <c r="I1796" s="169">
        <v>110071</v>
      </c>
      <c r="J1796" s="304" t="str">
        <f>CONCATENATE([2]Cover!$D$6,"fdd/view?i=",I1796)</f>
        <v>https://www.dgiwg.org/FAD/fdd/view?i=110071</v>
      </c>
      <c r="K1796" s="304" t="s">
        <v>35845</v>
      </c>
      <c r="L1796" s="188">
        <v>12</v>
      </c>
      <c r="M1796" s="179" t="s">
        <v>151</v>
      </c>
    </row>
    <row r="1797" spans="1:13" ht="38.25">
      <c r="A1797" s="313" t="str">
        <f t="shared" si="28"/>
        <v>BogTypeCode_northernRibbedFen</v>
      </c>
      <c r="B1797" s="330"/>
      <c r="C1797" s="334"/>
      <c r="D1797" s="188" t="s">
        <v>17970</v>
      </c>
      <c r="E1797" s="189" t="s">
        <v>17971</v>
      </c>
      <c r="F1797" s="162" t="s">
        <v>17972</v>
      </c>
      <c r="G1797" s="162" t="s">
        <v>17973</v>
      </c>
      <c r="H1797" s="219"/>
      <c r="I1797" s="169">
        <v>110072</v>
      </c>
      <c r="J1797" s="304" t="str">
        <f>CONCATENATE([2]Cover!$D$6,"fdd/view?i=",I1797)</f>
        <v>https://www.dgiwg.org/FAD/fdd/view?i=110072</v>
      </c>
      <c r="K1797" s="304" t="s">
        <v>35846</v>
      </c>
      <c r="L1797" s="188">
        <v>13</v>
      </c>
      <c r="M1797" s="179" t="s">
        <v>151</v>
      </c>
    </row>
    <row r="1798" spans="1:13" ht="38.25">
      <c r="A1798" s="313" t="str">
        <f t="shared" si="28"/>
        <v>BogTypeCode_palsaBog</v>
      </c>
      <c r="B1798" s="330"/>
      <c r="C1798" s="334"/>
      <c r="D1798" s="188" t="s">
        <v>17974</v>
      </c>
      <c r="E1798" s="189" t="s">
        <v>17975</v>
      </c>
      <c r="F1798" s="162" t="s">
        <v>17976</v>
      </c>
      <c r="G1798" s="162" t="s">
        <v>17977</v>
      </c>
      <c r="H1798" s="219"/>
      <c r="I1798" s="169">
        <v>102476</v>
      </c>
      <c r="J1798" s="304" t="str">
        <f>CONCATENATE([2]Cover!$D$6,"fdd/view?i=",I1798)</f>
        <v>https://www.dgiwg.org/FAD/fdd/view?i=102476</v>
      </c>
      <c r="K1798" s="304" t="s">
        <v>35847</v>
      </c>
      <c r="L1798" s="188">
        <v>1</v>
      </c>
      <c r="M1798" s="179" t="s">
        <v>151</v>
      </c>
    </row>
    <row r="1799" spans="1:13" ht="25.5">
      <c r="A1799" s="313" t="str">
        <f t="shared" si="28"/>
        <v>BogTypeCode_peatBog</v>
      </c>
      <c r="B1799" s="330"/>
      <c r="C1799" s="334"/>
      <c r="D1799" s="188" t="s">
        <v>17978</v>
      </c>
      <c r="E1799" s="189" t="s">
        <v>17979</v>
      </c>
      <c r="F1799" s="162" t="s">
        <v>17980</v>
      </c>
      <c r="G1799" s="190"/>
      <c r="H1799" s="219"/>
      <c r="I1799" s="169">
        <v>110073</v>
      </c>
      <c r="J1799" s="304" t="str">
        <f>CONCATENATE([2]Cover!$D$6,"fdd/view?i=",I1799)</f>
        <v>https://www.dgiwg.org/FAD/fdd/view?i=110073</v>
      </c>
      <c r="K1799" s="304" t="s">
        <v>35848</v>
      </c>
      <c r="L1799" s="188">
        <v>14</v>
      </c>
      <c r="M1799" s="179" t="s">
        <v>151</v>
      </c>
    </row>
    <row r="1800" spans="1:13" ht="51">
      <c r="A1800" s="313" t="str">
        <f t="shared" si="28"/>
        <v>BogTypeCode_peatPlateauBog</v>
      </c>
      <c r="B1800" s="330"/>
      <c r="C1800" s="334"/>
      <c r="D1800" s="188" t="s">
        <v>17981</v>
      </c>
      <c r="E1800" s="189" t="s">
        <v>17982</v>
      </c>
      <c r="F1800" s="162" t="s">
        <v>17983</v>
      </c>
      <c r="G1800" s="162" t="s">
        <v>17984</v>
      </c>
      <c r="H1800" s="219"/>
      <c r="I1800" s="169">
        <v>110074</v>
      </c>
      <c r="J1800" s="304" t="str">
        <f>CONCATENATE([2]Cover!$D$6,"fdd/view?i=",I1800)</f>
        <v>https://www.dgiwg.org/FAD/fdd/view?i=110074</v>
      </c>
      <c r="K1800" s="304" t="s">
        <v>35849</v>
      </c>
      <c r="L1800" s="188">
        <v>15</v>
      </c>
      <c r="M1800" s="179" t="s">
        <v>151</v>
      </c>
    </row>
    <row r="1801" spans="1:13" ht="38.25">
      <c r="A1801" s="313" t="str">
        <f t="shared" si="28"/>
        <v>BogTypeCode_polygonalPeatPlateauBog</v>
      </c>
      <c r="B1801" s="330"/>
      <c r="C1801" s="334"/>
      <c r="D1801" s="188" t="s">
        <v>17985</v>
      </c>
      <c r="E1801" s="189" t="s">
        <v>17986</v>
      </c>
      <c r="F1801" s="162" t="s">
        <v>17987</v>
      </c>
      <c r="G1801" s="162" t="s">
        <v>17988</v>
      </c>
      <c r="H1801" s="219"/>
      <c r="I1801" s="169">
        <v>110075</v>
      </c>
      <c r="J1801" s="304" t="str">
        <f>CONCATENATE([2]Cover!$D$6,"fdd/view?i=",I1801)</f>
        <v>https://www.dgiwg.org/FAD/fdd/view?i=110075</v>
      </c>
      <c r="K1801" s="304" t="s">
        <v>35850</v>
      </c>
      <c r="L1801" s="188">
        <v>16</v>
      </c>
      <c r="M1801" s="179" t="s">
        <v>151</v>
      </c>
    </row>
    <row r="1802" spans="1:13" ht="25.5">
      <c r="A1802" s="313" t="str">
        <f t="shared" si="28"/>
        <v>BogTypeCode_shoreFen</v>
      </c>
      <c r="B1802" s="330"/>
      <c r="C1802" s="334"/>
      <c r="D1802" s="188" t="s">
        <v>17989</v>
      </c>
      <c r="E1802" s="189" t="s">
        <v>17990</v>
      </c>
      <c r="F1802" s="162" t="s">
        <v>17991</v>
      </c>
      <c r="G1802" s="162" t="s">
        <v>17992</v>
      </c>
      <c r="H1802" s="219"/>
      <c r="I1802" s="169">
        <v>110076</v>
      </c>
      <c r="J1802" s="304" t="str">
        <f>CONCATENATE([2]Cover!$D$6,"fdd/view?i=",I1802)</f>
        <v>https://www.dgiwg.org/FAD/fdd/view?i=110076</v>
      </c>
      <c r="K1802" s="304" t="s">
        <v>35851</v>
      </c>
      <c r="L1802" s="188">
        <v>17</v>
      </c>
      <c r="M1802" s="179" t="s">
        <v>151</v>
      </c>
    </row>
    <row r="1803" spans="1:13" ht="38.25">
      <c r="A1803" s="313" t="str">
        <f t="shared" si="28"/>
        <v>BogTypeCode_slopeBog</v>
      </c>
      <c r="B1803" s="330"/>
      <c r="C1803" s="334"/>
      <c r="D1803" s="188" t="s">
        <v>17993</v>
      </c>
      <c r="E1803" s="189" t="s">
        <v>17994</v>
      </c>
      <c r="F1803" s="162" t="s">
        <v>17995</v>
      </c>
      <c r="G1803" s="162" t="s">
        <v>17996</v>
      </c>
      <c r="H1803" s="219"/>
      <c r="I1803" s="169">
        <v>110077</v>
      </c>
      <c r="J1803" s="304" t="str">
        <f>CONCATENATE([2]Cover!$D$6,"fdd/view?i=",I1803)</f>
        <v>https://www.dgiwg.org/FAD/fdd/view?i=110077</v>
      </c>
      <c r="K1803" s="304" t="s">
        <v>35852</v>
      </c>
      <c r="L1803" s="188">
        <v>18</v>
      </c>
      <c r="M1803" s="179" t="s">
        <v>151</v>
      </c>
    </row>
    <row r="1804" spans="1:13" ht="38.25">
      <c r="A1804" s="313" t="str">
        <f t="shared" si="28"/>
        <v>BogTypeCode_slopeFen</v>
      </c>
      <c r="B1804" s="330"/>
      <c r="C1804" s="334"/>
      <c r="D1804" s="188" t="s">
        <v>17997</v>
      </c>
      <c r="E1804" s="189" t="s">
        <v>17998</v>
      </c>
      <c r="F1804" s="162" t="s">
        <v>17999</v>
      </c>
      <c r="G1804" s="162" t="s">
        <v>17946</v>
      </c>
      <c r="H1804" s="219"/>
      <c r="I1804" s="169">
        <v>110078</v>
      </c>
      <c r="J1804" s="304" t="str">
        <f>CONCATENATE([2]Cover!$D$6,"fdd/view?i=",I1804)</f>
        <v>https://www.dgiwg.org/FAD/fdd/view?i=110078</v>
      </c>
      <c r="K1804" s="304" t="s">
        <v>35853</v>
      </c>
      <c r="L1804" s="188">
        <v>19</v>
      </c>
      <c r="M1804" s="179" t="s">
        <v>151</v>
      </c>
    </row>
    <row r="1805" spans="1:13" ht="51">
      <c r="A1805" s="313" t="str">
        <f t="shared" si="28"/>
        <v>BogTypeCode_stringBog</v>
      </c>
      <c r="B1805" s="330"/>
      <c r="C1805" s="334"/>
      <c r="D1805" s="188" t="s">
        <v>18000</v>
      </c>
      <c r="E1805" s="189" t="s">
        <v>18001</v>
      </c>
      <c r="F1805" s="162" t="s">
        <v>18002</v>
      </c>
      <c r="G1805" s="162" t="s">
        <v>18003</v>
      </c>
      <c r="H1805" s="219"/>
      <c r="I1805" s="169">
        <v>102477</v>
      </c>
      <c r="J1805" s="304" t="str">
        <f>CONCATENATE([2]Cover!$D$6,"fdd/view?i=",I1805)</f>
        <v>https://www.dgiwg.org/FAD/fdd/view?i=102477</v>
      </c>
      <c r="K1805" s="304" t="s">
        <v>35854</v>
      </c>
      <c r="L1805" s="188">
        <v>2</v>
      </c>
      <c r="M1805" s="179" t="s">
        <v>151</v>
      </c>
    </row>
    <row r="1806" spans="1:13" ht="38.25">
      <c r="A1806" s="313" t="str">
        <f t="shared" si="28"/>
        <v>BogTypeCode_veneerBog</v>
      </c>
      <c r="B1806" s="331"/>
      <c r="C1806" s="335"/>
      <c r="D1806" s="181" t="s">
        <v>18004</v>
      </c>
      <c r="E1806" s="192" t="s">
        <v>18005</v>
      </c>
      <c r="F1806" s="193" t="s">
        <v>18006</v>
      </c>
      <c r="G1806" s="193" t="s">
        <v>18007</v>
      </c>
      <c r="H1806" s="220"/>
      <c r="I1806" s="169">
        <v>110079</v>
      </c>
      <c r="J1806" s="304" t="str">
        <f>CONCATENATE([2]Cover!$D$6,"fdd/view?i=",I1806)</f>
        <v>https://www.dgiwg.org/FAD/fdd/view?i=110079</v>
      </c>
      <c r="K1806" s="304" t="s">
        <v>35855</v>
      </c>
      <c r="L1806" s="181">
        <v>20</v>
      </c>
      <c r="M1806" s="179" t="s">
        <v>151</v>
      </c>
    </row>
    <row r="1807" spans="1:13" ht="63.75">
      <c r="A1807" s="313" t="str">
        <f t="shared" si="28"/>
        <v>BollardTypeCode_mooring</v>
      </c>
      <c r="B1807" s="332" t="str">
        <f>HYPERLINK("[#]Datatypes!A228:L228","BollardTypeCode")</f>
        <v>BollardTypeCode</v>
      </c>
      <c r="C1807" s="333" t="s">
        <v>11670</v>
      </c>
      <c r="D1807" s="202" t="s">
        <v>18008</v>
      </c>
      <c r="E1807" s="203" t="s">
        <v>18009</v>
      </c>
      <c r="F1807" s="204" t="s">
        <v>18010</v>
      </c>
      <c r="G1807" s="204" t="s">
        <v>18011</v>
      </c>
      <c r="H1807" s="218"/>
      <c r="I1807" s="169">
        <v>119666</v>
      </c>
      <c r="J1807" s="304" t="str">
        <f>CONCATENATE([2]Cover!$D$6,"fdd/view?i=",I1807)</f>
        <v>https://www.dgiwg.org/FAD/fdd/view?i=119666</v>
      </c>
      <c r="K1807" s="304" t="s">
        <v>35856</v>
      </c>
      <c r="L1807" s="202">
        <v>1</v>
      </c>
      <c r="M1807" s="179" t="s">
        <v>151</v>
      </c>
    </row>
    <row r="1808" spans="1:13" ht="102">
      <c r="A1808" s="313" t="str">
        <f t="shared" si="28"/>
        <v>BollardTypeCode_safetySecurity</v>
      </c>
      <c r="B1808" s="331"/>
      <c r="C1808" s="335"/>
      <c r="D1808" s="181" t="s">
        <v>18012</v>
      </c>
      <c r="E1808" s="192" t="s">
        <v>18013</v>
      </c>
      <c r="F1808" s="193" t="s">
        <v>18014</v>
      </c>
      <c r="G1808" s="193" t="s">
        <v>18015</v>
      </c>
      <c r="H1808" s="220"/>
      <c r="I1808" s="169">
        <v>119667</v>
      </c>
      <c r="J1808" s="304" t="str">
        <f>CONCATENATE([2]Cover!$D$6,"fdd/view?i=",I1808)</f>
        <v>https://www.dgiwg.org/FAD/fdd/view?i=119667</v>
      </c>
      <c r="K1808" s="304" t="s">
        <v>35857</v>
      </c>
      <c r="L1808" s="181">
        <v>2</v>
      </c>
      <c r="M1808" s="179" t="s">
        <v>151</v>
      </c>
    </row>
    <row r="1809" spans="1:13" ht="38.25">
      <c r="A1809" s="313" t="str">
        <f t="shared" si="28"/>
        <v>BorderCrossingTypeCode_bridge</v>
      </c>
      <c r="B1809" s="332" t="str">
        <f>HYPERLINK("[#]Datatypes!A236:L236","BorderCrossingTypeCode")</f>
        <v>BorderCrossingTypeCode</v>
      </c>
      <c r="C1809" s="333" t="s">
        <v>11688</v>
      </c>
      <c r="D1809" s="202" t="s">
        <v>18016</v>
      </c>
      <c r="E1809" s="203" t="s">
        <v>1722</v>
      </c>
      <c r="F1809" s="204" t="s">
        <v>18017</v>
      </c>
      <c r="G1809" s="205"/>
      <c r="H1809" s="218"/>
      <c r="I1809" s="169">
        <v>118888</v>
      </c>
      <c r="J1809" s="304" t="str">
        <f>CONCATENATE([2]Cover!$D$6,"fdd/view?i=",I1809)</f>
        <v>https://www.dgiwg.org/FAD/fdd/view?i=118888</v>
      </c>
      <c r="K1809" s="304" t="s">
        <v>35858</v>
      </c>
      <c r="L1809" s="202">
        <v>1</v>
      </c>
      <c r="M1809" s="179" t="s">
        <v>151</v>
      </c>
    </row>
    <row r="1810" spans="1:13" ht="38.25">
      <c r="A1810" s="313" t="str">
        <f t="shared" si="28"/>
        <v>BorderCrossingTypeCode_crossing</v>
      </c>
      <c r="B1810" s="330"/>
      <c r="C1810" s="334"/>
      <c r="D1810" s="188" t="s">
        <v>18018</v>
      </c>
      <c r="E1810" s="189" t="s">
        <v>1974</v>
      </c>
      <c r="F1810" s="162" t="s">
        <v>18019</v>
      </c>
      <c r="G1810" s="162" t="s">
        <v>18020</v>
      </c>
      <c r="H1810" s="219"/>
      <c r="I1810" s="169">
        <v>118889</v>
      </c>
      <c r="J1810" s="304" t="str">
        <f>CONCATENATE([2]Cover!$D$6,"fdd/view?i=",I1810)</f>
        <v>https://www.dgiwg.org/FAD/fdd/view?i=118889</v>
      </c>
      <c r="K1810" s="304" t="s">
        <v>35859</v>
      </c>
      <c r="L1810" s="188">
        <v>2</v>
      </c>
      <c r="M1810" s="179" t="s">
        <v>151</v>
      </c>
    </row>
    <row r="1811" spans="1:13" ht="25.5">
      <c r="A1811" s="313" t="str">
        <f t="shared" si="28"/>
        <v>BorderCrossingTypeCode_dam</v>
      </c>
      <c r="B1811" s="330"/>
      <c r="C1811" s="334"/>
      <c r="D1811" s="188" t="s">
        <v>18021</v>
      </c>
      <c r="E1811" s="189" t="s">
        <v>2005</v>
      </c>
      <c r="F1811" s="162" t="s">
        <v>18022</v>
      </c>
      <c r="G1811" s="162" t="s">
        <v>18023</v>
      </c>
      <c r="H1811" s="219"/>
      <c r="I1811" s="169">
        <v>118890</v>
      </c>
      <c r="J1811" s="304" t="str">
        <f>CONCATENATE([2]Cover!$D$6,"fdd/view?i=",I1811)</f>
        <v>https://www.dgiwg.org/FAD/fdd/view?i=118890</v>
      </c>
      <c r="K1811" s="304" t="s">
        <v>35860</v>
      </c>
      <c r="L1811" s="188">
        <v>3</v>
      </c>
      <c r="M1811" s="179" t="s">
        <v>151</v>
      </c>
    </row>
    <row r="1812" spans="1:13" ht="25.5">
      <c r="A1812" s="313" t="str">
        <f t="shared" si="28"/>
        <v>BorderCrossingTypeCode_ferry</v>
      </c>
      <c r="B1812" s="330"/>
      <c r="C1812" s="334"/>
      <c r="D1812" s="188" t="s">
        <v>18024</v>
      </c>
      <c r="E1812" s="189" t="s">
        <v>18025</v>
      </c>
      <c r="F1812" s="162" t="s">
        <v>18026</v>
      </c>
      <c r="G1812" s="162" t="s">
        <v>18027</v>
      </c>
      <c r="H1812" s="219"/>
      <c r="I1812" s="169">
        <v>118891</v>
      </c>
      <c r="J1812" s="304" t="str">
        <f>CONCATENATE([2]Cover!$D$6,"fdd/view?i=",I1812)</f>
        <v>https://www.dgiwg.org/FAD/fdd/view?i=118891</v>
      </c>
      <c r="K1812" s="304" t="s">
        <v>35861</v>
      </c>
      <c r="L1812" s="188">
        <v>4</v>
      </c>
      <c r="M1812" s="179" t="s">
        <v>151</v>
      </c>
    </row>
    <row r="1813" spans="1:13" ht="51">
      <c r="A1813" s="313" t="str">
        <f t="shared" si="28"/>
        <v>BorderCrossingTypeCode_tunnel</v>
      </c>
      <c r="B1813" s="331"/>
      <c r="C1813" s="335"/>
      <c r="D1813" s="181" t="s">
        <v>18028</v>
      </c>
      <c r="E1813" s="192" t="s">
        <v>4381</v>
      </c>
      <c r="F1813" s="193" t="s">
        <v>18029</v>
      </c>
      <c r="G1813" s="194"/>
      <c r="H1813" s="220"/>
      <c r="I1813" s="169">
        <v>118892</v>
      </c>
      <c r="J1813" s="304" t="str">
        <f>CONCATENATE([2]Cover!$D$6,"fdd/view?i=",I1813)</f>
        <v>https://www.dgiwg.org/FAD/fdd/view?i=118892</v>
      </c>
      <c r="K1813" s="304" t="s">
        <v>35862</v>
      </c>
      <c r="L1813" s="181">
        <v>5</v>
      </c>
      <c r="M1813" s="179" t="s">
        <v>151</v>
      </c>
    </row>
    <row r="1814" spans="1:13" ht="127.5">
      <c r="A1814" s="313" t="str">
        <f t="shared" si="28"/>
        <v>BoreholeTypeCode_cathodicProtectionWell</v>
      </c>
      <c r="B1814" s="332" t="str">
        <f>HYPERLINK("[#]Datatypes!A238:L238","BoreholeTypeCode")</f>
        <v>BoreholeTypeCode</v>
      </c>
      <c r="C1814" s="333" t="s">
        <v>11690</v>
      </c>
      <c r="D1814" s="202" t="s">
        <v>18030</v>
      </c>
      <c r="E1814" s="203" t="s">
        <v>18031</v>
      </c>
      <c r="F1814" s="204" t="s">
        <v>18032</v>
      </c>
      <c r="G1814" s="204" t="s">
        <v>18033</v>
      </c>
      <c r="H1814" s="218"/>
      <c r="I1814" s="169">
        <v>119122</v>
      </c>
      <c r="J1814" s="304" t="str">
        <f>CONCATENATE([2]Cover!$D$6,"fdd/view?i=",I1814)</f>
        <v>https://www.dgiwg.org/FAD/fdd/view?i=119122</v>
      </c>
      <c r="K1814" s="304" t="s">
        <v>35863</v>
      </c>
      <c r="L1814" s="202">
        <v>1</v>
      </c>
      <c r="M1814" s="179" t="s">
        <v>151</v>
      </c>
    </row>
    <row r="1815" spans="1:13" ht="38.25">
      <c r="A1815" s="313" t="str">
        <f t="shared" si="28"/>
        <v>BoreholeTypeCode_disposalWell</v>
      </c>
      <c r="B1815" s="330"/>
      <c r="C1815" s="334"/>
      <c r="D1815" s="188" t="s">
        <v>18034</v>
      </c>
      <c r="E1815" s="189" t="s">
        <v>18035</v>
      </c>
      <c r="F1815" s="162" t="s">
        <v>18036</v>
      </c>
      <c r="G1815" s="162" t="s">
        <v>18037</v>
      </c>
      <c r="H1815" s="219"/>
      <c r="I1815" s="169">
        <v>119123</v>
      </c>
      <c r="J1815" s="304" t="str">
        <f>CONCATENATE([2]Cover!$D$6,"fdd/view?i=",I1815)</f>
        <v>https://www.dgiwg.org/FAD/fdd/view?i=119123</v>
      </c>
      <c r="K1815" s="304" t="s">
        <v>35864</v>
      </c>
      <c r="L1815" s="188">
        <v>2</v>
      </c>
      <c r="M1815" s="179" t="s">
        <v>151</v>
      </c>
    </row>
    <row r="1816" spans="1:13" ht="114.75">
      <c r="A1816" s="313" t="str">
        <f t="shared" si="28"/>
        <v>BoreholeTypeCode_enhancedOilRecoveryWell</v>
      </c>
      <c r="B1816" s="330"/>
      <c r="C1816" s="334"/>
      <c r="D1816" s="188" t="s">
        <v>18038</v>
      </c>
      <c r="E1816" s="189" t="s">
        <v>18039</v>
      </c>
      <c r="F1816" s="162" t="s">
        <v>18040</v>
      </c>
      <c r="G1816" s="162" t="s">
        <v>18041</v>
      </c>
      <c r="H1816" s="219"/>
      <c r="I1816" s="169">
        <v>119124</v>
      </c>
      <c r="J1816" s="304" t="str">
        <f>CONCATENATE([2]Cover!$D$6,"fdd/view?i=",I1816)</f>
        <v>https://www.dgiwg.org/FAD/fdd/view?i=119124</v>
      </c>
      <c r="K1816" s="304" t="s">
        <v>35865</v>
      </c>
      <c r="L1816" s="188">
        <v>3</v>
      </c>
      <c r="M1816" s="179" t="s">
        <v>151</v>
      </c>
    </row>
    <row r="1817" spans="1:13" ht="140.25">
      <c r="A1817" s="313" t="str">
        <f t="shared" si="28"/>
        <v>BoreholeTypeCode_injectionWell</v>
      </c>
      <c r="B1817" s="330"/>
      <c r="C1817" s="334"/>
      <c r="D1817" s="188" t="s">
        <v>18042</v>
      </c>
      <c r="E1817" s="189" t="s">
        <v>18043</v>
      </c>
      <c r="F1817" s="162" t="s">
        <v>18044</v>
      </c>
      <c r="G1817" s="162" t="s">
        <v>18045</v>
      </c>
      <c r="H1817" s="219"/>
      <c r="I1817" s="169">
        <v>119125</v>
      </c>
      <c r="J1817" s="304" t="str">
        <f>CONCATENATE([2]Cover!$D$6,"fdd/view?i=",I1817)</f>
        <v>https://www.dgiwg.org/FAD/fdd/view?i=119125</v>
      </c>
      <c r="K1817" s="304" t="s">
        <v>35866</v>
      </c>
      <c r="L1817" s="188">
        <v>4</v>
      </c>
      <c r="M1817" s="179" t="s">
        <v>151</v>
      </c>
    </row>
    <row r="1818" spans="1:13" ht="38.25">
      <c r="A1818" s="313" t="str">
        <f t="shared" si="28"/>
        <v>BoreholeTypeCode_observationWell</v>
      </c>
      <c r="B1818" s="330"/>
      <c r="C1818" s="334"/>
      <c r="D1818" s="188" t="s">
        <v>18046</v>
      </c>
      <c r="E1818" s="189" t="s">
        <v>18047</v>
      </c>
      <c r="F1818" s="162" t="s">
        <v>18048</v>
      </c>
      <c r="G1818" s="162" t="s">
        <v>18049</v>
      </c>
      <c r="H1818" s="219"/>
      <c r="I1818" s="169">
        <v>119126</v>
      </c>
      <c r="J1818" s="304" t="str">
        <f>CONCATENATE([2]Cover!$D$6,"fdd/view?i=",I1818)</f>
        <v>https://www.dgiwg.org/FAD/fdd/view?i=119126</v>
      </c>
      <c r="K1818" s="304" t="s">
        <v>35867</v>
      </c>
      <c r="L1818" s="188">
        <v>5</v>
      </c>
      <c r="M1818" s="179" t="s">
        <v>151</v>
      </c>
    </row>
    <row r="1819" spans="1:13" ht="140.25">
      <c r="A1819" s="313" t="str">
        <f t="shared" si="28"/>
        <v>BoreholeTypeCode_radioactiveHole</v>
      </c>
      <c r="B1819" s="330"/>
      <c r="C1819" s="334"/>
      <c r="D1819" s="188" t="s">
        <v>18050</v>
      </c>
      <c r="E1819" s="189" t="s">
        <v>18051</v>
      </c>
      <c r="F1819" s="162" t="s">
        <v>18052</v>
      </c>
      <c r="G1819" s="162" t="s">
        <v>18053</v>
      </c>
      <c r="H1819" s="219"/>
      <c r="I1819" s="169">
        <v>119128</v>
      </c>
      <c r="J1819" s="304" t="str">
        <f>CONCATENATE([2]Cover!$D$6,"fdd/view?i=",I1819)</f>
        <v>https://www.dgiwg.org/FAD/fdd/view?i=119128</v>
      </c>
      <c r="K1819" s="304" t="s">
        <v>35868</v>
      </c>
      <c r="L1819" s="188">
        <v>7</v>
      </c>
      <c r="M1819" s="179" t="s">
        <v>151</v>
      </c>
    </row>
    <row r="1820" spans="1:13" ht="102">
      <c r="A1820" s="313" t="str">
        <f t="shared" si="28"/>
        <v>BoreholeTypeCode_serviceWell</v>
      </c>
      <c r="B1820" s="330"/>
      <c r="C1820" s="334"/>
      <c r="D1820" s="188" t="s">
        <v>18054</v>
      </c>
      <c r="E1820" s="189" t="s">
        <v>18055</v>
      </c>
      <c r="F1820" s="162" t="s">
        <v>18056</v>
      </c>
      <c r="G1820" s="162" t="s">
        <v>18057</v>
      </c>
      <c r="H1820" s="219"/>
      <c r="I1820" s="169">
        <v>119129</v>
      </c>
      <c r="J1820" s="304" t="str">
        <f>CONCATENATE([2]Cover!$D$6,"fdd/view?i=",I1820)</f>
        <v>https://www.dgiwg.org/FAD/fdd/view?i=119129</v>
      </c>
      <c r="K1820" s="304" t="s">
        <v>35869</v>
      </c>
      <c r="L1820" s="188">
        <v>8</v>
      </c>
      <c r="M1820" s="179" t="s">
        <v>151</v>
      </c>
    </row>
    <row r="1821" spans="1:13" ht="25.5">
      <c r="A1821" s="313" t="str">
        <f t="shared" si="28"/>
        <v>BoreholeTypeCode_storageWell</v>
      </c>
      <c r="B1821" s="330"/>
      <c r="C1821" s="334"/>
      <c r="D1821" s="188" t="s">
        <v>18058</v>
      </c>
      <c r="E1821" s="189" t="s">
        <v>18059</v>
      </c>
      <c r="F1821" s="162" t="s">
        <v>18060</v>
      </c>
      <c r="G1821" s="190"/>
      <c r="H1821" s="219"/>
      <c r="I1821" s="169">
        <v>119130</v>
      </c>
      <c r="J1821" s="304" t="str">
        <f>CONCATENATE([2]Cover!$D$6,"fdd/view?i=",I1821)</f>
        <v>https://www.dgiwg.org/FAD/fdd/view?i=119130</v>
      </c>
      <c r="K1821" s="304" t="s">
        <v>35870</v>
      </c>
      <c r="L1821" s="188">
        <v>9</v>
      </c>
      <c r="M1821" s="179" t="s">
        <v>151</v>
      </c>
    </row>
    <row r="1822" spans="1:13" ht="102">
      <c r="A1822" s="313" t="str">
        <f t="shared" si="28"/>
        <v>BoreholeTypeCode_stratigraphicWell</v>
      </c>
      <c r="B1822" s="330"/>
      <c r="C1822" s="334"/>
      <c r="D1822" s="188" t="s">
        <v>18061</v>
      </c>
      <c r="E1822" s="189" t="s">
        <v>18062</v>
      </c>
      <c r="F1822" s="162" t="s">
        <v>18063</v>
      </c>
      <c r="G1822" s="162" t="s">
        <v>18064</v>
      </c>
      <c r="H1822" s="221" t="s">
        <v>18065</v>
      </c>
      <c r="I1822" s="169">
        <v>119131</v>
      </c>
      <c r="J1822" s="304" t="str">
        <f>CONCATENATE([2]Cover!$D$6,"fdd/view?i=",I1822)</f>
        <v>https://www.dgiwg.org/FAD/fdd/view?i=119131</v>
      </c>
      <c r="K1822" s="304" t="s">
        <v>35871</v>
      </c>
      <c r="L1822" s="188">
        <v>10</v>
      </c>
      <c r="M1822" s="179" t="s">
        <v>151</v>
      </c>
    </row>
    <row r="1823" spans="1:13" ht="102">
      <c r="A1823" s="313" t="str">
        <f t="shared" si="28"/>
        <v>BoreholeTypeCode_weaponTest</v>
      </c>
      <c r="B1823" s="331"/>
      <c r="C1823" s="335"/>
      <c r="D1823" s="181" t="s">
        <v>18066</v>
      </c>
      <c r="E1823" s="192" t="s">
        <v>18067</v>
      </c>
      <c r="F1823" s="193" t="s">
        <v>18068</v>
      </c>
      <c r="G1823" s="193" t="s">
        <v>18069</v>
      </c>
      <c r="H1823" s="220"/>
      <c r="I1823" s="169">
        <v>119127</v>
      </c>
      <c r="J1823" s="304" t="str">
        <f>CONCATENATE([2]Cover!$D$6,"fdd/view?i=",I1823)</f>
        <v>https://www.dgiwg.org/FAD/fdd/view?i=119127</v>
      </c>
      <c r="K1823" s="304" t="s">
        <v>35872</v>
      </c>
      <c r="L1823" s="181">
        <v>6</v>
      </c>
      <c r="M1823" s="179" t="s">
        <v>151</v>
      </c>
    </row>
    <row r="1824" spans="1:13" ht="63.75">
      <c r="A1824" s="313" t="str">
        <f t="shared" si="28"/>
        <v>BottomContactStatusCode_classified</v>
      </c>
      <c r="B1824" s="332" t="str">
        <f>HYPERLINK("[#]Datatypes!A240:L240","BottomContactStatusCode")</f>
        <v>BottomContactStatusCode</v>
      </c>
      <c r="C1824" s="333" t="s">
        <v>11692</v>
      </c>
      <c r="D1824" s="202" t="s">
        <v>18070</v>
      </c>
      <c r="E1824" s="203" t="s">
        <v>18071</v>
      </c>
      <c r="F1824" s="204" t="s">
        <v>18072</v>
      </c>
      <c r="G1824" s="204" t="s">
        <v>18073</v>
      </c>
      <c r="H1824" s="218"/>
      <c r="I1824" s="169">
        <v>111118</v>
      </c>
      <c r="J1824" s="304" t="str">
        <f>CONCATENATE([2]Cover!$D$6,"fdd/view?i=",I1824)</f>
        <v>https://www.dgiwg.org/FAD/fdd/view?i=111118</v>
      </c>
      <c r="K1824" s="304" t="s">
        <v>35873</v>
      </c>
      <c r="L1824" s="202">
        <v>2</v>
      </c>
      <c r="M1824" s="179" t="s">
        <v>151</v>
      </c>
    </row>
    <row r="1825" spans="1:13" ht="38.25">
      <c r="A1825" s="313" t="str">
        <f t="shared" si="28"/>
        <v>BottomContactStatusCode_detected</v>
      </c>
      <c r="B1825" s="330"/>
      <c r="C1825" s="334"/>
      <c r="D1825" s="188" t="s">
        <v>18074</v>
      </c>
      <c r="E1825" s="189" t="s">
        <v>18075</v>
      </c>
      <c r="F1825" s="162" t="s">
        <v>18076</v>
      </c>
      <c r="G1825" s="162" t="s">
        <v>18077</v>
      </c>
      <c r="H1825" s="219"/>
      <c r="I1825" s="169">
        <v>111117</v>
      </c>
      <c r="J1825" s="304" t="str">
        <f>CONCATENATE([2]Cover!$D$6,"fdd/view?i=",I1825)</f>
        <v>https://www.dgiwg.org/FAD/fdd/view?i=111117</v>
      </c>
      <c r="K1825" s="304" t="s">
        <v>35874</v>
      </c>
      <c r="L1825" s="188">
        <v>1</v>
      </c>
      <c r="M1825" s="179" t="s">
        <v>151</v>
      </c>
    </row>
    <row r="1826" spans="1:13" ht="76.5">
      <c r="A1826" s="313" t="str">
        <f t="shared" si="28"/>
        <v>BottomContactStatusCode_identified</v>
      </c>
      <c r="B1826" s="331"/>
      <c r="C1826" s="335"/>
      <c r="D1826" s="181" t="s">
        <v>18078</v>
      </c>
      <c r="E1826" s="192" t="s">
        <v>18079</v>
      </c>
      <c r="F1826" s="193" t="s">
        <v>18080</v>
      </c>
      <c r="G1826" s="193" t="s">
        <v>18081</v>
      </c>
      <c r="H1826" s="220"/>
      <c r="I1826" s="169">
        <v>111119</v>
      </c>
      <c r="J1826" s="304" t="str">
        <f>CONCATENATE([2]Cover!$D$6,"fdd/view?i=",I1826)</f>
        <v>https://www.dgiwg.org/FAD/fdd/view?i=111119</v>
      </c>
      <c r="K1826" s="304" t="s">
        <v>35875</v>
      </c>
      <c r="L1826" s="181">
        <v>3</v>
      </c>
      <c r="M1826" s="179" t="s">
        <v>151</v>
      </c>
    </row>
    <row r="1827" spans="1:13" ht="38.25">
      <c r="A1827" s="313" t="str">
        <f t="shared" si="28"/>
        <v>BottomMaterialTypeCode_bedrock</v>
      </c>
      <c r="B1827" s="332" t="str">
        <f>HYPERLINK("[#]Datatypes!A242:L242","BottomMaterialTypeCode")</f>
        <v>BottomMaterialTypeCode</v>
      </c>
      <c r="C1827" s="333" t="s">
        <v>11694</v>
      </c>
      <c r="D1827" s="202" t="s">
        <v>18082</v>
      </c>
      <c r="E1827" s="203" t="s">
        <v>18083</v>
      </c>
      <c r="F1827" s="204" t="s">
        <v>18084</v>
      </c>
      <c r="G1827" s="204" t="s">
        <v>18085</v>
      </c>
      <c r="H1827" s="218"/>
      <c r="I1827" s="169">
        <v>102463</v>
      </c>
      <c r="J1827" s="304" t="str">
        <f>CONCATENATE([2]Cover!$D$6,"fdd/view?i=",I1827)</f>
        <v>https://www.dgiwg.org/FAD/fdd/view?i=102463</v>
      </c>
      <c r="K1827" s="304" t="s">
        <v>35876</v>
      </c>
      <c r="L1827" s="202">
        <v>6</v>
      </c>
      <c r="M1827" s="179" t="s">
        <v>151</v>
      </c>
    </row>
    <row r="1828" spans="1:13" ht="38.25">
      <c r="A1828" s="313" t="str">
        <f t="shared" si="28"/>
        <v>BottomMaterialTypeCode_claySilt</v>
      </c>
      <c r="B1828" s="330"/>
      <c r="C1828" s="334"/>
      <c r="D1828" s="188" t="s">
        <v>18086</v>
      </c>
      <c r="E1828" s="189" t="s">
        <v>18087</v>
      </c>
      <c r="F1828" s="162" t="s">
        <v>18088</v>
      </c>
      <c r="G1828" s="190"/>
      <c r="H1828" s="219"/>
      <c r="I1828" s="169">
        <v>102458</v>
      </c>
      <c r="J1828" s="304" t="str">
        <f>CONCATENATE([2]Cover!$D$6,"fdd/view?i=",I1828)</f>
        <v>https://www.dgiwg.org/FAD/fdd/view?i=102458</v>
      </c>
      <c r="K1828" s="304" t="s">
        <v>35877</v>
      </c>
      <c r="L1828" s="188">
        <v>1</v>
      </c>
      <c r="M1828" s="179" t="s">
        <v>151</v>
      </c>
    </row>
    <row r="1829" spans="1:13" ht="38.25">
      <c r="A1829" s="313" t="str">
        <f t="shared" si="28"/>
        <v>BottomMaterialTypeCode_concrete</v>
      </c>
      <c r="B1829" s="330"/>
      <c r="C1829" s="334"/>
      <c r="D1829" s="188" t="s">
        <v>15093</v>
      </c>
      <c r="E1829" s="189" t="s">
        <v>15094</v>
      </c>
      <c r="F1829" s="162" t="s">
        <v>18089</v>
      </c>
      <c r="G1829" s="190"/>
      <c r="H1829" s="219"/>
      <c r="I1829" s="169">
        <v>110059</v>
      </c>
      <c r="J1829" s="304" t="str">
        <f>CONCATENATE([2]Cover!$D$6,"fdd/view?i=",I1829)</f>
        <v>https://www.dgiwg.org/FAD/fdd/view?i=110059</v>
      </c>
      <c r="K1829" s="304" t="s">
        <v>35878</v>
      </c>
      <c r="L1829" s="188">
        <v>15</v>
      </c>
      <c r="M1829" s="179" t="s">
        <v>151</v>
      </c>
    </row>
    <row r="1830" spans="1:13" ht="51">
      <c r="A1830" s="313" t="str">
        <f t="shared" si="28"/>
        <v>BottomMaterialTypeCode_coral</v>
      </c>
      <c r="B1830" s="330"/>
      <c r="C1830" s="334"/>
      <c r="D1830" s="188" t="s">
        <v>15097</v>
      </c>
      <c r="E1830" s="189" t="s">
        <v>15098</v>
      </c>
      <c r="F1830" s="162" t="s">
        <v>18090</v>
      </c>
      <c r="G1830" s="162" t="s">
        <v>18091</v>
      </c>
      <c r="H1830" s="219"/>
      <c r="I1830" s="169">
        <v>102468</v>
      </c>
      <c r="J1830" s="304" t="str">
        <f>CONCATENATE([2]Cover!$D$6,"fdd/view?i=",I1830)</f>
        <v>https://www.dgiwg.org/FAD/fdd/view?i=102468</v>
      </c>
      <c r="K1830" s="304" t="s">
        <v>35879</v>
      </c>
      <c r="L1830" s="188">
        <v>11</v>
      </c>
      <c r="M1830" s="179" t="s">
        <v>151</v>
      </c>
    </row>
    <row r="1831" spans="1:13" ht="38.25">
      <c r="A1831" s="313" t="str">
        <f t="shared" si="28"/>
        <v>BottomMaterialTypeCode_gravelCobble</v>
      </c>
      <c r="B1831" s="330"/>
      <c r="C1831" s="334"/>
      <c r="D1831" s="188" t="s">
        <v>18092</v>
      </c>
      <c r="E1831" s="189" t="s">
        <v>18093</v>
      </c>
      <c r="F1831" s="162" t="s">
        <v>18094</v>
      </c>
      <c r="G1831" s="162" t="s">
        <v>18095</v>
      </c>
      <c r="H1831" s="219"/>
      <c r="I1831" s="169">
        <v>102461</v>
      </c>
      <c r="J1831" s="304" t="str">
        <f>CONCATENATE([2]Cover!$D$6,"fdd/view?i=",I1831)</f>
        <v>https://www.dgiwg.org/FAD/fdd/view?i=102461</v>
      </c>
      <c r="K1831" s="304" t="s">
        <v>35880</v>
      </c>
      <c r="L1831" s="188">
        <v>4</v>
      </c>
      <c r="M1831" s="179" t="s">
        <v>151</v>
      </c>
    </row>
    <row r="1832" spans="1:13" ht="51">
      <c r="A1832" s="313" t="str">
        <f t="shared" si="28"/>
        <v>BottomMaterialTypeCode_masonry</v>
      </c>
      <c r="B1832" s="330"/>
      <c r="C1832" s="334"/>
      <c r="D1832" s="188" t="s">
        <v>18096</v>
      </c>
      <c r="E1832" s="189" t="s">
        <v>18097</v>
      </c>
      <c r="F1832" s="162" t="s">
        <v>18098</v>
      </c>
      <c r="G1832" s="190"/>
      <c r="H1832" s="221" t="s">
        <v>18099</v>
      </c>
      <c r="I1832" s="169">
        <v>110060</v>
      </c>
      <c r="J1832" s="304" t="str">
        <f>CONCATENATE([2]Cover!$D$6,"fdd/view?i=",I1832)</f>
        <v>https://www.dgiwg.org/FAD/fdd/view?i=110060</v>
      </c>
      <c r="K1832" s="304" t="s">
        <v>35881</v>
      </c>
      <c r="L1832" s="188">
        <v>16</v>
      </c>
      <c r="M1832" s="179" t="s">
        <v>151</v>
      </c>
    </row>
    <row r="1833" spans="1:13" ht="38.25">
      <c r="A1833" s="313" t="str">
        <f t="shared" si="28"/>
        <v>BottomMaterialTypeCode_paved</v>
      </c>
      <c r="B1833" s="330"/>
      <c r="C1833" s="334"/>
      <c r="D1833" s="188" t="s">
        <v>18100</v>
      </c>
      <c r="E1833" s="189" t="s">
        <v>18101</v>
      </c>
      <c r="F1833" s="162" t="s">
        <v>18102</v>
      </c>
      <c r="G1833" s="190"/>
      <c r="H1833" s="219"/>
      <c r="I1833" s="169">
        <v>102464</v>
      </c>
      <c r="J1833" s="304" t="str">
        <f>CONCATENATE([2]Cover!$D$6,"fdd/view?i=",I1833)</f>
        <v>https://www.dgiwg.org/FAD/fdd/view?i=102464</v>
      </c>
      <c r="K1833" s="304" t="s">
        <v>35882</v>
      </c>
      <c r="L1833" s="188">
        <v>7</v>
      </c>
      <c r="M1833" s="179" t="s">
        <v>151</v>
      </c>
    </row>
    <row r="1834" spans="1:13" ht="25.5">
      <c r="A1834" s="313" t="str">
        <f t="shared" si="28"/>
        <v>BottomMaterialTypeCode_peat</v>
      </c>
      <c r="B1834" s="330"/>
      <c r="C1834" s="334"/>
      <c r="D1834" s="188" t="s">
        <v>18103</v>
      </c>
      <c r="E1834" s="189" t="s">
        <v>18104</v>
      </c>
      <c r="F1834" s="162" t="s">
        <v>18105</v>
      </c>
      <c r="G1834" s="190"/>
      <c r="H1834" s="219"/>
      <c r="I1834" s="169">
        <v>102465</v>
      </c>
      <c r="J1834" s="304" t="str">
        <f>CONCATENATE([2]Cover!$D$6,"fdd/view?i=",I1834)</f>
        <v>https://www.dgiwg.org/FAD/fdd/view?i=102465</v>
      </c>
      <c r="K1834" s="304" t="s">
        <v>35883</v>
      </c>
      <c r="L1834" s="188">
        <v>8</v>
      </c>
      <c r="M1834" s="179" t="s">
        <v>151</v>
      </c>
    </row>
    <row r="1835" spans="1:13" ht="25.5">
      <c r="A1835" s="313" t="str">
        <f t="shared" si="28"/>
        <v>BottomMaterialTypeCode_reinforcedConcrete</v>
      </c>
      <c r="B1835" s="330"/>
      <c r="C1835" s="334"/>
      <c r="D1835" s="188" t="s">
        <v>18106</v>
      </c>
      <c r="E1835" s="189" t="s">
        <v>18107</v>
      </c>
      <c r="F1835" s="162" t="s">
        <v>18108</v>
      </c>
      <c r="G1835" s="190"/>
      <c r="H1835" s="221" t="s">
        <v>18109</v>
      </c>
      <c r="I1835" s="169">
        <v>110061</v>
      </c>
      <c r="J1835" s="304" t="str">
        <f>CONCATENATE([2]Cover!$D$6,"fdd/view?i=",I1835)</f>
        <v>https://www.dgiwg.org/FAD/fdd/view?i=110061</v>
      </c>
      <c r="K1835" s="304" t="s">
        <v>35884</v>
      </c>
      <c r="L1835" s="188">
        <v>17</v>
      </c>
      <c r="M1835" s="179" t="s">
        <v>151</v>
      </c>
    </row>
    <row r="1836" spans="1:13" ht="25.5">
      <c r="A1836" s="313" t="str">
        <f t="shared" si="28"/>
        <v>BottomMaterialTypeCode_rocksBoulders</v>
      </c>
      <c r="B1836" s="330"/>
      <c r="C1836" s="334"/>
      <c r="D1836" s="188" t="s">
        <v>18110</v>
      </c>
      <c r="E1836" s="189" t="s">
        <v>18111</v>
      </c>
      <c r="F1836" s="162" t="s">
        <v>18112</v>
      </c>
      <c r="G1836" s="162" t="s">
        <v>18113</v>
      </c>
      <c r="H1836" s="219"/>
      <c r="I1836" s="169">
        <v>102462</v>
      </c>
      <c r="J1836" s="304" t="str">
        <f>CONCATENATE([2]Cover!$D$6,"fdd/view?i=",I1836)</f>
        <v>https://www.dgiwg.org/FAD/fdd/view?i=102462</v>
      </c>
      <c r="K1836" s="304" t="s">
        <v>35885</v>
      </c>
      <c r="L1836" s="188">
        <v>5</v>
      </c>
      <c r="M1836" s="179" t="s">
        <v>151</v>
      </c>
    </row>
    <row r="1837" spans="1:13" ht="76.5">
      <c r="A1837" s="313" t="str">
        <f t="shared" si="28"/>
        <v>BottomMaterialTypeCode_sand</v>
      </c>
      <c r="B1837" s="330"/>
      <c r="C1837" s="334"/>
      <c r="D1837" s="188" t="s">
        <v>15137</v>
      </c>
      <c r="E1837" s="189" t="s">
        <v>15138</v>
      </c>
      <c r="F1837" s="162" t="s">
        <v>18114</v>
      </c>
      <c r="G1837" s="162" t="s">
        <v>18115</v>
      </c>
      <c r="H1837" s="219"/>
      <c r="I1837" s="169">
        <v>102471</v>
      </c>
      <c r="J1837" s="304" t="str">
        <f>CONCATENATE([2]Cover!$D$6,"fdd/view?i=",I1837)</f>
        <v>https://www.dgiwg.org/FAD/fdd/view?i=102471</v>
      </c>
      <c r="K1837" s="304" t="s">
        <v>35886</v>
      </c>
      <c r="L1837" s="188">
        <v>14</v>
      </c>
      <c r="M1837" s="179" t="s">
        <v>151</v>
      </c>
    </row>
    <row r="1838" spans="1:13" ht="38.25">
      <c r="A1838" s="313" t="str">
        <f t="shared" si="28"/>
        <v>BottomMaterialTypeCode_sandGravel</v>
      </c>
      <c r="B1838" s="330"/>
      <c r="C1838" s="334"/>
      <c r="D1838" s="188" t="s">
        <v>18116</v>
      </c>
      <c r="E1838" s="189" t="s">
        <v>18117</v>
      </c>
      <c r="F1838" s="162" t="s">
        <v>18118</v>
      </c>
      <c r="G1838" s="162" t="s">
        <v>18119</v>
      </c>
      <c r="H1838" s="219"/>
      <c r="I1838" s="169">
        <v>102460</v>
      </c>
      <c r="J1838" s="304" t="str">
        <f>CONCATENATE([2]Cover!$D$6,"fdd/view?i=",I1838)</f>
        <v>https://www.dgiwg.org/FAD/fdd/view?i=102460</v>
      </c>
      <c r="K1838" s="304" t="s">
        <v>35887</v>
      </c>
      <c r="L1838" s="188">
        <v>3</v>
      </c>
      <c r="M1838" s="179" t="s">
        <v>151</v>
      </c>
    </row>
    <row r="1839" spans="1:13" ht="38.25">
      <c r="A1839" s="313" t="str">
        <f t="shared" si="28"/>
        <v>BottomMaterialTypeCode_sandOverMud</v>
      </c>
      <c r="B1839" s="330"/>
      <c r="C1839" s="334"/>
      <c r="D1839" s="188" t="s">
        <v>18120</v>
      </c>
      <c r="E1839" s="189" t="s">
        <v>18121</v>
      </c>
      <c r="F1839" s="162" t="s">
        <v>18122</v>
      </c>
      <c r="G1839" s="190"/>
      <c r="H1839" s="219"/>
      <c r="I1839" s="169">
        <v>102466</v>
      </c>
      <c r="J1839" s="304" t="str">
        <f>CONCATENATE([2]Cover!$D$6,"fdd/view?i=",I1839)</f>
        <v>https://www.dgiwg.org/FAD/fdd/view?i=102466</v>
      </c>
      <c r="K1839" s="304" t="s">
        <v>35888</v>
      </c>
      <c r="L1839" s="188">
        <v>9</v>
      </c>
      <c r="M1839" s="179" t="s">
        <v>151</v>
      </c>
    </row>
    <row r="1840" spans="1:13" ht="25.5">
      <c r="A1840" s="313" t="str">
        <f t="shared" si="28"/>
        <v>BottomMaterialTypeCode_siltySands</v>
      </c>
      <c r="B1840" s="330"/>
      <c r="C1840" s="334"/>
      <c r="D1840" s="188" t="s">
        <v>18123</v>
      </c>
      <c r="E1840" s="189" t="s">
        <v>18124</v>
      </c>
      <c r="F1840" s="162" t="s">
        <v>18125</v>
      </c>
      <c r="G1840" s="162" t="s">
        <v>18126</v>
      </c>
      <c r="H1840" s="219"/>
      <c r="I1840" s="169">
        <v>102459</v>
      </c>
      <c r="J1840" s="304" t="str">
        <f>CONCATENATE([2]Cover!$D$6,"fdd/view?i=",I1840)</f>
        <v>https://www.dgiwg.org/FAD/fdd/view?i=102459</v>
      </c>
      <c r="K1840" s="304" t="s">
        <v>35889</v>
      </c>
      <c r="L1840" s="188">
        <v>2</v>
      </c>
      <c r="M1840" s="179" t="s">
        <v>151</v>
      </c>
    </row>
    <row r="1841" spans="1:13" ht="38.25">
      <c r="A1841" s="313" t="str">
        <f t="shared" si="28"/>
        <v>BottomMaterialTypeCode_soil</v>
      </c>
      <c r="B1841" s="331"/>
      <c r="C1841" s="335"/>
      <c r="D1841" s="181" t="s">
        <v>18127</v>
      </c>
      <c r="E1841" s="192" t="s">
        <v>18128</v>
      </c>
      <c r="F1841" s="193" t="s">
        <v>18129</v>
      </c>
      <c r="G1841" s="194"/>
      <c r="H1841" s="220"/>
      <c r="I1841" s="169">
        <v>110062</v>
      </c>
      <c r="J1841" s="304" t="str">
        <f>CONCATENATE([2]Cover!$D$6,"fdd/view?i=",I1841)</f>
        <v>https://www.dgiwg.org/FAD/fdd/view?i=110062</v>
      </c>
      <c r="K1841" s="304" t="s">
        <v>35890</v>
      </c>
      <c r="L1841" s="181">
        <v>18</v>
      </c>
      <c r="M1841" s="179" t="s">
        <v>151</v>
      </c>
    </row>
    <row r="1842" spans="1:13" ht="38.25">
      <c r="A1842" s="313" t="str">
        <f t="shared" si="28"/>
        <v>BottomObjectTypeCode_anchor</v>
      </c>
      <c r="B1842" s="332" t="str">
        <f>HYPERLINK("[#]Datatypes!A244:L244","BottomObjectTypeCode")</f>
        <v>BottomObjectTypeCode</v>
      </c>
      <c r="C1842" s="333" t="s">
        <v>11696</v>
      </c>
      <c r="D1842" s="202" t="s">
        <v>18130</v>
      </c>
      <c r="E1842" s="203" t="s">
        <v>1524</v>
      </c>
      <c r="F1842" s="204" t="s">
        <v>18131</v>
      </c>
      <c r="G1842" s="204" t="s">
        <v>18132</v>
      </c>
      <c r="H1842" s="218"/>
      <c r="I1842" s="169">
        <v>118201</v>
      </c>
      <c r="J1842" s="304" t="str">
        <f>CONCATENATE([2]Cover!$D$6,"fdd/view?i=",I1842)</f>
        <v>https://www.dgiwg.org/FAD/fdd/view?i=118201</v>
      </c>
      <c r="K1842" s="304" t="s">
        <v>35891</v>
      </c>
      <c r="L1842" s="202">
        <v>1</v>
      </c>
      <c r="M1842" s="179" t="s">
        <v>151</v>
      </c>
    </row>
    <row r="1843" spans="1:13" ht="25.5">
      <c r="A1843" s="313" t="str">
        <f t="shared" si="28"/>
        <v>BottomObjectTypeCode_buoy</v>
      </c>
      <c r="B1843" s="330"/>
      <c r="C1843" s="334"/>
      <c r="D1843" s="188" t="s">
        <v>18133</v>
      </c>
      <c r="E1843" s="189" t="s">
        <v>1766</v>
      </c>
      <c r="F1843" s="162" t="s">
        <v>18134</v>
      </c>
      <c r="G1843" s="162" t="s">
        <v>18135</v>
      </c>
      <c r="H1843" s="219"/>
      <c r="I1843" s="169">
        <v>118202</v>
      </c>
      <c r="J1843" s="304" t="str">
        <f>CONCATENATE([2]Cover!$D$6,"fdd/view?i=",I1843)</f>
        <v>https://www.dgiwg.org/FAD/fdd/view?i=118202</v>
      </c>
      <c r="K1843" s="304" t="s">
        <v>35892</v>
      </c>
      <c r="L1843" s="188">
        <v>2</v>
      </c>
      <c r="M1843" s="179" t="s">
        <v>151</v>
      </c>
    </row>
    <row r="1844" spans="1:13" ht="38.25">
      <c r="A1844" s="313" t="str">
        <f t="shared" si="28"/>
        <v>BottomObjectTypeCode_cable</v>
      </c>
      <c r="B1844" s="330"/>
      <c r="C1844" s="334"/>
      <c r="D1844" s="188" t="s">
        <v>18136</v>
      </c>
      <c r="E1844" s="189" t="s">
        <v>1774</v>
      </c>
      <c r="F1844" s="162" t="s">
        <v>18137</v>
      </c>
      <c r="G1844" s="162" t="s">
        <v>18138</v>
      </c>
      <c r="H1844" s="219"/>
      <c r="I1844" s="169">
        <v>118203</v>
      </c>
      <c r="J1844" s="304" t="str">
        <f>CONCATENATE([2]Cover!$D$6,"fdd/view?i=",I1844)</f>
        <v>https://www.dgiwg.org/FAD/fdd/view?i=118203</v>
      </c>
      <c r="K1844" s="304" t="s">
        <v>35893</v>
      </c>
      <c r="L1844" s="188">
        <v>3</v>
      </c>
      <c r="M1844" s="179" t="s">
        <v>151</v>
      </c>
    </row>
    <row r="1845" spans="1:13" ht="63.75">
      <c r="A1845" s="313" t="str">
        <f t="shared" si="28"/>
        <v>BottomObjectTypeCode_caisson</v>
      </c>
      <c r="B1845" s="330"/>
      <c r="C1845" s="334"/>
      <c r="D1845" s="188" t="s">
        <v>17806</v>
      </c>
      <c r="E1845" s="189" t="s">
        <v>17807</v>
      </c>
      <c r="F1845" s="162" t="s">
        <v>18139</v>
      </c>
      <c r="G1845" s="162" t="s">
        <v>18140</v>
      </c>
      <c r="H1845" s="219"/>
      <c r="I1845" s="169">
        <v>118204</v>
      </c>
      <c r="J1845" s="304" t="str">
        <f>CONCATENATE([2]Cover!$D$6,"fdd/view?i=",I1845)</f>
        <v>https://www.dgiwg.org/FAD/fdd/view?i=118204</v>
      </c>
      <c r="K1845" s="304" t="s">
        <v>35894</v>
      </c>
      <c r="L1845" s="188">
        <v>4</v>
      </c>
      <c r="M1845" s="179" t="s">
        <v>151</v>
      </c>
    </row>
    <row r="1846" spans="1:13" ht="51">
      <c r="A1846" s="313" t="str">
        <f t="shared" si="28"/>
        <v>BottomObjectTypeCode_crane</v>
      </c>
      <c r="B1846" s="330"/>
      <c r="C1846" s="334"/>
      <c r="D1846" s="188" t="s">
        <v>18141</v>
      </c>
      <c r="E1846" s="189" t="s">
        <v>1942</v>
      </c>
      <c r="F1846" s="162" t="s">
        <v>18142</v>
      </c>
      <c r="G1846" s="162" t="s">
        <v>18143</v>
      </c>
      <c r="H1846" s="219"/>
      <c r="I1846" s="169">
        <v>118205</v>
      </c>
      <c r="J1846" s="304" t="str">
        <f>CONCATENATE([2]Cover!$D$6,"fdd/view?i=",I1846)</f>
        <v>https://www.dgiwg.org/FAD/fdd/view?i=118205</v>
      </c>
      <c r="K1846" s="304" t="s">
        <v>35895</v>
      </c>
      <c r="L1846" s="188">
        <v>5</v>
      </c>
      <c r="M1846" s="179" t="s">
        <v>151</v>
      </c>
    </row>
    <row r="1847" spans="1:13" ht="38.25">
      <c r="A1847" s="313" t="str">
        <f t="shared" si="28"/>
        <v>BottomObjectTypeCode_dryDock</v>
      </c>
      <c r="B1847" s="330"/>
      <c r="C1847" s="334"/>
      <c r="D1847" s="188" t="s">
        <v>18144</v>
      </c>
      <c r="E1847" s="189" t="s">
        <v>2154</v>
      </c>
      <c r="F1847" s="162" t="s">
        <v>18145</v>
      </c>
      <c r="G1847" s="162" t="s">
        <v>18146</v>
      </c>
      <c r="H1847" s="219"/>
      <c r="I1847" s="169">
        <v>118206</v>
      </c>
      <c r="J1847" s="304" t="str">
        <f>CONCATENATE([2]Cover!$D$6,"fdd/view?i=",I1847)</f>
        <v>https://www.dgiwg.org/FAD/fdd/view?i=118206</v>
      </c>
      <c r="K1847" s="304" t="s">
        <v>35896</v>
      </c>
      <c r="L1847" s="188">
        <v>6</v>
      </c>
      <c r="M1847" s="179" t="s">
        <v>151</v>
      </c>
    </row>
    <row r="1848" spans="1:13" ht="38.25">
      <c r="A1848" s="313" t="str">
        <f t="shared" si="28"/>
        <v>BottomObjectTypeCode_pilings</v>
      </c>
      <c r="B1848" s="331"/>
      <c r="C1848" s="335"/>
      <c r="D1848" s="181" t="s">
        <v>18147</v>
      </c>
      <c r="E1848" s="192" t="s">
        <v>18148</v>
      </c>
      <c r="F1848" s="193" t="s">
        <v>18149</v>
      </c>
      <c r="G1848" s="193" t="s">
        <v>18150</v>
      </c>
      <c r="H1848" s="220"/>
      <c r="I1848" s="169">
        <v>118207</v>
      </c>
      <c r="J1848" s="304" t="str">
        <f>CONCATENATE([2]Cover!$D$6,"fdd/view?i=",I1848)</f>
        <v>https://www.dgiwg.org/FAD/fdd/view?i=118207</v>
      </c>
      <c r="K1848" s="304" t="s">
        <v>35897</v>
      </c>
      <c r="L1848" s="181">
        <v>7</v>
      </c>
      <c r="M1848" s="179" t="s">
        <v>151</v>
      </c>
    </row>
    <row r="1849" spans="1:13" ht="51">
      <c r="A1849" s="313" t="str">
        <f t="shared" si="28"/>
        <v>BoundaryDetermineMethodCode_anthropogeographic</v>
      </c>
      <c r="B1849" s="332" t="str">
        <f>HYPERLINK("[#]Datatypes!A246:L246","BoundaryDetermineMethodCode")</f>
        <v>BoundaryDetermineMethodCode</v>
      </c>
      <c r="C1849" s="333" t="s">
        <v>11698</v>
      </c>
      <c r="D1849" s="202" t="s">
        <v>18151</v>
      </c>
      <c r="E1849" s="203" t="s">
        <v>18152</v>
      </c>
      <c r="F1849" s="204" t="s">
        <v>18153</v>
      </c>
      <c r="G1849" s="204" t="s">
        <v>18154</v>
      </c>
      <c r="H1849" s="218"/>
      <c r="I1849" s="169">
        <v>110092</v>
      </c>
      <c r="J1849" s="304" t="str">
        <f>CONCATENATE([2]Cover!$D$6,"fdd/view?i=",I1849)</f>
        <v>https://www.dgiwg.org/FAD/fdd/view?i=110092</v>
      </c>
      <c r="K1849" s="304" t="s">
        <v>35898</v>
      </c>
      <c r="L1849" s="202">
        <v>33</v>
      </c>
      <c r="M1849" s="179" t="s">
        <v>151</v>
      </c>
    </row>
    <row r="1850" spans="1:13" ht="51">
      <c r="A1850" s="313" t="str">
        <f t="shared" si="28"/>
        <v>BoundaryDetermineMethodCode_arc</v>
      </c>
      <c r="B1850" s="330"/>
      <c r="C1850" s="334"/>
      <c r="D1850" s="188" t="s">
        <v>18155</v>
      </c>
      <c r="E1850" s="189" t="s">
        <v>11610</v>
      </c>
      <c r="F1850" s="162" t="s">
        <v>18156</v>
      </c>
      <c r="G1850" s="162" t="s">
        <v>18157</v>
      </c>
      <c r="H1850" s="219"/>
      <c r="I1850" s="169">
        <v>103013</v>
      </c>
      <c r="J1850" s="304" t="str">
        <f>CONCATENATE([2]Cover!$D$6,"fdd/view?i=",I1850)</f>
        <v>https://www.dgiwg.org/FAD/fdd/view?i=103013</v>
      </c>
      <c r="K1850" s="304" t="s">
        <v>35899</v>
      </c>
      <c r="L1850" s="188">
        <v>23</v>
      </c>
      <c r="M1850" s="179" t="s">
        <v>151</v>
      </c>
    </row>
    <row r="1851" spans="1:13" ht="114.75">
      <c r="A1851" s="313" t="str">
        <f t="shared" si="28"/>
        <v>BoundaryDetermineMethodCode_archipelagicBaseline</v>
      </c>
      <c r="B1851" s="330"/>
      <c r="C1851" s="334"/>
      <c r="D1851" s="188" t="s">
        <v>18158</v>
      </c>
      <c r="E1851" s="189" t="s">
        <v>18159</v>
      </c>
      <c r="F1851" s="162" t="s">
        <v>18160</v>
      </c>
      <c r="G1851" s="162" t="s">
        <v>18161</v>
      </c>
      <c r="H1851" s="219"/>
      <c r="I1851" s="169">
        <v>103020</v>
      </c>
      <c r="J1851" s="304" t="str">
        <f>CONCATENATE([2]Cover!$D$6,"fdd/view?i=",I1851)</f>
        <v>https://www.dgiwg.org/FAD/fdd/view?i=103020</v>
      </c>
      <c r="K1851" s="304" t="s">
        <v>35900</v>
      </c>
      <c r="L1851" s="188">
        <v>30</v>
      </c>
      <c r="M1851" s="179" t="s">
        <v>151</v>
      </c>
    </row>
    <row r="1852" spans="1:13" ht="51">
      <c r="A1852" s="313" t="str">
        <f t="shared" si="28"/>
        <v>BoundaryDetermineMethodCode_cadastral</v>
      </c>
      <c r="B1852" s="330"/>
      <c r="C1852" s="334"/>
      <c r="D1852" s="188" t="s">
        <v>18162</v>
      </c>
      <c r="E1852" s="189" t="s">
        <v>18163</v>
      </c>
      <c r="F1852" s="162" t="s">
        <v>18164</v>
      </c>
      <c r="G1852" s="162" t="s">
        <v>18165</v>
      </c>
      <c r="H1852" s="219"/>
      <c r="I1852" s="169">
        <v>102993</v>
      </c>
      <c r="J1852" s="304" t="str">
        <f>CONCATENATE([2]Cover!$D$6,"fdd/view?i=",I1852)</f>
        <v>https://www.dgiwg.org/FAD/fdd/view?i=102993</v>
      </c>
      <c r="K1852" s="304" t="s">
        <v>35901</v>
      </c>
      <c r="L1852" s="188">
        <v>3</v>
      </c>
      <c r="M1852" s="179" t="s">
        <v>151</v>
      </c>
    </row>
    <row r="1853" spans="1:13" ht="38.25">
      <c r="A1853" s="313" t="str">
        <f t="shared" si="28"/>
        <v>BoundaryDetermineMethodCode_drainageLimit</v>
      </c>
      <c r="B1853" s="330"/>
      <c r="C1853" s="334"/>
      <c r="D1853" s="188" t="s">
        <v>18166</v>
      </c>
      <c r="E1853" s="189" t="s">
        <v>2141</v>
      </c>
      <c r="F1853" s="162" t="s">
        <v>2142</v>
      </c>
      <c r="G1853" s="162" t="s">
        <v>18167</v>
      </c>
      <c r="H1853" s="221" t="s">
        <v>18168</v>
      </c>
      <c r="I1853" s="169">
        <v>102998</v>
      </c>
      <c r="J1853" s="304" t="str">
        <f>CONCATENATE([2]Cover!$D$6,"fdd/view?i=",I1853)</f>
        <v>https://www.dgiwg.org/FAD/fdd/view?i=102998</v>
      </c>
      <c r="K1853" s="304" t="s">
        <v>35902</v>
      </c>
      <c r="L1853" s="188">
        <v>8</v>
      </c>
      <c r="M1853" s="179" t="s">
        <v>151</v>
      </c>
    </row>
    <row r="1854" spans="1:13" ht="38.25">
      <c r="A1854" s="313" t="str">
        <f t="shared" si="28"/>
        <v>BoundaryDetermineMethodCode_drainageLine</v>
      </c>
      <c r="B1854" s="330"/>
      <c r="C1854" s="334"/>
      <c r="D1854" s="188" t="s">
        <v>18169</v>
      </c>
      <c r="E1854" s="189" t="s">
        <v>18170</v>
      </c>
      <c r="F1854" s="162" t="s">
        <v>18171</v>
      </c>
      <c r="G1854" s="190"/>
      <c r="H1854" s="219"/>
      <c r="I1854" s="169">
        <v>103001</v>
      </c>
      <c r="J1854" s="304" t="str">
        <f>CONCATENATE([2]Cover!$D$6,"fdd/view?i=",I1854)</f>
        <v>https://www.dgiwg.org/FAD/fdd/view?i=103001</v>
      </c>
      <c r="K1854" s="304" t="s">
        <v>35903</v>
      </c>
      <c r="L1854" s="188">
        <v>11</v>
      </c>
      <c r="M1854" s="179" t="s">
        <v>151</v>
      </c>
    </row>
    <row r="1855" spans="1:13" ht="51">
      <c r="A1855" s="313" t="str">
        <f t="shared" si="28"/>
        <v>BoundaryDetermineMethodCode_economic</v>
      </c>
      <c r="B1855" s="330"/>
      <c r="C1855" s="334"/>
      <c r="D1855" s="188" t="s">
        <v>18172</v>
      </c>
      <c r="E1855" s="189" t="s">
        <v>18173</v>
      </c>
      <c r="F1855" s="162" t="s">
        <v>18174</v>
      </c>
      <c r="G1855" s="162" t="s">
        <v>18165</v>
      </c>
      <c r="H1855" s="219"/>
      <c r="I1855" s="169">
        <v>102996</v>
      </c>
      <c r="J1855" s="304" t="str">
        <f>CONCATENATE([2]Cover!$D$6,"fdd/view?i=",I1855)</f>
        <v>https://www.dgiwg.org/FAD/fdd/view?i=102996</v>
      </c>
      <c r="K1855" s="304" t="s">
        <v>35904</v>
      </c>
      <c r="L1855" s="188">
        <v>6</v>
      </c>
      <c r="M1855" s="179" t="s">
        <v>151</v>
      </c>
    </row>
    <row r="1856" spans="1:13" ht="25.5">
      <c r="A1856" s="313" t="str">
        <f t="shared" si="28"/>
        <v>BoundaryDetermineMethodCode_elevationContour</v>
      </c>
      <c r="B1856" s="330"/>
      <c r="C1856" s="334"/>
      <c r="D1856" s="188" t="s">
        <v>18175</v>
      </c>
      <c r="E1856" s="189" t="s">
        <v>2190</v>
      </c>
      <c r="F1856" s="162" t="s">
        <v>18176</v>
      </c>
      <c r="G1856" s="190"/>
      <c r="H1856" s="219"/>
      <c r="I1856" s="169">
        <v>102997</v>
      </c>
      <c r="J1856" s="304" t="str">
        <f>CONCATENATE([2]Cover!$D$6,"fdd/view?i=",I1856)</f>
        <v>https://www.dgiwg.org/FAD/fdd/view?i=102997</v>
      </c>
      <c r="K1856" s="304" t="s">
        <v>35905</v>
      </c>
      <c r="L1856" s="188">
        <v>7</v>
      </c>
      <c r="M1856" s="179" t="s">
        <v>151</v>
      </c>
    </row>
    <row r="1857" spans="1:13" ht="51">
      <c r="A1857" s="313" t="str">
        <f t="shared" si="28"/>
        <v>BoundaryDetermineMethodCode_ethnic</v>
      </c>
      <c r="B1857" s="330"/>
      <c r="C1857" s="334"/>
      <c r="D1857" s="188" t="s">
        <v>18177</v>
      </c>
      <c r="E1857" s="189" t="s">
        <v>18178</v>
      </c>
      <c r="F1857" s="162" t="s">
        <v>18179</v>
      </c>
      <c r="G1857" s="162" t="s">
        <v>18165</v>
      </c>
      <c r="H1857" s="219"/>
      <c r="I1857" s="169">
        <v>102991</v>
      </c>
      <c r="J1857" s="304" t="str">
        <f>CONCATENATE([2]Cover!$D$6,"fdd/view?i=",I1857)</f>
        <v>https://www.dgiwg.org/FAD/fdd/view?i=102991</v>
      </c>
      <c r="K1857" s="304" t="s">
        <v>35906</v>
      </c>
      <c r="L1857" s="188">
        <v>1</v>
      </c>
      <c r="M1857" s="179" t="s">
        <v>151</v>
      </c>
    </row>
    <row r="1858" spans="1:13" ht="114.75">
      <c r="A1858" s="313" t="str">
        <f t="shared" si="28"/>
        <v>BoundaryDetermineMethodCode_extendedContinentalShelf</v>
      </c>
      <c r="B1858" s="330"/>
      <c r="C1858" s="334"/>
      <c r="D1858" s="188" t="s">
        <v>18180</v>
      </c>
      <c r="E1858" s="189" t="s">
        <v>18181</v>
      </c>
      <c r="F1858" s="162" t="s">
        <v>18182</v>
      </c>
      <c r="G1858" s="162" t="s">
        <v>18183</v>
      </c>
      <c r="H1858" s="219"/>
      <c r="I1858" s="169">
        <v>103018</v>
      </c>
      <c r="J1858" s="304" t="str">
        <f>CONCATENATE([2]Cover!$D$6,"fdd/view?i=",I1858)</f>
        <v>https://www.dgiwg.org/FAD/fdd/view?i=103018</v>
      </c>
      <c r="K1858" s="304" t="s">
        <v>35907</v>
      </c>
      <c r="L1858" s="188">
        <v>28</v>
      </c>
      <c r="M1858" s="179" t="s">
        <v>151</v>
      </c>
    </row>
    <row r="1859" spans="1:13" ht="25.5">
      <c r="A1859" s="313" t="str">
        <f t="shared" ref="A1859:A1922" si="29">HYPERLINK(J1859,K1859)</f>
        <v>BoundaryDetermineMethodCode_geodesic</v>
      </c>
      <c r="B1859" s="330"/>
      <c r="C1859" s="334"/>
      <c r="D1859" s="188" t="s">
        <v>15813</v>
      </c>
      <c r="E1859" s="189" t="s">
        <v>12149</v>
      </c>
      <c r="F1859" s="162" t="s">
        <v>18184</v>
      </c>
      <c r="G1859" s="190"/>
      <c r="H1859" s="219"/>
      <c r="I1859" s="169">
        <v>103011</v>
      </c>
      <c r="J1859" s="304" t="str">
        <f>CONCATENATE([2]Cover!$D$6,"fdd/view?i=",I1859)</f>
        <v>https://www.dgiwg.org/FAD/fdd/view?i=103011</v>
      </c>
      <c r="K1859" s="304" t="s">
        <v>35908</v>
      </c>
      <c r="L1859" s="188">
        <v>21</v>
      </c>
      <c r="M1859" s="179" t="s">
        <v>151</v>
      </c>
    </row>
    <row r="1860" spans="1:13" ht="25.5">
      <c r="A1860" s="313" t="str">
        <f t="shared" si="29"/>
        <v>BoundaryDetermineMethodCode_greatCircle</v>
      </c>
      <c r="B1860" s="330"/>
      <c r="C1860" s="334"/>
      <c r="D1860" s="188" t="s">
        <v>15818</v>
      </c>
      <c r="E1860" s="189" t="s">
        <v>15819</v>
      </c>
      <c r="F1860" s="162" t="s">
        <v>18185</v>
      </c>
      <c r="G1860" s="162" t="s">
        <v>18186</v>
      </c>
      <c r="H1860" s="219"/>
      <c r="I1860" s="169">
        <v>103012</v>
      </c>
      <c r="J1860" s="304" t="str">
        <f>CONCATENATE([2]Cover!$D$6,"fdd/view?i=",I1860)</f>
        <v>https://www.dgiwg.org/FAD/fdd/view?i=103012</v>
      </c>
      <c r="K1860" s="304" t="s">
        <v>35909</v>
      </c>
      <c r="L1860" s="188">
        <v>22</v>
      </c>
      <c r="M1860" s="179" t="s">
        <v>151</v>
      </c>
    </row>
    <row r="1861" spans="1:13" ht="51">
      <c r="A1861" s="313" t="str">
        <f t="shared" si="29"/>
        <v>BoundaryDetermineMethodCode_historic</v>
      </c>
      <c r="B1861" s="330"/>
      <c r="C1861" s="334"/>
      <c r="D1861" s="188" t="s">
        <v>18187</v>
      </c>
      <c r="E1861" s="189" t="s">
        <v>18188</v>
      </c>
      <c r="F1861" s="162" t="s">
        <v>18189</v>
      </c>
      <c r="G1861" s="162" t="s">
        <v>18165</v>
      </c>
      <c r="H1861" s="219"/>
      <c r="I1861" s="169">
        <v>102995</v>
      </c>
      <c r="J1861" s="304" t="str">
        <f>CONCATENATE([2]Cover!$D$6,"fdd/view?i=",I1861)</f>
        <v>https://www.dgiwg.org/FAD/fdd/view?i=102995</v>
      </c>
      <c r="K1861" s="304" t="s">
        <v>35910</v>
      </c>
      <c r="L1861" s="188">
        <v>5</v>
      </c>
      <c r="M1861" s="179" t="s">
        <v>151</v>
      </c>
    </row>
    <row r="1862" spans="1:13" ht="38.25">
      <c r="A1862" s="313" t="str">
        <f t="shared" si="29"/>
        <v>BoundaryDetermineMethodCode_lakeTransect</v>
      </c>
      <c r="B1862" s="330"/>
      <c r="C1862" s="334"/>
      <c r="D1862" s="188" t="s">
        <v>18190</v>
      </c>
      <c r="E1862" s="189" t="s">
        <v>18191</v>
      </c>
      <c r="F1862" s="162" t="s">
        <v>18192</v>
      </c>
      <c r="G1862" s="190"/>
      <c r="H1862" s="219"/>
      <c r="I1862" s="169">
        <v>103005</v>
      </c>
      <c r="J1862" s="304" t="str">
        <f>CONCATENATE([2]Cover!$D$6,"fdd/view?i=",I1862)</f>
        <v>https://www.dgiwg.org/FAD/fdd/view?i=103005</v>
      </c>
      <c r="K1862" s="304" t="s">
        <v>35911</v>
      </c>
      <c r="L1862" s="188">
        <v>15</v>
      </c>
      <c r="M1862" s="179" t="s">
        <v>151</v>
      </c>
    </row>
    <row r="1863" spans="1:13" ht="51">
      <c r="A1863" s="313" t="str">
        <f t="shared" si="29"/>
        <v>BoundaryDetermineMethodCode_leftBank</v>
      </c>
      <c r="B1863" s="330"/>
      <c r="C1863" s="334"/>
      <c r="D1863" s="188" t="s">
        <v>18193</v>
      </c>
      <c r="E1863" s="189" t="s">
        <v>18194</v>
      </c>
      <c r="F1863" s="162" t="s">
        <v>18195</v>
      </c>
      <c r="G1863" s="162" t="s">
        <v>18196</v>
      </c>
      <c r="H1863" s="219"/>
      <c r="I1863" s="169">
        <v>103002</v>
      </c>
      <c r="J1863" s="304" t="str">
        <f>CONCATENATE([2]Cover!$D$6,"fdd/view?i=",I1863)</f>
        <v>https://www.dgiwg.org/FAD/fdd/view?i=103002</v>
      </c>
      <c r="K1863" s="304" t="s">
        <v>35912</v>
      </c>
      <c r="L1863" s="188">
        <v>12</v>
      </c>
      <c r="M1863" s="179" t="s">
        <v>151</v>
      </c>
    </row>
    <row r="1864" spans="1:13" ht="25.5">
      <c r="A1864" s="313" t="str">
        <f t="shared" si="29"/>
        <v>BoundaryDetermineMethodCode_mainChannel</v>
      </c>
      <c r="B1864" s="330"/>
      <c r="C1864" s="334"/>
      <c r="D1864" s="188" t="s">
        <v>18197</v>
      </c>
      <c r="E1864" s="189" t="s">
        <v>18198</v>
      </c>
      <c r="F1864" s="162" t="s">
        <v>18199</v>
      </c>
      <c r="G1864" s="190"/>
      <c r="H1864" s="219"/>
      <c r="I1864" s="169">
        <v>103019</v>
      </c>
      <c r="J1864" s="304" t="str">
        <f>CONCATENATE([2]Cover!$D$6,"fdd/view?i=",I1864)</f>
        <v>https://www.dgiwg.org/FAD/fdd/view?i=103019</v>
      </c>
      <c r="K1864" s="304" t="s">
        <v>35913</v>
      </c>
      <c r="L1864" s="188">
        <v>29</v>
      </c>
      <c r="M1864" s="179" t="s">
        <v>151</v>
      </c>
    </row>
    <row r="1865" spans="1:13" ht="76.5">
      <c r="A1865" s="313" t="str">
        <f t="shared" si="29"/>
        <v>BoundaryDetermineMethodCode_median</v>
      </c>
      <c r="B1865" s="330"/>
      <c r="C1865" s="334"/>
      <c r="D1865" s="188" t="s">
        <v>18200</v>
      </c>
      <c r="E1865" s="189" t="s">
        <v>18201</v>
      </c>
      <c r="F1865" s="162" t="s">
        <v>18202</v>
      </c>
      <c r="G1865" s="162" t="s">
        <v>18203</v>
      </c>
      <c r="H1865" s="221" t="s">
        <v>18204</v>
      </c>
      <c r="I1865" s="169">
        <v>103007</v>
      </c>
      <c r="J1865" s="304" t="str">
        <f>CONCATENATE([2]Cover!$D$6,"fdd/view?i=",I1865)</f>
        <v>https://www.dgiwg.org/FAD/fdd/view?i=103007</v>
      </c>
      <c r="K1865" s="304" t="s">
        <v>35914</v>
      </c>
      <c r="L1865" s="188">
        <v>17</v>
      </c>
      <c r="M1865" s="179" t="s">
        <v>151</v>
      </c>
    </row>
    <row r="1866" spans="1:13" ht="25.5">
      <c r="A1866" s="313" t="str">
        <f t="shared" si="29"/>
        <v>BoundaryDetermineMethodCode_meridian</v>
      </c>
      <c r="B1866" s="330"/>
      <c r="C1866" s="334"/>
      <c r="D1866" s="188" t="s">
        <v>18205</v>
      </c>
      <c r="E1866" s="189" t="s">
        <v>18206</v>
      </c>
      <c r="F1866" s="162" t="s">
        <v>18207</v>
      </c>
      <c r="G1866" s="190"/>
      <c r="H1866" s="221" t="s">
        <v>18208</v>
      </c>
      <c r="I1866" s="169">
        <v>103006</v>
      </c>
      <c r="J1866" s="304" t="str">
        <f>CONCATENATE([2]Cover!$D$6,"fdd/view?i=",I1866)</f>
        <v>https://www.dgiwg.org/FAD/fdd/view?i=103006</v>
      </c>
      <c r="K1866" s="304" t="s">
        <v>35915</v>
      </c>
      <c r="L1866" s="188">
        <v>16</v>
      </c>
      <c r="M1866" s="179" t="s">
        <v>151</v>
      </c>
    </row>
    <row r="1867" spans="1:13" ht="51">
      <c r="A1867" s="313" t="str">
        <f t="shared" si="29"/>
        <v>BoundaryDetermineMethodCode_militaryEngagement</v>
      </c>
      <c r="B1867" s="330"/>
      <c r="C1867" s="334"/>
      <c r="D1867" s="188" t="s">
        <v>18209</v>
      </c>
      <c r="E1867" s="189" t="s">
        <v>18210</v>
      </c>
      <c r="F1867" s="162" t="s">
        <v>18211</v>
      </c>
      <c r="G1867" s="162" t="s">
        <v>18165</v>
      </c>
      <c r="H1867" s="219"/>
      <c r="I1867" s="169">
        <v>102994</v>
      </c>
      <c r="J1867" s="304" t="str">
        <f>CONCATENATE([2]Cover!$D$6,"fdd/view?i=",I1867)</f>
        <v>https://www.dgiwg.org/FAD/fdd/view?i=102994</v>
      </c>
      <c r="K1867" s="304" t="s">
        <v>35916</v>
      </c>
      <c r="L1867" s="188">
        <v>4</v>
      </c>
      <c r="M1867" s="179" t="s">
        <v>151</v>
      </c>
    </row>
    <row r="1868" spans="1:13" ht="51">
      <c r="A1868" s="313" t="str">
        <f t="shared" si="29"/>
        <v>BoundaryDetermineMethodCode_municipal</v>
      </c>
      <c r="B1868" s="330"/>
      <c r="C1868" s="334"/>
      <c r="D1868" s="188" t="s">
        <v>13394</v>
      </c>
      <c r="E1868" s="189" t="s">
        <v>13395</v>
      </c>
      <c r="F1868" s="162" t="s">
        <v>18212</v>
      </c>
      <c r="G1868" s="162" t="s">
        <v>18165</v>
      </c>
      <c r="H1868" s="219"/>
      <c r="I1868" s="169">
        <v>102992</v>
      </c>
      <c r="J1868" s="304" t="str">
        <f>CONCATENATE([2]Cover!$D$6,"fdd/view?i=",I1868)</f>
        <v>https://www.dgiwg.org/FAD/fdd/view?i=102992</v>
      </c>
      <c r="K1868" s="304" t="s">
        <v>35917</v>
      </c>
      <c r="L1868" s="188">
        <v>2</v>
      </c>
      <c r="M1868" s="179" t="s">
        <v>151</v>
      </c>
    </row>
    <row r="1869" spans="1:13" ht="76.5">
      <c r="A1869" s="313" t="str">
        <f t="shared" si="29"/>
        <v>BoundaryDetermineMethodCode_normalBaseline</v>
      </c>
      <c r="B1869" s="330"/>
      <c r="C1869" s="334"/>
      <c r="D1869" s="188" t="s">
        <v>18213</v>
      </c>
      <c r="E1869" s="189" t="s">
        <v>18214</v>
      </c>
      <c r="F1869" s="162" t="s">
        <v>18215</v>
      </c>
      <c r="G1869" s="162" t="s">
        <v>18216</v>
      </c>
      <c r="H1869" s="219"/>
      <c r="I1869" s="169">
        <v>103014</v>
      </c>
      <c r="J1869" s="304" t="str">
        <f>CONCATENATE([2]Cover!$D$6,"fdd/view?i=",I1869)</f>
        <v>https://www.dgiwg.org/FAD/fdd/view?i=103014</v>
      </c>
      <c r="K1869" s="304" t="s">
        <v>35918</v>
      </c>
      <c r="L1869" s="188">
        <v>24</v>
      </c>
      <c r="M1869" s="179" t="s">
        <v>151</v>
      </c>
    </row>
    <row r="1870" spans="1:13" ht="153">
      <c r="A1870" s="313" t="str">
        <f t="shared" si="29"/>
        <v>BoundaryDetermineMethodCode_normalContinentalShelf</v>
      </c>
      <c r="B1870" s="330"/>
      <c r="C1870" s="334"/>
      <c r="D1870" s="188" t="s">
        <v>18217</v>
      </c>
      <c r="E1870" s="189" t="s">
        <v>18218</v>
      </c>
      <c r="F1870" s="162" t="s">
        <v>18219</v>
      </c>
      <c r="G1870" s="162" t="s">
        <v>18220</v>
      </c>
      <c r="H1870" s="219"/>
      <c r="I1870" s="169">
        <v>103017</v>
      </c>
      <c r="J1870" s="304" t="str">
        <f>CONCATENATE([2]Cover!$D$6,"fdd/view?i=",I1870)</f>
        <v>https://www.dgiwg.org/FAD/fdd/view?i=103017</v>
      </c>
      <c r="K1870" s="304" t="s">
        <v>35919</v>
      </c>
      <c r="L1870" s="188">
        <v>27</v>
      </c>
      <c r="M1870" s="179" t="s">
        <v>151</v>
      </c>
    </row>
    <row r="1871" spans="1:13" ht="25.5">
      <c r="A1871" s="313" t="str">
        <f t="shared" si="29"/>
        <v>BoundaryDetermineMethodCode_parallel</v>
      </c>
      <c r="B1871" s="330"/>
      <c r="C1871" s="334"/>
      <c r="D1871" s="188" t="s">
        <v>15967</v>
      </c>
      <c r="E1871" s="189" t="s">
        <v>15968</v>
      </c>
      <c r="F1871" s="162" t="s">
        <v>18221</v>
      </c>
      <c r="G1871" s="190"/>
      <c r="H1871" s="221" t="s">
        <v>18222</v>
      </c>
      <c r="I1871" s="169">
        <v>103008</v>
      </c>
      <c r="J1871" s="304" t="str">
        <f>CONCATENATE([2]Cover!$D$6,"fdd/view?i=",I1871)</f>
        <v>https://www.dgiwg.org/FAD/fdd/view?i=103008</v>
      </c>
      <c r="K1871" s="304" t="s">
        <v>35920</v>
      </c>
      <c r="L1871" s="188">
        <v>18</v>
      </c>
      <c r="M1871" s="179" t="s">
        <v>151</v>
      </c>
    </row>
    <row r="1872" spans="1:13" ht="25.5">
      <c r="A1872" s="313" t="str">
        <f t="shared" si="29"/>
        <v>BoundaryDetermineMethodCode_ridgeline</v>
      </c>
      <c r="B1872" s="330"/>
      <c r="C1872" s="334"/>
      <c r="D1872" s="188" t="s">
        <v>18223</v>
      </c>
      <c r="E1872" s="189" t="s">
        <v>18224</v>
      </c>
      <c r="F1872" s="162" t="s">
        <v>18225</v>
      </c>
      <c r="G1872" s="190"/>
      <c r="H1872" s="219"/>
      <c r="I1872" s="169">
        <v>103000</v>
      </c>
      <c r="J1872" s="304" t="str">
        <f>CONCATENATE([2]Cover!$D$6,"fdd/view?i=",I1872)</f>
        <v>https://www.dgiwg.org/FAD/fdd/view?i=103000</v>
      </c>
      <c r="K1872" s="304" t="s">
        <v>35921</v>
      </c>
      <c r="L1872" s="188">
        <v>10</v>
      </c>
      <c r="M1872" s="179" t="s">
        <v>151</v>
      </c>
    </row>
    <row r="1873" spans="1:13" ht="51">
      <c r="A1873" s="313" t="str">
        <f t="shared" si="29"/>
        <v>BoundaryDetermineMethodCode_rightBank</v>
      </c>
      <c r="B1873" s="330"/>
      <c r="C1873" s="334"/>
      <c r="D1873" s="188" t="s">
        <v>18226</v>
      </c>
      <c r="E1873" s="189" t="s">
        <v>18227</v>
      </c>
      <c r="F1873" s="162" t="s">
        <v>18228</v>
      </c>
      <c r="G1873" s="162" t="s">
        <v>18229</v>
      </c>
      <c r="H1873" s="219"/>
      <c r="I1873" s="169">
        <v>103003</v>
      </c>
      <c r="J1873" s="304" t="str">
        <f>CONCATENATE([2]Cover!$D$6,"fdd/view?i=",I1873)</f>
        <v>https://www.dgiwg.org/FAD/fdd/view?i=103003</v>
      </c>
      <c r="K1873" s="304" t="s">
        <v>35922</v>
      </c>
      <c r="L1873" s="188">
        <v>13</v>
      </c>
      <c r="M1873" s="179" t="s">
        <v>151</v>
      </c>
    </row>
    <row r="1874" spans="1:13" ht="51">
      <c r="A1874" s="313" t="str">
        <f t="shared" si="29"/>
        <v>BoundaryDetermineMethodCode_shoreline</v>
      </c>
      <c r="B1874" s="330"/>
      <c r="C1874" s="334"/>
      <c r="D1874" s="188" t="s">
        <v>18230</v>
      </c>
      <c r="E1874" s="189" t="s">
        <v>3878</v>
      </c>
      <c r="F1874" s="162" t="s">
        <v>18231</v>
      </c>
      <c r="G1874" s="162" t="s">
        <v>18232</v>
      </c>
      <c r="H1874" s="219"/>
      <c r="I1874" s="169">
        <v>103004</v>
      </c>
      <c r="J1874" s="304" t="str">
        <f>CONCATENATE([2]Cover!$D$6,"fdd/view?i=",I1874)</f>
        <v>https://www.dgiwg.org/FAD/fdd/view?i=103004</v>
      </c>
      <c r="K1874" s="304" t="s">
        <v>35923</v>
      </c>
      <c r="L1874" s="188">
        <v>14</v>
      </c>
      <c r="M1874" s="179" t="s">
        <v>151</v>
      </c>
    </row>
    <row r="1875" spans="1:13" ht="102">
      <c r="A1875" s="313" t="str">
        <f t="shared" si="29"/>
        <v>BoundaryDetermineMethodCode_straight</v>
      </c>
      <c r="B1875" s="330"/>
      <c r="C1875" s="334"/>
      <c r="D1875" s="188" t="s">
        <v>17914</v>
      </c>
      <c r="E1875" s="189" t="s">
        <v>17915</v>
      </c>
      <c r="F1875" s="162" t="s">
        <v>18233</v>
      </c>
      <c r="G1875" s="162" t="s">
        <v>18234</v>
      </c>
      <c r="H1875" s="219"/>
      <c r="I1875" s="169">
        <v>103010</v>
      </c>
      <c r="J1875" s="304" t="str">
        <f>CONCATENATE([2]Cover!$D$6,"fdd/view?i=",I1875)</f>
        <v>https://www.dgiwg.org/FAD/fdd/view?i=103010</v>
      </c>
      <c r="K1875" s="304" t="s">
        <v>35924</v>
      </c>
      <c r="L1875" s="188">
        <v>20</v>
      </c>
      <c r="M1875" s="179" t="s">
        <v>151</v>
      </c>
    </row>
    <row r="1876" spans="1:13" ht="204">
      <c r="A1876" s="313" t="str">
        <f t="shared" si="29"/>
        <v>BoundaryDetermineMethodCode_straightBaseline</v>
      </c>
      <c r="B1876" s="330"/>
      <c r="C1876" s="334"/>
      <c r="D1876" s="188" t="s">
        <v>18235</v>
      </c>
      <c r="E1876" s="189" t="s">
        <v>18236</v>
      </c>
      <c r="F1876" s="162" t="s">
        <v>18237</v>
      </c>
      <c r="G1876" s="162" t="s">
        <v>18238</v>
      </c>
      <c r="H1876" s="219"/>
      <c r="I1876" s="169">
        <v>103015</v>
      </c>
      <c r="J1876" s="304" t="str">
        <f>CONCATENATE([2]Cover!$D$6,"fdd/view?i=",I1876)</f>
        <v>https://www.dgiwg.org/FAD/fdd/view?i=103015</v>
      </c>
      <c r="K1876" s="304" t="s">
        <v>35925</v>
      </c>
      <c r="L1876" s="188">
        <v>25</v>
      </c>
      <c r="M1876" s="179" t="s">
        <v>151</v>
      </c>
    </row>
    <row r="1877" spans="1:13" ht="25.5">
      <c r="A1877" s="313" t="str">
        <f t="shared" si="29"/>
        <v>BoundaryDetermineMethodCode_straightSegmented</v>
      </c>
      <c r="B1877" s="330"/>
      <c r="C1877" s="334"/>
      <c r="D1877" s="188" t="s">
        <v>18239</v>
      </c>
      <c r="E1877" s="189" t="s">
        <v>18240</v>
      </c>
      <c r="F1877" s="162" t="s">
        <v>18241</v>
      </c>
      <c r="G1877" s="190"/>
      <c r="H1877" s="221" t="s">
        <v>18242</v>
      </c>
      <c r="I1877" s="169">
        <v>103009</v>
      </c>
      <c r="J1877" s="304" t="str">
        <f>CONCATENATE([2]Cover!$D$6,"fdd/view?i=",I1877)</f>
        <v>https://www.dgiwg.org/FAD/fdd/view?i=103009</v>
      </c>
      <c r="K1877" s="304" t="s">
        <v>35926</v>
      </c>
      <c r="L1877" s="188">
        <v>19</v>
      </c>
      <c r="M1877" s="179" t="s">
        <v>151</v>
      </c>
    </row>
    <row r="1878" spans="1:13" ht="63.75">
      <c r="A1878" s="313" t="str">
        <f t="shared" si="29"/>
        <v>BoundaryDetermineMethodCode_thalweg</v>
      </c>
      <c r="B1878" s="330"/>
      <c r="C1878" s="334"/>
      <c r="D1878" s="188" t="s">
        <v>18243</v>
      </c>
      <c r="E1878" s="189" t="s">
        <v>4248</v>
      </c>
      <c r="F1878" s="162" t="s">
        <v>18244</v>
      </c>
      <c r="G1878" s="162" t="s">
        <v>18245</v>
      </c>
      <c r="H1878" s="221" t="s">
        <v>18246</v>
      </c>
      <c r="I1878" s="169">
        <v>102999</v>
      </c>
      <c r="J1878" s="304" t="str">
        <f>CONCATENATE([2]Cover!$D$6,"fdd/view?i=",I1878)</f>
        <v>https://www.dgiwg.org/FAD/fdd/view?i=102999</v>
      </c>
      <c r="K1878" s="304" t="s">
        <v>35927</v>
      </c>
      <c r="L1878" s="188">
        <v>9</v>
      </c>
      <c r="M1878" s="179" t="s">
        <v>151</v>
      </c>
    </row>
    <row r="1879" spans="1:13" ht="25.5">
      <c r="A1879" s="313" t="str">
        <f t="shared" si="29"/>
        <v>BoundaryDetermineMethodCode_thalwegToPeak</v>
      </c>
      <c r="B1879" s="331"/>
      <c r="C1879" s="335"/>
      <c r="D1879" s="181" t="s">
        <v>18247</v>
      </c>
      <c r="E1879" s="192" t="s">
        <v>18248</v>
      </c>
      <c r="F1879" s="193" t="s">
        <v>18249</v>
      </c>
      <c r="G1879" s="194"/>
      <c r="H1879" s="220"/>
      <c r="I1879" s="169">
        <v>103022</v>
      </c>
      <c r="J1879" s="304" t="str">
        <f>CONCATENATE([2]Cover!$D$6,"fdd/view?i=",I1879)</f>
        <v>https://www.dgiwg.org/FAD/fdd/view?i=103022</v>
      </c>
      <c r="K1879" s="304" t="s">
        <v>35928</v>
      </c>
      <c r="L1879" s="181">
        <v>32</v>
      </c>
      <c r="M1879" s="179" t="s">
        <v>151</v>
      </c>
    </row>
    <row r="1880" spans="1:13" ht="25.5">
      <c r="A1880" s="313" t="str">
        <f t="shared" si="29"/>
        <v>BoundaryDisputeTypeCode_deFacto</v>
      </c>
      <c r="B1880" s="332" t="str">
        <f>HYPERLINK("[#]Datatypes!A248:L248","BoundaryDisputeTypeCode")</f>
        <v>BoundaryDisputeTypeCode</v>
      </c>
      <c r="C1880" s="333" t="s">
        <v>11700</v>
      </c>
      <c r="D1880" s="202" t="s">
        <v>18250</v>
      </c>
      <c r="E1880" s="203" t="s">
        <v>18251</v>
      </c>
      <c r="F1880" s="204" t="s">
        <v>18252</v>
      </c>
      <c r="G1880" s="204" t="s">
        <v>18253</v>
      </c>
      <c r="H1880" s="218"/>
      <c r="I1880" s="169">
        <v>103420</v>
      </c>
      <c r="J1880" s="304" t="str">
        <f>CONCATENATE([2]Cover!$D$6,"fdd/view?i=",I1880)</f>
        <v>https://www.dgiwg.org/FAD/fdd/view?i=103420</v>
      </c>
      <c r="K1880" s="304" t="s">
        <v>35929</v>
      </c>
      <c r="L1880" s="202">
        <v>3</v>
      </c>
      <c r="M1880" s="179" t="s">
        <v>151</v>
      </c>
    </row>
    <row r="1881" spans="1:13" ht="229.5">
      <c r="A1881" s="313" t="str">
        <f t="shared" si="29"/>
        <v>BoundaryDisputeTypeCode_deJure</v>
      </c>
      <c r="B1881" s="330"/>
      <c r="C1881" s="334"/>
      <c r="D1881" s="188" t="s">
        <v>18254</v>
      </c>
      <c r="E1881" s="189" t="s">
        <v>18255</v>
      </c>
      <c r="F1881" s="162" t="s">
        <v>18256</v>
      </c>
      <c r="G1881" s="162" t="s">
        <v>18257</v>
      </c>
      <c r="H1881" s="219"/>
      <c r="I1881" s="169">
        <v>103421</v>
      </c>
      <c r="J1881" s="304" t="str">
        <f>CONCATENATE([2]Cover!$D$6,"fdd/view?i=",I1881)</f>
        <v>https://www.dgiwg.org/FAD/fdd/view?i=103421</v>
      </c>
      <c r="K1881" s="304" t="s">
        <v>35930</v>
      </c>
      <c r="L1881" s="188">
        <v>4</v>
      </c>
      <c r="M1881" s="179" t="s">
        <v>151</v>
      </c>
    </row>
    <row r="1882" spans="1:13" ht="102">
      <c r="A1882" s="313" t="str">
        <f t="shared" si="29"/>
        <v>BoundaryDisputeTypeCode_inDispute</v>
      </c>
      <c r="B1882" s="330"/>
      <c r="C1882" s="334"/>
      <c r="D1882" s="188" t="s">
        <v>18258</v>
      </c>
      <c r="E1882" s="189" t="s">
        <v>18259</v>
      </c>
      <c r="F1882" s="162" t="s">
        <v>18260</v>
      </c>
      <c r="G1882" s="162" t="s">
        <v>18261</v>
      </c>
      <c r="H1882" s="221" t="s">
        <v>18262</v>
      </c>
      <c r="I1882" s="169">
        <v>103418</v>
      </c>
      <c r="J1882" s="304" t="str">
        <f>CONCATENATE([2]Cover!$D$6,"fdd/view?i=",I1882)</f>
        <v>https://www.dgiwg.org/FAD/fdd/view?i=103418</v>
      </c>
      <c r="K1882" s="304" t="s">
        <v>35931</v>
      </c>
      <c r="L1882" s="188">
        <v>1</v>
      </c>
      <c r="M1882" s="179" t="s">
        <v>151</v>
      </c>
    </row>
    <row r="1883" spans="1:13" ht="25.5">
      <c r="A1883" s="313" t="str">
        <f t="shared" si="29"/>
        <v>BoundaryDisputeTypeCode_undisputed</v>
      </c>
      <c r="B1883" s="331"/>
      <c r="C1883" s="335"/>
      <c r="D1883" s="181" t="s">
        <v>18263</v>
      </c>
      <c r="E1883" s="192" t="s">
        <v>18264</v>
      </c>
      <c r="F1883" s="193" t="s">
        <v>18265</v>
      </c>
      <c r="G1883" s="194"/>
      <c r="H1883" s="220"/>
      <c r="I1883" s="169">
        <v>103419</v>
      </c>
      <c r="J1883" s="304" t="str">
        <f>CONCATENATE([2]Cover!$D$6,"fdd/view?i=",I1883)</f>
        <v>https://www.dgiwg.org/FAD/fdd/view?i=103419</v>
      </c>
      <c r="K1883" s="304" t="s">
        <v>35932</v>
      </c>
      <c r="L1883" s="181">
        <v>2</v>
      </c>
      <c r="M1883" s="179" t="s">
        <v>151</v>
      </c>
    </row>
    <row r="1884" spans="1:13" ht="25.5">
      <c r="A1884" s="313" t="str">
        <f t="shared" si="29"/>
        <v>BoundaryRepresentatPolicyCode_administerAsInternational</v>
      </c>
      <c r="B1884" s="332" t="str">
        <f>HYPERLINK("[#]Datatypes!A250:L250","BoundaryRepresentatPolicyCode")</f>
        <v>BoundaryRepresentatPolicyCode</v>
      </c>
      <c r="C1884" s="333" t="s">
        <v>11702</v>
      </c>
      <c r="D1884" s="202" t="s">
        <v>18266</v>
      </c>
      <c r="E1884" s="203" t="s">
        <v>18267</v>
      </c>
      <c r="F1884" s="204" t="s">
        <v>18268</v>
      </c>
      <c r="G1884" s="205"/>
      <c r="H1884" s="218"/>
      <c r="I1884" s="169">
        <v>107245</v>
      </c>
      <c r="J1884" s="304" t="str">
        <f>CONCATENATE([2]Cover!$D$6,"fdd/view?i=",I1884)</f>
        <v>https://www.dgiwg.org/FAD/fdd/view?i=107245</v>
      </c>
      <c r="K1884" s="304" t="s">
        <v>35933</v>
      </c>
      <c r="L1884" s="202">
        <v>5</v>
      </c>
      <c r="M1884" s="179" t="s">
        <v>151</v>
      </c>
    </row>
    <row r="1885" spans="1:13" ht="38.25">
      <c r="A1885" s="313" t="str">
        <f t="shared" si="29"/>
        <v>BoundaryRepresentatPolicyCode_definite</v>
      </c>
      <c r="B1885" s="330"/>
      <c r="C1885" s="334"/>
      <c r="D1885" s="188" t="s">
        <v>18269</v>
      </c>
      <c r="E1885" s="189" t="s">
        <v>18270</v>
      </c>
      <c r="F1885" s="162" t="s">
        <v>18271</v>
      </c>
      <c r="G1885" s="162" t="s">
        <v>18272</v>
      </c>
      <c r="H1885" s="219"/>
      <c r="I1885" s="169">
        <v>107242</v>
      </c>
      <c r="J1885" s="304" t="str">
        <f>CONCATENATE([2]Cover!$D$6,"fdd/view?i=",I1885)</f>
        <v>https://www.dgiwg.org/FAD/fdd/view?i=107242</v>
      </c>
      <c r="K1885" s="304" t="s">
        <v>35934</v>
      </c>
      <c r="L1885" s="188">
        <v>2</v>
      </c>
      <c r="M1885" s="179" t="s">
        <v>151</v>
      </c>
    </row>
    <row r="1886" spans="1:13" ht="63.75">
      <c r="A1886" s="313" t="str">
        <f t="shared" si="29"/>
        <v>BoundaryRepresentatPolicyCode_indefinite</v>
      </c>
      <c r="B1886" s="330"/>
      <c r="C1886" s="334"/>
      <c r="D1886" s="188" t="s">
        <v>18275</v>
      </c>
      <c r="E1886" s="189" t="s">
        <v>18276</v>
      </c>
      <c r="F1886" s="162" t="s">
        <v>18277</v>
      </c>
      <c r="G1886" s="162" t="s">
        <v>18278</v>
      </c>
      <c r="H1886" s="219"/>
      <c r="I1886" s="169">
        <v>107243</v>
      </c>
      <c r="J1886" s="304" t="str">
        <f>CONCATENATE([2]Cover!$D$6,"fdd/view?i=",I1886)</f>
        <v>https://www.dgiwg.org/FAD/fdd/view?i=107243</v>
      </c>
      <c r="K1886" s="304" t="s">
        <v>35935</v>
      </c>
      <c r="L1886" s="188">
        <v>3</v>
      </c>
      <c r="M1886" s="179" t="s">
        <v>151</v>
      </c>
    </row>
    <row r="1887" spans="1:13" ht="153">
      <c r="A1887" s="313" t="str">
        <f t="shared" si="29"/>
        <v>BoundaryRepresentatPolicyCode_inDispute</v>
      </c>
      <c r="B1887" s="330"/>
      <c r="C1887" s="334"/>
      <c r="D1887" s="188" t="s">
        <v>18258</v>
      </c>
      <c r="E1887" s="189" t="s">
        <v>18259</v>
      </c>
      <c r="F1887" s="162" t="s">
        <v>18273</v>
      </c>
      <c r="G1887" s="162" t="s">
        <v>18274</v>
      </c>
      <c r="H1887" s="221" t="s">
        <v>18262</v>
      </c>
      <c r="I1887" s="169">
        <v>107244</v>
      </c>
      <c r="J1887" s="304" t="str">
        <f>CONCATENATE([2]Cover!$D$6,"fdd/view?i=",I1887)</f>
        <v>https://www.dgiwg.org/FAD/fdd/view?i=107244</v>
      </c>
      <c r="K1887" s="304" t="s">
        <v>35936</v>
      </c>
      <c r="L1887" s="188">
        <v>4</v>
      </c>
      <c r="M1887" s="179" t="s">
        <v>151</v>
      </c>
    </row>
    <row r="1888" spans="1:13" ht="25.5">
      <c r="A1888" s="313" t="str">
        <f t="shared" si="29"/>
        <v>BoundaryRepresentatPolicyCode_showNoLine</v>
      </c>
      <c r="B1888" s="331"/>
      <c r="C1888" s="335"/>
      <c r="D1888" s="181" t="s">
        <v>18279</v>
      </c>
      <c r="E1888" s="192" t="s">
        <v>18280</v>
      </c>
      <c r="F1888" s="193" t="s">
        <v>18281</v>
      </c>
      <c r="G1888" s="194"/>
      <c r="H1888" s="220"/>
      <c r="I1888" s="169">
        <v>107241</v>
      </c>
      <c r="J1888" s="304" t="str">
        <f>CONCATENATE([2]Cover!$D$6,"fdd/view?i=",I1888)</f>
        <v>https://www.dgiwg.org/FAD/fdd/view?i=107241</v>
      </c>
      <c r="K1888" s="304" t="s">
        <v>35937</v>
      </c>
      <c r="L1888" s="181">
        <v>1</v>
      </c>
      <c r="M1888" s="179" t="s">
        <v>151</v>
      </c>
    </row>
    <row r="1889" spans="1:13" ht="38.25">
      <c r="A1889" s="313" t="str">
        <f t="shared" si="29"/>
        <v>BoundaryStatusCode_definite</v>
      </c>
      <c r="B1889" s="332" t="str">
        <f>HYPERLINK("[#]Datatypes!A252:L252","BoundaryStatusCode")</f>
        <v>BoundaryStatusCode</v>
      </c>
      <c r="C1889" s="333" t="s">
        <v>11704</v>
      </c>
      <c r="D1889" s="202" t="s">
        <v>18269</v>
      </c>
      <c r="E1889" s="203" t="s">
        <v>18270</v>
      </c>
      <c r="F1889" s="204" t="s">
        <v>18282</v>
      </c>
      <c r="G1889" s="204" t="s">
        <v>18283</v>
      </c>
      <c r="H1889" s="218"/>
      <c r="I1889" s="169">
        <v>102606</v>
      </c>
      <c r="J1889" s="304" t="str">
        <f>CONCATENATE([2]Cover!$D$6,"fdd/view?i=",I1889)</f>
        <v>https://www.dgiwg.org/FAD/fdd/view?i=102606</v>
      </c>
      <c r="K1889" s="304" t="s">
        <v>35938</v>
      </c>
      <c r="L1889" s="202">
        <v>1</v>
      </c>
      <c r="M1889" s="179" t="s">
        <v>151</v>
      </c>
    </row>
    <row r="1890" spans="1:13" ht="76.5">
      <c r="A1890" s="313" t="str">
        <f t="shared" si="29"/>
        <v>BoundaryStatusCode_indefinite</v>
      </c>
      <c r="B1890" s="330"/>
      <c r="C1890" s="334"/>
      <c r="D1890" s="188" t="s">
        <v>18275</v>
      </c>
      <c r="E1890" s="189" t="s">
        <v>18276</v>
      </c>
      <c r="F1890" s="162" t="s">
        <v>18284</v>
      </c>
      <c r="G1890" s="162" t="s">
        <v>18285</v>
      </c>
      <c r="H1890" s="219"/>
      <c r="I1890" s="169">
        <v>102607</v>
      </c>
      <c r="J1890" s="304" t="str">
        <f>CONCATENATE([2]Cover!$D$6,"fdd/view?i=",I1890)</f>
        <v>https://www.dgiwg.org/FAD/fdd/view?i=102607</v>
      </c>
      <c r="K1890" s="304" t="s">
        <v>35939</v>
      </c>
      <c r="L1890" s="188">
        <v>2</v>
      </c>
      <c r="M1890" s="179" t="s">
        <v>151</v>
      </c>
    </row>
    <row r="1891" spans="1:13" ht="102">
      <c r="A1891" s="313" t="str">
        <f t="shared" si="29"/>
        <v>BoundaryStatusCode_inDispute</v>
      </c>
      <c r="B1891" s="330"/>
      <c r="C1891" s="334"/>
      <c r="D1891" s="188" t="s">
        <v>18258</v>
      </c>
      <c r="E1891" s="189" t="s">
        <v>18259</v>
      </c>
      <c r="F1891" s="162" t="s">
        <v>18260</v>
      </c>
      <c r="G1891" s="162" t="s">
        <v>18261</v>
      </c>
      <c r="H1891" s="221" t="s">
        <v>18262</v>
      </c>
      <c r="I1891" s="169">
        <v>102608</v>
      </c>
      <c r="J1891" s="304" t="str">
        <f>CONCATENATE([2]Cover!$D$6,"fdd/view?i=",I1891)</f>
        <v>https://www.dgiwg.org/FAD/fdd/view?i=102608</v>
      </c>
      <c r="K1891" s="304" t="s">
        <v>35940</v>
      </c>
      <c r="L1891" s="188">
        <v>3</v>
      </c>
      <c r="M1891" s="179" t="s">
        <v>151</v>
      </c>
    </row>
    <row r="1892" spans="1:13" ht="25.5">
      <c r="A1892" s="313" t="str">
        <f t="shared" si="29"/>
        <v>BoundaryStatusCode_noDefinedBoundary</v>
      </c>
      <c r="B1892" s="331"/>
      <c r="C1892" s="335"/>
      <c r="D1892" s="181" t="s">
        <v>18286</v>
      </c>
      <c r="E1892" s="192" t="s">
        <v>18287</v>
      </c>
      <c r="F1892" s="193" t="s">
        <v>18288</v>
      </c>
      <c r="G1892" s="194"/>
      <c r="H1892" s="220"/>
      <c r="I1892" s="169">
        <v>102609</v>
      </c>
      <c r="J1892" s="304" t="str">
        <f>CONCATENATE([2]Cover!$D$6,"fdd/view?i=",I1892)</f>
        <v>https://www.dgiwg.org/FAD/fdd/view?i=102609</v>
      </c>
      <c r="K1892" s="304" t="s">
        <v>35941</v>
      </c>
      <c r="L1892" s="181">
        <v>4</v>
      </c>
      <c r="M1892" s="179" t="s">
        <v>151</v>
      </c>
    </row>
    <row r="1893" spans="1:13" ht="25.5">
      <c r="A1893" s="313" t="str">
        <f t="shared" si="29"/>
        <v>BranchRailwayTypeCode_passing</v>
      </c>
      <c r="B1893" s="332" t="str">
        <f>HYPERLINK("[#]Datatypes!A254:L254","BranchRailwayTypeCode")</f>
        <v>BranchRailwayTypeCode</v>
      </c>
      <c r="C1893" s="333" t="s">
        <v>11706</v>
      </c>
      <c r="D1893" s="202" t="s">
        <v>18289</v>
      </c>
      <c r="E1893" s="203" t="s">
        <v>18290</v>
      </c>
      <c r="F1893" s="204" t="s">
        <v>18291</v>
      </c>
      <c r="G1893" s="205"/>
      <c r="H1893" s="218"/>
      <c r="I1893" s="169">
        <v>107291</v>
      </c>
      <c r="J1893" s="304" t="str">
        <f>CONCATENATE([2]Cover!$D$6,"fdd/view?i=",I1893)</f>
        <v>https://www.dgiwg.org/FAD/fdd/view?i=107291</v>
      </c>
      <c r="K1893" s="304" t="s">
        <v>35942</v>
      </c>
      <c r="L1893" s="202">
        <v>3</v>
      </c>
      <c r="M1893" s="179" t="s">
        <v>151</v>
      </c>
    </row>
    <row r="1894" spans="1:13" ht="25.5">
      <c r="A1894" s="313" t="str">
        <f t="shared" si="29"/>
        <v>BranchRailwayTypeCode_siding</v>
      </c>
      <c r="B1894" s="330"/>
      <c r="C1894" s="334"/>
      <c r="D1894" s="188" t="s">
        <v>18292</v>
      </c>
      <c r="E1894" s="189" t="s">
        <v>18293</v>
      </c>
      <c r="F1894" s="162" t="s">
        <v>18294</v>
      </c>
      <c r="G1894" s="190"/>
      <c r="H1894" s="219"/>
      <c r="I1894" s="169">
        <v>107290</v>
      </c>
      <c r="J1894" s="304" t="str">
        <f>CONCATENATE([2]Cover!$D$6,"fdd/view?i=",I1894)</f>
        <v>https://www.dgiwg.org/FAD/fdd/view?i=107290</v>
      </c>
      <c r="K1894" s="304" t="s">
        <v>35943</v>
      </c>
      <c r="L1894" s="188">
        <v>2</v>
      </c>
      <c r="M1894" s="179" t="s">
        <v>151</v>
      </c>
    </row>
    <row r="1895" spans="1:13" ht="25.5">
      <c r="A1895" s="313" t="str">
        <f t="shared" si="29"/>
        <v>BranchRailwayTypeCode_spur</v>
      </c>
      <c r="B1895" s="331"/>
      <c r="C1895" s="335"/>
      <c r="D1895" s="181" t="s">
        <v>18295</v>
      </c>
      <c r="E1895" s="192" t="s">
        <v>18296</v>
      </c>
      <c r="F1895" s="193" t="s">
        <v>18297</v>
      </c>
      <c r="G1895" s="193" t="s">
        <v>18298</v>
      </c>
      <c r="H1895" s="220"/>
      <c r="I1895" s="169">
        <v>107289</v>
      </c>
      <c r="J1895" s="304" t="str">
        <f>CONCATENATE([2]Cover!$D$6,"fdd/view?i=",I1895)</f>
        <v>https://www.dgiwg.org/FAD/fdd/view?i=107289</v>
      </c>
      <c r="K1895" s="304" t="s">
        <v>35944</v>
      </c>
      <c r="L1895" s="181">
        <v>1</v>
      </c>
      <c r="M1895" s="179" t="s">
        <v>151</v>
      </c>
    </row>
    <row r="1896" spans="1:13" ht="25.5">
      <c r="A1896" s="313" t="str">
        <f t="shared" si="29"/>
        <v>BridgeInfoReliabilityCode_estimated</v>
      </c>
      <c r="B1896" s="332" t="str">
        <f>HYPERLINK("[#]Datatypes!A256:L256","BridgeInfoReliabilityCode")</f>
        <v>BridgeInfoReliabilityCode</v>
      </c>
      <c r="C1896" s="333" t="s">
        <v>11708</v>
      </c>
      <c r="D1896" s="202" t="s">
        <v>18299</v>
      </c>
      <c r="E1896" s="203" t="s">
        <v>18300</v>
      </c>
      <c r="F1896" s="204" t="s">
        <v>18301</v>
      </c>
      <c r="G1896" s="205"/>
      <c r="H1896" s="218"/>
      <c r="I1896" s="169">
        <v>107101</v>
      </c>
      <c r="J1896" s="304" t="str">
        <f>CONCATENATE([2]Cover!$D$6,"fdd/view?i=",I1896)</f>
        <v>https://www.dgiwg.org/FAD/fdd/view?i=107101</v>
      </c>
      <c r="K1896" s="304" t="s">
        <v>35945</v>
      </c>
      <c r="L1896" s="202">
        <v>2</v>
      </c>
      <c r="M1896" s="179" t="s">
        <v>151</v>
      </c>
    </row>
    <row r="1897" spans="1:13" ht="25.5">
      <c r="A1897" s="313" t="str">
        <f t="shared" si="29"/>
        <v>BridgeInfoReliabilityCode_known</v>
      </c>
      <c r="B1897" s="331"/>
      <c r="C1897" s="335"/>
      <c r="D1897" s="181" t="s">
        <v>18302</v>
      </c>
      <c r="E1897" s="192" t="s">
        <v>18303</v>
      </c>
      <c r="F1897" s="193" t="s">
        <v>18304</v>
      </c>
      <c r="G1897" s="194"/>
      <c r="H1897" s="220"/>
      <c r="I1897" s="169">
        <v>107100</v>
      </c>
      <c r="J1897" s="304" t="str">
        <f>CONCATENATE([2]Cover!$D$6,"fdd/view?i=",I1897)</f>
        <v>https://www.dgiwg.org/FAD/fdd/view?i=107100</v>
      </c>
      <c r="K1897" s="304" t="s">
        <v>35946</v>
      </c>
      <c r="L1897" s="181">
        <v>1</v>
      </c>
      <c r="M1897" s="179" t="s">
        <v>151</v>
      </c>
    </row>
    <row r="1898" spans="1:13">
      <c r="A1898" s="313" t="str">
        <f t="shared" si="29"/>
        <v>BridgeOpeningTypeCode_bascule</v>
      </c>
      <c r="B1898" s="332" t="str">
        <f>HYPERLINK("[#]Datatypes!A258:L258","BridgeOpeningTypeCode")</f>
        <v>BridgeOpeningTypeCode</v>
      </c>
      <c r="C1898" s="333" t="s">
        <v>11710</v>
      </c>
      <c r="D1898" s="202" t="s">
        <v>18305</v>
      </c>
      <c r="E1898" s="203" t="s">
        <v>18306</v>
      </c>
      <c r="F1898" s="204" t="s">
        <v>18307</v>
      </c>
      <c r="G1898" s="205"/>
      <c r="H1898" s="222" t="s">
        <v>18308</v>
      </c>
      <c r="I1898" s="169">
        <v>102482</v>
      </c>
      <c r="J1898" s="304" t="str">
        <f>CONCATENATE([2]Cover!$D$6,"fdd/view?i=",I1898)</f>
        <v>https://www.dgiwg.org/FAD/fdd/view?i=102482</v>
      </c>
      <c r="K1898" s="304" t="s">
        <v>35947</v>
      </c>
      <c r="L1898" s="202">
        <v>4</v>
      </c>
      <c r="M1898" s="179" t="s">
        <v>151</v>
      </c>
    </row>
    <row r="1899" spans="1:13" ht="25.5">
      <c r="A1899" s="313" t="str">
        <f t="shared" si="29"/>
        <v>BridgeOpeningTypeCode_drawbridge</v>
      </c>
      <c r="B1899" s="330"/>
      <c r="C1899" s="334"/>
      <c r="D1899" s="188" t="s">
        <v>18309</v>
      </c>
      <c r="E1899" s="189" t="s">
        <v>18310</v>
      </c>
      <c r="F1899" s="162" t="s">
        <v>18311</v>
      </c>
      <c r="G1899" s="162" t="s">
        <v>18312</v>
      </c>
      <c r="H1899" s="219"/>
      <c r="I1899" s="169">
        <v>110080</v>
      </c>
      <c r="J1899" s="304" t="str">
        <f>CONCATENATE([2]Cover!$D$6,"fdd/view?i=",I1899)</f>
        <v>https://www.dgiwg.org/FAD/fdd/view?i=110080</v>
      </c>
      <c r="K1899" s="304" t="s">
        <v>35948</v>
      </c>
      <c r="L1899" s="188">
        <v>15</v>
      </c>
      <c r="M1899" s="179" t="s">
        <v>151</v>
      </c>
    </row>
    <row r="1900" spans="1:13">
      <c r="A1900" s="313" t="str">
        <f t="shared" si="29"/>
        <v>BridgeOpeningTypeCode_fixed</v>
      </c>
      <c r="B1900" s="330"/>
      <c r="C1900" s="334"/>
      <c r="D1900" s="188" t="s">
        <v>18313</v>
      </c>
      <c r="E1900" s="189" t="s">
        <v>18314</v>
      </c>
      <c r="F1900" s="162" t="s">
        <v>18315</v>
      </c>
      <c r="G1900" s="190"/>
      <c r="H1900" s="219"/>
      <c r="I1900" s="169">
        <v>110082</v>
      </c>
      <c r="J1900" s="304" t="str">
        <f>CONCATENATE([2]Cover!$D$6,"fdd/view?i=",I1900)</f>
        <v>https://www.dgiwg.org/FAD/fdd/view?i=110082</v>
      </c>
      <c r="K1900" s="304" t="s">
        <v>35949</v>
      </c>
      <c r="L1900" s="188">
        <v>17</v>
      </c>
      <c r="M1900" s="179" t="s">
        <v>151</v>
      </c>
    </row>
    <row r="1901" spans="1:13" ht="25.5">
      <c r="A1901" s="313" t="str">
        <f t="shared" si="29"/>
        <v>BridgeOpeningTypeCode_liftBridge</v>
      </c>
      <c r="B1901" s="330"/>
      <c r="C1901" s="334"/>
      <c r="D1901" s="188" t="s">
        <v>18316</v>
      </c>
      <c r="E1901" s="189" t="s">
        <v>18317</v>
      </c>
      <c r="F1901" s="162" t="s">
        <v>18318</v>
      </c>
      <c r="G1901" s="162" t="s">
        <v>18319</v>
      </c>
      <c r="H1901" s="219"/>
      <c r="I1901" s="169">
        <v>102484</v>
      </c>
      <c r="J1901" s="304" t="str">
        <f>CONCATENATE([2]Cover!$D$6,"fdd/view?i=",I1901)</f>
        <v>https://www.dgiwg.org/FAD/fdd/view?i=102484</v>
      </c>
      <c r="K1901" s="304" t="s">
        <v>35950</v>
      </c>
      <c r="L1901" s="188">
        <v>11</v>
      </c>
      <c r="M1901" s="179" t="s">
        <v>151</v>
      </c>
    </row>
    <row r="1902" spans="1:13" ht="38.25">
      <c r="A1902" s="313" t="str">
        <f t="shared" si="29"/>
        <v>BridgeOpeningTypeCode_opening</v>
      </c>
      <c r="B1902" s="330"/>
      <c r="C1902" s="334"/>
      <c r="D1902" s="188" t="s">
        <v>18320</v>
      </c>
      <c r="E1902" s="189" t="s">
        <v>18321</v>
      </c>
      <c r="F1902" s="162" t="s">
        <v>18322</v>
      </c>
      <c r="G1902" s="162" t="s">
        <v>18323</v>
      </c>
      <c r="H1902" s="221" t="s">
        <v>18324</v>
      </c>
      <c r="I1902" s="169">
        <v>110081</v>
      </c>
      <c r="J1902" s="304" t="str">
        <f>CONCATENATE([2]Cover!$D$6,"fdd/view?i=",I1902)</f>
        <v>https://www.dgiwg.org/FAD/fdd/view?i=110081</v>
      </c>
      <c r="K1902" s="304" t="s">
        <v>35951</v>
      </c>
      <c r="L1902" s="188">
        <v>16</v>
      </c>
      <c r="M1902" s="179" t="s">
        <v>151</v>
      </c>
    </row>
    <row r="1903" spans="1:13" ht="25.5">
      <c r="A1903" s="313" t="str">
        <f t="shared" si="29"/>
        <v>BridgeOpeningTypeCode_retractable</v>
      </c>
      <c r="B1903" s="330"/>
      <c r="C1903" s="334"/>
      <c r="D1903" s="188" t="s">
        <v>18325</v>
      </c>
      <c r="E1903" s="189" t="s">
        <v>18326</v>
      </c>
      <c r="F1903" s="162" t="s">
        <v>18327</v>
      </c>
      <c r="G1903" s="190"/>
      <c r="H1903" s="219"/>
      <c r="I1903" s="169">
        <v>102485</v>
      </c>
      <c r="J1903" s="304" t="str">
        <f>CONCATENATE([2]Cover!$D$6,"fdd/view?i=",I1903)</f>
        <v>https://www.dgiwg.org/FAD/fdd/view?i=102485</v>
      </c>
      <c r="K1903" s="304" t="s">
        <v>35952</v>
      </c>
      <c r="L1903" s="188">
        <v>12</v>
      </c>
      <c r="M1903" s="179" t="s">
        <v>151</v>
      </c>
    </row>
    <row r="1904" spans="1:13" ht="51">
      <c r="A1904" s="313" t="str">
        <f t="shared" si="29"/>
        <v>BridgeOpeningTypeCode_submersible</v>
      </c>
      <c r="B1904" s="330"/>
      <c r="C1904" s="334"/>
      <c r="D1904" s="188" t="s">
        <v>18328</v>
      </c>
      <c r="E1904" s="189" t="s">
        <v>18329</v>
      </c>
      <c r="F1904" s="162" t="s">
        <v>18330</v>
      </c>
      <c r="G1904" s="162" t="s">
        <v>18331</v>
      </c>
      <c r="H1904" s="219"/>
      <c r="I1904" s="169">
        <v>102487</v>
      </c>
      <c r="J1904" s="304" t="str">
        <f>CONCATENATE([2]Cover!$D$6,"fdd/view?i=",I1904)</f>
        <v>https://www.dgiwg.org/FAD/fdd/view?i=102487</v>
      </c>
      <c r="K1904" s="304" t="s">
        <v>35953</v>
      </c>
      <c r="L1904" s="188">
        <v>14</v>
      </c>
      <c r="M1904" s="179" t="s">
        <v>151</v>
      </c>
    </row>
    <row r="1905" spans="1:13" ht="25.5">
      <c r="A1905" s="313" t="str">
        <f t="shared" si="29"/>
        <v>BridgeOpeningTypeCode_swingBridge</v>
      </c>
      <c r="B1905" s="331"/>
      <c r="C1905" s="335"/>
      <c r="D1905" s="181" t="s">
        <v>18332</v>
      </c>
      <c r="E1905" s="192" t="s">
        <v>18333</v>
      </c>
      <c r="F1905" s="193" t="s">
        <v>18334</v>
      </c>
      <c r="G1905" s="194"/>
      <c r="H1905" s="220"/>
      <c r="I1905" s="169">
        <v>102483</v>
      </c>
      <c r="J1905" s="304" t="str">
        <f>CONCATENATE([2]Cover!$D$6,"fdd/view?i=",I1905)</f>
        <v>https://www.dgiwg.org/FAD/fdd/view?i=102483</v>
      </c>
      <c r="K1905" s="304" t="s">
        <v>35954</v>
      </c>
      <c r="L1905" s="181">
        <v>10</v>
      </c>
      <c r="M1905" s="179" t="s">
        <v>151</v>
      </c>
    </row>
    <row r="1906" spans="1:13" ht="25.5">
      <c r="A1906" s="313" t="str">
        <f t="shared" si="29"/>
        <v>BridgeStructureTypeCode_arch</v>
      </c>
      <c r="B1906" s="332" t="str">
        <f>HYPERLINK("[#]Datatypes!A260:L260","BridgeStructureTypeCode")</f>
        <v>BridgeStructureTypeCode</v>
      </c>
      <c r="C1906" s="333" t="s">
        <v>11712</v>
      </c>
      <c r="D1906" s="202" t="s">
        <v>18335</v>
      </c>
      <c r="E1906" s="203" t="s">
        <v>18336</v>
      </c>
      <c r="F1906" s="204" t="s">
        <v>18337</v>
      </c>
      <c r="G1906" s="205"/>
      <c r="H1906" s="218"/>
      <c r="I1906" s="169">
        <v>110084</v>
      </c>
      <c r="J1906" s="304" t="str">
        <f>CONCATENATE([2]Cover!$D$6,"fdd/view?i=",I1906)</f>
        <v>https://www.dgiwg.org/FAD/fdd/view?i=110084</v>
      </c>
      <c r="K1906" s="304" t="s">
        <v>35955</v>
      </c>
      <c r="L1906" s="202">
        <v>31</v>
      </c>
      <c r="M1906" s="179" t="s">
        <v>151</v>
      </c>
    </row>
    <row r="1907" spans="1:13" ht="25.5">
      <c r="A1907" s="313" t="str">
        <f t="shared" si="29"/>
        <v>BridgeStructureTypeCode_bowstringBridge</v>
      </c>
      <c r="B1907" s="330"/>
      <c r="C1907" s="334"/>
      <c r="D1907" s="188" t="s">
        <v>18338</v>
      </c>
      <c r="E1907" s="189" t="s">
        <v>18339</v>
      </c>
      <c r="F1907" s="162" t="s">
        <v>18340</v>
      </c>
      <c r="G1907" s="162" t="s">
        <v>18341</v>
      </c>
      <c r="H1907" s="221" t="s">
        <v>18342</v>
      </c>
      <c r="I1907" s="169">
        <v>102545</v>
      </c>
      <c r="J1907" s="304" t="str">
        <f>CONCATENATE([2]Cover!$D$6,"fdd/view?i=",I1907)</f>
        <v>https://www.dgiwg.org/FAD/fdd/view?i=102545</v>
      </c>
      <c r="K1907" s="304" t="s">
        <v>35956</v>
      </c>
      <c r="L1907" s="188">
        <v>19</v>
      </c>
      <c r="M1907" s="179" t="s">
        <v>151</v>
      </c>
    </row>
    <row r="1908" spans="1:13" ht="114.75">
      <c r="A1908" s="313" t="str">
        <f t="shared" si="29"/>
        <v>BridgeStructureTypeCode_cableStayed</v>
      </c>
      <c r="B1908" s="330"/>
      <c r="C1908" s="334"/>
      <c r="D1908" s="188" t="s">
        <v>18343</v>
      </c>
      <c r="E1908" s="189" t="s">
        <v>18344</v>
      </c>
      <c r="F1908" s="162" t="s">
        <v>18345</v>
      </c>
      <c r="G1908" s="162" t="s">
        <v>18346</v>
      </c>
      <c r="H1908" s="219"/>
      <c r="I1908" s="169">
        <v>102553</v>
      </c>
      <c r="J1908" s="304" t="str">
        <f>CONCATENATE([2]Cover!$D$6,"fdd/view?i=",I1908)</f>
        <v>https://www.dgiwg.org/FAD/fdd/view?i=102553</v>
      </c>
      <c r="K1908" s="304" t="s">
        <v>35957</v>
      </c>
      <c r="L1908" s="188">
        <v>27</v>
      </c>
      <c r="M1908" s="179" t="s">
        <v>151</v>
      </c>
    </row>
    <row r="1909" spans="1:13" ht="38.25">
      <c r="A1909" s="313" t="str">
        <f t="shared" si="29"/>
        <v>BridgeStructureTypeCode_cantilever</v>
      </c>
      <c r="B1909" s="330"/>
      <c r="C1909" s="334"/>
      <c r="D1909" s="188" t="s">
        <v>18347</v>
      </c>
      <c r="E1909" s="189" t="s">
        <v>18348</v>
      </c>
      <c r="F1909" s="162" t="s">
        <v>18349</v>
      </c>
      <c r="G1909" s="162" t="s">
        <v>18350</v>
      </c>
      <c r="H1909" s="219"/>
      <c r="I1909" s="169">
        <v>102528</v>
      </c>
      <c r="J1909" s="304" t="str">
        <f>CONCATENATE([2]Cover!$D$6,"fdd/view?i=",I1909)</f>
        <v>https://www.dgiwg.org/FAD/fdd/view?i=102528</v>
      </c>
      <c r="K1909" s="304" t="s">
        <v>35958</v>
      </c>
      <c r="L1909" s="188">
        <v>2</v>
      </c>
      <c r="M1909" s="179" t="s">
        <v>151</v>
      </c>
    </row>
    <row r="1910" spans="1:13" ht="25.5">
      <c r="A1910" s="313" t="str">
        <f t="shared" si="29"/>
        <v>BridgeStructureTypeCode_closedSpandrelArch</v>
      </c>
      <c r="B1910" s="330"/>
      <c r="C1910" s="334"/>
      <c r="D1910" s="188" t="s">
        <v>18351</v>
      </c>
      <c r="E1910" s="189" t="s">
        <v>18352</v>
      </c>
      <c r="F1910" s="162" t="s">
        <v>18353</v>
      </c>
      <c r="G1910" s="190"/>
      <c r="H1910" s="219"/>
      <c r="I1910" s="169">
        <v>102552</v>
      </c>
      <c r="J1910" s="304" t="str">
        <f>CONCATENATE([2]Cover!$D$6,"fdd/view?i=",I1910)</f>
        <v>https://www.dgiwg.org/FAD/fdd/view?i=102552</v>
      </c>
      <c r="K1910" s="304" t="s">
        <v>35959</v>
      </c>
      <c r="L1910" s="188">
        <v>26</v>
      </c>
      <c r="M1910" s="179" t="s">
        <v>151</v>
      </c>
    </row>
    <row r="1911" spans="1:13">
      <c r="A1911" s="313" t="str">
        <f t="shared" si="29"/>
        <v>BridgeStructureTypeCode_covered</v>
      </c>
      <c r="B1911" s="330"/>
      <c r="C1911" s="334"/>
      <c r="D1911" s="188" t="s">
        <v>18354</v>
      </c>
      <c r="E1911" s="189" t="s">
        <v>18355</v>
      </c>
      <c r="F1911" s="162" t="s">
        <v>18356</v>
      </c>
      <c r="G1911" s="190"/>
      <c r="H1911" s="219"/>
      <c r="I1911" s="169">
        <v>102548</v>
      </c>
      <c r="J1911" s="304" t="str">
        <f>CONCATENATE([2]Cover!$D$6,"fdd/view?i=",I1911)</f>
        <v>https://www.dgiwg.org/FAD/fdd/view?i=102548</v>
      </c>
      <c r="K1911" s="304" t="s">
        <v>35960</v>
      </c>
      <c r="L1911" s="188">
        <v>22</v>
      </c>
      <c r="M1911" s="179" t="s">
        <v>151</v>
      </c>
    </row>
    <row r="1912" spans="1:13">
      <c r="A1912" s="313" t="str">
        <f t="shared" si="29"/>
        <v>BridgeStructureTypeCode_deck</v>
      </c>
      <c r="B1912" s="330"/>
      <c r="C1912" s="334"/>
      <c r="D1912" s="188" t="s">
        <v>18357</v>
      </c>
      <c r="E1912" s="189" t="s">
        <v>18358</v>
      </c>
      <c r="F1912" s="162" t="s">
        <v>18359</v>
      </c>
      <c r="G1912" s="190"/>
      <c r="H1912" s="219"/>
      <c r="I1912" s="169">
        <v>102529</v>
      </c>
      <c r="J1912" s="304" t="str">
        <f>CONCATENATE([2]Cover!$D$6,"fdd/view?i=",I1912)</f>
        <v>https://www.dgiwg.org/FAD/fdd/view?i=102529</v>
      </c>
      <c r="K1912" s="304" t="s">
        <v>35961</v>
      </c>
      <c r="L1912" s="188">
        <v>3</v>
      </c>
      <c r="M1912" s="179" t="s">
        <v>151</v>
      </c>
    </row>
    <row r="1913" spans="1:13">
      <c r="A1913" s="313" t="str">
        <f t="shared" si="29"/>
        <v>BridgeStructureTypeCode_floating</v>
      </c>
      <c r="B1913" s="330"/>
      <c r="C1913" s="334"/>
      <c r="D1913" s="188" t="s">
        <v>7065</v>
      </c>
      <c r="E1913" s="189" t="s">
        <v>7066</v>
      </c>
      <c r="F1913" s="162" t="s">
        <v>18360</v>
      </c>
      <c r="G1913" s="162" t="s">
        <v>18361</v>
      </c>
      <c r="H1913" s="221" t="s">
        <v>3443</v>
      </c>
      <c r="I1913" s="169">
        <v>102531</v>
      </c>
      <c r="J1913" s="304" t="str">
        <f>CONCATENATE([2]Cover!$D$6,"fdd/view?i=",I1913)</f>
        <v>https://www.dgiwg.org/FAD/fdd/view?i=102531</v>
      </c>
      <c r="K1913" s="304" t="s">
        <v>35962</v>
      </c>
      <c r="L1913" s="188">
        <v>5</v>
      </c>
      <c r="M1913" s="179" t="s">
        <v>151</v>
      </c>
    </row>
    <row r="1914" spans="1:13" ht="38.25">
      <c r="A1914" s="313" t="str">
        <f t="shared" si="29"/>
        <v>BridgeStructureTypeCode_girder</v>
      </c>
      <c r="B1914" s="330"/>
      <c r="C1914" s="334"/>
      <c r="D1914" s="188" t="s">
        <v>18362</v>
      </c>
      <c r="E1914" s="189" t="s">
        <v>18363</v>
      </c>
      <c r="F1914" s="162" t="s">
        <v>18364</v>
      </c>
      <c r="G1914" s="162" t="s">
        <v>18365</v>
      </c>
      <c r="H1914" s="221" t="s">
        <v>18366</v>
      </c>
      <c r="I1914" s="169">
        <v>102532</v>
      </c>
      <c r="J1914" s="304" t="str">
        <f>CONCATENATE([2]Cover!$D$6,"fdd/view?i=",I1914)</f>
        <v>https://www.dgiwg.org/FAD/fdd/view?i=102532</v>
      </c>
      <c r="K1914" s="304" t="s">
        <v>35963</v>
      </c>
      <c r="L1914" s="188">
        <v>6</v>
      </c>
      <c r="M1914" s="179" t="s">
        <v>151</v>
      </c>
    </row>
    <row r="1915" spans="1:13" ht="25.5">
      <c r="A1915" s="313" t="str">
        <f t="shared" si="29"/>
        <v>BridgeStructureTypeCode_openSpandrelArch</v>
      </c>
      <c r="B1915" s="330"/>
      <c r="C1915" s="334"/>
      <c r="D1915" s="188" t="s">
        <v>18367</v>
      </c>
      <c r="E1915" s="189" t="s">
        <v>18368</v>
      </c>
      <c r="F1915" s="162" t="s">
        <v>18369</v>
      </c>
      <c r="G1915" s="190"/>
      <c r="H1915" s="219"/>
      <c r="I1915" s="169">
        <v>102527</v>
      </c>
      <c r="J1915" s="304" t="str">
        <f>CONCATENATE([2]Cover!$D$6,"fdd/view?i=",I1915)</f>
        <v>https://www.dgiwg.org/FAD/fdd/view?i=102527</v>
      </c>
      <c r="K1915" s="304" t="s">
        <v>35964</v>
      </c>
      <c r="L1915" s="188">
        <v>1</v>
      </c>
      <c r="M1915" s="179" t="s">
        <v>151</v>
      </c>
    </row>
    <row r="1916" spans="1:13">
      <c r="A1916" s="313" t="str">
        <f t="shared" si="29"/>
        <v>BridgeStructureTypeCode_slab</v>
      </c>
      <c r="B1916" s="330"/>
      <c r="C1916" s="334"/>
      <c r="D1916" s="188" t="s">
        <v>18370</v>
      </c>
      <c r="E1916" s="189" t="s">
        <v>18371</v>
      </c>
      <c r="F1916" s="162" t="s">
        <v>18372</v>
      </c>
      <c r="G1916" s="190"/>
      <c r="H1916" s="219"/>
      <c r="I1916" s="169">
        <v>102541</v>
      </c>
      <c r="J1916" s="304" t="str">
        <f>CONCATENATE([2]Cover!$D$6,"fdd/view?i=",I1916)</f>
        <v>https://www.dgiwg.org/FAD/fdd/view?i=102541</v>
      </c>
      <c r="K1916" s="304" t="s">
        <v>35965</v>
      </c>
      <c r="L1916" s="188">
        <v>15</v>
      </c>
      <c r="M1916" s="179" t="s">
        <v>151</v>
      </c>
    </row>
    <row r="1917" spans="1:13" ht="51">
      <c r="A1917" s="313" t="str">
        <f t="shared" si="29"/>
        <v>BridgeStructureTypeCode_stringerBeam</v>
      </c>
      <c r="B1917" s="330"/>
      <c r="C1917" s="334"/>
      <c r="D1917" s="188" t="s">
        <v>18373</v>
      </c>
      <c r="E1917" s="189" t="s">
        <v>18374</v>
      </c>
      <c r="F1917" s="162" t="s">
        <v>18375</v>
      </c>
      <c r="G1917" s="162" t="s">
        <v>18376</v>
      </c>
      <c r="H1917" s="219"/>
      <c r="I1917" s="169">
        <v>102542</v>
      </c>
      <c r="J1917" s="304" t="str">
        <f>CONCATENATE([2]Cover!$D$6,"fdd/view?i=",I1917)</f>
        <v>https://www.dgiwg.org/FAD/fdd/view?i=102542</v>
      </c>
      <c r="K1917" s="304" t="s">
        <v>35966</v>
      </c>
      <c r="L1917" s="188">
        <v>16</v>
      </c>
      <c r="M1917" s="179" t="s">
        <v>151</v>
      </c>
    </row>
    <row r="1918" spans="1:13" ht="25.5">
      <c r="A1918" s="313" t="str">
        <f t="shared" si="29"/>
        <v>BridgeStructureTypeCode_suspension</v>
      </c>
      <c r="B1918" s="330"/>
      <c r="C1918" s="334"/>
      <c r="D1918" s="188" t="s">
        <v>18377</v>
      </c>
      <c r="E1918" s="189" t="s">
        <v>18378</v>
      </c>
      <c r="F1918" s="162" t="s">
        <v>18379</v>
      </c>
      <c r="G1918" s="162" t="s">
        <v>18380</v>
      </c>
      <c r="H1918" s="219"/>
      <c r="I1918" s="169">
        <v>102535</v>
      </c>
      <c r="J1918" s="304" t="str">
        <f>CONCATENATE([2]Cover!$D$6,"fdd/view?i=",I1918)</f>
        <v>https://www.dgiwg.org/FAD/fdd/view?i=102535</v>
      </c>
      <c r="K1918" s="304" t="s">
        <v>35967</v>
      </c>
      <c r="L1918" s="188">
        <v>9</v>
      </c>
      <c r="M1918" s="179" t="s">
        <v>151</v>
      </c>
    </row>
    <row r="1919" spans="1:13" ht="25.5">
      <c r="A1919" s="313" t="str">
        <f t="shared" si="29"/>
        <v>BridgeStructureTypeCode_towerSuspension</v>
      </c>
      <c r="B1919" s="330"/>
      <c r="C1919" s="334"/>
      <c r="D1919" s="188" t="s">
        <v>18381</v>
      </c>
      <c r="E1919" s="189" t="s">
        <v>18382</v>
      </c>
      <c r="F1919" s="162" t="s">
        <v>18383</v>
      </c>
      <c r="G1919" s="190"/>
      <c r="H1919" s="219"/>
      <c r="I1919" s="169">
        <v>102533</v>
      </c>
      <c r="J1919" s="304" t="str">
        <f>CONCATENATE([2]Cover!$D$6,"fdd/view?i=",I1919)</f>
        <v>https://www.dgiwg.org/FAD/fdd/view?i=102533</v>
      </c>
      <c r="K1919" s="304" t="s">
        <v>35968</v>
      </c>
      <c r="L1919" s="188">
        <v>7</v>
      </c>
      <c r="M1919" s="179" t="s">
        <v>151</v>
      </c>
    </row>
    <row r="1920" spans="1:13" ht="25.5">
      <c r="A1920" s="313" t="str">
        <f t="shared" si="29"/>
        <v>BridgeStructureTypeCode_transporter</v>
      </c>
      <c r="B1920" s="330"/>
      <c r="C1920" s="334"/>
      <c r="D1920" s="188" t="s">
        <v>18384</v>
      </c>
      <c r="E1920" s="189" t="s">
        <v>18385</v>
      </c>
      <c r="F1920" s="162" t="s">
        <v>18386</v>
      </c>
      <c r="G1920" s="190"/>
      <c r="H1920" s="221" t="s">
        <v>18387</v>
      </c>
      <c r="I1920" s="169">
        <v>102538</v>
      </c>
      <c r="J1920" s="304" t="str">
        <f>CONCATENATE([2]Cover!$D$6,"fdd/view?i=",I1920)</f>
        <v>https://www.dgiwg.org/FAD/fdd/view?i=102538</v>
      </c>
      <c r="K1920" s="304" t="s">
        <v>35969</v>
      </c>
      <c r="L1920" s="188">
        <v>12</v>
      </c>
      <c r="M1920" s="179" t="s">
        <v>151</v>
      </c>
    </row>
    <row r="1921" spans="1:13" ht="89.25">
      <c r="A1921" s="313" t="str">
        <f t="shared" si="29"/>
        <v>BridgeStructureTypeCode_trestle</v>
      </c>
      <c r="B1921" s="330"/>
      <c r="C1921" s="334"/>
      <c r="D1921" s="188" t="s">
        <v>18388</v>
      </c>
      <c r="E1921" s="189" t="s">
        <v>18389</v>
      </c>
      <c r="F1921" s="162" t="s">
        <v>18390</v>
      </c>
      <c r="G1921" s="162" t="s">
        <v>18391</v>
      </c>
      <c r="H1921" s="219"/>
      <c r="I1921" s="169">
        <v>110085</v>
      </c>
      <c r="J1921" s="304" t="str">
        <f>CONCATENATE([2]Cover!$D$6,"fdd/view?i=",I1921)</f>
        <v>https://www.dgiwg.org/FAD/fdd/view?i=110085</v>
      </c>
      <c r="K1921" s="304" t="s">
        <v>35970</v>
      </c>
      <c r="L1921" s="188">
        <v>32</v>
      </c>
      <c r="M1921" s="179" t="s">
        <v>151</v>
      </c>
    </row>
    <row r="1922" spans="1:13" ht="25.5">
      <c r="A1922" s="313" t="str">
        <f t="shared" si="29"/>
        <v>BridgeStructureTypeCode_truss</v>
      </c>
      <c r="B1922" s="330"/>
      <c r="C1922" s="334"/>
      <c r="D1922" s="188" t="s">
        <v>18392</v>
      </c>
      <c r="E1922" s="189" t="s">
        <v>18393</v>
      </c>
      <c r="F1922" s="162" t="s">
        <v>18394</v>
      </c>
      <c r="G1922" s="162" t="s">
        <v>18395</v>
      </c>
      <c r="H1922" s="219"/>
      <c r="I1922" s="169">
        <v>102534</v>
      </c>
      <c r="J1922" s="304" t="str">
        <f>CONCATENATE([2]Cover!$D$6,"fdd/view?i=",I1922)</f>
        <v>https://www.dgiwg.org/FAD/fdd/view?i=102534</v>
      </c>
      <c r="K1922" s="304" t="s">
        <v>35971</v>
      </c>
      <c r="L1922" s="188">
        <v>8</v>
      </c>
      <c r="M1922" s="179" t="s">
        <v>151</v>
      </c>
    </row>
    <row r="1923" spans="1:13" ht="25.5">
      <c r="A1923" s="313" t="str">
        <f t="shared" ref="A1923:A1986" si="30">HYPERLINK(J1923,K1923)</f>
        <v>BridgeStructureTypeCode_viaduct</v>
      </c>
      <c r="B1923" s="331"/>
      <c r="C1923" s="335"/>
      <c r="D1923" s="181" t="s">
        <v>18396</v>
      </c>
      <c r="E1923" s="192" t="s">
        <v>18397</v>
      </c>
      <c r="F1923" s="193" t="s">
        <v>18398</v>
      </c>
      <c r="G1923" s="194"/>
      <c r="H1923" s="220"/>
      <c r="I1923" s="169">
        <v>102554</v>
      </c>
      <c r="J1923" s="304" t="str">
        <f>CONCATENATE([2]Cover!$D$6,"fdd/view?i=",I1923)</f>
        <v>https://www.dgiwg.org/FAD/fdd/view?i=102554</v>
      </c>
      <c r="K1923" s="304" t="s">
        <v>35972</v>
      </c>
      <c r="L1923" s="181">
        <v>28</v>
      </c>
      <c r="M1923" s="179" t="s">
        <v>151</v>
      </c>
    </row>
    <row r="1924" spans="1:13" ht="25.5">
      <c r="A1924" s="313" t="str">
        <f t="shared" si="30"/>
        <v>BuildingSuperstructTypeCode_chimney</v>
      </c>
      <c r="B1924" s="332" t="str">
        <f>HYPERLINK("[#]Datatypes!A262:L262","BuildingSuperstructTypeCode")</f>
        <v>BuildingSuperstructTypeCode</v>
      </c>
      <c r="C1924" s="333" t="s">
        <v>11714</v>
      </c>
      <c r="D1924" s="202" t="s">
        <v>18399</v>
      </c>
      <c r="E1924" s="203" t="s">
        <v>3953</v>
      </c>
      <c r="F1924" s="204" t="s">
        <v>18400</v>
      </c>
      <c r="G1924" s="205"/>
      <c r="H1924" s="218"/>
      <c r="I1924" s="169">
        <v>117998</v>
      </c>
      <c r="J1924" s="304" t="str">
        <f>CONCATENATE([2]Cover!$D$6,"fdd/view?i=",I1924)</f>
        <v>https://www.dgiwg.org/FAD/fdd/view?i=117998</v>
      </c>
      <c r="K1924" s="304" t="s">
        <v>35973</v>
      </c>
      <c r="L1924" s="202">
        <v>1</v>
      </c>
      <c r="M1924" s="179" t="s">
        <v>151</v>
      </c>
    </row>
    <row r="1925" spans="1:13" ht="25.5">
      <c r="A1925" s="313" t="str">
        <f t="shared" si="30"/>
        <v>BuildingSuperstructTypeCode_clerestory</v>
      </c>
      <c r="B1925" s="330"/>
      <c r="C1925" s="334"/>
      <c r="D1925" s="188" t="s">
        <v>18401</v>
      </c>
      <c r="E1925" s="189" t="s">
        <v>18402</v>
      </c>
      <c r="F1925" s="162" t="s">
        <v>18403</v>
      </c>
      <c r="G1925" s="162" t="s">
        <v>18404</v>
      </c>
      <c r="H1925" s="221" t="s">
        <v>18405</v>
      </c>
      <c r="I1925" s="169">
        <v>118009</v>
      </c>
      <c r="J1925" s="304" t="str">
        <f>CONCATENATE([2]Cover!$D$6,"fdd/view?i=",I1925)</f>
        <v>https://www.dgiwg.org/FAD/fdd/view?i=118009</v>
      </c>
      <c r="K1925" s="304" t="s">
        <v>35974</v>
      </c>
      <c r="L1925" s="188">
        <v>12</v>
      </c>
      <c r="M1925" s="179" t="s">
        <v>151</v>
      </c>
    </row>
    <row r="1926" spans="1:13" ht="25.5">
      <c r="A1926" s="313" t="str">
        <f t="shared" si="30"/>
        <v>BuildingSuperstructTypeCode_cupola</v>
      </c>
      <c r="B1926" s="330"/>
      <c r="C1926" s="334"/>
      <c r="D1926" s="188" t="s">
        <v>18406</v>
      </c>
      <c r="E1926" s="189" t="s">
        <v>18407</v>
      </c>
      <c r="F1926" s="162" t="s">
        <v>18408</v>
      </c>
      <c r="G1926" s="162" t="s">
        <v>18409</v>
      </c>
      <c r="H1926" s="219"/>
      <c r="I1926" s="169">
        <v>118011</v>
      </c>
      <c r="J1926" s="304" t="str">
        <f>CONCATENATE([2]Cover!$D$6,"fdd/view?i=",I1926)</f>
        <v>https://www.dgiwg.org/FAD/fdd/view?i=118011</v>
      </c>
      <c r="K1926" s="304" t="s">
        <v>35975</v>
      </c>
      <c r="L1926" s="188">
        <v>14</v>
      </c>
      <c r="M1926" s="179" t="s">
        <v>151</v>
      </c>
    </row>
    <row r="1927" spans="1:13" ht="38.25">
      <c r="A1927" s="313" t="str">
        <f t="shared" si="30"/>
        <v>BuildingSuperstructTypeCode_dome</v>
      </c>
      <c r="B1927" s="330"/>
      <c r="C1927" s="334"/>
      <c r="D1927" s="188" t="s">
        <v>18410</v>
      </c>
      <c r="E1927" s="189" t="s">
        <v>18411</v>
      </c>
      <c r="F1927" s="162" t="s">
        <v>18412</v>
      </c>
      <c r="G1927" s="162" t="s">
        <v>18413</v>
      </c>
      <c r="H1927" s="219"/>
      <c r="I1927" s="169">
        <v>118014</v>
      </c>
      <c r="J1927" s="304" t="str">
        <f>CONCATENATE([2]Cover!$D$6,"fdd/view?i=",I1927)</f>
        <v>https://www.dgiwg.org/FAD/fdd/view?i=118014</v>
      </c>
      <c r="K1927" s="304" t="s">
        <v>35976</v>
      </c>
      <c r="L1927" s="188">
        <v>17</v>
      </c>
      <c r="M1927" s="179" t="s">
        <v>151</v>
      </c>
    </row>
    <row r="1928" spans="1:13" ht="25.5">
      <c r="A1928" s="313" t="str">
        <f t="shared" si="30"/>
        <v>BuildingSuperstructTypeCode_elevatorMachineRoom</v>
      </c>
      <c r="B1928" s="330"/>
      <c r="C1928" s="334"/>
      <c r="D1928" s="188" t="s">
        <v>18414</v>
      </c>
      <c r="E1928" s="189" t="s">
        <v>18415</v>
      </c>
      <c r="F1928" s="162" t="s">
        <v>18416</v>
      </c>
      <c r="G1928" s="190"/>
      <c r="H1928" s="219"/>
      <c r="I1928" s="169">
        <v>117999</v>
      </c>
      <c r="J1928" s="304" t="str">
        <f>CONCATENATE([2]Cover!$D$6,"fdd/view?i=",I1928)</f>
        <v>https://www.dgiwg.org/FAD/fdd/view?i=117999</v>
      </c>
      <c r="K1928" s="304" t="s">
        <v>35977</v>
      </c>
      <c r="L1928" s="188">
        <v>2</v>
      </c>
      <c r="M1928" s="179" t="s">
        <v>151</v>
      </c>
    </row>
    <row r="1929" spans="1:13" ht="25.5">
      <c r="A1929" s="313" t="str">
        <f t="shared" si="30"/>
        <v>BuildingSuperstructTypeCode_hvacEquipment</v>
      </c>
      <c r="B1929" s="330"/>
      <c r="C1929" s="334"/>
      <c r="D1929" s="188" t="s">
        <v>18417</v>
      </c>
      <c r="E1929" s="189" t="s">
        <v>18418</v>
      </c>
      <c r="F1929" s="162" t="s">
        <v>18419</v>
      </c>
      <c r="G1929" s="190"/>
      <c r="H1929" s="219"/>
      <c r="I1929" s="169">
        <v>118000</v>
      </c>
      <c r="J1929" s="304" t="str">
        <f>CONCATENATE([2]Cover!$D$6,"fdd/view?i=",I1929)</f>
        <v>https://www.dgiwg.org/FAD/fdd/view?i=118000</v>
      </c>
      <c r="K1929" s="304" t="s">
        <v>35978</v>
      </c>
      <c r="L1929" s="188">
        <v>3</v>
      </c>
      <c r="M1929" s="179" t="s">
        <v>151</v>
      </c>
    </row>
    <row r="1930" spans="1:13" ht="25.5">
      <c r="A1930" s="313" t="str">
        <f t="shared" si="30"/>
        <v>BuildingSuperstructTypeCode_lightningRod</v>
      </c>
      <c r="B1930" s="330"/>
      <c r="C1930" s="334"/>
      <c r="D1930" s="188" t="s">
        <v>18420</v>
      </c>
      <c r="E1930" s="189" t="s">
        <v>18421</v>
      </c>
      <c r="F1930" s="162" t="s">
        <v>18422</v>
      </c>
      <c r="G1930" s="162" t="s">
        <v>18423</v>
      </c>
      <c r="H1930" s="219"/>
      <c r="I1930" s="169">
        <v>118001</v>
      </c>
      <c r="J1930" s="304" t="str">
        <f>CONCATENATE([2]Cover!$D$6,"fdd/view?i=",I1930)</f>
        <v>https://www.dgiwg.org/FAD/fdd/view?i=118001</v>
      </c>
      <c r="K1930" s="304" t="s">
        <v>35979</v>
      </c>
      <c r="L1930" s="188">
        <v>4</v>
      </c>
      <c r="M1930" s="179" t="s">
        <v>151</v>
      </c>
    </row>
    <row r="1931" spans="1:13" ht="25.5">
      <c r="A1931" s="313" t="str">
        <f t="shared" si="30"/>
        <v>BuildingSuperstructTypeCode_minaret</v>
      </c>
      <c r="B1931" s="330"/>
      <c r="C1931" s="334"/>
      <c r="D1931" s="188" t="s">
        <v>18424</v>
      </c>
      <c r="E1931" s="189" t="s">
        <v>18425</v>
      </c>
      <c r="F1931" s="162" t="s">
        <v>18426</v>
      </c>
      <c r="G1931" s="162" t="s">
        <v>18427</v>
      </c>
      <c r="H1931" s="219"/>
      <c r="I1931" s="169">
        <v>118002</v>
      </c>
      <c r="J1931" s="304" t="str">
        <f>CONCATENATE([2]Cover!$D$6,"fdd/view?i=",I1931)</f>
        <v>https://www.dgiwg.org/FAD/fdd/view?i=118002</v>
      </c>
      <c r="K1931" s="304" t="s">
        <v>35980</v>
      </c>
      <c r="L1931" s="188">
        <v>5</v>
      </c>
      <c r="M1931" s="179" t="s">
        <v>151</v>
      </c>
    </row>
    <row r="1932" spans="1:13" ht="38.25">
      <c r="A1932" s="313" t="str">
        <f t="shared" si="30"/>
        <v>BuildingSuperstructTypeCode_ornamentalElement</v>
      </c>
      <c r="B1932" s="330"/>
      <c r="C1932" s="334"/>
      <c r="D1932" s="188" t="s">
        <v>18428</v>
      </c>
      <c r="E1932" s="189" t="s">
        <v>18429</v>
      </c>
      <c r="F1932" s="162" t="s">
        <v>18430</v>
      </c>
      <c r="G1932" s="162" t="s">
        <v>18431</v>
      </c>
      <c r="H1932" s="219"/>
      <c r="I1932" s="169">
        <v>118003</v>
      </c>
      <c r="J1932" s="304" t="str">
        <f>CONCATENATE([2]Cover!$D$6,"fdd/view?i=",I1932)</f>
        <v>https://www.dgiwg.org/FAD/fdd/view?i=118003</v>
      </c>
      <c r="K1932" s="304" t="s">
        <v>35981</v>
      </c>
      <c r="L1932" s="188">
        <v>6</v>
      </c>
      <c r="M1932" s="179" t="s">
        <v>151</v>
      </c>
    </row>
    <row r="1933" spans="1:13" ht="89.25">
      <c r="A1933" s="313" t="str">
        <f t="shared" si="30"/>
        <v>BuildingSuperstructTypeCode_parapet</v>
      </c>
      <c r="B1933" s="330"/>
      <c r="C1933" s="334"/>
      <c r="D1933" s="188" t="s">
        <v>18432</v>
      </c>
      <c r="E1933" s="189" t="s">
        <v>18433</v>
      </c>
      <c r="F1933" s="162" t="s">
        <v>18434</v>
      </c>
      <c r="G1933" s="162" t="s">
        <v>18435</v>
      </c>
      <c r="H1933" s="219"/>
      <c r="I1933" s="169">
        <v>118004</v>
      </c>
      <c r="J1933" s="304" t="str">
        <f>CONCATENATE([2]Cover!$D$6,"fdd/view?i=",I1933)</f>
        <v>https://www.dgiwg.org/FAD/fdd/view?i=118004</v>
      </c>
      <c r="K1933" s="304" t="s">
        <v>35982</v>
      </c>
      <c r="L1933" s="188">
        <v>7</v>
      </c>
      <c r="M1933" s="179" t="s">
        <v>151</v>
      </c>
    </row>
    <row r="1934" spans="1:13" ht="25.5">
      <c r="A1934" s="313" t="str">
        <f t="shared" si="30"/>
        <v>BuildingSuperstructTypeCode_roofDeck</v>
      </c>
      <c r="B1934" s="330"/>
      <c r="C1934" s="334"/>
      <c r="D1934" s="188" t="s">
        <v>18436</v>
      </c>
      <c r="E1934" s="189" t="s">
        <v>18437</v>
      </c>
      <c r="F1934" s="162" t="s">
        <v>18438</v>
      </c>
      <c r="G1934" s="162" t="s">
        <v>18439</v>
      </c>
      <c r="H1934" s="219"/>
      <c r="I1934" s="169">
        <v>118005</v>
      </c>
      <c r="J1934" s="304" t="str">
        <f>CONCATENATE([2]Cover!$D$6,"fdd/view?i=",I1934)</f>
        <v>https://www.dgiwg.org/FAD/fdd/view?i=118005</v>
      </c>
      <c r="K1934" s="304" t="s">
        <v>35983</v>
      </c>
      <c r="L1934" s="188">
        <v>8</v>
      </c>
      <c r="M1934" s="179" t="s">
        <v>151</v>
      </c>
    </row>
    <row r="1935" spans="1:13" ht="25.5">
      <c r="A1935" s="313" t="str">
        <f t="shared" si="30"/>
        <v>BuildingSuperstructTypeCode_roofGarden</v>
      </c>
      <c r="B1935" s="330"/>
      <c r="C1935" s="334"/>
      <c r="D1935" s="188" t="s">
        <v>18440</v>
      </c>
      <c r="E1935" s="189" t="s">
        <v>18441</v>
      </c>
      <c r="F1935" s="162" t="s">
        <v>18442</v>
      </c>
      <c r="G1935" s="162" t="s">
        <v>18443</v>
      </c>
      <c r="H1935" s="219"/>
      <c r="I1935" s="169">
        <v>118006</v>
      </c>
      <c r="J1935" s="304" t="str">
        <f>CONCATENATE([2]Cover!$D$6,"fdd/view?i=",I1935)</f>
        <v>https://www.dgiwg.org/FAD/fdd/view?i=118006</v>
      </c>
      <c r="K1935" s="304" t="s">
        <v>35984</v>
      </c>
      <c r="L1935" s="188">
        <v>9</v>
      </c>
      <c r="M1935" s="179" t="s">
        <v>151</v>
      </c>
    </row>
    <row r="1936" spans="1:13" ht="38.25">
      <c r="A1936" s="313" t="str">
        <f t="shared" si="30"/>
        <v>BuildingSuperstructTypeCode_signage</v>
      </c>
      <c r="B1936" s="330"/>
      <c r="C1936" s="334"/>
      <c r="D1936" s="188" t="s">
        <v>18444</v>
      </c>
      <c r="E1936" s="189" t="s">
        <v>18445</v>
      </c>
      <c r="F1936" s="162" t="s">
        <v>18446</v>
      </c>
      <c r="G1936" s="162" t="s">
        <v>18447</v>
      </c>
      <c r="H1936" s="219"/>
      <c r="I1936" s="169">
        <v>118007</v>
      </c>
      <c r="J1936" s="304" t="str">
        <f>CONCATENATE([2]Cover!$D$6,"fdd/view?i=",I1936)</f>
        <v>https://www.dgiwg.org/FAD/fdd/view?i=118007</v>
      </c>
      <c r="K1936" s="304" t="s">
        <v>35985</v>
      </c>
      <c r="L1936" s="188">
        <v>10</v>
      </c>
      <c r="M1936" s="179" t="s">
        <v>151</v>
      </c>
    </row>
    <row r="1937" spans="1:13" ht="25.5">
      <c r="A1937" s="313" t="str">
        <f t="shared" si="30"/>
        <v>BuildingSuperstructTypeCode_skylight</v>
      </c>
      <c r="B1937" s="330"/>
      <c r="C1937" s="334"/>
      <c r="D1937" s="188" t="s">
        <v>18448</v>
      </c>
      <c r="E1937" s="189" t="s">
        <v>18449</v>
      </c>
      <c r="F1937" s="162" t="s">
        <v>18450</v>
      </c>
      <c r="G1937" s="190"/>
      <c r="H1937" s="219"/>
      <c r="I1937" s="169">
        <v>118008</v>
      </c>
      <c r="J1937" s="304" t="str">
        <f>CONCATENATE([2]Cover!$D$6,"fdd/view?i=",I1937)</f>
        <v>https://www.dgiwg.org/FAD/fdd/view?i=118008</v>
      </c>
      <c r="K1937" s="304" t="s">
        <v>35986</v>
      </c>
      <c r="L1937" s="188">
        <v>11</v>
      </c>
      <c r="M1937" s="179" t="s">
        <v>151</v>
      </c>
    </row>
    <row r="1938" spans="1:13" ht="25.5">
      <c r="A1938" s="313" t="str">
        <f t="shared" si="30"/>
        <v>BuildingSuperstructTypeCode_steeple</v>
      </c>
      <c r="B1938" s="330"/>
      <c r="C1938" s="334"/>
      <c r="D1938" s="188" t="s">
        <v>18451</v>
      </c>
      <c r="E1938" s="189" t="s">
        <v>18452</v>
      </c>
      <c r="F1938" s="162" t="s">
        <v>18453</v>
      </c>
      <c r="G1938" s="162" t="s">
        <v>18454</v>
      </c>
      <c r="H1938" s="219"/>
      <c r="I1938" s="169">
        <v>118012</v>
      </c>
      <c r="J1938" s="304" t="str">
        <f>CONCATENATE([2]Cover!$D$6,"fdd/view?i=",I1938)</f>
        <v>https://www.dgiwg.org/FAD/fdd/view?i=118012</v>
      </c>
      <c r="K1938" s="304" t="s">
        <v>35987</v>
      </c>
      <c r="L1938" s="188">
        <v>15</v>
      </c>
      <c r="M1938" s="179" t="s">
        <v>151</v>
      </c>
    </row>
    <row r="1939" spans="1:13" ht="25.5">
      <c r="A1939" s="313" t="str">
        <f t="shared" si="30"/>
        <v>BuildingSuperstructTypeCode_tower</v>
      </c>
      <c r="B1939" s="330"/>
      <c r="C1939" s="334"/>
      <c r="D1939" s="188" t="s">
        <v>18455</v>
      </c>
      <c r="E1939" s="189" t="s">
        <v>4289</v>
      </c>
      <c r="F1939" s="162" t="s">
        <v>18456</v>
      </c>
      <c r="G1939" s="162" t="s">
        <v>18457</v>
      </c>
      <c r="H1939" s="219"/>
      <c r="I1939" s="169">
        <v>118010</v>
      </c>
      <c r="J1939" s="304" t="str">
        <f>CONCATENATE([2]Cover!$D$6,"fdd/view?i=",I1939)</f>
        <v>https://www.dgiwg.org/FAD/fdd/view?i=118010</v>
      </c>
      <c r="K1939" s="304" t="s">
        <v>35988</v>
      </c>
      <c r="L1939" s="188">
        <v>13</v>
      </c>
      <c r="M1939" s="179" t="s">
        <v>151</v>
      </c>
    </row>
    <row r="1940" spans="1:13" ht="25.5">
      <c r="A1940" s="313" t="str">
        <f t="shared" si="30"/>
        <v>BuildingSuperstructTypeCode_turret</v>
      </c>
      <c r="B1940" s="331"/>
      <c r="C1940" s="335"/>
      <c r="D1940" s="181" t="s">
        <v>18458</v>
      </c>
      <c r="E1940" s="192" t="s">
        <v>18459</v>
      </c>
      <c r="F1940" s="193" t="s">
        <v>18460</v>
      </c>
      <c r="G1940" s="193" t="s">
        <v>18461</v>
      </c>
      <c r="H1940" s="220"/>
      <c r="I1940" s="169">
        <v>118013</v>
      </c>
      <c r="J1940" s="304" t="str">
        <f>CONCATENATE([2]Cover!$D$6,"fdd/view?i=",I1940)</f>
        <v>https://www.dgiwg.org/FAD/fdd/view?i=118013</v>
      </c>
      <c r="K1940" s="304" t="s">
        <v>35989</v>
      </c>
      <c r="L1940" s="181">
        <v>16</v>
      </c>
      <c r="M1940" s="179" t="s">
        <v>151</v>
      </c>
    </row>
    <row r="1941" spans="1:13">
      <c r="A1941" s="313" t="str">
        <f t="shared" si="30"/>
        <v>BuildingTypeCode_aircraftHangar</v>
      </c>
      <c r="B1941" s="332" t="str">
        <f>HYPERLINK("[#]Datatypes!A264:L264","BuildingTypeCode")</f>
        <v>BuildingTypeCode</v>
      </c>
      <c r="C1941" s="333" t="s">
        <v>11716</v>
      </c>
      <c r="D1941" s="202" t="s">
        <v>18462</v>
      </c>
      <c r="E1941" s="203" t="s">
        <v>1480</v>
      </c>
      <c r="F1941" s="204" t="s">
        <v>1481</v>
      </c>
      <c r="G1941" s="205"/>
      <c r="H1941" s="218"/>
      <c r="I1941" s="169">
        <v>204155</v>
      </c>
      <c r="J1941" s="304" t="str">
        <f>CONCATENATE([2]Cover!$D$6,"fdd/view?i=",I1941)</f>
        <v>https://www.dgiwg.org/FAD/fdd/view?i=204155</v>
      </c>
      <c r="K1941" s="304" t="s">
        <v>35990</v>
      </c>
      <c r="L1941" s="202">
        <v>1</v>
      </c>
      <c r="M1941" s="179" t="s">
        <v>1295</v>
      </c>
    </row>
    <row r="1942" spans="1:13" ht="51">
      <c r="A1942" s="313" t="str">
        <f t="shared" si="30"/>
        <v>BuildingTypeCode_arena</v>
      </c>
      <c r="B1942" s="330"/>
      <c r="C1942" s="334"/>
      <c r="D1942" s="188" t="s">
        <v>18463</v>
      </c>
      <c r="E1942" s="189" t="s">
        <v>18464</v>
      </c>
      <c r="F1942" s="162" t="s">
        <v>18465</v>
      </c>
      <c r="G1942" s="162" t="s">
        <v>18466</v>
      </c>
      <c r="H1942" s="219"/>
      <c r="I1942" s="169">
        <v>204156</v>
      </c>
      <c r="J1942" s="304" t="str">
        <f>CONCATENATE([2]Cover!$D$6,"fdd/view?i=",I1942)</f>
        <v>https://www.dgiwg.org/FAD/fdd/view?i=204156</v>
      </c>
      <c r="K1942" s="304" t="s">
        <v>35991</v>
      </c>
      <c r="L1942" s="188">
        <v>2</v>
      </c>
      <c r="M1942" s="179" t="s">
        <v>1295</v>
      </c>
    </row>
    <row r="1943" spans="1:13" ht="51">
      <c r="A1943" s="313" t="str">
        <f t="shared" si="30"/>
        <v>BuildingTypeCode_astronomicalObservatory</v>
      </c>
      <c r="B1943" s="330"/>
      <c r="C1943" s="334"/>
      <c r="D1943" s="188" t="s">
        <v>18467</v>
      </c>
      <c r="E1943" s="189" t="s">
        <v>1594</v>
      </c>
      <c r="F1943" s="162" t="s">
        <v>1595</v>
      </c>
      <c r="G1943" s="162" t="s">
        <v>1596</v>
      </c>
      <c r="H1943" s="219"/>
      <c r="I1943" s="169">
        <v>204157</v>
      </c>
      <c r="J1943" s="304" t="str">
        <f>CONCATENATE([2]Cover!$D$6,"fdd/view?i=",I1943)</f>
        <v>https://www.dgiwg.org/FAD/fdd/view?i=204157</v>
      </c>
      <c r="K1943" s="304" t="s">
        <v>35992</v>
      </c>
      <c r="L1943" s="188">
        <v>3</v>
      </c>
      <c r="M1943" s="179" t="s">
        <v>1295</v>
      </c>
    </row>
    <row r="1944" spans="1:13" ht="38.25">
      <c r="A1944" s="313" t="str">
        <f t="shared" si="30"/>
        <v>BuildingTypeCode_barn</v>
      </c>
      <c r="B1944" s="330"/>
      <c r="C1944" s="334"/>
      <c r="D1944" s="188" t="s">
        <v>18468</v>
      </c>
      <c r="E1944" s="189" t="s">
        <v>1643</v>
      </c>
      <c r="F1944" s="162" t="s">
        <v>1644</v>
      </c>
      <c r="G1944" s="190"/>
      <c r="H1944" s="219"/>
      <c r="I1944" s="169">
        <v>204158</v>
      </c>
      <c r="J1944" s="304" t="str">
        <f>CONCATENATE([2]Cover!$D$6,"fdd/view?i=",I1944)</f>
        <v>https://www.dgiwg.org/FAD/fdd/view?i=204158</v>
      </c>
      <c r="K1944" s="304" t="s">
        <v>35993</v>
      </c>
      <c r="L1944" s="188">
        <v>4</v>
      </c>
      <c r="M1944" s="179" t="s">
        <v>1295</v>
      </c>
    </row>
    <row r="1945" spans="1:13" ht="165.75">
      <c r="A1945" s="313" t="str">
        <f t="shared" si="30"/>
        <v>BuildingTypeCode_castle</v>
      </c>
      <c r="B1945" s="330"/>
      <c r="C1945" s="334"/>
      <c r="D1945" s="188" t="s">
        <v>18469</v>
      </c>
      <c r="E1945" s="189" t="s">
        <v>1821</v>
      </c>
      <c r="F1945" s="162" t="s">
        <v>1822</v>
      </c>
      <c r="G1945" s="162" t="s">
        <v>1823</v>
      </c>
      <c r="H1945" s="219"/>
      <c r="I1945" s="169">
        <v>204159</v>
      </c>
      <c r="J1945" s="304" t="str">
        <f>CONCATENATE([2]Cover!$D$6,"fdd/view?i=",I1945)</f>
        <v>https://www.dgiwg.org/FAD/fdd/view?i=204159</v>
      </c>
      <c r="K1945" s="304" t="s">
        <v>35994</v>
      </c>
      <c r="L1945" s="188">
        <v>5</v>
      </c>
      <c r="M1945" s="179" t="s">
        <v>1295</v>
      </c>
    </row>
    <row r="1946" spans="1:13" ht="38.25">
      <c r="A1946" s="313" t="str">
        <f t="shared" si="30"/>
        <v>BuildingTypeCode_controlTower</v>
      </c>
      <c r="B1946" s="330"/>
      <c r="C1946" s="334"/>
      <c r="D1946" s="188" t="s">
        <v>18470</v>
      </c>
      <c r="E1946" s="189" t="s">
        <v>1912</v>
      </c>
      <c r="F1946" s="162" t="s">
        <v>1913</v>
      </c>
      <c r="G1946" s="162" t="s">
        <v>1914</v>
      </c>
      <c r="H1946" s="219"/>
      <c r="I1946" s="169">
        <v>204160</v>
      </c>
      <c r="J1946" s="304" t="str">
        <f>CONCATENATE([2]Cover!$D$6,"fdd/view?i=",I1946)</f>
        <v>https://www.dgiwg.org/FAD/fdd/view?i=204160</v>
      </c>
      <c r="K1946" s="304" t="s">
        <v>35995</v>
      </c>
      <c r="L1946" s="188">
        <v>6</v>
      </c>
      <c r="M1946" s="179" t="s">
        <v>1295</v>
      </c>
    </row>
    <row r="1947" spans="1:13" ht="114.75">
      <c r="A1947" s="313" t="str">
        <f t="shared" si="30"/>
        <v>BuildingTypeCode_countryHouse</v>
      </c>
      <c r="B1947" s="330"/>
      <c r="C1947" s="334"/>
      <c r="D1947" s="188" t="s">
        <v>18471</v>
      </c>
      <c r="E1947" s="189" t="s">
        <v>1933</v>
      </c>
      <c r="F1947" s="162" t="s">
        <v>1934</v>
      </c>
      <c r="G1947" s="162" t="s">
        <v>1935</v>
      </c>
      <c r="H1947" s="219"/>
      <c r="I1947" s="169">
        <v>204161</v>
      </c>
      <c r="J1947" s="304" t="str">
        <f>CONCATENATE([2]Cover!$D$6,"fdd/view?i=",I1947)</f>
        <v>https://www.dgiwg.org/FAD/fdd/view?i=204161</v>
      </c>
      <c r="K1947" s="304" t="s">
        <v>35996</v>
      </c>
      <c r="L1947" s="188">
        <v>7</v>
      </c>
      <c r="M1947" s="179" t="s">
        <v>1295</v>
      </c>
    </row>
    <row r="1948" spans="1:13">
      <c r="A1948" s="313" t="str">
        <f t="shared" si="30"/>
        <v>BuildingTypeCode_ferryStation</v>
      </c>
      <c r="B1948" s="330"/>
      <c r="C1948" s="334"/>
      <c r="D1948" s="188" t="s">
        <v>18472</v>
      </c>
      <c r="E1948" s="189" t="s">
        <v>2336</v>
      </c>
      <c r="F1948" s="162" t="s">
        <v>2337</v>
      </c>
      <c r="G1948" s="190"/>
      <c r="H1948" s="219"/>
      <c r="I1948" s="169">
        <v>204162</v>
      </c>
      <c r="J1948" s="304" t="str">
        <f>CONCATENATE([2]Cover!$D$6,"fdd/view?i=",I1948)</f>
        <v>https://www.dgiwg.org/FAD/fdd/view?i=204162</v>
      </c>
      <c r="K1948" s="304" t="s">
        <v>35997</v>
      </c>
      <c r="L1948" s="188">
        <v>8</v>
      </c>
      <c r="M1948" s="179" t="s">
        <v>1295</v>
      </c>
    </row>
    <row r="1949" spans="1:13" ht="25.5">
      <c r="A1949" s="313" t="str">
        <f t="shared" si="30"/>
        <v>BuildingTypeCode_fortifiedBuilding</v>
      </c>
      <c r="B1949" s="330"/>
      <c r="C1949" s="334"/>
      <c r="D1949" s="188" t="s">
        <v>18473</v>
      </c>
      <c r="E1949" s="189" t="s">
        <v>2460</v>
      </c>
      <c r="F1949" s="162" t="s">
        <v>2461</v>
      </c>
      <c r="G1949" s="190"/>
      <c r="H1949" s="219"/>
      <c r="I1949" s="169">
        <v>204163</v>
      </c>
      <c r="J1949" s="304" t="str">
        <f>CONCATENATE([2]Cover!$D$6,"fdd/view?i=",I1949)</f>
        <v>https://www.dgiwg.org/FAD/fdd/view?i=204163</v>
      </c>
      <c r="K1949" s="304" t="s">
        <v>35998</v>
      </c>
      <c r="L1949" s="188">
        <v>9</v>
      </c>
      <c r="M1949" s="179" t="s">
        <v>1295</v>
      </c>
    </row>
    <row r="1950" spans="1:13" ht="38.25">
      <c r="A1950" s="313" t="str">
        <f t="shared" si="30"/>
        <v>BuildingTypeCode_greenhouse</v>
      </c>
      <c r="B1950" s="330"/>
      <c r="C1950" s="334"/>
      <c r="D1950" s="188" t="s">
        <v>18474</v>
      </c>
      <c r="E1950" s="189" t="s">
        <v>2639</v>
      </c>
      <c r="F1950" s="162" t="s">
        <v>18475</v>
      </c>
      <c r="G1950" s="190"/>
      <c r="H1950" s="219"/>
      <c r="I1950" s="169">
        <v>204164</v>
      </c>
      <c r="J1950" s="304" t="str">
        <f>CONCATENATE([2]Cover!$D$6,"fdd/view?i=",I1950)</f>
        <v>https://www.dgiwg.org/FAD/fdd/view?i=204164</v>
      </c>
      <c r="K1950" s="304" t="s">
        <v>35999</v>
      </c>
      <c r="L1950" s="188">
        <v>10</v>
      </c>
      <c r="M1950" s="179" t="s">
        <v>1295</v>
      </c>
    </row>
    <row r="1951" spans="1:13" ht="76.5">
      <c r="A1951" s="313" t="str">
        <f t="shared" si="30"/>
        <v>BuildingTypeCode_hardenedAircraftShelter</v>
      </c>
      <c r="B1951" s="330"/>
      <c r="C1951" s="334"/>
      <c r="D1951" s="188" t="s">
        <v>18476</v>
      </c>
      <c r="E1951" s="189" t="s">
        <v>2661</v>
      </c>
      <c r="F1951" s="162" t="s">
        <v>2662</v>
      </c>
      <c r="G1951" s="162" t="s">
        <v>2663</v>
      </c>
      <c r="H1951" s="219"/>
      <c r="I1951" s="169">
        <v>204165</v>
      </c>
      <c r="J1951" s="304" t="str">
        <f>CONCATENATE([2]Cover!$D$6,"fdd/view?i=",I1951)</f>
        <v>https://www.dgiwg.org/FAD/fdd/view?i=204165</v>
      </c>
      <c r="K1951" s="304" t="s">
        <v>36000</v>
      </c>
      <c r="L1951" s="188">
        <v>11</v>
      </c>
      <c r="M1951" s="179" t="s">
        <v>1295</v>
      </c>
    </row>
    <row r="1952" spans="1:13" ht="102">
      <c r="A1952" s="313" t="str">
        <f t="shared" si="30"/>
        <v>BuildingTypeCode_hut</v>
      </c>
      <c r="B1952" s="330"/>
      <c r="C1952" s="334"/>
      <c r="D1952" s="188" t="s">
        <v>18477</v>
      </c>
      <c r="E1952" s="189" t="s">
        <v>2746</v>
      </c>
      <c r="F1952" s="162" t="s">
        <v>2747</v>
      </c>
      <c r="G1952" s="162" t="s">
        <v>2748</v>
      </c>
      <c r="H1952" s="219"/>
      <c r="I1952" s="169">
        <v>204166</v>
      </c>
      <c r="J1952" s="304" t="str">
        <f>CONCATENATE([2]Cover!$D$6,"fdd/view?i=",I1952)</f>
        <v>https://www.dgiwg.org/FAD/fdd/view?i=204166</v>
      </c>
      <c r="K1952" s="304" t="s">
        <v>36001</v>
      </c>
      <c r="L1952" s="188">
        <v>12</v>
      </c>
      <c r="M1952" s="179" t="s">
        <v>1295</v>
      </c>
    </row>
    <row r="1953" spans="1:13" ht="25.5">
      <c r="A1953" s="313" t="str">
        <f t="shared" si="30"/>
        <v>BuildingTypeCode_lighthouse</v>
      </c>
      <c r="B1953" s="330"/>
      <c r="C1953" s="334"/>
      <c r="D1953" s="188" t="s">
        <v>18478</v>
      </c>
      <c r="E1953" s="189" t="s">
        <v>3020</v>
      </c>
      <c r="F1953" s="162" t="s">
        <v>3021</v>
      </c>
      <c r="G1953" s="190"/>
      <c r="H1953" s="219"/>
      <c r="I1953" s="169">
        <v>204167</v>
      </c>
      <c r="J1953" s="304" t="str">
        <f>CONCATENATE([2]Cover!$D$6,"fdd/view?i=",I1953)</f>
        <v>https://www.dgiwg.org/FAD/fdd/view?i=204167</v>
      </c>
      <c r="K1953" s="304" t="s">
        <v>36002</v>
      </c>
      <c r="L1953" s="188">
        <v>13</v>
      </c>
      <c r="M1953" s="179" t="s">
        <v>1295</v>
      </c>
    </row>
    <row r="1954" spans="1:13" ht="25.5">
      <c r="A1954" s="313" t="str">
        <f t="shared" si="30"/>
        <v>BuildingTypeCode_maritimeSignalStation</v>
      </c>
      <c r="B1954" s="330"/>
      <c r="C1954" s="334"/>
      <c r="D1954" s="188" t="s">
        <v>18479</v>
      </c>
      <c r="E1954" s="189" t="s">
        <v>3137</v>
      </c>
      <c r="F1954" s="162" t="s">
        <v>3138</v>
      </c>
      <c r="G1954" s="190"/>
      <c r="H1954" s="219"/>
      <c r="I1954" s="169">
        <v>204168</v>
      </c>
      <c r="J1954" s="304" t="str">
        <f>CONCATENATE([2]Cover!$D$6,"fdd/view?i=",I1954)</f>
        <v>https://www.dgiwg.org/FAD/fdd/view?i=204168</v>
      </c>
      <c r="K1954" s="304" t="s">
        <v>36003</v>
      </c>
      <c r="L1954" s="188">
        <v>14</v>
      </c>
      <c r="M1954" s="179" t="s">
        <v>1295</v>
      </c>
    </row>
    <row r="1955" spans="1:13" ht="25.5">
      <c r="A1955" s="313" t="str">
        <f t="shared" si="30"/>
        <v>BuildingTypeCode_motorVehicleStation</v>
      </c>
      <c r="B1955" s="330"/>
      <c r="C1955" s="334"/>
      <c r="D1955" s="188" t="s">
        <v>18480</v>
      </c>
      <c r="E1955" s="189" t="s">
        <v>3241</v>
      </c>
      <c r="F1955" s="162" t="s">
        <v>3242</v>
      </c>
      <c r="G1955" s="162" t="s">
        <v>3243</v>
      </c>
      <c r="H1955" s="221" t="s">
        <v>3244</v>
      </c>
      <c r="I1955" s="169">
        <v>204169</v>
      </c>
      <c r="J1955" s="304" t="str">
        <f>CONCATENATE([2]Cover!$D$6,"fdd/view?i=",I1955)</f>
        <v>https://www.dgiwg.org/FAD/fdd/view?i=204169</v>
      </c>
      <c r="K1955" s="304" t="s">
        <v>36004</v>
      </c>
      <c r="L1955" s="188">
        <v>15</v>
      </c>
      <c r="M1955" s="179" t="s">
        <v>1295</v>
      </c>
    </row>
    <row r="1956" spans="1:13" ht="25.5">
      <c r="A1956" s="313" t="str">
        <f t="shared" si="30"/>
        <v>BuildingTypeCode_parkingGarage</v>
      </c>
      <c r="B1956" s="330"/>
      <c r="C1956" s="334"/>
      <c r="D1956" s="188" t="s">
        <v>18481</v>
      </c>
      <c r="E1956" s="189" t="s">
        <v>3379</v>
      </c>
      <c r="F1956" s="162" t="s">
        <v>3380</v>
      </c>
      <c r="G1956" s="162" t="s">
        <v>3381</v>
      </c>
      <c r="H1956" s="219"/>
      <c r="I1956" s="169">
        <v>204170</v>
      </c>
      <c r="J1956" s="304" t="str">
        <f>CONCATENATE([2]Cover!$D$6,"fdd/view?i=",I1956)</f>
        <v>https://www.dgiwg.org/FAD/fdd/view?i=204170</v>
      </c>
      <c r="K1956" s="304" t="s">
        <v>36005</v>
      </c>
      <c r="L1956" s="188">
        <v>16</v>
      </c>
      <c r="M1956" s="179" t="s">
        <v>1295</v>
      </c>
    </row>
    <row r="1957" spans="1:13" ht="51">
      <c r="A1957" s="313" t="str">
        <f t="shared" si="30"/>
        <v>BuildingTypeCode_roundhouse</v>
      </c>
      <c r="B1957" s="330"/>
      <c r="C1957" s="334"/>
      <c r="D1957" s="188" t="s">
        <v>18482</v>
      </c>
      <c r="E1957" s="189" t="s">
        <v>3677</v>
      </c>
      <c r="F1957" s="162" t="s">
        <v>3678</v>
      </c>
      <c r="G1957" s="162" t="s">
        <v>3679</v>
      </c>
      <c r="H1957" s="219"/>
      <c r="I1957" s="169">
        <v>204171</v>
      </c>
      <c r="J1957" s="304" t="str">
        <f>CONCATENATE([2]Cover!$D$6,"fdd/view?i=",I1957)</f>
        <v>https://www.dgiwg.org/FAD/fdd/view?i=204171</v>
      </c>
      <c r="K1957" s="304" t="s">
        <v>36006</v>
      </c>
      <c r="L1957" s="188">
        <v>17</v>
      </c>
      <c r="M1957" s="179" t="s">
        <v>1295</v>
      </c>
    </row>
    <row r="1958" spans="1:13" ht="25.5">
      <c r="A1958" s="313" t="str">
        <f t="shared" si="30"/>
        <v>BuildingTypeCode_shed</v>
      </c>
      <c r="B1958" s="330"/>
      <c r="C1958" s="334"/>
      <c r="D1958" s="188" t="s">
        <v>18483</v>
      </c>
      <c r="E1958" s="189" t="s">
        <v>3855</v>
      </c>
      <c r="F1958" s="162" t="s">
        <v>3856</v>
      </c>
      <c r="G1958" s="162" t="s">
        <v>3857</v>
      </c>
      <c r="H1958" s="219"/>
      <c r="I1958" s="169">
        <v>204172</v>
      </c>
      <c r="J1958" s="304" t="str">
        <f>CONCATENATE([2]Cover!$D$6,"fdd/view?i=",I1958)</f>
        <v>https://www.dgiwg.org/FAD/fdd/view?i=204172</v>
      </c>
      <c r="K1958" s="304" t="s">
        <v>36007</v>
      </c>
      <c r="L1958" s="188">
        <v>18</v>
      </c>
      <c r="M1958" s="179" t="s">
        <v>1295</v>
      </c>
    </row>
    <row r="1959" spans="1:13" ht="63.75">
      <c r="A1959" s="313" t="str">
        <f t="shared" si="30"/>
        <v>BuildingTypeCode_stable</v>
      </c>
      <c r="B1959" s="330"/>
      <c r="C1959" s="334"/>
      <c r="D1959" s="188" t="s">
        <v>18484</v>
      </c>
      <c r="E1959" s="189" t="s">
        <v>4063</v>
      </c>
      <c r="F1959" s="162" t="s">
        <v>4064</v>
      </c>
      <c r="G1959" s="162" t="s">
        <v>4065</v>
      </c>
      <c r="H1959" s="219"/>
      <c r="I1959" s="169">
        <v>204173</v>
      </c>
      <c r="J1959" s="304" t="str">
        <f>CONCATENATE([2]Cover!$D$6,"fdd/view?i=",I1959)</f>
        <v>https://www.dgiwg.org/FAD/fdd/view?i=204173</v>
      </c>
      <c r="K1959" s="304" t="s">
        <v>36008</v>
      </c>
      <c r="L1959" s="188">
        <v>19</v>
      </c>
      <c r="M1959" s="179" t="s">
        <v>1295</v>
      </c>
    </row>
    <row r="1960" spans="1:13" ht="25.5">
      <c r="A1960" s="313" t="str">
        <f t="shared" si="30"/>
        <v>BuildingTypeCode_transportationStation</v>
      </c>
      <c r="B1960" s="330"/>
      <c r="C1960" s="334"/>
      <c r="D1960" s="188" t="s">
        <v>18485</v>
      </c>
      <c r="E1960" s="189" t="s">
        <v>4355</v>
      </c>
      <c r="F1960" s="162" t="s">
        <v>18486</v>
      </c>
      <c r="G1960" s="162" t="s">
        <v>18487</v>
      </c>
      <c r="H1960" s="219"/>
      <c r="I1960" s="169">
        <v>204174</v>
      </c>
      <c r="J1960" s="304" t="str">
        <f>CONCATENATE([2]Cover!$D$6,"fdd/view?i=",I1960)</f>
        <v>https://www.dgiwg.org/FAD/fdd/view?i=204174</v>
      </c>
      <c r="K1960" s="304" t="s">
        <v>36009</v>
      </c>
      <c r="L1960" s="188">
        <v>20</v>
      </c>
      <c r="M1960" s="179" t="s">
        <v>1295</v>
      </c>
    </row>
    <row r="1961" spans="1:13" ht="38.25">
      <c r="A1961" s="313" t="str">
        <f t="shared" si="30"/>
        <v>BuildingTypeCode_waterMill</v>
      </c>
      <c r="B1961" s="330"/>
      <c r="C1961" s="334"/>
      <c r="D1961" s="188" t="s">
        <v>18488</v>
      </c>
      <c r="E1961" s="189" t="s">
        <v>4513</v>
      </c>
      <c r="F1961" s="162" t="s">
        <v>4514</v>
      </c>
      <c r="G1961" s="162" t="s">
        <v>4515</v>
      </c>
      <c r="H1961" s="219"/>
      <c r="I1961" s="169">
        <v>204175</v>
      </c>
      <c r="J1961" s="304" t="str">
        <f>CONCATENATE([2]Cover!$D$6,"fdd/view?i=",I1961)</f>
        <v>https://www.dgiwg.org/FAD/fdd/view?i=204175</v>
      </c>
      <c r="K1961" s="304" t="s">
        <v>36010</v>
      </c>
      <c r="L1961" s="188">
        <v>21</v>
      </c>
      <c r="M1961" s="179" t="s">
        <v>1295</v>
      </c>
    </row>
    <row r="1962" spans="1:13" ht="51">
      <c r="A1962" s="313" t="str">
        <f t="shared" si="30"/>
        <v>BuildingTypeCode_weighStation</v>
      </c>
      <c r="B1962" s="331"/>
      <c r="C1962" s="335"/>
      <c r="D1962" s="181" t="s">
        <v>18489</v>
      </c>
      <c r="E1962" s="192" t="s">
        <v>4586</v>
      </c>
      <c r="F1962" s="193" t="s">
        <v>18490</v>
      </c>
      <c r="G1962" s="193" t="s">
        <v>18491</v>
      </c>
      <c r="H1962" s="220"/>
      <c r="I1962" s="169">
        <v>204176</v>
      </c>
      <c r="J1962" s="304" t="str">
        <f>CONCATENATE([2]Cover!$D$6,"fdd/view?i=",I1962)</f>
        <v>https://www.dgiwg.org/FAD/fdd/view?i=204176</v>
      </c>
      <c r="K1962" s="304" t="s">
        <v>36011</v>
      </c>
      <c r="L1962" s="181">
        <v>22</v>
      </c>
      <c r="M1962" s="179" t="s">
        <v>1295</v>
      </c>
    </row>
    <row r="1963" spans="1:13" ht="25.5">
      <c r="A1963" s="313" t="str">
        <f t="shared" si="30"/>
        <v>BuiltUpAreaDensityCatCode_dense</v>
      </c>
      <c r="B1963" s="332" t="str">
        <f>HYPERLINK("[#]Datatypes!A266:L266","BuiltUpAreaDensityCatCode")</f>
        <v>BuiltUpAreaDensityCatCode</v>
      </c>
      <c r="C1963" s="333" t="s">
        <v>11718</v>
      </c>
      <c r="D1963" s="202" t="s">
        <v>18492</v>
      </c>
      <c r="E1963" s="203" t="s">
        <v>18493</v>
      </c>
      <c r="F1963" s="204" t="s">
        <v>18494</v>
      </c>
      <c r="G1963" s="204" t="s">
        <v>18495</v>
      </c>
      <c r="H1963" s="218"/>
      <c r="I1963" s="169">
        <v>102153</v>
      </c>
      <c r="J1963" s="304" t="str">
        <f>CONCATENATE([2]Cover!$D$6,"fdd/view?i=",I1963)</f>
        <v>https://www.dgiwg.org/FAD/fdd/view?i=102153</v>
      </c>
      <c r="K1963" s="304" t="s">
        <v>36012</v>
      </c>
      <c r="L1963" s="202">
        <v>2</v>
      </c>
      <c r="M1963" s="179" t="s">
        <v>151</v>
      </c>
    </row>
    <row r="1964" spans="1:13" ht="25.5">
      <c r="A1964" s="313" t="str">
        <f t="shared" si="30"/>
        <v>BuiltUpAreaDensityCatCode_moderate</v>
      </c>
      <c r="B1964" s="330"/>
      <c r="C1964" s="334"/>
      <c r="D1964" s="188" t="s">
        <v>18496</v>
      </c>
      <c r="E1964" s="189" t="s">
        <v>18497</v>
      </c>
      <c r="F1964" s="162" t="s">
        <v>18498</v>
      </c>
      <c r="G1964" s="162" t="s">
        <v>18499</v>
      </c>
      <c r="H1964" s="219"/>
      <c r="I1964" s="169">
        <v>102154</v>
      </c>
      <c r="J1964" s="304" t="str">
        <f>CONCATENATE([2]Cover!$D$6,"fdd/view?i=",I1964)</f>
        <v>https://www.dgiwg.org/FAD/fdd/view?i=102154</v>
      </c>
      <c r="K1964" s="304" t="s">
        <v>36013</v>
      </c>
      <c r="L1964" s="188">
        <v>3</v>
      </c>
      <c r="M1964" s="179" t="s">
        <v>151</v>
      </c>
    </row>
    <row r="1965" spans="1:13" ht="25.5">
      <c r="A1965" s="313" t="str">
        <f t="shared" si="30"/>
        <v>BuiltUpAreaDensityCatCode_sparse</v>
      </c>
      <c r="B1965" s="331"/>
      <c r="C1965" s="335"/>
      <c r="D1965" s="181" t="s">
        <v>18500</v>
      </c>
      <c r="E1965" s="192" t="s">
        <v>18501</v>
      </c>
      <c r="F1965" s="193" t="s">
        <v>18502</v>
      </c>
      <c r="G1965" s="193" t="s">
        <v>18503</v>
      </c>
      <c r="H1965" s="220"/>
      <c r="I1965" s="169">
        <v>102152</v>
      </c>
      <c r="J1965" s="304" t="str">
        <f>CONCATENATE([2]Cover!$D$6,"fdd/view?i=",I1965)</f>
        <v>https://www.dgiwg.org/FAD/fdd/view?i=102152</v>
      </c>
      <c r="K1965" s="304" t="s">
        <v>36014</v>
      </c>
      <c r="L1965" s="181">
        <v>1</v>
      </c>
      <c r="M1965" s="179" t="s">
        <v>151</v>
      </c>
    </row>
    <row r="1966" spans="1:13" ht="38.25">
      <c r="A1966" s="313" t="str">
        <f t="shared" si="30"/>
        <v>BuoyShapeCode_barrel</v>
      </c>
      <c r="B1966" s="332" t="str">
        <f>HYPERLINK("[#]Datatypes!A268:L268","BuoyShapeCode")</f>
        <v>BuoyShapeCode</v>
      </c>
      <c r="C1966" s="333" t="s">
        <v>11720</v>
      </c>
      <c r="D1966" s="202" t="s">
        <v>18504</v>
      </c>
      <c r="E1966" s="203" t="s">
        <v>18505</v>
      </c>
      <c r="F1966" s="204" t="s">
        <v>18506</v>
      </c>
      <c r="G1966" s="205"/>
      <c r="H1966" s="222" t="s">
        <v>18507</v>
      </c>
      <c r="I1966" s="169">
        <v>103515</v>
      </c>
      <c r="J1966" s="304" t="str">
        <f>CONCATENATE([2]Cover!$D$6,"fdd/view?i=",I1966)</f>
        <v>https://www.dgiwg.org/FAD/fdd/view?i=103515</v>
      </c>
      <c r="K1966" s="304" t="s">
        <v>36015</v>
      </c>
      <c r="L1966" s="202">
        <v>6</v>
      </c>
      <c r="M1966" s="179" t="s">
        <v>151</v>
      </c>
    </row>
    <row r="1967" spans="1:13" ht="38.25">
      <c r="A1967" s="313" t="str">
        <f t="shared" si="30"/>
        <v>BuoyShapeCode_can</v>
      </c>
      <c r="B1967" s="330"/>
      <c r="C1967" s="334"/>
      <c r="D1967" s="188" t="s">
        <v>18508</v>
      </c>
      <c r="E1967" s="189" t="s">
        <v>18509</v>
      </c>
      <c r="F1967" s="162" t="s">
        <v>18510</v>
      </c>
      <c r="G1967" s="190"/>
      <c r="H1967" s="221" t="s">
        <v>18511</v>
      </c>
      <c r="I1967" s="169">
        <v>103498</v>
      </c>
      <c r="J1967" s="304" t="str">
        <f>CONCATENATE([2]Cover!$D$6,"fdd/view?i=",I1967)</f>
        <v>https://www.dgiwg.org/FAD/fdd/view?i=103498</v>
      </c>
      <c r="K1967" s="304" t="s">
        <v>36016</v>
      </c>
      <c r="L1967" s="188">
        <v>2</v>
      </c>
      <c r="M1967" s="179" t="s">
        <v>151</v>
      </c>
    </row>
    <row r="1968" spans="1:13" ht="38.25">
      <c r="A1968" s="313" t="str">
        <f t="shared" si="30"/>
        <v>BuoyShapeCode_conical</v>
      </c>
      <c r="B1968" s="330"/>
      <c r="C1968" s="334"/>
      <c r="D1968" s="188" t="s">
        <v>18512</v>
      </c>
      <c r="E1968" s="189" t="s">
        <v>18513</v>
      </c>
      <c r="F1968" s="162" t="s">
        <v>18514</v>
      </c>
      <c r="G1968" s="190"/>
      <c r="H1968" s="221" t="s">
        <v>18515</v>
      </c>
      <c r="I1968" s="169">
        <v>103496</v>
      </c>
      <c r="J1968" s="304" t="str">
        <f>CONCATENATE([2]Cover!$D$6,"fdd/view?i=",I1968)</f>
        <v>https://www.dgiwg.org/FAD/fdd/view?i=103496</v>
      </c>
      <c r="K1968" s="304" t="s">
        <v>36017</v>
      </c>
      <c r="L1968" s="188">
        <v>1</v>
      </c>
      <c r="M1968" s="179" t="s">
        <v>151</v>
      </c>
    </row>
    <row r="1969" spans="1:13" ht="25.5">
      <c r="A1969" s="313" t="str">
        <f t="shared" si="30"/>
        <v>BuoyShapeCode_diamond</v>
      </c>
      <c r="B1969" s="330"/>
      <c r="C1969" s="334"/>
      <c r="D1969" s="188" t="s">
        <v>18516</v>
      </c>
      <c r="E1969" s="189" t="s">
        <v>18517</v>
      </c>
      <c r="F1969" s="162" t="s">
        <v>18518</v>
      </c>
      <c r="G1969" s="190"/>
      <c r="H1969" s="221" t="s">
        <v>18519</v>
      </c>
      <c r="I1969" s="169">
        <v>105364</v>
      </c>
      <c r="J1969" s="304" t="str">
        <f>CONCATENATE([2]Cover!$D$6,"fdd/view?i=",I1969)</f>
        <v>https://www.dgiwg.org/FAD/fdd/view?i=105364</v>
      </c>
      <c r="K1969" s="304" t="s">
        <v>36018</v>
      </c>
      <c r="L1969" s="188">
        <v>9</v>
      </c>
      <c r="M1969" s="179" t="s">
        <v>151</v>
      </c>
    </row>
    <row r="1970" spans="1:13" ht="25.5">
      <c r="A1970" s="313" t="str">
        <f t="shared" si="30"/>
        <v>BuoyShapeCode_icebuoy</v>
      </c>
      <c r="B1970" s="330"/>
      <c r="C1970" s="334"/>
      <c r="D1970" s="188" t="s">
        <v>18520</v>
      </c>
      <c r="E1970" s="189" t="s">
        <v>18521</v>
      </c>
      <c r="F1970" s="162" t="s">
        <v>18522</v>
      </c>
      <c r="G1970" s="190"/>
      <c r="H1970" s="219"/>
      <c r="I1970" s="169">
        <v>104988</v>
      </c>
      <c r="J1970" s="304" t="str">
        <f>CONCATENATE([2]Cover!$D$6,"fdd/view?i=",I1970)</f>
        <v>https://www.dgiwg.org/FAD/fdd/view?i=104988</v>
      </c>
      <c r="K1970" s="304" t="s">
        <v>36019</v>
      </c>
      <c r="L1970" s="188">
        <v>8</v>
      </c>
      <c r="M1970" s="179" t="s">
        <v>151</v>
      </c>
    </row>
    <row r="1971" spans="1:13" ht="25.5">
      <c r="A1971" s="313" t="str">
        <f t="shared" si="30"/>
        <v>BuoyShapeCode_pillar</v>
      </c>
      <c r="B1971" s="330"/>
      <c r="C1971" s="334"/>
      <c r="D1971" s="188" t="s">
        <v>18523</v>
      </c>
      <c r="E1971" s="189" t="s">
        <v>18524</v>
      </c>
      <c r="F1971" s="162" t="s">
        <v>18525</v>
      </c>
      <c r="G1971" s="190"/>
      <c r="H1971" s="219"/>
      <c r="I1971" s="169">
        <v>103501</v>
      </c>
      <c r="J1971" s="304" t="str">
        <f>CONCATENATE([2]Cover!$D$6,"fdd/view?i=",I1971)</f>
        <v>https://www.dgiwg.org/FAD/fdd/view?i=103501</v>
      </c>
      <c r="K1971" s="304" t="s">
        <v>36020</v>
      </c>
      <c r="L1971" s="188">
        <v>4</v>
      </c>
      <c r="M1971" s="179" t="s">
        <v>151</v>
      </c>
    </row>
    <row r="1972" spans="1:13" ht="38.25">
      <c r="A1972" s="313" t="str">
        <f t="shared" si="30"/>
        <v>BuoyShapeCode_spar</v>
      </c>
      <c r="B1972" s="330"/>
      <c r="C1972" s="334"/>
      <c r="D1972" s="188" t="s">
        <v>18526</v>
      </c>
      <c r="E1972" s="189" t="s">
        <v>18527</v>
      </c>
      <c r="F1972" s="162" t="s">
        <v>18528</v>
      </c>
      <c r="G1972" s="190"/>
      <c r="H1972" s="221" t="s">
        <v>18529</v>
      </c>
      <c r="I1972" s="169">
        <v>103510</v>
      </c>
      <c r="J1972" s="304" t="str">
        <f>CONCATENATE([2]Cover!$D$6,"fdd/view?i=",I1972)</f>
        <v>https://www.dgiwg.org/FAD/fdd/view?i=103510</v>
      </c>
      <c r="K1972" s="304" t="s">
        <v>36021</v>
      </c>
      <c r="L1972" s="188">
        <v>5</v>
      </c>
      <c r="M1972" s="179" t="s">
        <v>151</v>
      </c>
    </row>
    <row r="1973" spans="1:13" ht="25.5">
      <c r="A1973" s="313" t="str">
        <f t="shared" si="30"/>
        <v>BuoyShapeCode_spherical</v>
      </c>
      <c r="B1973" s="330"/>
      <c r="C1973" s="334"/>
      <c r="D1973" s="188" t="s">
        <v>16487</v>
      </c>
      <c r="E1973" s="189" t="s">
        <v>16488</v>
      </c>
      <c r="F1973" s="162" t="s">
        <v>18530</v>
      </c>
      <c r="G1973" s="190"/>
      <c r="H1973" s="219"/>
      <c r="I1973" s="169">
        <v>103499</v>
      </c>
      <c r="J1973" s="304" t="str">
        <f>CONCATENATE([2]Cover!$D$6,"fdd/view?i=",I1973)</f>
        <v>https://www.dgiwg.org/FAD/fdd/view?i=103499</v>
      </c>
      <c r="K1973" s="304" t="s">
        <v>36022</v>
      </c>
      <c r="L1973" s="188">
        <v>3</v>
      </c>
      <c r="M1973" s="179" t="s">
        <v>151</v>
      </c>
    </row>
    <row r="1974" spans="1:13">
      <c r="A1974" s="313" t="str">
        <f t="shared" si="30"/>
        <v>BuoyShapeCode_superBuoy</v>
      </c>
      <c r="B1974" s="331"/>
      <c r="C1974" s="335"/>
      <c r="D1974" s="181" t="s">
        <v>18531</v>
      </c>
      <c r="E1974" s="192" t="s">
        <v>18532</v>
      </c>
      <c r="F1974" s="193" t="s">
        <v>18533</v>
      </c>
      <c r="G1974" s="194"/>
      <c r="H1974" s="220"/>
      <c r="I1974" s="169">
        <v>104818</v>
      </c>
      <c r="J1974" s="304" t="str">
        <f>CONCATENATE([2]Cover!$D$6,"fdd/view?i=",I1974)</f>
        <v>https://www.dgiwg.org/FAD/fdd/view?i=104818</v>
      </c>
      <c r="K1974" s="304" t="s">
        <v>36023</v>
      </c>
      <c r="L1974" s="181">
        <v>7</v>
      </c>
      <c r="M1974" s="179" t="s">
        <v>151</v>
      </c>
    </row>
    <row r="1975" spans="1:13" ht="89.25">
      <c r="A1975" s="313" t="str">
        <f t="shared" si="30"/>
        <v>BuoyTypeCode_accelerometer</v>
      </c>
      <c r="B1975" s="332" t="str">
        <f>HYPERLINK("[#]Datatypes!A270:L270","BuoyTypeCode")</f>
        <v>BuoyTypeCode</v>
      </c>
      <c r="C1975" s="333" t="s">
        <v>11722</v>
      </c>
      <c r="D1975" s="202" t="s">
        <v>18534</v>
      </c>
      <c r="E1975" s="203" t="s">
        <v>18535</v>
      </c>
      <c r="F1975" s="204" t="s">
        <v>18536</v>
      </c>
      <c r="G1975" s="204" t="s">
        <v>18537</v>
      </c>
      <c r="H1975" s="222" t="s">
        <v>18538</v>
      </c>
      <c r="I1975" s="169">
        <v>102744</v>
      </c>
      <c r="J1975" s="304" t="str">
        <f>CONCATENATE([2]Cover!$D$6,"fdd/view?i=",I1975)</f>
        <v>https://www.dgiwg.org/FAD/fdd/view?i=102744</v>
      </c>
      <c r="K1975" s="304" t="s">
        <v>36024</v>
      </c>
      <c r="L1975" s="202">
        <v>100</v>
      </c>
      <c r="M1975" s="179" t="s">
        <v>151</v>
      </c>
    </row>
    <row r="1976" spans="1:13" ht="25.5">
      <c r="A1976" s="313" t="str">
        <f t="shared" si="30"/>
        <v>BuoyTypeCode_aeronauticalAnchorage</v>
      </c>
      <c r="B1976" s="330"/>
      <c r="C1976" s="334"/>
      <c r="D1976" s="188" t="s">
        <v>18539</v>
      </c>
      <c r="E1976" s="189" t="s">
        <v>18540</v>
      </c>
      <c r="F1976" s="162" t="s">
        <v>18541</v>
      </c>
      <c r="G1976" s="190"/>
      <c r="H1976" s="221" t="s">
        <v>18542</v>
      </c>
      <c r="I1976" s="169">
        <v>102716</v>
      </c>
      <c r="J1976" s="304" t="str">
        <f>CONCATENATE([2]Cover!$D$6,"fdd/view?i=",I1976)</f>
        <v>https://www.dgiwg.org/FAD/fdd/view?i=102716</v>
      </c>
      <c r="K1976" s="304" t="s">
        <v>36025</v>
      </c>
      <c r="L1976" s="188">
        <v>31</v>
      </c>
      <c r="M1976" s="179" t="s">
        <v>151</v>
      </c>
    </row>
    <row r="1977" spans="1:13">
      <c r="A1977" s="313" t="str">
        <f t="shared" si="30"/>
        <v>BuoyTypeCode_anchorage</v>
      </c>
      <c r="B1977" s="330"/>
      <c r="C1977" s="334"/>
      <c r="D1977" s="188" t="s">
        <v>18543</v>
      </c>
      <c r="E1977" s="189" t="s">
        <v>1527</v>
      </c>
      <c r="F1977" s="162" t="s">
        <v>18544</v>
      </c>
      <c r="G1977" s="190"/>
      <c r="H1977" s="219"/>
      <c r="I1977" s="169">
        <v>102704</v>
      </c>
      <c r="J1977" s="304" t="str">
        <f>CONCATENATE([2]Cover!$D$6,"fdd/view?i=",I1977)</f>
        <v>https://www.dgiwg.org/FAD/fdd/view?i=102704</v>
      </c>
      <c r="K1977" s="304" t="s">
        <v>36026</v>
      </c>
      <c r="L1977" s="188">
        <v>19</v>
      </c>
      <c r="M1977" s="179" t="s">
        <v>151</v>
      </c>
    </row>
    <row r="1978" spans="1:13" ht="25.5">
      <c r="A1978" s="313" t="str">
        <f t="shared" si="30"/>
        <v>BuoyTypeCode_anchoringProhibited</v>
      </c>
      <c r="B1978" s="330"/>
      <c r="C1978" s="334"/>
      <c r="D1978" s="188" t="s">
        <v>18545</v>
      </c>
      <c r="E1978" s="189" t="s">
        <v>18546</v>
      </c>
      <c r="F1978" s="162" t="s">
        <v>18547</v>
      </c>
      <c r="G1978" s="190"/>
      <c r="H1978" s="219"/>
      <c r="I1978" s="169">
        <v>102760</v>
      </c>
      <c r="J1978" s="304" t="str">
        <f>CONCATENATE([2]Cover!$D$6,"fdd/view?i=",I1978)</f>
        <v>https://www.dgiwg.org/FAD/fdd/view?i=102760</v>
      </c>
      <c r="K1978" s="304" t="s">
        <v>36027</v>
      </c>
      <c r="L1978" s="188">
        <v>116</v>
      </c>
      <c r="M1978" s="179" t="s">
        <v>151</v>
      </c>
    </row>
    <row r="1979" spans="1:13" ht="102">
      <c r="A1979" s="313" t="str">
        <f t="shared" si="30"/>
        <v>BuoyTypeCode_apexFloat</v>
      </c>
      <c r="B1979" s="330"/>
      <c r="C1979" s="334"/>
      <c r="D1979" s="188" t="s">
        <v>18548</v>
      </c>
      <c r="E1979" s="189" t="s">
        <v>18549</v>
      </c>
      <c r="F1979" s="162" t="s">
        <v>18550</v>
      </c>
      <c r="G1979" s="162" t="s">
        <v>18551</v>
      </c>
      <c r="H1979" s="219"/>
      <c r="I1979" s="169">
        <v>102728</v>
      </c>
      <c r="J1979" s="304" t="str">
        <f>CONCATENATE([2]Cover!$D$6,"fdd/view?i=",I1979)</f>
        <v>https://www.dgiwg.org/FAD/fdd/view?i=102728</v>
      </c>
      <c r="K1979" s="304" t="s">
        <v>36028</v>
      </c>
      <c r="L1979" s="188">
        <v>84</v>
      </c>
      <c r="M1979" s="179" t="s">
        <v>151</v>
      </c>
    </row>
    <row r="1980" spans="1:13" ht="51">
      <c r="A1980" s="313" t="str">
        <f t="shared" si="30"/>
        <v>BuoyTypeCode_articulatedLight</v>
      </c>
      <c r="B1980" s="330"/>
      <c r="C1980" s="334"/>
      <c r="D1980" s="188" t="s">
        <v>18552</v>
      </c>
      <c r="E1980" s="189" t="s">
        <v>18553</v>
      </c>
      <c r="F1980" s="162" t="s">
        <v>18554</v>
      </c>
      <c r="G1980" s="162" t="s">
        <v>18555</v>
      </c>
      <c r="H1980" s="219"/>
      <c r="I1980" s="169">
        <v>102720</v>
      </c>
      <c r="J1980" s="304" t="str">
        <f>CONCATENATE([2]Cover!$D$6,"fdd/view?i=",I1980)</f>
        <v>https://www.dgiwg.org/FAD/fdd/view?i=102720</v>
      </c>
      <c r="K1980" s="304" t="s">
        <v>36029</v>
      </c>
      <c r="L1980" s="188">
        <v>35</v>
      </c>
      <c r="M1980" s="179" t="s">
        <v>151</v>
      </c>
    </row>
    <row r="1981" spans="1:13">
      <c r="A1981" s="313" t="str">
        <f t="shared" si="30"/>
        <v>BuoyTypeCode_artificialReef</v>
      </c>
      <c r="B1981" s="330"/>
      <c r="C1981" s="334"/>
      <c r="D1981" s="188" t="s">
        <v>18556</v>
      </c>
      <c r="E1981" s="189" t="s">
        <v>18557</v>
      </c>
      <c r="F1981" s="162" t="s">
        <v>18558</v>
      </c>
      <c r="G1981" s="190"/>
      <c r="H1981" s="219"/>
      <c r="I1981" s="169">
        <v>110086</v>
      </c>
      <c r="J1981" s="304" t="str">
        <f>CONCATENATE([2]Cover!$D$6,"fdd/view?i=",I1981)</f>
        <v>https://www.dgiwg.org/FAD/fdd/view?i=110086</v>
      </c>
      <c r="K1981" s="304" t="s">
        <v>36030</v>
      </c>
      <c r="L1981" s="188">
        <v>141</v>
      </c>
      <c r="M1981" s="179" t="s">
        <v>151</v>
      </c>
    </row>
    <row r="1982" spans="1:13">
      <c r="A1982" s="313" t="str">
        <f t="shared" si="30"/>
        <v>BuoyTypeCode_barge</v>
      </c>
      <c r="B1982" s="330"/>
      <c r="C1982" s="334"/>
      <c r="D1982" s="188" t="s">
        <v>18559</v>
      </c>
      <c r="E1982" s="189" t="s">
        <v>18560</v>
      </c>
      <c r="F1982" s="162" t="s">
        <v>18561</v>
      </c>
      <c r="G1982" s="190"/>
      <c r="H1982" s="219"/>
      <c r="I1982" s="169">
        <v>102752</v>
      </c>
      <c r="J1982" s="304" t="str">
        <f>CONCATENATE([2]Cover!$D$6,"fdd/view?i=",I1982)</f>
        <v>https://www.dgiwg.org/FAD/fdd/view?i=102752</v>
      </c>
      <c r="K1982" s="304" t="s">
        <v>36031</v>
      </c>
      <c r="L1982" s="188">
        <v>108</v>
      </c>
      <c r="M1982" s="179" t="s">
        <v>151</v>
      </c>
    </row>
    <row r="1983" spans="1:13">
      <c r="A1983" s="313" t="str">
        <f t="shared" si="30"/>
        <v>BuoyTypeCode_berthingPermitted</v>
      </c>
      <c r="B1983" s="330"/>
      <c r="C1983" s="334"/>
      <c r="D1983" s="188" t="s">
        <v>18562</v>
      </c>
      <c r="E1983" s="189" t="s">
        <v>18563</v>
      </c>
      <c r="F1983" s="162" t="s">
        <v>18564</v>
      </c>
      <c r="G1983" s="190"/>
      <c r="H1983" s="219"/>
      <c r="I1983" s="169">
        <v>102772</v>
      </c>
      <c r="J1983" s="304" t="str">
        <f>CONCATENATE([2]Cover!$D$6,"fdd/view?i=",I1983)</f>
        <v>https://www.dgiwg.org/FAD/fdd/view?i=102772</v>
      </c>
      <c r="K1983" s="304" t="s">
        <v>36032</v>
      </c>
      <c r="L1983" s="188">
        <v>128</v>
      </c>
      <c r="M1983" s="179" t="s">
        <v>151</v>
      </c>
    </row>
    <row r="1984" spans="1:13">
      <c r="A1984" s="313" t="str">
        <f t="shared" si="30"/>
        <v>BuoyTypeCode_berthingProhibited</v>
      </c>
      <c r="B1984" s="330"/>
      <c r="C1984" s="334"/>
      <c r="D1984" s="188" t="s">
        <v>18565</v>
      </c>
      <c r="E1984" s="189" t="s">
        <v>18566</v>
      </c>
      <c r="F1984" s="162" t="s">
        <v>18567</v>
      </c>
      <c r="G1984" s="190"/>
      <c r="H1984" s="219"/>
      <c r="I1984" s="169">
        <v>102761</v>
      </c>
      <c r="J1984" s="304" t="str">
        <f>CONCATENATE([2]Cover!$D$6,"fdd/view?i=",I1984)</f>
        <v>https://www.dgiwg.org/FAD/fdd/view?i=102761</v>
      </c>
      <c r="K1984" s="304" t="s">
        <v>36033</v>
      </c>
      <c r="L1984" s="188">
        <v>117</v>
      </c>
      <c r="M1984" s="179" t="s">
        <v>151</v>
      </c>
    </row>
    <row r="1985" spans="1:13" ht="38.25">
      <c r="A1985" s="313" t="str">
        <f t="shared" si="30"/>
        <v>BuoyTypeCode_bifurcation</v>
      </c>
      <c r="B1985" s="330"/>
      <c r="C1985" s="334"/>
      <c r="D1985" s="188" t="s">
        <v>18568</v>
      </c>
      <c r="E1985" s="189" t="s">
        <v>18569</v>
      </c>
      <c r="F1985" s="162" t="s">
        <v>18570</v>
      </c>
      <c r="G1985" s="190"/>
      <c r="H1985" s="219"/>
      <c r="I1985" s="169">
        <v>102707</v>
      </c>
      <c r="J1985" s="304" t="str">
        <f>CONCATENATE([2]Cover!$D$6,"fdd/view?i=",I1985)</f>
        <v>https://www.dgiwg.org/FAD/fdd/view?i=102707</v>
      </c>
      <c r="K1985" s="304" t="s">
        <v>36034</v>
      </c>
      <c r="L1985" s="188">
        <v>22</v>
      </c>
      <c r="M1985" s="179" t="s">
        <v>151</v>
      </c>
    </row>
    <row r="1986" spans="1:13" ht="25.5">
      <c r="A1986" s="313" t="str">
        <f t="shared" si="30"/>
        <v>BuoyTypeCode_cable</v>
      </c>
      <c r="B1986" s="330"/>
      <c r="C1986" s="334"/>
      <c r="D1986" s="188" t="s">
        <v>18136</v>
      </c>
      <c r="E1986" s="189" t="s">
        <v>1774</v>
      </c>
      <c r="F1986" s="162" t="s">
        <v>18571</v>
      </c>
      <c r="G1986" s="190"/>
      <c r="H1986" s="219"/>
      <c r="I1986" s="169">
        <v>102753</v>
      </c>
      <c r="J1986" s="304" t="str">
        <f>CONCATENATE([2]Cover!$D$6,"fdd/view?i=",I1986)</f>
        <v>https://www.dgiwg.org/FAD/fdd/view?i=102753</v>
      </c>
      <c r="K1986" s="304" t="s">
        <v>36035</v>
      </c>
      <c r="L1986" s="188">
        <v>109</v>
      </c>
      <c r="M1986" s="179" t="s">
        <v>151</v>
      </c>
    </row>
    <row r="1987" spans="1:13" ht="25.5">
      <c r="A1987" s="313" t="str">
        <f t="shared" ref="A1987:A2050" si="31">HYPERLINK(J1987,K1987)</f>
        <v>BuoyTypeCode_channelEdgeGradient</v>
      </c>
      <c r="B1987" s="330"/>
      <c r="C1987" s="334"/>
      <c r="D1987" s="188" t="s">
        <v>18572</v>
      </c>
      <c r="E1987" s="189" t="s">
        <v>18573</v>
      </c>
      <c r="F1987" s="162" t="s">
        <v>18574</v>
      </c>
      <c r="G1987" s="190"/>
      <c r="H1987" s="219"/>
      <c r="I1987" s="169">
        <v>102774</v>
      </c>
      <c r="J1987" s="304" t="str">
        <f>CONCATENATE([2]Cover!$D$6,"fdd/view?i=",I1987)</f>
        <v>https://www.dgiwg.org/FAD/fdd/view?i=102774</v>
      </c>
      <c r="K1987" s="304" t="s">
        <v>36036</v>
      </c>
      <c r="L1987" s="188">
        <v>130</v>
      </c>
      <c r="M1987" s="179" t="s">
        <v>151</v>
      </c>
    </row>
    <row r="1988" spans="1:13">
      <c r="A1988" s="313" t="str">
        <f t="shared" si="31"/>
        <v>BuoyTypeCode_clearingLine</v>
      </c>
      <c r="B1988" s="330"/>
      <c r="C1988" s="334"/>
      <c r="D1988" s="188" t="s">
        <v>18575</v>
      </c>
      <c r="E1988" s="189" t="s">
        <v>18576</v>
      </c>
      <c r="F1988" s="162" t="s">
        <v>18577</v>
      </c>
      <c r="G1988" s="190"/>
      <c r="H1988" s="219"/>
      <c r="I1988" s="169">
        <v>102778</v>
      </c>
      <c r="J1988" s="304" t="str">
        <f>CONCATENATE([2]Cover!$D$6,"fdd/view?i=",I1988)</f>
        <v>https://www.dgiwg.org/FAD/fdd/view?i=102778</v>
      </c>
      <c r="K1988" s="304" t="s">
        <v>36037</v>
      </c>
      <c r="L1988" s="188">
        <v>134</v>
      </c>
      <c r="M1988" s="179" t="s">
        <v>151</v>
      </c>
    </row>
    <row r="1989" spans="1:13" ht="25.5">
      <c r="A1989" s="313" t="str">
        <f t="shared" si="31"/>
        <v>BuoyTypeCode_compassAdjustment</v>
      </c>
      <c r="B1989" s="330"/>
      <c r="C1989" s="334"/>
      <c r="D1989" s="188" t="s">
        <v>18578</v>
      </c>
      <c r="E1989" s="189" t="s">
        <v>18579</v>
      </c>
      <c r="F1989" s="162" t="s">
        <v>18580</v>
      </c>
      <c r="G1989" s="190"/>
      <c r="H1989" s="221" t="s">
        <v>18581</v>
      </c>
      <c r="I1989" s="169">
        <v>102717</v>
      </c>
      <c r="J1989" s="304" t="str">
        <f>CONCATENATE([2]Cover!$D$6,"fdd/view?i=",I1989)</f>
        <v>https://www.dgiwg.org/FAD/fdd/view?i=102717</v>
      </c>
      <c r="K1989" s="304" t="s">
        <v>36038</v>
      </c>
      <c r="L1989" s="188">
        <v>32</v>
      </c>
      <c r="M1989" s="179" t="s">
        <v>151</v>
      </c>
    </row>
    <row r="1990" spans="1:13" ht="25.5">
      <c r="A1990" s="313" t="str">
        <f t="shared" si="31"/>
        <v>BuoyTypeCode_control</v>
      </c>
      <c r="B1990" s="330"/>
      <c r="C1990" s="334"/>
      <c r="D1990" s="188" t="s">
        <v>18582</v>
      </c>
      <c r="E1990" s="189" t="s">
        <v>18583</v>
      </c>
      <c r="F1990" s="162" t="s">
        <v>18584</v>
      </c>
      <c r="G1990" s="190"/>
      <c r="H1990" s="219"/>
      <c r="I1990" s="169">
        <v>102732</v>
      </c>
      <c r="J1990" s="304" t="str">
        <f>CONCATENATE([2]Cover!$D$6,"fdd/view?i=",I1990)</f>
        <v>https://www.dgiwg.org/FAD/fdd/view?i=102732</v>
      </c>
      <c r="K1990" s="304" t="s">
        <v>36039</v>
      </c>
      <c r="L1990" s="188">
        <v>88</v>
      </c>
      <c r="M1990" s="179" t="s">
        <v>151</v>
      </c>
    </row>
    <row r="1991" spans="1:13">
      <c r="A1991" s="313" t="str">
        <f t="shared" si="31"/>
        <v>BuoyTypeCode_degaussingRange</v>
      </c>
      <c r="B1991" s="330"/>
      <c r="C1991" s="334"/>
      <c r="D1991" s="188" t="s">
        <v>18585</v>
      </c>
      <c r="E1991" s="189" t="s">
        <v>18586</v>
      </c>
      <c r="F1991" s="162" t="s">
        <v>18587</v>
      </c>
      <c r="G1991" s="190"/>
      <c r="H1991" s="219"/>
      <c r="I1991" s="169">
        <v>102751</v>
      </c>
      <c r="J1991" s="304" t="str">
        <f>CONCATENATE([2]Cover!$D$6,"fdd/view?i=",I1991)</f>
        <v>https://www.dgiwg.org/FAD/fdd/view?i=102751</v>
      </c>
      <c r="K1991" s="304" t="s">
        <v>36040</v>
      </c>
      <c r="L1991" s="188">
        <v>107</v>
      </c>
      <c r="M1991" s="179" t="s">
        <v>151</v>
      </c>
    </row>
    <row r="1992" spans="1:13" ht="25.5">
      <c r="A1992" s="313" t="str">
        <f t="shared" si="31"/>
        <v>BuoyTypeCode_diving</v>
      </c>
      <c r="B1992" s="330"/>
      <c r="C1992" s="334"/>
      <c r="D1992" s="188" t="s">
        <v>18588</v>
      </c>
      <c r="E1992" s="189" t="s">
        <v>18589</v>
      </c>
      <c r="F1992" s="162" t="s">
        <v>18590</v>
      </c>
      <c r="G1992" s="190"/>
      <c r="H1992" s="219"/>
      <c r="I1992" s="169">
        <v>102725</v>
      </c>
      <c r="J1992" s="304" t="str">
        <f>CONCATENATE([2]Cover!$D$6,"fdd/view?i=",I1992)</f>
        <v>https://www.dgiwg.org/FAD/fdd/view?i=102725</v>
      </c>
      <c r="K1992" s="304" t="s">
        <v>36041</v>
      </c>
      <c r="L1992" s="188">
        <v>81</v>
      </c>
      <c r="M1992" s="179" t="s">
        <v>151</v>
      </c>
    </row>
    <row r="1993" spans="1:13" ht="38.25">
      <c r="A1993" s="313" t="str">
        <f t="shared" si="31"/>
        <v>BuoyTypeCode_eastCardinal</v>
      </c>
      <c r="B1993" s="330"/>
      <c r="C1993" s="334"/>
      <c r="D1993" s="188" t="s">
        <v>18591</v>
      </c>
      <c r="E1993" s="189" t="s">
        <v>18592</v>
      </c>
      <c r="F1993" s="162" t="s">
        <v>18593</v>
      </c>
      <c r="G1993" s="190"/>
      <c r="H1993" s="219"/>
      <c r="I1993" s="169">
        <v>102741</v>
      </c>
      <c r="J1993" s="304" t="str">
        <f>CONCATENATE([2]Cover!$D$6,"fdd/view?i=",I1993)</f>
        <v>https://www.dgiwg.org/FAD/fdd/view?i=102741</v>
      </c>
      <c r="K1993" s="304" t="s">
        <v>36042</v>
      </c>
      <c r="L1993" s="188">
        <v>97</v>
      </c>
      <c r="M1993" s="179" t="s">
        <v>151</v>
      </c>
    </row>
    <row r="1994" spans="1:13">
      <c r="A1994" s="313" t="str">
        <f t="shared" si="31"/>
        <v>BuoyTypeCode_entryProhibited</v>
      </c>
      <c r="B1994" s="330"/>
      <c r="C1994" s="334"/>
      <c r="D1994" s="188" t="s">
        <v>18594</v>
      </c>
      <c r="E1994" s="189" t="s">
        <v>18595</v>
      </c>
      <c r="F1994" s="162" t="s">
        <v>18596</v>
      </c>
      <c r="G1994" s="190"/>
      <c r="H1994" s="219"/>
      <c r="I1994" s="169">
        <v>102733</v>
      </c>
      <c r="J1994" s="304" t="str">
        <f>CONCATENATE([2]Cover!$D$6,"fdd/view?i=",I1994)</f>
        <v>https://www.dgiwg.org/FAD/fdd/view?i=102733</v>
      </c>
      <c r="K1994" s="304" t="s">
        <v>36043</v>
      </c>
      <c r="L1994" s="188">
        <v>89</v>
      </c>
      <c r="M1994" s="179" t="s">
        <v>151</v>
      </c>
    </row>
    <row r="1995" spans="1:13" ht="25.5">
      <c r="A1995" s="313" t="str">
        <f t="shared" si="31"/>
        <v>BuoyTypeCode_exerciseArea</v>
      </c>
      <c r="B1995" s="330"/>
      <c r="C1995" s="334"/>
      <c r="D1995" s="188" t="s">
        <v>18597</v>
      </c>
      <c r="E1995" s="189" t="s">
        <v>18598</v>
      </c>
      <c r="F1995" s="162" t="s">
        <v>18599</v>
      </c>
      <c r="G1995" s="190"/>
      <c r="H1995" s="221" t="s">
        <v>18600</v>
      </c>
      <c r="I1995" s="169">
        <v>102714</v>
      </c>
      <c r="J1995" s="304" t="str">
        <f>CONCATENATE([2]Cover!$D$6,"fdd/view?i=",I1995)</f>
        <v>https://www.dgiwg.org/FAD/fdd/view?i=102714</v>
      </c>
      <c r="K1995" s="304" t="s">
        <v>36044</v>
      </c>
      <c r="L1995" s="188">
        <v>29</v>
      </c>
      <c r="M1995" s="179" t="s">
        <v>151</v>
      </c>
    </row>
    <row r="1996" spans="1:13" ht="25.5">
      <c r="A1996" s="313" t="str">
        <f t="shared" si="31"/>
        <v>BuoyTypeCode_explosiveAnchorage</v>
      </c>
      <c r="B1996" s="330"/>
      <c r="C1996" s="334"/>
      <c r="D1996" s="188" t="s">
        <v>18601</v>
      </c>
      <c r="E1996" s="189" t="s">
        <v>18602</v>
      </c>
      <c r="F1996" s="162" t="s">
        <v>18603</v>
      </c>
      <c r="G1996" s="190"/>
      <c r="H1996" s="219"/>
      <c r="I1996" s="169">
        <v>102715</v>
      </c>
      <c r="J1996" s="304" t="str">
        <f>CONCATENATE([2]Cover!$D$6,"fdd/view?i=",I1996)</f>
        <v>https://www.dgiwg.org/FAD/fdd/view?i=102715</v>
      </c>
      <c r="K1996" s="304" t="s">
        <v>36045</v>
      </c>
      <c r="L1996" s="188">
        <v>30</v>
      </c>
      <c r="M1996" s="179" t="s">
        <v>151</v>
      </c>
    </row>
    <row r="1997" spans="1:13" ht="25.5">
      <c r="A1997" s="313" t="str">
        <f t="shared" si="31"/>
        <v>BuoyTypeCode_fairway</v>
      </c>
      <c r="B1997" s="330"/>
      <c r="C1997" s="334"/>
      <c r="D1997" s="188" t="s">
        <v>18604</v>
      </c>
      <c r="E1997" s="189" t="s">
        <v>18605</v>
      </c>
      <c r="F1997" s="162" t="s">
        <v>18606</v>
      </c>
      <c r="G1997" s="162" t="s">
        <v>18607</v>
      </c>
      <c r="H1997" s="219"/>
      <c r="I1997" s="169">
        <v>102705</v>
      </c>
      <c r="J1997" s="304" t="str">
        <f>CONCATENATE([2]Cover!$D$6,"fdd/view?i=",I1997)</f>
        <v>https://www.dgiwg.org/FAD/fdd/view?i=102705</v>
      </c>
      <c r="K1997" s="304" t="s">
        <v>36046</v>
      </c>
      <c r="L1997" s="188">
        <v>20</v>
      </c>
      <c r="M1997" s="179" t="s">
        <v>151</v>
      </c>
    </row>
    <row r="1998" spans="1:13">
      <c r="A1998" s="313" t="str">
        <f t="shared" si="31"/>
        <v>BuoyTypeCode_ferryCrossing</v>
      </c>
      <c r="B1998" s="330"/>
      <c r="C1998" s="334"/>
      <c r="D1998" s="188" t="s">
        <v>18608</v>
      </c>
      <c r="E1998" s="189" t="s">
        <v>2332</v>
      </c>
      <c r="F1998" s="162" t="s">
        <v>18609</v>
      </c>
      <c r="G1998" s="162" t="s">
        <v>18610</v>
      </c>
      <c r="H1998" s="219"/>
      <c r="I1998" s="169">
        <v>102776</v>
      </c>
      <c r="J1998" s="304" t="str">
        <f>CONCATENATE([2]Cover!$D$6,"fdd/view?i=",I1998)</f>
        <v>https://www.dgiwg.org/FAD/fdd/view?i=102776</v>
      </c>
      <c r="K1998" s="304" t="s">
        <v>36047</v>
      </c>
      <c r="L1998" s="188">
        <v>132</v>
      </c>
      <c r="M1998" s="179" t="s">
        <v>151</v>
      </c>
    </row>
    <row r="1999" spans="1:13">
      <c r="A1999" s="313" t="str">
        <f t="shared" si="31"/>
        <v>BuoyTypeCode_firingDangerArea</v>
      </c>
      <c r="B1999" s="330"/>
      <c r="C1999" s="334"/>
      <c r="D1999" s="188" t="s">
        <v>18611</v>
      </c>
      <c r="E1999" s="189" t="s">
        <v>18612</v>
      </c>
      <c r="F1999" s="162" t="s">
        <v>18613</v>
      </c>
      <c r="G1999" s="190"/>
      <c r="H1999" s="219"/>
      <c r="I1999" s="169">
        <v>102748</v>
      </c>
      <c r="J1999" s="304" t="str">
        <f>CONCATENATE([2]Cover!$D$6,"fdd/view?i=",I1999)</f>
        <v>https://www.dgiwg.org/FAD/fdd/view?i=102748</v>
      </c>
      <c r="K1999" s="304" t="s">
        <v>36048</v>
      </c>
      <c r="L1999" s="188">
        <v>104</v>
      </c>
      <c r="M1999" s="179" t="s">
        <v>151</v>
      </c>
    </row>
    <row r="2000" spans="1:13">
      <c r="A2000" s="313" t="str">
        <f t="shared" si="31"/>
        <v>BuoyTypeCode_fishTrap</v>
      </c>
      <c r="B2000" s="330"/>
      <c r="C2000" s="334"/>
      <c r="D2000" s="188" t="s">
        <v>18614</v>
      </c>
      <c r="E2000" s="189" t="s">
        <v>18615</v>
      </c>
      <c r="F2000" s="162" t="s">
        <v>18616</v>
      </c>
      <c r="G2000" s="190"/>
      <c r="H2000" s="219"/>
      <c r="I2000" s="169">
        <v>102718</v>
      </c>
      <c r="J2000" s="304" t="str">
        <f>CONCATENATE([2]Cover!$D$6,"fdd/view?i=",I2000)</f>
        <v>https://www.dgiwg.org/FAD/fdd/view?i=102718</v>
      </c>
      <c r="K2000" s="304" t="s">
        <v>36049</v>
      </c>
      <c r="L2000" s="188">
        <v>33</v>
      </c>
      <c r="M2000" s="179" t="s">
        <v>151</v>
      </c>
    </row>
    <row r="2001" spans="1:13">
      <c r="A2001" s="313" t="str">
        <f t="shared" si="31"/>
        <v>BuoyTypeCode_foulGround</v>
      </c>
      <c r="B2001" s="330"/>
      <c r="C2001" s="334"/>
      <c r="D2001" s="188" t="s">
        <v>18617</v>
      </c>
      <c r="E2001" s="189" t="s">
        <v>2464</v>
      </c>
      <c r="F2001" s="162" t="s">
        <v>18618</v>
      </c>
      <c r="G2001" s="190"/>
      <c r="H2001" s="219"/>
      <c r="I2001" s="169">
        <v>102780</v>
      </c>
      <c r="J2001" s="304" t="str">
        <f>CONCATENATE([2]Cover!$D$6,"fdd/view?i=",I2001)</f>
        <v>https://www.dgiwg.org/FAD/fdd/view?i=102780</v>
      </c>
      <c r="K2001" s="304" t="s">
        <v>36050</v>
      </c>
      <c r="L2001" s="188">
        <v>136</v>
      </c>
      <c r="M2001" s="179" t="s">
        <v>151</v>
      </c>
    </row>
    <row r="2002" spans="1:13" ht="25.5">
      <c r="A2002" s="313" t="str">
        <f t="shared" si="31"/>
        <v>BuoyTypeCode_generalWarning</v>
      </c>
      <c r="B2002" s="330"/>
      <c r="C2002" s="334"/>
      <c r="D2002" s="188" t="s">
        <v>18619</v>
      </c>
      <c r="E2002" s="189" t="s">
        <v>18620</v>
      </c>
      <c r="F2002" s="162" t="s">
        <v>18621</v>
      </c>
      <c r="G2002" s="190"/>
      <c r="H2002" s="219"/>
      <c r="I2002" s="169">
        <v>102729</v>
      </c>
      <c r="J2002" s="304" t="str">
        <f>CONCATENATE([2]Cover!$D$6,"fdd/view?i=",I2002)</f>
        <v>https://www.dgiwg.org/FAD/fdd/view?i=102729</v>
      </c>
      <c r="K2002" s="304" t="s">
        <v>36051</v>
      </c>
      <c r="L2002" s="188">
        <v>85</v>
      </c>
      <c r="M2002" s="179" t="s">
        <v>151</v>
      </c>
    </row>
    <row r="2003" spans="1:13" ht="25.5">
      <c r="A2003" s="313" t="str">
        <f t="shared" si="31"/>
        <v>BuoyTypeCode_gpsMark</v>
      </c>
      <c r="B2003" s="330"/>
      <c r="C2003" s="334"/>
      <c r="D2003" s="188" t="s">
        <v>18622</v>
      </c>
      <c r="E2003" s="189" t="s">
        <v>18623</v>
      </c>
      <c r="F2003" s="162" t="s">
        <v>18624</v>
      </c>
      <c r="G2003" s="190"/>
      <c r="H2003" s="219"/>
      <c r="I2003" s="169">
        <v>102783</v>
      </c>
      <c r="J2003" s="304" t="str">
        <f>CONCATENATE([2]Cover!$D$6,"fdd/view?i=",I2003)</f>
        <v>https://www.dgiwg.org/FAD/fdd/view?i=102783</v>
      </c>
      <c r="K2003" s="304" t="s">
        <v>36052</v>
      </c>
      <c r="L2003" s="188">
        <v>139</v>
      </c>
      <c r="M2003" s="179" t="s">
        <v>151</v>
      </c>
    </row>
    <row r="2004" spans="1:13">
      <c r="A2004" s="313" t="str">
        <f t="shared" si="31"/>
        <v>BuoyTypeCode_heliport</v>
      </c>
      <c r="B2004" s="330"/>
      <c r="C2004" s="334"/>
      <c r="D2004" s="188" t="s">
        <v>15225</v>
      </c>
      <c r="E2004" s="189" t="s">
        <v>2691</v>
      </c>
      <c r="F2004" s="162" t="s">
        <v>18625</v>
      </c>
      <c r="G2004" s="190"/>
      <c r="H2004" s="219"/>
      <c r="I2004" s="169">
        <v>102782</v>
      </c>
      <c r="J2004" s="304" t="str">
        <f>CONCATENATE([2]Cover!$D$6,"fdd/view?i=",I2004)</f>
        <v>https://www.dgiwg.org/FAD/fdd/view?i=102782</v>
      </c>
      <c r="K2004" s="304" t="s">
        <v>36053</v>
      </c>
      <c r="L2004" s="188">
        <v>138</v>
      </c>
      <c r="M2004" s="179" t="s">
        <v>151</v>
      </c>
    </row>
    <row r="2005" spans="1:13" ht="25.5">
      <c r="A2005" s="313" t="str">
        <f t="shared" si="31"/>
        <v>BuoyTypeCode_iceBuoy</v>
      </c>
      <c r="B2005" s="330"/>
      <c r="C2005" s="334"/>
      <c r="D2005" s="188" t="s">
        <v>18626</v>
      </c>
      <c r="E2005" s="189" t="s">
        <v>18521</v>
      </c>
      <c r="F2005" s="162" t="s">
        <v>18627</v>
      </c>
      <c r="G2005" s="190"/>
      <c r="H2005" s="219"/>
      <c r="I2005" s="169">
        <v>102747</v>
      </c>
      <c r="J2005" s="304" t="str">
        <f>CONCATENATE([2]Cover!$D$6,"fdd/view?i=",I2005)</f>
        <v>https://www.dgiwg.org/FAD/fdd/view?i=102747</v>
      </c>
      <c r="K2005" s="304" t="s">
        <v>36054</v>
      </c>
      <c r="L2005" s="188">
        <v>103</v>
      </c>
      <c r="M2005" s="179" t="s">
        <v>151</v>
      </c>
    </row>
    <row r="2006" spans="1:13" ht="25.5">
      <c r="A2006" s="313" t="str">
        <f t="shared" si="31"/>
        <v>BuoyTypeCode_installation</v>
      </c>
      <c r="B2006" s="330"/>
      <c r="C2006" s="334"/>
      <c r="D2006" s="188" t="s">
        <v>18628</v>
      </c>
      <c r="E2006" s="189" t="s">
        <v>2841</v>
      </c>
      <c r="F2006" s="162" t="s">
        <v>18629</v>
      </c>
      <c r="G2006" s="162" t="s">
        <v>18630</v>
      </c>
      <c r="H2006" s="219"/>
      <c r="I2006" s="169">
        <v>102743</v>
      </c>
      <c r="J2006" s="304" t="str">
        <f>CONCATENATE([2]Cover!$D$6,"fdd/view?i=",I2006)</f>
        <v>https://www.dgiwg.org/FAD/fdd/view?i=102743</v>
      </c>
      <c r="K2006" s="304" t="s">
        <v>36055</v>
      </c>
      <c r="L2006" s="188">
        <v>99</v>
      </c>
      <c r="M2006" s="179" t="s">
        <v>151</v>
      </c>
    </row>
    <row r="2007" spans="1:13" ht="25.5">
      <c r="A2007" s="313" t="str">
        <f t="shared" si="31"/>
        <v>BuoyTypeCode_isolatedDanger</v>
      </c>
      <c r="B2007" s="330"/>
      <c r="C2007" s="334"/>
      <c r="D2007" s="188" t="s">
        <v>18631</v>
      </c>
      <c r="E2007" s="189" t="s">
        <v>18632</v>
      </c>
      <c r="F2007" s="162" t="s">
        <v>18633</v>
      </c>
      <c r="G2007" s="190"/>
      <c r="H2007" s="219"/>
      <c r="I2007" s="169">
        <v>102688</v>
      </c>
      <c r="J2007" s="304" t="str">
        <f>CONCATENATE([2]Cover!$D$6,"fdd/view?i=",I2007)</f>
        <v>https://www.dgiwg.org/FAD/fdd/view?i=102688</v>
      </c>
      <c r="K2007" s="304" t="s">
        <v>36056</v>
      </c>
      <c r="L2007" s="188">
        <v>3</v>
      </c>
      <c r="M2007" s="179" t="s">
        <v>151</v>
      </c>
    </row>
    <row r="2008" spans="1:13" ht="25.5">
      <c r="A2008" s="313" t="str">
        <f t="shared" si="31"/>
        <v>BuoyTypeCode_junction</v>
      </c>
      <c r="B2008" s="330"/>
      <c r="C2008" s="334"/>
      <c r="D2008" s="188" t="s">
        <v>18634</v>
      </c>
      <c r="E2008" s="189" t="s">
        <v>18635</v>
      </c>
      <c r="F2008" s="162" t="s">
        <v>18636</v>
      </c>
      <c r="G2008" s="190"/>
      <c r="H2008" s="221" t="s">
        <v>18637</v>
      </c>
      <c r="I2008" s="169">
        <v>102708</v>
      </c>
      <c r="J2008" s="304" t="str">
        <f>CONCATENATE([2]Cover!$D$6,"fdd/view?i=",I2008)</f>
        <v>https://www.dgiwg.org/FAD/fdd/view?i=102708</v>
      </c>
      <c r="K2008" s="304" t="s">
        <v>36057</v>
      </c>
      <c r="L2008" s="188">
        <v>23</v>
      </c>
      <c r="M2008" s="179" t="s">
        <v>151</v>
      </c>
    </row>
    <row r="2009" spans="1:13">
      <c r="A2009" s="313" t="str">
        <f t="shared" si="31"/>
        <v>BuoyTypeCode_landfall</v>
      </c>
      <c r="B2009" s="330"/>
      <c r="C2009" s="334"/>
      <c r="D2009" s="188" t="s">
        <v>18638</v>
      </c>
      <c r="E2009" s="189" t="s">
        <v>18639</v>
      </c>
      <c r="F2009" s="162" t="s">
        <v>18640</v>
      </c>
      <c r="G2009" s="190"/>
      <c r="H2009" s="221" t="s">
        <v>18641</v>
      </c>
      <c r="I2009" s="169">
        <v>102696</v>
      </c>
      <c r="J2009" s="304" t="str">
        <f>CONCATENATE([2]Cover!$D$6,"fdd/view?i=",I2009)</f>
        <v>https://www.dgiwg.org/FAD/fdd/view?i=102696</v>
      </c>
      <c r="K2009" s="304" t="s">
        <v>36058</v>
      </c>
      <c r="L2009" s="188">
        <v>11</v>
      </c>
      <c r="M2009" s="179" t="s">
        <v>151</v>
      </c>
    </row>
    <row r="2010" spans="1:13" ht="38.25">
      <c r="A2010" s="313" t="str">
        <f t="shared" si="31"/>
        <v>BuoyTypeCode_largeAutomaticNavBuoy</v>
      </c>
      <c r="B2010" s="330"/>
      <c r="C2010" s="334"/>
      <c r="D2010" s="188" t="s">
        <v>18642</v>
      </c>
      <c r="E2010" s="189" t="s">
        <v>18643</v>
      </c>
      <c r="F2010" s="162" t="s">
        <v>18644</v>
      </c>
      <c r="G2010" s="162" t="s">
        <v>18645</v>
      </c>
      <c r="H2010" s="219"/>
      <c r="I2010" s="169">
        <v>102689</v>
      </c>
      <c r="J2010" s="304" t="str">
        <f>CONCATENATE([2]Cover!$D$6,"fdd/view?i=",I2010)</f>
        <v>https://www.dgiwg.org/FAD/fdd/view?i=102689</v>
      </c>
      <c r="K2010" s="304" t="s">
        <v>36059</v>
      </c>
      <c r="L2010" s="188">
        <v>4</v>
      </c>
      <c r="M2010" s="179" t="s">
        <v>151</v>
      </c>
    </row>
    <row r="2011" spans="1:13" ht="25.5">
      <c r="A2011" s="313" t="str">
        <f t="shared" si="31"/>
        <v>BuoyTypeCode_leadingLine</v>
      </c>
      <c r="B2011" s="330"/>
      <c r="C2011" s="334"/>
      <c r="D2011" s="188" t="s">
        <v>18646</v>
      </c>
      <c r="E2011" s="189" t="s">
        <v>2999</v>
      </c>
      <c r="F2011" s="162" t="s">
        <v>18647</v>
      </c>
      <c r="G2011" s="162" t="s">
        <v>18648</v>
      </c>
      <c r="H2011" s="219"/>
      <c r="I2011" s="169">
        <v>102757</v>
      </c>
      <c r="J2011" s="304" t="str">
        <f>CONCATENATE([2]Cover!$D$6,"fdd/view?i=",I2011)</f>
        <v>https://www.dgiwg.org/FAD/fdd/view?i=102757</v>
      </c>
      <c r="K2011" s="304" t="s">
        <v>36060</v>
      </c>
      <c r="L2011" s="188">
        <v>113</v>
      </c>
      <c r="M2011" s="179" t="s">
        <v>151</v>
      </c>
    </row>
    <row r="2012" spans="1:13" ht="38.25">
      <c r="A2012" s="313" t="str">
        <f t="shared" si="31"/>
        <v>BuoyTypeCode_lightFloat</v>
      </c>
      <c r="B2012" s="330"/>
      <c r="C2012" s="334"/>
      <c r="D2012" s="188" t="s">
        <v>18649</v>
      </c>
      <c r="E2012" s="189" t="s">
        <v>18650</v>
      </c>
      <c r="F2012" s="162" t="s">
        <v>18651</v>
      </c>
      <c r="G2012" s="190"/>
      <c r="H2012" s="219"/>
      <c r="I2012" s="169">
        <v>102691</v>
      </c>
      <c r="J2012" s="304" t="str">
        <f>CONCATENATE([2]Cover!$D$6,"fdd/view?i=",I2012)</f>
        <v>https://www.dgiwg.org/FAD/fdd/view?i=102691</v>
      </c>
      <c r="K2012" s="304" t="s">
        <v>36061</v>
      </c>
      <c r="L2012" s="188">
        <v>6</v>
      </c>
      <c r="M2012" s="179" t="s">
        <v>151</v>
      </c>
    </row>
    <row r="2013" spans="1:13" ht="25.5">
      <c r="A2013" s="313" t="str">
        <f t="shared" si="31"/>
        <v>BuoyTypeCode_marineFarm</v>
      </c>
      <c r="B2013" s="330"/>
      <c r="C2013" s="334"/>
      <c r="D2013" s="188" t="s">
        <v>18652</v>
      </c>
      <c r="E2013" s="189" t="s">
        <v>18653</v>
      </c>
      <c r="F2013" s="162" t="s">
        <v>18654</v>
      </c>
      <c r="G2013" s="190"/>
      <c r="H2013" s="219"/>
      <c r="I2013" s="169">
        <v>110087</v>
      </c>
      <c r="J2013" s="304" t="str">
        <f>CONCATENATE([2]Cover!$D$6,"fdd/view?i=",I2013)</f>
        <v>https://www.dgiwg.org/FAD/fdd/view?i=110087</v>
      </c>
      <c r="K2013" s="304" t="s">
        <v>36062</v>
      </c>
      <c r="L2013" s="188">
        <v>142</v>
      </c>
      <c r="M2013" s="179" t="s">
        <v>151</v>
      </c>
    </row>
    <row r="2014" spans="1:13" ht="25.5">
      <c r="A2014" s="313" t="str">
        <f t="shared" si="31"/>
        <v>BuoyTypeCode_markerShip</v>
      </c>
      <c r="B2014" s="330"/>
      <c r="C2014" s="334"/>
      <c r="D2014" s="188" t="s">
        <v>18655</v>
      </c>
      <c r="E2014" s="189" t="s">
        <v>18656</v>
      </c>
      <c r="F2014" s="162" t="s">
        <v>18657</v>
      </c>
      <c r="G2014" s="190"/>
      <c r="H2014" s="219"/>
      <c r="I2014" s="169">
        <v>102750</v>
      </c>
      <c r="J2014" s="304" t="str">
        <f>CONCATENATE([2]Cover!$D$6,"fdd/view?i=",I2014)</f>
        <v>https://www.dgiwg.org/FAD/fdd/view?i=102750</v>
      </c>
      <c r="K2014" s="304" t="s">
        <v>36063</v>
      </c>
      <c r="L2014" s="188">
        <v>106</v>
      </c>
      <c r="M2014" s="179" t="s">
        <v>151</v>
      </c>
    </row>
    <row r="2015" spans="1:13" ht="25.5">
      <c r="A2015" s="313" t="str">
        <f t="shared" si="31"/>
        <v>BuoyTypeCode_maximumVesselsDraft</v>
      </c>
      <c r="B2015" s="330"/>
      <c r="C2015" s="334"/>
      <c r="D2015" s="188" t="s">
        <v>18658</v>
      </c>
      <c r="E2015" s="189" t="s">
        <v>18659</v>
      </c>
      <c r="F2015" s="162" t="s">
        <v>18660</v>
      </c>
      <c r="G2015" s="190"/>
      <c r="H2015" s="219"/>
      <c r="I2015" s="169">
        <v>102769</v>
      </c>
      <c r="J2015" s="304" t="str">
        <f>CONCATENATE([2]Cover!$D$6,"fdd/view?i=",I2015)</f>
        <v>https://www.dgiwg.org/FAD/fdd/view?i=102769</v>
      </c>
      <c r="K2015" s="304" t="s">
        <v>36064</v>
      </c>
      <c r="L2015" s="188">
        <v>125</v>
      </c>
      <c r="M2015" s="179" t="s">
        <v>151</v>
      </c>
    </row>
    <row r="2016" spans="1:13" ht="25.5">
      <c r="A2016" s="313" t="str">
        <f t="shared" si="31"/>
        <v>BuoyTypeCode_measuredDistance</v>
      </c>
      <c r="B2016" s="330"/>
      <c r="C2016" s="334"/>
      <c r="D2016" s="188" t="s">
        <v>18661</v>
      </c>
      <c r="E2016" s="189" t="s">
        <v>18662</v>
      </c>
      <c r="F2016" s="162" t="s">
        <v>18663</v>
      </c>
      <c r="G2016" s="190"/>
      <c r="H2016" s="219"/>
      <c r="I2016" s="169">
        <v>102758</v>
      </c>
      <c r="J2016" s="304" t="str">
        <f>CONCATENATE([2]Cover!$D$6,"fdd/view?i=",I2016)</f>
        <v>https://www.dgiwg.org/FAD/fdd/view?i=102758</v>
      </c>
      <c r="K2016" s="304" t="s">
        <v>36065</v>
      </c>
      <c r="L2016" s="188">
        <v>114</v>
      </c>
      <c r="M2016" s="179" t="s">
        <v>151</v>
      </c>
    </row>
    <row r="2017" spans="1:13">
      <c r="A2017" s="313" t="str">
        <f t="shared" si="31"/>
        <v>BuoyTypeCode_midChannel</v>
      </c>
      <c r="B2017" s="330"/>
      <c r="C2017" s="334"/>
      <c r="D2017" s="188" t="s">
        <v>18664</v>
      </c>
      <c r="E2017" s="189" t="s">
        <v>18665</v>
      </c>
      <c r="F2017" s="162" t="s">
        <v>18666</v>
      </c>
      <c r="G2017" s="190"/>
      <c r="H2017" s="219"/>
      <c r="I2017" s="169">
        <v>102706</v>
      </c>
      <c r="J2017" s="304" t="str">
        <f>CONCATENATE([2]Cover!$D$6,"fdd/view?i=",I2017)</f>
        <v>https://www.dgiwg.org/FAD/fdd/view?i=102706</v>
      </c>
      <c r="K2017" s="304" t="s">
        <v>36066</v>
      </c>
      <c r="L2017" s="188">
        <v>21</v>
      </c>
      <c r="M2017" s="179" t="s">
        <v>151</v>
      </c>
    </row>
    <row r="2018" spans="1:13">
      <c r="A2018" s="313" t="str">
        <f t="shared" si="31"/>
        <v>BuoyTypeCode_mooring</v>
      </c>
      <c r="B2018" s="330"/>
      <c r="C2018" s="334"/>
      <c r="D2018" s="188" t="s">
        <v>18008</v>
      </c>
      <c r="E2018" s="189" t="s">
        <v>18009</v>
      </c>
      <c r="F2018" s="162" t="s">
        <v>18667</v>
      </c>
      <c r="G2018" s="190"/>
      <c r="H2018" s="219"/>
      <c r="I2018" s="169">
        <v>102692</v>
      </c>
      <c r="J2018" s="304" t="str">
        <f>CONCATENATE([2]Cover!$D$6,"fdd/view?i=",I2018)</f>
        <v>https://www.dgiwg.org/FAD/fdd/view?i=102692</v>
      </c>
      <c r="K2018" s="304" t="s">
        <v>36067</v>
      </c>
      <c r="L2018" s="188">
        <v>7</v>
      </c>
      <c r="M2018" s="179" t="s">
        <v>151</v>
      </c>
    </row>
    <row r="2019" spans="1:13" ht="38.25">
      <c r="A2019" s="313" t="str">
        <f t="shared" si="31"/>
        <v>BuoyTypeCode_nccbBuoy</v>
      </c>
      <c r="B2019" s="330"/>
      <c r="C2019" s="334"/>
      <c r="D2019" s="188" t="s">
        <v>18668</v>
      </c>
      <c r="E2019" s="189" t="s">
        <v>18669</v>
      </c>
      <c r="F2019" s="162" t="s">
        <v>18670</v>
      </c>
      <c r="G2019" s="190"/>
      <c r="H2019" s="219"/>
      <c r="I2019" s="169">
        <v>102746</v>
      </c>
      <c r="J2019" s="304" t="str">
        <f>CONCATENATE([2]Cover!$D$6,"fdd/view?i=",I2019)</f>
        <v>https://www.dgiwg.org/FAD/fdd/view?i=102746</v>
      </c>
      <c r="K2019" s="304" t="s">
        <v>36068</v>
      </c>
      <c r="L2019" s="188">
        <v>102</v>
      </c>
      <c r="M2019" s="179" t="s">
        <v>151</v>
      </c>
    </row>
    <row r="2020" spans="1:13" ht="38.25">
      <c r="A2020" s="313" t="str">
        <f t="shared" si="31"/>
        <v>BuoyTypeCode_northCardinal</v>
      </c>
      <c r="B2020" s="330"/>
      <c r="C2020" s="334"/>
      <c r="D2020" s="188" t="s">
        <v>18671</v>
      </c>
      <c r="E2020" s="189" t="s">
        <v>18672</v>
      </c>
      <c r="F2020" s="162" t="s">
        <v>18673</v>
      </c>
      <c r="G2020" s="190"/>
      <c r="H2020" s="219"/>
      <c r="I2020" s="169">
        <v>102742</v>
      </c>
      <c r="J2020" s="304" t="str">
        <f>CONCATENATE([2]Cover!$D$6,"fdd/view?i=",I2020)</f>
        <v>https://www.dgiwg.org/FAD/fdd/view?i=102742</v>
      </c>
      <c r="K2020" s="304" t="s">
        <v>36069</v>
      </c>
      <c r="L2020" s="188">
        <v>98</v>
      </c>
      <c r="M2020" s="179" t="s">
        <v>151</v>
      </c>
    </row>
    <row r="2021" spans="1:13">
      <c r="A2021" s="313" t="str">
        <f t="shared" si="31"/>
        <v>BuoyTypeCode_notice</v>
      </c>
      <c r="B2021" s="330"/>
      <c r="C2021" s="334"/>
      <c r="D2021" s="188" t="s">
        <v>18674</v>
      </c>
      <c r="E2021" s="189" t="s">
        <v>18675</v>
      </c>
      <c r="F2021" s="162" t="s">
        <v>18676</v>
      </c>
      <c r="G2021" s="190"/>
      <c r="H2021" s="219"/>
      <c r="I2021" s="169">
        <v>102726</v>
      </c>
      <c r="J2021" s="304" t="str">
        <f>CONCATENATE([2]Cover!$D$6,"fdd/view?i=",I2021)</f>
        <v>https://www.dgiwg.org/FAD/fdd/view?i=102726</v>
      </c>
      <c r="K2021" s="304" t="s">
        <v>36070</v>
      </c>
      <c r="L2021" s="188">
        <v>82</v>
      </c>
      <c r="M2021" s="179" t="s">
        <v>151</v>
      </c>
    </row>
    <row r="2022" spans="1:13">
      <c r="A2022" s="313" t="str">
        <f t="shared" si="31"/>
        <v>BuoyTypeCode_obstruction</v>
      </c>
      <c r="B2022" s="330"/>
      <c r="C2022" s="334"/>
      <c r="D2022" s="188" t="s">
        <v>18677</v>
      </c>
      <c r="E2022" s="189" t="s">
        <v>18678</v>
      </c>
      <c r="F2022" s="162" t="s">
        <v>18679</v>
      </c>
      <c r="G2022" s="190"/>
      <c r="H2022" s="219"/>
      <c r="I2022" s="169">
        <v>102710</v>
      </c>
      <c r="J2022" s="304" t="str">
        <f>CONCATENATE([2]Cover!$D$6,"fdd/view?i=",I2022)</f>
        <v>https://www.dgiwg.org/FAD/fdd/view?i=102710</v>
      </c>
      <c r="K2022" s="304" t="s">
        <v>36071</v>
      </c>
      <c r="L2022" s="188">
        <v>25</v>
      </c>
      <c r="M2022" s="179" t="s">
        <v>151</v>
      </c>
    </row>
    <row r="2023" spans="1:13" ht="140.25">
      <c r="A2023" s="313" t="str">
        <f t="shared" si="31"/>
        <v>BuoyTypeCode_odasBuoy</v>
      </c>
      <c r="B2023" s="330"/>
      <c r="C2023" s="334"/>
      <c r="D2023" s="188" t="s">
        <v>18680</v>
      </c>
      <c r="E2023" s="189" t="s">
        <v>18681</v>
      </c>
      <c r="F2023" s="162" t="s">
        <v>18682</v>
      </c>
      <c r="G2023" s="162" t="s">
        <v>18683</v>
      </c>
      <c r="H2023" s="219"/>
      <c r="I2023" s="169">
        <v>102695</v>
      </c>
      <c r="J2023" s="304" t="str">
        <f>CONCATENATE([2]Cover!$D$6,"fdd/view?i=",I2023)</f>
        <v>https://www.dgiwg.org/FAD/fdd/view?i=102695</v>
      </c>
      <c r="K2023" s="304" t="s">
        <v>36072</v>
      </c>
      <c r="L2023" s="188">
        <v>10</v>
      </c>
      <c r="M2023" s="179" t="s">
        <v>151</v>
      </c>
    </row>
    <row r="2024" spans="1:13" ht="25.5">
      <c r="A2024" s="313" t="str">
        <f t="shared" si="31"/>
        <v>BuoyTypeCode_outfall</v>
      </c>
      <c r="B2024" s="330"/>
      <c r="C2024" s="334"/>
      <c r="D2024" s="188" t="s">
        <v>18684</v>
      </c>
      <c r="E2024" s="189" t="s">
        <v>18685</v>
      </c>
      <c r="F2024" s="162" t="s">
        <v>18686</v>
      </c>
      <c r="G2024" s="190"/>
      <c r="H2024" s="219"/>
      <c r="I2024" s="169">
        <v>102754</v>
      </c>
      <c r="J2024" s="304" t="str">
        <f>CONCATENATE([2]Cover!$D$6,"fdd/view?i=",I2024)</f>
        <v>https://www.dgiwg.org/FAD/fdd/view?i=102754</v>
      </c>
      <c r="K2024" s="304" t="s">
        <v>36073</v>
      </c>
      <c r="L2024" s="188">
        <v>110</v>
      </c>
      <c r="M2024" s="179" t="s">
        <v>151</v>
      </c>
    </row>
    <row r="2025" spans="1:13" ht="25.5">
      <c r="A2025" s="313" t="str">
        <f t="shared" si="31"/>
        <v>BuoyTypeCode_overheadPowerCable</v>
      </c>
      <c r="B2025" s="330"/>
      <c r="C2025" s="334"/>
      <c r="D2025" s="188" t="s">
        <v>18687</v>
      </c>
      <c r="E2025" s="189" t="s">
        <v>18688</v>
      </c>
      <c r="F2025" s="162" t="s">
        <v>18689</v>
      </c>
      <c r="G2025" s="190"/>
      <c r="H2025" s="219"/>
      <c r="I2025" s="169">
        <v>102773</v>
      </c>
      <c r="J2025" s="304" t="str">
        <f>CONCATENATE([2]Cover!$D$6,"fdd/view?i=",I2025)</f>
        <v>https://www.dgiwg.org/FAD/fdd/view?i=102773</v>
      </c>
      <c r="K2025" s="304" t="s">
        <v>36074</v>
      </c>
      <c r="L2025" s="188">
        <v>129</v>
      </c>
      <c r="M2025" s="179" t="s">
        <v>151</v>
      </c>
    </row>
    <row r="2026" spans="1:13" ht="25.5">
      <c r="A2026" s="313" t="str">
        <f t="shared" si="31"/>
        <v>BuoyTypeCode_overtakingProhibited</v>
      </c>
      <c r="B2026" s="330"/>
      <c r="C2026" s="334"/>
      <c r="D2026" s="188" t="s">
        <v>18690</v>
      </c>
      <c r="E2026" s="189" t="s">
        <v>18691</v>
      </c>
      <c r="F2026" s="162" t="s">
        <v>18692</v>
      </c>
      <c r="G2026" s="190"/>
      <c r="H2026" s="219"/>
      <c r="I2026" s="169">
        <v>102762</v>
      </c>
      <c r="J2026" s="304" t="str">
        <f>CONCATENATE([2]Cover!$D$6,"fdd/view?i=",I2026)</f>
        <v>https://www.dgiwg.org/FAD/fdd/view?i=102762</v>
      </c>
      <c r="K2026" s="304" t="s">
        <v>36075</v>
      </c>
      <c r="L2026" s="188">
        <v>118</v>
      </c>
      <c r="M2026" s="179" t="s">
        <v>151</v>
      </c>
    </row>
    <row r="2027" spans="1:13" ht="25.5">
      <c r="A2027" s="313" t="str">
        <f t="shared" si="31"/>
        <v>BuoyTypeCode_pipeline</v>
      </c>
      <c r="B2027" s="330"/>
      <c r="C2027" s="334"/>
      <c r="D2027" s="188" t="s">
        <v>18693</v>
      </c>
      <c r="E2027" s="189" t="s">
        <v>3413</v>
      </c>
      <c r="F2027" s="162" t="s">
        <v>18694</v>
      </c>
      <c r="G2027" s="190"/>
      <c r="H2027" s="219"/>
      <c r="I2027" s="169">
        <v>102777</v>
      </c>
      <c r="J2027" s="304" t="str">
        <f>CONCATENATE([2]Cover!$D$6,"fdd/view?i=",I2027)</f>
        <v>https://www.dgiwg.org/FAD/fdd/view?i=102777</v>
      </c>
      <c r="K2027" s="304" t="s">
        <v>36076</v>
      </c>
      <c r="L2027" s="188">
        <v>133</v>
      </c>
      <c r="M2027" s="179" t="s">
        <v>151</v>
      </c>
    </row>
    <row r="2028" spans="1:13" ht="25.5">
      <c r="A2028" s="313" t="str">
        <f t="shared" si="31"/>
        <v>BuoyTypeCode_portHandEdge</v>
      </c>
      <c r="B2028" s="330"/>
      <c r="C2028" s="334"/>
      <c r="D2028" s="188" t="s">
        <v>18695</v>
      </c>
      <c r="E2028" s="189" t="s">
        <v>18696</v>
      </c>
      <c r="F2028" s="162" t="s">
        <v>18697</v>
      </c>
      <c r="G2028" s="162" t="s">
        <v>18698</v>
      </c>
      <c r="H2028" s="219"/>
      <c r="I2028" s="169">
        <v>102738</v>
      </c>
      <c r="J2028" s="304" t="str">
        <f>CONCATENATE([2]Cover!$D$6,"fdd/view?i=",I2028)</f>
        <v>https://www.dgiwg.org/FAD/fdd/view?i=102738</v>
      </c>
      <c r="K2028" s="304" t="s">
        <v>36077</v>
      </c>
      <c r="L2028" s="188">
        <v>94</v>
      </c>
      <c r="M2028" s="179" t="s">
        <v>151</v>
      </c>
    </row>
    <row r="2029" spans="1:13" ht="25.5">
      <c r="A2029" s="313" t="str">
        <f t="shared" si="31"/>
        <v>BuoyTypeCode_preferredChannelPort</v>
      </c>
      <c r="B2029" s="330"/>
      <c r="C2029" s="334"/>
      <c r="D2029" s="188" t="s">
        <v>18699</v>
      </c>
      <c r="E2029" s="189" t="s">
        <v>18700</v>
      </c>
      <c r="F2029" s="162" t="s">
        <v>18701</v>
      </c>
      <c r="G2029" s="190"/>
      <c r="H2029" s="219"/>
      <c r="I2029" s="169">
        <v>102735</v>
      </c>
      <c r="J2029" s="304" t="str">
        <f>CONCATENATE([2]Cover!$D$6,"fdd/view?i=",I2029)</f>
        <v>https://www.dgiwg.org/FAD/fdd/view?i=102735</v>
      </c>
      <c r="K2029" s="304" t="s">
        <v>36078</v>
      </c>
      <c r="L2029" s="188">
        <v>91</v>
      </c>
      <c r="M2029" s="179" t="s">
        <v>151</v>
      </c>
    </row>
    <row r="2030" spans="1:13" ht="25.5">
      <c r="A2030" s="313" t="str">
        <f t="shared" si="31"/>
        <v>BuoyTypeCode_preferredChannelStarboard</v>
      </c>
      <c r="B2030" s="330"/>
      <c r="C2030" s="334"/>
      <c r="D2030" s="188" t="s">
        <v>18702</v>
      </c>
      <c r="E2030" s="189" t="s">
        <v>18703</v>
      </c>
      <c r="F2030" s="162" t="s">
        <v>18704</v>
      </c>
      <c r="G2030" s="190"/>
      <c r="H2030" s="219"/>
      <c r="I2030" s="169">
        <v>102736</v>
      </c>
      <c r="J2030" s="304" t="str">
        <f>CONCATENATE([2]Cover!$D$6,"fdd/view?i=",I2030)</f>
        <v>https://www.dgiwg.org/FAD/fdd/view?i=102736</v>
      </c>
      <c r="K2030" s="304" t="s">
        <v>36079</v>
      </c>
      <c r="L2030" s="188">
        <v>92</v>
      </c>
      <c r="M2030" s="179" t="s">
        <v>151</v>
      </c>
    </row>
    <row r="2031" spans="1:13">
      <c r="A2031" s="313" t="str">
        <f t="shared" si="31"/>
        <v>BuoyTypeCode_private</v>
      </c>
      <c r="B2031" s="330"/>
      <c r="C2031" s="334"/>
      <c r="D2031" s="188" t="s">
        <v>15756</v>
      </c>
      <c r="E2031" s="189" t="s">
        <v>15757</v>
      </c>
      <c r="F2031" s="162" t="s">
        <v>18705</v>
      </c>
      <c r="G2031" s="190"/>
      <c r="H2031" s="219"/>
      <c r="I2031" s="169">
        <v>102730</v>
      </c>
      <c r="J2031" s="304" t="str">
        <f>CONCATENATE([2]Cover!$D$6,"fdd/view?i=",I2031)</f>
        <v>https://www.dgiwg.org/FAD/fdd/view?i=102730</v>
      </c>
      <c r="K2031" s="304" t="s">
        <v>36080</v>
      </c>
      <c r="L2031" s="188">
        <v>86</v>
      </c>
      <c r="M2031" s="179" t="s">
        <v>151</v>
      </c>
    </row>
    <row r="2032" spans="1:13">
      <c r="A2032" s="313" t="str">
        <f t="shared" si="31"/>
        <v>BuoyTypeCode_quarantine</v>
      </c>
      <c r="B2032" s="330"/>
      <c r="C2032" s="334"/>
      <c r="D2032" s="188" t="s">
        <v>18706</v>
      </c>
      <c r="E2032" s="189" t="s">
        <v>18707</v>
      </c>
      <c r="F2032" s="162" t="s">
        <v>18708</v>
      </c>
      <c r="G2032" s="190"/>
      <c r="H2032" s="219"/>
      <c r="I2032" s="169">
        <v>102713</v>
      </c>
      <c r="J2032" s="304" t="str">
        <f>CONCATENATE([2]Cover!$D$6,"fdd/view?i=",I2032)</f>
        <v>https://www.dgiwg.org/FAD/fdd/view?i=102713</v>
      </c>
      <c r="K2032" s="304" t="s">
        <v>36081</v>
      </c>
      <c r="L2032" s="188">
        <v>28</v>
      </c>
      <c r="M2032" s="179" t="s">
        <v>151</v>
      </c>
    </row>
    <row r="2033" spans="1:13">
      <c r="A2033" s="313" t="str">
        <f t="shared" si="31"/>
        <v>BuoyTypeCode_recording</v>
      </c>
      <c r="B2033" s="330"/>
      <c r="C2033" s="334"/>
      <c r="D2033" s="188" t="s">
        <v>18709</v>
      </c>
      <c r="E2033" s="189" t="s">
        <v>18710</v>
      </c>
      <c r="F2033" s="162" t="s">
        <v>18711</v>
      </c>
      <c r="G2033" s="190"/>
      <c r="H2033" s="219"/>
      <c r="I2033" s="169">
        <v>102755</v>
      </c>
      <c r="J2033" s="304" t="str">
        <f>CONCATENATE([2]Cover!$D$6,"fdd/view?i=",I2033)</f>
        <v>https://www.dgiwg.org/FAD/fdd/view?i=102755</v>
      </c>
      <c r="K2033" s="304" t="s">
        <v>36082</v>
      </c>
      <c r="L2033" s="188">
        <v>111</v>
      </c>
      <c r="M2033" s="179" t="s">
        <v>151</v>
      </c>
    </row>
    <row r="2034" spans="1:13">
      <c r="A2034" s="313" t="str">
        <f t="shared" si="31"/>
        <v>BuoyTypeCode_recreationZone</v>
      </c>
      <c r="B2034" s="330"/>
      <c r="C2034" s="334"/>
      <c r="D2034" s="188" t="s">
        <v>18712</v>
      </c>
      <c r="E2034" s="189" t="s">
        <v>18713</v>
      </c>
      <c r="F2034" s="162" t="s">
        <v>18714</v>
      </c>
      <c r="G2034" s="190"/>
      <c r="H2034" s="219"/>
      <c r="I2034" s="169">
        <v>102756</v>
      </c>
      <c r="J2034" s="304" t="str">
        <f>CONCATENATE([2]Cover!$D$6,"fdd/view?i=",I2034)</f>
        <v>https://www.dgiwg.org/FAD/fdd/view?i=102756</v>
      </c>
      <c r="K2034" s="304" t="s">
        <v>36083</v>
      </c>
      <c r="L2034" s="188">
        <v>112</v>
      </c>
      <c r="M2034" s="179" t="s">
        <v>151</v>
      </c>
    </row>
    <row r="2035" spans="1:13">
      <c r="A2035" s="313" t="str">
        <f t="shared" si="31"/>
        <v>BuoyTypeCode_reducedWake</v>
      </c>
      <c r="B2035" s="330"/>
      <c r="C2035" s="334"/>
      <c r="D2035" s="188" t="s">
        <v>18715</v>
      </c>
      <c r="E2035" s="189" t="s">
        <v>18716</v>
      </c>
      <c r="F2035" s="162" t="s">
        <v>18717</v>
      </c>
      <c r="G2035" s="190"/>
      <c r="H2035" s="219"/>
      <c r="I2035" s="169">
        <v>102764</v>
      </c>
      <c r="J2035" s="304" t="str">
        <f>CONCATENATE([2]Cover!$D$6,"fdd/view?i=",I2035)</f>
        <v>https://www.dgiwg.org/FAD/fdd/view?i=102764</v>
      </c>
      <c r="K2035" s="304" t="s">
        <v>36084</v>
      </c>
      <c r="L2035" s="188">
        <v>120</v>
      </c>
      <c r="M2035" s="179" t="s">
        <v>151</v>
      </c>
    </row>
    <row r="2036" spans="1:13">
      <c r="A2036" s="313" t="str">
        <f t="shared" si="31"/>
        <v>BuoyTypeCode_refuge</v>
      </c>
      <c r="B2036" s="330"/>
      <c r="C2036" s="334"/>
      <c r="D2036" s="188" t="s">
        <v>18718</v>
      </c>
      <c r="E2036" s="189" t="s">
        <v>18719</v>
      </c>
      <c r="F2036" s="162" t="s">
        <v>18720</v>
      </c>
      <c r="G2036" s="190"/>
      <c r="H2036" s="219"/>
      <c r="I2036" s="169">
        <v>102779</v>
      </c>
      <c r="J2036" s="304" t="str">
        <f>CONCATENATE([2]Cover!$D$6,"fdd/view?i=",I2036)</f>
        <v>https://www.dgiwg.org/FAD/fdd/view?i=102779</v>
      </c>
      <c r="K2036" s="304" t="s">
        <v>36085</v>
      </c>
      <c r="L2036" s="188">
        <v>135</v>
      </c>
      <c r="M2036" s="179" t="s">
        <v>151</v>
      </c>
    </row>
    <row r="2037" spans="1:13" ht="25.5">
      <c r="A2037" s="313" t="str">
        <f t="shared" si="31"/>
        <v>BuoyTypeCode_restrictedHorizClearance</v>
      </c>
      <c r="B2037" s="330"/>
      <c r="C2037" s="334"/>
      <c r="D2037" s="188" t="s">
        <v>18721</v>
      </c>
      <c r="E2037" s="189" t="s">
        <v>9769</v>
      </c>
      <c r="F2037" s="162" t="s">
        <v>18722</v>
      </c>
      <c r="G2037" s="190"/>
      <c r="H2037" s="219"/>
      <c r="I2037" s="169">
        <v>102770</v>
      </c>
      <c r="J2037" s="304" t="str">
        <f>CONCATENATE([2]Cover!$D$6,"fdd/view?i=",I2037)</f>
        <v>https://www.dgiwg.org/FAD/fdd/view?i=102770</v>
      </c>
      <c r="K2037" s="304" t="s">
        <v>36086</v>
      </c>
      <c r="L2037" s="188">
        <v>126</v>
      </c>
      <c r="M2037" s="179" t="s">
        <v>151</v>
      </c>
    </row>
    <row r="2038" spans="1:13" ht="25.5">
      <c r="A2038" s="313" t="str">
        <f t="shared" si="31"/>
        <v>BuoyTypeCode_restrictedVertClearance</v>
      </c>
      <c r="B2038" s="330"/>
      <c r="C2038" s="334"/>
      <c r="D2038" s="188" t="s">
        <v>18723</v>
      </c>
      <c r="E2038" s="189" t="s">
        <v>18724</v>
      </c>
      <c r="F2038" s="162" t="s">
        <v>18725</v>
      </c>
      <c r="G2038" s="190"/>
      <c r="H2038" s="219"/>
      <c r="I2038" s="169">
        <v>102768</v>
      </c>
      <c r="J2038" s="304" t="str">
        <f>CONCATENATE([2]Cover!$D$6,"fdd/view?i=",I2038)</f>
        <v>https://www.dgiwg.org/FAD/fdd/view?i=102768</v>
      </c>
      <c r="K2038" s="304" t="s">
        <v>36087</v>
      </c>
      <c r="L2038" s="188">
        <v>124</v>
      </c>
      <c r="M2038" s="179" t="s">
        <v>151</v>
      </c>
    </row>
    <row r="2039" spans="1:13" ht="25.5">
      <c r="A2039" s="313" t="str">
        <f t="shared" si="31"/>
        <v>BuoyTypeCode_safeWater</v>
      </c>
      <c r="B2039" s="330"/>
      <c r="C2039" s="334"/>
      <c r="D2039" s="188" t="s">
        <v>18726</v>
      </c>
      <c r="E2039" s="189" t="s">
        <v>18727</v>
      </c>
      <c r="F2039" s="162" t="s">
        <v>18728</v>
      </c>
      <c r="G2039" s="190"/>
      <c r="H2039" s="219"/>
      <c r="I2039" s="169">
        <v>102703</v>
      </c>
      <c r="J2039" s="304" t="str">
        <f>CONCATENATE([2]Cover!$D$6,"fdd/view?i=",I2039)</f>
        <v>https://www.dgiwg.org/FAD/fdd/view?i=102703</v>
      </c>
      <c r="K2039" s="304" t="s">
        <v>36088</v>
      </c>
      <c r="L2039" s="188">
        <v>18</v>
      </c>
      <c r="M2039" s="179" t="s">
        <v>151</v>
      </c>
    </row>
    <row r="2040" spans="1:13">
      <c r="A2040" s="313" t="str">
        <f t="shared" si="31"/>
        <v>BuoyTypeCode_seaplaneLanding</v>
      </c>
      <c r="B2040" s="330"/>
      <c r="C2040" s="334"/>
      <c r="D2040" s="188" t="s">
        <v>18729</v>
      </c>
      <c r="E2040" s="189" t="s">
        <v>18730</v>
      </c>
      <c r="F2040" s="162" t="s">
        <v>18731</v>
      </c>
      <c r="G2040" s="190"/>
      <c r="H2040" s="219"/>
      <c r="I2040" s="169">
        <v>110088</v>
      </c>
      <c r="J2040" s="304" t="str">
        <f>CONCATENATE([2]Cover!$D$6,"fdd/view?i=",I2040)</f>
        <v>https://www.dgiwg.org/FAD/fdd/view?i=110088</v>
      </c>
      <c r="K2040" s="304" t="s">
        <v>36089</v>
      </c>
      <c r="L2040" s="188">
        <v>143</v>
      </c>
      <c r="M2040" s="179" t="s">
        <v>151</v>
      </c>
    </row>
    <row r="2041" spans="1:13">
      <c r="A2041" s="313" t="str">
        <f t="shared" si="31"/>
        <v>BuoyTypeCode_soundShipsSiren</v>
      </c>
      <c r="B2041" s="330"/>
      <c r="C2041" s="334"/>
      <c r="D2041" s="188" t="s">
        <v>18732</v>
      </c>
      <c r="E2041" s="189" t="s">
        <v>18733</v>
      </c>
      <c r="F2041" s="162" t="s">
        <v>18734</v>
      </c>
      <c r="G2041" s="190"/>
      <c r="H2041" s="219"/>
      <c r="I2041" s="169">
        <v>102767</v>
      </c>
      <c r="J2041" s="304" t="str">
        <f>CONCATENATE([2]Cover!$D$6,"fdd/view?i=",I2041)</f>
        <v>https://www.dgiwg.org/FAD/fdd/view?i=102767</v>
      </c>
      <c r="K2041" s="304" t="s">
        <v>36090</v>
      </c>
      <c r="L2041" s="188">
        <v>123</v>
      </c>
      <c r="M2041" s="179" t="s">
        <v>151</v>
      </c>
    </row>
    <row r="2042" spans="1:13" ht="38.25">
      <c r="A2042" s="313" t="str">
        <f t="shared" si="31"/>
        <v>BuoyTypeCode_southCardinal</v>
      </c>
      <c r="B2042" s="330"/>
      <c r="C2042" s="334"/>
      <c r="D2042" s="188" t="s">
        <v>18735</v>
      </c>
      <c r="E2042" s="189" t="s">
        <v>18736</v>
      </c>
      <c r="F2042" s="162" t="s">
        <v>18737</v>
      </c>
      <c r="G2042" s="190"/>
      <c r="H2042" s="219"/>
      <c r="I2042" s="169">
        <v>102740</v>
      </c>
      <c r="J2042" s="304" t="str">
        <f>CONCATENATE([2]Cover!$D$6,"fdd/view?i=",I2042)</f>
        <v>https://www.dgiwg.org/FAD/fdd/view?i=102740</v>
      </c>
      <c r="K2042" s="304" t="s">
        <v>36091</v>
      </c>
      <c r="L2042" s="188">
        <v>96</v>
      </c>
      <c r="M2042" s="179" t="s">
        <v>151</v>
      </c>
    </row>
    <row r="2043" spans="1:13" ht="38.25">
      <c r="A2043" s="313" t="str">
        <f t="shared" si="31"/>
        <v>BuoyTypeCode_special</v>
      </c>
      <c r="B2043" s="330"/>
      <c r="C2043" s="334"/>
      <c r="D2043" s="188" t="s">
        <v>18738</v>
      </c>
      <c r="E2043" s="189" t="s">
        <v>18739</v>
      </c>
      <c r="F2043" s="162" t="s">
        <v>18740</v>
      </c>
      <c r="G2043" s="190"/>
      <c r="H2043" s="221" t="s">
        <v>18741</v>
      </c>
      <c r="I2043" s="169">
        <v>102700</v>
      </c>
      <c r="J2043" s="304" t="str">
        <f>CONCATENATE([2]Cover!$D$6,"fdd/view?i=",I2043)</f>
        <v>https://www.dgiwg.org/FAD/fdd/view?i=102700</v>
      </c>
      <c r="K2043" s="304" t="s">
        <v>36092</v>
      </c>
      <c r="L2043" s="188">
        <v>15</v>
      </c>
      <c r="M2043" s="179" t="s">
        <v>151</v>
      </c>
    </row>
    <row r="2044" spans="1:13">
      <c r="A2044" s="313" t="str">
        <f t="shared" si="31"/>
        <v>BuoyTypeCode_speedLimit</v>
      </c>
      <c r="B2044" s="330"/>
      <c r="C2044" s="334"/>
      <c r="D2044" s="188" t="s">
        <v>18742</v>
      </c>
      <c r="E2044" s="189" t="s">
        <v>18743</v>
      </c>
      <c r="F2044" s="162" t="s">
        <v>18744</v>
      </c>
      <c r="G2044" s="190"/>
      <c r="H2044" s="219"/>
      <c r="I2044" s="169">
        <v>102765</v>
      </c>
      <c r="J2044" s="304" t="str">
        <f>CONCATENATE([2]Cover!$D$6,"fdd/view?i=",I2044)</f>
        <v>https://www.dgiwg.org/FAD/fdd/view?i=102765</v>
      </c>
      <c r="K2044" s="304" t="s">
        <v>36093</v>
      </c>
      <c r="L2044" s="188">
        <v>121</v>
      </c>
      <c r="M2044" s="179" t="s">
        <v>151</v>
      </c>
    </row>
    <row r="2045" spans="1:13">
      <c r="A2045" s="313" t="str">
        <f t="shared" si="31"/>
        <v>BuoyTypeCode_spoilGround</v>
      </c>
      <c r="B2045" s="330"/>
      <c r="C2045" s="334"/>
      <c r="D2045" s="188" t="s">
        <v>18745</v>
      </c>
      <c r="E2045" s="189" t="s">
        <v>18746</v>
      </c>
      <c r="F2045" s="162" t="s">
        <v>18747</v>
      </c>
      <c r="G2045" s="190"/>
      <c r="H2045" s="221" t="s">
        <v>2159</v>
      </c>
      <c r="I2045" s="169">
        <v>102719</v>
      </c>
      <c r="J2045" s="304" t="str">
        <f>CONCATENATE([2]Cover!$D$6,"fdd/view?i=",I2045)</f>
        <v>https://www.dgiwg.org/FAD/fdd/view?i=102719</v>
      </c>
      <c r="K2045" s="304" t="s">
        <v>36094</v>
      </c>
      <c r="L2045" s="188">
        <v>34</v>
      </c>
      <c r="M2045" s="179" t="s">
        <v>151</v>
      </c>
    </row>
    <row r="2046" spans="1:13" ht="38.25">
      <c r="A2046" s="313" t="str">
        <f t="shared" si="31"/>
        <v>BuoyTypeCode_starboardHandEdge</v>
      </c>
      <c r="B2046" s="330"/>
      <c r="C2046" s="334"/>
      <c r="D2046" s="188" t="s">
        <v>18748</v>
      </c>
      <c r="E2046" s="189" t="s">
        <v>18749</v>
      </c>
      <c r="F2046" s="162" t="s">
        <v>18750</v>
      </c>
      <c r="G2046" s="162" t="s">
        <v>18698</v>
      </c>
      <c r="H2046" s="219"/>
      <c r="I2046" s="169">
        <v>102737</v>
      </c>
      <c r="J2046" s="304" t="str">
        <f>CONCATENATE([2]Cover!$D$6,"fdd/view?i=",I2046)</f>
        <v>https://www.dgiwg.org/FAD/fdd/view?i=102737</v>
      </c>
      <c r="K2046" s="304" t="s">
        <v>36095</v>
      </c>
      <c r="L2046" s="188">
        <v>93</v>
      </c>
      <c r="M2046" s="179" t="s">
        <v>151</v>
      </c>
    </row>
    <row r="2047" spans="1:13" ht="25.5">
      <c r="A2047" s="313" t="str">
        <f t="shared" si="31"/>
        <v>BuoyTypeCode_stop</v>
      </c>
      <c r="B2047" s="330"/>
      <c r="C2047" s="334"/>
      <c r="D2047" s="188" t="s">
        <v>18751</v>
      </c>
      <c r="E2047" s="189" t="s">
        <v>18752</v>
      </c>
      <c r="F2047" s="162" t="s">
        <v>18753</v>
      </c>
      <c r="G2047" s="190"/>
      <c r="H2047" s="219"/>
      <c r="I2047" s="169">
        <v>102766</v>
      </c>
      <c r="J2047" s="304" t="str">
        <f>CONCATENATE([2]Cover!$D$6,"fdd/view?i=",I2047)</f>
        <v>https://www.dgiwg.org/FAD/fdd/view?i=102766</v>
      </c>
      <c r="K2047" s="304" t="s">
        <v>36096</v>
      </c>
      <c r="L2047" s="188">
        <v>122</v>
      </c>
      <c r="M2047" s="179" t="s">
        <v>151</v>
      </c>
    </row>
    <row r="2048" spans="1:13" ht="25.5">
      <c r="A2048" s="313" t="str">
        <f t="shared" si="31"/>
        <v>BuoyTypeCode_strongCurrentWarning</v>
      </c>
      <c r="B2048" s="330"/>
      <c r="C2048" s="334"/>
      <c r="D2048" s="188" t="s">
        <v>18754</v>
      </c>
      <c r="E2048" s="189" t="s">
        <v>18755</v>
      </c>
      <c r="F2048" s="162" t="s">
        <v>18756</v>
      </c>
      <c r="G2048" s="190"/>
      <c r="H2048" s="219"/>
      <c r="I2048" s="169">
        <v>102771</v>
      </c>
      <c r="J2048" s="304" t="str">
        <f>CONCATENATE([2]Cover!$D$6,"fdd/view?i=",I2048)</f>
        <v>https://www.dgiwg.org/FAD/fdd/view?i=102771</v>
      </c>
      <c r="K2048" s="304" t="s">
        <v>36097</v>
      </c>
      <c r="L2048" s="188">
        <v>127</v>
      </c>
      <c r="M2048" s="179" t="s">
        <v>151</v>
      </c>
    </row>
    <row r="2049" spans="1:13" ht="25.5">
      <c r="A2049" s="313" t="str">
        <f t="shared" si="31"/>
        <v>BuoyTypeCode_swim</v>
      </c>
      <c r="B2049" s="330"/>
      <c r="C2049" s="334"/>
      <c r="D2049" s="188" t="s">
        <v>18757</v>
      </c>
      <c r="E2049" s="189" t="s">
        <v>18758</v>
      </c>
      <c r="F2049" s="162" t="s">
        <v>18759</v>
      </c>
      <c r="G2049" s="190"/>
      <c r="H2049" s="219"/>
      <c r="I2049" s="169">
        <v>102731</v>
      </c>
      <c r="J2049" s="304" t="str">
        <f>CONCATENATE([2]Cover!$D$6,"fdd/view?i=",I2049)</f>
        <v>https://www.dgiwg.org/FAD/fdd/view?i=102731</v>
      </c>
      <c r="K2049" s="304" t="s">
        <v>36098</v>
      </c>
      <c r="L2049" s="188">
        <v>87</v>
      </c>
      <c r="M2049" s="179" t="s">
        <v>151</v>
      </c>
    </row>
    <row r="2050" spans="1:13" ht="25.5">
      <c r="A2050" s="313" t="str">
        <f t="shared" si="31"/>
        <v>BuoyTypeCode_target</v>
      </c>
      <c r="B2050" s="330"/>
      <c r="C2050" s="334"/>
      <c r="D2050" s="188" t="s">
        <v>18760</v>
      </c>
      <c r="E2050" s="189" t="s">
        <v>18761</v>
      </c>
      <c r="F2050" s="162" t="s">
        <v>18762</v>
      </c>
      <c r="G2050" s="190"/>
      <c r="H2050" s="219"/>
      <c r="I2050" s="169">
        <v>102749</v>
      </c>
      <c r="J2050" s="304" t="str">
        <f>CONCATENATE([2]Cover!$D$6,"fdd/view?i=",I2050)</f>
        <v>https://www.dgiwg.org/FAD/fdd/view?i=102749</v>
      </c>
      <c r="K2050" s="304" t="s">
        <v>36099</v>
      </c>
      <c r="L2050" s="188">
        <v>105</v>
      </c>
      <c r="M2050" s="179" t="s">
        <v>151</v>
      </c>
    </row>
    <row r="2051" spans="1:13">
      <c r="A2051" s="313" t="str">
        <f t="shared" ref="A2051:A2114" si="32">HYPERLINK(J2051,K2051)</f>
        <v>BuoyTypeCode_telegraphCable</v>
      </c>
      <c r="B2051" s="330"/>
      <c r="C2051" s="334"/>
      <c r="D2051" s="188" t="s">
        <v>18763</v>
      </c>
      <c r="E2051" s="189" t="s">
        <v>18764</v>
      </c>
      <c r="F2051" s="162" t="s">
        <v>18765</v>
      </c>
      <c r="G2051" s="190"/>
      <c r="H2051" s="219"/>
      <c r="I2051" s="169">
        <v>102711</v>
      </c>
      <c r="J2051" s="304" t="str">
        <f>CONCATENATE([2]Cover!$D$6,"fdd/view?i=",I2051)</f>
        <v>https://www.dgiwg.org/FAD/fdd/view?i=102711</v>
      </c>
      <c r="K2051" s="304" t="s">
        <v>36100</v>
      </c>
      <c r="L2051" s="188">
        <v>26</v>
      </c>
      <c r="M2051" s="179" t="s">
        <v>151</v>
      </c>
    </row>
    <row r="2052" spans="1:13">
      <c r="A2052" s="313" t="str">
        <f t="shared" si="32"/>
        <v>BuoyTypeCode_telephone</v>
      </c>
      <c r="B2052" s="330"/>
      <c r="C2052" s="334"/>
      <c r="D2052" s="188" t="s">
        <v>13371</v>
      </c>
      <c r="E2052" s="189" t="s">
        <v>11848</v>
      </c>
      <c r="F2052" s="162" t="s">
        <v>18766</v>
      </c>
      <c r="G2052" s="190"/>
      <c r="H2052" s="219"/>
      <c r="I2052" s="169">
        <v>102775</v>
      </c>
      <c r="J2052" s="304" t="str">
        <f>CONCATENATE([2]Cover!$D$6,"fdd/view?i=",I2052)</f>
        <v>https://www.dgiwg.org/FAD/fdd/view?i=102775</v>
      </c>
      <c r="K2052" s="304" t="s">
        <v>36101</v>
      </c>
      <c r="L2052" s="188">
        <v>131</v>
      </c>
      <c r="M2052" s="179" t="s">
        <v>151</v>
      </c>
    </row>
    <row r="2053" spans="1:13" ht="25.5">
      <c r="A2053" s="313" t="str">
        <f t="shared" si="32"/>
        <v>BuoyTypeCode_trot</v>
      </c>
      <c r="B2053" s="330"/>
      <c r="C2053" s="334"/>
      <c r="D2053" s="188" t="s">
        <v>18767</v>
      </c>
      <c r="E2053" s="189" t="s">
        <v>18768</v>
      </c>
      <c r="F2053" s="162" t="s">
        <v>18769</v>
      </c>
      <c r="G2053" s="190"/>
      <c r="H2053" s="219"/>
      <c r="I2053" s="169">
        <v>102724</v>
      </c>
      <c r="J2053" s="304" t="str">
        <f>CONCATENATE([2]Cover!$D$6,"fdd/view?i=",I2053)</f>
        <v>https://www.dgiwg.org/FAD/fdd/view?i=102724</v>
      </c>
      <c r="K2053" s="304" t="s">
        <v>36102</v>
      </c>
      <c r="L2053" s="188">
        <v>39</v>
      </c>
      <c r="M2053" s="179" t="s">
        <v>151</v>
      </c>
    </row>
    <row r="2054" spans="1:13">
      <c r="A2054" s="313" t="str">
        <f t="shared" si="32"/>
        <v>BuoyTypeCode_tss</v>
      </c>
      <c r="B2054" s="330"/>
      <c r="C2054" s="334"/>
      <c r="D2054" s="188" t="s">
        <v>18770</v>
      </c>
      <c r="E2054" s="189" t="s">
        <v>18771</v>
      </c>
      <c r="F2054" s="162" t="s">
        <v>18772</v>
      </c>
      <c r="G2054" s="190"/>
      <c r="H2054" s="219"/>
      <c r="I2054" s="169">
        <v>102759</v>
      </c>
      <c r="J2054" s="304" t="str">
        <f>CONCATENATE([2]Cover!$D$6,"fdd/view?i=",I2054)</f>
        <v>https://www.dgiwg.org/FAD/fdd/view?i=102759</v>
      </c>
      <c r="K2054" s="304" t="s">
        <v>36103</v>
      </c>
      <c r="L2054" s="188">
        <v>115</v>
      </c>
      <c r="M2054" s="179" t="s">
        <v>151</v>
      </c>
    </row>
    <row r="2055" spans="1:13" ht="25.5">
      <c r="A2055" s="313" t="str">
        <f t="shared" si="32"/>
        <v>BuoyTypeCode_twoWayTrafficProhibited</v>
      </c>
      <c r="B2055" s="330"/>
      <c r="C2055" s="334"/>
      <c r="D2055" s="188" t="s">
        <v>18773</v>
      </c>
      <c r="E2055" s="189" t="s">
        <v>18774</v>
      </c>
      <c r="F2055" s="162" t="s">
        <v>18775</v>
      </c>
      <c r="G2055" s="190"/>
      <c r="H2055" s="219"/>
      <c r="I2055" s="169">
        <v>102763</v>
      </c>
      <c r="J2055" s="304" t="str">
        <f>CONCATENATE([2]Cover!$D$6,"fdd/view?i=",I2055)</f>
        <v>https://www.dgiwg.org/FAD/fdd/view?i=102763</v>
      </c>
      <c r="K2055" s="304" t="s">
        <v>36104</v>
      </c>
      <c r="L2055" s="188">
        <v>119</v>
      </c>
      <c r="M2055" s="179" t="s">
        <v>151</v>
      </c>
    </row>
    <row r="2056" spans="1:13" ht="25.5">
      <c r="A2056" s="313" t="str">
        <f t="shared" si="32"/>
        <v>BuoyTypeCode_warping</v>
      </c>
      <c r="B2056" s="330"/>
      <c r="C2056" s="334"/>
      <c r="D2056" s="188" t="s">
        <v>18776</v>
      </c>
      <c r="E2056" s="189" t="s">
        <v>18777</v>
      </c>
      <c r="F2056" s="162" t="s">
        <v>18778</v>
      </c>
      <c r="G2056" s="190"/>
      <c r="H2056" s="219"/>
      <c r="I2056" s="169">
        <v>102712</v>
      </c>
      <c r="J2056" s="304" t="str">
        <f>CONCATENATE([2]Cover!$D$6,"fdd/view?i=",I2056)</f>
        <v>https://www.dgiwg.org/FAD/fdd/view?i=102712</v>
      </c>
      <c r="K2056" s="304" t="s">
        <v>36105</v>
      </c>
      <c r="L2056" s="188">
        <v>27</v>
      </c>
      <c r="M2056" s="179" t="s">
        <v>151</v>
      </c>
    </row>
    <row r="2057" spans="1:13" ht="63.75">
      <c r="A2057" s="313" t="str">
        <f t="shared" si="32"/>
        <v>BuoyTypeCode_waterColumnSensor</v>
      </c>
      <c r="B2057" s="330"/>
      <c r="C2057" s="334"/>
      <c r="D2057" s="188" t="s">
        <v>18779</v>
      </c>
      <c r="E2057" s="189" t="s">
        <v>18780</v>
      </c>
      <c r="F2057" s="162" t="s">
        <v>18781</v>
      </c>
      <c r="G2057" s="162" t="s">
        <v>18782</v>
      </c>
      <c r="H2057" s="219"/>
      <c r="I2057" s="169">
        <v>117987</v>
      </c>
      <c r="J2057" s="304" t="str">
        <f>CONCATENATE([2]Cover!$D$6,"fdd/view?i=",I2057)</f>
        <v>https://www.dgiwg.org/FAD/fdd/view?i=117987</v>
      </c>
      <c r="K2057" s="304" t="s">
        <v>36106</v>
      </c>
      <c r="L2057" s="188">
        <v>145</v>
      </c>
      <c r="M2057" s="179" t="s">
        <v>151</v>
      </c>
    </row>
    <row r="2058" spans="1:13" ht="25.5">
      <c r="A2058" s="313" t="str">
        <f t="shared" si="32"/>
        <v>BuoyTypeCode_wavemeter</v>
      </c>
      <c r="B2058" s="330"/>
      <c r="C2058" s="334"/>
      <c r="D2058" s="188" t="s">
        <v>18783</v>
      </c>
      <c r="E2058" s="189" t="s">
        <v>18784</v>
      </c>
      <c r="F2058" s="162" t="s">
        <v>18785</v>
      </c>
      <c r="G2058" s="190"/>
      <c r="H2058" s="219"/>
      <c r="I2058" s="169">
        <v>102745</v>
      </c>
      <c r="J2058" s="304" t="str">
        <f>CONCATENATE([2]Cover!$D$6,"fdd/view?i=",I2058)</f>
        <v>https://www.dgiwg.org/FAD/fdd/view?i=102745</v>
      </c>
      <c r="K2058" s="304" t="s">
        <v>36107</v>
      </c>
      <c r="L2058" s="188">
        <v>101</v>
      </c>
      <c r="M2058" s="179" t="s">
        <v>151</v>
      </c>
    </row>
    <row r="2059" spans="1:13" ht="25.5">
      <c r="A2059" s="313" t="str">
        <f t="shared" si="32"/>
        <v>BuoyTypeCode_wellhead</v>
      </c>
      <c r="B2059" s="330"/>
      <c r="C2059" s="334"/>
      <c r="D2059" s="188" t="s">
        <v>18786</v>
      </c>
      <c r="E2059" s="189" t="s">
        <v>18787</v>
      </c>
      <c r="F2059" s="162" t="s">
        <v>18788</v>
      </c>
      <c r="G2059" s="190"/>
      <c r="H2059" s="219"/>
      <c r="I2059" s="169">
        <v>110089</v>
      </c>
      <c r="J2059" s="304" t="str">
        <f>CONCATENATE([2]Cover!$D$6,"fdd/view?i=",I2059)</f>
        <v>https://www.dgiwg.org/FAD/fdd/view?i=110089</v>
      </c>
      <c r="K2059" s="304" t="s">
        <v>36108</v>
      </c>
      <c r="L2059" s="188">
        <v>144</v>
      </c>
      <c r="M2059" s="179" t="s">
        <v>151</v>
      </c>
    </row>
    <row r="2060" spans="1:13" ht="38.25">
      <c r="A2060" s="313" t="str">
        <f t="shared" si="32"/>
        <v>BuoyTypeCode_westCardinal</v>
      </c>
      <c r="B2060" s="330"/>
      <c r="C2060" s="334"/>
      <c r="D2060" s="188" t="s">
        <v>18789</v>
      </c>
      <c r="E2060" s="189" t="s">
        <v>18790</v>
      </c>
      <c r="F2060" s="162" t="s">
        <v>18791</v>
      </c>
      <c r="G2060" s="190"/>
      <c r="H2060" s="219"/>
      <c r="I2060" s="169">
        <v>102739</v>
      </c>
      <c r="J2060" s="304" t="str">
        <f>CONCATENATE([2]Cover!$D$6,"fdd/view?i=",I2060)</f>
        <v>https://www.dgiwg.org/FAD/fdd/view?i=102739</v>
      </c>
      <c r="K2060" s="304" t="s">
        <v>36109</v>
      </c>
      <c r="L2060" s="188">
        <v>95</v>
      </c>
      <c r="M2060" s="179" t="s">
        <v>151</v>
      </c>
    </row>
    <row r="2061" spans="1:13">
      <c r="A2061" s="313" t="str">
        <f t="shared" si="32"/>
        <v>BuoyTypeCode_workInProgress</v>
      </c>
      <c r="B2061" s="330"/>
      <c r="C2061" s="334"/>
      <c r="D2061" s="188" t="s">
        <v>15223</v>
      </c>
      <c r="E2061" s="189" t="s">
        <v>18792</v>
      </c>
      <c r="F2061" s="162" t="s">
        <v>18793</v>
      </c>
      <c r="G2061" s="190"/>
      <c r="H2061" s="219"/>
      <c r="I2061" s="169">
        <v>102784</v>
      </c>
      <c r="J2061" s="304" t="str">
        <f>CONCATENATE([2]Cover!$D$6,"fdd/view?i=",I2061)</f>
        <v>https://www.dgiwg.org/FAD/fdd/view?i=102784</v>
      </c>
      <c r="K2061" s="304" t="s">
        <v>36110</v>
      </c>
      <c r="L2061" s="188">
        <v>140</v>
      </c>
      <c r="M2061" s="179" t="s">
        <v>151</v>
      </c>
    </row>
    <row r="2062" spans="1:13">
      <c r="A2062" s="313" t="str">
        <f t="shared" si="32"/>
        <v>BuoyTypeCode_wreck</v>
      </c>
      <c r="B2062" s="330"/>
      <c r="C2062" s="334"/>
      <c r="D2062" s="188" t="s">
        <v>18794</v>
      </c>
      <c r="E2062" s="189" t="s">
        <v>4632</v>
      </c>
      <c r="F2062" s="162" t="s">
        <v>18795</v>
      </c>
      <c r="G2062" s="190"/>
      <c r="H2062" s="219"/>
      <c r="I2062" s="169">
        <v>102709</v>
      </c>
      <c r="J2062" s="304" t="str">
        <f>CONCATENATE([2]Cover!$D$6,"fdd/view?i=",I2062)</f>
        <v>https://www.dgiwg.org/FAD/fdd/view?i=102709</v>
      </c>
      <c r="K2062" s="304" t="s">
        <v>36111</v>
      </c>
      <c r="L2062" s="188">
        <v>24</v>
      </c>
      <c r="M2062" s="179" t="s">
        <v>151</v>
      </c>
    </row>
    <row r="2063" spans="1:13">
      <c r="A2063" s="313" t="str">
        <f t="shared" si="32"/>
        <v>BuoyTypeCode_yachting</v>
      </c>
      <c r="B2063" s="331"/>
      <c r="C2063" s="335"/>
      <c r="D2063" s="181" t="s">
        <v>18796</v>
      </c>
      <c r="E2063" s="192" t="s">
        <v>18797</v>
      </c>
      <c r="F2063" s="193" t="s">
        <v>18798</v>
      </c>
      <c r="G2063" s="194"/>
      <c r="H2063" s="220"/>
      <c r="I2063" s="169">
        <v>102781</v>
      </c>
      <c r="J2063" s="304" t="str">
        <f>CONCATENATE([2]Cover!$D$6,"fdd/view?i=",I2063)</f>
        <v>https://www.dgiwg.org/FAD/fdd/view?i=102781</v>
      </c>
      <c r="K2063" s="304" t="s">
        <v>36112</v>
      </c>
      <c r="L2063" s="181">
        <v>137</v>
      </c>
      <c r="M2063" s="179" t="s">
        <v>151</v>
      </c>
    </row>
    <row r="2064" spans="1:13" ht="25.5">
      <c r="A2064" s="313" t="str">
        <f t="shared" si="32"/>
        <v>BuriedUtilityTypeCode_districtHeatingCooling</v>
      </c>
      <c r="B2064" s="332" t="str">
        <f>HYPERLINK("[#]Datatypes!A272:L272","BuriedUtilityTypeCode")</f>
        <v>BuriedUtilityTypeCode</v>
      </c>
      <c r="C2064" s="333" t="s">
        <v>11724</v>
      </c>
      <c r="D2064" s="202" t="s">
        <v>18799</v>
      </c>
      <c r="E2064" s="203" t="s">
        <v>18800</v>
      </c>
      <c r="F2064" s="204" t="s">
        <v>18801</v>
      </c>
      <c r="G2064" s="205"/>
      <c r="H2064" s="218"/>
      <c r="I2064" s="169">
        <v>114359</v>
      </c>
      <c r="J2064" s="304" t="str">
        <f>CONCATENATE([2]Cover!$D$6,"fdd/view?i=",I2064)</f>
        <v>https://www.dgiwg.org/FAD/fdd/view?i=114359</v>
      </c>
      <c r="K2064" s="304" t="s">
        <v>36113</v>
      </c>
      <c r="L2064" s="202">
        <v>4</v>
      </c>
      <c r="M2064" s="179" t="s">
        <v>151</v>
      </c>
    </row>
    <row r="2065" spans="1:13" ht="25.5">
      <c r="A2065" s="313" t="str">
        <f t="shared" si="32"/>
        <v>BuriedUtilityTypeCode_gas</v>
      </c>
      <c r="B2065" s="330"/>
      <c r="C2065" s="334"/>
      <c r="D2065" s="188" t="s">
        <v>18802</v>
      </c>
      <c r="E2065" s="189" t="s">
        <v>18803</v>
      </c>
      <c r="F2065" s="162" t="s">
        <v>18804</v>
      </c>
      <c r="G2065" s="190"/>
      <c r="H2065" s="219"/>
      <c r="I2065" s="169">
        <v>114357</v>
      </c>
      <c r="J2065" s="304" t="str">
        <f>CONCATENATE([2]Cover!$D$6,"fdd/view?i=",I2065)</f>
        <v>https://www.dgiwg.org/FAD/fdd/view?i=114357</v>
      </c>
      <c r="K2065" s="304" t="s">
        <v>36114</v>
      </c>
      <c r="L2065" s="188">
        <v>2</v>
      </c>
      <c r="M2065" s="179" t="s">
        <v>151</v>
      </c>
    </row>
    <row r="2066" spans="1:13">
      <c r="A2066" s="313" t="str">
        <f t="shared" si="32"/>
        <v>BuriedUtilityTypeCode_power</v>
      </c>
      <c r="B2066" s="330"/>
      <c r="C2066" s="334"/>
      <c r="D2066" s="188" t="s">
        <v>251</v>
      </c>
      <c r="E2066" s="189" t="s">
        <v>252</v>
      </c>
      <c r="F2066" s="162" t="s">
        <v>18805</v>
      </c>
      <c r="G2066" s="190"/>
      <c r="H2066" s="219"/>
      <c r="I2066" s="169">
        <v>114356</v>
      </c>
      <c r="J2066" s="304" t="str">
        <f>CONCATENATE([2]Cover!$D$6,"fdd/view?i=",I2066)</f>
        <v>https://www.dgiwg.org/FAD/fdd/view?i=114356</v>
      </c>
      <c r="K2066" s="304" t="s">
        <v>36115</v>
      </c>
      <c r="L2066" s="188">
        <v>1</v>
      </c>
      <c r="M2066" s="179" t="s">
        <v>151</v>
      </c>
    </row>
    <row r="2067" spans="1:13" ht="25.5">
      <c r="A2067" s="313" t="str">
        <f t="shared" si="32"/>
        <v>BuriedUtilityTypeCode_sewage</v>
      </c>
      <c r="B2067" s="330"/>
      <c r="C2067" s="334"/>
      <c r="D2067" s="188" t="s">
        <v>13360</v>
      </c>
      <c r="E2067" s="189" t="s">
        <v>13361</v>
      </c>
      <c r="F2067" s="162" t="s">
        <v>18806</v>
      </c>
      <c r="G2067" s="190"/>
      <c r="H2067" s="219"/>
      <c r="I2067" s="169">
        <v>114361</v>
      </c>
      <c r="J2067" s="304" t="str">
        <f>CONCATENATE([2]Cover!$D$6,"fdd/view?i=",I2067)</f>
        <v>https://www.dgiwg.org/FAD/fdd/view?i=114361</v>
      </c>
      <c r="K2067" s="304" t="s">
        <v>36116</v>
      </c>
      <c r="L2067" s="188">
        <v>6</v>
      </c>
      <c r="M2067" s="179" t="s">
        <v>151</v>
      </c>
    </row>
    <row r="2068" spans="1:13" ht="25.5">
      <c r="A2068" s="313" t="str">
        <f t="shared" si="32"/>
        <v>BuriedUtilityTypeCode_telecommunication</v>
      </c>
      <c r="B2068" s="330"/>
      <c r="C2068" s="334"/>
      <c r="D2068" s="188" t="s">
        <v>18807</v>
      </c>
      <c r="E2068" s="189" t="s">
        <v>18808</v>
      </c>
      <c r="F2068" s="162" t="s">
        <v>18809</v>
      </c>
      <c r="G2068" s="162" t="s">
        <v>18810</v>
      </c>
      <c r="H2068" s="219"/>
      <c r="I2068" s="169">
        <v>114360</v>
      </c>
      <c r="J2068" s="304" t="str">
        <f>CONCATENATE([2]Cover!$D$6,"fdd/view?i=",I2068)</f>
        <v>https://www.dgiwg.org/FAD/fdd/view?i=114360</v>
      </c>
      <c r="K2068" s="304" t="s">
        <v>36117</v>
      </c>
      <c r="L2068" s="188">
        <v>5</v>
      </c>
      <c r="M2068" s="179" t="s">
        <v>151</v>
      </c>
    </row>
    <row r="2069" spans="1:13">
      <c r="A2069" s="313" t="str">
        <f t="shared" si="32"/>
        <v>BuriedUtilityTypeCode_water</v>
      </c>
      <c r="B2069" s="331"/>
      <c r="C2069" s="335"/>
      <c r="D2069" s="181" t="s">
        <v>15146</v>
      </c>
      <c r="E2069" s="192" t="s">
        <v>15147</v>
      </c>
      <c r="F2069" s="193" t="s">
        <v>18811</v>
      </c>
      <c r="G2069" s="194"/>
      <c r="H2069" s="220"/>
      <c r="I2069" s="169">
        <v>114358</v>
      </c>
      <c r="J2069" s="304" t="str">
        <f>CONCATENATE([2]Cover!$D$6,"fdd/view?i=",I2069)</f>
        <v>https://www.dgiwg.org/FAD/fdd/view?i=114358</v>
      </c>
      <c r="K2069" s="304" t="s">
        <v>36118</v>
      </c>
      <c r="L2069" s="181">
        <v>3</v>
      </c>
      <c r="M2069" s="179" t="s">
        <v>151</v>
      </c>
    </row>
    <row r="2070" spans="1:13">
      <c r="A2070" s="313" t="str">
        <f t="shared" si="32"/>
        <v>BypassConditionCode_difficult</v>
      </c>
      <c r="B2070" s="332" t="str">
        <f>HYPERLINK("[#]Datatypes!A274:L274","BypassConditionCode")</f>
        <v>BypassConditionCode</v>
      </c>
      <c r="C2070" s="333" t="s">
        <v>11726</v>
      </c>
      <c r="D2070" s="202" t="s">
        <v>18812</v>
      </c>
      <c r="E2070" s="203" t="s">
        <v>18813</v>
      </c>
      <c r="F2070" s="204" t="s">
        <v>18814</v>
      </c>
      <c r="G2070" s="205"/>
      <c r="H2070" s="218"/>
      <c r="I2070" s="169">
        <v>102160</v>
      </c>
      <c r="J2070" s="304" t="str">
        <f>CONCATENATE([2]Cover!$D$6,"fdd/view?i=",I2070)</f>
        <v>https://www.dgiwg.org/FAD/fdd/view?i=102160</v>
      </c>
      <c r="K2070" s="304" t="s">
        <v>36119</v>
      </c>
      <c r="L2070" s="202">
        <v>2</v>
      </c>
      <c r="M2070" s="179" t="s">
        <v>151</v>
      </c>
    </row>
    <row r="2071" spans="1:13">
      <c r="A2071" s="313" t="str">
        <f t="shared" si="32"/>
        <v>BypassConditionCode_easy</v>
      </c>
      <c r="B2071" s="330"/>
      <c r="C2071" s="334"/>
      <c r="D2071" s="188" t="s">
        <v>18815</v>
      </c>
      <c r="E2071" s="189" t="s">
        <v>18816</v>
      </c>
      <c r="F2071" s="162" t="s">
        <v>18817</v>
      </c>
      <c r="G2071" s="190"/>
      <c r="H2071" s="219"/>
      <c r="I2071" s="169">
        <v>102159</v>
      </c>
      <c r="J2071" s="304" t="str">
        <f>CONCATENATE([2]Cover!$D$6,"fdd/view?i=",I2071)</f>
        <v>https://www.dgiwg.org/FAD/fdd/view?i=102159</v>
      </c>
      <c r="K2071" s="304" t="s">
        <v>36120</v>
      </c>
      <c r="L2071" s="188">
        <v>1</v>
      </c>
      <c r="M2071" s="179" t="s">
        <v>151</v>
      </c>
    </row>
    <row r="2072" spans="1:13">
      <c r="A2072" s="313" t="str">
        <f t="shared" si="32"/>
        <v>BypassConditionCode_impossible</v>
      </c>
      <c r="B2072" s="331"/>
      <c r="C2072" s="335"/>
      <c r="D2072" s="181" t="s">
        <v>18818</v>
      </c>
      <c r="E2072" s="192" t="s">
        <v>18819</v>
      </c>
      <c r="F2072" s="193" t="s">
        <v>18820</v>
      </c>
      <c r="G2072" s="194"/>
      <c r="H2072" s="220"/>
      <c r="I2072" s="169">
        <v>102161</v>
      </c>
      <c r="J2072" s="304" t="str">
        <f>CONCATENATE([2]Cover!$D$6,"fdd/view?i=",I2072)</f>
        <v>https://www.dgiwg.org/FAD/fdd/view?i=102161</v>
      </c>
      <c r="K2072" s="304" t="s">
        <v>36121</v>
      </c>
      <c r="L2072" s="181">
        <v>3</v>
      </c>
      <c r="M2072" s="179" t="s">
        <v>151</v>
      </c>
    </row>
    <row r="2073" spans="1:13" ht="25.5">
      <c r="A2073" s="313" t="str">
        <f t="shared" si="32"/>
        <v>ByProductCode_ash</v>
      </c>
      <c r="B2073" s="332" t="str">
        <f>HYPERLINK("[#]Datatypes!A276:L276","ByProductCode")</f>
        <v>ByProductCode</v>
      </c>
      <c r="C2073" s="333" t="s">
        <v>11728</v>
      </c>
      <c r="D2073" s="202" t="s">
        <v>18821</v>
      </c>
      <c r="E2073" s="203" t="s">
        <v>18822</v>
      </c>
      <c r="F2073" s="204" t="s">
        <v>18823</v>
      </c>
      <c r="G2073" s="205"/>
      <c r="H2073" s="218"/>
      <c r="I2073" s="169">
        <v>106349</v>
      </c>
      <c r="J2073" s="304" t="str">
        <f>CONCATENATE([2]Cover!$D$6,"fdd/view?i=",I2073)</f>
        <v>https://www.dgiwg.org/FAD/fdd/view?i=106349</v>
      </c>
      <c r="K2073" s="304" t="s">
        <v>36122</v>
      </c>
      <c r="L2073" s="202">
        <v>1</v>
      </c>
      <c r="M2073" s="179" t="s">
        <v>151</v>
      </c>
    </row>
    <row r="2074" spans="1:13" ht="25.5">
      <c r="A2074" s="313" t="str">
        <f t="shared" si="32"/>
        <v>ByProductCode_cinders</v>
      </c>
      <c r="B2074" s="330"/>
      <c r="C2074" s="334"/>
      <c r="D2074" s="188" t="s">
        <v>18824</v>
      </c>
      <c r="E2074" s="189" t="s">
        <v>18825</v>
      </c>
      <c r="F2074" s="162" t="s">
        <v>18826</v>
      </c>
      <c r="G2074" s="190"/>
      <c r="H2074" s="219"/>
      <c r="I2074" s="169">
        <v>106350</v>
      </c>
      <c r="J2074" s="304" t="str">
        <f>CONCATENATE([2]Cover!$D$6,"fdd/view?i=",I2074)</f>
        <v>https://www.dgiwg.org/FAD/fdd/view?i=106350</v>
      </c>
      <c r="K2074" s="304" t="s">
        <v>36123</v>
      </c>
      <c r="L2074" s="188">
        <v>2</v>
      </c>
      <c r="M2074" s="179" t="s">
        <v>151</v>
      </c>
    </row>
    <row r="2075" spans="1:13">
      <c r="A2075" s="313" t="str">
        <f t="shared" si="32"/>
        <v>ByProductCode_noByproduct</v>
      </c>
      <c r="B2075" s="330"/>
      <c r="C2075" s="334"/>
      <c r="D2075" s="188" t="s">
        <v>18827</v>
      </c>
      <c r="E2075" s="189" t="s">
        <v>18828</v>
      </c>
      <c r="F2075" s="162" t="s">
        <v>18829</v>
      </c>
      <c r="G2075" s="190"/>
      <c r="H2075" s="219"/>
      <c r="I2075" s="169">
        <v>106354</v>
      </c>
      <c r="J2075" s="304" t="str">
        <f>CONCATENATE([2]Cover!$D$6,"fdd/view?i=",I2075)</f>
        <v>https://www.dgiwg.org/FAD/fdd/view?i=106354</v>
      </c>
      <c r="K2075" s="304" t="s">
        <v>36124</v>
      </c>
      <c r="L2075" s="188">
        <v>6</v>
      </c>
      <c r="M2075" s="179" t="s">
        <v>151</v>
      </c>
    </row>
    <row r="2076" spans="1:13" ht="25.5">
      <c r="A2076" s="313" t="str">
        <f t="shared" si="32"/>
        <v>ByProductCode_radioactiveMaterial</v>
      </c>
      <c r="B2076" s="330"/>
      <c r="C2076" s="334"/>
      <c r="D2076" s="188" t="s">
        <v>18830</v>
      </c>
      <c r="E2076" s="189" t="s">
        <v>18831</v>
      </c>
      <c r="F2076" s="162" t="s">
        <v>18832</v>
      </c>
      <c r="G2076" s="190"/>
      <c r="H2076" s="219"/>
      <c r="I2076" s="169">
        <v>106355</v>
      </c>
      <c r="J2076" s="304" t="str">
        <f>CONCATENATE([2]Cover!$D$6,"fdd/view?i=",I2076)</f>
        <v>https://www.dgiwg.org/FAD/fdd/view?i=106355</v>
      </c>
      <c r="K2076" s="304" t="s">
        <v>36125</v>
      </c>
      <c r="L2076" s="188">
        <v>7</v>
      </c>
      <c r="M2076" s="179" t="s">
        <v>151</v>
      </c>
    </row>
    <row r="2077" spans="1:13">
      <c r="A2077" s="313" t="str">
        <f t="shared" si="32"/>
        <v>ByProductCode_refuse</v>
      </c>
      <c r="B2077" s="330"/>
      <c r="C2077" s="334"/>
      <c r="D2077" s="188" t="s">
        <v>18833</v>
      </c>
      <c r="E2077" s="189" t="s">
        <v>18834</v>
      </c>
      <c r="F2077" s="162" t="s">
        <v>18835</v>
      </c>
      <c r="G2077" s="190"/>
      <c r="H2077" s="221" t="s">
        <v>18836</v>
      </c>
      <c r="I2077" s="169">
        <v>106356</v>
      </c>
      <c r="J2077" s="304" t="str">
        <f>CONCATENATE([2]Cover!$D$6,"fdd/view?i=",I2077)</f>
        <v>https://www.dgiwg.org/FAD/fdd/view?i=106356</v>
      </c>
      <c r="K2077" s="304" t="s">
        <v>36126</v>
      </c>
      <c r="L2077" s="188">
        <v>8</v>
      </c>
      <c r="M2077" s="179" t="s">
        <v>151</v>
      </c>
    </row>
    <row r="2078" spans="1:13">
      <c r="A2078" s="313" t="str">
        <f t="shared" si="32"/>
        <v>ByProductCode_scrapMetal</v>
      </c>
      <c r="B2078" s="330"/>
      <c r="C2078" s="334"/>
      <c r="D2078" s="188" t="s">
        <v>18837</v>
      </c>
      <c r="E2078" s="189" t="s">
        <v>18838</v>
      </c>
      <c r="F2078" s="162" t="s">
        <v>18839</v>
      </c>
      <c r="G2078" s="190"/>
      <c r="H2078" s="219"/>
      <c r="I2078" s="169">
        <v>106360</v>
      </c>
      <c r="J2078" s="304" t="str">
        <f>CONCATENATE([2]Cover!$D$6,"fdd/view?i=",I2078)</f>
        <v>https://www.dgiwg.org/FAD/fdd/view?i=106360</v>
      </c>
      <c r="K2078" s="304" t="s">
        <v>36127</v>
      </c>
      <c r="L2078" s="188">
        <v>12</v>
      </c>
      <c r="M2078" s="179" t="s">
        <v>151</v>
      </c>
    </row>
    <row r="2079" spans="1:13">
      <c r="A2079" s="313" t="str">
        <f t="shared" si="32"/>
        <v>ByProductCode_sewage</v>
      </c>
      <c r="B2079" s="330"/>
      <c r="C2079" s="334"/>
      <c r="D2079" s="188" t="s">
        <v>13360</v>
      </c>
      <c r="E2079" s="189" t="s">
        <v>13361</v>
      </c>
      <c r="F2079" s="162" t="s">
        <v>18840</v>
      </c>
      <c r="G2079" s="190"/>
      <c r="H2079" s="219"/>
      <c r="I2079" s="169">
        <v>106361</v>
      </c>
      <c r="J2079" s="304" t="str">
        <f>CONCATENATE([2]Cover!$D$6,"fdd/view?i=",I2079)</f>
        <v>https://www.dgiwg.org/FAD/fdd/view?i=106361</v>
      </c>
      <c r="K2079" s="304" t="s">
        <v>36128</v>
      </c>
      <c r="L2079" s="188">
        <v>13</v>
      </c>
      <c r="M2079" s="179" t="s">
        <v>151</v>
      </c>
    </row>
    <row r="2080" spans="1:13" ht="25.5">
      <c r="A2080" s="313" t="str">
        <f t="shared" si="32"/>
        <v>ByProductCode_slag</v>
      </c>
      <c r="B2080" s="330"/>
      <c r="C2080" s="334"/>
      <c r="D2080" s="188" t="s">
        <v>18841</v>
      </c>
      <c r="E2080" s="189" t="s">
        <v>18842</v>
      </c>
      <c r="F2080" s="162" t="s">
        <v>18843</v>
      </c>
      <c r="G2080" s="162" t="s">
        <v>18844</v>
      </c>
      <c r="H2080" s="219"/>
      <c r="I2080" s="169">
        <v>106363</v>
      </c>
      <c r="J2080" s="304" t="str">
        <f>CONCATENATE([2]Cover!$D$6,"fdd/view?i=",I2080)</f>
        <v>https://www.dgiwg.org/FAD/fdd/view?i=106363</v>
      </c>
      <c r="K2080" s="304" t="s">
        <v>36129</v>
      </c>
      <c r="L2080" s="188">
        <v>15</v>
      </c>
      <c r="M2080" s="179" t="s">
        <v>151</v>
      </c>
    </row>
    <row r="2081" spans="1:13" ht="38.25">
      <c r="A2081" s="313" t="str">
        <f t="shared" si="32"/>
        <v>ByProductCode_sludge</v>
      </c>
      <c r="B2081" s="330"/>
      <c r="C2081" s="334"/>
      <c r="D2081" s="188" t="s">
        <v>18845</v>
      </c>
      <c r="E2081" s="189" t="s">
        <v>18846</v>
      </c>
      <c r="F2081" s="162" t="s">
        <v>18847</v>
      </c>
      <c r="G2081" s="190"/>
      <c r="H2081" s="219"/>
      <c r="I2081" s="169">
        <v>106364</v>
      </c>
      <c r="J2081" s="304" t="str">
        <f>CONCATENATE([2]Cover!$D$6,"fdd/view?i=",I2081)</f>
        <v>https://www.dgiwg.org/FAD/fdd/view?i=106364</v>
      </c>
      <c r="K2081" s="304" t="s">
        <v>36130</v>
      </c>
      <c r="L2081" s="188">
        <v>16</v>
      </c>
      <c r="M2081" s="179" t="s">
        <v>151</v>
      </c>
    </row>
    <row r="2082" spans="1:13" ht="25.5">
      <c r="A2082" s="313" t="str">
        <f t="shared" si="32"/>
        <v>ByProductCode_spoil</v>
      </c>
      <c r="B2082" s="331"/>
      <c r="C2082" s="335"/>
      <c r="D2082" s="181" t="s">
        <v>18848</v>
      </c>
      <c r="E2082" s="192" t="s">
        <v>18849</v>
      </c>
      <c r="F2082" s="193" t="s">
        <v>18850</v>
      </c>
      <c r="G2082" s="193" t="s">
        <v>18851</v>
      </c>
      <c r="H2082" s="223" t="s">
        <v>18852</v>
      </c>
      <c r="I2082" s="169">
        <v>106365</v>
      </c>
      <c r="J2082" s="304" t="str">
        <f>CONCATENATE([2]Cover!$D$6,"fdd/view?i=",I2082)</f>
        <v>https://www.dgiwg.org/FAD/fdd/view?i=106365</v>
      </c>
      <c r="K2082" s="304" t="s">
        <v>36131</v>
      </c>
      <c r="L2082" s="181">
        <v>17</v>
      </c>
      <c r="M2082" s="179" t="s">
        <v>151</v>
      </c>
    </row>
    <row r="2083" spans="1:13" ht="38.25">
      <c r="A2083" s="313" t="str">
        <f t="shared" si="32"/>
        <v>CableSuspendedShapeCode_mountainCatenary</v>
      </c>
      <c r="B2083" s="332" t="str">
        <f>HYPERLINK("[#]Datatypes!A278:L278","CableSuspendedShapeCode")</f>
        <v>CableSuspendedShapeCode</v>
      </c>
      <c r="C2083" s="333" t="s">
        <v>11730</v>
      </c>
      <c r="D2083" s="202" t="s">
        <v>18853</v>
      </c>
      <c r="E2083" s="203" t="s">
        <v>18854</v>
      </c>
      <c r="F2083" s="204" t="s">
        <v>18855</v>
      </c>
      <c r="G2083" s="205"/>
      <c r="H2083" s="218"/>
      <c r="I2083" s="169">
        <v>108769</v>
      </c>
      <c r="J2083" s="304" t="str">
        <f>CONCATENATE([2]Cover!$D$6,"fdd/view?i=",I2083)</f>
        <v>https://www.dgiwg.org/FAD/fdd/view?i=108769</v>
      </c>
      <c r="K2083" s="304" t="s">
        <v>36132</v>
      </c>
      <c r="L2083" s="202">
        <v>2</v>
      </c>
      <c r="M2083" s="179" t="s">
        <v>151</v>
      </c>
    </row>
    <row r="2084" spans="1:13" ht="38.25">
      <c r="A2084" s="313" t="str">
        <f t="shared" si="32"/>
        <v>CableSuspendedShapeCode_overwaterCatenary</v>
      </c>
      <c r="B2084" s="330"/>
      <c r="C2084" s="334"/>
      <c r="D2084" s="188" t="s">
        <v>18856</v>
      </c>
      <c r="E2084" s="189" t="s">
        <v>18857</v>
      </c>
      <c r="F2084" s="162" t="s">
        <v>18858</v>
      </c>
      <c r="G2084" s="190"/>
      <c r="H2084" s="219"/>
      <c r="I2084" s="169">
        <v>108770</v>
      </c>
      <c r="J2084" s="304" t="str">
        <f>CONCATENATE([2]Cover!$D$6,"fdd/view?i=",I2084)</f>
        <v>https://www.dgiwg.org/FAD/fdd/view?i=108770</v>
      </c>
      <c r="K2084" s="304" t="s">
        <v>36133</v>
      </c>
      <c r="L2084" s="188">
        <v>3</v>
      </c>
      <c r="M2084" s="179" t="s">
        <v>151</v>
      </c>
    </row>
    <row r="2085" spans="1:13" ht="38.25">
      <c r="A2085" s="313" t="str">
        <f t="shared" si="32"/>
        <v>CableSuspendedShapeCode_symmetricCatenary</v>
      </c>
      <c r="B2085" s="331"/>
      <c r="C2085" s="335"/>
      <c r="D2085" s="181" t="s">
        <v>18859</v>
      </c>
      <c r="E2085" s="192" t="s">
        <v>18860</v>
      </c>
      <c r="F2085" s="193" t="s">
        <v>18861</v>
      </c>
      <c r="G2085" s="194"/>
      <c r="H2085" s="220"/>
      <c r="I2085" s="169">
        <v>108768</v>
      </c>
      <c r="J2085" s="304" t="str">
        <f>CONCATENATE([2]Cover!$D$6,"fdd/view?i=",I2085)</f>
        <v>https://www.dgiwg.org/FAD/fdd/view?i=108768</v>
      </c>
      <c r="K2085" s="304" t="s">
        <v>36134</v>
      </c>
      <c r="L2085" s="181">
        <v>1</v>
      </c>
      <c r="M2085" s="179" t="s">
        <v>151</v>
      </c>
    </row>
    <row r="2086" spans="1:13" ht="216.75">
      <c r="A2086" s="313" t="str">
        <f t="shared" si="32"/>
        <v>CableTypeCode_barrier</v>
      </c>
      <c r="B2086" s="332" t="str">
        <f>HYPERLINK("[#]Datatypes!A280:L280","CableTypeCode")</f>
        <v>CableTypeCode</v>
      </c>
      <c r="C2086" s="333" t="s">
        <v>11732</v>
      </c>
      <c r="D2086" s="202" t="s">
        <v>18862</v>
      </c>
      <c r="E2086" s="203" t="s">
        <v>18863</v>
      </c>
      <c r="F2086" s="204" t="s">
        <v>18864</v>
      </c>
      <c r="G2086" s="204" t="s">
        <v>18865</v>
      </c>
      <c r="H2086" s="222" t="s">
        <v>18866</v>
      </c>
      <c r="I2086" s="169">
        <v>114158</v>
      </c>
      <c r="J2086" s="304" t="str">
        <f>CONCATENATE([2]Cover!$D$6,"fdd/view?i=",I2086)</f>
        <v>https://www.dgiwg.org/FAD/fdd/view?i=114158</v>
      </c>
      <c r="K2086" s="304" t="s">
        <v>36135</v>
      </c>
      <c r="L2086" s="202">
        <v>13</v>
      </c>
      <c r="M2086" s="179" t="s">
        <v>151</v>
      </c>
    </row>
    <row r="2087" spans="1:13" ht="25.5">
      <c r="A2087" s="313" t="str">
        <f t="shared" si="32"/>
        <v>CableTypeCode_cableway</v>
      </c>
      <c r="B2087" s="330"/>
      <c r="C2087" s="334"/>
      <c r="D2087" s="188" t="s">
        <v>18867</v>
      </c>
      <c r="E2087" s="189" t="s">
        <v>1778</v>
      </c>
      <c r="F2087" s="162" t="s">
        <v>18868</v>
      </c>
      <c r="G2087" s="162" t="s">
        <v>18869</v>
      </c>
      <c r="H2087" s="219"/>
      <c r="I2087" s="169">
        <v>119325</v>
      </c>
      <c r="J2087" s="304" t="str">
        <f>CONCATENATE([2]Cover!$D$6,"fdd/view?i=",I2087)</f>
        <v>https://www.dgiwg.org/FAD/fdd/view?i=119325</v>
      </c>
      <c r="K2087" s="304" t="s">
        <v>36136</v>
      </c>
      <c r="L2087" s="188">
        <v>19</v>
      </c>
      <c r="M2087" s="179" t="s">
        <v>151</v>
      </c>
    </row>
    <row r="2088" spans="1:13" ht="25.5">
      <c r="A2088" s="313" t="str">
        <f t="shared" si="32"/>
        <v>CableTypeCode_communicationLine</v>
      </c>
      <c r="B2088" s="330"/>
      <c r="C2088" s="334"/>
      <c r="D2088" s="188" t="s">
        <v>18870</v>
      </c>
      <c r="E2088" s="189" t="s">
        <v>18871</v>
      </c>
      <c r="F2088" s="162" t="s">
        <v>18872</v>
      </c>
      <c r="G2088" s="190"/>
      <c r="H2088" s="219"/>
      <c r="I2088" s="169">
        <v>102833</v>
      </c>
      <c r="J2088" s="304" t="str">
        <f>CONCATENATE([2]Cover!$D$6,"fdd/view?i=",I2088)</f>
        <v>https://www.dgiwg.org/FAD/fdd/view?i=102833</v>
      </c>
      <c r="K2088" s="304" t="s">
        <v>36137</v>
      </c>
      <c r="L2088" s="188">
        <v>8</v>
      </c>
      <c r="M2088" s="179" t="s">
        <v>151</v>
      </c>
    </row>
    <row r="2089" spans="1:13" ht="25.5">
      <c r="A2089" s="313" t="str">
        <f t="shared" si="32"/>
        <v>CableTypeCode_digitalCommunicationLine</v>
      </c>
      <c r="B2089" s="330"/>
      <c r="C2089" s="334"/>
      <c r="D2089" s="188" t="s">
        <v>18873</v>
      </c>
      <c r="E2089" s="189" t="s">
        <v>18874</v>
      </c>
      <c r="F2089" s="162" t="s">
        <v>18875</v>
      </c>
      <c r="G2089" s="162" t="s">
        <v>18876</v>
      </c>
      <c r="H2089" s="219"/>
      <c r="I2089" s="169">
        <v>102832</v>
      </c>
      <c r="J2089" s="304" t="str">
        <f>CONCATENATE([2]Cover!$D$6,"fdd/view?i=",I2089)</f>
        <v>https://www.dgiwg.org/FAD/fdd/view?i=102832</v>
      </c>
      <c r="K2089" s="304" t="s">
        <v>36138</v>
      </c>
      <c r="L2089" s="188">
        <v>7</v>
      </c>
      <c r="M2089" s="179" t="s">
        <v>151</v>
      </c>
    </row>
    <row r="2090" spans="1:13">
      <c r="A2090" s="313" t="str">
        <f t="shared" si="32"/>
        <v>CableTypeCode_fibreOptic</v>
      </c>
      <c r="B2090" s="330"/>
      <c r="C2090" s="334"/>
      <c r="D2090" s="188" t="s">
        <v>18877</v>
      </c>
      <c r="E2090" s="189" t="s">
        <v>18878</v>
      </c>
      <c r="F2090" s="162" t="s">
        <v>13349</v>
      </c>
      <c r="G2090" s="190"/>
      <c r="H2090" s="219"/>
      <c r="I2090" s="169">
        <v>102834</v>
      </c>
      <c r="J2090" s="304" t="str">
        <f>CONCATENATE([2]Cover!$D$6,"fdd/view?i=",I2090)</f>
        <v>https://www.dgiwg.org/FAD/fdd/view?i=102834</v>
      </c>
      <c r="K2090" s="304" t="s">
        <v>36139</v>
      </c>
      <c r="L2090" s="188">
        <v>9</v>
      </c>
      <c r="M2090" s="179" t="s">
        <v>151</v>
      </c>
    </row>
    <row r="2091" spans="1:13" ht="127.5">
      <c r="A2091" s="313" t="str">
        <f t="shared" si="32"/>
        <v>CableTypeCode_guide</v>
      </c>
      <c r="B2091" s="330"/>
      <c r="C2091" s="334"/>
      <c r="D2091" s="188" t="s">
        <v>18879</v>
      </c>
      <c r="E2091" s="189" t="s">
        <v>18880</v>
      </c>
      <c r="F2091" s="162" t="s">
        <v>18881</v>
      </c>
      <c r="G2091" s="162" t="s">
        <v>18882</v>
      </c>
      <c r="H2091" s="219"/>
      <c r="I2091" s="169">
        <v>114157</v>
      </c>
      <c r="J2091" s="304" t="str">
        <f>CONCATENATE([2]Cover!$D$6,"fdd/view?i=",I2091)</f>
        <v>https://www.dgiwg.org/FAD/fdd/view?i=114157</v>
      </c>
      <c r="K2091" s="304" t="s">
        <v>36140</v>
      </c>
      <c r="L2091" s="188">
        <v>12</v>
      </c>
      <c r="M2091" s="179" t="s">
        <v>151</v>
      </c>
    </row>
    <row r="2092" spans="1:13" ht="63.75">
      <c r="A2092" s="313" t="str">
        <f t="shared" si="32"/>
        <v>CableTypeCode_loadBearing</v>
      </c>
      <c r="B2092" s="330"/>
      <c r="C2092" s="334"/>
      <c r="D2092" s="188" t="s">
        <v>18883</v>
      </c>
      <c r="E2092" s="189" t="s">
        <v>18884</v>
      </c>
      <c r="F2092" s="162" t="s">
        <v>18885</v>
      </c>
      <c r="G2092" s="162" t="s">
        <v>18886</v>
      </c>
      <c r="H2092" s="219"/>
      <c r="I2092" s="169">
        <v>114156</v>
      </c>
      <c r="J2092" s="304" t="str">
        <f>CONCATENATE([2]Cover!$D$6,"fdd/view?i=",I2092)</f>
        <v>https://www.dgiwg.org/FAD/fdd/view?i=114156</v>
      </c>
      <c r="K2092" s="304" t="s">
        <v>36141</v>
      </c>
      <c r="L2092" s="188">
        <v>11</v>
      </c>
      <c r="M2092" s="179" t="s">
        <v>151</v>
      </c>
    </row>
    <row r="2093" spans="1:13">
      <c r="A2093" s="313" t="str">
        <f t="shared" si="32"/>
        <v>CableTypeCode_powerLine</v>
      </c>
      <c r="B2093" s="330"/>
      <c r="C2093" s="334"/>
      <c r="D2093" s="188" t="s">
        <v>18887</v>
      </c>
      <c r="E2093" s="189" t="s">
        <v>18888</v>
      </c>
      <c r="F2093" s="162" t="s">
        <v>18889</v>
      </c>
      <c r="G2093" s="190"/>
      <c r="H2093" s="219"/>
      <c r="I2093" s="169">
        <v>102827</v>
      </c>
      <c r="J2093" s="304" t="str">
        <f>CONCATENATE([2]Cover!$D$6,"fdd/view?i=",I2093)</f>
        <v>https://www.dgiwg.org/FAD/fdd/view?i=102827</v>
      </c>
      <c r="K2093" s="304" t="s">
        <v>36142</v>
      </c>
      <c r="L2093" s="188">
        <v>2</v>
      </c>
      <c r="M2093" s="179" t="s">
        <v>151</v>
      </c>
    </row>
    <row r="2094" spans="1:13" ht="38.25">
      <c r="A2094" s="313" t="str">
        <f t="shared" si="32"/>
        <v>CableTypeCode_restraining</v>
      </c>
      <c r="B2094" s="330"/>
      <c r="C2094" s="334"/>
      <c r="D2094" s="188" t="s">
        <v>18890</v>
      </c>
      <c r="E2094" s="189" t="s">
        <v>18891</v>
      </c>
      <c r="F2094" s="162" t="s">
        <v>18892</v>
      </c>
      <c r="G2094" s="162" t="s">
        <v>18893</v>
      </c>
      <c r="H2094" s="219"/>
      <c r="I2094" s="169">
        <v>114159</v>
      </c>
      <c r="J2094" s="304" t="str">
        <f>CONCATENATE([2]Cover!$D$6,"fdd/view?i=",I2094)</f>
        <v>https://www.dgiwg.org/FAD/fdd/view?i=114159</v>
      </c>
      <c r="K2094" s="304" t="s">
        <v>36143</v>
      </c>
      <c r="L2094" s="188">
        <v>14</v>
      </c>
      <c r="M2094" s="179" t="s">
        <v>151</v>
      </c>
    </row>
    <row r="2095" spans="1:13">
      <c r="A2095" s="313" t="str">
        <f t="shared" si="32"/>
        <v>CableTypeCode_telegraph</v>
      </c>
      <c r="B2095" s="330"/>
      <c r="C2095" s="334"/>
      <c r="D2095" s="188" t="s">
        <v>13368</v>
      </c>
      <c r="E2095" s="189" t="s">
        <v>13369</v>
      </c>
      <c r="F2095" s="162" t="s">
        <v>18894</v>
      </c>
      <c r="G2095" s="190"/>
      <c r="H2095" s="219"/>
      <c r="I2095" s="169">
        <v>102829</v>
      </c>
      <c r="J2095" s="304" t="str">
        <f>CONCATENATE([2]Cover!$D$6,"fdd/view?i=",I2095)</f>
        <v>https://www.dgiwg.org/FAD/fdd/view?i=102829</v>
      </c>
      <c r="K2095" s="304" t="s">
        <v>36144</v>
      </c>
      <c r="L2095" s="188">
        <v>4</v>
      </c>
      <c r="M2095" s="179" t="s">
        <v>151</v>
      </c>
    </row>
    <row r="2096" spans="1:13">
      <c r="A2096" s="313" t="str">
        <f t="shared" si="32"/>
        <v>CableTypeCode_telephone</v>
      </c>
      <c r="B2096" s="330"/>
      <c r="C2096" s="334"/>
      <c r="D2096" s="188" t="s">
        <v>13371</v>
      </c>
      <c r="E2096" s="189" t="s">
        <v>11848</v>
      </c>
      <c r="F2096" s="162" t="s">
        <v>18895</v>
      </c>
      <c r="G2096" s="190"/>
      <c r="H2096" s="219"/>
      <c r="I2096" s="169">
        <v>102828</v>
      </c>
      <c r="J2096" s="304" t="str">
        <f>CONCATENATE([2]Cover!$D$6,"fdd/view?i=",I2096)</f>
        <v>https://www.dgiwg.org/FAD/fdd/view?i=102828</v>
      </c>
      <c r="K2096" s="304" t="s">
        <v>36145</v>
      </c>
      <c r="L2096" s="188">
        <v>3</v>
      </c>
      <c r="M2096" s="179" t="s">
        <v>151</v>
      </c>
    </row>
    <row r="2097" spans="1:13" ht="25.5">
      <c r="A2097" s="313" t="str">
        <f t="shared" si="32"/>
        <v>CableTypeCode_tethering</v>
      </c>
      <c r="B2097" s="330"/>
      <c r="C2097" s="334"/>
      <c r="D2097" s="188" t="s">
        <v>18896</v>
      </c>
      <c r="E2097" s="189" t="s">
        <v>18897</v>
      </c>
      <c r="F2097" s="162" t="s">
        <v>18898</v>
      </c>
      <c r="G2097" s="162" t="s">
        <v>18899</v>
      </c>
      <c r="H2097" s="219"/>
      <c r="I2097" s="169">
        <v>113625</v>
      </c>
      <c r="J2097" s="304" t="str">
        <f>CONCATENATE([2]Cover!$D$6,"fdd/view?i=",I2097)</f>
        <v>https://www.dgiwg.org/FAD/fdd/view?i=113625</v>
      </c>
      <c r="K2097" s="304" t="s">
        <v>36146</v>
      </c>
      <c r="L2097" s="188">
        <v>10</v>
      </c>
      <c r="M2097" s="179" t="s">
        <v>151</v>
      </c>
    </row>
    <row r="2098" spans="1:13" ht="204">
      <c r="A2098" s="313" t="str">
        <f t="shared" si="32"/>
        <v>CableTypeCode_towing</v>
      </c>
      <c r="B2098" s="330"/>
      <c r="C2098" s="334"/>
      <c r="D2098" s="188" t="s">
        <v>18900</v>
      </c>
      <c r="E2098" s="189" t="s">
        <v>18901</v>
      </c>
      <c r="F2098" s="162" t="s">
        <v>18902</v>
      </c>
      <c r="G2098" s="162" t="s">
        <v>18903</v>
      </c>
      <c r="H2098" s="221" t="s">
        <v>18904</v>
      </c>
      <c r="I2098" s="169">
        <v>114160</v>
      </c>
      <c r="J2098" s="304" t="str">
        <f>CONCATENATE([2]Cover!$D$6,"fdd/view?i=",I2098)</f>
        <v>https://www.dgiwg.org/FAD/fdd/view?i=114160</v>
      </c>
      <c r="K2098" s="304" t="s">
        <v>36147</v>
      </c>
      <c r="L2098" s="188">
        <v>15</v>
      </c>
      <c r="M2098" s="179" t="s">
        <v>151</v>
      </c>
    </row>
    <row r="2099" spans="1:13" ht="25.5">
      <c r="A2099" s="313" t="str">
        <f t="shared" si="32"/>
        <v>CableTypeCode_transmissionLine</v>
      </c>
      <c r="B2099" s="331"/>
      <c r="C2099" s="335"/>
      <c r="D2099" s="181" t="s">
        <v>18905</v>
      </c>
      <c r="E2099" s="192" t="s">
        <v>18906</v>
      </c>
      <c r="F2099" s="193" t="s">
        <v>18907</v>
      </c>
      <c r="G2099" s="193" t="s">
        <v>18908</v>
      </c>
      <c r="H2099" s="220"/>
      <c r="I2099" s="169">
        <v>102831</v>
      </c>
      <c r="J2099" s="304" t="str">
        <f>CONCATENATE([2]Cover!$D$6,"fdd/view?i=",I2099)</f>
        <v>https://www.dgiwg.org/FAD/fdd/view?i=102831</v>
      </c>
      <c r="K2099" s="304" t="s">
        <v>36148</v>
      </c>
      <c r="L2099" s="181">
        <v>6</v>
      </c>
      <c r="M2099" s="179" t="s">
        <v>151</v>
      </c>
    </row>
    <row r="2100" spans="1:13" ht="63.75">
      <c r="A2100" s="313" t="str">
        <f t="shared" si="32"/>
        <v>CablewayTypeCode_aerialTramway</v>
      </c>
      <c r="B2100" s="332" t="str">
        <f>HYPERLINK("[#]Datatypes!A282:L282","CablewayTypeCode")</f>
        <v>CablewayTypeCode</v>
      </c>
      <c r="C2100" s="333" t="s">
        <v>11734</v>
      </c>
      <c r="D2100" s="202" t="s">
        <v>18909</v>
      </c>
      <c r="E2100" s="203" t="s">
        <v>18910</v>
      </c>
      <c r="F2100" s="204" t="s">
        <v>18911</v>
      </c>
      <c r="G2100" s="204" t="s">
        <v>18912</v>
      </c>
      <c r="H2100" s="218"/>
      <c r="I2100" s="169">
        <v>110753</v>
      </c>
      <c r="J2100" s="304" t="str">
        <f>CONCATENATE([2]Cover!$D$6,"fdd/view?i=",I2100)</f>
        <v>https://www.dgiwg.org/FAD/fdd/view?i=110753</v>
      </c>
      <c r="K2100" s="304" t="s">
        <v>36149</v>
      </c>
      <c r="L2100" s="202">
        <v>5</v>
      </c>
      <c r="M2100" s="179" t="s">
        <v>151</v>
      </c>
    </row>
    <row r="2101" spans="1:13" ht="38.25">
      <c r="A2101" s="313" t="str">
        <f t="shared" si="32"/>
        <v>CablewayTypeCode_chairLift</v>
      </c>
      <c r="B2101" s="330"/>
      <c r="C2101" s="334"/>
      <c r="D2101" s="188" t="s">
        <v>18913</v>
      </c>
      <c r="E2101" s="189" t="s">
        <v>18914</v>
      </c>
      <c r="F2101" s="162" t="s">
        <v>18915</v>
      </c>
      <c r="G2101" s="162" t="s">
        <v>18916</v>
      </c>
      <c r="H2101" s="219"/>
      <c r="I2101" s="169">
        <v>106053</v>
      </c>
      <c r="J2101" s="304" t="str">
        <f>CONCATENATE([2]Cover!$D$6,"fdd/view?i=",I2101)</f>
        <v>https://www.dgiwg.org/FAD/fdd/view?i=106053</v>
      </c>
      <c r="K2101" s="304" t="s">
        <v>36150</v>
      </c>
      <c r="L2101" s="188">
        <v>2</v>
      </c>
      <c r="M2101" s="179" t="s">
        <v>151</v>
      </c>
    </row>
    <row r="2102" spans="1:13" ht="76.5">
      <c r="A2102" s="313" t="str">
        <f t="shared" si="32"/>
        <v>CablewayTypeCode_gondolaLift</v>
      </c>
      <c r="B2102" s="330"/>
      <c r="C2102" s="334"/>
      <c r="D2102" s="188" t="s">
        <v>18917</v>
      </c>
      <c r="E2102" s="189" t="s">
        <v>18918</v>
      </c>
      <c r="F2102" s="162" t="s">
        <v>18919</v>
      </c>
      <c r="G2102" s="162" t="s">
        <v>18920</v>
      </c>
      <c r="H2102" s="221" t="s">
        <v>18921</v>
      </c>
      <c r="I2102" s="169">
        <v>110754</v>
      </c>
      <c r="J2102" s="304" t="str">
        <f>CONCATENATE([2]Cover!$D$6,"fdd/view?i=",I2102)</f>
        <v>https://www.dgiwg.org/FAD/fdd/view?i=110754</v>
      </c>
      <c r="K2102" s="304" t="s">
        <v>36151</v>
      </c>
      <c r="L2102" s="188">
        <v>6</v>
      </c>
      <c r="M2102" s="179" t="s">
        <v>151</v>
      </c>
    </row>
    <row r="2103" spans="1:13" ht="38.25">
      <c r="A2103" s="313" t="str">
        <f t="shared" si="32"/>
        <v>CablewayTypeCode_industrialRopeway</v>
      </c>
      <c r="B2103" s="330"/>
      <c r="C2103" s="334"/>
      <c r="D2103" s="188" t="s">
        <v>18922</v>
      </c>
      <c r="E2103" s="189" t="s">
        <v>18923</v>
      </c>
      <c r="F2103" s="162" t="s">
        <v>18924</v>
      </c>
      <c r="G2103" s="190"/>
      <c r="H2103" s="219"/>
      <c r="I2103" s="169">
        <v>110756</v>
      </c>
      <c r="J2103" s="304" t="str">
        <f>CONCATENATE([2]Cover!$D$6,"fdd/view?i=",I2103)</f>
        <v>https://www.dgiwg.org/FAD/fdd/view?i=110756</v>
      </c>
      <c r="K2103" s="304" t="s">
        <v>36152</v>
      </c>
      <c r="L2103" s="188">
        <v>8</v>
      </c>
      <c r="M2103" s="179" t="s">
        <v>151</v>
      </c>
    </row>
    <row r="2104" spans="1:13" ht="38.25">
      <c r="A2104" s="313" t="str">
        <f t="shared" si="32"/>
        <v>CablewayTypeCode_materialTramway</v>
      </c>
      <c r="B2104" s="330"/>
      <c r="C2104" s="334"/>
      <c r="D2104" s="188" t="s">
        <v>18925</v>
      </c>
      <c r="E2104" s="189" t="s">
        <v>18926</v>
      </c>
      <c r="F2104" s="162" t="s">
        <v>18927</v>
      </c>
      <c r="G2104" s="190"/>
      <c r="H2104" s="219"/>
      <c r="I2104" s="169">
        <v>110757</v>
      </c>
      <c r="J2104" s="304" t="str">
        <f>CONCATENATE([2]Cover!$D$6,"fdd/view?i=",I2104)</f>
        <v>https://www.dgiwg.org/FAD/fdd/view?i=110757</v>
      </c>
      <c r="K2104" s="304" t="s">
        <v>36153</v>
      </c>
      <c r="L2104" s="188">
        <v>9</v>
      </c>
      <c r="M2104" s="179" t="s">
        <v>151</v>
      </c>
    </row>
    <row r="2105" spans="1:13" ht="38.25">
      <c r="A2105" s="313" t="str">
        <f t="shared" si="32"/>
        <v>CablewayTypeCode_skiTow</v>
      </c>
      <c r="B2105" s="330"/>
      <c r="C2105" s="334"/>
      <c r="D2105" s="188" t="s">
        <v>18928</v>
      </c>
      <c r="E2105" s="189" t="s">
        <v>18929</v>
      </c>
      <c r="F2105" s="162" t="s">
        <v>18930</v>
      </c>
      <c r="G2105" s="162" t="s">
        <v>18931</v>
      </c>
      <c r="H2105" s="221" t="s">
        <v>18932</v>
      </c>
      <c r="I2105" s="169">
        <v>106100</v>
      </c>
      <c r="J2105" s="304" t="str">
        <f>CONCATENATE([2]Cover!$D$6,"fdd/view?i=",I2105)</f>
        <v>https://www.dgiwg.org/FAD/fdd/view?i=106100</v>
      </c>
      <c r="K2105" s="304" t="s">
        <v>36154</v>
      </c>
      <c r="L2105" s="188">
        <v>3</v>
      </c>
      <c r="M2105" s="179" t="s">
        <v>151</v>
      </c>
    </row>
    <row r="2106" spans="1:13" ht="51">
      <c r="A2106" s="313" t="str">
        <f t="shared" si="32"/>
        <v>CablewayTypeCode_teeBarLift</v>
      </c>
      <c r="B2106" s="331"/>
      <c r="C2106" s="335"/>
      <c r="D2106" s="181" t="s">
        <v>18933</v>
      </c>
      <c r="E2106" s="192" t="s">
        <v>18934</v>
      </c>
      <c r="F2106" s="193" t="s">
        <v>18935</v>
      </c>
      <c r="G2106" s="193" t="s">
        <v>18936</v>
      </c>
      <c r="H2106" s="223" t="s">
        <v>18937</v>
      </c>
      <c r="I2106" s="169">
        <v>110755</v>
      </c>
      <c r="J2106" s="304" t="str">
        <f>CONCATENATE([2]Cover!$D$6,"fdd/view?i=",I2106)</f>
        <v>https://www.dgiwg.org/FAD/fdd/view?i=110755</v>
      </c>
      <c r="K2106" s="304" t="s">
        <v>36155</v>
      </c>
      <c r="L2106" s="181">
        <v>7</v>
      </c>
      <c r="M2106" s="179" t="s">
        <v>151</v>
      </c>
    </row>
    <row r="2107" spans="1:13" ht="76.5">
      <c r="A2107" s="313" t="str">
        <f t="shared" si="32"/>
        <v>CadastralSourceTypeCode_collateralEvidence</v>
      </c>
      <c r="B2107" s="332" t="str">
        <f>HYPERLINK("[#]Datatypes!A284:L284","CadastralSourceTypeCode")</f>
        <v>CadastralSourceTypeCode</v>
      </c>
      <c r="C2107" s="333" t="s">
        <v>11736</v>
      </c>
      <c r="D2107" s="202" t="s">
        <v>18938</v>
      </c>
      <c r="E2107" s="203" t="s">
        <v>18939</v>
      </c>
      <c r="F2107" s="204" t="s">
        <v>18940</v>
      </c>
      <c r="G2107" s="204" t="s">
        <v>18941</v>
      </c>
      <c r="H2107" s="218"/>
      <c r="I2107" s="169">
        <v>207859</v>
      </c>
      <c r="J2107" s="304" t="str">
        <f>CONCATENATE([2]Cover!$D$6,"fdd/view?i=",I2107)</f>
        <v>https://www.dgiwg.org/FAD/fdd/view?i=207859</v>
      </c>
      <c r="K2107" s="304" t="s">
        <v>36156</v>
      </c>
      <c r="L2107" s="202">
        <v>1</v>
      </c>
      <c r="M2107" s="179" t="s">
        <v>1295</v>
      </c>
    </row>
    <row r="2108" spans="1:13" ht="38.25">
      <c r="A2108" s="313" t="str">
        <f t="shared" si="32"/>
        <v>CadastralSourceTypeCode_fieldNotes</v>
      </c>
      <c r="B2108" s="330"/>
      <c r="C2108" s="334"/>
      <c r="D2108" s="188" t="s">
        <v>18942</v>
      </c>
      <c r="E2108" s="189" t="s">
        <v>18943</v>
      </c>
      <c r="F2108" s="162" t="s">
        <v>18944</v>
      </c>
      <c r="G2108" s="162" t="s">
        <v>18945</v>
      </c>
      <c r="H2108" s="219"/>
      <c r="I2108" s="169">
        <v>207860</v>
      </c>
      <c r="J2108" s="304" t="str">
        <f>CONCATENATE([2]Cover!$D$6,"fdd/view?i=",I2108)</f>
        <v>https://www.dgiwg.org/FAD/fdd/view?i=207860</v>
      </c>
      <c r="K2108" s="304" t="s">
        <v>36157</v>
      </c>
      <c r="L2108" s="188">
        <v>2</v>
      </c>
      <c r="M2108" s="179" t="s">
        <v>1295</v>
      </c>
    </row>
    <row r="2109" spans="1:13" ht="25.5">
      <c r="A2109" s="313" t="str">
        <f t="shared" si="32"/>
        <v>CadastralSourceTypeCode_fieldSketch</v>
      </c>
      <c r="B2109" s="330"/>
      <c r="C2109" s="334"/>
      <c r="D2109" s="188" t="s">
        <v>18946</v>
      </c>
      <c r="E2109" s="189" t="s">
        <v>18947</v>
      </c>
      <c r="F2109" s="162" t="s">
        <v>18948</v>
      </c>
      <c r="G2109" s="162" t="s">
        <v>18949</v>
      </c>
      <c r="H2109" s="219"/>
      <c r="I2109" s="169">
        <v>207861</v>
      </c>
      <c r="J2109" s="304" t="str">
        <f>CONCATENATE([2]Cover!$D$6,"fdd/view?i=",I2109)</f>
        <v>https://www.dgiwg.org/FAD/fdd/view?i=207861</v>
      </c>
      <c r="K2109" s="304" t="s">
        <v>36158</v>
      </c>
      <c r="L2109" s="188">
        <v>3</v>
      </c>
      <c r="M2109" s="179" t="s">
        <v>1295</v>
      </c>
    </row>
    <row r="2110" spans="1:13" ht="178.5">
      <c r="A2110" s="313" t="str">
        <f t="shared" si="32"/>
        <v>CadastralSourceTypeCode_gnssSurvey</v>
      </c>
      <c r="B2110" s="330"/>
      <c r="C2110" s="334"/>
      <c r="D2110" s="188" t="s">
        <v>18950</v>
      </c>
      <c r="E2110" s="189" t="s">
        <v>18951</v>
      </c>
      <c r="F2110" s="162" t="s">
        <v>18952</v>
      </c>
      <c r="G2110" s="162" t="s">
        <v>18953</v>
      </c>
      <c r="H2110" s="219"/>
      <c r="I2110" s="169">
        <v>207862</v>
      </c>
      <c r="J2110" s="304" t="str">
        <f>CONCATENATE([2]Cover!$D$6,"fdd/view?i=",I2110)</f>
        <v>https://www.dgiwg.org/FAD/fdd/view?i=207862</v>
      </c>
      <c r="K2110" s="304" t="s">
        <v>36159</v>
      </c>
      <c r="L2110" s="188">
        <v>4</v>
      </c>
      <c r="M2110" s="179" t="s">
        <v>1295</v>
      </c>
    </row>
    <row r="2111" spans="1:13" ht="25.5">
      <c r="A2111" s="313" t="str">
        <f t="shared" si="32"/>
        <v>CadastralSourceTypeCode_officialCadastralSurvey</v>
      </c>
      <c r="B2111" s="330"/>
      <c r="C2111" s="334"/>
      <c r="D2111" s="188" t="s">
        <v>18954</v>
      </c>
      <c r="E2111" s="189" t="s">
        <v>18955</v>
      </c>
      <c r="F2111" s="162" t="s">
        <v>18956</v>
      </c>
      <c r="G2111" s="190"/>
      <c r="H2111" s="219"/>
      <c r="I2111" s="169">
        <v>207863</v>
      </c>
      <c r="J2111" s="304" t="str">
        <f>CONCATENATE([2]Cover!$D$6,"fdd/view?i=",I2111)</f>
        <v>https://www.dgiwg.org/FAD/fdd/view?i=207863</v>
      </c>
      <c r="K2111" s="304" t="s">
        <v>36160</v>
      </c>
      <c r="L2111" s="188">
        <v>5</v>
      </c>
      <c r="M2111" s="179" t="s">
        <v>1295</v>
      </c>
    </row>
    <row r="2112" spans="1:13" ht="38.25">
      <c r="A2112" s="313" t="str">
        <f t="shared" si="32"/>
        <v>CadastralSourceTypeCode_orthophoto</v>
      </c>
      <c r="B2112" s="330"/>
      <c r="C2112" s="334"/>
      <c r="D2112" s="188" t="s">
        <v>18957</v>
      </c>
      <c r="E2112" s="189" t="s">
        <v>18958</v>
      </c>
      <c r="F2112" s="162" t="s">
        <v>18959</v>
      </c>
      <c r="G2112" s="162" t="s">
        <v>18960</v>
      </c>
      <c r="H2112" s="219"/>
      <c r="I2112" s="169">
        <v>207864</v>
      </c>
      <c r="J2112" s="304" t="str">
        <f>CONCATENATE([2]Cover!$D$6,"fdd/view?i=",I2112)</f>
        <v>https://www.dgiwg.org/FAD/fdd/view?i=207864</v>
      </c>
      <c r="K2112" s="304" t="s">
        <v>36161</v>
      </c>
      <c r="L2112" s="188">
        <v>6</v>
      </c>
      <c r="M2112" s="179" t="s">
        <v>1295</v>
      </c>
    </row>
    <row r="2113" spans="1:13" ht="51">
      <c r="A2113" s="313" t="str">
        <f t="shared" si="32"/>
        <v>CadastralSourceTypeCode_plat</v>
      </c>
      <c r="B2113" s="330"/>
      <c r="C2113" s="334"/>
      <c r="D2113" s="188" t="s">
        <v>18961</v>
      </c>
      <c r="E2113" s="189" t="s">
        <v>18962</v>
      </c>
      <c r="F2113" s="162" t="s">
        <v>18963</v>
      </c>
      <c r="G2113" s="190"/>
      <c r="H2113" s="219"/>
      <c r="I2113" s="169">
        <v>207865</v>
      </c>
      <c r="J2113" s="304" t="str">
        <f>CONCATENATE([2]Cover!$D$6,"fdd/view?i=",I2113)</f>
        <v>https://www.dgiwg.org/FAD/fdd/view?i=207865</v>
      </c>
      <c r="K2113" s="304" t="s">
        <v>36162</v>
      </c>
      <c r="L2113" s="188">
        <v>7</v>
      </c>
      <c r="M2113" s="179" t="s">
        <v>1295</v>
      </c>
    </row>
    <row r="2114" spans="1:13" ht="76.5">
      <c r="A2114" s="313" t="str">
        <f t="shared" si="32"/>
        <v>CadastralSourceTypeCode_relativeMeasurement</v>
      </c>
      <c r="B2114" s="330"/>
      <c r="C2114" s="334"/>
      <c r="D2114" s="188" t="s">
        <v>18964</v>
      </c>
      <c r="E2114" s="189" t="s">
        <v>18965</v>
      </c>
      <c r="F2114" s="162" t="s">
        <v>18966</v>
      </c>
      <c r="G2114" s="162" t="s">
        <v>18967</v>
      </c>
      <c r="H2114" s="219"/>
      <c r="I2114" s="169">
        <v>207866</v>
      </c>
      <c r="J2114" s="304" t="str">
        <f>CONCATENATE([2]Cover!$D$6,"fdd/view?i=",I2114)</f>
        <v>https://www.dgiwg.org/FAD/fdd/view?i=207866</v>
      </c>
      <c r="K2114" s="304" t="s">
        <v>36163</v>
      </c>
      <c r="L2114" s="188">
        <v>8</v>
      </c>
      <c r="M2114" s="179" t="s">
        <v>1295</v>
      </c>
    </row>
    <row r="2115" spans="1:13" ht="51">
      <c r="A2115" s="313" t="str">
        <f t="shared" ref="A2115:A2178" si="33">HYPERLINK(J2115,K2115)</f>
        <v>CadastralSourceTypeCode_resurvey</v>
      </c>
      <c r="B2115" s="330"/>
      <c r="C2115" s="334"/>
      <c r="D2115" s="188" t="s">
        <v>18968</v>
      </c>
      <c r="E2115" s="189" t="s">
        <v>18969</v>
      </c>
      <c r="F2115" s="162" t="s">
        <v>18970</v>
      </c>
      <c r="G2115" s="162" t="s">
        <v>18971</v>
      </c>
      <c r="H2115" s="219"/>
      <c r="I2115" s="169">
        <v>207867</v>
      </c>
      <c r="J2115" s="304" t="str">
        <f>CONCATENATE([2]Cover!$D$6,"fdd/view?i=",I2115)</f>
        <v>https://www.dgiwg.org/FAD/fdd/view?i=207867</v>
      </c>
      <c r="K2115" s="304" t="s">
        <v>36164</v>
      </c>
      <c r="L2115" s="188">
        <v>9</v>
      </c>
      <c r="M2115" s="179" t="s">
        <v>1295</v>
      </c>
    </row>
    <row r="2116" spans="1:13" ht="38.25">
      <c r="A2116" s="313" t="str">
        <f t="shared" si="33"/>
        <v>CadastralSourceTypeCode_survey</v>
      </c>
      <c r="B2116" s="330"/>
      <c r="C2116" s="334"/>
      <c r="D2116" s="188" t="s">
        <v>18972</v>
      </c>
      <c r="E2116" s="189" t="s">
        <v>18973</v>
      </c>
      <c r="F2116" s="162" t="s">
        <v>18974</v>
      </c>
      <c r="G2116" s="162" t="s">
        <v>18975</v>
      </c>
      <c r="H2116" s="219"/>
      <c r="I2116" s="169">
        <v>207868</v>
      </c>
      <c r="J2116" s="304" t="str">
        <f>CONCATENATE([2]Cover!$D$6,"fdd/view?i=",I2116)</f>
        <v>https://www.dgiwg.org/FAD/fdd/view?i=207868</v>
      </c>
      <c r="K2116" s="304" t="s">
        <v>36165</v>
      </c>
      <c r="L2116" s="188">
        <v>10</v>
      </c>
      <c r="M2116" s="179" t="s">
        <v>1295</v>
      </c>
    </row>
    <row r="2117" spans="1:13" ht="76.5">
      <c r="A2117" s="313" t="str">
        <f t="shared" si="33"/>
        <v>CadastralSourceTypeCode_tenureMap</v>
      </c>
      <c r="B2117" s="330"/>
      <c r="C2117" s="334"/>
      <c r="D2117" s="188" t="s">
        <v>18976</v>
      </c>
      <c r="E2117" s="189" t="s">
        <v>18977</v>
      </c>
      <c r="F2117" s="162" t="s">
        <v>18978</v>
      </c>
      <c r="G2117" s="162" t="s">
        <v>18979</v>
      </c>
      <c r="H2117" s="219"/>
      <c r="I2117" s="169">
        <v>207869</v>
      </c>
      <c r="J2117" s="304" t="str">
        <f>CONCATENATE([2]Cover!$D$6,"fdd/view?i=",I2117)</f>
        <v>https://www.dgiwg.org/FAD/fdd/view?i=207869</v>
      </c>
      <c r="K2117" s="304" t="s">
        <v>36166</v>
      </c>
      <c r="L2117" s="188">
        <v>11</v>
      </c>
      <c r="M2117" s="179" t="s">
        <v>1295</v>
      </c>
    </row>
    <row r="2118" spans="1:13" ht="38.25">
      <c r="A2118" s="313" t="str">
        <f t="shared" si="33"/>
        <v>CadastralSourceTypeCode_topographicMap</v>
      </c>
      <c r="B2118" s="330"/>
      <c r="C2118" s="334"/>
      <c r="D2118" s="188" t="s">
        <v>18980</v>
      </c>
      <c r="E2118" s="189" t="s">
        <v>18981</v>
      </c>
      <c r="F2118" s="162" t="s">
        <v>18982</v>
      </c>
      <c r="G2118" s="190"/>
      <c r="H2118" s="219"/>
      <c r="I2118" s="169">
        <v>207870</v>
      </c>
      <c r="J2118" s="304" t="str">
        <f>CONCATENATE([2]Cover!$D$6,"fdd/view?i=",I2118)</f>
        <v>https://www.dgiwg.org/FAD/fdd/view?i=207870</v>
      </c>
      <c r="K2118" s="304" t="s">
        <v>36167</v>
      </c>
      <c r="L2118" s="188">
        <v>12</v>
      </c>
      <c r="M2118" s="179" t="s">
        <v>1295</v>
      </c>
    </row>
    <row r="2119" spans="1:13" ht="51">
      <c r="A2119" s="313" t="str">
        <f t="shared" si="33"/>
        <v>CadastralSourceTypeCode_usePlat</v>
      </c>
      <c r="B2119" s="330"/>
      <c r="C2119" s="334"/>
      <c r="D2119" s="188" t="s">
        <v>18983</v>
      </c>
      <c r="E2119" s="189" t="s">
        <v>18984</v>
      </c>
      <c r="F2119" s="162" t="s">
        <v>18985</v>
      </c>
      <c r="G2119" s="190"/>
      <c r="H2119" s="219"/>
      <c r="I2119" s="169">
        <v>207871</v>
      </c>
      <c r="J2119" s="304" t="str">
        <f>CONCATENATE([2]Cover!$D$6,"fdd/view?i=",I2119)</f>
        <v>https://www.dgiwg.org/FAD/fdd/view?i=207871</v>
      </c>
      <c r="K2119" s="304" t="s">
        <v>36168</v>
      </c>
      <c r="L2119" s="188">
        <v>13</v>
      </c>
      <c r="M2119" s="179" t="s">
        <v>1295</v>
      </c>
    </row>
    <row r="2120" spans="1:13" ht="25.5">
      <c r="A2120" s="313" t="str">
        <f t="shared" si="33"/>
        <v>CadastralSourceTypeCode_video</v>
      </c>
      <c r="B2120" s="331"/>
      <c r="C2120" s="335"/>
      <c r="D2120" s="181" t="s">
        <v>18986</v>
      </c>
      <c r="E2120" s="192" t="s">
        <v>18987</v>
      </c>
      <c r="F2120" s="193" t="s">
        <v>18988</v>
      </c>
      <c r="G2120" s="194"/>
      <c r="H2120" s="220"/>
      <c r="I2120" s="169">
        <v>207872</v>
      </c>
      <c r="J2120" s="304" t="str">
        <f>CONCATENATE([2]Cover!$D$6,"fdd/view?i=",I2120)</f>
        <v>https://www.dgiwg.org/FAD/fdd/view?i=207872</v>
      </c>
      <c r="K2120" s="304" t="s">
        <v>36169</v>
      </c>
      <c r="L2120" s="181">
        <v>14</v>
      </c>
      <c r="M2120" s="179" t="s">
        <v>1295</v>
      </c>
    </row>
    <row r="2121" spans="1:13" ht="38.25">
      <c r="A2121" s="313" t="str">
        <f t="shared" si="33"/>
        <v>CamouflageMethodCode_artificial</v>
      </c>
      <c r="B2121" s="332" t="str">
        <f>HYPERLINK("[#]Datatypes!A286:L286","CamouflageMethodCode")</f>
        <v>CamouflageMethodCode</v>
      </c>
      <c r="C2121" s="333" t="s">
        <v>11738</v>
      </c>
      <c r="D2121" s="202" t="s">
        <v>18989</v>
      </c>
      <c r="E2121" s="203" t="s">
        <v>18990</v>
      </c>
      <c r="F2121" s="204" t="s">
        <v>18991</v>
      </c>
      <c r="G2121" s="204" t="s">
        <v>18992</v>
      </c>
      <c r="H2121" s="218"/>
      <c r="I2121" s="169">
        <v>119685</v>
      </c>
      <c r="J2121" s="304" t="str">
        <f>CONCATENATE([2]Cover!$D$6,"fdd/view?i=",I2121)</f>
        <v>https://www.dgiwg.org/FAD/fdd/view?i=119685</v>
      </c>
      <c r="K2121" s="304" t="s">
        <v>36170</v>
      </c>
      <c r="L2121" s="202">
        <v>2</v>
      </c>
      <c r="M2121" s="179" t="s">
        <v>151</v>
      </c>
    </row>
    <row r="2122" spans="1:13" ht="63.75">
      <c r="A2122" s="313" t="str">
        <f t="shared" si="33"/>
        <v>CamouflageMethodCode_natural</v>
      </c>
      <c r="B2122" s="331"/>
      <c r="C2122" s="335"/>
      <c r="D2122" s="181" t="s">
        <v>18993</v>
      </c>
      <c r="E2122" s="192" t="s">
        <v>18994</v>
      </c>
      <c r="F2122" s="193" t="s">
        <v>18995</v>
      </c>
      <c r="G2122" s="193" t="s">
        <v>18996</v>
      </c>
      <c r="H2122" s="220"/>
      <c r="I2122" s="169">
        <v>119684</v>
      </c>
      <c r="J2122" s="304" t="str">
        <f>CONCATENATE([2]Cover!$D$6,"fdd/view?i=",I2122)</f>
        <v>https://www.dgiwg.org/FAD/fdd/view?i=119684</v>
      </c>
      <c r="K2122" s="304" t="s">
        <v>36171</v>
      </c>
      <c r="L2122" s="181">
        <v>1</v>
      </c>
      <c r="M2122" s="179" t="s">
        <v>151</v>
      </c>
    </row>
    <row r="2123" spans="1:13" ht="25.5">
      <c r="A2123" s="313" t="str">
        <f t="shared" si="33"/>
        <v>CaveTypeCode_aeolian</v>
      </c>
      <c r="B2123" s="332" t="str">
        <f>HYPERLINK("[#]Datatypes!A288:L288","CaveTypeCode")</f>
        <v>CaveTypeCode</v>
      </c>
      <c r="C2123" s="333" t="s">
        <v>11740</v>
      </c>
      <c r="D2123" s="202" t="s">
        <v>18997</v>
      </c>
      <c r="E2123" s="203" t="s">
        <v>18998</v>
      </c>
      <c r="F2123" s="204" t="s">
        <v>18999</v>
      </c>
      <c r="G2123" s="205"/>
      <c r="H2123" s="218"/>
      <c r="I2123" s="169">
        <v>119319</v>
      </c>
      <c r="J2123" s="304" t="str">
        <f>CONCATENATE([2]Cover!$D$6,"fdd/view?i=",I2123)</f>
        <v>https://www.dgiwg.org/FAD/fdd/view?i=119319</v>
      </c>
      <c r="K2123" s="304" t="s">
        <v>36172</v>
      </c>
      <c r="L2123" s="202">
        <v>3</v>
      </c>
      <c r="M2123" s="179" t="s">
        <v>151</v>
      </c>
    </row>
    <row r="2124" spans="1:13" ht="25.5">
      <c r="A2124" s="313" t="str">
        <f t="shared" si="33"/>
        <v>CaveTypeCode_erosional</v>
      </c>
      <c r="B2124" s="330"/>
      <c r="C2124" s="334"/>
      <c r="D2124" s="188" t="s">
        <v>19000</v>
      </c>
      <c r="E2124" s="189" t="s">
        <v>19001</v>
      </c>
      <c r="F2124" s="162" t="s">
        <v>19002</v>
      </c>
      <c r="G2124" s="162" t="s">
        <v>19003</v>
      </c>
      <c r="H2124" s="219"/>
      <c r="I2124" s="169">
        <v>119318</v>
      </c>
      <c r="J2124" s="304" t="str">
        <f>CONCATENATE([2]Cover!$D$6,"fdd/view?i=",I2124)</f>
        <v>https://www.dgiwg.org/FAD/fdd/view?i=119318</v>
      </c>
      <c r="K2124" s="304" t="s">
        <v>36173</v>
      </c>
      <c r="L2124" s="188">
        <v>2</v>
      </c>
      <c r="M2124" s="179" t="s">
        <v>151</v>
      </c>
    </row>
    <row r="2125" spans="1:13" ht="38.25">
      <c r="A2125" s="313" t="str">
        <f t="shared" si="33"/>
        <v>CaveTypeCode_glacier</v>
      </c>
      <c r="B2125" s="330"/>
      <c r="C2125" s="334"/>
      <c r="D2125" s="188" t="s">
        <v>19004</v>
      </c>
      <c r="E2125" s="189" t="s">
        <v>2597</v>
      </c>
      <c r="F2125" s="162" t="s">
        <v>19005</v>
      </c>
      <c r="G2125" s="162" t="s">
        <v>19006</v>
      </c>
      <c r="H2125" s="219"/>
      <c r="I2125" s="169">
        <v>119321</v>
      </c>
      <c r="J2125" s="304" t="str">
        <f>CONCATENATE([2]Cover!$D$6,"fdd/view?i=",I2125)</f>
        <v>https://www.dgiwg.org/FAD/fdd/view?i=119321</v>
      </c>
      <c r="K2125" s="304" t="s">
        <v>36174</v>
      </c>
      <c r="L2125" s="188">
        <v>5</v>
      </c>
      <c r="M2125" s="179" t="s">
        <v>151</v>
      </c>
    </row>
    <row r="2126" spans="1:13" ht="38.25">
      <c r="A2126" s="313" t="str">
        <f t="shared" si="33"/>
        <v>CaveTypeCode_lava</v>
      </c>
      <c r="B2126" s="330"/>
      <c r="C2126" s="334"/>
      <c r="D2126" s="188" t="s">
        <v>19007</v>
      </c>
      <c r="E2126" s="189" t="s">
        <v>19008</v>
      </c>
      <c r="F2126" s="162" t="s">
        <v>19009</v>
      </c>
      <c r="G2126" s="162" t="s">
        <v>19010</v>
      </c>
      <c r="H2126" s="221" t="s">
        <v>19011</v>
      </c>
      <c r="I2126" s="169">
        <v>119322</v>
      </c>
      <c r="J2126" s="304" t="str">
        <f>CONCATENATE([2]Cover!$D$6,"fdd/view?i=",I2126)</f>
        <v>https://www.dgiwg.org/FAD/fdd/view?i=119322</v>
      </c>
      <c r="K2126" s="304" t="s">
        <v>36175</v>
      </c>
      <c r="L2126" s="188">
        <v>6</v>
      </c>
      <c r="M2126" s="179" t="s">
        <v>151</v>
      </c>
    </row>
    <row r="2127" spans="1:13" ht="114.75">
      <c r="A2127" s="313" t="str">
        <f t="shared" si="33"/>
        <v>CaveTypeCode_solution</v>
      </c>
      <c r="B2127" s="330"/>
      <c r="C2127" s="334"/>
      <c r="D2127" s="188" t="s">
        <v>19012</v>
      </c>
      <c r="E2127" s="189" t="s">
        <v>19013</v>
      </c>
      <c r="F2127" s="162" t="s">
        <v>19014</v>
      </c>
      <c r="G2127" s="162" t="s">
        <v>19015</v>
      </c>
      <c r="H2127" s="219"/>
      <c r="I2127" s="169">
        <v>119317</v>
      </c>
      <c r="J2127" s="304" t="str">
        <f>CONCATENATE([2]Cover!$D$6,"fdd/view?i=",I2127)</f>
        <v>https://www.dgiwg.org/FAD/fdd/view?i=119317</v>
      </c>
      <c r="K2127" s="304" t="s">
        <v>36176</v>
      </c>
      <c r="L2127" s="188">
        <v>1</v>
      </c>
      <c r="M2127" s="179" t="s">
        <v>151</v>
      </c>
    </row>
    <row r="2128" spans="1:13" ht="25.5">
      <c r="A2128" s="313" t="str">
        <f t="shared" si="33"/>
        <v>CaveTypeCode_talus</v>
      </c>
      <c r="B2128" s="330"/>
      <c r="C2128" s="334"/>
      <c r="D2128" s="188" t="s">
        <v>19016</v>
      </c>
      <c r="E2128" s="189" t="s">
        <v>19017</v>
      </c>
      <c r="F2128" s="162" t="s">
        <v>19018</v>
      </c>
      <c r="G2128" s="190"/>
      <c r="H2128" s="219"/>
      <c r="I2128" s="169">
        <v>119323</v>
      </c>
      <c r="J2128" s="304" t="str">
        <f>CONCATENATE([2]Cover!$D$6,"fdd/view?i=",I2128)</f>
        <v>https://www.dgiwg.org/FAD/fdd/view?i=119323</v>
      </c>
      <c r="K2128" s="304" t="s">
        <v>36177</v>
      </c>
      <c r="L2128" s="188">
        <v>7</v>
      </c>
      <c r="M2128" s="179" t="s">
        <v>151</v>
      </c>
    </row>
    <row r="2129" spans="1:13" ht="38.25">
      <c r="A2129" s="313" t="str">
        <f t="shared" si="33"/>
        <v>CaveTypeCode_waterbody</v>
      </c>
      <c r="B2129" s="331"/>
      <c r="C2129" s="335"/>
      <c r="D2129" s="181" t="s">
        <v>19019</v>
      </c>
      <c r="E2129" s="192" t="s">
        <v>19020</v>
      </c>
      <c r="F2129" s="193" t="s">
        <v>19021</v>
      </c>
      <c r="G2129" s="193" t="s">
        <v>19022</v>
      </c>
      <c r="H2129" s="223" t="s">
        <v>19023</v>
      </c>
      <c r="I2129" s="169">
        <v>119320</v>
      </c>
      <c r="J2129" s="304" t="str">
        <f>CONCATENATE([2]Cover!$D$6,"fdd/view?i=",I2129)</f>
        <v>https://www.dgiwg.org/FAD/fdd/view?i=119320</v>
      </c>
      <c r="K2129" s="304" t="s">
        <v>36178</v>
      </c>
      <c r="L2129" s="181">
        <v>4</v>
      </c>
      <c r="M2129" s="179" t="s">
        <v>151</v>
      </c>
    </row>
    <row r="2130" spans="1:13" ht="25.5">
      <c r="A2130" s="313" t="str">
        <f t="shared" si="33"/>
        <v>ChannelTypeCode_lagoonalChannel</v>
      </c>
      <c r="B2130" s="332" t="str">
        <f>HYPERLINK("[#]Datatypes!A292:L292","ChannelTypeCode")</f>
        <v>ChannelTypeCode</v>
      </c>
      <c r="C2130" s="333" t="s">
        <v>11746</v>
      </c>
      <c r="D2130" s="202" t="s">
        <v>19024</v>
      </c>
      <c r="E2130" s="203" t="s">
        <v>19025</v>
      </c>
      <c r="F2130" s="204" t="s">
        <v>19026</v>
      </c>
      <c r="G2130" s="204" t="s">
        <v>19027</v>
      </c>
      <c r="H2130" s="218"/>
      <c r="I2130" s="169">
        <v>103090</v>
      </c>
      <c r="J2130" s="304" t="str">
        <f>CONCATENATE([2]Cover!$D$6,"fdd/view?i=",I2130)</f>
        <v>https://www.dgiwg.org/FAD/fdd/view?i=103090</v>
      </c>
      <c r="K2130" s="304" t="s">
        <v>36179</v>
      </c>
      <c r="L2130" s="202">
        <v>1</v>
      </c>
      <c r="M2130" s="179" t="s">
        <v>151</v>
      </c>
    </row>
    <row r="2131" spans="1:13" ht="25.5">
      <c r="A2131" s="313" t="str">
        <f t="shared" si="33"/>
        <v>ChannelTypeCode_lakeChannel</v>
      </c>
      <c r="B2131" s="330"/>
      <c r="C2131" s="334"/>
      <c r="D2131" s="188" t="s">
        <v>19028</v>
      </c>
      <c r="E2131" s="189" t="s">
        <v>19029</v>
      </c>
      <c r="F2131" s="162" t="s">
        <v>19030</v>
      </c>
      <c r="G2131" s="190"/>
      <c r="H2131" s="219"/>
      <c r="I2131" s="169">
        <v>110864</v>
      </c>
      <c r="J2131" s="304" t="str">
        <f>CONCATENATE([2]Cover!$D$6,"fdd/view?i=",I2131)</f>
        <v>https://www.dgiwg.org/FAD/fdd/view?i=110864</v>
      </c>
      <c r="K2131" s="304" t="s">
        <v>36180</v>
      </c>
      <c r="L2131" s="188">
        <v>2</v>
      </c>
      <c r="M2131" s="179" t="s">
        <v>151</v>
      </c>
    </row>
    <row r="2132" spans="1:13" ht="38.25">
      <c r="A2132" s="313" t="str">
        <f t="shared" si="33"/>
        <v>ChannelTypeCode_marineChannel</v>
      </c>
      <c r="B2132" s="330"/>
      <c r="C2132" s="334"/>
      <c r="D2132" s="188" t="s">
        <v>19031</v>
      </c>
      <c r="E2132" s="189" t="s">
        <v>19032</v>
      </c>
      <c r="F2132" s="162" t="s">
        <v>19033</v>
      </c>
      <c r="G2132" s="162" t="s">
        <v>19034</v>
      </c>
      <c r="H2132" s="219"/>
      <c r="I2132" s="169">
        <v>110865</v>
      </c>
      <c r="J2132" s="304" t="str">
        <f>CONCATENATE([2]Cover!$D$6,"fdd/view?i=",I2132)</f>
        <v>https://www.dgiwg.org/FAD/fdd/view?i=110865</v>
      </c>
      <c r="K2132" s="304" t="s">
        <v>36181</v>
      </c>
      <c r="L2132" s="188">
        <v>3</v>
      </c>
      <c r="M2132" s="179" t="s">
        <v>151</v>
      </c>
    </row>
    <row r="2133" spans="1:13" ht="25.5">
      <c r="A2133" s="313" t="str">
        <f t="shared" si="33"/>
        <v>ChannelTypeCode_riverChannel</v>
      </c>
      <c r="B2133" s="331"/>
      <c r="C2133" s="335"/>
      <c r="D2133" s="181" t="s">
        <v>19035</v>
      </c>
      <c r="E2133" s="192" t="s">
        <v>19036</v>
      </c>
      <c r="F2133" s="193" t="s">
        <v>19037</v>
      </c>
      <c r="G2133" s="194"/>
      <c r="H2133" s="220"/>
      <c r="I2133" s="169">
        <v>114362</v>
      </c>
      <c r="J2133" s="304" t="str">
        <f>CONCATENATE([2]Cover!$D$6,"fdd/view?i=",I2133)</f>
        <v>https://www.dgiwg.org/FAD/fdd/view?i=114362</v>
      </c>
      <c r="K2133" s="304" t="s">
        <v>36182</v>
      </c>
      <c r="L2133" s="181">
        <v>5</v>
      </c>
      <c r="M2133" s="179" t="s">
        <v>151</v>
      </c>
    </row>
    <row r="2134" spans="1:13">
      <c r="A2134" s="313" t="str">
        <f t="shared" si="33"/>
        <v>CoastTypeCode_flatCoast</v>
      </c>
      <c r="B2134" s="332" t="str">
        <f>HYPERLINK("[#]Datatypes!A319:L319","CoastTypeCode")</f>
        <v>CoastTypeCode</v>
      </c>
      <c r="C2134" s="333" t="s">
        <v>11814</v>
      </c>
      <c r="D2134" s="202" t="s">
        <v>19038</v>
      </c>
      <c r="E2134" s="203" t="s">
        <v>19039</v>
      </c>
      <c r="F2134" s="204" t="s">
        <v>19040</v>
      </c>
      <c r="G2134" s="205"/>
      <c r="H2134" s="218"/>
      <c r="I2134" s="169">
        <v>107662</v>
      </c>
      <c r="J2134" s="304" t="str">
        <f>CONCATENATE([2]Cover!$D$6,"fdd/view?i=",I2134)</f>
        <v>https://www.dgiwg.org/FAD/fdd/view?i=107662</v>
      </c>
      <c r="K2134" s="304" t="s">
        <v>36183</v>
      </c>
      <c r="L2134" s="202">
        <v>2</v>
      </c>
      <c r="M2134" s="179" t="s">
        <v>151</v>
      </c>
    </row>
    <row r="2135" spans="1:13">
      <c r="A2135" s="313" t="str">
        <f t="shared" si="33"/>
        <v>CoastTypeCode_glacier</v>
      </c>
      <c r="B2135" s="330"/>
      <c r="C2135" s="334"/>
      <c r="D2135" s="188" t="s">
        <v>19004</v>
      </c>
      <c r="E2135" s="189" t="s">
        <v>2597</v>
      </c>
      <c r="F2135" s="162" t="s">
        <v>19041</v>
      </c>
      <c r="G2135" s="190"/>
      <c r="H2135" s="221" t="s">
        <v>19042</v>
      </c>
      <c r="I2135" s="169">
        <v>107667</v>
      </c>
      <c r="J2135" s="304" t="str">
        <f>CONCATENATE([2]Cover!$D$6,"fdd/view?i=",I2135)</f>
        <v>https://www.dgiwg.org/FAD/fdd/view?i=107667</v>
      </c>
      <c r="K2135" s="304" t="s">
        <v>36184</v>
      </c>
      <c r="L2135" s="188">
        <v>7</v>
      </c>
      <c r="M2135" s="179" t="s">
        <v>151</v>
      </c>
    </row>
    <row r="2136" spans="1:13" ht="38.25">
      <c r="A2136" s="313" t="str">
        <f t="shared" si="33"/>
        <v>CoastTypeCode_hillocks</v>
      </c>
      <c r="B2136" s="330"/>
      <c r="C2136" s="334"/>
      <c r="D2136" s="188" t="s">
        <v>19043</v>
      </c>
      <c r="E2136" s="189" t="s">
        <v>19044</v>
      </c>
      <c r="F2136" s="162" t="s">
        <v>19045</v>
      </c>
      <c r="G2136" s="162" t="s">
        <v>19046</v>
      </c>
      <c r="H2136" s="219"/>
      <c r="I2136" s="169">
        <v>107661</v>
      </c>
      <c r="J2136" s="304" t="str">
        <f>CONCATENATE([2]Cover!$D$6,"fdd/view?i=",I2136)</f>
        <v>https://www.dgiwg.org/FAD/fdd/view?i=107661</v>
      </c>
      <c r="K2136" s="304" t="s">
        <v>36185</v>
      </c>
      <c r="L2136" s="188">
        <v>1</v>
      </c>
      <c r="M2136" s="179" t="s">
        <v>151</v>
      </c>
    </row>
    <row r="2137" spans="1:13" ht="25.5">
      <c r="A2137" s="313" t="str">
        <f t="shared" si="33"/>
        <v>CoastTypeCode_iceCoast</v>
      </c>
      <c r="B2137" s="330"/>
      <c r="C2137" s="334"/>
      <c r="D2137" s="188" t="s">
        <v>19047</v>
      </c>
      <c r="E2137" s="189" t="s">
        <v>19048</v>
      </c>
      <c r="F2137" s="162" t="s">
        <v>19049</v>
      </c>
      <c r="G2137" s="190"/>
      <c r="H2137" s="219"/>
      <c r="I2137" s="169">
        <v>107668</v>
      </c>
      <c r="J2137" s="304" t="str">
        <f>CONCATENATE([2]Cover!$D$6,"fdd/view?i=",I2137)</f>
        <v>https://www.dgiwg.org/FAD/fdd/view?i=107668</v>
      </c>
      <c r="K2137" s="304" t="s">
        <v>36186</v>
      </c>
      <c r="L2137" s="188">
        <v>8</v>
      </c>
      <c r="M2137" s="179" t="s">
        <v>151</v>
      </c>
    </row>
    <row r="2138" spans="1:13" ht="38.25">
      <c r="A2138" s="313" t="str">
        <f t="shared" si="33"/>
        <v>CoastTypeCode_steepCoast</v>
      </c>
      <c r="B2138" s="331"/>
      <c r="C2138" s="335"/>
      <c r="D2138" s="181" t="s">
        <v>19050</v>
      </c>
      <c r="E2138" s="192" t="s">
        <v>19051</v>
      </c>
      <c r="F2138" s="193" t="s">
        <v>19052</v>
      </c>
      <c r="G2138" s="193" t="s">
        <v>19053</v>
      </c>
      <c r="H2138" s="220"/>
      <c r="I2138" s="169">
        <v>107669</v>
      </c>
      <c r="J2138" s="304" t="str">
        <f>CONCATENATE([2]Cover!$D$6,"fdd/view?i=",I2138)</f>
        <v>https://www.dgiwg.org/FAD/fdd/view?i=107669</v>
      </c>
      <c r="K2138" s="304" t="s">
        <v>36187</v>
      </c>
      <c r="L2138" s="181">
        <v>9</v>
      </c>
      <c r="M2138" s="179" t="s">
        <v>151</v>
      </c>
    </row>
    <row r="2139" spans="1:13" ht="38.25">
      <c r="A2139" s="313" t="str">
        <f t="shared" si="33"/>
        <v>CoastalWorkTypeCode_constructionOfStructures</v>
      </c>
      <c r="B2139" s="332" t="str">
        <f>HYPERLINK("[#]Datatypes!A321:L321","CoastalWorkTypeCode")</f>
        <v>CoastalWorkTypeCode</v>
      </c>
      <c r="C2139" s="333" t="s">
        <v>11816</v>
      </c>
      <c r="D2139" s="202" t="s">
        <v>19054</v>
      </c>
      <c r="E2139" s="203" t="s">
        <v>19055</v>
      </c>
      <c r="F2139" s="204" t="s">
        <v>19056</v>
      </c>
      <c r="G2139" s="205"/>
      <c r="H2139" s="218"/>
      <c r="I2139" s="169">
        <v>109585</v>
      </c>
      <c r="J2139" s="304" t="str">
        <f>CONCATENATE([2]Cover!$D$6,"fdd/view?i=",I2139)</f>
        <v>https://www.dgiwg.org/FAD/fdd/view?i=109585</v>
      </c>
      <c r="K2139" s="304" t="s">
        <v>36188</v>
      </c>
      <c r="L2139" s="202">
        <v>2</v>
      </c>
      <c r="M2139" s="179" t="s">
        <v>151</v>
      </c>
    </row>
    <row r="2140" spans="1:13" ht="25.5">
      <c r="A2140" s="313" t="str">
        <f t="shared" si="33"/>
        <v>CoastalWorkTypeCode_landReclamation</v>
      </c>
      <c r="B2140" s="331"/>
      <c r="C2140" s="335"/>
      <c r="D2140" s="181" t="s">
        <v>19057</v>
      </c>
      <c r="E2140" s="192" t="s">
        <v>19058</v>
      </c>
      <c r="F2140" s="193" t="s">
        <v>19059</v>
      </c>
      <c r="G2140" s="194"/>
      <c r="H2140" s="220"/>
      <c r="I2140" s="169">
        <v>109584</v>
      </c>
      <c r="J2140" s="304" t="str">
        <f>CONCATENATE([2]Cover!$D$6,"fdd/view?i=",I2140)</f>
        <v>https://www.dgiwg.org/FAD/fdd/view?i=109584</v>
      </c>
      <c r="K2140" s="304" t="s">
        <v>36189</v>
      </c>
      <c r="L2140" s="181">
        <v>1</v>
      </c>
      <c r="M2140" s="179" t="s">
        <v>151</v>
      </c>
    </row>
    <row r="2141" spans="1:13" ht="38.25">
      <c r="A2141" s="313" t="str">
        <f t="shared" si="33"/>
        <v>ColourPatternCode_borderStripe</v>
      </c>
      <c r="B2141" s="332" t="str">
        <f>HYPERLINK("[#]Datatypes!A323:L323","ColourPatternCode")</f>
        <v>ColourPatternCode</v>
      </c>
      <c r="C2141" s="333" t="s">
        <v>11818</v>
      </c>
      <c r="D2141" s="202" t="s">
        <v>19060</v>
      </c>
      <c r="E2141" s="203" t="s">
        <v>19061</v>
      </c>
      <c r="F2141" s="204" t="s">
        <v>19062</v>
      </c>
      <c r="G2141" s="204" t="s">
        <v>19063</v>
      </c>
      <c r="H2141" s="218"/>
      <c r="I2141" s="169">
        <v>110842</v>
      </c>
      <c r="J2141" s="304" t="str">
        <f>CONCATENATE([2]Cover!$D$6,"fdd/view?i=",I2141)</f>
        <v>https://www.dgiwg.org/FAD/fdd/view?i=110842</v>
      </c>
      <c r="K2141" s="304" t="s">
        <v>36190</v>
      </c>
      <c r="L2141" s="202">
        <v>6</v>
      </c>
      <c r="M2141" s="179" t="s">
        <v>151</v>
      </c>
    </row>
    <row r="2142" spans="1:13" ht="38.25">
      <c r="A2142" s="313" t="str">
        <f t="shared" si="33"/>
        <v>ColourPatternCode_diagonalStripes</v>
      </c>
      <c r="B2142" s="330"/>
      <c r="C2142" s="334"/>
      <c r="D2142" s="188" t="s">
        <v>19064</v>
      </c>
      <c r="E2142" s="189" t="s">
        <v>19065</v>
      </c>
      <c r="F2142" s="162" t="s">
        <v>19066</v>
      </c>
      <c r="G2142" s="162" t="s">
        <v>19067</v>
      </c>
      <c r="H2142" s="219"/>
      <c r="I2142" s="169">
        <v>110839</v>
      </c>
      <c r="J2142" s="304" t="str">
        <f>CONCATENATE([2]Cover!$D$6,"fdd/view?i=",I2142)</f>
        <v>https://www.dgiwg.org/FAD/fdd/view?i=110839</v>
      </c>
      <c r="K2142" s="304" t="s">
        <v>36191</v>
      </c>
      <c r="L2142" s="188">
        <v>3</v>
      </c>
      <c r="M2142" s="179" t="s">
        <v>151</v>
      </c>
    </row>
    <row r="2143" spans="1:13" ht="38.25">
      <c r="A2143" s="313" t="str">
        <f t="shared" si="33"/>
        <v>ColourPatternCode_horizontalStripes</v>
      </c>
      <c r="B2143" s="330"/>
      <c r="C2143" s="334"/>
      <c r="D2143" s="188" t="s">
        <v>19068</v>
      </c>
      <c r="E2143" s="189" t="s">
        <v>19069</v>
      </c>
      <c r="F2143" s="162" t="s">
        <v>19070</v>
      </c>
      <c r="G2143" s="162" t="s">
        <v>19071</v>
      </c>
      <c r="H2143" s="219"/>
      <c r="I2143" s="169">
        <v>110837</v>
      </c>
      <c r="J2143" s="304" t="str">
        <f>CONCATENATE([2]Cover!$D$6,"fdd/view?i=",I2143)</f>
        <v>https://www.dgiwg.org/FAD/fdd/view?i=110837</v>
      </c>
      <c r="K2143" s="304" t="s">
        <v>36192</v>
      </c>
      <c r="L2143" s="188">
        <v>1</v>
      </c>
      <c r="M2143" s="179" t="s">
        <v>151</v>
      </c>
    </row>
    <row r="2144" spans="1:13">
      <c r="A2144" s="313" t="str">
        <f t="shared" si="33"/>
        <v>ColourPatternCode_singleColor</v>
      </c>
      <c r="B2144" s="330"/>
      <c r="C2144" s="334"/>
      <c r="D2144" s="188" t="s">
        <v>19072</v>
      </c>
      <c r="E2144" s="189" t="s">
        <v>19073</v>
      </c>
      <c r="F2144" s="162" t="s">
        <v>19074</v>
      </c>
      <c r="G2144" s="190"/>
      <c r="H2144" s="219"/>
      <c r="I2144" s="169">
        <v>110843</v>
      </c>
      <c r="J2144" s="304" t="str">
        <f>CONCATENATE([2]Cover!$D$6,"fdd/view?i=",I2144)</f>
        <v>https://www.dgiwg.org/FAD/fdd/view?i=110843</v>
      </c>
      <c r="K2144" s="304" t="s">
        <v>36193</v>
      </c>
      <c r="L2144" s="188">
        <v>7</v>
      </c>
      <c r="M2144" s="179" t="s">
        <v>151</v>
      </c>
    </row>
    <row r="2145" spans="1:13" ht="76.5">
      <c r="A2145" s="313" t="str">
        <f t="shared" si="33"/>
        <v>ColourPatternCode_squared</v>
      </c>
      <c r="B2145" s="330"/>
      <c r="C2145" s="334"/>
      <c r="D2145" s="188" t="s">
        <v>19075</v>
      </c>
      <c r="E2145" s="189" t="s">
        <v>19076</v>
      </c>
      <c r="F2145" s="162" t="s">
        <v>19077</v>
      </c>
      <c r="G2145" s="162" t="s">
        <v>19078</v>
      </c>
      <c r="H2145" s="219"/>
      <c r="I2145" s="169">
        <v>110840</v>
      </c>
      <c r="J2145" s="304" t="str">
        <f>CONCATENATE([2]Cover!$D$6,"fdd/view?i=",I2145)</f>
        <v>https://www.dgiwg.org/FAD/fdd/view?i=110840</v>
      </c>
      <c r="K2145" s="304" t="s">
        <v>36194</v>
      </c>
      <c r="L2145" s="188">
        <v>4</v>
      </c>
      <c r="M2145" s="179" t="s">
        <v>151</v>
      </c>
    </row>
    <row r="2146" spans="1:13" ht="25.5">
      <c r="A2146" s="313" t="str">
        <f t="shared" si="33"/>
        <v>ColourPatternCode_stripes</v>
      </c>
      <c r="B2146" s="330"/>
      <c r="C2146" s="334"/>
      <c r="D2146" s="188" t="s">
        <v>19079</v>
      </c>
      <c r="E2146" s="189" t="s">
        <v>19080</v>
      </c>
      <c r="F2146" s="162" t="s">
        <v>19081</v>
      </c>
      <c r="G2146" s="190"/>
      <c r="H2146" s="219"/>
      <c r="I2146" s="169">
        <v>110841</v>
      </c>
      <c r="J2146" s="304" t="str">
        <f>CONCATENATE([2]Cover!$D$6,"fdd/view?i=",I2146)</f>
        <v>https://www.dgiwg.org/FAD/fdd/view?i=110841</v>
      </c>
      <c r="K2146" s="304" t="s">
        <v>36195</v>
      </c>
      <c r="L2146" s="188">
        <v>5</v>
      </c>
      <c r="M2146" s="179" t="s">
        <v>151</v>
      </c>
    </row>
    <row r="2147" spans="1:13" ht="38.25">
      <c r="A2147" s="313" t="str">
        <f t="shared" si="33"/>
        <v>ColourPatternCode_verticalStripes</v>
      </c>
      <c r="B2147" s="331"/>
      <c r="C2147" s="335"/>
      <c r="D2147" s="181" t="s">
        <v>19082</v>
      </c>
      <c r="E2147" s="192" t="s">
        <v>19083</v>
      </c>
      <c r="F2147" s="193" t="s">
        <v>19084</v>
      </c>
      <c r="G2147" s="193" t="s">
        <v>19085</v>
      </c>
      <c r="H2147" s="220"/>
      <c r="I2147" s="169">
        <v>110838</v>
      </c>
      <c r="J2147" s="304" t="str">
        <f>CONCATENATE([2]Cover!$D$6,"fdd/view?i=",I2147)</f>
        <v>https://www.dgiwg.org/FAD/fdd/view?i=110838</v>
      </c>
      <c r="K2147" s="304" t="s">
        <v>36196</v>
      </c>
      <c r="L2147" s="181">
        <v>2</v>
      </c>
      <c r="M2147" s="179" t="s">
        <v>151</v>
      </c>
    </row>
    <row r="2148" spans="1:13" ht="25.5">
      <c r="A2148" s="313" t="str">
        <f t="shared" si="33"/>
        <v>CommercialShipActivityLevelCode_heavyShippingActivity</v>
      </c>
      <c r="B2148" s="332" t="str">
        <f>HYPERLINK("[#]Datatypes!A325:L325","CommercialShipActivityLevelCode")</f>
        <v>CommercialShipActivityLevelCode</v>
      </c>
      <c r="C2148" s="333" t="s">
        <v>11820</v>
      </c>
      <c r="D2148" s="202" t="s">
        <v>19086</v>
      </c>
      <c r="E2148" s="203" t="s">
        <v>19087</v>
      </c>
      <c r="F2148" s="204" t="s">
        <v>19088</v>
      </c>
      <c r="G2148" s="205"/>
      <c r="H2148" s="218"/>
      <c r="I2148" s="169">
        <v>206478</v>
      </c>
      <c r="J2148" s="304" t="str">
        <f>CONCATENATE([2]Cover!$D$6,"fdd/view?i=",I2148)</f>
        <v>https://www.dgiwg.org/FAD/fdd/view?i=206478</v>
      </c>
      <c r="K2148" s="304" t="s">
        <v>36197</v>
      </c>
      <c r="L2148" s="202">
        <v>4</v>
      </c>
      <c r="M2148" s="179" t="s">
        <v>1295</v>
      </c>
    </row>
    <row r="2149" spans="1:13" ht="25.5">
      <c r="A2149" s="313" t="str">
        <f t="shared" si="33"/>
        <v>CommercialShipActivityLevelCode_infrequentShippingActivity</v>
      </c>
      <c r="B2149" s="330"/>
      <c r="C2149" s="334"/>
      <c r="D2149" s="188" t="s">
        <v>19089</v>
      </c>
      <c r="E2149" s="189" t="s">
        <v>19090</v>
      </c>
      <c r="F2149" s="162" t="s">
        <v>19091</v>
      </c>
      <c r="G2149" s="190"/>
      <c r="H2149" s="219"/>
      <c r="I2149" s="169">
        <v>206475</v>
      </c>
      <c r="J2149" s="304" t="str">
        <f>CONCATENATE([2]Cover!$D$6,"fdd/view?i=",I2149)</f>
        <v>https://www.dgiwg.org/FAD/fdd/view?i=206475</v>
      </c>
      <c r="K2149" s="304" t="s">
        <v>36198</v>
      </c>
      <c r="L2149" s="188">
        <v>1</v>
      </c>
      <c r="M2149" s="179" t="s">
        <v>1295</v>
      </c>
    </row>
    <row r="2150" spans="1:13" ht="25.5">
      <c r="A2150" s="313" t="str">
        <f t="shared" si="33"/>
        <v>CommercialShipActivityLevelCode_lightShippingActivity</v>
      </c>
      <c r="B2150" s="330"/>
      <c r="C2150" s="334"/>
      <c r="D2150" s="188" t="s">
        <v>19092</v>
      </c>
      <c r="E2150" s="189" t="s">
        <v>19093</v>
      </c>
      <c r="F2150" s="162" t="s">
        <v>19094</v>
      </c>
      <c r="G2150" s="190"/>
      <c r="H2150" s="219"/>
      <c r="I2150" s="169">
        <v>206476</v>
      </c>
      <c r="J2150" s="304" t="str">
        <f>CONCATENATE([2]Cover!$D$6,"fdd/view?i=",I2150)</f>
        <v>https://www.dgiwg.org/FAD/fdd/view?i=206476</v>
      </c>
      <c r="K2150" s="304" t="s">
        <v>36199</v>
      </c>
      <c r="L2150" s="188">
        <v>2</v>
      </c>
      <c r="M2150" s="179" t="s">
        <v>1295</v>
      </c>
    </row>
    <row r="2151" spans="1:13" ht="25.5">
      <c r="A2151" s="313" t="str">
        <f t="shared" si="33"/>
        <v>CommercialShipActivityLevelCode_moderateShippingActivity</v>
      </c>
      <c r="B2151" s="330"/>
      <c r="C2151" s="334"/>
      <c r="D2151" s="188" t="s">
        <v>19095</v>
      </c>
      <c r="E2151" s="189" t="s">
        <v>19096</v>
      </c>
      <c r="F2151" s="162" t="s">
        <v>19097</v>
      </c>
      <c r="G2151" s="190"/>
      <c r="H2151" s="219"/>
      <c r="I2151" s="169">
        <v>206477</v>
      </c>
      <c r="J2151" s="304" t="str">
        <f>CONCATENATE([2]Cover!$D$6,"fdd/view?i=",I2151)</f>
        <v>https://www.dgiwg.org/FAD/fdd/view?i=206477</v>
      </c>
      <c r="K2151" s="304" t="s">
        <v>36200</v>
      </c>
      <c r="L2151" s="188">
        <v>3</v>
      </c>
      <c r="M2151" s="179" t="s">
        <v>1295</v>
      </c>
    </row>
    <row r="2152" spans="1:13" ht="25.5">
      <c r="A2152" s="313" t="str">
        <f t="shared" si="33"/>
        <v>CommercialShipActivityLevelCode_veryHeavyShippingActivity</v>
      </c>
      <c r="B2152" s="331"/>
      <c r="C2152" s="335"/>
      <c r="D2152" s="181" t="s">
        <v>19098</v>
      </c>
      <c r="E2152" s="192" t="s">
        <v>19099</v>
      </c>
      <c r="F2152" s="193" t="s">
        <v>19100</v>
      </c>
      <c r="G2152" s="194"/>
      <c r="H2152" s="220"/>
      <c r="I2152" s="169">
        <v>206479</v>
      </c>
      <c r="J2152" s="304" t="str">
        <f>CONCATENATE([2]Cover!$D$6,"fdd/view?i=",I2152)</f>
        <v>https://www.dgiwg.org/FAD/fdd/view?i=206479</v>
      </c>
      <c r="K2152" s="304" t="s">
        <v>36201</v>
      </c>
      <c r="L2152" s="181">
        <v>5</v>
      </c>
      <c r="M2152" s="179" t="s">
        <v>1295</v>
      </c>
    </row>
    <row r="2153" spans="1:13" ht="25.5">
      <c r="A2153" s="313" t="str">
        <f t="shared" si="33"/>
        <v>CommissionedStatusCode_commissionedOnTest</v>
      </c>
      <c r="B2153" s="332" t="str">
        <f>HYPERLINK("[#]Datatypes!A327:L327","CommissionedStatusCode")</f>
        <v>CommissionedStatusCode</v>
      </c>
      <c r="C2153" s="333" t="s">
        <v>11822</v>
      </c>
      <c r="D2153" s="202" t="s">
        <v>19101</v>
      </c>
      <c r="E2153" s="203" t="s">
        <v>19102</v>
      </c>
      <c r="F2153" s="204" t="s">
        <v>19103</v>
      </c>
      <c r="G2153" s="205"/>
      <c r="H2153" s="218"/>
      <c r="I2153" s="169">
        <v>103118</v>
      </c>
      <c r="J2153" s="304" t="str">
        <f>CONCATENATE([2]Cover!$D$6,"fdd/view?i=",I2153)</f>
        <v>https://www.dgiwg.org/FAD/fdd/view?i=103118</v>
      </c>
      <c r="K2153" s="304" t="s">
        <v>36202</v>
      </c>
      <c r="L2153" s="202">
        <v>2</v>
      </c>
      <c r="M2153" s="179" t="s">
        <v>151</v>
      </c>
    </row>
    <row r="2154" spans="1:13" ht="25.5">
      <c r="A2154" s="313" t="str">
        <f t="shared" si="33"/>
        <v>CommissionedStatusCode_commissionedOperational</v>
      </c>
      <c r="B2154" s="330"/>
      <c r="C2154" s="334"/>
      <c r="D2154" s="188" t="s">
        <v>19104</v>
      </c>
      <c r="E2154" s="189" t="s">
        <v>19105</v>
      </c>
      <c r="F2154" s="162" t="s">
        <v>19106</v>
      </c>
      <c r="G2154" s="190"/>
      <c r="H2154" s="219"/>
      <c r="I2154" s="169">
        <v>103117</v>
      </c>
      <c r="J2154" s="304" t="str">
        <f>CONCATENATE([2]Cover!$D$6,"fdd/view?i=",I2154)</f>
        <v>https://www.dgiwg.org/FAD/fdd/view?i=103117</v>
      </c>
      <c r="K2154" s="304" t="s">
        <v>36203</v>
      </c>
      <c r="L2154" s="188">
        <v>1</v>
      </c>
      <c r="M2154" s="179" t="s">
        <v>151</v>
      </c>
    </row>
    <row r="2155" spans="1:13" ht="25.5">
      <c r="A2155" s="313" t="str">
        <f t="shared" si="33"/>
        <v>CommissionedStatusCode_commissionedOutOfService</v>
      </c>
      <c r="B2155" s="330"/>
      <c r="C2155" s="334"/>
      <c r="D2155" s="188" t="s">
        <v>19107</v>
      </c>
      <c r="E2155" s="189" t="s">
        <v>19108</v>
      </c>
      <c r="F2155" s="162" t="s">
        <v>19109</v>
      </c>
      <c r="G2155" s="190"/>
      <c r="H2155" s="219"/>
      <c r="I2155" s="169">
        <v>103119</v>
      </c>
      <c r="J2155" s="304" t="str">
        <f>CONCATENATE([2]Cover!$D$6,"fdd/view?i=",I2155)</f>
        <v>https://www.dgiwg.org/FAD/fdd/view?i=103119</v>
      </c>
      <c r="K2155" s="304" t="s">
        <v>36204</v>
      </c>
      <c r="L2155" s="188">
        <v>3</v>
      </c>
      <c r="M2155" s="179" t="s">
        <v>151</v>
      </c>
    </row>
    <row r="2156" spans="1:13" ht="25.5">
      <c r="A2156" s="313" t="str">
        <f t="shared" si="33"/>
        <v>CommissionedStatusCode_notCommissionOutOfService</v>
      </c>
      <c r="B2156" s="330"/>
      <c r="C2156" s="334"/>
      <c r="D2156" s="188" t="s">
        <v>19110</v>
      </c>
      <c r="E2156" s="189" t="s">
        <v>19111</v>
      </c>
      <c r="F2156" s="162" t="s">
        <v>19112</v>
      </c>
      <c r="G2156" s="190"/>
      <c r="H2156" s="219"/>
      <c r="I2156" s="169">
        <v>103122</v>
      </c>
      <c r="J2156" s="304" t="str">
        <f>CONCATENATE([2]Cover!$D$6,"fdd/view?i=",I2156)</f>
        <v>https://www.dgiwg.org/FAD/fdd/view?i=103122</v>
      </c>
      <c r="K2156" s="304" t="s">
        <v>36205</v>
      </c>
      <c r="L2156" s="188">
        <v>6</v>
      </c>
      <c r="M2156" s="179" t="s">
        <v>151</v>
      </c>
    </row>
    <row r="2157" spans="1:13" ht="25.5">
      <c r="A2157" s="313" t="str">
        <f t="shared" si="33"/>
        <v>CommissionedStatusCode_onTestNotCommissioned</v>
      </c>
      <c r="B2157" s="330"/>
      <c r="C2157" s="334"/>
      <c r="D2157" s="188" t="s">
        <v>19113</v>
      </c>
      <c r="E2157" s="189" t="s">
        <v>19114</v>
      </c>
      <c r="F2157" s="162" t="s">
        <v>19115</v>
      </c>
      <c r="G2157" s="190"/>
      <c r="H2157" s="219"/>
      <c r="I2157" s="169">
        <v>103121</v>
      </c>
      <c r="J2157" s="304" t="str">
        <f>CONCATENATE([2]Cover!$D$6,"fdd/view?i=",I2157)</f>
        <v>https://www.dgiwg.org/FAD/fdd/view?i=103121</v>
      </c>
      <c r="K2157" s="304" t="s">
        <v>36206</v>
      </c>
      <c r="L2157" s="188">
        <v>5</v>
      </c>
      <c r="M2157" s="179" t="s">
        <v>151</v>
      </c>
    </row>
    <row r="2158" spans="1:13" ht="25.5">
      <c r="A2158" s="313" t="str">
        <f t="shared" si="33"/>
        <v>CommissionedStatusCode_operationalNotCommissioned</v>
      </c>
      <c r="B2158" s="331"/>
      <c r="C2158" s="335"/>
      <c r="D2158" s="181" t="s">
        <v>19116</v>
      </c>
      <c r="E2158" s="192" t="s">
        <v>19117</v>
      </c>
      <c r="F2158" s="193" t="s">
        <v>19118</v>
      </c>
      <c r="G2158" s="194"/>
      <c r="H2158" s="220"/>
      <c r="I2158" s="169">
        <v>103120</v>
      </c>
      <c r="J2158" s="304" t="str">
        <f>CONCATENATE([2]Cover!$D$6,"fdd/view?i=",I2158)</f>
        <v>https://www.dgiwg.org/FAD/fdd/view?i=103120</v>
      </c>
      <c r="K2158" s="304" t="s">
        <v>36207</v>
      </c>
      <c r="L2158" s="181">
        <v>4</v>
      </c>
      <c r="M2158" s="179" t="s">
        <v>151</v>
      </c>
    </row>
    <row r="2159" spans="1:13" ht="38.25">
      <c r="A2159" s="313" t="str">
        <f t="shared" si="33"/>
        <v>CommunicationTypeCode_aerodromeFlightInfoServ</v>
      </c>
      <c r="B2159" s="332" t="str">
        <f>HYPERLINK("[#]Datatypes!A329:L329","CommunicationTypeCode")</f>
        <v>CommunicationTypeCode</v>
      </c>
      <c r="C2159" s="333" t="s">
        <v>11824</v>
      </c>
      <c r="D2159" s="202" t="s">
        <v>15228</v>
      </c>
      <c r="E2159" s="203" t="s">
        <v>19127</v>
      </c>
      <c r="F2159" s="205"/>
      <c r="G2159" s="205"/>
      <c r="H2159" s="218"/>
      <c r="J2159" s="304" t="str">
        <f>CONCATENATE([2]Cover!$D$6,"fdd/view?i=",I2159)</f>
        <v>https://www.dgiwg.org/FAD/fdd/view?i=</v>
      </c>
      <c r="K2159" s="304" t="s">
        <v>36208</v>
      </c>
      <c r="L2159" s="202">
        <v>43</v>
      </c>
      <c r="M2159" s="179" t="s">
        <v>1295</v>
      </c>
    </row>
    <row r="2160" spans="1:13" ht="25.5">
      <c r="A2160" s="313" t="str">
        <f t="shared" si="33"/>
        <v>CommunicationTypeCode_airGround</v>
      </c>
      <c r="B2160" s="330"/>
      <c r="C2160" s="334"/>
      <c r="D2160" s="188" t="s">
        <v>19121</v>
      </c>
      <c r="E2160" s="189" t="s">
        <v>19122</v>
      </c>
      <c r="F2160" s="190"/>
      <c r="G2160" s="190"/>
      <c r="H2160" s="219"/>
      <c r="J2160" s="304" t="str">
        <f>CONCATENATE([2]Cover!$D$6,"fdd/view?i=",I2160)</f>
        <v>https://www.dgiwg.org/FAD/fdd/view?i=</v>
      </c>
      <c r="K2160" s="304" t="s">
        <v>36209</v>
      </c>
      <c r="L2160" s="188">
        <v>30</v>
      </c>
      <c r="M2160" s="179" t="s">
        <v>1295</v>
      </c>
    </row>
    <row r="2161" spans="1:13" ht="25.5">
      <c r="A2161" s="313" t="str">
        <f t="shared" si="33"/>
        <v>CommunicationTypeCode_airliftCommandPost</v>
      </c>
      <c r="B2161" s="330"/>
      <c r="C2161" s="334"/>
      <c r="D2161" s="188" t="s">
        <v>15493</v>
      </c>
      <c r="E2161" s="189" t="s">
        <v>19126</v>
      </c>
      <c r="F2161" s="190"/>
      <c r="G2161" s="190"/>
      <c r="H2161" s="219"/>
      <c r="J2161" s="304" t="str">
        <f>CONCATENATE([2]Cover!$D$6,"fdd/view?i=",I2161)</f>
        <v>https://www.dgiwg.org/FAD/fdd/view?i=</v>
      </c>
      <c r="K2161" s="304" t="s">
        <v>36210</v>
      </c>
      <c r="L2161" s="188">
        <v>2</v>
      </c>
      <c r="M2161" s="179" t="s">
        <v>1295</v>
      </c>
    </row>
    <row r="2162" spans="1:13" ht="25.5">
      <c r="A2162" s="313" t="str">
        <f t="shared" si="33"/>
        <v>CommunicationTypeCode_airportAdvisoryService</v>
      </c>
      <c r="B2162" s="330"/>
      <c r="C2162" s="334"/>
      <c r="D2162" s="188" t="s">
        <v>15682</v>
      </c>
      <c r="E2162" s="189" t="s">
        <v>19123</v>
      </c>
      <c r="F2162" s="190"/>
      <c r="G2162" s="190"/>
      <c r="H2162" s="219"/>
      <c r="J2162" s="304" t="str">
        <f>CONCATENATE([2]Cover!$D$6,"fdd/view?i=",I2162)</f>
        <v>https://www.dgiwg.org/FAD/fdd/view?i=</v>
      </c>
      <c r="K2162" s="304" t="s">
        <v>36211</v>
      </c>
      <c r="L2162" s="188">
        <v>37</v>
      </c>
      <c r="M2162" s="179" t="s">
        <v>1295</v>
      </c>
    </row>
    <row r="2163" spans="1:13" ht="25.5">
      <c r="A2163" s="313" t="str">
        <f t="shared" si="33"/>
        <v>CommunicationTypeCode_airportRadarServiceCenter</v>
      </c>
      <c r="B2163" s="330"/>
      <c r="C2163" s="334"/>
      <c r="D2163" s="188" t="s">
        <v>19134</v>
      </c>
      <c r="E2163" s="189" t="s">
        <v>19135</v>
      </c>
      <c r="F2163" s="190"/>
      <c r="G2163" s="190"/>
      <c r="H2163" s="219"/>
      <c r="J2163" s="304" t="str">
        <f>CONCATENATE([2]Cover!$D$6,"fdd/view?i=",I2163)</f>
        <v>https://www.dgiwg.org/FAD/fdd/view?i=</v>
      </c>
      <c r="K2163" s="304" t="s">
        <v>36212</v>
      </c>
      <c r="L2163" s="188">
        <v>24</v>
      </c>
      <c r="M2163" s="179" t="s">
        <v>1295</v>
      </c>
    </row>
    <row r="2164" spans="1:13" ht="25.5">
      <c r="A2164" s="313" t="str">
        <f t="shared" si="33"/>
        <v>CommunicationTypeCode_airportWxInfoBroadcast</v>
      </c>
      <c r="B2164" s="330"/>
      <c r="C2164" s="334"/>
      <c r="D2164" s="188" t="s">
        <v>19140</v>
      </c>
      <c r="E2164" s="189" t="s">
        <v>19141</v>
      </c>
      <c r="F2164" s="190"/>
      <c r="G2164" s="190"/>
      <c r="H2164" s="219"/>
      <c r="J2164" s="304" t="str">
        <f>CONCATENATE([2]Cover!$D$6,"fdd/view?i=",I2164)</f>
        <v>https://www.dgiwg.org/FAD/fdd/view?i=</v>
      </c>
      <c r="K2164" s="304" t="s">
        <v>36213</v>
      </c>
      <c r="L2164" s="188">
        <v>47</v>
      </c>
      <c r="M2164" s="179" t="s">
        <v>1295</v>
      </c>
    </row>
    <row r="2165" spans="1:13" ht="25.5">
      <c r="A2165" s="313" t="str">
        <f t="shared" si="33"/>
        <v>CommunicationTypeCode_airRouteTrafficControl</v>
      </c>
      <c r="B2165" s="330"/>
      <c r="C2165" s="334"/>
      <c r="D2165" s="188" t="s">
        <v>19128</v>
      </c>
      <c r="E2165" s="189" t="s">
        <v>19129</v>
      </c>
      <c r="F2165" s="190"/>
      <c r="G2165" s="190"/>
      <c r="H2165" s="219"/>
      <c r="J2165" s="304" t="str">
        <f>CONCATENATE([2]Cover!$D$6,"fdd/view?i=",I2165)</f>
        <v>https://www.dgiwg.org/FAD/fdd/view?i=</v>
      </c>
      <c r="K2165" s="304" t="s">
        <v>36214</v>
      </c>
      <c r="L2165" s="188">
        <v>38</v>
      </c>
      <c r="M2165" s="179" t="s">
        <v>1295</v>
      </c>
    </row>
    <row r="2166" spans="1:13" ht="25.5">
      <c r="A2166" s="313" t="str">
        <f t="shared" si="33"/>
        <v>CommunicationTypeCode_approachControl</v>
      </c>
      <c r="B2166" s="330"/>
      <c r="C2166" s="334"/>
      <c r="D2166" s="188" t="s">
        <v>19130</v>
      </c>
      <c r="E2166" s="189" t="s">
        <v>19131</v>
      </c>
      <c r="F2166" s="190"/>
      <c r="G2166" s="190"/>
      <c r="H2166" s="219"/>
      <c r="J2166" s="304" t="str">
        <f>CONCATENATE([2]Cover!$D$6,"fdd/view?i=",I2166)</f>
        <v>https://www.dgiwg.org/FAD/fdd/view?i=</v>
      </c>
      <c r="K2166" s="304" t="s">
        <v>36215</v>
      </c>
      <c r="L2166" s="188">
        <v>3</v>
      </c>
      <c r="M2166" s="179" t="s">
        <v>1295</v>
      </c>
    </row>
    <row r="2167" spans="1:13" ht="38.25">
      <c r="A2167" s="313" t="str">
        <f t="shared" si="33"/>
        <v>CommunicationTypeCode_approachDepartureControl</v>
      </c>
      <c r="B2167" s="330"/>
      <c r="C2167" s="334"/>
      <c r="D2167" s="188" t="s">
        <v>19119</v>
      </c>
      <c r="E2167" s="189" t="s">
        <v>19120</v>
      </c>
      <c r="F2167" s="190"/>
      <c r="G2167" s="190"/>
      <c r="H2167" s="219"/>
      <c r="J2167" s="304" t="str">
        <f>CONCATENATE([2]Cover!$D$6,"fdd/view?i=",I2167)</f>
        <v>https://www.dgiwg.org/FAD/fdd/view?i=</v>
      </c>
      <c r="K2167" s="304" t="s">
        <v>36216</v>
      </c>
      <c r="L2167" s="188">
        <v>31</v>
      </c>
      <c r="M2167" s="179" t="s">
        <v>1295</v>
      </c>
    </row>
    <row r="2168" spans="1:13" ht="25.5">
      <c r="A2168" s="313" t="str">
        <f t="shared" si="33"/>
        <v>CommunicationTypeCode_areaControlCenter</v>
      </c>
      <c r="B2168" s="330"/>
      <c r="C2168" s="334"/>
      <c r="D2168" s="188" t="s">
        <v>19124</v>
      </c>
      <c r="E2168" s="189" t="s">
        <v>19125</v>
      </c>
      <c r="F2168" s="190"/>
      <c r="G2168" s="190"/>
      <c r="H2168" s="219"/>
      <c r="J2168" s="304" t="str">
        <f>CONCATENATE([2]Cover!$D$6,"fdd/view?i=",I2168)</f>
        <v>https://www.dgiwg.org/FAD/fdd/view?i=</v>
      </c>
      <c r="K2168" s="304" t="s">
        <v>36217</v>
      </c>
      <c r="L2168" s="188">
        <v>1</v>
      </c>
      <c r="M2168" s="179" t="s">
        <v>1295</v>
      </c>
    </row>
    <row r="2169" spans="1:13" ht="25.5">
      <c r="A2169" s="313" t="str">
        <f t="shared" si="33"/>
        <v>CommunicationTypeCode_arrivalControl</v>
      </c>
      <c r="B2169" s="330"/>
      <c r="C2169" s="334"/>
      <c r="D2169" s="188" t="s">
        <v>19132</v>
      </c>
      <c r="E2169" s="189" t="s">
        <v>19133</v>
      </c>
      <c r="F2169" s="190"/>
      <c r="G2169" s="190"/>
      <c r="H2169" s="219"/>
      <c r="J2169" s="304" t="str">
        <f>CONCATENATE([2]Cover!$D$6,"fdd/view?i=",I2169)</f>
        <v>https://www.dgiwg.org/FAD/fdd/view?i=</v>
      </c>
      <c r="K2169" s="304" t="s">
        <v>36218</v>
      </c>
      <c r="L2169" s="188">
        <v>4</v>
      </c>
      <c r="M2169" s="179" t="s">
        <v>1295</v>
      </c>
    </row>
    <row r="2170" spans="1:13" ht="38.25">
      <c r="A2170" s="313" t="str">
        <f t="shared" si="33"/>
        <v>CommunicationTypeCode_automatedSurfaceObsSystem</v>
      </c>
      <c r="B2170" s="330"/>
      <c r="C2170" s="334"/>
      <c r="D2170" s="188" t="s">
        <v>19136</v>
      </c>
      <c r="E2170" s="189" t="s">
        <v>19137</v>
      </c>
      <c r="F2170" s="190"/>
      <c r="G2170" s="190"/>
      <c r="H2170" s="219"/>
      <c r="J2170" s="304" t="str">
        <f>CONCATENATE([2]Cover!$D$6,"fdd/view?i=",I2170)</f>
        <v>https://www.dgiwg.org/FAD/fdd/view?i=</v>
      </c>
      <c r="K2170" s="304" t="s">
        <v>36219</v>
      </c>
      <c r="L2170" s="188">
        <v>46</v>
      </c>
      <c r="M2170" s="179" t="s">
        <v>1295</v>
      </c>
    </row>
    <row r="2171" spans="1:13" ht="38.25">
      <c r="A2171" s="313" t="str">
        <f t="shared" si="33"/>
        <v>CommunicationTypeCode_automaticTermInfoService</v>
      </c>
      <c r="B2171" s="330"/>
      <c r="C2171" s="334"/>
      <c r="D2171" s="188" t="s">
        <v>19138</v>
      </c>
      <c r="E2171" s="189" t="s">
        <v>19139</v>
      </c>
      <c r="F2171" s="190"/>
      <c r="G2171" s="190"/>
      <c r="H2171" s="219"/>
      <c r="J2171" s="304" t="str">
        <f>CONCATENATE([2]Cover!$D$6,"fdd/view?i=",I2171)</f>
        <v>https://www.dgiwg.org/FAD/fdd/view?i=</v>
      </c>
      <c r="K2171" s="304" t="s">
        <v>36220</v>
      </c>
      <c r="L2171" s="188">
        <v>5</v>
      </c>
      <c r="M2171" s="179" t="s">
        <v>1295</v>
      </c>
    </row>
    <row r="2172" spans="1:13" ht="38.25">
      <c r="A2172" s="313" t="str">
        <f t="shared" si="33"/>
        <v>CommunicationTypeCode_automaticWxObsStation</v>
      </c>
      <c r="B2172" s="330"/>
      <c r="C2172" s="334"/>
      <c r="D2172" s="188" t="s">
        <v>19142</v>
      </c>
      <c r="E2172" s="189" t="s">
        <v>19143</v>
      </c>
      <c r="F2172" s="190"/>
      <c r="G2172" s="190"/>
      <c r="H2172" s="219"/>
      <c r="J2172" s="304" t="str">
        <f>CONCATENATE([2]Cover!$D$6,"fdd/view?i=",I2172)</f>
        <v>https://www.dgiwg.org/FAD/fdd/view?i=</v>
      </c>
      <c r="K2172" s="304" t="s">
        <v>36221</v>
      </c>
      <c r="L2172" s="188">
        <v>6</v>
      </c>
      <c r="M2172" s="179" t="s">
        <v>1295</v>
      </c>
    </row>
    <row r="2173" spans="1:13">
      <c r="A2173" s="313" t="str">
        <f t="shared" si="33"/>
        <v>CommunicationTypeCode_center</v>
      </c>
      <c r="B2173" s="330"/>
      <c r="C2173" s="334"/>
      <c r="D2173" s="188" t="s">
        <v>19148</v>
      </c>
      <c r="E2173" s="189" t="s">
        <v>19149</v>
      </c>
      <c r="F2173" s="190"/>
      <c r="G2173" s="190"/>
      <c r="H2173" s="219"/>
      <c r="J2173" s="304" t="str">
        <f>CONCATENATE([2]Cover!$D$6,"fdd/view?i=",I2173)</f>
        <v>https://www.dgiwg.org/FAD/fdd/view?i=</v>
      </c>
      <c r="K2173" s="304" t="s">
        <v>36222</v>
      </c>
      <c r="L2173" s="188">
        <v>32</v>
      </c>
      <c r="M2173" s="179" t="s">
        <v>1295</v>
      </c>
    </row>
    <row r="2174" spans="1:13" ht="25.5">
      <c r="A2174" s="313" t="str">
        <f t="shared" si="33"/>
        <v>CommunicationTypeCode_centralApproachControl</v>
      </c>
      <c r="B2174" s="330"/>
      <c r="C2174" s="334"/>
      <c r="D2174" s="188" t="s">
        <v>19144</v>
      </c>
      <c r="E2174" s="189" t="s">
        <v>19145</v>
      </c>
      <c r="F2174" s="190"/>
      <c r="G2174" s="190"/>
      <c r="H2174" s="219"/>
      <c r="J2174" s="304" t="str">
        <f>CONCATENATE([2]Cover!$D$6,"fdd/view?i=",I2174)</f>
        <v>https://www.dgiwg.org/FAD/fdd/view?i=</v>
      </c>
      <c r="K2174" s="304" t="s">
        <v>36223</v>
      </c>
      <c r="L2174" s="188">
        <v>42</v>
      </c>
      <c r="M2174" s="179" t="s">
        <v>1295</v>
      </c>
    </row>
    <row r="2175" spans="1:13" ht="25.5">
      <c r="A2175" s="313" t="str">
        <f t="shared" si="33"/>
        <v>CommunicationTypeCode_clearanceDelivery</v>
      </c>
      <c r="B2175" s="330"/>
      <c r="C2175" s="334"/>
      <c r="D2175" s="188" t="s">
        <v>19146</v>
      </c>
      <c r="E2175" s="189" t="s">
        <v>19147</v>
      </c>
      <c r="F2175" s="190"/>
      <c r="G2175" s="190"/>
      <c r="H2175" s="219"/>
      <c r="J2175" s="304" t="str">
        <f>CONCATENATE([2]Cover!$D$6,"fdd/view?i=",I2175)</f>
        <v>https://www.dgiwg.org/FAD/fdd/view?i=</v>
      </c>
      <c r="K2175" s="304" t="s">
        <v>36224</v>
      </c>
      <c r="L2175" s="188">
        <v>7</v>
      </c>
      <c r="M2175" s="179" t="s">
        <v>1295</v>
      </c>
    </row>
    <row r="2176" spans="1:13" ht="25.5">
      <c r="A2176" s="313" t="str">
        <f t="shared" si="33"/>
        <v>CommunicationTypeCode_commandPost</v>
      </c>
      <c r="B2176" s="330"/>
      <c r="C2176" s="334"/>
      <c r="D2176" s="188" t="s">
        <v>15517</v>
      </c>
      <c r="E2176" s="189" t="s">
        <v>19188</v>
      </c>
      <c r="F2176" s="190"/>
      <c r="G2176" s="190"/>
      <c r="H2176" s="219"/>
      <c r="J2176" s="304" t="str">
        <f>CONCATENATE([2]Cover!$D$6,"fdd/view?i=",I2176)</f>
        <v>https://www.dgiwg.org/FAD/fdd/view?i=</v>
      </c>
      <c r="K2176" s="304" t="s">
        <v>36225</v>
      </c>
      <c r="L2176" s="188">
        <v>34</v>
      </c>
      <c r="M2176" s="179" t="s">
        <v>1295</v>
      </c>
    </row>
    <row r="2177" spans="1:13" ht="25.5">
      <c r="A2177" s="313" t="str">
        <f t="shared" si="33"/>
        <v>CommunicationTypeCode_commonTrafficAdvisoryFreq</v>
      </c>
      <c r="B2177" s="330"/>
      <c r="C2177" s="334"/>
      <c r="D2177" s="188" t="s">
        <v>19150</v>
      </c>
      <c r="E2177" s="189" t="s">
        <v>19151</v>
      </c>
      <c r="F2177" s="190"/>
      <c r="G2177" s="190"/>
      <c r="H2177" s="219"/>
      <c r="J2177" s="304" t="str">
        <f>CONCATENATE([2]Cover!$D$6,"fdd/view?i=",I2177)</f>
        <v>https://www.dgiwg.org/FAD/fdd/view?i=</v>
      </c>
      <c r="K2177" s="304" t="s">
        <v>36226</v>
      </c>
      <c r="L2177" s="188">
        <v>29</v>
      </c>
      <c r="M2177" s="179" t="s">
        <v>1295</v>
      </c>
    </row>
    <row r="2178" spans="1:13" ht="25.5">
      <c r="A2178" s="313" t="str">
        <f t="shared" si="33"/>
        <v>CommunicationTypeCode_departureControl</v>
      </c>
      <c r="B2178" s="330"/>
      <c r="C2178" s="334"/>
      <c r="D2178" s="188" t="s">
        <v>19152</v>
      </c>
      <c r="E2178" s="189" t="s">
        <v>19153</v>
      </c>
      <c r="F2178" s="190"/>
      <c r="G2178" s="190"/>
      <c r="H2178" s="219"/>
      <c r="J2178" s="304" t="str">
        <f>CONCATENATE([2]Cover!$D$6,"fdd/view?i=",I2178)</f>
        <v>https://www.dgiwg.org/FAD/fdd/view?i=</v>
      </c>
      <c r="K2178" s="304" t="s">
        <v>36227</v>
      </c>
      <c r="L2178" s="188">
        <v>8</v>
      </c>
      <c r="M2178" s="179" t="s">
        <v>1295</v>
      </c>
    </row>
    <row r="2179" spans="1:13" ht="38.25">
      <c r="A2179" s="313" t="str">
        <f t="shared" ref="A2179:A2242" si="34">HYPERLINK(J2179,K2179)</f>
        <v>CommunicationTypeCode_directorRadarApproachCont</v>
      </c>
      <c r="B2179" s="330"/>
      <c r="C2179" s="334"/>
      <c r="D2179" s="188" t="s">
        <v>19154</v>
      </c>
      <c r="E2179" s="189" t="s">
        <v>19155</v>
      </c>
      <c r="F2179" s="190"/>
      <c r="G2179" s="190"/>
      <c r="H2179" s="219"/>
      <c r="J2179" s="304" t="str">
        <f>CONCATENATE([2]Cover!$D$6,"fdd/view?i=",I2179)</f>
        <v>https://www.dgiwg.org/FAD/fdd/view?i=</v>
      </c>
      <c r="K2179" s="304" t="s">
        <v>36228</v>
      </c>
      <c r="L2179" s="188">
        <v>9</v>
      </c>
      <c r="M2179" s="179" t="s">
        <v>1295</v>
      </c>
    </row>
    <row r="2180" spans="1:13" ht="25.5">
      <c r="A2180" s="313" t="str">
        <f t="shared" si="34"/>
        <v>CommunicationTypeCode_emergency</v>
      </c>
      <c r="B2180" s="330"/>
      <c r="C2180" s="334"/>
      <c r="D2180" s="188" t="s">
        <v>15444</v>
      </c>
      <c r="E2180" s="189" t="s">
        <v>19156</v>
      </c>
      <c r="F2180" s="190"/>
      <c r="G2180" s="190"/>
      <c r="H2180" s="219"/>
      <c r="J2180" s="304" t="str">
        <f>CONCATENATE([2]Cover!$D$6,"fdd/view?i=",I2180)</f>
        <v>https://www.dgiwg.org/FAD/fdd/view?i=</v>
      </c>
      <c r="K2180" s="304" t="s">
        <v>36229</v>
      </c>
      <c r="L2180" s="188">
        <v>10</v>
      </c>
      <c r="M2180" s="179" t="s">
        <v>1295</v>
      </c>
    </row>
    <row r="2181" spans="1:13" ht="25.5">
      <c r="A2181" s="313" t="str">
        <f t="shared" si="34"/>
        <v>CommunicationTypeCode_flightCommCenter</v>
      </c>
      <c r="B2181" s="330"/>
      <c r="C2181" s="334"/>
      <c r="D2181" s="188" t="s">
        <v>19157</v>
      </c>
      <c r="E2181" s="189" t="s">
        <v>19158</v>
      </c>
      <c r="F2181" s="190"/>
      <c r="G2181" s="190"/>
      <c r="H2181" s="219"/>
      <c r="J2181" s="304" t="str">
        <f>CONCATENATE([2]Cover!$D$6,"fdd/view?i=",I2181)</f>
        <v>https://www.dgiwg.org/FAD/fdd/view?i=</v>
      </c>
      <c r="K2181" s="304" t="s">
        <v>36230</v>
      </c>
      <c r="L2181" s="188">
        <v>48</v>
      </c>
      <c r="M2181" s="179" t="s">
        <v>1295</v>
      </c>
    </row>
    <row r="2182" spans="1:13" ht="25.5">
      <c r="A2182" s="313" t="str">
        <f t="shared" si="34"/>
        <v>CommunicationTypeCode_flightOperationCenter</v>
      </c>
      <c r="B2182" s="330"/>
      <c r="C2182" s="334"/>
      <c r="D2182" s="188" t="s">
        <v>19159</v>
      </c>
      <c r="E2182" s="189" t="s">
        <v>19160</v>
      </c>
      <c r="F2182" s="190"/>
      <c r="G2182" s="190"/>
      <c r="H2182" s="219"/>
      <c r="J2182" s="304" t="str">
        <f>CONCATENATE([2]Cover!$D$6,"fdd/view?i=",I2182)</f>
        <v>https://www.dgiwg.org/FAD/fdd/view?i=</v>
      </c>
      <c r="K2182" s="304" t="s">
        <v>36231</v>
      </c>
      <c r="L2182" s="188">
        <v>49</v>
      </c>
      <c r="M2182" s="179" t="s">
        <v>1295</v>
      </c>
    </row>
    <row r="2183" spans="1:13" ht="25.5">
      <c r="A2183" s="313" t="str">
        <f t="shared" si="34"/>
        <v>CommunicationTypeCode_flightServiceStation</v>
      </c>
      <c r="B2183" s="330"/>
      <c r="C2183" s="334"/>
      <c r="D2183" s="188" t="s">
        <v>15533</v>
      </c>
      <c r="E2183" s="189" t="s">
        <v>19161</v>
      </c>
      <c r="F2183" s="190"/>
      <c r="G2183" s="190"/>
      <c r="H2183" s="219"/>
      <c r="J2183" s="304" t="str">
        <f>CONCATENATE([2]Cover!$D$6,"fdd/view?i=",I2183)</f>
        <v>https://www.dgiwg.org/FAD/fdd/view?i=</v>
      </c>
      <c r="K2183" s="304" t="s">
        <v>36232</v>
      </c>
      <c r="L2183" s="188">
        <v>11</v>
      </c>
      <c r="M2183" s="179" t="s">
        <v>1295</v>
      </c>
    </row>
    <row r="2184" spans="1:13" ht="25.5">
      <c r="A2184" s="313" t="str">
        <f t="shared" si="34"/>
        <v>CommunicationTypeCode_gateControl</v>
      </c>
      <c r="B2184" s="330"/>
      <c r="C2184" s="334"/>
      <c r="D2184" s="188" t="s">
        <v>19170</v>
      </c>
      <c r="E2184" s="189" t="s">
        <v>19171</v>
      </c>
      <c r="F2184" s="190"/>
      <c r="G2184" s="190"/>
      <c r="H2184" s="219"/>
      <c r="J2184" s="304" t="str">
        <f>CONCATENATE([2]Cover!$D$6,"fdd/view?i=",I2184)</f>
        <v>https://www.dgiwg.org/FAD/fdd/view?i=</v>
      </c>
      <c r="K2184" s="304" t="s">
        <v>36233</v>
      </c>
      <c r="L2184" s="188">
        <v>14</v>
      </c>
      <c r="M2184" s="179" t="s">
        <v>1295</v>
      </c>
    </row>
    <row r="2185" spans="1:13" ht="25.5">
      <c r="A2185" s="313" t="str">
        <f t="shared" si="34"/>
        <v>CommunicationTypeCode_groundCommsOutlet</v>
      </c>
      <c r="B2185" s="330"/>
      <c r="C2185" s="334"/>
      <c r="D2185" s="188" t="s">
        <v>19166</v>
      </c>
      <c r="E2185" s="189" t="s">
        <v>19167</v>
      </c>
      <c r="F2185" s="190"/>
      <c r="G2185" s="190"/>
      <c r="H2185" s="219"/>
      <c r="J2185" s="304" t="str">
        <f>CONCATENATE([2]Cover!$D$6,"fdd/view?i=",I2185)</f>
        <v>https://www.dgiwg.org/FAD/fdd/view?i=</v>
      </c>
      <c r="K2185" s="304" t="s">
        <v>36234</v>
      </c>
      <c r="L2185" s="188">
        <v>45</v>
      </c>
      <c r="M2185" s="179" t="s">
        <v>1295</v>
      </c>
    </row>
    <row r="2186" spans="1:13" ht="25.5">
      <c r="A2186" s="313" t="str">
        <f t="shared" si="34"/>
        <v>CommunicationTypeCode_groundControl</v>
      </c>
      <c r="B2186" s="330"/>
      <c r="C2186" s="334"/>
      <c r="D2186" s="188" t="s">
        <v>19168</v>
      </c>
      <c r="E2186" s="189" t="s">
        <v>19169</v>
      </c>
      <c r="F2186" s="190"/>
      <c r="G2186" s="190"/>
      <c r="H2186" s="219"/>
      <c r="J2186" s="304" t="str">
        <f>CONCATENATE([2]Cover!$D$6,"fdd/view?i=",I2186)</f>
        <v>https://www.dgiwg.org/FAD/fdd/view?i=</v>
      </c>
      <c r="K2186" s="304" t="s">
        <v>36235</v>
      </c>
      <c r="L2186" s="188">
        <v>13</v>
      </c>
      <c r="M2186" s="179" t="s">
        <v>1295</v>
      </c>
    </row>
    <row r="2187" spans="1:13" ht="25.5">
      <c r="A2187" s="313" t="str">
        <f t="shared" si="34"/>
        <v>CommunicationTypeCode_groundControlApproach</v>
      </c>
      <c r="B2187" s="330"/>
      <c r="C2187" s="334"/>
      <c r="D2187" s="188" t="s">
        <v>19162</v>
      </c>
      <c r="E2187" s="189" t="s">
        <v>19163</v>
      </c>
      <c r="F2187" s="190"/>
      <c r="G2187" s="190"/>
      <c r="H2187" s="219"/>
      <c r="J2187" s="304" t="str">
        <f>CONCATENATE([2]Cover!$D$6,"fdd/view?i=",I2187)</f>
        <v>https://www.dgiwg.org/FAD/fdd/view?i=</v>
      </c>
      <c r="K2187" s="304" t="s">
        <v>36236</v>
      </c>
      <c r="L2187" s="188">
        <v>12</v>
      </c>
      <c r="M2187" s="179" t="s">
        <v>1295</v>
      </c>
    </row>
    <row r="2188" spans="1:13" ht="38.25">
      <c r="A2188" s="313" t="str">
        <f t="shared" si="34"/>
        <v>CommunicationTypeCode_groundControlClearDeliv</v>
      </c>
      <c r="B2188" s="330"/>
      <c r="C2188" s="334"/>
      <c r="D2188" s="188" t="s">
        <v>19164</v>
      </c>
      <c r="E2188" s="189" t="s">
        <v>19165</v>
      </c>
      <c r="F2188" s="190"/>
      <c r="G2188" s="190"/>
      <c r="H2188" s="219"/>
      <c r="J2188" s="304" t="str">
        <f>CONCATENATE([2]Cover!$D$6,"fdd/view?i=",I2188)</f>
        <v>https://www.dgiwg.org/FAD/fdd/view?i=</v>
      </c>
      <c r="K2188" s="304" t="s">
        <v>36237</v>
      </c>
      <c r="L2188" s="188">
        <v>33</v>
      </c>
      <c r="M2188" s="179" t="s">
        <v>1295</v>
      </c>
    </row>
    <row r="2189" spans="1:13" ht="25.5">
      <c r="A2189" s="313" t="str">
        <f t="shared" si="34"/>
        <v>CommunicationTypeCode_helicopterFrequency</v>
      </c>
      <c r="B2189" s="330"/>
      <c r="C2189" s="334"/>
      <c r="D2189" s="188" t="s">
        <v>19172</v>
      </c>
      <c r="E2189" s="189" t="s">
        <v>19173</v>
      </c>
      <c r="F2189" s="190"/>
      <c r="G2189" s="190"/>
      <c r="H2189" s="219"/>
      <c r="J2189" s="304" t="str">
        <f>CONCATENATE([2]Cover!$D$6,"fdd/view?i=",I2189)</f>
        <v>https://www.dgiwg.org/FAD/fdd/view?i=</v>
      </c>
      <c r="K2189" s="304" t="s">
        <v>36238</v>
      </c>
      <c r="L2189" s="188">
        <v>15</v>
      </c>
      <c r="M2189" s="179" t="s">
        <v>1295</v>
      </c>
    </row>
    <row r="2190" spans="1:13" ht="25.5">
      <c r="A2190" s="313" t="str">
        <f t="shared" si="34"/>
        <v>CommunicationTypeCode_information</v>
      </c>
      <c r="B2190" s="330"/>
      <c r="C2190" s="334"/>
      <c r="D2190" s="188" t="s">
        <v>19174</v>
      </c>
      <c r="E2190" s="189" t="s">
        <v>19175</v>
      </c>
      <c r="F2190" s="190"/>
      <c r="G2190" s="190"/>
      <c r="H2190" s="219"/>
      <c r="J2190" s="304" t="str">
        <f>CONCATENATE([2]Cover!$D$6,"fdd/view?i=",I2190)</f>
        <v>https://www.dgiwg.org/FAD/fdd/view?i=</v>
      </c>
      <c r="K2190" s="304" t="s">
        <v>36239</v>
      </c>
      <c r="L2190" s="188">
        <v>16</v>
      </c>
      <c r="M2190" s="179" t="s">
        <v>1295</v>
      </c>
    </row>
    <row r="2191" spans="1:13" ht="25.5">
      <c r="A2191" s="313" t="str">
        <f t="shared" si="34"/>
        <v>CommunicationTypeCode_miscellaneous</v>
      </c>
      <c r="B2191" s="330"/>
      <c r="C2191" s="334"/>
      <c r="D2191" s="188" t="s">
        <v>19176</v>
      </c>
      <c r="E2191" s="189" t="s">
        <v>19177</v>
      </c>
      <c r="F2191" s="190"/>
      <c r="G2191" s="190"/>
      <c r="H2191" s="219"/>
      <c r="J2191" s="304" t="str">
        <f>CONCATENATE([2]Cover!$D$6,"fdd/view?i=",I2191)</f>
        <v>https://www.dgiwg.org/FAD/fdd/view?i=</v>
      </c>
      <c r="K2191" s="304" t="s">
        <v>36240</v>
      </c>
      <c r="L2191" s="188">
        <v>41</v>
      </c>
      <c r="M2191" s="179" t="s">
        <v>1295</v>
      </c>
    </row>
    <row r="2192" spans="1:13" ht="25.5">
      <c r="A2192" s="313" t="str">
        <f t="shared" si="34"/>
        <v>CommunicationTypeCode_multicom</v>
      </c>
      <c r="B2192" s="330"/>
      <c r="C2192" s="334"/>
      <c r="D2192" s="188" t="s">
        <v>19178</v>
      </c>
      <c r="E2192" s="189" t="s">
        <v>19179</v>
      </c>
      <c r="F2192" s="190"/>
      <c r="G2192" s="190"/>
      <c r="H2192" s="219"/>
      <c r="J2192" s="304" t="str">
        <f>CONCATENATE([2]Cover!$D$6,"fdd/view?i=",I2192)</f>
        <v>https://www.dgiwg.org/FAD/fdd/view?i=</v>
      </c>
      <c r="K2192" s="304" t="s">
        <v>36241</v>
      </c>
      <c r="L2192" s="188">
        <v>17</v>
      </c>
      <c r="M2192" s="179" t="s">
        <v>1295</v>
      </c>
    </row>
    <row r="2193" spans="1:13" ht="25.5">
      <c r="A2193" s="313" t="str">
        <f t="shared" si="34"/>
        <v>CommunicationTypeCode_operations</v>
      </c>
      <c r="B2193" s="330"/>
      <c r="C2193" s="334"/>
      <c r="D2193" s="188" t="s">
        <v>19182</v>
      </c>
      <c r="E2193" s="189" t="s">
        <v>19183</v>
      </c>
      <c r="F2193" s="190"/>
      <c r="G2193" s="190"/>
      <c r="H2193" s="219"/>
      <c r="J2193" s="304" t="str">
        <f>CONCATENATE([2]Cover!$D$6,"fdd/view?i=",I2193)</f>
        <v>https://www.dgiwg.org/FAD/fdd/view?i=</v>
      </c>
      <c r="K2193" s="304" t="s">
        <v>36242</v>
      </c>
      <c r="L2193" s="188">
        <v>19</v>
      </c>
      <c r="M2193" s="179" t="s">
        <v>1295</v>
      </c>
    </row>
    <row r="2194" spans="1:13" ht="25.5">
      <c r="A2194" s="313" t="str">
        <f t="shared" si="34"/>
        <v>CommunicationTypeCode_parametersFrenchRadio</v>
      </c>
      <c r="B2194" s="330"/>
      <c r="C2194" s="334"/>
      <c r="D2194" s="188" t="s">
        <v>19180</v>
      </c>
      <c r="E2194" s="189" t="s">
        <v>19181</v>
      </c>
      <c r="F2194" s="190"/>
      <c r="G2194" s="190"/>
      <c r="H2194" s="219"/>
      <c r="J2194" s="304" t="str">
        <f>CONCATENATE([2]Cover!$D$6,"fdd/view?i=",I2194)</f>
        <v>https://www.dgiwg.org/FAD/fdd/view?i=</v>
      </c>
      <c r="K2194" s="304" t="s">
        <v>36243</v>
      </c>
      <c r="L2194" s="188">
        <v>18</v>
      </c>
      <c r="M2194" s="179" t="s">
        <v>1295</v>
      </c>
    </row>
    <row r="2195" spans="1:13" ht="25.5">
      <c r="A2195" s="313" t="str">
        <f t="shared" si="34"/>
        <v>CommunicationTypeCode_pilotToDispatcher</v>
      </c>
      <c r="B2195" s="330"/>
      <c r="C2195" s="334"/>
      <c r="D2195" s="188" t="s">
        <v>19189</v>
      </c>
      <c r="E2195" s="189" t="s">
        <v>19190</v>
      </c>
      <c r="F2195" s="190"/>
      <c r="G2195" s="190"/>
      <c r="H2195" s="219"/>
      <c r="J2195" s="304" t="str">
        <f>CONCATENATE([2]Cover!$D$6,"fdd/view?i=",I2195)</f>
        <v>https://www.dgiwg.org/FAD/fdd/view?i=</v>
      </c>
      <c r="K2195" s="304" t="s">
        <v>36244</v>
      </c>
      <c r="L2195" s="188">
        <v>35</v>
      </c>
      <c r="M2195" s="179" t="s">
        <v>1295</v>
      </c>
    </row>
    <row r="2196" spans="1:13" ht="25.5">
      <c r="A2196" s="313" t="str">
        <f t="shared" si="34"/>
        <v>CommunicationTypeCode_pilotToMetroService</v>
      </c>
      <c r="B2196" s="330"/>
      <c r="C2196" s="334"/>
      <c r="D2196" s="188" t="s">
        <v>19186</v>
      </c>
      <c r="E2196" s="189" t="s">
        <v>19187</v>
      </c>
      <c r="F2196" s="190"/>
      <c r="G2196" s="190"/>
      <c r="H2196" s="219"/>
      <c r="J2196" s="304" t="str">
        <f>CONCATENATE([2]Cover!$D$6,"fdd/view?i=",I2196)</f>
        <v>https://www.dgiwg.org/FAD/fdd/view?i=</v>
      </c>
      <c r="K2196" s="304" t="s">
        <v>36245</v>
      </c>
      <c r="L2196" s="188">
        <v>36</v>
      </c>
      <c r="M2196" s="179" t="s">
        <v>1295</v>
      </c>
    </row>
    <row r="2197" spans="1:13">
      <c r="A2197" s="313" t="str">
        <f t="shared" si="34"/>
        <v>CommunicationTypeCode_preflight</v>
      </c>
      <c r="B2197" s="330"/>
      <c r="C2197" s="334"/>
      <c r="D2197" s="188" t="s">
        <v>19184</v>
      </c>
      <c r="E2197" s="189" t="s">
        <v>19185</v>
      </c>
      <c r="F2197" s="190"/>
      <c r="G2197" s="190"/>
      <c r="H2197" s="219"/>
      <c r="J2197" s="304" t="str">
        <f>CONCATENATE([2]Cover!$D$6,"fdd/view?i=",I2197)</f>
        <v>https://www.dgiwg.org/FAD/fdd/view?i=</v>
      </c>
      <c r="K2197" s="304" t="s">
        <v>36246</v>
      </c>
      <c r="L2197" s="188">
        <v>39</v>
      </c>
      <c r="M2197" s="179" t="s">
        <v>1295</v>
      </c>
    </row>
    <row r="2198" spans="1:13" ht="25.5">
      <c r="A2198" s="313" t="str">
        <f t="shared" si="34"/>
        <v>CommunicationTypeCode_radarOnlyFrequency</v>
      </c>
      <c r="B2198" s="330"/>
      <c r="C2198" s="334"/>
      <c r="D2198" s="188" t="s">
        <v>19195</v>
      </c>
      <c r="E2198" s="189" t="s">
        <v>19196</v>
      </c>
      <c r="F2198" s="190"/>
      <c r="G2198" s="190"/>
      <c r="H2198" s="219"/>
      <c r="J2198" s="304" t="str">
        <f>CONCATENATE([2]Cover!$D$6,"fdd/view?i=",I2198)</f>
        <v>https://www.dgiwg.org/FAD/fdd/view?i=</v>
      </c>
      <c r="K2198" s="304" t="s">
        <v>36247</v>
      </c>
      <c r="L2198" s="188">
        <v>21</v>
      </c>
      <c r="M2198" s="179" t="s">
        <v>1295</v>
      </c>
    </row>
    <row r="2199" spans="1:13">
      <c r="A2199" s="313" t="str">
        <f t="shared" si="34"/>
        <v>CommunicationTypeCode_radio</v>
      </c>
      <c r="B2199" s="330"/>
      <c r="C2199" s="334"/>
      <c r="D2199" s="188" t="s">
        <v>19193</v>
      </c>
      <c r="E2199" s="189" t="s">
        <v>19194</v>
      </c>
      <c r="F2199" s="190"/>
      <c r="G2199" s="190"/>
      <c r="H2199" s="219"/>
      <c r="J2199" s="304" t="str">
        <f>CONCATENATE([2]Cover!$D$6,"fdd/view?i=",I2199)</f>
        <v>https://www.dgiwg.org/FAD/fdd/view?i=</v>
      </c>
      <c r="K2199" s="304" t="s">
        <v>36248</v>
      </c>
      <c r="L2199" s="188">
        <v>20</v>
      </c>
      <c r="M2199" s="179" t="s">
        <v>1295</v>
      </c>
    </row>
    <row r="2200" spans="1:13" ht="25.5">
      <c r="A2200" s="313" t="str">
        <f t="shared" si="34"/>
        <v>CommunicationTypeCode_rampControl</v>
      </c>
      <c r="B2200" s="330"/>
      <c r="C2200" s="334"/>
      <c r="D2200" s="188" t="s">
        <v>19199</v>
      </c>
      <c r="E2200" s="189" t="s">
        <v>19200</v>
      </c>
      <c r="F2200" s="190"/>
      <c r="G2200" s="190"/>
      <c r="H2200" s="219"/>
      <c r="J2200" s="304" t="str">
        <f>CONCATENATE([2]Cover!$D$6,"fdd/view?i=",I2200)</f>
        <v>https://www.dgiwg.org/FAD/fdd/view?i=</v>
      </c>
      <c r="K2200" s="304" t="s">
        <v>36249</v>
      </c>
      <c r="L2200" s="188">
        <v>23</v>
      </c>
      <c r="M2200" s="179" t="s">
        <v>1295</v>
      </c>
    </row>
    <row r="2201" spans="1:13" ht="25.5">
      <c r="A2201" s="313" t="str">
        <f t="shared" si="34"/>
        <v>CommunicationTypeCode_remoteCommsOutlet</v>
      </c>
      <c r="B2201" s="330"/>
      <c r="C2201" s="334"/>
      <c r="D2201" s="188" t="s">
        <v>19191</v>
      </c>
      <c r="E2201" s="189" t="s">
        <v>19192</v>
      </c>
      <c r="F2201" s="190"/>
      <c r="G2201" s="190"/>
      <c r="H2201" s="219"/>
      <c r="J2201" s="304" t="str">
        <f>CONCATENATE([2]Cover!$D$6,"fdd/view?i=",I2201)</f>
        <v>https://www.dgiwg.org/FAD/fdd/view?i=</v>
      </c>
      <c r="K2201" s="304" t="s">
        <v>36250</v>
      </c>
      <c r="L2201" s="188">
        <v>44</v>
      </c>
      <c r="M2201" s="179" t="s">
        <v>1295</v>
      </c>
    </row>
    <row r="2202" spans="1:13" ht="25.5">
      <c r="A2202" s="313" t="str">
        <f t="shared" si="34"/>
        <v>CommunicationTypeCode_remoteFlightServStation</v>
      </c>
      <c r="B2202" s="330"/>
      <c r="C2202" s="334"/>
      <c r="D2202" s="188" t="s">
        <v>19197</v>
      </c>
      <c r="E2202" s="189" t="s">
        <v>19198</v>
      </c>
      <c r="F2202" s="190"/>
      <c r="G2202" s="190"/>
      <c r="H2202" s="219"/>
      <c r="J2202" s="304" t="str">
        <f>CONCATENATE([2]Cover!$D$6,"fdd/view?i=",I2202)</f>
        <v>https://www.dgiwg.org/FAD/fdd/view?i=</v>
      </c>
      <c r="K2202" s="304" t="s">
        <v>36251</v>
      </c>
      <c r="L2202" s="188">
        <v>22</v>
      </c>
      <c r="M2202" s="179" t="s">
        <v>1295</v>
      </c>
    </row>
    <row r="2203" spans="1:13" ht="25.5">
      <c r="A2203" s="313" t="str">
        <f t="shared" si="34"/>
        <v>CommunicationTypeCode_singleFrequencyApproach</v>
      </c>
      <c r="B2203" s="330"/>
      <c r="C2203" s="334"/>
      <c r="D2203" s="188" t="s">
        <v>19201</v>
      </c>
      <c r="E2203" s="189" t="s">
        <v>19202</v>
      </c>
      <c r="F2203" s="190"/>
      <c r="G2203" s="190"/>
      <c r="H2203" s="219"/>
      <c r="J2203" s="304" t="str">
        <f>CONCATENATE([2]Cover!$D$6,"fdd/view?i=",I2203)</f>
        <v>https://www.dgiwg.org/FAD/fdd/view?i=</v>
      </c>
      <c r="K2203" s="304" t="s">
        <v>36252</v>
      </c>
      <c r="L2203" s="188">
        <v>40</v>
      </c>
      <c r="M2203" s="179" t="s">
        <v>1295</v>
      </c>
    </row>
    <row r="2204" spans="1:13" ht="25.5">
      <c r="A2204" s="313" t="str">
        <f t="shared" si="34"/>
        <v>CommunicationTypeCode_terminalControlArea</v>
      </c>
      <c r="B2204" s="330"/>
      <c r="C2204" s="334"/>
      <c r="D2204" s="188" t="s">
        <v>16424</v>
      </c>
      <c r="E2204" s="189" t="s">
        <v>19203</v>
      </c>
      <c r="F2204" s="190"/>
      <c r="G2204" s="190"/>
      <c r="H2204" s="219"/>
      <c r="J2204" s="304" t="str">
        <f>CONCATENATE([2]Cover!$D$6,"fdd/view?i=",I2204)</f>
        <v>https://www.dgiwg.org/FAD/fdd/view?i=</v>
      </c>
      <c r="K2204" s="304" t="s">
        <v>36253</v>
      </c>
      <c r="L2204" s="188">
        <v>25</v>
      </c>
      <c r="M2204" s="179" t="s">
        <v>1295</v>
      </c>
    </row>
    <row r="2205" spans="1:13" ht="25.5">
      <c r="A2205" s="313" t="str">
        <f t="shared" si="34"/>
        <v>CommunicationTypeCode_terminalRadarService</v>
      </c>
      <c r="B2205" s="330"/>
      <c r="C2205" s="334"/>
      <c r="D2205" s="188" t="s">
        <v>15718</v>
      </c>
      <c r="E2205" s="189" t="s">
        <v>19204</v>
      </c>
      <c r="F2205" s="190"/>
      <c r="G2205" s="190"/>
      <c r="H2205" s="219"/>
      <c r="J2205" s="304" t="str">
        <f>CONCATENATE([2]Cover!$D$6,"fdd/view?i=",I2205)</f>
        <v>https://www.dgiwg.org/FAD/fdd/view?i=</v>
      </c>
      <c r="K2205" s="304" t="s">
        <v>36254</v>
      </c>
      <c r="L2205" s="188">
        <v>26</v>
      </c>
      <c r="M2205" s="179" t="s">
        <v>1295</v>
      </c>
    </row>
    <row r="2206" spans="1:13">
      <c r="A2206" s="313" t="str">
        <f t="shared" si="34"/>
        <v>CommunicationTypeCode_tower</v>
      </c>
      <c r="B2206" s="330"/>
      <c r="C2206" s="334"/>
      <c r="D2206" s="188" t="s">
        <v>18455</v>
      </c>
      <c r="E2206" s="189" t="s">
        <v>19205</v>
      </c>
      <c r="F2206" s="190"/>
      <c r="G2206" s="190"/>
      <c r="H2206" s="219"/>
      <c r="J2206" s="304" t="str">
        <f>CONCATENATE([2]Cover!$D$6,"fdd/view?i=",I2206)</f>
        <v>https://www.dgiwg.org/FAD/fdd/view?i=</v>
      </c>
      <c r="K2206" s="304" t="s">
        <v>36255</v>
      </c>
      <c r="L2206" s="188">
        <v>27</v>
      </c>
      <c r="M2206" s="179" t="s">
        <v>1295</v>
      </c>
    </row>
    <row r="2207" spans="1:13" ht="25.5">
      <c r="A2207" s="313" t="str">
        <f t="shared" si="34"/>
        <v>CommunicationTypeCode_unicomOrCtafUnicom</v>
      </c>
      <c r="B2207" s="331"/>
      <c r="C2207" s="335"/>
      <c r="D2207" s="181" t="s">
        <v>19206</v>
      </c>
      <c r="E2207" s="192" t="s">
        <v>19207</v>
      </c>
      <c r="F2207" s="194"/>
      <c r="G2207" s="194"/>
      <c r="H2207" s="220"/>
      <c r="J2207" s="304" t="str">
        <f>CONCATENATE([2]Cover!$D$6,"fdd/view?i=",I2207)</f>
        <v>https://www.dgiwg.org/FAD/fdd/view?i=</v>
      </c>
      <c r="K2207" s="304" t="s">
        <v>36256</v>
      </c>
      <c r="L2207" s="181">
        <v>28</v>
      </c>
      <c r="M2207" s="179" t="s">
        <v>1295</v>
      </c>
    </row>
    <row r="2208" spans="1:13" ht="51">
      <c r="A2208" s="313" t="str">
        <f t="shared" si="34"/>
        <v>ConservationAreaManageCatCode_breedingGround</v>
      </c>
      <c r="B2208" s="332" t="str">
        <f>HYPERLINK("[#]Datatypes!A341:L341","ConservationAreaManageCatCode")</f>
        <v>ConservationAreaManageCatCode</v>
      </c>
      <c r="C2208" s="333" t="s">
        <v>11834</v>
      </c>
      <c r="D2208" s="202" t="s">
        <v>19208</v>
      </c>
      <c r="E2208" s="203" t="s">
        <v>19209</v>
      </c>
      <c r="F2208" s="204" t="s">
        <v>19210</v>
      </c>
      <c r="G2208" s="204" t="s">
        <v>19211</v>
      </c>
      <c r="H2208" s="222" t="s">
        <v>19212</v>
      </c>
      <c r="I2208" s="169">
        <v>111307</v>
      </c>
      <c r="J2208" s="304" t="str">
        <f>CONCATENATE([2]Cover!$D$6,"fdd/view?i=",I2208)</f>
        <v>https://www.dgiwg.org/FAD/fdd/view?i=111307</v>
      </c>
      <c r="K2208" s="304" t="s">
        <v>36257</v>
      </c>
      <c r="L2208" s="202">
        <v>8</v>
      </c>
      <c r="M2208" s="179" t="s">
        <v>151</v>
      </c>
    </row>
    <row r="2209" spans="1:13" ht="25.5">
      <c r="A2209" s="313" t="str">
        <f t="shared" si="34"/>
        <v>ConservationAreaManageCatCode_habitatManagement</v>
      </c>
      <c r="B2209" s="330"/>
      <c r="C2209" s="334"/>
      <c r="D2209" s="188" t="s">
        <v>19217</v>
      </c>
      <c r="E2209" s="189" t="s">
        <v>19218</v>
      </c>
      <c r="F2209" s="162" t="s">
        <v>19219</v>
      </c>
      <c r="G2209" s="162" t="s">
        <v>19220</v>
      </c>
      <c r="H2209" s="219"/>
      <c r="I2209" s="169">
        <v>111305</v>
      </c>
      <c r="J2209" s="304" t="str">
        <f>CONCATENATE([2]Cover!$D$6,"fdd/view?i=",I2209)</f>
        <v>https://www.dgiwg.org/FAD/fdd/view?i=111305</v>
      </c>
      <c r="K2209" s="304" t="s">
        <v>36258</v>
      </c>
      <c r="L2209" s="188">
        <v>6</v>
      </c>
      <c r="M2209" s="179" t="s">
        <v>151</v>
      </c>
    </row>
    <row r="2210" spans="1:13" ht="38.25">
      <c r="A2210" s="313" t="str">
        <f t="shared" si="34"/>
        <v>ConservationAreaManageCatCode_habitatSpeciesManagement</v>
      </c>
      <c r="B2210" s="330"/>
      <c r="C2210" s="334"/>
      <c r="D2210" s="188" t="s">
        <v>19213</v>
      </c>
      <c r="E2210" s="189" t="s">
        <v>19214</v>
      </c>
      <c r="F2210" s="162" t="s">
        <v>19215</v>
      </c>
      <c r="G2210" s="162" t="s">
        <v>19216</v>
      </c>
      <c r="H2210" s="219"/>
      <c r="I2210" s="169">
        <v>111304</v>
      </c>
      <c r="J2210" s="304" t="str">
        <f>CONCATENATE([2]Cover!$D$6,"fdd/view?i=",I2210)</f>
        <v>https://www.dgiwg.org/FAD/fdd/view?i=111304</v>
      </c>
      <c r="K2210" s="304" t="s">
        <v>36259</v>
      </c>
      <c r="L2210" s="188">
        <v>5</v>
      </c>
      <c r="M2210" s="179" t="s">
        <v>151</v>
      </c>
    </row>
    <row r="2211" spans="1:13" ht="51">
      <c r="A2211" s="313" t="str">
        <f t="shared" si="34"/>
        <v>ConservationAreaManageCatCode_managedForestProtected</v>
      </c>
      <c r="B2211" s="330"/>
      <c r="C2211" s="334"/>
      <c r="D2211" s="188" t="s">
        <v>19221</v>
      </c>
      <c r="E2211" s="189" t="s">
        <v>19222</v>
      </c>
      <c r="F2211" s="162" t="s">
        <v>19223</v>
      </c>
      <c r="G2211" s="162" t="s">
        <v>19224</v>
      </c>
      <c r="H2211" s="219"/>
      <c r="I2211" s="169">
        <v>111310</v>
      </c>
      <c r="J2211" s="304" t="str">
        <f>CONCATENATE([2]Cover!$D$6,"fdd/view?i=",I2211)</f>
        <v>https://www.dgiwg.org/FAD/fdd/view?i=111310</v>
      </c>
      <c r="K2211" s="304" t="s">
        <v>36260</v>
      </c>
      <c r="L2211" s="188">
        <v>11</v>
      </c>
      <c r="M2211" s="179" t="s">
        <v>151</v>
      </c>
    </row>
    <row r="2212" spans="1:13" ht="51">
      <c r="A2212" s="313" t="str">
        <f t="shared" si="34"/>
        <v>ConservationAreaManageCatCode_managedResourceProtected</v>
      </c>
      <c r="B2212" s="330"/>
      <c r="C2212" s="334"/>
      <c r="D2212" s="188" t="s">
        <v>19225</v>
      </c>
      <c r="E2212" s="189" t="s">
        <v>19226</v>
      </c>
      <c r="F2212" s="162" t="s">
        <v>19227</v>
      </c>
      <c r="G2212" s="162" t="s">
        <v>19228</v>
      </c>
      <c r="H2212" s="219"/>
      <c r="I2212" s="169">
        <v>111309</v>
      </c>
      <c r="J2212" s="304" t="str">
        <f>CONCATENATE([2]Cover!$D$6,"fdd/view?i=",I2212)</f>
        <v>https://www.dgiwg.org/FAD/fdd/view?i=111309</v>
      </c>
      <c r="K2212" s="304" t="s">
        <v>36261</v>
      </c>
      <c r="L2212" s="188">
        <v>10</v>
      </c>
      <c r="M2212" s="179" t="s">
        <v>151</v>
      </c>
    </row>
    <row r="2213" spans="1:13" ht="76.5">
      <c r="A2213" s="313" t="str">
        <f t="shared" si="34"/>
        <v>ConservationAreaManageCatCode_nationalPark</v>
      </c>
      <c r="B2213" s="330"/>
      <c r="C2213" s="334"/>
      <c r="D2213" s="188" t="s">
        <v>19229</v>
      </c>
      <c r="E2213" s="189" t="s">
        <v>19230</v>
      </c>
      <c r="F2213" s="162" t="s">
        <v>19231</v>
      </c>
      <c r="G2213" s="162" t="s">
        <v>19232</v>
      </c>
      <c r="H2213" s="219"/>
      <c r="I2213" s="169">
        <v>111302</v>
      </c>
      <c r="J2213" s="304" t="str">
        <f>CONCATENATE([2]Cover!$D$6,"fdd/view?i=",I2213)</f>
        <v>https://www.dgiwg.org/FAD/fdd/view?i=111302</v>
      </c>
      <c r="K2213" s="304" t="s">
        <v>36262</v>
      </c>
      <c r="L2213" s="188">
        <v>3</v>
      </c>
      <c r="M2213" s="179" t="s">
        <v>151</v>
      </c>
    </row>
    <row r="2214" spans="1:13" ht="38.25">
      <c r="A2214" s="313" t="str">
        <f t="shared" si="34"/>
        <v>ConservationAreaManageCatCode_naturalMonument</v>
      </c>
      <c r="B2214" s="330"/>
      <c r="C2214" s="334"/>
      <c r="D2214" s="188" t="s">
        <v>19233</v>
      </c>
      <c r="E2214" s="189" t="s">
        <v>19234</v>
      </c>
      <c r="F2214" s="162" t="s">
        <v>19235</v>
      </c>
      <c r="G2214" s="162" t="s">
        <v>19236</v>
      </c>
      <c r="H2214" s="219"/>
      <c r="I2214" s="169">
        <v>111303</v>
      </c>
      <c r="J2214" s="304" t="str">
        <f>CONCATENATE([2]Cover!$D$6,"fdd/view?i=",I2214)</f>
        <v>https://www.dgiwg.org/FAD/fdd/view?i=111303</v>
      </c>
      <c r="K2214" s="304" t="s">
        <v>36263</v>
      </c>
      <c r="L2214" s="188">
        <v>4</v>
      </c>
      <c r="M2214" s="179" t="s">
        <v>151</v>
      </c>
    </row>
    <row r="2215" spans="1:13" ht="51">
      <c r="A2215" s="313" t="str">
        <f t="shared" si="34"/>
        <v>ConservationAreaManageCatCode_protectedLandSeascape</v>
      </c>
      <c r="B2215" s="330"/>
      <c r="C2215" s="334"/>
      <c r="D2215" s="188" t="s">
        <v>19237</v>
      </c>
      <c r="E2215" s="189" t="s">
        <v>19238</v>
      </c>
      <c r="F2215" s="162" t="s">
        <v>19239</v>
      </c>
      <c r="G2215" s="162" t="s">
        <v>19240</v>
      </c>
      <c r="H2215" s="219"/>
      <c r="I2215" s="169">
        <v>111308</v>
      </c>
      <c r="J2215" s="304" t="str">
        <f>CONCATENATE([2]Cover!$D$6,"fdd/view?i=",I2215)</f>
        <v>https://www.dgiwg.org/FAD/fdd/view?i=111308</v>
      </c>
      <c r="K2215" s="304" t="s">
        <v>36264</v>
      </c>
      <c r="L2215" s="188">
        <v>9</v>
      </c>
      <c r="M2215" s="179" t="s">
        <v>151</v>
      </c>
    </row>
    <row r="2216" spans="1:13" ht="25.5">
      <c r="A2216" s="313" t="str">
        <f t="shared" si="34"/>
        <v>ConservationAreaManageCatCode_speciesManagement</v>
      </c>
      <c r="B2216" s="330"/>
      <c r="C2216" s="334"/>
      <c r="D2216" s="188" t="s">
        <v>19241</v>
      </c>
      <c r="E2216" s="189" t="s">
        <v>19242</v>
      </c>
      <c r="F2216" s="162" t="s">
        <v>19243</v>
      </c>
      <c r="G2216" s="162" t="s">
        <v>19220</v>
      </c>
      <c r="H2216" s="219"/>
      <c r="I2216" s="169">
        <v>111306</v>
      </c>
      <c r="J2216" s="304" t="str">
        <f>CONCATENATE([2]Cover!$D$6,"fdd/view?i=",I2216)</f>
        <v>https://www.dgiwg.org/FAD/fdd/view?i=111306</v>
      </c>
      <c r="K2216" s="304" t="s">
        <v>36265</v>
      </c>
      <c r="L2216" s="188">
        <v>7</v>
      </c>
      <c r="M2216" s="179" t="s">
        <v>151</v>
      </c>
    </row>
    <row r="2217" spans="1:13" ht="38.25">
      <c r="A2217" s="313" t="str">
        <f t="shared" si="34"/>
        <v>ConservationAreaManageCatCode_strictNatureReserve</v>
      </c>
      <c r="B2217" s="330"/>
      <c r="C2217" s="334"/>
      <c r="D2217" s="188" t="s">
        <v>19244</v>
      </c>
      <c r="E2217" s="189" t="s">
        <v>19245</v>
      </c>
      <c r="F2217" s="162" t="s">
        <v>19246</v>
      </c>
      <c r="G2217" s="162" t="s">
        <v>19247</v>
      </c>
      <c r="H2217" s="219"/>
      <c r="I2217" s="169">
        <v>111300</v>
      </c>
      <c r="J2217" s="304" t="str">
        <f>CONCATENATE([2]Cover!$D$6,"fdd/view?i=",I2217)</f>
        <v>https://www.dgiwg.org/FAD/fdd/view?i=111300</v>
      </c>
      <c r="K2217" s="304" t="s">
        <v>36266</v>
      </c>
      <c r="L2217" s="188">
        <v>1</v>
      </c>
      <c r="M2217" s="179" t="s">
        <v>151</v>
      </c>
    </row>
    <row r="2218" spans="1:13" ht="51">
      <c r="A2218" s="313" t="str">
        <f t="shared" si="34"/>
        <v>ConservationAreaManageCatCode_wildernessArea</v>
      </c>
      <c r="B2218" s="331"/>
      <c r="C2218" s="335"/>
      <c r="D2218" s="181" t="s">
        <v>19248</v>
      </c>
      <c r="E2218" s="192" t="s">
        <v>19249</v>
      </c>
      <c r="F2218" s="193" t="s">
        <v>19250</v>
      </c>
      <c r="G2218" s="193" t="s">
        <v>19251</v>
      </c>
      <c r="H2218" s="220"/>
      <c r="I2218" s="169">
        <v>111301</v>
      </c>
      <c r="J2218" s="304" t="str">
        <f>CONCATENATE([2]Cover!$D$6,"fdd/view?i=",I2218)</f>
        <v>https://www.dgiwg.org/FAD/fdd/view?i=111301</v>
      </c>
      <c r="K2218" s="304" t="s">
        <v>36267</v>
      </c>
      <c r="L2218" s="181">
        <v>2</v>
      </c>
      <c r="M2218" s="179" t="s">
        <v>151</v>
      </c>
    </row>
    <row r="2219" spans="1:13" ht="25.5">
      <c r="A2219" s="313" t="str">
        <f t="shared" si="34"/>
        <v>ConspicuousAirCategoryCode_notConspicuous</v>
      </c>
      <c r="B2219" s="332" t="str">
        <f>HYPERLINK("[#]Datatypes!A343:L343","ConspicuousAirCategoryCode")</f>
        <v>ConspicuousAirCategoryCode</v>
      </c>
      <c r="C2219" s="333" t="s">
        <v>11836</v>
      </c>
      <c r="D2219" s="202" t="s">
        <v>19252</v>
      </c>
      <c r="E2219" s="203" t="s">
        <v>19253</v>
      </c>
      <c r="F2219" s="204" t="s">
        <v>19254</v>
      </c>
      <c r="G2219" s="205"/>
      <c r="H2219" s="218"/>
      <c r="I2219" s="169">
        <v>107387</v>
      </c>
      <c r="J2219" s="304" t="str">
        <f>CONCATENATE([2]Cover!$D$6,"fdd/view?i=",I2219)</f>
        <v>https://www.dgiwg.org/FAD/fdd/view?i=107387</v>
      </c>
      <c r="K2219" s="304" t="s">
        <v>36268</v>
      </c>
      <c r="L2219" s="202">
        <v>4</v>
      </c>
      <c r="M2219" s="179" t="s">
        <v>151</v>
      </c>
    </row>
    <row r="2220" spans="1:13" ht="25.5">
      <c r="A2220" s="313" t="str">
        <f t="shared" si="34"/>
        <v>ConspicuousAirCategoryCode_radar</v>
      </c>
      <c r="B2220" s="330"/>
      <c r="C2220" s="334"/>
      <c r="D2220" s="188" t="s">
        <v>19255</v>
      </c>
      <c r="E2220" s="189" t="s">
        <v>19256</v>
      </c>
      <c r="F2220" s="162" t="s">
        <v>19257</v>
      </c>
      <c r="G2220" s="162" t="s">
        <v>19258</v>
      </c>
      <c r="H2220" s="219"/>
      <c r="I2220" s="169">
        <v>107386</v>
      </c>
      <c r="J2220" s="304" t="str">
        <f>CONCATENATE([2]Cover!$D$6,"fdd/view?i=",I2220)</f>
        <v>https://www.dgiwg.org/FAD/fdd/view?i=107386</v>
      </c>
      <c r="K2220" s="304" t="s">
        <v>36269</v>
      </c>
      <c r="L2220" s="188">
        <v>3</v>
      </c>
      <c r="M2220" s="179" t="s">
        <v>151</v>
      </c>
    </row>
    <row r="2221" spans="1:13" ht="25.5">
      <c r="A2221" s="313" t="str">
        <f t="shared" si="34"/>
        <v>ConspicuousAirCategoryCode_visual</v>
      </c>
      <c r="B2221" s="330"/>
      <c r="C2221" s="334"/>
      <c r="D2221" s="188" t="s">
        <v>16551</v>
      </c>
      <c r="E2221" s="189" t="s">
        <v>16552</v>
      </c>
      <c r="F2221" s="162" t="s">
        <v>19259</v>
      </c>
      <c r="G2221" s="162" t="s">
        <v>19260</v>
      </c>
      <c r="H2221" s="219"/>
      <c r="I2221" s="169">
        <v>107206</v>
      </c>
      <c r="J2221" s="304" t="str">
        <f>CONCATENATE([2]Cover!$D$6,"fdd/view?i=",I2221)</f>
        <v>https://www.dgiwg.org/FAD/fdd/view?i=107206</v>
      </c>
      <c r="K2221" s="304" t="s">
        <v>36270</v>
      </c>
      <c r="L2221" s="188">
        <v>2</v>
      </c>
      <c r="M2221" s="179" t="s">
        <v>151</v>
      </c>
    </row>
    <row r="2222" spans="1:13" ht="25.5">
      <c r="A2222" s="313" t="str">
        <f t="shared" si="34"/>
        <v>ConspicuousAirCategoryCode_visualRadar</v>
      </c>
      <c r="B2222" s="331"/>
      <c r="C2222" s="335"/>
      <c r="D2222" s="181" t="s">
        <v>19261</v>
      </c>
      <c r="E2222" s="192" t="s">
        <v>19262</v>
      </c>
      <c r="F2222" s="193" t="s">
        <v>19263</v>
      </c>
      <c r="G2222" s="194"/>
      <c r="H2222" s="220"/>
      <c r="I2222" s="169">
        <v>107205</v>
      </c>
      <c r="J2222" s="304" t="str">
        <f>CONCATENATE([2]Cover!$D$6,"fdd/view?i=",I2222)</f>
        <v>https://www.dgiwg.org/FAD/fdd/view?i=107205</v>
      </c>
      <c r="K2222" s="304" t="s">
        <v>36271</v>
      </c>
      <c r="L2222" s="181">
        <v>1</v>
      </c>
      <c r="M2222" s="179" t="s">
        <v>151</v>
      </c>
    </row>
    <row r="2223" spans="1:13" ht="25.5">
      <c r="A2223" s="313" t="str">
        <f t="shared" si="34"/>
        <v>ConspicuousGroundCategoryCode_notConspicuous</v>
      </c>
      <c r="B2223" s="332" t="str">
        <f>HYPERLINK("[#]Datatypes!A345:L345","ConspicuousGroundCategoryCode")</f>
        <v>ConspicuousGroundCategoryCode</v>
      </c>
      <c r="C2223" s="333" t="s">
        <v>11838</v>
      </c>
      <c r="D2223" s="202" t="s">
        <v>19252</v>
      </c>
      <c r="E2223" s="203" t="s">
        <v>19253</v>
      </c>
      <c r="F2223" s="204" t="s">
        <v>19254</v>
      </c>
      <c r="G2223" s="205"/>
      <c r="H2223" s="218"/>
      <c r="I2223" s="169">
        <v>107855</v>
      </c>
      <c r="J2223" s="304" t="str">
        <f>CONCATENATE([2]Cover!$D$6,"fdd/view?i=",I2223)</f>
        <v>https://www.dgiwg.org/FAD/fdd/view?i=107855</v>
      </c>
      <c r="K2223" s="304" t="s">
        <v>36272</v>
      </c>
      <c r="L2223" s="202">
        <v>4</v>
      </c>
      <c r="M2223" s="179" t="s">
        <v>151</v>
      </c>
    </row>
    <row r="2224" spans="1:13" ht="25.5">
      <c r="A2224" s="313" t="str">
        <f t="shared" si="34"/>
        <v>ConspicuousGroundCategoryCode_radar</v>
      </c>
      <c r="B2224" s="330"/>
      <c r="C2224" s="334"/>
      <c r="D2224" s="188" t="s">
        <v>19255</v>
      </c>
      <c r="E2224" s="189" t="s">
        <v>19256</v>
      </c>
      <c r="F2224" s="162" t="s">
        <v>19257</v>
      </c>
      <c r="G2224" s="162" t="s">
        <v>19258</v>
      </c>
      <c r="H2224" s="219"/>
      <c r="I2224" s="169">
        <v>107811</v>
      </c>
      <c r="J2224" s="304" t="str">
        <f>CONCATENATE([2]Cover!$D$6,"fdd/view?i=",I2224)</f>
        <v>https://www.dgiwg.org/FAD/fdd/view?i=107811</v>
      </c>
      <c r="K2224" s="304" t="s">
        <v>36273</v>
      </c>
      <c r="L2224" s="188">
        <v>3</v>
      </c>
      <c r="M2224" s="179" t="s">
        <v>151</v>
      </c>
    </row>
    <row r="2225" spans="1:13" ht="25.5">
      <c r="A2225" s="313" t="str">
        <f t="shared" si="34"/>
        <v>ConspicuousGroundCategoryCode_visual</v>
      </c>
      <c r="B2225" s="330"/>
      <c r="C2225" s="334"/>
      <c r="D2225" s="188" t="s">
        <v>16551</v>
      </c>
      <c r="E2225" s="189" t="s">
        <v>16552</v>
      </c>
      <c r="F2225" s="162" t="s">
        <v>19259</v>
      </c>
      <c r="G2225" s="162" t="s">
        <v>19260</v>
      </c>
      <c r="H2225" s="219"/>
      <c r="I2225" s="169">
        <v>107802</v>
      </c>
      <c r="J2225" s="304" t="str">
        <f>CONCATENATE([2]Cover!$D$6,"fdd/view?i=",I2225)</f>
        <v>https://www.dgiwg.org/FAD/fdd/view?i=107802</v>
      </c>
      <c r="K2225" s="304" t="s">
        <v>36274</v>
      </c>
      <c r="L2225" s="188">
        <v>2</v>
      </c>
      <c r="M2225" s="179" t="s">
        <v>151</v>
      </c>
    </row>
    <row r="2226" spans="1:13" ht="25.5">
      <c r="A2226" s="313" t="str">
        <f t="shared" si="34"/>
        <v>ConspicuousGroundCategoryCode_visualRadar</v>
      </c>
      <c r="B2226" s="331"/>
      <c r="C2226" s="335"/>
      <c r="D2226" s="181" t="s">
        <v>19261</v>
      </c>
      <c r="E2226" s="192" t="s">
        <v>19262</v>
      </c>
      <c r="F2226" s="193" t="s">
        <v>19263</v>
      </c>
      <c r="G2226" s="194"/>
      <c r="H2226" s="220"/>
      <c r="I2226" s="169">
        <v>107451</v>
      </c>
      <c r="J2226" s="304" t="str">
        <f>CONCATENATE([2]Cover!$D$6,"fdd/view?i=",I2226)</f>
        <v>https://www.dgiwg.org/FAD/fdd/view?i=107451</v>
      </c>
      <c r="K2226" s="304" t="s">
        <v>36275</v>
      </c>
      <c r="L2226" s="181">
        <v>1</v>
      </c>
      <c r="M2226" s="179" t="s">
        <v>151</v>
      </c>
    </row>
    <row r="2227" spans="1:13" ht="25.5">
      <c r="A2227" s="313" t="str">
        <f t="shared" si="34"/>
        <v>ConspicuousSeaCategoryCode_notConspicuous</v>
      </c>
      <c r="B2227" s="332" t="str">
        <f>HYPERLINK("[#]Datatypes!A347:L347","ConspicuousSeaCategoryCode")</f>
        <v>ConspicuousSeaCategoryCode</v>
      </c>
      <c r="C2227" s="333" t="s">
        <v>11840</v>
      </c>
      <c r="D2227" s="202" t="s">
        <v>19252</v>
      </c>
      <c r="E2227" s="203" t="s">
        <v>19253</v>
      </c>
      <c r="F2227" s="204" t="s">
        <v>19264</v>
      </c>
      <c r="G2227" s="205"/>
      <c r="H2227" s="218"/>
      <c r="I2227" s="169">
        <v>107391</v>
      </c>
      <c r="J2227" s="304" t="str">
        <f>CONCATENATE([2]Cover!$D$6,"fdd/view?i=",I2227)</f>
        <v>https://www.dgiwg.org/FAD/fdd/view?i=107391</v>
      </c>
      <c r="K2227" s="304" t="s">
        <v>36276</v>
      </c>
      <c r="L2227" s="202">
        <v>4</v>
      </c>
      <c r="M2227" s="179" t="s">
        <v>151</v>
      </c>
    </row>
    <row r="2228" spans="1:13" ht="25.5">
      <c r="A2228" s="313" t="str">
        <f t="shared" si="34"/>
        <v>ConspicuousSeaCategoryCode_radar</v>
      </c>
      <c r="B2228" s="330"/>
      <c r="C2228" s="334"/>
      <c r="D2228" s="188" t="s">
        <v>19255</v>
      </c>
      <c r="E2228" s="189" t="s">
        <v>19256</v>
      </c>
      <c r="F2228" s="162" t="s">
        <v>19257</v>
      </c>
      <c r="G2228" s="162" t="s">
        <v>19265</v>
      </c>
      <c r="H2228" s="219"/>
      <c r="I2228" s="169">
        <v>107390</v>
      </c>
      <c r="J2228" s="304" t="str">
        <f>CONCATENATE([2]Cover!$D$6,"fdd/view?i=",I2228)</f>
        <v>https://www.dgiwg.org/FAD/fdd/view?i=107390</v>
      </c>
      <c r="K2228" s="304" t="s">
        <v>36277</v>
      </c>
      <c r="L2228" s="188">
        <v>3</v>
      </c>
      <c r="M2228" s="179" t="s">
        <v>151</v>
      </c>
    </row>
    <row r="2229" spans="1:13" ht="25.5">
      <c r="A2229" s="313" t="str">
        <f t="shared" si="34"/>
        <v>ConspicuousSeaCategoryCode_radarSonar</v>
      </c>
      <c r="B2229" s="330"/>
      <c r="C2229" s="334"/>
      <c r="D2229" s="188" t="s">
        <v>19266</v>
      </c>
      <c r="E2229" s="189" t="s">
        <v>19267</v>
      </c>
      <c r="F2229" s="162" t="s">
        <v>19268</v>
      </c>
      <c r="G2229" s="162" t="s">
        <v>19258</v>
      </c>
      <c r="H2229" s="219"/>
      <c r="I2229" s="169">
        <v>107448</v>
      </c>
      <c r="J2229" s="304" t="str">
        <f>CONCATENATE([2]Cover!$D$6,"fdd/view?i=",I2229)</f>
        <v>https://www.dgiwg.org/FAD/fdd/view?i=107448</v>
      </c>
      <c r="K2229" s="304" t="s">
        <v>36278</v>
      </c>
      <c r="L2229" s="188">
        <v>7</v>
      </c>
      <c r="M2229" s="179" t="s">
        <v>151</v>
      </c>
    </row>
    <row r="2230" spans="1:13" ht="25.5">
      <c r="A2230" s="313" t="str">
        <f t="shared" si="34"/>
        <v>ConspicuousSeaCategoryCode_sonar</v>
      </c>
      <c r="B2230" s="330"/>
      <c r="C2230" s="334"/>
      <c r="D2230" s="188" t="s">
        <v>19269</v>
      </c>
      <c r="E2230" s="189" t="s">
        <v>19270</v>
      </c>
      <c r="F2230" s="162" t="s">
        <v>19271</v>
      </c>
      <c r="G2230" s="162" t="s">
        <v>19272</v>
      </c>
      <c r="H2230" s="219"/>
      <c r="I2230" s="169">
        <v>107450</v>
      </c>
      <c r="J2230" s="304" t="str">
        <f>CONCATENATE([2]Cover!$D$6,"fdd/view?i=",I2230)</f>
        <v>https://www.dgiwg.org/FAD/fdd/view?i=107450</v>
      </c>
      <c r="K2230" s="304" t="s">
        <v>36279</v>
      </c>
      <c r="L2230" s="188">
        <v>8</v>
      </c>
      <c r="M2230" s="179" t="s">
        <v>151</v>
      </c>
    </row>
    <row r="2231" spans="1:13" ht="25.5">
      <c r="A2231" s="313" t="str">
        <f t="shared" si="34"/>
        <v>ConspicuousSeaCategoryCode_visual</v>
      </c>
      <c r="B2231" s="330"/>
      <c r="C2231" s="334"/>
      <c r="D2231" s="188" t="s">
        <v>16551</v>
      </c>
      <c r="E2231" s="189" t="s">
        <v>16552</v>
      </c>
      <c r="F2231" s="162" t="s">
        <v>19259</v>
      </c>
      <c r="G2231" s="162" t="s">
        <v>19273</v>
      </c>
      <c r="H2231" s="219"/>
      <c r="I2231" s="169">
        <v>107389</v>
      </c>
      <c r="J2231" s="304" t="str">
        <f>CONCATENATE([2]Cover!$D$6,"fdd/view?i=",I2231)</f>
        <v>https://www.dgiwg.org/FAD/fdd/view?i=107389</v>
      </c>
      <c r="K2231" s="304" t="s">
        <v>36280</v>
      </c>
      <c r="L2231" s="188">
        <v>2</v>
      </c>
      <c r="M2231" s="179" t="s">
        <v>151</v>
      </c>
    </row>
    <row r="2232" spans="1:13" ht="25.5">
      <c r="A2232" s="313" t="str">
        <f t="shared" si="34"/>
        <v>ConspicuousSeaCategoryCode_visualRadar</v>
      </c>
      <c r="B2232" s="330"/>
      <c r="C2232" s="334"/>
      <c r="D2232" s="188" t="s">
        <v>19261</v>
      </c>
      <c r="E2232" s="189" t="s">
        <v>19262</v>
      </c>
      <c r="F2232" s="162" t="s">
        <v>19263</v>
      </c>
      <c r="G2232" s="162" t="s">
        <v>19274</v>
      </c>
      <c r="H2232" s="219"/>
      <c r="I2232" s="169">
        <v>107388</v>
      </c>
      <c r="J2232" s="304" t="str">
        <f>CONCATENATE([2]Cover!$D$6,"fdd/view?i=",I2232)</f>
        <v>https://www.dgiwg.org/FAD/fdd/view?i=107388</v>
      </c>
      <c r="K2232" s="304" t="s">
        <v>36281</v>
      </c>
      <c r="L2232" s="188">
        <v>1</v>
      </c>
      <c r="M2232" s="179" t="s">
        <v>151</v>
      </c>
    </row>
    <row r="2233" spans="1:13" ht="25.5">
      <c r="A2233" s="313" t="str">
        <f t="shared" si="34"/>
        <v>ConspicuousSeaCategoryCode_visualRadarSonar</v>
      </c>
      <c r="B2233" s="330"/>
      <c r="C2233" s="334"/>
      <c r="D2233" s="188" t="s">
        <v>19278</v>
      </c>
      <c r="E2233" s="189" t="s">
        <v>19279</v>
      </c>
      <c r="F2233" s="162" t="s">
        <v>19280</v>
      </c>
      <c r="G2233" s="190"/>
      <c r="H2233" s="219"/>
      <c r="I2233" s="169">
        <v>107392</v>
      </c>
      <c r="J2233" s="304" t="str">
        <f>CONCATENATE([2]Cover!$D$6,"fdd/view?i=",I2233)</f>
        <v>https://www.dgiwg.org/FAD/fdd/view?i=107392</v>
      </c>
      <c r="K2233" s="304" t="s">
        <v>36282</v>
      </c>
      <c r="L2233" s="188">
        <v>5</v>
      </c>
      <c r="M2233" s="179" t="s">
        <v>151</v>
      </c>
    </row>
    <row r="2234" spans="1:13" ht="25.5">
      <c r="A2234" s="313" t="str">
        <f t="shared" si="34"/>
        <v>ConspicuousSeaCategoryCode_visualSonar</v>
      </c>
      <c r="B2234" s="331"/>
      <c r="C2234" s="335"/>
      <c r="D2234" s="181" t="s">
        <v>19275</v>
      </c>
      <c r="E2234" s="192" t="s">
        <v>19276</v>
      </c>
      <c r="F2234" s="193" t="s">
        <v>19277</v>
      </c>
      <c r="G2234" s="193" t="s">
        <v>19260</v>
      </c>
      <c r="H2234" s="220"/>
      <c r="I2234" s="169">
        <v>107393</v>
      </c>
      <c r="J2234" s="304" t="str">
        <f>CONCATENATE([2]Cover!$D$6,"fdd/view?i=",I2234)</f>
        <v>https://www.dgiwg.org/FAD/fdd/view?i=107393</v>
      </c>
      <c r="K2234" s="304" t="s">
        <v>36283</v>
      </c>
      <c r="L2234" s="181">
        <v>6</v>
      </c>
      <c r="M2234" s="179" t="s">
        <v>151</v>
      </c>
    </row>
    <row r="2235" spans="1:13">
      <c r="A2235" s="313" t="str">
        <f t="shared" si="34"/>
        <v>ContactMineActuationCode_direct</v>
      </c>
      <c r="B2235" s="332" t="str">
        <f>HYPERLINK("[#]Datatypes!A356:L356","ContactMineActuationCode")</f>
        <v>ContactMineActuationCode</v>
      </c>
      <c r="C2235" s="333" t="s">
        <v>11860</v>
      </c>
      <c r="D2235" s="202" t="s">
        <v>15845</v>
      </c>
      <c r="E2235" s="203" t="s">
        <v>15846</v>
      </c>
      <c r="F2235" s="204" t="s">
        <v>19281</v>
      </c>
      <c r="G2235" s="205"/>
      <c r="H2235" s="218"/>
      <c r="I2235" s="169">
        <v>105678</v>
      </c>
      <c r="J2235" s="304" t="str">
        <f>CONCATENATE([2]Cover!$D$6,"fdd/view?i=",I2235)</f>
        <v>https://www.dgiwg.org/FAD/fdd/view?i=105678</v>
      </c>
      <c r="K2235" s="304" t="s">
        <v>36284</v>
      </c>
      <c r="L2235" s="202">
        <v>1</v>
      </c>
      <c r="M2235" s="179" t="s">
        <v>151</v>
      </c>
    </row>
    <row r="2236" spans="1:13" ht="25.5">
      <c r="A2236" s="313" t="str">
        <f t="shared" si="34"/>
        <v>ContactMineActuationCode_rod</v>
      </c>
      <c r="B2236" s="330"/>
      <c r="C2236" s="334"/>
      <c r="D2236" s="188" t="s">
        <v>19282</v>
      </c>
      <c r="E2236" s="189" t="s">
        <v>19283</v>
      </c>
      <c r="F2236" s="162" t="s">
        <v>19284</v>
      </c>
      <c r="G2236" s="190"/>
      <c r="H2236" s="219"/>
      <c r="I2236" s="169">
        <v>105680</v>
      </c>
      <c r="J2236" s="304" t="str">
        <f>CONCATENATE([2]Cover!$D$6,"fdd/view?i=",I2236)</f>
        <v>https://www.dgiwg.org/FAD/fdd/view?i=105680</v>
      </c>
      <c r="K2236" s="304" t="s">
        <v>36285</v>
      </c>
      <c r="L2236" s="188">
        <v>3</v>
      </c>
      <c r="M2236" s="179" t="s">
        <v>151</v>
      </c>
    </row>
    <row r="2237" spans="1:13" ht="38.25">
      <c r="A2237" s="313" t="str">
        <f t="shared" si="34"/>
        <v>ContactMineActuationCode_snagline</v>
      </c>
      <c r="B2237" s="331"/>
      <c r="C2237" s="335"/>
      <c r="D2237" s="181" t="s">
        <v>19285</v>
      </c>
      <c r="E2237" s="192" t="s">
        <v>19286</v>
      </c>
      <c r="F2237" s="193" t="s">
        <v>19287</v>
      </c>
      <c r="G2237" s="194"/>
      <c r="H2237" s="220"/>
      <c r="I2237" s="169">
        <v>105679</v>
      </c>
      <c r="J2237" s="304" t="str">
        <f>CONCATENATE([2]Cover!$D$6,"fdd/view?i=",I2237)</f>
        <v>https://www.dgiwg.org/FAD/fdd/view?i=105679</v>
      </c>
      <c r="K2237" s="304" t="s">
        <v>36286</v>
      </c>
      <c r="L2237" s="181">
        <v>2</v>
      </c>
      <c r="M2237" s="179" t="s">
        <v>151</v>
      </c>
    </row>
    <row r="2238" spans="1:13" ht="25.5">
      <c r="A2238" s="313" t="str">
        <f t="shared" si="34"/>
        <v>ContactStatusCode_identifiedExplosiveMine</v>
      </c>
      <c r="B2238" s="332" t="str">
        <f>HYPERLINK("[#]Datatypes!A358:L358","ContactStatusCode")</f>
        <v>ContactStatusCode</v>
      </c>
      <c r="C2238" s="333" t="s">
        <v>11862</v>
      </c>
      <c r="D2238" s="202" t="s">
        <v>19288</v>
      </c>
      <c r="E2238" s="203" t="s">
        <v>19289</v>
      </c>
      <c r="F2238" s="204" t="s">
        <v>19290</v>
      </c>
      <c r="G2238" s="205"/>
      <c r="H2238" s="218"/>
      <c r="I2238" s="169">
        <v>112522</v>
      </c>
      <c r="J2238" s="304" t="str">
        <f>CONCATENATE([2]Cover!$D$6,"fdd/view?i=",I2238)</f>
        <v>https://www.dgiwg.org/FAD/fdd/view?i=112522</v>
      </c>
      <c r="K2238" s="304" t="s">
        <v>36287</v>
      </c>
      <c r="L2238" s="202">
        <v>5</v>
      </c>
      <c r="M2238" s="179" t="s">
        <v>151</v>
      </c>
    </row>
    <row r="2239" spans="1:13" ht="25.5">
      <c r="A2239" s="313" t="str">
        <f t="shared" si="34"/>
        <v>ContactStatusCode_mineLikeContact</v>
      </c>
      <c r="B2239" s="330"/>
      <c r="C2239" s="334"/>
      <c r="D2239" s="188" t="s">
        <v>19291</v>
      </c>
      <c r="E2239" s="189" t="s">
        <v>19292</v>
      </c>
      <c r="F2239" s="162" t="s">
        <v>19293</v>
      </c>
      <c r="G2239" s="190"/>
      <c r="H2239" s="219"/>
      <c r="I2239" s="169">
        <v>112516</v>
      </c>
      <c r="J2239" s="304" t="str">
        <f>CONCATENATE([2]Cover!$D$6,"fdd/view?i=",I2239)</f>
        <v>https://www.dgiwg.org/FAD/fdd/view?i=112516</v>
      </c>
      <c r="K2239" s="304" t="s">
        <v>36288</v>
      </c>
      <c r="L2239" s="188">
        <v>2</v>
      </c>
      <c r="M2239" s="179" t="s">
        <v>151</v>
      </c>
    </row>
    <row r="2240" spans="1:13">
      <c r="A2240" s="313" t="str">
        <f t="shared" si="34"/>
        <v>ContactStatusCode_mineLikeEcho</v>
      </c>
      <c r="B2240" s="330"/>
      <c r="C2240" s="334"/>
      <c r="D2240" s="188" t="s">
        <v>19294</v>
      </c>
      <c r="E2240" s="189" t="s">
        <v>19295</v>
      </c>
      <c r="F2240" s="162" t="s">
        <v>19296</v>
      </c>
      <c r="G2240" s="190"/>
      <c r="H2240" s="219"/>
      <c r="I2240" s="169">
        <v>112514</v>
      </c>
      <c r="J2240" s="304" t="str">
        <f>CONCATENATE([2]Cover!$D$6,"fdd/view?i=",I2240)</f>
        <v>https://www.dgiwg.org/FAD/fdd/view?i=112514</v>
      </c>
      <c r="K2240" s="304" t="s">
        <v>36289</v>
      </c>
      <c r="L2240" s="188">
        <v>1</v>
      </c>
      <c r="M2240" s="179" t="s">
        <v>151</v>
      </c>
    </row>
    <row r="2241" spans="1:13" ht="25.5">
      <c r="A2241" s="313" t="str">
        <f t="shared" si="34"/>
        <v>ContactStatusCode_nonMineLikeContact</v>
      </c>
      <c r="B2241" s="330"/>
      <c r="C2241" s="334"/>
      <c r="D2241" s="188" t="s">
        <v>19297</v>
      </c>
      <c r="E2241" s="189" t="s">
        <v>19298</v>
      </c>
      <c r="F2241" s="162" t="s">
        <v>19299</v>
      </c>
      <c r="G2241" s="190"/>
      <c r="H2241" s="219"/>
      <c r="I2241" s="169">
        <v>112518</v>
      </c>
      <c r="J2241" s="304" t="str">
        <f>CONCATENATE([2]Cover!$D$6,"fdd/view?i=",I2241)</f>
        <v>https://www.dgiwg.org/FAD/fdd/view?i=112518</v>
      </c>
      <c r="K2241" s="304" t="s">
        <v>36290</v>
      </c>
      <c r="L2241" s="188">
        <v>3</v>
      </c>
      <c r="M2241" s="179" t="s">
        <v>151</v>
      </c>
    </row>
    <row r="2242" spans="1:13" ht="38.25">
      <c r="A2242" s="313" t="str">
        <f t="shared" si="34"/>
        <v>ContactStatusCode_nonMineMineLikeBotObject</v>
      </c>
      <c r="B2242" s="330"/>
      <c r="C2242" s="334"/>
      <c r="D2242" s="188" t="s">
        <v>19300</v>
      </c>
      <c r="E2242" s="189" t="s">
        <v>19301</v>
      </c>
      <c r="F2242" s="162" t="s">
        <v>19302</v>
      </c>
      <c r="G2242" s="190"/>
      <c r="H2242" s="219"/>
      <c r="I2242" s="169">
        <v>112520</v>
      </c>
      <c r="J2242" s="304" t="str">
        <f>CONCATENATE([2]Cover!$D$6,"fdd/view?i=",I2242)</f>
        <v>https://www.dgiwg.org/FAD/fdd/view?i=112520</v>
      </c>
      <c r="K2242" s="304" t="s">
        <v>36291</v>
      </c>
      <c r="L2242" s="188">
        <v>4</v>
      </c>
      <c r="M2242" s="179" t="s">
        <v>151</v>
      </c>
    </row>
    <row r="2243" spans="1:13" ht="25.5">
      <c r="A2243" s="313" t="str">
        <f t="shared" ref="A2243:A2306" si="35">HYPERLINK(J2243,K2243)</f>
        <v>ContactStatusCode_unexplodedOrdnance</v>
      </c>
      <c r="B2243" s="331"/>
      <c r="C2243" s="335"/>
      <c r="D2243" s="181" t="s">
        <v>19303</v>
      </c>
      <c r="E2243" s="192" t="s">
        <v>19304</v>
      </c>
      <c r="F2243" s="193" t="s">
        <v>19305</v>
      </c>
      <c r="G2243" s="194"/>
      <c r="H2243" s="220"/>
      <c r="I2243" s="169">
        <v>112524</v>
      </c>
      <c r="J2243" s="304" t="str">
        <f>CONCATENATE([2]Cover!$D$6,"fdd/view?i=",I2243)</f>
        <v>https://www.dgiwg.org/FAD/fdd/view?i=112524</v>
      </c>
      <c r="K2243" s="304" t="s">
        <v>36292</v>
      </c>
      <c r="L2243" s="181">
        <v>6</v>
      </c>
      <c r="M2243" s="179" t="s">
        <v>151</v>
      </c>
    </row>
    <row r="2244" spans="1:13" ht="51">
      <c r="A2244" s="313" t="str">
        <f t="shared" si="35"/>
        <v>ContaminantCategoryCode_biological</v>
      </c>
      <c r="B2244" s="332" t="str">
        <f>HYPERLINK("[#]Datatypes!A360:L360","ContaminantCategoryCode")</f>
        <v>ContaminantCategoryCode</v>
      </c>
      <c r="C2244" s="333" t="s">
        <v>11864</v>
      </c>
      <c r="D2244" s="202" t="s">
        <v>19306</v>
      </c>
      <c r="E2244" s="203" t="s">
        <v>19307</v>
      </c>
      <c r="F2244" s="204" t="s">
        <v>19308</v>
      </c>
      <c r="G2244" s="204" t="s">
        <v>19309</v>
      </c>
      <c r="H2244" s="218"/>
      <c r="I2244" s="169">
        <v>118066</v>
      </c>
      <c r="J2244" s="304" t="str">
        <f>CONCATENATE([2]Cover!$D$6,"fdd/view?i=",I2244)</f>
        <v>https://www.dgiwg.org/FAD/fdd/view?i=118066</v>
      </c>
      <c r="K2244" s="304" t="s">
        <v>36293</v>
      </c>
      <c r="L2244" s="202">
        <v>1</v>
      </c>
      <c r="M2244" s="179" t="s">
        <v>151</v>
      </c>
    </row>
    <row r="2245" spans="1:13" ht="38.25">
      <c r="A2245" s="313" t="str">
        <f t="shared" si="35"/>
        <v>ContaminantCategoryCode_chemical</v>
      </c>
      <c r="B2245" s="330"/>
      <c r="C2245" s="334"/>
      <c r="D2245" s="188" t="s">
        <v>19310</v>
      </c>
      <c r="E2245" s="189" t="s">
        <v>19311</v>
      </c>
      <c r="F2245" s="162" t="s">
        <v>19312</v>
      </c>
      <c r="G2245" s="162" t="s">
        <v>19313</v>
      </c>
      <c r="H2245" s="219"/>
      <c r="I2245" s="169">
        <v>118067</v>
      </c>
      <c r="J2245" s="304" t="str">
        <f>CONCATENATE([2]Cover!$D$6,"fdd/view?i=",I2245)</f>
        <v>https://www.dgiwg.org/FAD/fdd/view?i=118067</v>
      </c>
      <c r="K2245" s="304" t="s">
        <v>36294</v>
      </c>
      <c r="L2245" s="188">
        <v>2</v>
      </c>
      <c r="M2245" s="179" t="s">
        <v>151</v>
      </c>
    </row>
    <row r="2246" spans="1:13" ht="114.75">
      <c r="A2246" s="313" t="str">
        <f t="shared" si="35"/>
        <v>ContaminantCategoryCode_nuclearRadiological</v>
      </c>
      <c r="B2246" s="330"/>
      <c r="C2246" s="334"/>
      <c r="D2246" s="188" t="s">
        <v>19314</v>
      </c>
      <c r="E2246" s="189" t="s">
        <v>19315</v>
      </c>
      <c r="F2246" s="162" t="s">
        <v>19316</v>
      </c>
      <c r="G2246" s="162" t="s">
        <v>19317</v>
      </c>
      <c r="H2246" s="219"/>
      <c r="I2246" s="169">
        <v>118068</v>
      </c>
      <c r="J2246" s="304" t="str">
        <f>CONCATENATE([2]Cover!$D$6,"fdd/view?i=",I2246)</f>
        <v>https://www.dgiwg.org/FAD/fdd/view?i=118068</v>
      </c>
      <c r="K2246" s="304" t="s">
        <v>36295</v>
      </c>
      <c r="L2246" s="188">
        <v>3</v>
      </c>
      <c r="M2246" s="179" t="s">
        <v>151</v>
      </c>
    </row>
    <row r="2247" spans="1:13" ht="63.75">
      <c r="A2247" s="313" t="str">
        <f t="shared" si="35"/>
        <v>ContaminantCategoryCode_thermal</v>
      </c>
      <c r="B2247" s="331"/>
      <c r="C2247" s="335"/>
      <c r="D2247" s="181" t="s">
        <v>19318</v>
      </c>
      <c r="E2247" s="192" t="s">
        <v>19319</v>
      </c>
      <c r="F2247" s="193" t="s">
        <v>19320</v>
      </c>
      <c r="G2247" s="193" t="s">
        <v>19321</v>
      </c>
      <c r="H2247" s="220"/>
      <c r="I2247" s="169">
        <v>118069</v>
      </c>
      <c r="J2247" s="304" t="str">
        <f>CONCATENATE([2]Cover!$D$6,"fdd/view?i=",I2247)</f>
        <v>https://www.dgiwg.org/FAD/fdd/view?i=118069</v>
      </c>
      <c r="K2247" s="304" t="s">
        <v>36296</v>
      </c>
      <c r="L2247" s="181">
        <v>4</v>
      </c>
      <c r="M2247" s="179" t="s">
        <v>151</v>
      </c>
    </row>
    <row r="2248" spans="1:13" ht="25.5">
      <c r="A2248" s="313" t="str">
        <f t="shared" si="35"/>
        <v>ContaminantSourceCode_dredging</v>
      </c>
      <c r="B2248" s="332" t="str">
        <f>HYPERLINK("[#]Datatypes!A362:L362","ContaminantSourceCode")</f>
        <v>ContaminantSourceCode</v>
      </c>
      <c r="C2248" s="333" t="s">
        <v>11866</v>
      </c>
      <c r="D2248" s="202" t="s">
        <v>19322</v>
      </c>
      <c r="E2248" s="203" t="s">
        <v>19323</v>
      </c>
      <c r="F2248" s="204" t="s">
        <v>19324</v>
      </c>
      <c r="G2248" s="205"/>
      <c r="H2248" s="218"/>
      <c r="I2248" s="169">
        <v>118071</v>
      </c>
      <c r="J2248" s="304" t="str">
        <f>CONCATENATE([2]Cover!$D$6,"fdd/view?i=",I2248)</f>
        <v>https://www.dgiwg.org/FAD/fdd/view?i=118071</v>
      </c>
      <c r="K2248" s="304" t="s">
        <v>36297</v>
      </c>
      <c r="L2248" s="202">
        <v>1</v>
      </c>
      <c r="M2248" s="179" t="s">
        <v>151</v>
      </c>
    </row>
    <row r="2249" spans="1:13" ht="25.5">
      <c r="A2249" s="313" t="str">
        <f t="shared" si="35"/>
        <v>ContaminantSourceCode_factories</v>
      </c>
      <c r="B2249" s="330"/>
      <c r="C2249" s="334"/>
      <c r="D2249" s="188" t="s">
        <v>19325</v>
      </c>
      <c r="E2249" s="189" t="s">
        <v>19326</v>
      </c>
      <c r="F2249" s="162" t="s">
        <v>19327</v>
      </c>
      <c r="G2249" s="162" t="s">
        <v>19328</v>
      </c>
      <c r="H2249" s="219"/>
      <c r="I2249" s="169">
        <v>118072</v>
      </c>
      <c r="J2249" s="304" t="str">
        <f>CONCATENATE([2]Cover!$D$6,"fdd/view?i=",I2249)</f>
        <v>https://www.dgiwg.org/FAD/fdd/view?i=118072</v>
      </c>
      <c r="K2249" s="304" t="s">
        <v>36298</v>
      </c>
      <c r="L2249" s="188">
        <v>2</v>
      </c>
      <c r="M2249" s="179" t="s">
        <v>151</v>
      </c>
    </row>
    <row r="2250" spans="1:13" ht="38.25">
      <c r="A2250" s="313" t="str">
        <f t="shared" si="35"/>
        <v>ContaminantSourceCode_farmRunOff</v>
      </c>
      <c r="B2250" s="330"/>
      <c r="C2250" s="334"/>
      <c r="D2250" s="188" t="s">
        <v>19329</v>
      </c>
      <c r="E2250" s="189" t="s">
        <v>19330</v>
      </c>
      <c r="F2250" s="162" t="s">
        <v>19331</v>
      </c>
      <c r="G2250" s="190"/>
      <c r="H2250" s="219"/>
      <c r="I2250" s="169">
        <v>118073</v>
      </c>
      <c r="J2250" s="304" t="str">
        <f>CONCATENATE([2]Cover!$D$6,"fdd/view?i=",I2250)</f>
        <v>https://www.dgiwg.org/FAD/fdd/view?i=118073</v>
      </c>
      <c r="K2250" s="304" t="s">
        <v>36299</v>
      </c>
      <c r="L2250" s="188">
        <v>3</v>
      </c>
      <c r="M2250" s="179" t="s">
        <v>151</v>
      </c>
    </row>
    <row r="2251" spans="1:13" ht="25.5">
      <c r="A2251" s="313" t="str">
        <f t="shared" si="35"/>
        <v>ContaminantSourceCode_militaryOperations</v>
      </c>
      <c r="B2251" s="330"/>
      <c r="C2251" s="334"/>
      <c r="D2251" s="188" t="s">
        <v>16179</v>
      </c>
      <c r="E2251" s="189" t="s">
        <v>16180</v>
      </c>
      <c r="F2251" s="162" t="s">
        <v>19332</v>
      </c>
      <c r="G2251" s="190"/>
      <c r="H2251" s="219"/>
      <c r="I2251" s="169">
        <v>118074</v>
      </c>
      <c r="J2251" s="304" t="str">
        <f>CONCATENATE([2]Cover!$D$6,"fdd/view?i=",I2251)</f>
        <v>https://www.dgiwg.org/FAD/fdd/view?i=118074</v>
      </c>
      <c r="K2251" s="304" t="s">
        <v>36300</v>
      </c>
      <c r="L2251" s="188">
        <v>4</v>
      </c>
      <c r="M2251" s="179" t="s">
        <v>151</v>
      </c>
    </row>
    <row r="2252" spans="1:13" ht="25.5">
      <c r="A2252" s="313" t="str">
        <f t="shared" si="35"/>
        <v>ContaminantSourceCode_naturallyOccurring</v>
      </c>
      <c r="B2252" s="330"/>
      <c r="C2252" s="334"/>
      <c r="D2252" s="188" t="s">
        <v>19333</v>
      </c>
      <c r="E2252" s="189" t="s">
        <v>19334</v>
      </c>
      <c r="F2252" s="162" t="s">
        <v>19335</v>
      </c>
      <c r="G2252" s="190"/>
      <c r="H2252" s="219"/>
      <c r="I2252" s="169">
        <v>118075</v>
      </c>
      <c r="J2252" s="304" t="str">
        <f>CONCATENATE([2]Cover!$D$6,"fdd/view?i=",I2252)</f>
        <v>https://www.dgiwg.org/FAD/fdd/view?i=118075</v>
      </c>
      <c r="K2252" s="304" t="s">
        <v>36301</v>
      </c>
      <c r="L2252" s="188">
        <v>5</v>
      </c>
      <c r="M2252" s="179" t="s">
        <v>151</v>
      </c>
    </row>
    <row r="2253" spans="1:13" ht="38.25">
      <c r="A2253" s="313" t="str">
        <f t="shared" si="35"/>
        <v>ContaminantSourceCode_sewers</v>
      </c>
      <c r="B2253" s="330"/>
      <c r="C2253" s="334"/>
      <c r="D2253" s="188" t="s">
        <v>19336</v>
      </c>
      <c r="E2253" s="189" t="s">
        <v>19337</v>
      </c>
      <c r="F2253" s="162" t="s">
        <v>19338</v>
      </c>
      <c r="G2253" s="190"/>
      <c r="H2253" s="219"/>
      <c r="I2253" s="169">
        <v>118076</v>
      </c>
      <c r="J2253" s="304" t="str">
        <f>CONCATENATE([2]Cover!$D$6,"fdd/view?i=",I2253)</f>
        <v>https://www.dgiwg.org/FAD/fdd/view?i=118076</v>
      </c>
      <c r="K2253" s="304" t="s">
        <v>36302</v>
      </c>
      <c r="L2253" s="188">
        <v>6</v>
      </c>
      <c r="M2253" s="179" t="s">
        <v>151</v>
      </c>
    </row>
    <row r="2254" spans="1:13">
      <c r="A2254" s="313" t="str">
        <f t="shared" si="35"/>
        <v>ContaminantSourceCode_spoil</v>
      </c>
      <c r="B2254" s="330"/>
      <c r="C2254" s="334"/>
      <c r="D2254" s="188" t="s">
        <v>18848</v>
      </c>
      <c r="E2254" s="189" t="s">
        <v>18849</v>
      </c>
      <c r="F2254" s="162" t="s">
        <v>19339</v>
      </c>
      <c r="G2254" s="190"/>
      <c r="H2254" s="221" t="s">
        <v>18852</v>
      </c>
      <c r="I2254" s="169">
        <v>118077</v>
      </c>
      <c r="J2254" s="304" t="str">
        <f>CONCATENATE([2]Cover!$D$6,"fdd/view?i=",I2254)</f>
        <v>https://www.dgiwg.org/FAD/fdd/view?i=118077</v>
      </c>
      <c r="K2254" s="304" t="s">
        <v>36303</v>
      </c>
      <c r="L2254" s="188">
        <v>7</v>
      </c>
      <c r="M2254" s="179" t="s">
        <v>151</v>
      </c>
    </row>
    <row r="2255" spans="1:13" ht="25.5">
      <c r="A2255" s="313" t="str">
        <f t="shared" si="35"/>
        <v>ContaminantSourceCode_wrecks</v>
      </c>
      <c r="B2255" s="331"/>
      <c r="C2255" s="335"/>
      <c r="D2255" s="181" t="s">
        <v>19340</v>
      </c>
      <c r="E2255" s="192" t="s">
        <v>19341</v>
      </c>
      <c r="F2255" s="193" t="s">
        <v>19342</v>
      </c>
      <c r="G2255" s="194"/>
      <c r="H2255" s="220"/>
      <c r="I2255" s="169">
        <v>118078</v>
      </c>
      <c r="J2255" s="304" t="str">
        <f>CONCATENATE([2]Cover!$D$6,"fdd/view?i=",I2255)</f>
        <v>https://www.dgiwg.org/FAD/fdd/view?i=118078</v>
      </c>
      <c r="K2255" s="304" t="s">
        <v>36304</v>
      </c>
      <c r="L2255" s="181">
        <v>8</v>
      </c>
      <c r="M2255" s="179" t="s">
        <v>151</v>
      </c>
    </row>
    <row r="2256" spans="1:13">
      <c r="A2256" s="313" t="str">
        <f t="shared" si="35"/>
        <v>ControllingAuthorityCode_civilian</v>
      </c>
      <c r="B2256" s="332" t="str">
        <f>HYPERLINK("[#]Datatypes!A364:L364","ControllingAuthorityCode")</f>
        <v>ControllingAuthorityCode</v>
      </c>
      <c r="C2256" s="333" t="s">
        <v>11868</v>
      </c>
      <c r="D2256" s="202" t="s">
        <v>16853</v>
      </c>
      <c r="E2256" s="203" t="s">
        <v>16854</v>
      </c>
      <c r="F2256" s="204" t="s">
        <v>19343</v>
      </c>
      <c r="G2256" s="205"/>
      <c r="H2256" s="218"/>
      <c r="I2256" s="169">
        <v>109904</v>
      </c>
      <c r="J2256" s="304" t="str">
        <f>CONCATENATE([2]Cover!$D$6,"fdd/view?i=",I2256)</f>
        <v>https://www.dgiwg.org/FAD/fdd/view?i=109904</v>
      </c>
      <c r="K2256" s="304" t="s">
        <v>36305</v>
      </c>
      <c r="L2256" s="202">
        <v>16</v>
      </c>
      <c r="M2256" s="179" t="s">
        <v>151</v>
      </c>
    </row>
    <row r="2257" spans="1:13" ht="25.5">
      <c r="A2257" s="313" t="str">
        <f t="shared" si="35"/>
        <v>ControllingAuthorityCode_international</v>
      </c>
      <c r="B2257" s="330"/>
      <c r="C2257" s="334"/>
      <c r="D2257" s="188" t="s">
        <v>15747</v>
      </c>
      <c r="E2257" s="189" t="s">
        <v>15748</v>
      </c>
      <c r="F2257" s="162" t="s">
        <v>19344</v>
      </c>
      <c r="G2257" s="162" t="s">
        <v>19345</v>
      </c>
      <c r="H2257" s="219"/>
      <c r="I2257" s="169">
        <v>102812</v>
      </c>
      <c r="J2257" s="304" t="str">
        <f>CONCATENATE([2]Cover!$D$6,"fdd/view?i=",I2257)</f>
        <v>https://www.dgiwg.org/FAD/fdd/view?i=102812</v>
      </c>
      <c r="K2257" s="304" t="s">
        <v>36306</v>
      </c>
      <c r="L2257" s="188">
        <v>8</v>
      </c>
      <c r="M2257" s="179" t="s">
        <v>151</v>
      </c>
    </row>
    <row r="2258" spans="1:13" ht="25.5">
      <c r="A2258" s="313" t="str">
        <f t="shared" si="35"/>
        <v>ControllingAuthorityCode_jointMilitaryCivilian</v>
      </c>
      <c r="B2258" s="330"/>
      <c r="C2258" s="334"/>
      <c r="D2258" s="188" t="s">
        <v>19346</v>
      </c>
      <c r="E2258" s="189" t="s">
        <v>19347</v>
      </c>
      <c r="F2258" s="162" t="s">
        <v>19348</v>
      </c>
      <c r="G2258" s="162" t="s">
        <v>19349</v>
      </c>
      <c r="H2258" s="219"/>
      <c r="I2258" s="169">
        <v>102811</v>
      </c>
      <c r="J2258" s="304" t="str">
        <f>CONCATENATE([2]Cover!$D$6,"fdd/view?i=",I2258)</f>
        <v>https://www.dgiwg.org/FAD/fdd/view?i=102811</v>
      </c>
      <c r="K2258" s="304" t="s">
        <v>36307</v>
      </c>
      <c r="L2258" s="188">
        <v>7</v>
      </c>
      <c r="M2258" s="179" t="s">
        <v>151</v>
      </c>
    </row>
    <row r="2259" spans="1:13">
      <c r="A2259" s="313" t="str">
        <f t="shared" si="35"/>
        <v>ControllingAuthorityCode_military</v>
      </c>
      <c r="B2259" s="330"/>
      <c r="C2259" s="334"/>
      <c r="D2259" s="188" t="s">
        <v>15601</v>
      </c>
      <c r="E2259" s="189" t="s">
        <v>15602</v>
      </c>
      <c r="F2259" s="162" t="s">
        <v>19350</v>
      </c>
      <c r="G2259" s="190"/>
      <c r="H2259" s="219"/>
      <c r="I2259" s="169">
        <v>102809</v>
      </c>
      <c r="J2259" s="304" t="str">
        <f>CONCATENATE([2]Cover!$D$6,"fdd/view?i=",I2259)</f>
        <v>https://www.dgiwg.org/FAD/fdd/view?i=102809</v>
      </c>
      <c r="K2259" s="304" t="s">
        <v>36308</v>
      </c>
      <c r="L2259" s="188">
        <v>5</v>
      </c>
      <c r="M2259" s="179" t="s">
        <v>151</v>
      </c>
    </row>
    <row r="2260" spans="1:13" ht="25.5">
      <c r="A2260" s="313" t="str">
        <f t="shared" si="35"/>
        <v>ControllingAuthorityCode_municipal</v>
      </c>
      <c r="B2260" s="330"/>
      <c r="C2260" s="334"/>
      <c r="D2260" s="188" t="s">
        <v>13394</v>
      </c>
      <c r="E2260" s="189" t="s">
        <v>13395</v>
      </c>
      <c r="F2260" s="162" t="s">
        <v>19351</v>
      </c>
      <c r="G2260" s="162" t="s">
        <v>19352</v>
      </c>
      <c r="H2260" s="219"/>
      <c r="I2260" s="169">
        <v>102810</v>
      </c>
      <c r="J2260" s="304" t="str">
        <f>CONCATENATE([2]Cover!$D$6,"fdd/view?i=",I2260)</f>
        <v>https://www.dgiwg.org/FAD/fdd/view?i=102810</v>
      </c>
      <c r="K2260" s="304" t="s">
        <v>36309</v>
      </c>
      <c r="L2260" s="188">
        <v>6</v>
      </c>
      <c r="M2260" s="179" t="s">
        <v>151</v>
      </c>
    </row>
    <row r="2261" spans="1:13">
      <c r="A2261" s="313" t="str">
        <f t="shared" si="35"/>
        <v>ControllingAuthorityCode_national</v>
      </c>
      <c r="B2261" s="330"/>
      <c r="C2261" s="334"/>
      <c r="D2261" s="188" t="s">
        <v>13398</v>
      </c>
      <c r="E2261" s="189" t="s">
        <v>13399</v>
      </c>
      <c r="F2261" s="162" t="s">
        <v>19353</v>
      </c>
      <c r="G2261" s="190"/>
      <c r="H2261" s="221" t="s">
        <v>19354</v>
      </c>
      <c r="I2261" s="169">
        <v>102805</v>
      </c>
      <c r="J2261" s="304" t="str">
        <f>CONCATENATE([2]Cover!$D$6,"fdd/view?i=",I2261)</f>
        <v>https://www.dgiwg.org/FAD/fdd/view?i=102805</v>
      </c>
      <c r="K2261" s="304" t="s">
        <v>36310</v>
      </c>
      <c r="L2261" s="188">
        <v>1</v>
      </c>
      <c r="M2261" s="179" t="s">
        <v>151</v>
      </c>
    </row>
    <row r="2262" spans="1:13" ht="25.5">
      <c r="A2262" s="313" t="str">
        <f t="shared" si="35"/>
        <v>ControllingAuthorityCode_private</v>
      </c>
      <c r="B2262" s="330"/>
      <c r="C2262" s="334"/>
      <c r="D2262" s="188" t="s">
        <v>15756</v>
      </c>
      <c r="E2262" s="189" t="s">
        <v>15757</v>
      </c>
      <c r="F2262" s="162" t="s">
        <v>19355</v>
      </c>
      <c r="G2262" s="190"/>
      <c r="H2262" s="219"/>
      <c r="I2262" s="169">
        <v>102807</v>
      </c>
      <c r="J2262" s="304" t="str">
        <f>CONCATENATE([2]Cover!$D$6,"fdd/view?i=",I2262)</f>
        <v>https://www.dgiwg.org/FAD/fdd/view?i=102807</v>
      </c>
      <c r="K2262" s="304" t="s">
        <v>36311</v>
      </c>
      <c r="L2262" s="188">
        <v>3</v>
      </c>
      <c r="M2262" s="179" t="s">
        <v>151</v>
      </c>
    </row>
    <row r="2263" spans="1:13" ht="38.25">
      <c r="A2263" s="313" t="str">
        <f t="shared" si="35"/>
        <v>ControllingAuthorityCode_province</v>
      </c>
      <c r="B2263" s="330"/>
      <c r="C2263" s="334"/>
      <c r="D2263" s="188" t="s">
        <v>19356</v>
      </c>
      <c r="E2263" s="189" t="s">
        <v>19357</v>
      </c>
      <c r="F2263" s="162" t="s">
        <v>19358</v>
      </c>
      <c r="G2263" s="162" t="s">
        <v>19359</v>
      </c>
      <c r="H2263" s="219"/>
      <c r="I2263" s="169">
        <v>102815</v>
      </c>
      <c r="J2263" s="304" t="str">
        <f>CONCATENATE([2]Cover!$D$6,"fdd/view?i=",I2263)</f>
        <v>https://www.dgiwg.org/FAD/fdd/view?i=102815</v>
      </c>
      <c r="K2263" s="304" t="s">
        <v>36312</v>
      </c>
      <c r="L2263" s="188">
        <v>11</v>
      </c>
      <c r="M2263" s="179" t="s">
        <v>151</v>
      </c>
    </row>
    <row r="2264" spans="1:13" ht="25.5">
      <c r="A2264" s="313" t="str">
        <f t="shared" si="35"/>
        <v>ControllingAuthorityCode_public</v>
      </c>
      <c r="B2264" s="330"/>
      <c r="C2264" s="334"/>
      <c r="D2264" s="188" t="s">
        <v>19360</v>
      </c>
      <c r="E2264" s="189" t="s">
        <v>19361</v>
      </c>
      <c r="F2264" s="162" t="s">
        <v>19362</v>
      </c>
      <c r="G2264" s="190"/>
      <c r="H2264" s="219"/>
      <c r="I2264" s="169">
        <v>105373</v>
      </c>
      <c r="J2264" s="304" t="str">
        <f>CONCATENATE([2]Cover!$D$6,"fdd/view?i=",I2264)</f>
        <v>https://www.dgiwg.org/FAD/fdd/view?i=105373</v>
      </c>
      <c r="K2264" s="304" t="s">
        <v>36313</v>
      </c>
      <c r="L2264" s="188">
        <v>17</v>
      </c>
      <c r="M2264" s="179" t="s">
        <v>151</v>
      </c>
    </row>
    <row r="2265" spans="1:13" ht="25.5">
      <c r="A2265" s="313" t="str">
        <f t="shared" si="35"/>
        <v>ControllingAuthorityCode_regional</v>
      </c>
      <c r="B2265" s="330"/>
      <c r="C2265" s="334"/>
      <c r="D2265" s="188" t="s">
        <v>19363</v>
      </c>
      <c r="E2265" s="189" t="s">
        <v>19364</v>
      </c>
      <c r="F2265" s="162" t="s">
        <v>19365</v>
      </c>
      <c r="G2265" s="162" t="s">
        <v>19366</v>
      </c>
      <c r="H2265" s="219"/>
      <c r="I2265" s="169">
        <v>102817</v>
      </c>
      <c r="J2265" s="304" t="str">
        <f>CONCATENATE([2]Cover!$D$6,"fdd/view?i=",I2265)</f>
        <v>https://www.dgiwg.org/FAD/fdd/view?i=102817</v>
      </c>
      <c r="K2265" s="304" t="s">
        <v>36314</v>
      </c>
      <c r="L2265" s="188">
        <v>13</v>
      </c>
      <c r="M2265" s="179" t="s">
        <v>151</v>
      </c>
    </row>
    <row r="2266" spans="1:13" ht="25.5">
      <c r="A2266" s="313" t="str">
        <f t="shared" si="35"/>
        <v>ControllingAuthorityCode_state</v>
      </c>
      <c r="B2266" s="330"/>
      <c r="C2266" s="334"/>
      <c r="D2266" s="188" t="s">
        <v>19367</v>
      </c>
      <c r="E2266" s="189" t="s">
        <v>19368</v>
      </c>
      <c r="F2266" s="162" t="s">
        <v>19369</v>
      </c>
      <c r="G2266" s="190"/>
      <c r="H2266" s="219"/>
      <c r="I2266" s="169">
        <v>102806</v>
      </c>
      <c r="J2266" s="304" t="str">
        <f>CONCATENATE([2]Cover!$D$6,"fdd/view?i=",I2266)</f>
        <v>https://www.dgiwg.org/FAD/fdd/view?i=102806</v>
      </c>
      <c r="K2266" s="304" t="s">
        <v>36315</v>
      </c>
      <c r="L2266" s="188">
        <v>2</v>
      </c>
      <c r="M2266" s="179" t="s">
        <v>151</v>
      </c>
    </row>
    <row r="2267" spans="1:13" ht="25.5">
      <c r="A2267" s="313" t="str">
        <f t="shared" si="35"/>
        <v>ControllingAuthorityCode_tribal</v>
      </c>
      <c r="B2267" s="331"/>
      <c r="C2267" s="335"/>
      <c r="D2267" s="181" t="s">
        <v>19370</v>
      </c>
      <c r="E2267" s="192" t="s">
        <v>19371</v>
      </c>
      <c r="F2267" s="193" t="s">
        <v>19372</v>
      </c>
      <c r="G2267" s="193" t="s">
        <v>19373</v>
      </c>
      <c r="H2267" s="220"/>
      <c r="I2267" s="169">
        <v>102808</v>
      </c>
      <c r="J2267" s="304" t="str">
        <f>CONCATENATE([2]Cover!$D$6,"fdd/view?i=",I2267)</f>
        <v>https://www.dgiwg.org/FAD/fdd/view?i=102808</v>
      </c>
      <c r="K2267" s="304" t="s">
        <v>36316</v>
      </c>
      <c r="L2267" s="181">
        <v>4</v>
      </c>
      <c r="M2267" s="179" t="s">
        <v>151</v>
      </c>
    </row>
    <row r="2268" spans="1:13" ht="25.5">
      <c r="A2268" s="313" t="str">
        <f t="shared" si="35"/>
        <v>CourseTypeCode_heading</v>
      </c>
      <c r="B2268" s="332" t="str">
        <f>HYPERLINK("[#]Datatypes!A380:L380","CourseTypeCode")</f>
        <v>CourseTypeCode</v>
      </c>
      <c r="C2268" s="333" t="s">
        <v>11899</v>
      </c>
      <c r="D2268" s="202" t="s">
        <v>19374</v>
      </c>
      <c r="E2268" s="203" t="s">
        <v>19375</v>
      </c>
      <c r="F2268" s="204" t="s">
        <v>19376</v>
      </c>
      <c r="G2268" s="205"/>
      <c r="H2268" s="218"/>
      <c r="I2268" s="169">
        <v>115381</v>
      </c>
      <c r="J2268" s="304" t="str">
        <f>CONCATENATE([2]Cover!$D$6,"fdd/view?i=",I2268)</f>
        <v>https://www.dgiwg.org/FAD/fdd/view?i=115381</v>
      </c>
      <c r="K2268" s="304" t="s">
        <v>36317</v>
      </c>
      <c r="L2268" s="202">
        <v>1</v>
      </c>
      <c r="M2268" s="179" t="s">
        <v>151</v>
      </c>
    </row>
    <row r="2269" spans="1:13" ht="25.5">
      <c r="A2269" s="313" t="str">
        <f t="shared" si="35"/>
        <v>CourseTypeCode_magneticBearing</v>
      </c>
      <c r="B2269" s="330"/>
      <c r="C2269" s="334"/>
      <c r="D2269" s="188" t="s">
        <v>8059</v>
      </c>
      <c r="E2269" s="189" t="s">
        <v>8060</v>
      </c>
      <c r="F2269" s="162" t="s">
        <v>19377</v>
      </c>
      <c r="G2269" s="190"/>
      <c r="H2269" s="219"/>
      <c r="I2269" s="169">
        <v>115382</v>
      </c>
      <c r="J2269" s="304" t="str">
        <f>CONCATENATE([2]Cover!$D$6,"fdd/view?i=",I2269)</f>
        <v>https://www.dgiwg.org/FAD/fdd/view?i=115382</v>
      </c>
      <c r="K2269" s="304" t="s">
        <v>36318</v>
      </c>
      <c r="L2269" s="188">
        <v>2</v>
      </c>
      <c r="M2269" s="179" t="s">
        <v>151</v>
      </c>
    </row>
    <row r="2270" spans="1:13" ht="38.25">
      <c r="A2270" s="313" t="str">
        <f t="shared" si="35"/>
        <v>CourseTypeCode_magneticTrack</v>
      </c>
      <c r="B2270" s="330"/>
      <c r="C2270" s="334"/>
      <c r="D2270" s="188" t="s">
        <v>8071</v>
      </c>
      <c r="E2270" s="189" t="s">
        <v>8072</v>
      </c>
      <c r="F2270" s="162" t="s">
        <v>19378</v>
      </c>
      <c r="G2270" s="190"/>
      <c r="H2270" s="219"/>
      <c r="I2270" s="169">
        <v>115383</v>
      </c>
      <c r="J2270" s="304" t="str">
        <f>CONCATENATE([2]Cover!$D$6,"fdd/view?i=",I2270)</f>
        <v>https://www.dgiwg.org/FAD/fdd/view?i=115383</v>
      </c>
      <c r="K2270" s="304" t="s">
        <v>36319</v>
      </c>
      <c r="L2270" s="188">
        <v>3</v>
      </c>
      <c r="M2270" s="179" t="s">
        <v>151</v>
      </c>
    </row>
    <row r="2271" spans="1:13" ht="25.5">
      <c r="A2271" s="313" t="str">
        <f t="shared" si="35"/>
        <v>CourseTypeCode_trueBearing</v>
      </c>
      <c r="B2271" s="330"/>
      <c r="C2271" s="334"/>
      <c r="D2271" s="188" t="s">
        <v>10873</v>
      </c>
      <c r="E2271" s="189" t="s">
        <v>10874</v>
      </c>
      <c r="F2271" s="162" t="s">
        <v>19379</v>
      </c>
      <c r="G2271" s="190"/>
      <c r="H2271" s="219"/>
      <c r="I2271" s="169">
        <v>115384</v>
      </c>
      <c r="J2271" s="304" t="str">
        <f>CONCATENATE([2]Cover!$D$6,"fdd/view?i=",I2271)</f>
        <v>https://www.dgiwg.org/FAD/fdd/view?i=115384</v>
      </c>
      <c r="K2271" s="304" t="s">
        <v>36320</v>
      </c>
      <c r="L2271" s="188">
        <v>4</v>
      </c>
      <c r="M2271" s="179" t="s">
        <v>151</v>
      </c>
    </row>
    <row r="2272" spans="1:13" ht="38.25">
      <c r="A2272" s="313" t="str">
        <f t="shared" si="35"/>
        <v>CourseTypeCode_trueTrack</v>
      </c>
      <c r="B2272" s="330"/>
      <c r="C2272" s="334"/>
      <c r="D2272" s="188" t="s">
        <v>10882</v>
      </c>
      <c r="E2272" s="189" t="s">
        <v>10883</v>
      </c>
      <c r="F2272" s="162" t="s">
        <v>19380</v>
      </c>
      <c r="G2272" s="190"/>
      <c r="H2272" s="219"/>
      <c r="I2272" s="169">
        <v>115385</v>
      </c>
      <c r="J2272" s="304" t="str">
        <f>CONCATENATE([2]Cover!$D$6,"fdd/view?i=",I2272)</f>
        <v>https://www.dgiwg.org/FAD/fdd/view?i=115385</v>
      </c>
      <c r="K2272" s="304" t="s">
        <v>36321</v>
      </c>
      <c r="L2272" s="188">
        <v>5</v>
      </c>
      <c r="M2272" s="179" t="s">
        <v>151</v>
      </c>
    </row>
    <row r="2273" spans="1:13">
      <c r="A2273" s="313" t="str">
        <f t="shared" si="35"/>
        <v>CourseTypeCode_vorRadial</v>
      </c>
      <c r="B2273" s="331"/>
      <c r="C2273" s="335"/>
      <c r="D2273" s="181" t="s">
        <v>19381</v>
      </c>
      <c r="E2273" s="192" t="s">
        <v>19382</v>
      </c>
      <c r="F2273" s="193" t="s">
        <v>19383</v>
      </c>
      <c r="G2273" s="194"/>
      <c r="H2273" s="220"/>
      <c r="I2273" s="169">
        <v>115386</v>
      </c>
      <c r="J2273" s="304" t="str">
        <f>CONCATENATE([2]Cover!$D$6,"fdd/view?i=",I2273)</f>
        <v>https://www.dgiwg.org/FAD/fdd/view?i=115386</v>
      </c>
      <c r="K2273" s="304" t="s">
        <v>36322</v>
      </c>
      <c r="L2273" s="181">
        <v>6</v>
      </c>
      <c r="M2273" s="179" t="s">
        <v>151</v>
      </c>
    </row>
    <row r="2274" spans="1:13">
      <c r="A2274" s="313" t="str">
        <f t="shared" si="35"/>
        <v>CoverClosureTypeCode_complete</v>
      </c>
      <c r="B2274" s="332" t="str">
        <f>HYPERLINK("[#]Datatypes!A382:L382","CoverClosureTypeCode")</f>
        <v>CoverClosureTypeCode</v>
      </c>
      <c r="C2274" s="333" t="s">
        <v>11901</v>
      </c>
      <c r="D2274" s="202" t="s">
        <v>19384</v>
      </c>
      <c r="E2274" s="203" t="s">
        <v>19385</v>
      </c>
      <c r="F2274" s="204" t="s">
        <v>19386</v>
      </c>
      <c r="G2274" s="205"/>
      <c r="H2274" s="218"/>
      <c r="I2274" s="169">
        <v>106724</v>
      </c>
      <c r="J2274" s="304" t="str">
        <f>CONCATENATE([2]Cover!$D$6,"fdd/view?i=",I2274)</f>
        <v>https://www.dgiwg.org/FAD/fdd/view?i=106724</v>
      </c>
      <c r="K2274" s="304" t="s">
        <v>36323</v>
      </c>
      <c r="L2274" s="202">
        <v>4</v>
      </c>
      <c r="M2274" s="179" t="s">
        <v>151</v>
      </c>
    </row>
    <row r="2275" spans="1:13" ht="25.5">
      <c r="A2275" s="313" t="str">
        <f t="shared" si="35"/>
        <v>CoverClosureTypeCode_moveable</v>
      </c>
      <c r="B2275" s="330"/>
      <c r="C2275" s="334"/>
      <c r="D2275" s="188" t="s">
        <v>19387</v>
      </c>
      <c r="E2275" s="189" t="s">
        <v>18324</v>
      </c>
      <c r="F2275" s="162" t="s">
        <v>19388</v>
      </c>
      <c r="G2275" s="162" t="s">
        <v>19389</v>
      </c>
      <c r="H2275" s="219"/>
      <c r="I2275" s="169">
        <v>106715</v>
      </c>
      <c r="J2275" s="304" t="str">
        <f>CONCATENATE([2]Cover!$D$6,"fdd/view?i=",I2275)</f>
        <v>https://www.dgiwg.org/FAD/fdd/view?i=106715</v>
      </c>
      <c r="K2275" s="304" t="s">
        <v>36324</v>
      </c>
      <c r="L2275" s="188">
        <v>3</v>
      </c>
      <c r="M2275" s="179" t="s">
        <v>151</v>
      </c>
    </row>
    <row r="2276" spans="1:13">
      <c r="A2276" s="313" t="str">
        <f t="shared" si="35"/>
        <v>CoverClosureTypeCode_open</v>
      </c>
      <c r="B2276" s="330"/>
      <c r="C2276" s="334"/>
      <c r="D2276" s="188" t="s">
        <v>13334</v>
      </c>
      <c r="E2276" s="189" t="s">
        <v>13335</v>
      </c>
      <c r="F2276" s="162" t="s">
        <v>19390</v>
      </c>
      <c r="G2276" s="162" t="s">
        <v>19391</v>
      </c>
      <c r="H2276" s="219"/>
      <c r="I2276" s="169">
        <v>106128</v>
      </c>
      <c r="J2276" s="304" t="str">
        <f>CONCATENATE([2]Cover!$D$6,"fdd/view?i=",I2276)</f>
        <v>https://www.dgiwg.org/FAD/fdd/view?i=106128</v>
      </c>
      <c r="K2276" s="304" t="s">
        <v>36325</v>
      </c>
      <c r="L2276" s="188">
        <v>1</v>
      </c>
      <c r="M2276" s="179" t="s">
        <v>151</v>
      </c>
    </row>
    <row r="2277" spans="1:13" ht="25.5">
      <c r="A2277" s="313" t="str">
        <f t="shared" si="35"/>
        <v>CoverClosureTypeCode_partial</v>
      </c>
      <c r="B2277" s="331"/>
      <c r="C2277" s="335"/>
      <c r="D2277" s="181" t="s">
        <v>19392</v>
      </c>
      <c r="E2277" s="192" t="s">
        <v>19393</v>
      </c>
      <c r="F2277" s="193" t="s">
        <v>19394</v>
      </c>
      <c r="G2277" s="194"/>
      <c r="H2277" s="220"/>
      <c r="I2277" s="169">
        <v>106326</v>
      </c>
      <c r="J2277" s="304" t="str">
        <f>CONCATENATE([2]Cover!$D$6,"fdd/view?i=",I2277)</f>
        <v>https://www.dgiwg.org/FAD/fdd/view?i=106326</v>
      </c>
      <c r="K2277" s="304" t="s">
        <v>36326</v>
      </c>
      <c r="L2277" s="181">
        <v>2</v>
      </c>
      <c r="M2277" s="179" t="s">
        <v>151</v>
      </c>
    </row>
    <row r="2278" spans="1:13" ht="25.5">
      <c r="A2278" s="313" t="str">
        <f t="shared" si="35"/>
        <v>CraneMobilityTypeCode_fixed</v>
      </c>
      <c r="B2278" s="332" t="str">
        <f>HYPERLINK("[#]Datatypes!A384:L384","CraneMobilityTypeCode")</f>
        <v>CraneMobilityTypeCode</v>
      </c>
      <c r="C2278" s="333" t="s">
        <v>11903</v>
      </c>
      <c r="D2278" s="202" t="s">
        <v>18313</v>
      </c>
      <c r="E2278" s="203" t="s">
        <v>18314</v>
      </c>
      <c r="F2278" s="204" t="s">
        <v>19395</v>
      </c>
      <c r="G2278" s="205"/>
      <c r="H2278" s="218"/>
      <c r="I2278" s="169">
        <v>103257</v>
      </c>
      <c r="J2278" s="304" t="str">
        <f>CONCATENATE([2]Cover!$D$6,"fdd/view?i=",I2278)</f>
        <v>https://www.dgiwg.org/FAD/fdd/view?i=103257</v>
      </c>
      <c r="K2278" s="304" t="s">
        <v>36327</v>
      </c>
      <c r="L2278" s="202">
        <v>1</v>
      </c>
      <c r="M2278" s="179" t="s">
        <v>151</v>
      </c>
    </row>
    <row r="2279" spans="1:13" ht="25.5">
      <c r="A2279" s="313" t="str">
        <f t="shared" si="35"/>
        <v>CraneMobilityTypeCode_floating</v>
      </c>
      <c r="B2279" s="330"/>
      <c r="C2279" s="334"/>
      <c r="D2279" s="188" t="s">
        <v>7065</v>
      </c>
      <c r="E2279" s="189" t="s">
        <v>7066</v>
      </c>
      <c r="F2279" s="162" t="s">
        <v>19396</v>
      </c>
      <c r="G2279" s="162" t="s">
        <v>19397</v>
      </c>
      <c r="H2279" s="219"/>
      <c r="I2279" s="169">
        <v>103259</v>
      </c>
      <c r="J2279" s="304" t="str">
        <f>CONCATENATE([2]Cover!$D$6,"fdd/view?i=",I2279)</f>
        <v>https://www.dgiwg.org/FAD/fdd/view?i=103259</v>
      </c>
      <c r="K2279" s="304" t="s">
        <v>36328</v>
      </c>
      <c r="L2279" s="188">
        <v>3</v>
      </c>
      <c r="M2279" s="179" t="s">
        <v>151</v>
      </c>
    </row>
    <row r="2280" spans="1:13" ht="38.25">
      <c r="A2280" s="313" t="str">
        <f t="shared" si="35"/>
        <v>CraneMobilityTypeCode_mobile</v>
      </c>
      <c r="B2280" s="330"/>
      <c r="C2280" s="334"/>
      <c r="D2280" s="188" t="s">
        <v>19398</v>
      </c>
      <c r="E2280" s="189" t="s">
        <v>19399</v>
      </c>
      <c r="F2280" s="162" t="s">
        <v>19400</v>
      </c>
      <c r="G2280" s="162" t="s">
        <v>19401</v>
      </c>
      <c r="H2280" s="219"/>
      <c r="I2280" s="169">
        <v>110110</v>
      </c>
      <c r="J2280" s="304" t="str">
        <f>CONCATENATE([2]Cover!$D$6,"fdd/view?i=",I2280)</f>
        <v>https://www.dgiwg.org/FAD/fdd/view?i=110110</v>
      </c>
      <c r="K2280" s="304" t="s">
        <v>36329</v>
      </c>
      <c r="L2280" s="188">
        <v>4</v>
      </c>
      <c r="M2280" s="179" t="s">
        <v>151</v>
      </c>
    </row>
    <row r="2281" spans="1:13" ht="25.5">
      <c r="A2281" s="313" t="str">
        <f t="shared" si="35"/>
        <v>CraneMobilityTypeCode_travelling</v>
      </c>
      <c r="B2281" s="331"/>
      <c r="C2281" s="335"/>
      <c r="D2281" s="181" t="s">
        <v>19402</v>
      </c>
      <c r="E2281" s="192" t="s">
        <v>19403</v>
      </c>
      <c r="F2281" s="193" t="s">
        <v>19404</v>
      </c>
      <c r="G2281" s="193" t="s">
        <v>19405</v>
      </c>
      <c r="H2281" s="223" t="s">
        <v>19406</v>
      </c>
      <c r="I2281" s="169">
        <v>103258</v>
      </c>
      <c r="J2281" s="304" t="str">
        <f>CONCATENATE([2]Cover!$D$6,"fdd/view?i=",I2281)</f>
        <v>https://www.dgiwg.org/FAD/fdd/view?i=103258</v>
      </c>
      <c r="K2281" s="304" t="s">
        <v>36330</v>
      </c>
      <c r="L2281" s="181">
        <v>2</v>
      </c>
      <c r="M2281" s="179" t="s">
        <v>151</v>
      </c>
    </row>
    <row r="2282" spans="1:13" ht="25.5">
      <c r="A2282" s="313" t="str">
        <f t="shared" si="35"/>
        <v>CraneTypeCode_bridgeCrane</v>
      </c>
      <c r="B2282" s="332" t="str">
        <f>HYPERLINK("[#]Datatypes!A386:L386","CraneTypeCode")</f>
        <v>CraneTypeCode</v>
      </c>
      <c r="C2282" s="333" t="s">
        <v>11905</v>
      </c>
      <c r="D2282" s="202" t="s">
        <v>19407</v>
      </c>
      <c r="E2282" s="203" t="s">
        <v>19408</v>
      </c>
      <c r="F2282" s="204" t="s">
        <v>19409</v>
      </c>
      <c r="G2282" s="205"/>
      <c r="H2282" s="222" t="s">
        <v>19410</v>
      </c>
      <c r="I2282" s="169">
        <v>103239</v>
      </c>
      <c r="J2282" s="304" t="str">
        <f>CONCATENATE([2]Cover!$D$6,"fdd/view?i=",I2282)</f>
        <v>https://www.dgiwg.org/FAD/fdd/view?i=103239</v>
      </c>
      <c r="K2282" s="304" t="s">
        <v>36331</v>
      </c>
      <c r="L2282" s="202">
        <v>2</v>
      </c>
      <c r="M2282" s="179" t="s">
        <v>151</v>
      </c>
    </row>
    <row r="2283" spans="1:13" ht="25.5">
      <c r="A2283" s="313" t="str">
        <f t="shared" si="35"/>
        <v>CraneTypeCode_containerCrane</v>
      </c>
      <c r="B2283" s="330"/>
      <c r="C2283" s="334"/>
      <c r="D2283" s="188" t="s">
        <v>19411</v>
      </c>
      <c r="E2283" s="189" t="s">
        <v>19412</v>
      </c>
      <c r="F2283" s="162" t="s">
        <v>19413</v>
      </c>
      <c r="G2283" s="190"/>
      <c r="H2283" s="219"/>
      <c r="I2283" s="169">
        <v>103245</v>
      </c>
      <c r="J2283" s="304" t="str">
        <f>CONCATENATE([2]Cover!$D$6,"fdd/view?i=",I2283)</f>
        <v>https://www.dgiwg.org/FAD/fdd/view?i=103245</v>
      </c>
      <c r="K2283" s="304" t="s">
        <v>36332</v>
      </c>
      <c r="L2283" s="188">
        <v>99</v>
      </c>
      <c r="M2283" s="179" t="s">
        <v>151</v>
      </c>
    </row>
    <row r="2284" spans="1:13" ht="25.5">
      <c r="A2284" s="313" t="str">
        <f t="shared" si="35"/>
        <v>CraneTypeCode_rotatingCrane</v>
      </c>
      <c r="B2284" s="330"/>
      <c r="C2284" s="334"/>
      <c r="D2284" s="188" t="s">
        <v>19414</v>
      </c>
      <c r="E2284" s="189" t="s">
        <v>19415</v>
      </c>
      <c r="F2284" s="162" t="s">
        <v>19416</v>
      </c>
      <c r="G2284" s="190"/>
      <c r="H2284" s="219"/>
      <c r="I2284" s="169">
        <v>103240</v>
      </c>
      <c r="J2284" s="304" t="str">
        <f>CONCATENATE([2]Cover!$D$6,"fdd/view?i=",I2284)</f>
        <v>https://www.dgiwg.org/FAD/fdd/view?i=103240</v>
      </c>
      <c r="K2284" s="304" t="s">
        <v>36333</v>
      </c>
      <c r="L2284" s="188">
        <v>3</v>
      </c>
      <c r="M2284" s="179" t="s">
        <v>151</v>
      </c>
    </row>
    <row r="2285" spans="1:13" ht="25.5">
      <c r="A2285" s="313" t="str">
        <f t="shared" si="35"/>
        <v>CraneTypeCode_towerCrane</v>
      </c>
      <c r="B2285" s="331"/>
      <c r="C2285" s="335"/>
      <c r="D2285" s="181" t="s">
        <v>19417</v>
      </c>
      <c r="E2285" s="192" t="s">
        <v>19418</v>
      </c>
      <c r="F2285" s="193" t="s">
        <v>19419</v>
      </c>
      <c r="G2285" s="194"/>
      <c r="H2285" s="220"/>
      <c r="I2285" s="169">
        <v>103244</v>
      </c>
      <c r="J2285" s="304" t="str">
        <f>CONCATENATE([2]Cover!$D$6,"fdd/view?i=",I2285)</f>
        <v>https://www.dgiwg.org/FAD/fdd/view?i=103244</v>
      </c>
      <c r="K2285" s="304" t="s">
        <v>36334</v>
      </c>
      <c r="L2285" s="181">
        <v>7</v>
      </c>
      <c r="M2285" s="179" t="s">
        <v>151</v>
      </c>
    </row>
    <row r="2286" spans="1:13" ht="25.5">
      <c r="A2286" s="313" t="str">
        <f t="shared" si="35"/>
        <v>CrewInjuriesCode_handToHandInjuries</v>
      </c>
      <c r="B2286" s="332" t="str">
        <f>HYPERLINK("[#]Datatypes!A390:L390","CrewInjuriesCode")</f>
        <v>CrewInjuriesCode</v>
      </c>
      <c r="C2286" s="333" t="s">
        <v>11910</v>
      </c>
      <c r="D2286" s="202" t="s">
        <v>19420</v>
      </c>
      <c r="E2286" s="203" t="s">
        <v>19421</v>
      </c>
      <c r="F2286" s="204" t="s">
        <v>19422</v>
      </c>
      <c r="G2286" s="205"/>
      <c r="H2286" s="218"/>
      <c r="I2286" s="169">
        <v>112642</v>
      </c>
      <c r="J2286" s="304" t="str">
        <f>CONCATENATE([2]Cover!$D$6,"fdd/view?i=",I2286)</f>
        <v>https://www.dgiwg.org/FAD/fdd/view?i=112642</v>
      </c>
      <c r="K2286" s="304" t="s">
        <v>36335</v>
      </c>
      <c r="L2286" s="202">
        <v>3</v>
      </c>
      <c r="M2286" s="179" t="s">
        <v>151</v>
      </c>
    </row>
    <row r="2287" spans="1:13" ht="25.5">
      <c r="A2287" s="313" t="str">
        <f t="shared" si="35"/>
        <v>CrewInjuriesCode_shot</v>
      </c>
      <c r="B2287" s="330"/>
      <c r="C2287" s="334"/>
      <c r="D2287" s="188" t="s">
        <v>19423</v>
      </c>
      <c r="E2287" s="189" t="s">
        <v>19424</v>
      </c>
      <c r="F2287" s="162" t="s">
        <v>19425</v>
      </c>
      <c r="G2287" s="190"/>
      <c r="H2287" s="219"/>
      <c r="I2287" s="169">
        <v>112640</v>
      </c>
      <c r="J2287" s="304" t="str">
        <f>CONCATENATE([2]Cover!$D$6,"fdd/view?i=",I2287)</f>
        <v>https://www.dgiwg.org/FAD/fdd/view?i=112640</v>
      </c>
      <c r="K2287" s="304" t="s">
        <v>36336</v>
      </c>
      <c r="L2287" s="188">
        <v>2</v>
      </c>
      <c r="M2287" s="179" t="s">
        <v>151</v>
      </c>
    </row>
    <row r="2288" spans="1:13">
      <c r="A2288" s="313" t="str">
        <f t="shared" si="35"/>
        <v>CrewInjuriesCode_stabbed</v>
      </c>
      <c r="B2288" s="330"/>
      <c r="C2288" s="334"/>
      <c r="D2288" s="188" t="s">
        <v>19426</v>
      </c>
      <c r="E2288" s="189" t="s">
        <v>19427</v>
      </c>
      <c r="F2288" s="162" t="s">
        <v>19428</v>
      </c>
      <c r="G2288" s="190"/>
      <c r="H2288" s="219"/>
      <c r="I2288" s="169">
        <v>112638</v>
      </c>
      <c r="J2288" s="304" t="str">
        <f>CONCATENATE([2]Cover!$D$6,"fdd/view?i=",I2288)</f>
        <v>https://www.dgiwg.org/FAD/fdd/view?i=112638</v>
      </c>
      <c r="K2288" s="304" t="s">
        <v>36337</v>
      </c>
      <c r="L2288" s="188">
        <v>1</v>
      </c>
      <c r="M2288" s="179" t="s">
        <v>151</v>
      </c>
    </row>
    <row r="2289" spans="1:13">
      <c r="A2289" s="313" t="str">
        <f t="shared" si="35"/>
        <v>CrewInjuriesCode_unharmed</v>
      </c>
      <c r="B2289" s="331"/>
      <c r="C2289" s="335"/>
      <c r="D2289" s="181" t="s">
        <v>19429</v>
      </c>
      <c r="E2289" s="192" t="s">
        <v>19430</v>
      </c>
      <c r="F2289" s="193" t="s">
        <v>19431</v>
      </c>
      <c r="G2289" s="194"/>
      <c r="H2289" s="220"/>
      <c r="I2289" s="169">
        <v>112644</v>
      </c>
      <c r="J2289" s="304" t="str">
        <f>CONCATENATE([2]Cover!$D$6,"fdd/view?i=",I2289)</f>
        <v>https://www.dgiwg.org/FAD/fdd/view?i=112644</v>
      </c>
      <c r="K2289" s="304" t="s">
        <v>36338</v>
      </c>
      <c r="L2289" s="181">
        <v>4</v>
      </c>
      <c r="M2289" s="179" t="s">
        <v>151</v>
      </c>
    </row>
    <row r="2290" spans="1:13" ht="25.5">
      <c r="A2290" s="313" t="str">
        <f t="shared" si="35"/>
        <v>CropSpeciesCode_almond</v>
      </c>
      <c r="B2290" s="332" t="str">
        <f>HYPERLINK("[#]Datatypes!A392:L392","CropSpeciesCode")</f>
        <v>CropSpeciesCode</v>
      </c>
      <c r="C2290" s="333" t="s">
        <v>11912</v>
      </c>
      <c r="D2290" s="202" t="s">
        <v>19432</v>
      </c>
      <c r="E2290" s="203" t="s">
        <v>19433</v>
      </c>
      <c r="F2290" s="204" t="s">
        <v>19434</v>
      </c>
      <c r="G2290" s="204" t="s">
        <v>19435</v>
      </c>
      <c r="H2290" s="218"/>
      <c r="I2290" s="169">
        <v>110114</v>
      </c>
      <c r="J2290" s="304" t="str">
        <f>CONCATENATE([2]Cover!$D$6,"fdd/view?i=",I2290)</f>
        <v>https://www.dgiwg.org/FAD/fdd/view?i=110114</v>
      </c>
      <c r="K2290" s="304" t="s">
        <v>36339</v>
      </c>
      <c r="L2290" s="202">
        <v>1</v>
      </c>
      <c r="M2290" s="179" t="s">
        <v>151</v>
      </c>
    </row>
    <row r="2291" spans="1:13" ht="25.5">
      <c r="A2291" s="313" t="str">
        <f t="shared" si="35"/>
        <v>CropSpeciesCode_apple</v>
      </c>
      <c r="B2291" s="330"/>
      <c r="C2291" s="334"/>
      <c r="D2291" s="188" t="s">
        <v>19436</v>
      </c>
      <c r="E2291" s="189" t="s">
        <v>19437</v>
      </c>
      <c r="F2291" s="162" t="s">
        <v>19438</v>
      </c>
      <c r="G2291" s="162" t="s">
        <v>19439</v>
      </c>
      <c r="H2291" s="219"/>
      <c r="I2291" s="169">
        <v>110115</v>
      </c>
      <c r="J2291" s="304" t="str">
        <f>CONCATENATE([2]Cover!$D$6,"fdd/view?i=",I2291)</f>
        <v>https://www.dgiwg.org/FAD/fdd/view?i=110115</v>
      </c>
      <c r="K2291" s="304" t="s">
        <v>36340</v>
      </c>
      <c r="L2291" s="188">
        <v>2</v>
      </c>
      <c r="M2291" s="179" t="s">
        <v>151</v>
      </c>
    </row>
    <row r="2292" spans="1:13" ht="25.5">
      <c r="A2292" s="313" t="str">
        <f t="shared" si="35"/>
        <v>CropSpeciesCode_bamboo</v>
      </c>
      <c r="B2292" s="330"/>
      <c r="C2292" s="334"/>
      <c r="D2292" s="188" t="s">
        <v>19440</v>
      </c>
      <c r="E2292" s="189" t="s">
        <v>19441</v>
      </c>
      <c r="F2292" s="162" t="s">
        <v>19442</v>
      </c>
      <c r="G2292" s="162" t="s">
        <v>19443</v>
      </c>
      <c r="H2292" s="219"/>
      <c r="I2292" s="169">
        <v>110925</v>
      </c>
      <c r="J2292" s="304" t="str">
        <f>CONCATENATE([2]Cover!$D$6,"fdd/view?i=",I2292)</f>
        <v>https://www.dgiwg.org/FAD/fdd/view?i=110925</v>
      </c>
      <c r="K2292" s="304" t="s">
        <v>36341</v>
      </c>
      <c r="L2292" s="188">
        <v>46</v>
      </c>
      <c r="M2292" s="179" t="s">
        <v>151</v>
      </c>
    </row>
    <row r="2293" spans="1:13" ht="38.25">
      <c r="A2293" s="313" t="str">
        <f t="shared" si="35"/>
        <v>CropSpeciesCode_banana</v>
      </c>
      <c r="B2293" s="330"/>
      <c r="C2293" s="334"/>
      <c r="D2293" s="188" t="s">
        <v>19444</v>
      </c>
      <c r="E2293" s="189" t="s">
        <v>19445</v>
      </c>
      <c r="F2293" s="162" t="s">
        <v>19446</v>
      </c>
      <c r="G2293" s="190"/>
      <c r="H2293" s="219"/>
      <c r="I2293" s="169">
        <v>110920</v>
      </c>
      <c r="J2293" s="304" t="str">
        <f>CONCATENATE([2]Cover!$D$6,"fdd/view?i=",I2293)</f>
        <v>https://www.dgiwg.org/FAD/fdd/view?i=110920</v>
      </c>
      <c r="K2293" s="304" t="s">
        <v>36342</v>
      </c>
      <c r="L2293" s="188">
        <v>41</v>
      </c>
      <c r="M2293" s="179" t="s">
        <v>151</v>
      </c>
    </row>
    <row r="2294" spans="1:13" ht="25.5">
      <c r="A2294" s="313" t="str">
        <f t="shared" si="35"/>
        <v>CropSpeciesCode_barley</v>
      </c>
      <c r="B2294" s="330"/>
      <c r="C2294" s="334"/>
      <c r="D2294" s="188" t="s">
        <v>19447</v>
      </c>
      <c r="E2294" s="189" t="s">
        <v>19448</v>
      </c>
      <c r="F2294" s="162" t="s">
        <v>19449</v>
      </c>
      <c r="G2294" s="162" t="s">
        <v>19450</v>
      </c>
      <c r="H2294" s="219"/>
      <c r="I2294" s="169">
        <v>110116</v>
      </c>
      <c r="J2294" s="304" t="str">
        <f>CONCATENATE([2]Cover!$D$6,"fdd/view?i=",I2294)</f>
        <v>https://www.dgiwg.org/FAD/fdd/view?i=110116</v>
      </c>
      <c r="K2294" s="304" t="s">
        <v>36343</v>
      </c>
      <c r="L2294" s="188">
        <v>3</v>
      </c>
      <c r="M2294" s="179" t="s">
        <v>151</v>
      </c>
    </row>
    <row r="2295" spans="1:13" ht="25.5">
      <c r="A2295" s="313" t="str">
        <f t="shared" si="35"/>
        <v>CropSpeciesCode_berry</v>
      </c>
      <c r="B2295" s="330"/>
      <c r="C2295" s="334"/>
      <c r="D2295" s="188" t="s">
        <v>19451</v>
      </c>
      <c r="E2295" s="189" t="s">
        <v>19452</v>
      </c>
      <c r="F2295" s="162" t="s">
        <v>19453</v>
      </c>
      <c r="G2295" s="162" t="s">
        <v>19454</v>
      </c>
      <c r="H2295" s="219"/>
      <c r="I2295" s="169">
        <v>110117</v>
      </c>
      <c r="J2295" s="304" t="str">
        <f>CONCATENATE([2]Cover!$D$6,"fdd/view?i=",I2295)</f>
        <v>https://www.dgiwg.org/FAD/fdd/view?i=110117</v>
      </c>
      <c r="K2295" s="304" t="s">
        <v>36344</v>
      </c>
      <c r="L2295" s="188">
        <v>4</v>
      </c>
      <c r="M2295" s="179" t="s">
        <v>151</v>
      </c>
    </row>
    <row r="2296" spans="1:13" ht="25.5">
      <c r="A2296" s="313" t="str">
        <f t="shared" si="35"/>
        <v>CropSpeciesCode_cacao</v>
      </c>
      <c r="B2296" s="330"/>
      <c r="C2296" s="334"/>
      <c r="D2296" s="188" t="s">
        <v>19455</v>
      </c>
      <c r="E2296" s="189" t="s">
        <v>19456</v>
      </c>
      <c r="F2296" s="162" t="s">
        <v>19457</v>
      </c>
      <c r="G2296" s="162" t="s">
        <v>19458</v>
      </c>
      <c r="H2296" s="219"/>
      <c r="I2296" s="169">
        <v>110122</v>
      </c>
      <c r="J2296" s="304" t="str">
        <f>CONCATENATE([2]Cover!$D$6,"fdd/view?i=",I2296)</f>
        <v>https://www.dgiwg.org/FAD/fdd/view?i=110122</v>
      </c>
      <c r="K2296" s="304" t="s">
        <v>36345</v>
      </c>
      <c r="L2296" s="188">
        <v>9</v>
      </c>
      <c r="M2296" s="179" t="s">
        <v>151</v>
      </c>
    </row>
    <row r="2297" spans="1:13" ht="38.25">
      <c r="A2297" s="313" t="str">
        <f t="shared" si="35"/>
        <v>CropSpeciesCode_cannabis</v>
      </c>
      <c r="B2297" s="330"/>
      <c r="C2297" s="334"/>
      <c r="D2297" s="188" t="s">
        <v>19459</v>
      </c>
      <c r="E2297" s="189" t="s">
        <v>19460</v>
      </c>
      <c r="F2297" s="162" t="s">
        <v>19461</v>
      </c>
      <c r="G2297" s="162" t="s">
        <v>19462</v>
      </c>
      <c r="H2297" s="219"/>
      <c r="I2297" s="169">
        <v>112752</v>
      </c>
      <c r="J2297" s="304" t="str">
        <f>CONCATENATE([2]Cover!$D$6,"fdd/view?i=",I2297)</f>
        <v>https://www.dgiwg.org/FAD/fdd/view?i=112752</v>
      </c>
      <c r="K2297" s="304" t="s">
        <v>36346</v>
      </c>
      <c r="L2297" s="188">
        <v>152</v>
      </c>
      <c r="M2297" s="179" t="s">
        <v>151</v>
      </c>
    </row>
    <row r="2298" spans="1:13" ht="25.5">
      <c r="A2298" s="313" t="str">
        <f t="shared" si="35"/>
        <v>CropSpeciesCode_carob</v>
      </c>
      <c r="B2298" s="330"/>
      <c r="C2298" s="334"/>
      <c r="D2298" s="188" t="s">
        <v>19463</v>
      </c>
      <c r="E2298" s="189" t="s">
        <v>19464</v>
      </c>
      <c r="F2298" s="162" t="s">
        <v>19465</v>
      </c>
      <c r="G2298" s="190"/>
      <c r="H2298" s="219"/>
      <c r="I2298" s="169">
        <v>110118</v>
      </c>
      <c r="J2298" s="304" t="str">
        <f>CONCATENATE([2]Cover!$D$6,"fdd/view?i=",I2298)</f>
        <v>https://www.dgiwg.org/FAD/fdd/view?i=110118</v>
      </c>
      <c r="K2298" s="304" t="s">
        <v>36347</v>
      </c>
      <c r="L2298" s="188">
        <v>5</v>
      </c>
      <c r="M2298" s="179" t="s">
        <v>151</v>
      </c>
    </row>
    <row r="2299" spans="1:13" ht="38.25">
      <c r="A2299" s="313" t="str">
        <f t="shared" si="35"/>
        <v>CropSpeciesCode_chestnut</v>
      </c>
      <c r="B2299" s="330"/>
      <c r="C2299" s="334"/>
      <c r="D2299" s="188" t="s">
        <v>19466</v>
      </c>
      <c r="E2299" s="189" t="s">
        <v>19467</v>
      </c>
      <c r="F2299" s="162" t="s">
        <v>19468</v>
      </c>
      <c r="G2299" s="162" t="s">
        <v>19469</v>
      </c>
      <c r="H2299" s="219"/>
      <c r="I2299" s="169">
        <v>110119</v>
      </c>
      <c r="J2299" s="304" t="str">
        <f>CONCATENATE([2]Cover!$D$6,"fdd/view?i=",I2299)</f>
        <v>https://www.dgiwg.org/FAD/fdd/view?i=110119</v>
      </c>
      <c r="K2299" s="304" t="s">
        <v>36348</v>
      </c>
      <c r="L2299" s="188">
        <v>6</v>
      </c>
      <c r="M2299" s="179" t="s">
        <v>151</v>
      </c>
    </row>
    <row r="2300" spans="1:13" ht="25.5">
      <c r="A2300" s="313" t="str">
        <f t="shared" si="35"/>
        <v>CropSpeciesCode_citrus</v>
      </c>
      <c r="B2300" s="330"/>
      <c r="C2300" s="334"/>
      <c r="D2300" s="188" t="s">
        <v>19470</v>
      </c>
      <c r="E2300" s="189" t="s">
        <v>19471</v>
      </c>
      <c r="F2300" s="162" t="s">
        <v>19472</v>
      </c>
      <c r="G2300" s="162" t="s">
        <v>19473</v>
      </c>
      <c r="H2300" s="219"/>
      <c r="I2300" s="169">
        <v>110120</v>
      </c>
      <c r="J2300" s="304" t="str">
        <f>CONCATENATE([2]Cover!$D$6,"fdd/view?i=",I2300)</f>
        <v>https://www.dgiwg.org/FAD/fdd/view?i=110120</v>
      </c>
      <c r="K2300" s="304" t="s">
        <v>36349</v>
      </c>
      <c r="L2300" s="188">
        <v>7</v>
      </c>
      <c r="M2300" s="179" t="s">
        <v>151</v>
      </c>
    </row>
    <row r="2301" spans="1:13" ht="25.5">
      <c r="A2301" s="313" t="str">
        <f t="shared" si="35"/>
        <v>CropSpeciesCode_coconut</v>
      </c>
      <c r="B2301" s="330"/>
      <c r="C2301" s="334"/>
      <c r="D2301" s="188" t="s">
        <v>19474</v>
      </c>
      <c r="E2301" s="189" t="s">
        <v>19475</v>
      </c>
      <c r="F2301" s="162" t="s">
        <v>19476</v>
      </c>
      <c r="G2301" s="190"/>
      <c r="H2301" s="219"/>
      <c r="I2301" s="169">
        <v>110922</v>
      </c>
      <c r="J2301" s="304" t="str">
        <f>CONCATENATE([2]Cover!$D$6,"fdd/view?i=",I2301)</f>
        <v>https://www.dgiwg.org/FAD/fdd/view?i=110922</v>
      </c>
      <c r="K2301" s="304" t="s">
        <v>36350</v>
      </c>
      <c r="L2301" s="188">
        <v>43</v>
      </c>
      <c r="M2301" s="179" t="s">
        <v>151</v>
      </c>
    </row>
    <row r="2302" spans="1:13" ht="38.25">
      <c r="A2302" s="313" t="str">
        <f t="shared" si="35"/>
        <v>CropSpeciesCode_coffee</v>
      </c>
      <c r="B2302" s="330"/>
      <c r="C2302" s="334"/>
      <c r="D2302" s="188" t="s">
        <v>19477</v>
      </c>
      <c r="E2302" s="189" t="s">
        <v>19478</v>
      </c>
      <c r="F2302" s="162" t="s">
        <v>19479</v>
      </c>
      <c r="G2302" s="162" t="s">
        <v>19480</v>
      </c>
      <c r="H2302" s="219"/>
      <c r="I2302" s="169">
        <v>110123</v>
      </c>
      <c r="J2302" s="304" t="str">
        <f>CONCATENATE([2]Cover!$D$6,"fdd/view?i=",I2302)</f>
        <v>https://www.dgiwg.org/FAD/fdd/view?i=110123</v>
      </c>
      <c r="K2302" s="304" t="s">
        <v>36351</v>
      </c>
      <c r="L2302" s="188">
        <v>10</v>
      </c>
      <c r="M2302" s="179" t="s">
        <v>151</v>
      </c>
    </row>
    <row r="2303" spans="1:13" ht="38.25">
      <c r="A2303" s="313" t="str">
        <f t="shared" si="35"/>
        <v>CropSpeciesCode_corkOak</v>
      </c>
      <c r="B2303" s="330"/>
      <c r="C2303" s="334"/>
      <c r="D2303" s="188" t="s">
        <v>19481</v>
      </c>
      <c r="E2303" s="189" t="s">
        <v>19482</v>
      </c>
      <c r="F2303" s="162" t="s">
        <v>19483</v>
      </c>
      <c r="G2303" s="190"/>
      <c r="H2303" s="219"/>
      <c r="I2303" s="169">
        <v>110121</v>
      </c>
      <c r="J2303" s="304" t="str">
        <f>CONCATENATE([2]Cover!$D$6,"fdd/view?i=",I2303)</f>
        <v>https://www.dgiwg.org/FAD/fdd/view?i=110121</v>
      </c>
      <c r="K2303" s="304" t="s">
        <v>36352</v>
      </c>
      <c r="L2303" s="188">
        <v>8</v>
      </c>
      <c r="M2303" s="179" t="s">
        <v>151</v>
      </c>
    </row>
    <row r="2304" spans="1:13" ht="38.25">
      <c r="A2304" s="313" t="str">
        <f t="shared" si="35"/>
        <v>CropSpeciesCode_cotton</v>
      </c>
      <c r="B2304" s="330"/>
      <c r="C2304" s="334"/>
      <c r="D2304" s="188" t="s">
        <v>19484</v>
      </c>
      <c r="E2304" s="189" t="s">
        <v>19485</v>
      </c>
      <c r="F2304" s="162" t="s">
        <v>19486</v>
      </c>
      <c r="G2304" s="190"/>
      <c r="H2304" s="219"/>
      <c r="I2304" s="169">
        <v>110924</v>
      </c>
      <c r="J2304" s="304" t="str">
        <f>CONCATENATE([2]Cover!$D$6,"fdd/view?i=",I2304)</f>
        <v>https://www.dgiwg.org/FAD/fdd/view?i=110924</v>
      </c>
      <c r="K2304" s="304" t="s">
        <v>36353</v>
      </c>
      <c r="L2304" s="188">
        <v>45</v>
      </c>
      <c r="M2304" s="179" t="s">
        <v>151</v>
      </c>
    </row>
    <row r="2305" spans="1:13" ht="51">
      <c r="A2305" s="313" t="str">
        <f t="shared" si="35"/>
        <v>CropSpeciesCode_date</v>
      </c>
      <c r="B2305" s="330"/>
      <c r="C2305" s="334"/>
      <c r="D2305" s="188" t="s">
        <v>11767</v>
      </c>
      <c r="E2305" s="189" t="s">
        <v>11768</v>
      </c>
      <c r="F2305" s="162" t="s">
        <v>19487</v>
      </c>
      <c r="G2305" s="162" t="s">
        <v>19488</v>
      </c>
      <c r="H2305" s="219"/>
      <c r="I2305" s="169">
        <v>110740</v>
      </c>
      <c r="J2305" s="304" t="str">
        <f>CONCATENATE([2]Cover!$D$6,"fdd/view?i=",I2305)</f>
        <v>https://www.dgiwg.org/FAD/fdd/view?i=110740</v>
      </c>
      <c r="K2305" s="304" t="s">
        <v>36354</v>
      </c>
      <c r="L2305" s="188">
        <v>40</v>
      </c>
      <c r="M2305" s="179" t="s">
        <v>151</v>
      </c>
    </row>
    <row r="2306" spans="1:13" ht="25.5">
      <c r="A2306" s="313" t="str">
        <f t="shared" si="35"/>
        <v>CropSpeciesCode_dryCrop</v>
      </c>
      <c r="B2306" s="330"/>
      <c r="C2306" s="334"/>
      <c r="D2306" s="188" t="s">
        <v>19489</v>
      </c>
      <c r="E2306" s="189" t="s">
        <v>19490</v>
      </c>
      <c r="F2306" s="162" t="s">
        <v>19491</v>
      </c>
      <c r="G2306" s="162" t="s">
        <v>19492</v>
      </c>
      <c r="H2306" s="219"/>
      <c r="I2306" s="169">
        <v>110126</v>
      </c>
      <c r="J2306" s="304" t="str">
        <f>CONCATENATE([2]Cover!$D$6,"fdd/view?i=",I2306)</f>
        <v>https://www.dgiwg.org/FAD/fdd/view?i=110126</v>
      </c>
      <c r="K2306" s="304" t="s">
        <v>36355</v>
      </c>
      <c r="L2306" s="188">
        <v>13</v>
      </c>
      <c r="M2306" s="179" t="s">
        <v>151</v>
      </c>
    </row>
    <row r="2307" spans="1:13">
      <c r="A2307" s="313" t="str">
        <f t="shared" ref="A2307:A2370" si="36">HYPERLINK(J2307,K2307)</f>
        <v>CropSpeciesCode_fibreCrop</v>
      </c>
      <c r="B2307" s="330"/>
      <c r="C2307" s="334"/>
      <c r="D2307" s="188" t="s">
        <v>19493</v>
      </c>
      <c r="E2307" s="189" t="s">
        <v>19494</v>
      </c>
      <c r="F2307" s="162" t="s">
        <v>19495</v>
      </c>
      <c r="G2307" s="162" t="s">
        <v>19496</v>
      </c>
      <c r="H2307" s="219"/>
      <c r="I2307" s="169">
        <v>110127</v>
      </c>
      <c r="J2307" s="304" t="str">
        <f>CONCATENATE([2]Cover!$D$6,"fdd/view?i=",I2307)</f>
        <v>https://www.dgiwg.org/FAD/fdd/view?i=110127</v>
      </c>
      <c r="K2307" s="304" t="s">
        <v>36356</v>
      </c>
      <c r="L2307" s="188">
        <v>14</v>
      </c>
      <c r="M2307" s="179" t="s">
        <v>151</v>
      </c>
    </row>
    <row r="2308" spans="1:13" ht="25.5">
      <c r="A2308" s="313" t="str">
        <f t="shared" si="36"/>
        <v>CropSpeciesCode_fruitTree</v>
      </c>
      <c r="B2308" s="330"/>
      <c r="C2308" s="334"/>
      <c r="D2308" s="188" t="s">
        <v>19497</v>
      </c>
      <c r="E2308" s="189" t="s">
        <v>19498</v>
      </c>
      <c r="F2308" s="162" t="s">
        <v>19499</v>
      </c>
      <c r="G2308" s="162" t="s">
        <v>19500</v>
      </c>
      <c r="H2308" s="219"/>
      <c r="I2308" s="169">
        <v>110128</v>
      </c>
      <c r="J2308" s="304" t="str">
        <f>CONCATENATE([2]Cover!$D$6,"fdd/view?i=",I2308)</f>
        <v>https://www.dgiwg.org/FAD/fdd/view?i=110128</v>
      </c>
      <c r="K2308" s="304" t="s">
        <v>36357</v>
      </c>
      <c r="L2308" s="188">
        <v>15</v>
      </c>
      <c r="M2308" s="179" t="s">
        <v>151</v>
      </c>
    </row>
    <row r="2309" spans="1:13" ht="25.5">
      <c r="A2309" s="313" t="str">
        <f t="shared" si="36"/>
        <v>CropSpeciesCode_grape</v>
      </c>
      <c r="B2309" s="330"/>
      <c r="C2309" s="334"/>
      <c r="D2309" s="188" t="s">
        <v>19501</v>
      </c>
      <c r="E2309" s="189" t="s">
        <v>19502</v>
      </c>
      <c r="F2309" s="162" t="s">
        <v>19503</v>
      </c>
      <c r="G2309" s="162" t="s">
        <v>19504</v>
      </c>
      <c r="H2309" s="219"/>
      <c r="I2309" s="169">
        <v>110129</v>
      </c>
      <c r="J2309" s="304" t="str">
        <f>CONCATENATE([2]Cover!$D$6,"fdd/view?i=",I2309)</f>
        <v>https://www.dgiwg.org/FAD/fdd/view?i=110129</v>
      </c>
      <c r="K2309" s="304" t="s">
        <v>36358</v>
      </c>
      <c r="L2309" s="188">
        <v>16</v>
      </c>
      <c r="M2309" s="179" t="s">
        <v>151</v>
      </c>
    </row>
    <row r="2310" spans="1:13" ht="38.25">
      <c r="A2310" s="313" t="str">
        <f t="shared" si="36"/>
        <v>CropSpeciesCode_hazelnut</v>
      </c>
      <c r="B2310" s="330"/>
      <c r="C2310" s="334"/>
      <c r="D2310" s="188" t="s">
        <v>19505</v>
      </c>
      <c r="E2310" s="189" t="s">
        <v>19506</v>
      </c>
      <c r="F2310" s="162" t="s">
        <v>19507</v>
      </c>
      <c r="G2310" s="162" t="s">
        <v>19508</v>
      </c>
      <c r="H2310" s="219"/>
      <c r="I2310" s="169">
        <v>110130</v>
      </c>
      <c r="J2310" s="304" t="str">
        <f>CONCATENATE([2]Cover!$D$6,"fdd/view?i=",I2310)</f>
        <v>https://www.dgiwg.org/FAD/fdd/view?i=110130</v>
      </c>
      <c r="K2310" s="304" t="s">
        <v>36359</v>
      </c>
      <c r="L2310" s="188">
        <v>17</v>
      </c>
      <c r="M2310" s="179" t="s">
        <v>151</v>
      </c>
    </row>
    <row r="2311" spans="1:13" ht="63.75">
      <c r="A2311" s="313" t="str">
        <f t="shared" si="36"/>
        <v>CropSpeciesCode_hop</v>
      </c>
      <c r="B2311" s="330"/>
      <c r="C2311" s="334"/>
      <c r="D2311" s="188" t="s">
        <v>19509</v>
      </c>
      <c r="E2311" s="189" t="s">
        <v>19510</v>
      </c>
      <c r="F2311" s="162" t="s">
        <v>19511</v>
      </c>
      <c r="G2311" s="162" t="s">
        <v>19512</v>
      </c>
      <c r="H2311" s="219"/>
      <c r="I2311" s="169">
        <v>110131</v>
      </c>
      <c r="J2311" s="304" t="str">
        <f>CONCATENATE([2]Cover!$D$6,"fdd/view?i=",I2311)</f>
        <v>https://www.dgiwg.org/FAD/fdd/view?i=110131</v>
      </c>
      <c r="K2311" s="304" t="s">
        <v>36360</v>
      </c>
      <c r="L2311" s="188">
        <v>18</v>
      </c>
      <c r="M2311" s="179" t="s">
        <v>151</v>
      </c>
    </row>
    <row r="2312" spans="1:13" ht="38.25">
      <c r="A2312" s="313" t="str">
        <f t="shared" si="36"/>
        <v>CropSpeciesCode_maize</v>
      </c>
      <c r="B2312" s="330"/>
      <c r="C2312" s="334"/>
      <c r="D2312" s="188" t="s">
        <v>19513</v>
      </c>
      <c r="E2312" s="189" t="s">
        <v>19514</v>
      </c>
      <c r="F2312" s="162" t="s">
        <v>19515</v>
      </c>
      <c r="G2312" s="190"/>
      <c r="H2312" s="221" t="s">
        <v>19516</v>
      </c>
      <c r="I2312" s="169">
        <v>110124</v>
      </c>
      <c r="J2312" s="304" t="str">
        <f>CONCATENATE([2]Cover!$D$6,"fdd/view?i=",I2312)</f>
        <v>https://www.dgiwg.org/FAD/fdd/view?i=110124</v>
      </c>
      <c r="K2312" s="304" t="s">
        <v>36361</v>
      </c>
      <c r="L2312" s="188">
        <v>11</v>
      </c>
      <c r="M2312" s="179" t="s">
        <v>151</v>
      </c>
    </row>
    <row r="2313" spans="1:13" ht="38.25">
      <c r="A2313" s="313" t="str">
        <f t="shared" si="36"/>
        <v>CropSpeciesCode_maple</v>
      </c>
      <c r="B2313" s="330"/>
      <c r="C2313" s="334"/>
      <c r="D2313" s="188" t="s">
        <v>19517</v>
      </c>
      <c r="E2313" s="189" t="s">
        <v>19518</v>
      </c>
      <c r="F2313" s="162" t="s">
        <v>19519</v>
      </c>
      <c r="G2313" s="162" t="s">
        <v>19520</v>
      </c>
      <c r="H2313" s="219"/>
      <c r="I2313" s="169">
        <v>110132</v>
      </c>
      <c r="J2313" s="304" t="str">
        <f>CONCATENATE([2]Cover!$D$6,"fdd/view?i=",I2313)</f>
        <v>https://www.dgiwg.org/FAD/fdd/view?i=110132</v>
      </c>
      <c r="K2313" s="304" t="s">
        <v>36362</v>
      </c>
      <c r="L2313" s="188">
        <v>19</v>
      </c>
      <c r="M2313" s="179" t="s">
        <v>151</v>
      </c>
    </row>
    <row r="2314" spans="1:13" ht="51">
      <c r="A2314" s="313" t="str">
        <f t="shared" si="36"/>
        <v>CropSpeciesCode_millet</v>
      </c>
      <c r="B2314" s="330"/>
      <c r="C2314" s="334"/>
      <c r="D2314" s="188" t="s">
        <v>19521</v>
      </c>
      <c r="E2314" s="189" t="s">
        <v>19522</v>
      </c>
      <c r="F2314" s="162" t="s">
        <v>19523</v>
      </c>
      <c r="G2314" s="162" t="s">
        <v>19524</v>
      </c>
      <c r="H2314" s="219"/>
      <c r="I2314" s="169">
        <v>110133</v>
      </c>
      <c r="J2314" s="304" t="str">
        <f>CONCATENATE([2]Cover!$D$6,"fdd/view?i=",I2314)</f>
        <v>https://www.dgiwg.org/FAD/fdd/view?i=110133</v>
      </c>
      <c r="K2314" s="304" t="s">
        <v>36363</v>
      </c>
      <c r="L2314" s="188">
        <v>20</v>
      </c>
      <c r="M2314" s="179" t="s">
        <v>151</v>
      </c>
    </row>
    <row r="2315" spans="1:13" ht="25.5">
      <c r="A2315" s="313" t="str">
        <f t="shared" si="36"/>
        <v>CropSpeciesCode_oat</v>
      </c>
      <c r="B2315" s="330"/>
      <c r="C2315" s="334"/>
      <c r="D2315" s="188" t="s">
        <v>19525</v>
      </c>
      <c r="E2315" s="189" t="s">
        <v>19526</v>
      </c>
      <c r="F2315" s="162" t="s">
        <v>19527</v>
      </c>
      <c r="G2315" s="162" t="s">
        <v>19528</v>
      </c>
      <c r="H2315" s="219"/>
      <c r="I2315" s="169">
        <v>110134</v>
      </c>
      <c r="J2315" s="304" t="str">
        <f>CONCATENATE([2]Cover!$D$6,"fdd/view?i=",I2315)</f>
        <v>https://www.dgiwg.org/FAD/fdd/view?i=110134</v>
      </c>
      <c r="K2315" s="304" t="s">
        <v>36364</v>
      </c>
      <c r="L2315" s="188">
        <v>21</v>
      </c>
      <c r="M2315" s="179" t="s">
        <v>151</v>
      </c>
    </row>
    <row r="2316" spans="1:13">
      <c r="A2316" s="313" t="str">
        <f t="shared" si="36"/>
        <v>CropSpeciesCode_oilCrop</v>
      </c>
      <c r="B2316" s="330"/>
      <c r="C2316" s="334"/>
      <c r="D2316" s="188" t="s">
        <v>19529</v>
      </c>
      <c r="E2316" s="189" t="s">
        <v>19530</v>
      </c>
      <c r="F2316" s="162" t="s">
        <v>19531</v>
      </c>
      <c r="G2316" s="162" t="s">
        <v>19532</v>
      </c>
      <c r="H2316" s="219"/>
      <c r="I2316" s="169">
        <v>110135</v>
      </c>
      <c r="J2316" s="304" t="str">
        <f>CONCATENATE([2]Cover!$D$6,"fdd/view?i=",I2316)</f>
        <v>https://www.dgiwg.org/FAD/fdd/view?i=110135</v>
      </c>
      <c r="K2316" s="304" t="s">
        <v>36365</v>
      </c>
      <c r="L2316" s="188">
        <v>22</v>
      </c>
      <c r="M2316" s="179" t="s">
        <v>151</v>
      </c>
    </row>
    <row r="2317" spans="1:13" ht="25.5">
      <c r="A2317" s="313" t="str">
        <f t="shared" si="36"/>
        <v>CropSpeciesCode_oilPalm</v>
      </c>
      <c r="B2317" s="330"/>
      <c r="C2317" s="334"/>
      <c r="D2317" s="188" t="s">
        <v>19533</v>
      </c>
      <c r="E2317" s="189" t="s">
        <v>19534</v>
      </c>
      <c r="F2317" s="162" t="s">
        <v>19535</v>
      </c>
      <c r="G2317" s="190"/>
      <c r="H2317" s="219"/>
      <c r="I2317" s="169">
        <v>110921</v>
      </c>
      <c r="J2317" s="304" t="str">
        <f>CONCATENATE([2]Cover!$D$6,"fdd/view?i=",I2317)</f>
        <v>https://www.dgiwg.org/FAD/fdd/view?i=110921</v>
      </c>
      <c r="K2317" s="304" t="s">
        <v>36366</v>
      </c>
      <c r="L2317" s="188">
        <v>42</v>
      </c>
      <c r="M2317" s="179" t="s">
        <v>151</v>
      </c>
    </row>
    <row r="2318" spans="1:13" ht="89.25">
      <c r="A2318" s="313" t="str">
        <f t="shared" si="36"/>
        <v>CropSpeciesCode_olive</v>
      </c>
      <c r="B2318" s="330"/>
      <c r="C2318" s="334"/>
      <c r="D2318" s="188" t="s">
        <v>19536</v>
      </c>
      <c r="E2318" s="189" t="s">
        <v>19537</v>
      </c>
      <c r="F2318" s="162" t="s">
        <v>19538</v>
      </c>
      <c r="G2318" s="162" t="s">
        <v>19539</v>
      </c>
      <c r="H2318" s="219"/>
      <c r="I2318" s="169">
        <v>110136</v>
      </c>
      <c r="J2318" s="304" t="str">
        <f>CONCATENATE([2]Cover!$D$6,"fdd/view?i=",I2318)</f>
        <v>https://www.dgiwg.org/FAD/fdd/view?i=110136</v>
      </c>
      <c r="K2318" s="304" t="s">
        <v>36367</v>
      </c>
      <c r="L2318" s="188">
        <v>23</v>
      </c>
      <c r="M2318" s="179" t="s">
        <v>151</v>
      </c>
    </row>
    <row r="2319" spans="1:13" ht="38.25">
      <c r="A2319" s="313" t="str">
        <f t="shared" si="36"/>
        <v>CropSpeciesCode_opiumPoppy</v>
      </c>
      <c r="B2319" s="330"/>
      <c r="C2319" s="334"/>
      <c r="D2319" s="188" t="s">
        <v>19540</v>
      </c>
      <c r="E2319" s="189" t="s">
        <v>19541</v>
      </c>
      <c r="F2319" s="162" t="s">
        <v>19542</v>
      </c>
      <c r="G2319" s="162" t="s">
        <v>19543</v>
      </c>
      <c r="H2319" s="219"/>
      <c r="I2319" s="169">
        <v>110996</v>
      </c>
      <c r="J2319" s="304" t="str">
        <f>CONCATENATE([2]Cover!$D$6,"fdd/view?i=",I2319)</f>
        <v>https://www.dgiwg.org/FAD/fdd/view?i=110996</v>
      </c>
      <c r="K2319" s="304" t="s">
        <v>36368</v>
      </c>
      <c r="L2319" s="188">
        <v>117</v>
      </c>
      <c r="M2319" s="179" t="s">
        <v>151</v>
      </c>
    </row>
    <row r="2320" spans="1:13" ht="38.25">
      <c r="A2320" s="313" t="str">
        <f t="shared" si="36"/>
        <v>CropSpeciesCode_ornamentalCrop</v>
      </c>
      <c r="B2320" s="330"/>
      <c r="C2320" s="334"/>
      <c r="D2320" s="188" t="s">
        <v>19544</v>
      </c>
      <c r="E2320" s="189" t="s">
        <v>19545</v>
      </c>
      <c r="F2320" s="162" t="s">
        <v>19546</v>
      </c>
      <c r="G2320" s="162" t="s">
        <v>19547</v>
      </c>
      <c r="H2320" s="219"/>
      <c r="I2320" s="169">
        <v>119116</v>
      </c>
      <c r="J2320" s="304" t="str">
        <f>CONCATENATE([2]Cover!$D$6,"fdd/view?i=",I2320)</f>
        <v>https://www.dgiwg.org/FAD/fdd/view?i=119116</v>
      </c>
      <c r="K2320" s="304" t="s">
        <v>36369</v>
      </c>
      <c r="L2320" s="188">
        <v>159</v>
      </c>
      <c r="M2320" s="179" t="s">
        <v>151</v>
      </c>
    </row>
    <row r="2321" spans="1:13" ht="63.75">
      <c r="A2321" s="313" t="str">
        <f t="shared" si="36"/>
        <v>CropSpeciesCode_palmetto</v>
      </c>
      <c r="B2321" s="330"/>
      <c r="C2321" s="334"/>
      <c r="D2321" s="188" t="s">
        <v>19548</v>
      </c>
      <c r="E2321" s="189" t="s">
        <v>19549</v>
      </c>
      <c r="F2321" s="162" t="s">
        <v>19550</v>
      </c>
      <c r="G2321" s="162" t="s">
        <v>19551</v>
      </c>
      <c r="H2321" s="221" t="s">
        <v>19552</v>
      </c>
      <c r="I2321" s="169">
        <v>110926</v>
      </c>
      <c r="J2321" s="304" t="str">
        <f>CONCATENATE([2]Cover!$D$6,"fdd/view?i=",I2321)</f>
        <v>https://www.dgiwg.org/FAD/fdd/view?i=110926</v>
      </c>
      <c r="K2321" s="304" t="s">
        <v>36370</v>
      </c>
      <c r="L2321" s="188">
        <v>47</v>
      </c>
      <c r="M2321" s="179" t="s">
        <v>151</v>
      </c>
    </row>
    <row r="2322" spans="1:13" ht="25.5">
      <c r="A2322" s="313" t="str">
        <f t="shared" si="36"/>
        <v>CropSpeciesCode_peach</v>
      </c>
      <c r="B2322" s="330"/>
      <c r="C2322" s="334"/>
      <c r="D2322" s="188" t="s">
        <v>19553</v>
      </c>
      <c r="E2322" s="189" t="s">
        <v>19554</v>
      </c>
      <c r="F2322" s="162" t="s">
        <v>19555</v>
      </c>
      <c r="G2322" s="190"/>
      <c r="H2322" s="219"/>
      <c r="I2322" s="169">
        <v>110137</v>
      </c>
      <c r="J2322" s="304" t="str">
        <f>CONCATENATE([2]Cover!$D$6,"fdd/view?i=",I2322)</f>
        <v>https://www.dgiwg.org/FAD/fdd/view?i=110137</v>
      </c>
      <c r="K2322" s="304" t="s">
        <v>36371</v>
      </c>
      <c r="L2322" s="188">
        <v>24</v>
      </c>
      <c r="M2322" s="179" t="s">
        <v>151</v>
      </c>
    </row>
    <row r="2323" spans="1:13" ht="38.25">
      <c r="A2323" s="313" t="str">
        <f t="shared" si="36"/>
        <v>CropSpeciesCode_peanut</v>
      </c>
      <c r="B2323" s="330"/>
      <c r="C2323" s="334"/>
      <c r="D2323" s="188" t="s">
        <v>19556</v>
      </c>
      <c r="E2323" s="189" t="s">
        <v>19557</v>
      </c>
      <c r="F2323" s="162" t="s">
        <v>19558</v>
      </c>
      <c r="G2323" s="162" t="s">
        <v>19559</v>
      </c>
      <c r="H2323" s="219"/>
      <c r="I2323" s="169">
        <v>110138</v>
      </c>
      <c r="J2323" s="304" t="str">
        <f>CONCATENATE([2]Cover!$D$6,"fdd/view?i=",I2323)</f>
        <v>https://www.dgiwg.org/FAD/fdd/view?i=110138</v>
      </c>
      <c r="K2323" s="304" t="s">
        <v>36372</v>
      </c>
      <c r="L2323" s="188">
        <v>25</v>
      </c>
      <c r="M2323" s="179" t="s">
        <v>151</v>
      </c>
    </row>
    <row r="2324" spans="1:13" ht="25.5">
      <c r="A2324" s="313" t="str">
        <f t="shared" si="36"/>
        <v>CropSpeciesCode_potato</v>
      </c>
      <c r="B2324" s="330"/>
      <c r="C2324" s="334"/>
      <c r="D2324" s="188" t="s">
        <v>19560</v>
      </c>
      <c r="E2324" s="189" t="s">
        <v>19561</v>
      </c>
      <c r="F2324" s="162" t="s">
        <v>19562</v>
      </c>
      <c r="G2324" s="190"/>
      <c r="H2324" s="219"/>
      <c r="I2324" s="169">
        <v>110139</v>
      </c>
      <c r="J2324" s="304" t="str">
        <f>CONCATENATE([2]Cover!$D$6,"fdd/view?i=",I2324)</f>
        <v>https://www.dgiwg.org/FAD/fdd/view?i=110139</v>
      </c>
      <c r="K2324" s="304" t="s">
        <v>36373</v>
      </c>
      <c r="L2324" s="188">
        <v>26</v>
      </c>
      <c r="M2324" s="179" t="s">
        <v>151</v>
      </c>
    </row>
    <row r="2325" spans="1:13">
      <c r="A2325" s="313" t="str">
        <f t="shared" si="36"/>
        <v>CropSpeciesCode_pulse</v>
      </c>
      <c r="B2325" s="330"/>
      <c r="C2325" s="334"/>
      <c r="D2325" s="188" t="s">
        <v>19563</v>
      </c>
      <c r="E2325" s="189" t="s">
        <v>19564</v>
      </c>
      <c r="F2325" s="162" t="s">
        <v>19565</v>
      </c>
      <c r="G2325" s="162" t="s">
        <v>19566</v>
      </c>
      <c r="H2325" s="221" t="s">
        <v>19567</v>
      </c>
      <c r="I2325" s="169">
        <v>110140</v>
      </c>
      <c r="J2325" s="304" t="str">
        <f>CONCATENATE([2]Cover!$D$6,"fdd/view?i=",I2325)</f>
        <v>https://www.dgiwg.org/FAD/fdd/view?i=110140</v>
      </c>
      <c r="K2325" s="304" t="s">
        <v>36374</v>
      </c>
      <c r="L2325" s="188">
        <v>27</v>
      </c>
      <c r="M2325" s="179" t="s">
        <v>151</v>
      </c>
    </row>
    <row r="2326" spans="1:13" ht="38.25">
      <c r="A2326" s="313" t="str">
        <f t="shared" si="36"/>
        <v>CropSpeciesCode_rice</v>
      </c>
      <c r="B2326" s="330"/>
      <c r="C2326" s="334"/>
      <c r="D2326" s="188" t="s">
        <v>19568</v>
      </c>
      <c r="E2326" s="189" t="s">
        <v>19569</v>
      </c>
      <c r="F2326" s="162" t="s">
        <v>19570</v>
      </c>
      <c r="G2326" s="162" t="s">
        <v>19571</v>
      </c>
      <c r="H2326" s="219"/>
      <c r="I2326" s="169">
        <v>110141</v>
      </c>
      <c r="J2326" s="304" t="str">
        <f>CONCATENATE([2]Cover!$D$6,"fdd/view?i=",I2326)</f>
        <v>https://www.dgiwg.org/FAD/fdd/view?i=110141</v>
      </c>
      <c r="K2326" s="304" t="s">
        <v>36375</v>
      </c>
      <c r="L2326" s="188">
        <v>28</v>
      </c>
      <c r="M2326" s="179" t="s">
        <v>151</v>
      </c>
    </row>
    <row r="2327" spans="1:13" ht="38.25">
      <c r="A2327" s="313" t="str">
        <f t="shared" si="36"/>
        <v>CropSpeciesCode_rubber</v>
      </c>
      <c r="B2327" s="330"/>
      <c r="C2327" s="334"/>
      <c r="D2327" s="188" t="s">
        <v>19572</v>
      </c>
      <c r="E2327" s="189" t="s">
        <v>19573</v>
      </c>
      <c r="F2327" s="162" t="s">
        <v>19574</v>
      </c>
      <c r="G2327" s="190"/>
      <c r="H2327" s="219"/>
      <c r="I2327" s="169">
        <v>110142</v>
      </c>
      <c r="J2327" s="304" t="str">
        <f>CONCATENATE([2]Cover!$D$6,"fdd/view?i=",I2327)</f>
        <v>https://www.dgiwg.org/FAD/fdd/view?i=110142</v>
      </c>
      <c r="K2327" s="304" t="s">
        <v>36376</v>
      </c>
      <c r="L2327" s="188">
        <v>29</v>
      </c>
      <c r="M2327" s="179" t="s">
        <v>151</v>
      </c>
    </row>
    <row r="2328" spans="1:13" ht="25.5">
      <c r="A2328" s="313" t="str">
        <f t="shared" si="36"/>
        <v>CropSpeciesCode_rye</v>
      </c>
      <c r="B2328" s="330"/>
      <c r="C2328" s="334"/>
      <c r="D2328" s="188" t="s">
        <v>19575</v>
      </c>
      <c r="E2328" s="189" t="s">
        <v>19576</v>
      </c>
      <c r="F2328" s="162" t="s">
        <v>19577</v>
      </c>
      <c r="G2328" s="162" t="s">
        <v>19578</v>
      </c>
      <c r="H2328" s="219"/>
      <c r="I2328" s="169">
        <v>110143</v>
      </c>
      <c r="J2328" s="304" t="str">
        <f>CONCATENATE([2]Cover!$D$6,"fdd/view?i=",I2328)</f>
        <v>https://www.dgiwg.org/FAD/fdd/view?i=110143</v>
      </c>
      <c r="K2328" s="304" t="s">
        <v>36377</v>
      </c>
      <c r="L2328" s="188">
        <v>30</v>
      </c>
      <c r="M2328" s="179" t="s">
        <v>151</v>
      </c>
    </row>
    <row r="2329" spans="1:13" ht="25.5">
      <c r="A2329" s="313" t="str">
        <f t="shared" si="36"/>
        <v>CropSpeciesCode_sisal</v>
      </c>
      <c r="B2329" s="330"/>
      <c r="C2329" s="334"/>
      <c r="D2329" s="188" t="s">
        <v>19579</v>
      </c>
      <c r="E2329" s="189" t="s">
        <v>19580</v>
      </c>
      <c r="F2329" s="162" t="s">
        <v>19581</v>
      </c>
      <c r="G2329" s="162" t="s">
        <v>19582</v>
      </c>
      <c r="H2329" s="219"/>
      <c r="I2329" s="169">
        <v>110144</v>
      </c>
      <c r="J2329" s="304" t="str">
        <f>CONCATENATE([2]Cover!$D$6,"fdd/view?i=",I2329)</f>
        <v>https://www.dgiwg.org/FAD/fdd/view?i=110144</v>
      </c>
      <c r="K2329" s="304" t="s">
        <v>36378</v>
      </c>
      <c r="L2329" s="188">
        <v>31</v>
      </c>
      <c r="M2329" s="179" t="s">
        <v>151</v>
      </c>
    </row>
    <row r="2330" spans="1:13" ht="38.25">
      <c r="A2330" s="313" t="str">
        <f t="shared" si="36"/>
        <v>CropSpeciesCode_sorghum</v>
      </c>
      <c r="B2330" s="330"/>
      <c r="C2330" s="334"/>
      <c r="D2330" s="188" t="s">
        <v>19583</v>
      </c>
      <c r="E2330" s="189" t="s">
        <v>19584</v>
      </c>
      <c r="F2330" s="162" t="s">
        <v>19585</v>
      </c>
      <c r="G2330" s="162" t="s">
        <v>19586</v>
      </c>
      <c r="H2330" s="219"/>
      <c r="I2330" s="169">
        <v>110145</v>
      </c>
      <c r="J2330" s="304" t="str">
        <f>CONCATENATE([2]Cover!$D$6,"fdd/view?i=",I2330)</f>
        <v>https://www.dgiwg.org/FAD/fdd/view?i=110145</v>
      </c>
      <c r="K2330" s="304" t="s">
        <v>36379</v>
      </c>
      <c r="L2330" s="188">
        <v>32</v>
      </c>
      <c r="M2330" s="179" t="s">
        <v>151</v>
      </c>
    </row>
    <row r="2331" spans="1:13" ht="25.5">
      <c r="A2331" s="313" t="str">
        <f t="shared" si="36"/>
        <v>CropSpeciesCode_sugarCane</v>
      </c>
      <c r="B2331" s="330"/>
      <c r="C2331" s="334"/>
      <c r="D2331" s="188" t="s">
        <v>19587</v>
      </c>
      <c r="E2331" s="189" t="s">
        <v>19588</v>
      </c>
      <c r="F2331" s="162" t="s">
        <v>19589</v>
      </c>
      <c r="G2331" s="190"/>
      <c r="H2331" s="219"/>
      <c r="I2331" s="169">
        <v>110923</v>
      </c>
      <c r="J2331" s="304" t="str">
        <f>CONCATENATE([2]Cover!$D$6,"fdd/view?i=",I2331)</f>
        <v>https://www.dgiwg.org/FAD/fdd/view?i=110923</v>
      </c>
      <c r="K2331" s="304" t="s">
        <v>36380</v>
      </c>
      <c r="L2331" s="188">
        <v>44</v>
      </c>
      <c r="M2331" s="179" t="s">
        <v>151</v>
      </c>
    </row>
    <row r="2332" spans="1:13" ht="76.5">
      <c r="A2332" s="313" t="str">
        <f t="shared" si="36"/>
        <v>CropSpeciesCode_sugarCrop</v>
      </c>
      <c r="B2332" s="330"/>
      <c r="C2332" s="334"/>
      <c r="D2332" s="188" t="s">
        <v>19590</v>
      </c>
      <c r="E2332" s="189" t="s">
        <v>19591</v>
      </c>
      <c r="F2332" s="162" t="s">
        <v>19592</v>
      </c>
      <c r="G2332" s="162" t="s">
        <v>19593</v>
      </c>
      <c r="H2332" s="219"/>
      <c r="I2332" s="169">
        <v>110146</v>
      </c>
      <c r="J2332" s="304" t="str">
        <f>CONCATENATE([2]Cover!$D$6,"fdd/view?i=",I2332)</f>
        <v>https://www.dgiwg.org/FAD/fdd/view?i=110146</v>
      </c>
      <c r="K2332" s="304" t="s">
        <v>36381</v>
      </c>
      <c r="L2332" s="188">
        <v>33</v>
      </c>
      <c r="M2332" s="179" t="s">
        <v>151</v>
      </c>
    </row>
    <row r="2333" spans="1:13" ht="38.25">
      <c r="A2333" s="313" t="str">
        <f t="shared" si="36"/>
        <v>CropSpeciesCode_tea</v>
      </c>
      <c r="B2333" s="330"/>
      <c r="C2333" s="334"/>
      <c r="D2333" s="188" t="s">
        <v>19594</v>
      </c>
      <c r="E2333" s="189" t="s">
        <v>19595</v>
      </c>
      <c r="F2333" s="162" t="s">
        <v>19596</v>
      </c>
      <c r="G2333" s="162" t="s">
        <v>19597</v>
      </c>
      <c r="H2333" s="219"/>
      <c r="I2333" s="169">
        <v>110147</v>
      </c>
      <c r="J2333" s="304" t="str">
        <f>CONCATENATE([2]Cover!$D$6,"fdd/view?i=",I2333)</f>
        <v>https://www.dgiwg.org/FAD/fdd/view?i=110147</v>
      </c>
      <c r="K2333" s="304" t="s">
        <v>36382</v>
      </c>
      <c r="L2333" s="188">
        <v>34</v>
      </c>
      <c r="M2333" s="179" t="s">
        <v>151</v>
      </c>
    </row>
    <row r="2334" spans="1:13" ht="38.25">
      <c r="A2334" s="313" t="str">
        <f t="shared" si="36"/>
        <v>CropSpeciesCode_timber</v>
      </c>
      <c r="B2334" s="330"/>
      <c r="C2334" s="334"/>
      <c r="D2334" s="188" t="s">
        <v>19598</v>
      </c>
      <c r="E2334" s="189" t="s">
        <v>19599</v>
      </c>
      <c r="F2334" s="162" t="s">
        <v>19600</v>
      </c>
      <c r="G2334" s="190"/>
      <c r="H2334" s="219"/>
      <c r="I2334" s="169">
        <v>110927</v>
      </c>
      <c r="J2334" s="304" t="str">
        <f>CONCATENATE([2]Cover!$D$6,"fdd/view?i=",I2334)</f>
        <v>https://www.dgiwg.org/FAD/fdd/view?i=110927</v>
      </c>
      <c r="K2334" s="304" t="s">
        <v>36383</v>
      </c>
      <c r="L2334" s="188">
        <v>48</v>
      </c>
      <c r="M2334" s="179" t="s">
        <v>151</v>
      </c>
    </row>
    <row r="2335" spans="1:13" ht="89.25">
      <c r="A2335" s="313" t="str">
        <f t="shared" si="36"/>
        <v>CropSpeciesCode_tobacco</v>
      </c>
      <c r="B2335" s="330"/>
      <c r="C2335" s="334"/>
      <c r="D2335" s="188" t="s">
        <v>19601</v>
      </c>
      <c r="E2335" s="189" t="s">
        <v>19602</v>
      </c>
      <c r="F2335" s="162" t="s">
        <v>19603</v>
      </c>
      <c r="G2335" s="162" t="s">
        <v>19604</v>
      </c>
      <c r="H2335" s="219"/>
      <c r="I2335" s="169">
        <v>110148</v>
      </c>
      <c r="J2335" s="304" t="str">
        <f>CONCATENATE([2]Cover!$D$6,"fdd/view?i=",I2335)</f>
        <v>https://www.dgiwg.org/FAD/fdd/view?i=110148</v>
      </c>
      <c r="K2335" s="304" t="s">
        <v>36384</v>
      </c>
      <c r="L2335" s="188">
        <v>35</v>
      </c>
      <c r="M2335" s="179" t="s">
        <v>151</v>
      </c>
    </row>
    <row r="2336" spans="1:13" ht="38.25">
      <c r="A2336" s="313" t="str">
        <f t="shared" si="36"/>
        <v>CropSpeciesCode_tuber</v>
      </c>
      <c r="B2336" s="330"/>
      <c r="C2336" s="334"/>
      <c r="D2336" s="188" t="s">
        <v>19605</v>
      </c>
      <c r="E2336" s="189" t="s">
        <v>19606</v>
      </c>
      <c r="F2336" s="162" t="s">
        <v>19607</v>
      </c>
      <c r="G2336" s="190"/>
      <c r="H2336" s="219"/>
      <c r="I2336" s="169">
        <v>110149</v>
      </c>
      <c r="J2336" s="304" t="str">
        <f>CONCATENATE([2]Cover!$D$6,"fdd/view?i=",I2336)</f>
        <v>https://www.dgiwg.org/FAD/fdd/view?i=110149</v>
      </c>
      <c r="K2336" s="304" t="s">
        <v>36385</v>
      </c>
      <c r="L2336" s="188">
        <v>36</v>
      </c>
      <c r="M2336" s="179" t="s">
        <v>151</v>
      </c>
    </row>
    <row r="2337" spans="1:13" ht="38.25">
      <c r="A2337" s="313" t="str">
        <f t="shared" si="36"/>
        <v>CropSpeciesCode_vegetableCrop</v>
      </c>
      <c r="B2337" s="330"/>
      <c r="C2337" s="334"/>
      <c r="D2337" s="188" t="s">
        <v>19608</v>
      </c>
      <c r="E2337" s="189" t="s">
        <v>19609</v>
      </c>
      <c r="F2337" s="162" t="s">
        <v>19610</v>
      </c>
      <c r="G2337" s="190"/>
      <c r="H2337" s="219"/>
      <c r="I2337" s="169">
        <v>110150</v>
      </c>
      <c r="J2337" s="304" t="str">
        <f>CONCATENATE([2]Cover!$D$6,"fdd/view?i=",I2337)</f>
        <v>https://www.dgiwg.org/FAD/fdd/view?i=110150</v>
      </c>
      <c r="K2337" s="304" t="s">
        <v>36386</v>
      </c>
      <c r="L2337" s="188">
        <v>37</v>
      </c>
      <c r="M2337" s="179" t="s">
        <v>151</v>
      </c>
    </row>
    <row r="2338" spans="1:13" ht="51">
      <c r="A2338" s="313" t="str">
        <f t="shared" si="36"/>
        <v>CropSpeciesCode_walnut</v>
      </c>
      <c r="B2338" s="330"/>
      <c r="C2338" s="334"/>
      <c r="D2338" s="188" t="s">
        <v>19611</v>
      </c>
      <c r="E2338" s="189" t="s">
        <v>19612</v>
      </c>
      <c r="F2338" s="162" t="s">
        <v>19613</v>
      </c>
      <c r="G2338" s="162" t="s">
        <v>19614</v>
      </c>
      <c r="H2338" s="219"/>
      <c r="I2338" s="169">
        <v>110151</v>
      </c>
      <c r="J2338" s="304" t="str">
        <f>CONCATENATE([2]Cover!$D$6,"fdd/view?i=",I2338)</f>
        <v>https://www.dgiwg.org/FAD/fdd/view?i=110151</v>
      </c>
      <c r="K2338" s="304" t="s">
        <v>36387</v>
      </c>
      <c r="L2338" s="188">
        <v>38</v>
      </c>
      <c r="M2338" s="179" t="s">
        <v>151</v>
      </c>
    </row>
    <row r="2339" spans="1:13" ht="76.5">
      <c r="A2339" s="313" t="str">
        <f t="shared" si="36"/>
        <v>CropSpeciesCode_wheat</v>
      </c>
      <c r="B2339" s="331"/>
      <c r="C2339" s="335"/>
      <c r="D2339" s="181" t="s">
        <v>19615</v>
      </c>
      <c r="E2339" s="192" t="s">
        <v>19616</v>
      </c>
      <c r="F2339" s="193" t="s">
        <v>19617</v>
      </c>
      <c r="G2339" s="193" t="s">
        <v>19618</v>
      </c>
      <c r="H2339" s="220"/>
      <c r="I2339" s="169">
        <v>110152</v>
      </c>
      <c r="J2339" s="304" t="str">
        <f>CONCATENATE([2]Cover!$D$6,"fdd/view?i=",I2339)</f>
        <v>https://www.dgiwg.org/FAD/fdd/view?i=110152</v>
      </c>
      <c r="K2339" s="304" t="s">
        <v>36388</v>
      </c>
      <c r="L2339" s="181">
        <v>39</v>
      </c>
      <c r="M2339" s="179" t="s">
        <v>151</v>
      </c>
    </row>
    <row r="2340" spans="1:13" ht="25.5">
      <c r="A2340" s="313" t="str">
        <f t="shared" si="36"/>
        <v>CrossSectionalProfileCode_arch</v>
      </c>
      <c r="B2340" s="332" t="str">
        <f>HYPERLINK("[#]Datatypes!A394:L394","CrossSectionalProfileCode")</f>
        <v>CrossSectionalProfileCode</v>
      </c>
      <c r="C2340" s="333" t="s">
        <v>11914</v>
      </c>
      <c r="D2340" s="202" t="s">
        <v>18335</v>
      </c>
      <c r="E2340" s="203" t="s">
        <v>18336</v>
      </c>
      <c r="F2340" s="204" t="s">
        <v>19619</v>
      </c>
      <c r="G2340" s="205"/>
      <c r="H2340" s="218"/>
      <c r="I2340" s="169">
        <v>108415</v>
      </c>
      <c r="J2340" s="304" t="str">
        <f>CONCATENATE([2]Cover!$D$6,"fdd/view?i=",I2340)</f>
        <v>https://www.dgiwg.org/FAD/fdd/view?i=108415</v>
      </c>
      <c r="K2340" s="304" t="s">
        <v>36389</v>
      </c>
      <c r="L2340" s="202">
        <v>1</v>
      </c>
      <c r="M2340" s="179" t="s">
        <v>151</v>
      </c>
    </row>
    <row r="2341" spans="1:13">
      <c r="A2341" s="313" t="str">
        <f t="shared" si="36"/>
        <v>CrossSectionalProfileCode_box</v>
      </c>
      <c r="B2341" s="330"/>
      <c r="C2341" s="334"/>
      <c r="D2341" s="188" t="s">
        <v>19620</v>
      </c>
      <c r="E2341" s="189" t="s">
        <v>19621</v>
      </c>
      <c r="F2341" s="162" t="s">
        <v>19622</v>
      </c>
      <c r="G2341" s="190"/>
      <c r="H2341" s="219"/>
      <c r="I2341" s="169">
        <v>108416</v>
      </c>
      <c r="J2341" s="304" t="str">
        <f>CONCATENATE([2]Cover!$D$6,"fdd/view?i=",I2341)</f>
        <v>https://www.dgiwg.org/FAD/fdd/view?i=108416</v>
      </c>
      <c r="K2341" s="304" t="s">
        <v>36390</v>
      </c>
      <c r="L2341" s="188">
        <v>2</v>
      </c>
      <c r="M2341" s="179" t="s">
        <v>151</v>
      </c>
    </row>
    <row r="2342" spans="1:13" ht="25.5">
      <c r="A2342" s="313" t="str">
        <f t="shared" si="36"/>
        <v>CrossSectionalProfileCode_semicircular</v>
      </c>
      <c r="B2342" s="331"/>
      <c r="C2342" s="335"/>
      <c r="D2342" s="181" t="s">
        <v>19623</v>
      </c>
      <c r="E2342" s="192" t="s">
        <v>19624</v>
      </c>
      <c r="F2342" s="193" t="s">
        <v>19625</v>
      </c>
      <c r="G2342" s="194"/>
      <c r="H2342" s="220"/>
      <c r="I2342" s="169">
        <v>108417</v>
      </c>
      <c r="J2342" s="304" t="str">
        <f>CONCATENATE([2]Cover!$D$6,"fdd/view?i=",I2342)</f>
        <v>https://www.dgiwg.org/FAD/fdd/view?i=108417</v>
      </c>
      <c r="K2342" s="304" t="s">
        <v>36391</v>
      </c>
      <c r="L2342" s="181">
        <v>3</v>
      </c>
      <c r="M2342" s="179" t="s">
        <v>151</v>
      </c>
    </row>
    <row r="2343" spans="1:13" ht="25.5">
      <c r="A2343" s="313" t="str">
        <f t="shared" si="36"/>
        <v>CrossSectionalShapeCode_circular</v>
      </c>
      <c r="B2343" s="332" t="str">
        <f>HYPERLINK("[#]Datatypes!A396:L396","CrossSectionalShapeCode")</f>
        <v>CrossSectionalShapeCode</v>
      </c>
      <c r="C2343" s="333" t="s">
        <v>11916</v>
      </c>
      <c r="D2343" s="202" t="s">
        <v>19626</v>
      </c>
      <c r="E2343" s="203" t="s">
        <v>19627</v>
      </c>
      <c r="F2343" s="204" t="s">
        <v>19628</v>
      </c>
      <c r="G2343" s="205"/>
      <c r="H2343" s="218"/>
      <c r="I2343" s="169">
        <v>108103</v>
      </c>
      <c r="J2343" s="304" t="str">
        <f>CONCATENATE([2]Cover!$D$6,"fdd/view?i=",I2343)</f>
        <v>https://www.dgiwg.org/FAD/fdd/view?i=108103</v>
      </c>
      <c r="K2343" s="304" t="s">
        <v>36392</v>
      </c>
      <c r="L2343" s="202">
        <v>4</v>
      </c>
      <c r="M2343" s="179" t="s">
        <v>151</v>
      </c>
    </row>
    <row r="2344" spans="1:13" ht="38.25">
      <c r="A2344" s="313" t="str">
        <f t="shared" si="36"/>
        <v>CrossSectionalShapeCode_elliptical</v>
      </c>
      <c r="B2344" s="330"/>
      <c r="C2344" s="334"/>
      <c r="D2344" s="188" t="s">
        <v>19629</v>
      </c>
      <c r="E2344" s="189" t="s">
        <v>19630</v>
      </c>
      <c r="F2344" s="162" t="s">
        <v>19631</v>
      </c>
      <c r="G2344" s="190"/>
      <c r="H2344" s="221" t="s">
        <v>19632</v>
      </c>
      <c r="I2344" s="169">
        <v>108096</v>
      </c>
      <c r="J2344" s="304" t="str">
        <f>CONCATENATE([2]Cover!$D$6,"fdd/view?i=",I2344)</f>
        <v>https://www.dgiwg.org/FAD/fdd/view?i=108096</v>
      </c>
      <c r="K2344" s="304" t="s">
        <v>36393</v>
      </c>
      <c r="L2344" s="188">
        <v>2</v>
      </c>
      <c r="M2344" s="179" t="s">
        <v>151</v>
      </c>
    </row>
    <row r="2345" spans="1:13" ht="25.5">
      <c r="A2345" s="313" t="str">
        <f t="shared" si="36"/>
        <v>CrossSectionalShapeCode_hexagonal</v>
      </c>
      <c r="B2345" s="330"/>
      <c r="C2345" s="334"/>
      <c r="D2345" s="188" t="s">
        <v>19633</v>
      </c>
      <c r="E2345" s="189" t="s">
        <v>19634</v>
      </c>
      <c r="F2345" s="162" t="s">
        <v>19635</v>
      </c>
      <c r="G2345" s="190"/>
      <c r="H2345" s="219"/>
      <c r="I2345" s="169">
        <v>119113</v>
      </c>
      <c r="J2345" s="304" t="str">
        <f>CONCATENATE([2]Cover!$D$6,"fdd/view?i=",I2345)</f>
        <v>https://www.dgiwg.org/FAD/fdd/view?i=119113</v>
      </c>
      <c r="K2345" s="304" t="s">
        <v>36394</v>
      </c>
      <c r="L2345" s="188">
        <v>7</v>
      </c>
      <c r="M2345" s="179" t="s">
        <v>151</v>
      </c>
    </row>
    <row r="2346" spans="1:13" ht="25.5">
      <c r="A2346" s="313" t="str">
        <f t="shared" si="36"/>
        <v>CrossSectionalShapeCode_irregular</v>
      </c>
      <c r="B2346" s="330"/>
      <c r="C2346" s="334"/>
      <c r="D2346" s="188" t="s">
        <v>15417</v>
      </c>
      <c r="E2346" s="189" t="s">
        <v>15418</v>
      </c>
      <c r="F2346" s="162" t="s">
        <v>19636</v>
      </c>
      <c r="G2346" s="190"/>
      <c r="H2346" s="219"/>
      <c r="I2346" s="169">
        <v>108094</v>
      </c>
      <c r="J2346" s="304" t="str">
        <f>CONCATENATE([2]Cover!$D$6,"fdd/view?i=",I2346)</f>
        <v>https://www.dgiwg.org/FAD/fdd/view?i=108094</v>
      </c>
      <c r="K2346" s="304" t="s">
        <v>36395</v>
      </c>
      <c r="L2346" s="188">
        <v>1</v>
      </c>
      <c r="M2346" s="179" t="s">
        <v>151</v>
      </c>
    </row>
    <row r="2347" spans="1:13" ht="25.5">
      <c r="A2347" s="313" t="str">
        <f t="shared" si="36"/>
        <v>CrossSectionalShapeCode_octagonal</v>
      </c>
      <c r="B2347" s="330"/>
      <c r="C2347" s="334"/>
      <c r="D2347" s="188" t="s">
        <v>19637</v>
      </c>
      <c r="E2347" s="189" t="s">
        <v>19638</v>
      </c>
      <c r="F2347" s="162" t="s">
        <v>19639</v>
      </c>
      <c r="G2347" s="190"/>
      <c r="H2347" s="219"/>
      <c r="I2347" s="169">
        <v>119115</v>
      </c>
      <c r="J2347" s="304" t="str">
        <f>CONCATENATE([2]Cover!$D$6,"fdd/view?i=",I2347)</f>
        <v>https://www.dgiwg.org/FAD/fdd/view?i=119115</v>
      </c>
      <c r="K2347" s="304" t="s">
        <v>36396</v>
      </c>
      <c r="L2347" s="188">
        <v>9</v>
      </c>
      <c r="M2347" s="179" t="s">
        <v>151</v>
      </c>
    </row>
    <row r="2348" spans="1:13" ht="25.5">
      <c r="A2348" s="313" t="str">
        <f t="shared" si="36"/>
        <v>CrossSectionalShapeCode_pentagonal</v>
      </c>
      <c r="B2348" s="330"/>
      <c r="C2348" s="334"/>
      <c r="D2348" s="188" t="s">
        <v>19640</v>
      </c>
      <c r="E2348" s="189" t="s">
        <v>19641</v>
      </c>
      <c r="F2348" s="162" t="s">
        <v>19642</v>
      </c>
      <c r="G2348" s="190"/>
      <c r="H2348" s="219"/>
      <c r="I2348" s="169">
        <v>119114</v>
      </c>
      <c r="J2348" s="304" t="str">
        <f>CONCATENATE([2]Cover!$D$6,"fdd/view?i=",I2348)</f>
        <v>https://www.dgiwg.org/FAD/fdd/view?i=119114</v>
      </c>
      <c r="K2348" s="304" t="s">
        <v>36397</v>
      </c>
      <c r="L2348" s="188">
        <v>8</v>
      </c>
      <c r="M2348" s="179" t="s">
        <v>151</v>
      </c>
    </row>
    <row r="2349" spans="1:13" ht="25.5">
      <c r="A2349" s="313" t="str">
        <f t="shared" si="36"/>
        <v>CrossSectionalShapeCode_rectangular</v>
      </c>
      <c r="B2349" s="330"/>
      <c r="C2349" s="334"/>
      <c r="D2349" s="188" t="s">
        <v>19643</v>
      </c>
      <c r="E2349" s="189" t="s">
        <v>19644</v>
      </c>
      <c r="F2349" s="162" t="s">
        <v>19645</v>
      </c>
      <c r="G2349" s="190"/>
      <c r="H2349" s="219"/>
      <c r="I2349" s="169">
        <v>108097</v>
      </c>
      <c r="J2349" s="304" t="str">
        <f>CONCATENATE([2]Cover!$D$6,"fdd/view?i=",I2349)</f>
        <v>https://www.dgiwg.org/FAD/fdd/view?i=108097</v>
      </c>
      <c r="K2349" s="304" t="s">
        <v>36398</v>
      </c>
      <c r="L2349" s="188">
        <v>3</v>
      </c>
      <c r="M2349" s="179" t="s">
        <v>151</v>
      </c>
    </row>
    <row r="2350" spans="1:13" ht="63.75">
      <c r="A2350" s="313" t="str">
        <f t="shared" si="36"/>
        <v>CrossSectionalShapeCode_semicircular</v>
      </c>
      <c r="B2350" s="330"/>
      <c r="C2350" s="334"/>
      <c r="D2350" s="188" t="s">
        <v>19623</v>
      </c>
      <c r="E2350" s="189" t="s">
        <v>19624</v>
      </c>
      <c r="F2350" s="162" t="s">
        <v>19646</v>
      </c>
      <c r="G2350" s="162" t="s">
        <v>19647</v>
      </c>
      <c r="H2350" s="219"/>
      <c r="I2350" s="169">
        <v>119633</v>
      </c>
      <c r="J2350" s="304" t="str">
        <f>CONCATENATE([2]Cover!$D$6,"fdd/view?i=",I2350)</f>
        <v>https://www.dgiwg.org/FAD/fdd/view?i=119633</v>
      </c>
      <c r="K2350" s="304" t="s">
        <v>36399</v>
      </c>
      <c r="L2350" s="188">
        <v>10</v>
      </c>
      <c r="M2350" s="179" t="s">
        <v>151</v>
      </c>
    </row>
    <row r="2351" spans="1:13" ht="25.5">
      <c r="A2351" s="313" t="str">
        <f t="shared" si="36"/>
        <v>CrossSectionalShapeCode_square</v>
      </c>
      <c r="B2351" s="330"/>
      <c r="C2351" s="334"/>
      <c r="D2351" s="188" t="s">
        <v>19648</v>
      </c>
      <c r="E2351" s="189" t="s">
        <v>19649</v>
      </c>
      <c r="F2351" s="162" t="s">
        <v>19650</v>
      </c>
      <c r="G2351" s="190"/>
      <c r="H2351" s="219"/>
      <c r="I2351" s="169">
        <v>108114</v>
      </c>
      <c r="J2351" s="304" t="str">
        <f>CONCATENATE([2]Cover!$D$6,"fdd/view?i=",I2351)</f>
        <v>https://www.dgiwg.org/FAD/fdd/view?i=108114</v>
      </c>
      <c r="K2351" s="304" t="s">
        <v>36400</v>
      </c>
      <c r="L2351" s="188">
        <v>5</v>
      </c>
      <c r="M2351" s="179" t="s">
        <v>151</v>
      </c>
    </row>
    <row r="2352" spans="1:13" ht="25.5">
      <c r="A2352" s="313" t="str">
        <f t="shared" si="36"/>
        <v>CrossSectionalShapeCode_triangular</v>
      </c>
      <c r="B2352" s="331"/>
      <c r="C2352" s="335"/>
      <c r="D2352" s="181" t="s">
        <v>19651</v>
      </c>
      <c r="E2352" s="192" t="s">
        <v>19652</v>
      </c>
      <c r="F2352" s="193" t="s">
        <v>19653</v>
      </c>
      <c r="G2352" s="194"/>
      <c r="H2352" s="220"/>
      <c r="I2352" s="169">
        <v>108115</v>
      </c>
      <c r="J2352" s="304" t="str">
        <f>CONCATENATE([2]Cover!$D$6,"fdd/view?i=",I2352)</f>
        <v>https://www.dgiwg.org/FAD/fdd/view?i=108115</v>
      </c>
      <c r="K2352" s="304" t="s">
        <v>36401</v>
      </c>
      <c r="L2352" s="181">
        <v>6</v>
      </c>
      <c r="M2352" s="179" t="s">
        <v>151</v>
      </c>
    </row>
    <row r="2353" spans="1:13" ht="38.25">
      <c r="A2353" s="313" t="str">
        <f t="shared" si="36"/>
        <v>CruisingLevelDirectionCode_even</v>
      </c>
      <c r="B2353" s="332" t="str">
        <f>HYPERLINK("[#]Datatypes!A398:L398","CruisingLevelDirectionCode")</f>
        <v>CruisingLevelDirectionCode</v>
      </c>
      <c r="C2353" s="333" t="s">
        <v>6243</v>
      </c>
      <c r="D2353" s="202" t="s">
        <v>19654</v>
      </c>
      <c r="E2353" s="203" t="s">
        <v>19655</v>
      </c>
      <c r="F2353" s="204" t="s">
        <v>19656</v>
      </c>
      <c r="G2353" s="204" t="s">
        <v>19657</v>
      </c>
      <c r="H2353" s="218"/>
      <c r="I2353" s="169">
        <v>207029</v>
      </c>
      <c r="J2353" s="304" t="str">
        <f>CONCATENATE([2]Cover!$D$6,"fdd/view?i=",I2353)</f>
        <v>https://www.dgiwg.org/FAD/fdd/view?i=207029</v>
      </c>
      <c r="K2353" s="304" t="s">
        <v>36402</v>
      </c>
      <c r="L2353" s="202">
        <v>2</v>
      </c>
      <c r="M2353" s="179" t="s">
        <v>1295</v>
      </c>
    </row>
    <row r="2354" spans="1:13" ht="38.25">
      <c r="A2354" s="313" t="str">
        <f t="shared" si="36"/>
        <v>CruisingLevelDirectionCode_odd</v>
      </c>
      <c r="B2354" s="331"/>
      <c r="C2354" s="335"/>
      <c r="D2354" s="181" t="s">
        <v>19658</v>
      </c>
      <c r="E2354" s="192" t="s">
        <v>19659</v>
      </c>
      <c r="F2354" s="193" t="s">
        <v>19660</v>
      </c>
      <c r="G2354" s="193" t="s">
        <v>19661</v>
      </c>
      <c r="H2354" s="220"/>
      <c r="I2354" s="169">
        <v>207028</v>
      </c>
      <c r="J2354" s="304" t="str">
        <f>CONCATENATE([2]Cover!$D$6,"fdd/view?i=",I2354)</f>
        <v>https://www.dgiwg.org/FAD/fdd/view?i=207028</v>
      </c>
      <c r="K2354" s="304" t="s">
        <v>36403</v>
      </c>
      <c r="L2354" s="181">
        <v>1</v>
      </c>
      <c r="M2354" s="179" t="s">
        <v>1295</v>
      </c>
    </row>
    <row r="2355" spans="1:13" ht="140.25">
      <c r="A2355" s="313" t="str">
        <f t="shared" si="36"/>
        <v>CulturalContextTypeCode_clan</v>
      </c>
      <c r="B2355" s="332" t="str">
        <f>HYPERLINK("[#]Datatypes!A400:L400","CulturalContextTypeCode")</f>
        <v>CulturalContextTypeCode</v>
      </c>
      <c r="C2355" s="333" t="s">
        <v>11919</v>
      </c>
      <c r="D2355" s="202" t="s">
        <v>19662</v>
      </c>
      <c r="E2355" s="203" t="s">
        <v>19663</v>
      </c>
      <c r="F2355" s="204" t="s">
        <v>19664</v>
      </c>
      <c r="G2355" s="204" t="s">
        <v>19665</v>
      </c>
      <c r="H2355" s="218"/>
      <c r="I2355" s="169">
        <v>112724</v>
      </c>
      <c r="J2355" s="304" t="str">
        <f>CONCATENATE([2]Cover!$D$6,"fdd/view?i=",I2355)</f>
        <v>https://www.dgiwg.org/FAD/fdd/view?i=112724</v>
      </c>
      <c r="K2355" s="304" t="s">
        <v>36404</v>
      </c>
      <c r="L2355" s="202">
        <v>4</v>
      </c>
      <c r="M2355" s="179" t="s">
        <v>1295</v>
      </c>
    </row>
    <row r="2356" spans="1:13" ht="51">
      <c r="A2356" s="313" t="str">
        <f t="shared" si="36"/>
        <v>CulturalContextTypeCode_ethnicGroup</v>
      </c>
      <c r="B2356" s="330"/>
      <c r="C2356" s="334"/>
      <c r="D2356" s="188" t="s">
        <v>19666</v>
      </c>
      <c r="E2356" s="189" t="s">
        <v>2268</v>
      </c>
      <c r="F2356" s="162" t="s">
        <v>19667</v>
      </c>
      <c r="G2356" s="162" t="s">
        <v>19668</v>
      </c>
      <c r="H2356" s="219"/>
      <c r="I2356" s="169">
        <v>111804</v>
      </c>
      <c r="J2356" s="304" t="str">
        <f>CONCATENATE([2]Cover!$D$6,"fdd/view?i=",I2356)</f>
        <v>https://www.dgiwg.org/FAD/fdd/view?i=111804</v>
      </c>
      <c r="K2356" s="304" t="s">
        <v>36405</v>
      </c>
      <c r="L2356" s="188">
        <v>2</v>
      </c>
      <c r="M2356" s="179" t="s">
        <v>151</v>
      </c>
    </row>
    <row r="2357" spans="1:13" ht="38.25">
      <c r="A2357" s="313" t="str">
        <f t="shared" si="36"/>
        <v>CulturalContextTypeCode_language</v>
      </c>
      <c r="B2357" s="330"/>
      <c r="C2357" s="334"/>
      <c r="D2357" s="188" t="s">
        <v>7836</v>
      </c>
      <c r="E2357" s="189" t="s">
        <v>7837</v>
      </c>
      <c r="F2357" s="162" t="s">
        <v>19669</v>
      </c>
      <c r="G2357" s="162" t="s">
        <v>19670</v>
      </c>
      <c r="H2357" s="219"/>
      <c r="I2357" s="169">
        <v>111806</v>
      </c>
      <c r="J2357" s="304" t="str">
        <f>CONCATENATE([2]Cover!$D$6,"fdd/view?i=",I2357)</f>
        <v>https://www.dgiwg.org/FAD/fdd/view?i=111806</v>
      </c>
      <c r="K2357" s="304" t="s">
        <v>36406</v>
      </c>
      <c r="L2357" s="188">
        <v>5</v>
      </c>
      <c r="M2357" s="179" t="s">
        <v>151</v>
      </c>
    </row>
    <row r="2358" spans="1:13" ht="63.75">
      <c r="A2358" s="313" t="str">
        <f t="shared" si="36"/>
        <v>CulturalContextTypeCode_nationalIdentity</v>
      </c>
      <c r="B2358" s="330"/>
      <c r="C2358" s="334"/>
      <c r="D2358" s="188" t="s">
        <v>19671</v>
      </c>
      <c r="E2358" s="189" t="s">
        <v>19672</v>
      </c>
      <c r="F2358" s="162" t="s">
        <v>19673</v>
      </c>
      <c r="G2358" s="190"/>
      <c r="H2358" s="219"/>
      <c r="I2358" s="169">
        <v>111802</v>
      </c>
      <c r="J2358" s="304" t="str">
        <f>CONCATENATE([2]Cover!$D$6,"fdd/view?i=",I2358)</f>
        <v>https://www.dgiwg.org/FAD/fdd/view?i=111802</v>
      </c>
      <c r="K2358" s="304" t="s">
        <v>36407</v>
      </c>
      <c r="L2358" s="188">
        <v>1</v>
      </c>
      <c r="M2358" s="179" t="s">
        <v>151</v>
      </c>
    </row>
    <row r="2359" spans="1:13" ht="51">
      <c r="A2359" s="313" t="str">
        <f t="shared" si="36"/>
        <v>CulturalContextTypeCode_religion</v>
      </c>
      <c r="B2359" s="330"/>
      <c r="C2359" s="334"/>
      <c r="D2359" s="188" t="s">
        <v>19674</v>
      </c>
      <c r="E2359" s="189" t="s">
        <v>19675</v>
      </c>
      <c r="F2359" s="162" t="s">
        <v>19676</v>
      </c>
      <c r="G2359" s="190"/>
      <c r="H2359" s="219"/>
      <c r="I2359" s="169">
        <v>111808</v>
      </c>
      <c r="J2359" s="304" t="str">
        <f>CONCATENATE([2]Cover!$D$6,"fdd/view?i=",I2359)</f>
        <v>https://www.dgiwg.org/FAD/fdd/view?i=111808</v>
      </c>
      <c r="K2359" s="304" t="s">
        <v>36408</v>
      </c>
      <c r="L2359" s="188">
        <v>6</v>
      </c>
      <c r="M2359" s="179" t="s">
        <v>151</v>
      </c>
    </row>
    <row r="2360" spans="1:13" ht="102">
      <c r="A2360" s="313" t="str">
        <f t="shared" si="36"/>
        <v>CulturalContextTypeCode_tribe</v>
      </c>
      <c r="B2360" s="331"/>
      <c r="C2360" s="335"/>
      <c r="D2360" s="181" t="s">
        <v>19677</v>
      </c>
      <c r="E2360" s="192" t="s">
        <v>19678</v>
      </c>
      <c r="F2360" s="193" t="s">
        <v>19679</v>
      </c>
      <c r="G2360" s="193" t="s">
        <v>19680</v>
      </c>
      <c r="H2360" s="220"/>
      <c r="I2360" s="169">
        <v>112723</v>
      </c>
      <c r="J2360" s="304" t="str">
        <f>CONCATENATE([2]Cover!$D$6,"fdd/view?i=",I2360)</f>
        <v>https://www.dgiwg.org/FAD/fdd/view?i=112723</v>
      </c>
      <c r="K2360" s="304" t="s">
        <v>36409</v>
      </c>
      <c r="L2360" s="181">
        <v>3</v>
      </c>
      <c r="M2360" s="179" t="s">
        <v>1295</v>
      </c>
    </row>
    <row r="2361" spans="1:13" ht="25.5">
      <c r="A2361" s="313" t="str">
        <f t="shared" si="36"/>
        <v>CulturalSignificanceCode_culturallySensitive</v>
      </c>
      <c r="B2361" s="332" t="str">
        <f>HYPERLINK("[#]Datatypes!A402:L402","CulturalSignificanceCode")</f>
        <v>CulturalSignificanceCode</v>
      </c>
      <c r="C2361" s="333" t="s">
        <v>11921</v>
      </c>
      <c r="D2361" s="202" t="s">
        <v>19681</v>
      </c>
      <c r="E2361" s="203" t="s">
        <v>19682</v>
      </c>
      <c r="F2361" s="204" t="s">
        <v>19683</v>
      </c>
      <c r="G2361" s="205"/>
      <c r="H2361" s="218"/>
      <c r="I2361" s="169">
        <v>201913</v>
      </c>
      <c r="J2361" s="304" t="str">
        <f>CONCATENATE([2]Cover!$D$6,"fdd/view?i=",I2361)</f>
        <v>https://www.dgiwg.org/FAD/fdd/view?i=201913</v>
      </c>
      <c r="K2361" s="304" t="s">
        <v>36410</v>
      </c>
      <c r="L2361" s="202">
        <v>1</v>
      </c>
      <c r="M2361" s="179" t="s">
        <v>1295</v>
      </c>
    </row>
    <row r="2362" spans="1:13" ht="25.5">
      <c r="A2362" s="313" t="str">
        <f t="shared" si="36"/>
        <v>CulturalSignificanceCode_manMadeHistoric</v>
      </c>
      <c r="B2362" s="330"/>
      <c r="C2362" s="334"/>
      <c r="D2362" s="188" t="s">
        <v>19684</v>
      </c>
      <c r="E2362" s="189" t="s">
        <v>19685</v>
      </c>
      <c r="F2362" s="162" t="s">
        <v>19686</v>
      </c>
      <c r="G2362" s="190"/>
      <c r="H2362" s="219"/>
      <c r="I2362" s="169">
        <v>201915</v>
      </c>
      <c r="J2362" s="304" t="str">
        <f>CONCATENATE([2]Cover!$D$6,"fdd/view?i=",I2362)</f>
        <v>https://www.dgiwg.org/FAD/fdd/view?i=201915</v>
      </c>
      <c r="K2362" s="304" t="s">
        <v>36411</v>
      </c>
      <c r="L2362" s="188">
        <v>3</v>
      </c>
      <c r="M2362" s="179" t="s">
        <v>1295</v>
      </c>
    </row>
    <row r="2363" spans="1:13" ht="25.5">
      <c r="A2363" s="313" t="str">
        <f t="shared" si="36"/>
        <v>CulturalSignificanceCode_manMadeReligious</v>
      </c>
      <c r="B2363" s="330"/>
      <c r="C2363" s="334"/>
      <c r="D2363" s="188" t="s">
        <v>19687</v>
      </c>
      <c r="E2363" s="189" t="s">
        <v>19688</v>
      </c>
      <c r="F2363" s="162" t="s">
        <v>19689</v>
      </c>
      <c r="G2363" s="190"/>
      <c r="H2363" s="219"/>
      <c r="I2363" s="169">
        <v>201917</v>
      </c>
      <c r="J2363" s="304" t="str">
        <f>CONCATENATE([2]Cover!$D$6,"fdd/view?i=",I2363)</f>
        <v>https://www.dgiwg.org/FAD/fdd/view?i=201917</v>
      </c>
      <c r="K2363" s="304" t="s">
        <v>36412</v>
      </c>
      <c r="L2363" s="188">
        <v>5</v>
      </c>
      <c r="M2363" s="179" t="s">
        <v>1295</v>
      </c>
    </row>
    <row r="2364" spans="1:13" ht="25.5">
      <c r="A2364" s="313" t="str">
        <f t="shared" si="36"/>
        <v>CulturalSignificanceCode_naturalHistoric</v>
      </c>
      <c r="B2364" s="330"/>
      <c r="C2364" s="334"/>
      <c r="D2364" s="188" t="s">
        <v>19690</v>
      </c>
      <c r="E2364" s="189" t="s">
        <v>19691</v>
      </c>
      <c r="F2364" s="162" t="s">
        <v>19692</v>
      </c>
      <c r="G2364" s="190"/>
      <c r="H2364" s="219"/>
      <c r="I2364" s="169">
        <v>201914</v>
      </c>
      <c r="J2364" s="304" t="str">
        <f>CONCATENATE([2]Cover!$D$6,"fdd/view?i=",I2364)</f>
        <v>https://www.dgiwg.org/FAD/fdd/view?i=201914</v>
      </c>
      <c r="K2364" s="304" t="s">
        <v>36413</v>
      </c>
      <c r="L2364" s="188">
        <v>2</v>
      </c>
      <c r="M2364" s="179" t="s">
        <v>1295</v>
      </c>
    </row>
    <row r="2365" spans="1:13" ht="25.5">
      <c r="A2365" s="313" t="str">
        <f t="shared" si="36"/>
        <v>CulturalSignificanceCode_naturalReligious</v>
      </c>
      <c r="B2365" s="331"/>
      <c r="C2365" s="335"/>
      <c r="D2365" s="181" t="s">
        <v>19693</v>
      </c>
      <c r="E2365" s="192" t="s">
        <v>19694</v>
      </c>
      <c r="F2365" s="193" t="s">
        <v>19695</v>
      </c>
      <c r="G2365" s="194"/>
      <c r="H2365" s="220"/>
      <c r="I2365" s="169">
        <v>201916</v>
      </c>
      <c r="J2365" s="304" t="str">
        <f>CONCATENATE([2]Cover!$D$6,"fdd/view?i=",I2365)</f>
        <v>https://www.dgiwg.org/FAD/fdd/view?i=201916</v>
      </c>
      <c r="K2365" s="304" t="s">
        <v>36414</v>
      </c>
      <c r="L2365" s="181">
        <v>4</v>
      </c>
      <c r="M2365" s="179" t="s">
        <v>1295</v>
      </c>
    </row>
    <row r="2366" spans="1:13" ht="25.5">
      <c r="A2366" s="313" t="str">
        <f t="shared" si="36"/>
        <v>CulvertTypeCode_boxWithLoad</v>
      </c>
      <c r="B2366" s="332" t="str">
        <f>HYPERLINK("[#]Datatypes!A404:L404","CulvertTypeCode")</f>
        <v>CulvertTypeCode</v>
      </c>
      <c r="C2366" s="333" t="s">
        <v>11923</v>
      </c>
      <c r="D2366" s="202" t="s">
        <v>19696</v>
      </c>
      <c r="E2366" s="203" t="s">
        <v>19697</v>
      </c>
      <c r="F2366" s="204" t="s">
        <v>19698</v>
      </c>
      <c r="G2366" s="204" t="s">
        <v>19699</v>
      </c>
      <c r="H2366" s="218"/>
      <c r="I2366" s="169">
        <v>103310</v>
      </c>
      <c r="J2366" s="304" t="str">
        <f>CONCATENATE([2]Cover!$D$6,"fdd/view?i=",I2366)</f>
        <v>https://www.dgiwg.org/FAD/fdd/view?i=103310</v>
      </c>
      <c r="K2366" s="304" t="s">
        <v>36415</v>
      </c>
      <c r="L2366" s="202">
        <v>3</v>
      </c>
      <c r="M2366" s="179" t="s">
        <v>151</v>
      </c>
    </row>
    <row r="2367" spans="1:13" ht="25.5">
      <c r="A2367" s="313" t="str">
        <f t="shared" si="36"/>
        <v>CulvertTypeCode_boxWithSoil</v>
      </c>
      <c r="B2367" s="330"/>
      <c r="C2367" s="334"/>
      <c r="D2367" s="188" t="s">
        <v>19700</v>
      </c>
      <c r="E2367" s="189" t="s">
        <v>19701</v>
      </c>
      <c r="F2367" s="162" t="s">
        <v>19702</v>
      </c>
      <c r="G2367" s="190"/>
      <c r="H2367" s="219"/>
      <c r="I2367" s="169">
        <v>103309</v>
      </c>
      <c r="J2367" s="304" t="str">
        <f>CONCATENATE([2]Cover!$D$6,"fdd/view?i=",I2367)</f>
        <v>https://www.dgiwg.org/FAD/fdd/view?i=103309</v>
      </c>
      <c r="K2367" s="304" t="s">
        <v>36416</v>
      </c>
      <c r="L2367" s="188">
        <v>2</v>
      </c>
      <c r="M2367" s="179" t="s">
        <v>151</v>
      </c>
    </row>
    <row r="2368" spans="1:13" ht="25.5">
      <c r="A2368" s="313" t="str">
        <f t="shared" si="36"/>
        <v>CulvertTypeCode_regularWithSoil</v>
      </c>
      <c r="B2368" s="331"/>
      <c r="C2368" s="335"/>
      <c r="D2368" s="181" t="s">
        <v>19703</v>
      </c>
      <c r="E2368" s="192" t="s">
        <v>19704</v>
      </c>
      <c r="F2368" s="193" t="s">
        <v>19705</v>
      </c>
      <c r="G2368" s="193" t="s">
        <v>19706</v>
      </c>
      <c r="H2368" s="220"/>
      <c r="I2368" s="169">
        <v>103308</v>
      </c>
      <c r="J2368" s="304" t="str">
        <f>CONCATENATE([2]Cover!$D$6,"fdd/view?i=",I2368)</f>
        <v>https://www.dgiwg.org/FAD/fdd/view?i=103308</v>
      </c>
      <c r="K2368" s="304" t="s">
        <v>36417</v>
      </c>
      <c r="L2368" s="181">
        <v>1</v>
      </c>
      <c r="M2368" s="179" t="s">
        <v>151</v>
      </c>
    </row>
    <row r="2369" spans="1:13" ht="38.25">
      <c r="A2369" s="313" t="str">
        <f t="shared" si="36"/>
        <v>CurrentTypeCategoryCode_ebbStream</v>
      </c>
      <c r="B2369" s="332" t="str">
        <f>HYPERLINK("[#]Datatypes!A408:L408","CurrentTypeCategoryCode")</f>
        <v>CurrentTypeCategoryCode</v>
      </c>
      <c r="C2369" s="333" t="s">
        <v>11927</v>
      </c>
      <c r="D2369" s="202" t="s">
        <v>19707</v>
      </c>
      <c r="E2369" s="203" t="s">
        <v>19708</v>
      </c>
      <c r="F2369" s="204" t="s">
        <v>19709</v>
      </c>
      <c r="G2369" s="204" t="s">
        <v>19710</v>
      </c>
      <c r="H2369" s="222" t="s">
        <v>19711</v>
      </c>
      <c r="I2369" s="169">
        <v>103315</v>
      </c>
      <c r="J2369" s="304" t="str">
        <f>CONCATENATE([2]Cover!$D$6,"fdd/view?i=",I2369)</f>
        <v>https://www.dgiwg.org/FAD/fdd/view?i=103315</v>
      </c>
      <c r="K2369" s="304" t="s">
        <v>36418</v>
      </c>
      <c r="L2369" s="202">
        <v>1</v>
      </c>
      <c r="M2369" s="179" t="s">
        <v>151</v>
      </c>
    </row>
    <row r="2370" spans="1:13" ht="38.25">
      <c r="A2370" s="313" t="str">
        <f t="shared" si="36"/>
        <v>CurrentTypeCategoryCode_floodStream</v>
      </c>
      <c r="B2370" s="330"/>
      <c r="C2370" s="334"/>
      <c r="D2370" s="188" t="s">
        <v>19712</v>
      </c>
      <c r="E2370" s="189" t="s">
        <v>19713</v>
      </c>
      <c r="F2370" s="162" t="s">
        <v>19714</v>
      </c>
      <c r="G2370" s="162" t="s">
        <v>19715</v>
      </c>
      <c r="H2370" s="221" t="s">
        <v>19716</v>
      </c>
      <c r="I2370" s="169">
        <v>103316</v>
      </c>
      <c r="J2370" s="304" t="str">
        <f>CONCATENATE([2]Cover!$D$6,"fdd/view?i=",I2370)</f>
        <v>https://www.dgiwg.org/FAD/fdd/view?i=103316</v>
      </c>
      <c r="K2370" s="304" t="s">
        <v>36419</v>
      </c>
      <c r="L2370" s="188">
        <v>2</v>
      </c>
      <c r="M2370" s="179" t="s">
        <v>151</v>
      </c>
    </row>
    <row r="2371" spans="1:13" ht="51">
      <c r="A2371" s="313" t="str">
        <f t="shared" ref="A2371:A2434" si="37">HYPERLINK(J2371,K2371)</f>
        <v>CurrentTypeCategoryCode_longshore</v>
      </c>
      <c r="B2371" s="330"/>
      <c r="C2371" s="334"/>
      <c r="D2371" s="188" t="s">
        <v>19717</v>
      </c>
      <c r="E2371" s="189" t="s">
        <v>19718</v>
      </c>
      <c r="F2371" s="162" t="s">
        <v>19719</v>
      </c>
      <c r="G2371" s="162" t="s">
        <v>19720</v>
      </c>
      <c r="H2371" s="219"/>
      <c r="I2371" s="169">
        <v>103321</v>
      </c>
      <c r="J2371" s="304" t="str">
        <f>CONCATENATE([2]Cover!$D$6,"fdd/view?i=",I2371)</f>
        <v>https://www.dgiwg.org/FAD/fdd/view?i=103321</v>
      </c>
      <c r="K2371" s="304" t="s">
        <v>36420</v>
      </c>
      <c r="L2371" s="188">
        <v>7</v>
      </c>
      <c r="M2371" s="179" t="s">
        <v>151</v>
      </c>
    </row>
    <row r="2372" spans="1:13" ht="38.25">
      <c r="A2372" s="313" t="str">
        <f t="shared" si="37"/>
        <v>CurrentTypeCategoryCode_oceanCurrent</v>
      </c>
      <c r="B2372" s="330"/>
      <c r="C2372" s="334"/>
      <c r="D2372" s="188" t="s">
        <v>19721</v>
      </c>
      <c r="E2372" s="189" t="s">
        <v>19722</v>
      </c>
      <c r="F2372" s="162" t="s">
        <v>19723</v>
      </c>
      <c r="G2372" s="162" t="s">
        <v>19724</v>
      </c>
      <c r="H2372" s="221" t="s">
        <v>19725</v>
      </c>
      <c r="I2372" s="169">
        <v>103319</v>
      </c>
      <c r="J2372" s="304" t="str">
        <f>CONCATENATE([2]Cover!$D$6,"fdd/view?i=",I2372)</f>
        <v>https://www.dgiwg.org/FAD/fdd/view?i=103319</v>
      </c>
      <c r="K2372" s="304" t="s">
        <v>36421</v>
      </c>
      <c r="L2372" s="188">
        <v>5</v>
      </c>
      <c r="M2372" s="179" t="s">
        <v>151</v>
      </c>
    </row>
    <row r="2373" spans="1:13" ht="25.5">
      <c r="A2373" s="313" t="str">
        <f t="shared" si="37"/>
        <v>CurrentTypeCategoryCode_rip</v>
      </c>
      <c r="B2373" s="330"/>
      <c r="C2373" s="334"/>
      <c r="D2373" s="188" t="s">
        <v>19726</v>
      </c>
      <c r="E2373" s="189" t="s">
        <v>19727</v>
      </c>
      <c r="F2373" s="162" t="s">
        <v>19728</v>
      </c>
      <c r="G2373" s="162" t="s">
        <v>19729</v>
      </c>
      <c r="H2373" s="219"/>
      <c r="I2373" s="169">
        <v>103320</v>
      </c>
      <c r="J2373" s="304" t="str">
        <f>CONCATENATE([2]Cover!$D$6,"fdd/view?i=",I2373)</f>
        <v>https://www.dgiwg.org/FAD/fdd/view?i=103320</v>
      </c>
      <c r="K2373" s="304" t="s">
        <v>36422</v>
      </c>
      <c r="L2373" s="188">
        <v>6</v>
      </c>
      <c r="M2373" s="179" t="s">
        <v>151</v>
      </c>
    </row>
    <row r="2374" spans="1:13" ht="38.25">
      <c r="A2374" s="313" t="str">
        <f t="shared" si="37"/>
        <v>CurrentTypeCategoryCode_riverFlow</v>
      </c>
      <c r="B2374" s="330"/>
      <c r="C2374" s="334"/>
      <c r="D2374" s="188" t="s">
        <v>19730</v>
      </c>
      <c r="E2374" s="189" t="s">
        <v>19731</v>
      </c>
      <c r="F2374" s="162" t="s">
        <v>19732</v>
      </c>
      <c r="G2374" s="162" t="s">
        <v>19733</v>
      </c>
      <c r="H2374" s="219"/>
      <c r="I2374" s="169">
        <v>103318</v>
      </c>
      <c r="J2374" s="304" t="str">
        <f>CONCATENATE([2]Cover!$D$6,"fdd/view?i=",I2374)</f>
        <v>https://www.dgiwg.org/FAD/fdd/view?i=103318</v>
      </c>
      <c r="K2374" s="304" t="s">
        <v>36423</v>
      </c>
      <c r="L2374" s="188">
        <v>4</v>
      </c>
      <c r="M2374" s="179" t="s">
        <v>151</v>
      </c>
    </row>
    <row r="2375" spans="1:13" ht="25.5">
      <c r="A2375" s="313" t="str">
        <f t="shared" si="37"/>
        <v>CurrentTypeCategoryCode_tidalFlow</v>
      </c>
      <c r="B2375" s="330"/>
      <c r="C2375" s="334"/>
      <c r="D2375" s="188" t="s">
        <v>19734</v>
      </c>
      <c r="E2375" s="189" t="s">
        <v>19735</v>
      </c>
      <c r="F2375" s="162" t="s">
        <v>19736</v>
      </c>
      <c r="G2375" s="190"/>
      <c r="H2375" s="219"/>
      <c r="I2375" s="169">
        <v>110762</v>
      </c>
      <c r="J2375" s="304" t="str">
        <f>CONCATENATE([2]Cover!$D$6,"fdd/view?i=",I2375)</f>
        <v>https://www.dgiwg.org/FAD/fdd/view?i=110762</v>
      </c>
      <c r="K2375" s="304" t="s">
        <v>36424</v>
      </c>
      <c r="L2375" s="188">
        <v>9</v>
      </c>
      <c r="M2375" s="179" t="s">
        <v>151</v>
      </c>
    </row>
    <row r="2376" spans="1:13" ht="25.5">
      <c r="A2376" s="313" t="str">
        <f t="shared" si="37"/>
        <v>CurrentTypeCategoryCode_underwaterRiverFlow</v>
      </c>
      <c r="B2376" s="331"/>
      <c r="C2376" s="335"/>
      <c r="D2376" s="181" t="s">
        <v>19737</v>
      </c>
      <c r="E2376" s="192" t="s">
        <v>19738</v>
      </c>
      <c r="F2376" s="193" t="s">
        <v>19739</v>
      </c>
      <c r="G2376" s="194"/>
      <c r="H2376" s="220"/>
      <c r="I2376" s="169">
        <v>110153</v>
      </c>
      <c r="J2376" s="304" t="str">
        <f>CONCATENATE([2]Cover!$D$6,"fdd/view?i=",I2376)</f>
        <v>https://www.dgiwg.org/FAD/fdd/view?i=110153</v>
      </c>
      <c r="K2376" s="304" t="s">
        <v>36425</v>
      </c>
      <c r="L2376" s="181">
        <v>8</v>
      </c>
      <c r="M2376" s="179" t="s">
        <v>151</v>
      </c>
    </row>
    <row r="2377" spans="1:13">
      <c r="A2377" s="313" t="str">
        <f t="shared" si="37"/>
        <v>DamFaceTypeCode_slope</v>
      </c>
      <c r="B2377" s="332" t="str">
        <f>HYPERLINK("[#]Datatypes!A414:L414","DamFaceTypeCode")</f>
        <v>DamFaceTypeCode</v>
      </c>
      <c r="C2377" s="333" t="s">
        <v>11933</v>
      </c>
      <c r="D2377" s="202" t="s">
        <v>19740</v>
      </c>
      <c r="E2377" s="203" t="s">
        <v>19741</v>
      </c>
      <c r="F2377" s="204" t="s">
        <v>19742</v>
      </c>
      <c r="G2377" s="204" t="s">
        <v>19743</v>
      </c>
      <c r="H2377" s="218"/>
      <c r="I2377" s="169">
        <v>103347</v>
      </c>
      <c r="J2377" s="304" t="str">
        <f>CONCATENATE([2]Cover!$D$6,"fdd/view?i=",I2377)</f>
        <v>https://www.dgiwg.org/FAD/fdd/view?i=103347</v>
      </c>
      <c r="K2377" s="304" t="s">
        <v>36426</v>
      </c>
      <c r="L2377" s="202">
        <v>2</v>
      </c>
      <c r="M2377" s="179" t="s">
        <v>151</v>
      </c>
    </row>
    <row r="2378" spans="1:13">
      <c r="A2378" s="313" t="str">
        <f t="shared" si="37"/>
        <v>DamFaceTypeCode_vertical</v>
      </c>
      <c r="B2378" s="331"/>
      <c r="C2378" s="335"/>
      <c r="D2378" s="181" t="s">
        <v>19744</v>
      </c>
      <c r="E2378" s="192" t="s">
        <v>19745</v>
      </c>
      <c r="F2378" s="193" t="s">
        <v>19746</v>
      </c>
      <c r="G2378" s="193" t="s">
        <v>19747</v>
      </c>
      <c r="H2378" s="220"/>
      <c r="I2378" s="169">
        <v>103346</v>
      </c>
      <c r="J2378" s="304" t="str">
        <f>CONCATENATE([2]Cover!$D$6,"fdd/view?i=",I2378)</f>
        <v>https://www.dgiwg.org/FAD/fdd/view?i=103346</v>
      </c>
      <c r="K2378" s="304" t="s">
        <v>36427</v>
      </c>
      <c r="L2378" s="181">
        <v>1</v>
      </c>
      <c r="M2378" s="179" t="s">
        <v>151</v>
      </c>
    </row>
    <row r="2379" spans="1:13" ht="38.25">
      <c r="A2379" s="313" t="str">
        <f t="shared" si="37"/>
        <v>DamTypeCode_floodControl</v>
      </c>
      <c r="B2379" s="332" t="str">
        <f>HYPERLINK("[#]Datatypes!A416:L416","DamTypeCode")</f>
        <v>DamTypeCode</v>
      </c>
      <c r="C2379" s="333" t="s">
        <v>11935</v>
      </c>
      <c r="D2379" s="202" t="s">
        <v>19748</v>
      </c>
      <c r="E2379" s="203" t="s">
        <v>19749</v>
      </c>
      <c r="F2379" s="204" t="s">
        <v>19750</v>
      </c>
      <c r="G2379" s="204" t="s">
        <v>19751</v>
      </c>
      <c r="H2379" s="218"/>
      <c r="I2379" s="169">
        <v>108116</v>
      </c>
      <c r="J2379" s="304" t="str">
        <f>CONCATENATE([2]Cover!$D$6,"fdd/view?i=",I2379)</f>
        <v>https://www.dgiwg.org/FAD/fdd/view?i=108116</v>
      </c>
      <c r="K2379" s="304" t="s">
        <v>36428</v>
      </c>
      <c r="L2379" s="202">
        <v>3</v>
      </c>
      <c r="M2379" s="179" t="s">
        <v>151</v>
      </c>
    </row>
    <row r="2380" spans="1:13" ht="76.5">
      <c r="A2380" s="313" t="str">
        <f t="shared" si="37"/>
        <v>DamTypeCode_hydroPowerGeneration</v>
      </c>
      <c r="B2380" s="330"/>
      <c r="C2380" s="334"/>
      <c r="D2380" s="188" t="s">
        <v>19752</v>
      </c>
      <c r="E2380" s="189" t="s">
        <v>19753</v>
      </c>
      <c r="F2380" s="162" t="s">
        <v>19754</v>
      </c>
      <c r="G2380" s="162" t="s">
        <v>19755</v>
      </c>
      <c r="H2380" s="219"/>
      <c r="I2380" s="169">
        <v>114363</v>
      </c>
      <c r="J2380" s="304" t="str">
        <f>CONCATENATE([2]Cover!$D$6,"fdd/view?i=",I2380)</f>
        <v>https://www.dgiwg.org/FAD/fdd/view?i=114363</v>
      </c>
      <c r="K2380" s="304" t="s">
        <v>36429</v>
      </c>
      <c r="L2380" s="188">
        <v>4</v>
      </c>
      <c r="M2380" s="179" t="s">
        <v>151</v>
      </c>
    </row>
    <row r="2381" spans="1:13" ht="127.5">
      <c r="A2381" s="313" t="str">
        <f t="shared" si="37"/>
        <v>DamTypeCode_navigation</v>
      </c>
      <c r="B2381" s="330"/>
      <c r="C2381" s="334"/>
      <c r="D2381" s="188" t="s">
        <v>19756</v>
      </c>
      <c r="E2381" s="189" t="s">
        <v>19757</v>
      </c>
      <c r="F2381" s="162" t="s">
        <v>19758</v>
      </c>
      <c r="G2381" s="162" t="s">
        <v>19759</v>
      </c>
      <c r="H2381" s="219"/>
      <c r="I2381" s="169">
        <v>109898</v>
      </c>
      <c r="J2381" s="304" t="str">
        <f>CONCATENATE([2]Cover!$D$6,"fdd/view?i=",I2381)</f>
        <v>https://www.dgiwg.org/FAD/fdd/view?i=109898</v>
      </c>
      <c r="K2381" s="304" t="s">
        <v>36430</v>
      </c>
      <c r="L2381" s="188">
        <v>2</v>
      </c>
      <c r="M2381" s="179" t="s">
        <v>151</v>
      </c>
    </row>
    <row r="2382" spans="1:13" ht="127.5">
      <c r="A2382" s="313" t="str">
        <f t="shared" si="37"/>
        <v>DamTypeCode_weir</v>
      </c>
      <c r="B2382" s="331"/>
      <c r="C2382" s="335"/>
      <c r="D2382" s="181" t="s">
        <v>19760</v>
      </c>
      <c r="E2382" s="192" t="s">
        <v>19761</v>
      </c>
      <c r="F2382" s="193" t="s">
        <v>19762</v>
      </c>
      <c r="G2382" s="193" t="s">
        <v>19763</v>
      </c>
      <c r="H2382" s="220"/>
      <c r="I2382" s="169">
        <v>117887</v>
      </c>
      <c r="J2382" s="304" t="str">
        <f>CONCATENATE([2]Cover!$D$6,"fdd/view?i=",I2382)</f>
        <v>https://www.dgiwg.org/FAD/fdd/view?i=117887</v>
      </c>
      <c r="K2382" s="304" t="s">
        <v>36431</v>
      </c>
      <c r="L2382" s="181">
        <v>5</v>
      </c>
      <c r="M2382" s="179" t="s">
        <v>151</v>
      </c>
    </row>
    <row r="2383" spans="1:13">
      <c r="A2383" s="313" t="str">
        <f t="shared" si="37"/>
        <v>CI_DateTypeCode_creation</v>
      </c>
      <c r="B2383" s="332" t="str">
        <f>HYPERLINK("[#]Datatypes!A438:L438","CI_DateTypeCode")</f>
        <v>CI_DateTypeCode</v>
      </c>
      <c r="C2383" s="333" t="s">
        <v>11961</v>
      </c>
      <c r="D2383" s="202" t="s">
        <v>19764</v>
      </c>
      <c r="E2383" s="203" t="s">
        <v>19765</v>
      </c>
      <c r="F2383" s="204" t="s">
        <v>19766</v>
      </c>
      <c r="G2383" s="205"/>
      <c r="H2383" s="218"/>
      <c r="I2383" s="169">
        <v>203008</v>
      </c>
      <c r="J2383" s="304" t="str">
        <f>CONCATENATE([2]Cover!$D$6,"fdd/view?i=",I2383)</f>
        <v>https://www.dgiwg.org/FAD/fdd/view?i=203008</v>
      </c>
      <c r="K2383" s="304" t="s">
        <v>36432</v>
      </c>
      <c r="L2383" s="202">
        <v>1</v>
      </c>
      <c r="M2383" s="179" t="s">
        <v>1295</v>
      </c>
    </row>
    <row r="2384" spans="1:13">
      <c r="A2384" s="313" t="str">
        <f t="shared" si="37"/>
        <v>CI_DateTypeCode_expired</v>
      </c>
      <c r="B2384" s="330"/>
      <c r="C2384" s="334"/>
      <c r="D2384" s="188" t="s">
        <v>19767</v>
      </c>
      <c r="E2384" s="189" t="s">
        <v>19768</v>
      </c>
      <c r="F2384" s="162" t="s">
        <v>19769</v>
      </c>
      <c r="G2384" s="190"/>
      <c r="H2384" s="219"/>
      <c r="I2384" s="169">
        <v>203013</v>
      </c>
      <c r="J2384" s="304" t="str">
        <f>CONCATENATE([2]Cover!$D$6,"fdd/view?i=",I2384)</f>
        <v>https://www.dgiwg.org/FAD/fdd/view?i=203013</v>
      </c>
      <c r="K2384" s="304" t="s">
        <v>36433</v>
      </c>
      <c r="L2384" s="188">
        <v>6</v>
      </c>
      <c r="M2384" s="179" t="s">
        <v>1295</v>
      </c>
    </row>
    <row r="2385" spans="1:13">
      <c r="A2385" s="313" t="str">
        <f t="shared" si="37"/>
        <v>CI_DateTypeCode_publication</v>
      </c>
      <c r="B2385" s="330"/>
      <c r="C2385" s="334"/>
      <c r="D2385" s="188" t="s">
        <v>19770</v>
      </c>
      <c r="E2385" s="189" t="s">
        <v>19771</v>
      </c>
      <c r="F2385" s="162" t="s">
        <v>19772</v>
      </c>
      <c r="G2385" s="190"/>
      <c r="H2385" s="219"/>
      <c r="I2385" s="169">
        <v>203009</v>
      </c>
      <c r="J2385" s="304" t="str">
        <f>CONCATENATE([2]Cover!$D$6,"fdd/view?i=",I2385)</f>
        <v>https://www.dgiwg.org/FAD/fdd/view?i=203009</v>
      </c>
      <c r="K2385" s="304" t="s">
        <v>36434</v>
      </c>
      <c r="L2385" s="188">
        <v>2</v>
      </c>
      <c r="M2385" s="179" t="s">
        <v>1295</v>
      </c>
    </row>
    <row r="2386" spans="1:13">
      <c r="A2386" s="313" t="str">
        <f t="shared" si="37"/>
        <v>CI_DateTypeCode_reviewed</v>
      </c>
      <c r="B2386" s="330"/>
      <c r="C2386" s="334"/>
      <c r="D2386" s="188" t="s">
        <v>19773</v>
      </c>
      <c r="E2386" s="189" t="s">
        <v>19774</v>
      </c>
      <c r="F2386" s="162" t="s">
        <v>19775</v>
      </c>
      <c r="G2386" s="190"/>
      <c r="H2386" s="219"/>
      <c r="I2386" s="169">
        <v>203014</v>
      </c>
      <c r="J2386" s="304" t="str">
        <f>CONCATENATE([2]Cover!$D$6,"fdd/view?i=",I2386)</f>
        <v>https://www.dgiwg.org/FAD/fdd/view?i=203014</v>
      </c>
      <c r="K2386" s="304" t="s">
        <v>36435</v>
      </c>
      <c r="L2386" s="188">
        <v>7</v>
      </c>
      <c r="M2386" s="179" t="s">
        <v>1295</v>
      </c>
    </row>
    <row r="2387" spans="1:13" ht="25.5">
      <c r="A2387" s="313" t="str">
        <f t="shared" si="37"/>
        <v>CI_DateTypeCode_revision</v>
      </c>
      <c r="B2387" s="330"/>
      <c r="C2387" s="334"/>
      <c r="D2387" s="188" t="s">
        <v>19776</v>
      </c>
      <c r="E2387" s="189" t="s">
        <v>19777</v>
      </c>
      <c r="F2387" s="162" t="s">
        <v>19778</v>
      </c>
      <c r="G2387" s="190"/>
      <c r="H2387" s="219"/>
      <c r="I2387" s="169">
        <v>203010</v>
      </c>
      <c r="J2387" s="304" t="str">
        <f>CONCATENATE([2]Cover!$D$6,"fdd/view?i=",I2387)</f>
        <v>https://www.dgiwg.org/FAD/fdd/view?i=203010</v>
      </c>
      <c r="K2387" s="304" t="s">
        <v>36436</v>
      </c>
      <c r="L2387" s="188">
        <v>3</v>
      </c>
      <c r="M2387" s="179" t="s">
        <v>1295</v>
      </c>
    </row>
    <row r="2388" spans="1:13" ht="25.5">
      <c r="A2388" s="313" t="str">
        <f t="shared" si="37"/>
        <v>CI_DateTypeCode_superseded</v>
      </c>
      <c r="B2388" s="330"/>
      <c r="C2388" s="334"/>
      <c r="D2388" s="188" t="s">
        <v>19779</v>
      </c>
      <c r="E2388" s="189" t="s">
        <v>19780</v>
      </c>
      <c r="F2388" s="162" t="s">
        <v>19781</v>
      </c>
      <c r="G2388" s="190"/>
      <c r="H2388" s="219"/>
      <c r="I2388" s="169">
        <v>203012</v>
      </c>
      <c r="J2388" s="304" t="str">
        <f>CONCATENATE([2]Cover!$D$6,"fdd/view?i=",I2388)</f>
        <v>https://www.dgiwg.org/FAD/fdd/view?i=203012</v>
      </c>
      <c r="K2388" s="304" t="s">
        <v>36437</v>
      </c>
      <c r="L2388" s="188">
        <v>5</v>
      </c>
      <c r="M2388" s="179" t="s">
        <v>1295</v>
      </c>
    </row>
    <row r="2389" spans="1:13" ht="25.5">
      <c r="A2389" s="313" t="str">
        <f t="shared" si="37"/>
        <v>CI_DateTypeCode_withdrawn</v>
      </c>
      <c r="B2389" s="331"/>
      <c r="C2389" s="335"/>
      <c r="D2389" s="181" t="s">
        <v>15438</v>
      </c>
      <c r="E2389" s="192" t="s">
        <v>15439</v>
      </c>
      <c r="F2389" s="193" t="s">
        <v>19782</v>
      </c>
      <c r="G2389" s="194"/>
      <c r="H2389" s="220"/>
      <c r="I2389" s="169">
        <v>203011</v>
      </c>
      <c r="J2389" s="304" t="str">
        <f>CONCATENATE([2]Cover!$D$6,"fdd/view?i=",I2389)</f>
        <v>https://www.dgiwg.org/FAD/fdd/view?i=203011</v>
      </c>
      <c r="K2389" s="304" t="s">
        <v>36438</v>
      </c>
      <c r="L2389" s="181">
        <v>4</v>
      </c>
      <c r="M2389" s="179" t="s">
        <v>1295</v>
      </c>
    </row>
    <row r="2390" spans="1:13">
      <c r="A2390" s="313" t="str">
        <f t="shared" si="37"/>
        <v>DaymarkShapeCode_cage</v>
      </c>
      <c r="B2390" s="332" t="str">
        <f>HYPERLINK("[#]Datatypes!A442:L442","DaymarkShapeCode")</f>
        <v>DaymarkShapeCode</v>
      </c>
      <c r="C2390" s="333" t="s">
        <v>11968</v>
      </c>
      <c r="D2390" s="202" t="s">
        <v>19783</v>
      </c>
      <c r="E2390" s="203" t="s">
        <v>19784</v>
      </c>
      <c r="F2390" s="204" t="s">
        <v>19785</v>
      </c>
      <c r="G2390" s="205"/>
      <c r="H2390" s="218"/>
      <c r="I2390" s="169">
        <v>119117</v>
      </c>
      <c r="J2390" s="304" t="str">
        <f>CONCATENATE([2]Cover!$D$6,"fdd/view?i=",I2390)</f>
        <v>https://www.dgiwg.org/FAD/fdd/view?i=119117</v>
      </c>
      <c r="K2390" s="304" t="s">
        <v>36439</v>
      </c>
      <c r="L2390" s="202">
        <v>4</v>
      </c>
      <c r="M2390" s="179" t="s">
        <v>151</v>
      </c>
    </row>
    <row r="2391" spans="1:13" ht="25.5">
      <c r="A2391" s="313" t="str">
        <f t="shared" si="37"/>
        <v>DaymarkShapeCode_circular</v>
      </c>
      <c r="B2391" s="330"/>
      <c r="C2391" s="334"/>
      <c r="D2391" s="188" t="s">
        <v>19626</v>
      </c>
      <c r="E2391" s="189" t="s">
        <v>19627</v>
      </c>
      <c r="F2391" s="162" t="s">
        <v>19628</v>
      </c>
      <c r="G2391" s="190"/>
      <c r="H2391" s="219"/>
      <c r="I2391" s="169">
        <v>119119</v>
      </c>
      <c r="J2391" s="304" t="str">
        <f>CONCATENATE([2]Cover!$D$6,"fdd/view?i=",I2391)</f>
        <v>https://www.dgiwg.org/FAD/fdd/view?i=119119</v>
      </c>
      <c r="K2391" s="304" t="s">
        <v>36440</v>
      </c>
      <c r="L2391" s="188">
        <v>6</v>
      </c>
      <c r="M2391" s="179" t="s">
        <v>151</v>
      </c>
    </row>
    <row r="2392" spans="1:13">
      <c r="A2392" s="313" t="str">
        <f t="shared" si="37"/>
        <v>DaymarkShapeCode_diamond</v>
      </c>
      <c r="B2392" s="330"/>
      <c r="C2392" s="334"/>
      <c r="D2392" s="188" t="s">
        <v>18516</v>
      </c>
      <c r="E2392" s="189" t="s">
        <v>18517</v>
      </c>
      <c r="F2392" s="162" t="s">
        <v>19786</v>
      </c>
      <c r="G2392" s="190"/>
      <c r="H2392" s="221" t="s">
        <v>18519</v>
      </c>
      <c r="I2392" s="169">
        <v>119118</v>
      </c>
      <c r="J2392" s="304" t="str">
        <f>CONCATENATE([2]Cover!$D$6,"fdd/view?i=",I2392)</f>
        <v>https://www.dgiwg.org/FAD/fdd/view?i=119118</v>
      </c>
      <c r="K2392" s="304" t="s">
        <v>36441</v>
      </c>
      <c r="L2392" s="188">
        <v>5</v>
      </c>
      <c r="M2392" s="179" t="s">
        <v>151</v>
      </c>
    </row>
    <row r="2393" spans="1:13">
      <c r="A2393" s="313" t="str">
        <f t="shared" si="37"/>
        <v>DaymarkShapeCode_rectangle</v>
      </c>
      <c r="B2393" s="330"/>
      <c r="C2393" s="334"/>
      <c r="D2393" s="188" t="s">
        <v>19787</v>
      </c>
      <c r="E2393" s="189" t="s">
        <v>19788</v>
      </c>
      <c r="F2393" s="162" t="s">
        <v>19789</v>
      </c>
      <c r="G2393" s="190"/>
      <c r="H2393" s="219"/>
      <c r="I2393" s="169">
        <v>111097</v>
      </c>
      <c r="J2393" s="304" t="str">
        <f>CONCATENATE([2]Cover!$D$6,"fdd/view?i=",I2393)</f>
        <v>https://www.dgiwg.org/FAD/fdd/view?i=111097</v>
      </c>
      <c r="K2393" s="304" t="s">
        <v>36442</v>
      </c>
      <c r="L2393" s="188">
        <v>1</v>
      </c>
      <c r="M2393" s="179" t="s">
        <v>151</v>
      </c>
    </row>
    <row r="2394" spans="1:13">
      <c r="A2394" s="313" t="str">
        <f t="shared" si="37"/>
        <v>DaymarkShapeCode_square</v>
      </c>
      <c r="B2394" s="330"/>
      <c r="C2394" s="334"/>
      <c r="D2394" s="188" t="s">
        <v>19648</v>
      </c>
      <c r="E2394" s="189" t="s">
        <v>19649</v>
      </c>
      <c r="F2394" s="162" t="s">
        <v>19790</v>
      </c>
      <c r="G2394" s="190"/>
      <c r="H2394" s="219"/>
      <c r="I2394" s="169">
        <v>111098</v>
      </c>
      <c r="J2394" s="304" t="str">
        <f>CONCATENATE([2]Cover!$D$6,"fdd/view?i=",I2394)</f>
        <v>https://www.dgiwg.org/FAD/fdd/view?i=111098</v>
      </c>
      <c r="K2394" s="304" t="s">
        <v>36443</v>
      </c>
      <c r="L2394" s="188">
        <v>2</v>
      </c>
      <c r="M2394" s="179" t="s">
        <v>151</v>
      </c>
    </row>
    <row r="2395" spans="1:13">
      <c r="A2395" s="313" t="str">
        <f t="shared" si="37"/>
        <v>DaymarkShapeCode_trapezoidal</v>
      </c>
      <c r="B2395" s="330"/>
      <c r="C2395" s="334"/>
      <c r="D2395" s="188" t="s">
        <v>19791</v>
      </c>
      <c r="E2395" s="189" t="s">
        <v>19792</v>
      </c>
      <c r="F2395" s="162" t="s">
        <v>19793</v>
      </c>
      <c r="G2395" s="190"/>
      <c r="H2395" s="219"/>
      <c r="I2395" s="169">
        <v>119120</v>
      </c>
      <c r="J2395" s="304" t="str">
        <f>CONCATENATE([2]Cover!$D$6,"fdd/view?i=",I2395)</f>
        <v>https://www.dgiwg.org/FAD/fdd/view?i=119120</v>
      </c>
      <c r="K2395" s="304" t="s">
        <v>36444</v>
      </c>
      <c r="L2395" s="188">
        <v>7</v>
      </c>
      <c r="M2395" s="179" t="s">
        <v>151</v>
      </c>
    </row>
    <row r="2396" spans="1:13">
      <c r="A2396" s="313" t="str">
        <f t="shared" si="37"/>
        <v>DaymarkShapeCode_triangle</v>
      </c>
      <c r="B2396" s="331"/>
      <c r="C2396" s="335"/>
      <c r="D2396" s="181" t="s">
        <v>19794</v>
      </c>
      <c r="E2396" s="192" t="s">
        <v>19795</v>
      </c>
      <c r="F2396" s="193" t="s">
        <v>19796</v>
      </c>
      <c r="G2396" s="194"/>
      <c r="H2396" s="220"/>
      <c r="I2396" s="169">
        <v>111099</v>
      </c>
      <c r="J2396" s="304" t="str">
        <f>CONCATENATE([2]Cover!$D$6,"fdd/view?i=",I2396)</f>
        <v>https://www.dgiwg.org/FAD/fdd/view?i=111099</v>
      </c>
      <c r="K2396" s="304" t="s">
        <v>36445</v>
      </c>
      <c r="L2396" s="181">
        <v>3</v>
      </c>
      <c r="M2396" s="179" t="s">
        <v>151</v>
      </c>
    </row>
    <row r="2397" spans="1:13" ht="25.5">
      <c r="A2397" s="313" t="str">
        <f t="shared" si="37"/>
        <v>DepthExpositionCode_coveredGte20ButLt30Metres</v>
      </c>
      <c r="B2397" s="332" t="str">
        <f>HYPERLINK("[#]Datatypes!A446:L446","DepthExpositionCode")</f>
        <v>DepthExpositionCode</v>
      </c>
      <c r="C2397" s="333" t="s">
        <v>11973</v>
      </c>
      <c r="D2397" s="202" t="s">
        <v>19800</v>
      </c>
      <c r="E2397" s="203" t="s">
        <v>19801</v>
      </c>
      <c r="F2397" s="204" t="s">
        <v>19802</v>
      </c>
      <c r="G2397" s="205"/>
      <c r="H2397" s="218"/>
      <c r="I2397" s="169">
        <v>103468</v>
      </c>
      <c r="J2397" s="304" t="str">
        <f>CONCATENATE([2]Cover!$D$6,"fdd/view?i=",I2397)</f>
        <v>https://www.dgiwg.org/FAD/fdd/view?i=103468</v>
      </c>
      <c r="K2397" s="304" t="s">
        <v>36446</v>
      </c>
      <c r="L2397" s="202">
        <v>2</v>
      </c>
      <c r="M2397" s="179" t="s">
        <v>151</v>
      </c>
    </row>
    <row r="2398" spans="1:13" ht="25.5">
      <c r="A2398" s="313" t="str">
        <f t="shared" si="37"/>
        <v>DepthExpositionCode_coveredGte30Metres</v>
      </c>
      <c r="B2398" s="330"/>
      <c r="C2398" s="334"/>
      <c r="D2398" s="188" t="s">
        <v>19803</v>
      </c>
      <c r="E2398" s="189" t="s">
        <v>19804</v>
      </c>
      <c r="F2398" s="162" t="s">
        <v>19805</v>
      </c>
      <c r="G2398" s="190"/>
      <c r="H2398" s="219"/>
      <c r="I2398" s="169">
        <v>103469</v>
      </c>
      <c r="J2398" s="304" t="str">
        <f>CONCATENATE([2]Cover!$D$6,"fdd/view?i=",I2398)</f>
        <v>https://www.dgiwg.org/FAD/fdd/view?i=103469</v>
      </c>
      <c r="K2398" s="304" t="s">
        <v>36447</v>
      </c>
      <c r="L2398" s="188">
        <v>3</v>
      </c>
      <c r="M2398" s="179" t="s">
        <v>151</v>
      </c>
    </row>
    <row r="2399" spans="1:13" ht="25.5">
      <c r="A2399" s="313" t="str">
        <f t="shared" si="37"/>
        <v>DepthExpositionCode_coveredLt20Metres</v>
      </c>
      <c r="B2399" s="331"/>
      <c r="C2399" s="335"/>
      <c r="D2399" s="181" t="s">
        <v>19797</v>
      </c>
      <c r="E2399" s="192" t="s">
        <v>19798</v>
      </c>
      <c r="F2399" s="193" t="s">
        <v>19799</v>
      </c>
      <c r="G2399" s="194"/>
      <c r="H2399" s="220"/>
      <c r="I2399" s="169">
        <v>103467</v>
      </c>
      <c r="J2399" s="304" t="str">
        <f>CONCATENATE([2]Cover!$D$6,"fdd/view?i=",I2399)</f>
        <v>https://www.dgiwg.org/FAD/fdd/view?i=103467</v>
      </c>
      <c r="K2399" s="304" t="s">
        <v>36448</v>
      </c>
      <c r="L2399" s="181">
        <v>1</v>
      </c>
      <c r="M2399" s="179" t="s">
        <v>151</v>
      </c>
    </row>
    <row r="2400" spans="1:13" ht="25.5">
      <c r="A2400" s="313" t="str">
        <f t="shared" si="37"/>
        <v>DesignatedPointTypeCode_aerodromeHeliport</v>
      </c>
      <c r="B2400" s="332" t="str">
        <f>HYPERLINK("[#]Datatypes!A452:L452","DesignatedPointTypeCode")</f>
        <v>DesignatedPointTypeCode</v>
      </c>
      <c r="C2400" s="333" t="s">
        <v>11981</v>
      </c>
      <c r="D2400" s="202" t="s">
        <v>19806</v>
      </c>
      <c r="E2400" s="203" t="s">
        <v>19807</v>
      </c>
      <c r="F2400" s="204" t="s">
        <v>19808</v>
      </c>
      <c r="G2400" s="205"/>
      <c r="H2400" s="218"/>
      <c r="I2400" s="169">
        <v>115349</v>
      </c>
      <c r="J2400" s="304" t="str">
        <f>CONCATENATE([2]Cover!$D$6,"fdd/view?i=",I2400)</f>
        <v>https://www.dgiwg.org/FAD/fdd/view?i=115349</v>
      </c>
      <c r="K2400" s="304" t="s">
        <v>36449</v>
      </c>
      <c r="L2400" s="202">
        <v>1</v>
      </c>
      <c r="M2400" s="179" t="s">
        <v>151</v>
      </c>
    </row>
    <row r="2401" spans="1:13" ht="25.5">
      <c r="A2401" s="313" t="str">
        <f t="shared" si="37"/>
        <v>DesignatedPointTypeCode_coordinateBased</v>
      </c>
      <c r="B2401" s="330"/>
      <c r="C2401" s="334"/>
      <c r="D2401" s="188" t="s">
        <v>19809</v>
      </c>
      <c r="E2401" s="189" t="s">
        <v>19810</v>
      </c>
      <c r="F2401" s="162" t="s">
        <v>19811</v>
      </c>
      <c r="G2401" s="190"/>
      <c r="H2401" s="219"/>
      <c r="I2401" s="169">
        <v>115350</v>
      </c>
      <c r="J2401" s="304" t="str">
        <f>CONCATENATE([2]Cover!$D$6,"fdd/view?i=",I2401)</f>
        <v>https://www.dgiwg.org/FAD/fdd/view?i=115350</v>
      </c>
      <c r="K2401" s="304" t="s">
        <v>36450</v>
      </c>
      <c r="L2401" s="188">
        <v>2</v>
      </c>
      <c r="M2401" s="179" t="s">
        <v>151</v>
      </c>
    </row>
    <row r="2402" spans="1:13" ht="25.5">
      <c r="A2402" s="313" t="str">
        <f t="shared" si="37"/>
        <v>DesignatedPointTypeCode_icao</v>
      </c>
      <c r="B2402" s="331"/>
      <c r="C2402" s="335"/>
      <c r="D2402" s="181" t="s">
        <v>19812</v>
      </c>
      <c r="E2402" s="192" t="s">
        <v>19813</v>
      </c>
      <c r="F2402" s="193" t="s">
        <v>19814</v>
      </c>
      <c r="G2402" s="194"/>
      <c r="H2402" s="220"/>
      <c r="I2402" s="169">
        <v>115351</v>
      </c>
      <c r="J2402" s="304" t="str">
        <f>CONCATENATE([2]Cover!$D$6,"fdd/view?i=",I2402)</f>
        <v>https://www.dgiwg.org/FAD/fdd/view?i=115351</v>
      </c>
      <c r="K2402" s="304" t="s">
        <v>36451</v>
      </c>
      <c r="L2402" s="181">
        <v>3</v>
      </c>
      <c r="M2402" s="179" t="s">
        <v>151</v>
      </c>
    </row>
    <row r="2403" spans="1:13" ht="51">
      <c r="A2403" s="313" t="str">
        <f t="shared" si="37"/>
        <v>DirectionBasisCode_magneticBearing</v>
      </c>
      <c r="B2403" s="332" t="str">
        <f>HYPERLINK("[#]Datatypes!A456:L456","DirectionBasisCode")</f>
        <v>DirectionBasisCode</v>
      </c>
      <c r="C2403" s="333" t="s">
        <v>11986</v>
      </c>
      <c r="D2403" s="202" t="s">
        <v>8059</v>
      </c>
      <c r="E2403" s="203" t="s">
        <v>8060</v>
      </c>
      <c r="F2403" s="204" t="s">
        <v>19815</v>
      </c>
      <c r="G2403" s="205"/>
      <c r="H2403" s="218"/>
      <c r="I2403" s="169">
        <v>207152</v>
      </c>
      <c r="J2403" s="304" t="str">
        <f>CONCATENATE([2]Cover!$D$6,"fdd/view?i=",I2403)</f>
        <v>https://www.dgiwg.org/FAD/fdd/view?i=207152</v>
      </c>
      <c r="K2403" s="304" t="s">
        <v>36452</v>
      </c>
      <c r="L2403" s="202">
        <v>4</v>
      </c>
      <c r="M2403" s="179" t="s">
        <v>1295</v>
      </c>
    </row>
    <row r="2404" spans="1:13" ht="38.25">
      <c r="A2404" s="313" t="str">
        <f t="shared" si="37"/>
        <v>DirectionBasisCode_magneticHeading</v>
      </c>
      <c r="B2404" s="330"/>
      <c r="C2404" s="334"/>
      <c r="D2404" s="188" t="s">
        <v>19816</v>
      </c>
      <c r="E2404" s="189" t="s">
        <v>19817</v>
      </c>
      <c r="F2404" s="162" t="s">
        <v>19818</v>
      </c>
      <c r="G2404" s="190"/>
      <c r="H2404" s="219"/>
      <c r="I2404" s="169">
        <v>207151</v>
      </c>
      <c r="J2404" s="304" t="str">
        <f>CONCATENATE([2]Cover!$D$6,"fdd/view?i=",I2404)</f>
        <v>https://www.dgiwg.org/FAD/fdd/view?i=207151</v>
      </c>
      <c r="K2404" s="304" t="s">
        <v>36453</v>
      </c>
      <c r="L2404" s="188">
        <v>3</v>
      </c>
      <c r="M2404" s="179" t="s">
        <v>1295</v>
      </c>
    </row>
    <row r="2405" spans="1:13" ht="38.25">
      <c r="A2405" s="313" t="str">
        <f t="shared" si="37"/>
        <v>DirectionBasisCode_magneticTrack</v>
      </c>
      <c r="B2405" s="330"/>
      <c r="C2405" s="334"/>
      <c r="D2405" s="188" t="s">
        <v>8071</v>
      </c>
      <c r="E2405" s="189" t="s">
        <v>8072</v>
      </c>
      <c r="F2405" s="162" t="s">
        <v>19819</v>
      </c>
      <c r="G2405" s="190"/>
      <c r="H2405" s="219"/>
      <c r="I2405" s="169">
        <v>207153</v>
      </c>
      <c r="J2405" s="304" t="str">
        <f>CONCATENATE([2]Cover!$D$6,"fdd/view?i=",I2405)</f>
        <v>https://www.dgiwg.org/FAD/fdd/view?i=207153</v>
      </c>
      <c r="K2405" s="304" t="s">
        <v>36454</v>
      </c>
      <c r="L2405" s="188">
        <v>5</v>
      </c>
      <c r="M2405" s="179" t="s">
        <v>1295</v>
      </c>
    </row>
    <row r="2406" spans="1:13" ht="51">
      <c r="A2406" s="313" t="str">
        <f t="shared" si="37"/>
        <v>DirectionBasisCode_trueBearing</v>
      </c>
      <c r="B2406" s="330"/>
      <c r="C2406" s="334"/>
      <c r="D2406" s="188" t="s">
        <v>10873</v>
      </c>
      <c r="E2406" s="189" t="s">
        <v>10874</v>
      </c>
      <c r="F2406" s="162" t="s">
        <v>19820</v>
      </c>
      <c r="G2406" s="190"/>
      <c r="H2406" s="219"/>
      <c r="I2406" s="169">
        <v>207150</v>
      </c>
      <c r="J2406" s="304" t="str">
        <f>CONCATENATE([2]Cover!$D$6,"fdd/view?i=",I2406)</f>
        <v>https://www.dgiwg.org/FAD/fdd/view?i=207150</v>
      </c>
      <c r="K2406" s="304" t="s">
        <v>36455</v>
      </c>
      <c r="L2406" s="188">
        <v>2</v>
      </c>
      <c r="M2406" s="179" t="s">
        <v>1295</v>
      </c>
    </row>
    <row r="2407" spans="1:13" ht="38.25">
      <c r="A2407" s="313" t="str">
        <f t="shared" si="37"/>
        <v>DirectionBasisCode_trueHeading</v>
      </c>
      <c r="B2407" s="330"/>
      <c r="C2407" s="334"/>
      <c r="D2407" s="188" t="s">
        <v>19821</v>
      </c>
      <c r="E2407" s="189" t="s">
        <v>19822</v>
      </c>
      <c r="F2407" s="162" t="s">
        <v>19823</v>
      </c>
      <c r="G2407" s="190"/>
      <c r="H2407" s="219"/>
      <c r="I2407" s="169">
        <v>207149</v>
      </c>
      <c r="J2407" s="304" t="str">
        <f>CONCATENATE([2]Cover!$D$6,"fdd/view?i=",I2407)</f>
        <v>https://www.dgiwg.org/FAD/fdd/view?i=207149</v>
      </c>
      <c r="K2407" s="304" t="s">
        <v>36456</v>
      </c>
      <c r="L2407" s="188">
        <v>1</v>
      </c>
      <c r="M2407" s="179" t="s">
        <v>1295</v>
      </c>
    </row>
    <row r="2408" spans="1:13" ht="38.25">
      <c r="A2408" s="313" t="str">
        <f t="shared" si="37"/>
        <v>DirectionBasisCode_vorOrTacanRadial</v>
      </c>
      <c r="B2408" s="331"/>
      <c r="C2408" s="335"/>
      <c r="D2408" s="181" t="s">
        <v>19824</v>
      </c>
      <c r="E2408" s="192" t="s">
        <v>19825</v>
      </c>
      <c r="F2408" s="193" t="s">
        <v>19826</v>
      </c>
      <c r="G2408" s="194"/>
      <c r="H2408" s="220"/>
      <c r="I2408" s="169">
        <v>207154</v>
      </c>
      <c r="J2408" s="304" t="str">
        <f>CONCATENATE([2]Cover!$D$6,"fdd/view?i=",I2408)</f>
        <v>https://www.dgiwg.org/FAD/fdd/view?i=207154</v>
      </c>
      <c r="K2408" s="304" t="s">
        <v>36457</v>
      </c>
      <c r="L2408" s="181">
        <v>6</v>
      </c>
      <c r="M2408" s="179" t="s">
        <v>1295</v>
      </c>
    </row>
    <row r="2409" spans="1:13">
      <c r="A2409" s="313" t="str">
        <f t="shared" si="37"/>
        <v>DirectivityCode_bidirectional</v>
      </c>
      <c r="B2409" s="332" t="str">
        <f>HYPERLINK("[#]Datatypes!A458:L458","DirectivityCode")</f>
        <v>DirectivityCode</v>
      </c>
      <c r="C2409" s="333" t="s">
        <v>11988</v>
      </c>
      <c r="D2409" s="202" t="s">
        <v>5684</v>
      </c>
      <c r="E2409" s="203" t="s">
        <v>5685</v>
      </c>
      <c r="F2409" s="204" t="s">
        <v>19827</v>
      </c>
      <c r="G2409" s="204" t="s">
        <v>19828</v>
      </c>
      <c r="H2409" s="218"/>
      <c r="I2409" s="169">
        <v>103371</v>
      </c>
      <c r="J2409" s="304" t="str">
        <f>CONCATENATE([2]Cover!$D$6,"fdd/view?i=",I2409)</f>
        <v>https://www.dgiwg.org/FAD/fdd/view?i=103371</v>
      </c>
      <c r="K2409" s="304" t="s">
        <v>36458</v>
      </c>
      <c r="L2409" s="202">
        <v>2</v>
      </c>
      <c r="M2409" s="179" t="s">
        <v>151</v>
      </c>
    </row>
    <row r="2410" spans="1:13" ht="51">
      <c r="A2410" s="313" t="str">
        <f t="shared" si="37"/>
        <v>DirectivityCode_leftUnidirectional</v>
      </c>
      <c r="B2410" s="330"/>
      <c r="C2410" s="334"/>
      <c r="D2410" s="188" t="s">
        <v>19829</v>
      </c>
      <c r="E2410" s="189" t="s">
        <v>19830</v>
      </c>
      <c r="F2410" s="162" t="s">
        <v>19831</v>
      </c>
      <c r="G2410" s="162" t="s">
        <v>19832</v>
      </c>
      <c r="H2410" s="219"/>
      <c r="I2410" s="169">
        <v>103374</v>
      </c>
      <c r="J2410" s="304" t="str">
        <f>CONCATENATE([2]Cover!$D$6,"fdd/view?i=",I2410)</f>
        <v>https://www.dgiwg.org/FAD/fdd/view?i=103374</v>
      </c>
      <c r="K2410" s="304" t="s">
        <v>36459</v>
      </c>
      <c r="L2410" s="188">
        <v>5</v>
      </c>
      <c r="M2410" s="179" t="s">
        <v>151</v>
      </c>
    </row>
    <row r="2411" spans="1:13">
      <c r="A2411" s="313" t="str">
        <f t="shared" si="37"/>
        <v>DirectivityCode_omnidirectional</v>
      </c>
      <c r="B2411" s="330"/>
      <c r="C2411" s="334"/>
      <c r="D2411" s="188" t="s">
        <v>19833</v>
      </c>
      <c r="E2411" s="189" t="s">
        <v>19834</v>
      </c>
      <c r="F2411" s="162" t="s">
        <v>19835</v>
      </c>
      <c r="G2411" s="162" t="s">
        <v>19836</v>
      </c>
      <c r="H2411" s="219"/>
      <c r="I2411" s="169">
        <v>103372</v>
      </c>
      <c r="J2411" s="304" t="str">
        <f>CONCATENATE([2]Cover!$D$6,"fdd/view?i=",I2411)</f>
        <v>https://www.dgiwg.org/FAD/fdd/view?i=103372</v>
      </c>
      <c r="K2411" s="304" t="s">
        <v>36460</v>
      </c>
      <c r="L2411" s="188">
        <v>3</v>
      </c>
      <c r="M2411" s="179" t="s">
        <v>151</v>
      </c>
    </row>
    <row r="2412" spans="1:13" ht="51">
      <c r="A2412" s="313" t="str">
        <f t="shared" si="37"/>
        <v>DirectivityCode_rightUnidirectional</v>
      </c>
      <c r="B2412" s="330"/>
      <c r="C2412" s="334"/>
      <c r="D2412" s="188" t="s">
        <v>19837</v>
      </c>
      <c r="E2412" s="189" t="s">
        <v>19838</v>
      </c>
      <c r="F2412" s="162" t="s">
        <v>19839</v>
      </c>
      <c r="G2412" s="162" t="s">
        <v>19840</v>
      </c>
      <c r="H2412" s="219"/>
      <c r="I2412" s="169">
        <v>103373</v>
      </c>
      <c r="J2412" s="304" t="str">
        <f>CONCATENATE([2]Cover!$D$6,"fdd/view?i=",I2412)</f>
        <v>https://www.dgiwg.org/FAD/fdd/view?i=103373</v>
      </c>
      <c r="K2412" s="304" t="s">
        <v>36461</v>
      </c>
      <c r="L2412" s="188">
        <v>4</v>
      </c>
      <c r="M2412" s="179" t="s">
        <v>151</v>
      </c>
    </row>
    <row r="2413" spans="1:13">
      <c r="A2413" s="313" t="str">
        <f t="shared" si="37"/>
        <v>DirectivityCode_unidirectional</v>
      </c>
      <c r="B2413" s="331"/>
      <c r="C2413" s="335"/>
      <c r="D2413" s="181" t="s">
        <v>19841</v>
      </c>
      <c r="E2413" s="192" t="s">
        <v>19842</v>
      </c>
      <c r="F2413" s="193" t="s">
        <v>19843</v>
      </c>
      <c r="G2413" s="193" t="s">
        <v>19844</v>
      </c>
      <c r="H2413" s="220"/>
      <c r="I2413" s="169">
        <v>103370</v>
      </c>
      <c r="J2413" s="304" t="str">
        <f>CONCATENATE([2]Cover!$D$6,"fdd/view?i=",I2413)</f>
        <v>https://www.dgiwg.org/FAD/fdd/view?i=103370</v>
      </c>
      <c r="K2413" s="304" t="s">
        <v>36462</v>
      </c>
      <c r="L2413" s="181">
        <v>1</v>
      </c>
      <c r="M2413" s="179" t="s">
        <v>151</v>
      </c>
    </row>
    <row r="2414" spans="1:13" ht="38.25">
      <c r="A2414" s="313" t="str">
        <f t="shared" si="37"/>
        <v>DisplaySignTypeCode_billboard</v>
      </c>
      <c r="B2414" s="332" t="str">
        <f>HYPERLINK("[#]Datatypes!A460:L460","DisplaySignTypeCode")</f>
        <v>DisplaySignTypeCode</v>
      </c>
      <c r="C2414" s="333" t="s">
        <v>11990</v>
      </c>
      <c r="D2414" s="202" t="s">
        <v>19845</v>
      </c>
      <c r="E2414" s="203" t="s">
        <v>1670</v>
      </c>
      <c r="F2414" s="204" t="s">
        <v>1671</v>
      </c>
      <c r="G2414" s="204" t="s">
        <v>1672</v>
      </c>
      <c r="H2414" s="218"/>
      <c r="I2414" s="169">
        <v>204263</v>
      </c>
      <c r="J2414" s="304" t="str">
        <f>CONCATENATE([2]Cover!$D$6,"fdd/view?i=",I2414)</f>
        <v>https://www.dgiwg.org/FAD/fdd/view?i=204263</v>
      </c>
      <c r="K2414" s="304" t="s">
        <v>36463</v>
      </c>
      <c r="L2414" s="202">
        <v>1</v>
      </c>
      <c r="M2414" s="179" t="s">
        <v>1295</v>
      </c>
    </row>
    <row r="2415" spans="1:13" ht="25.5">
      <c r="A2415" s="313" t="str">
        <f t="shared" si="37"/>
        <v>DisplaySignTypeCode_scoreboard</v>
      </c>
      <c r="B2415" s="331"/>
      <c r="C2415" s="335"/>
      <c r="D2415" s="181" t="s">
        <v>19846</v>
      </c>
      <c r="E2415" s="192" t="s">
        <v>3778</v>
      </c>
      <c r="F2415" s="193" t="s">
        <v>3779</v>
      </c>
      <c r="G2415" s="193" t="s">
        <v>3780</v>
      </c>
      <c r="H2415" s="220"/>
      <c r="I2415" s="169">
        <v>204264</v>
      </c>
      <c r="J2415" s="304" t="str">
        <f>CONCATENATE([2]Cover!$D$6,"fdd/view?i=",I2415)</f>
        <v>https://www.dgiwg.org/FAD/fdd/view?i=204264</v>
      </c>
      <c r="K2415" s="304" t="s">
        <v>36464</v>
      </c>
      <c r="L2415" s="181">
        <v>2</v>
      </c>
      <c r="M2415" s="179" t="s">
        <v>1295</v>
      </c>
    </row>
    <row r="2416" spans="1:13" ht="25.5">
      <c r="A2416" s="313" t="str">
        <f t="shared" si="37"/>
        <v>DmeChannelCode_chan001X</v>
      </c>
      <c r="B2416" s="332" t="str">
        <f>HYPERLINK("[#]Datatypes!A462:L462","DmeChannelCode")</f>
        <v>DmeChannelCode</v>
      </c>
      <c r="C2416" s="333" t="s">
        <v>11992</v>
      </c>
      <c r="D2416" s="202" t="s">
        <v>13705</v>
      </c>
      <c r="E2416" s="203" t="s">
        <v>13706</v>
      </c>
      <c r="F2416" s="204" t="s">
        <v>19945</v>
      </c>
      <c r="G2416" s="204" t="s">
        <v>13413</v>
      </c>
      <c r="H2416" s="218"/>
      <c r="I2416" s="169">
        <v>114767</v>
      </c>
      <c r="J2416" s="304" t="str">
        <f>CONCATENATE([2]Cover!$D$6,"fdd/view?i=",I2416)</f>
        <v>https://www.dgiwg.org/FAD/fdd/view?i=114767</v>
      </c>
      <c r="K2416" s="304" t="s">
        <v>36465</v>
      </c>
      <c r="L2416" s="202">
        <v>1</v>
      </c>
      <c r="M2416" s="179" t="s">
        <v>151</v>
      </c>
    </row>
    <row r="2417" spans="1:13" ht="25.5">
      <c r="A2417" s="313" t="str">
        <f t="shared" si="37"/>
        <v>DmeChannelCode_chan001Y</v>
      </c>
      <c r="B2417" s="330"/>
      <c r="C2417" s="334"/>
      <c r="D2417" s="188" t="s">
        <v>13708</v>
      </c>
      <c r="E2417" s="189" t="s">
        <v>13709</v>
      </c>
      <c r="F2417" s="162" t="s">
        <v>19946</v>
      </c>
      <c r="G2417" s="162" t="s">
        <v>13413</v>
      </c>
      <c r="H2417" s="219"/>
      <c r="I2417" s="169">
        <v>114768</v>
      </c>
      <c r="J2417" s="304" t="str">
        <f>CONCATENATE([2]Cover!$D$6,"fdd/view?i=",I2417)</f>
        <v>https://www.dgiwg.org/FAD/fdd/view?i=114768</v>
      </c>
      <c r="K2417" s="304" t="s">
        <v>36466</v>
      </c>
      <c r="L2417" s="188">
        <v>2</v>
      </c>
      <c r="M2417" s="179" t="s">
        <v>151</v>
      </c>
    </row>
    <row r="2418" spans="1:13" ht="25.5">
      <c r="A2418" s="313" t="str">
        <f t="shared" si="37"/>
        <v>DmeChannelCode_chan002X</v>
      </c>
      <c r="B2418" s="330"/>
      <c r="C2418" s="334"/>
      <c r="D2418" s="188" t="s">
        <v>13816</v>
      </c>
      <c r="E2418" s="189" t="s">
        <v>13817</v>
      </c>
      <c r="F2418" s="162" t="s">
        <v>19982</v>
      </c>
      <c r="G2418" s="162" t="s">
        <v>13413</v>
      </c>
      <c r="H2418" s="219"/>
      <c r="I2418" s="169">
        <v>114769</v>
      </c>
      <c r="J2418" s="304" t="str">
        <f>CONCATENATE([2]Cover!$D$6,"fdd/view?i=",I2418)</f>
        <v>https://www.dgiwg.org/FAD/fdd/view?i=114769</v>
      </c>
      <c r="K2418" s="304" t="s">
        <v>36467</v>
      </c>
      <c r="L2418" s="188">
        <v>3</v>
      </c>
      <c r="M2418" s="179" t="s">
        <v>151</v>
      </c>
    </row>
    <row r="2419" spans="1:13" ht="25.5">
      <c r="A2419" s="313" t="str">
        <f t="shared" si="37"/>
        <v>DmeChannelCode_chan002Y</v>
      </c>
      <c r="B2419" s="330"/>
      <c r="C2419" s="334"/>
      <c r="D2419" s="188" t="s">
        <v>13819</v>
      </c>
      <c r="E2419" s="189" t="s">
        <v>13820</v>
      </c>
      <c r="F2419" s="162" t="s">
        <v>19983</v>
      </c>
      <c r="G2419" s="162" t="s">
        <v>13413</v>
      </c>
      <c r="H2419" s="219"/>
      <c r="I2419" s="169">
        <v>114770</v>
      </c>
      <c r="J2419" s="304" t="str">
        <f>CONCATENATE([2]Cover!$D$6,"fdd/view?i=",I2419)</f>
        <v>https://www.dgiwg.org/FAD/fdd/view?i=114770</v>
      </c>
      <c r="K2419" s="304" t="s">
        <v>36468</v>
      </c>
      <c r="L2419" s="188">
        <v>4</v>
      </c>
      <c r="M2419" s="179" t="s">
        <v>151</v>
      </c>
    </row>
    <row r="2420" spans="1:13" ht="25.5">
      <c r="A2420" s="313" t="str">
        <f t="shared" si="37"/>
        <v>DmeChannelCode_chan003X</v>
      </c>
      <c r="B2420" s="330"/>
      <c r="C2420" s="334"/>
      <c r="D2420" s="188" t="s">
        <v>13927</v>
      </c>
      <c r="E2420" s="189" t="s">
        <v>13928</v>
      </c>
      <c r="F2420" s="162" t="s">
        <v>20019</v>
      </c>
      <c r="G2420" s="162" t="s">
        <v>13413</v>
      </c>
      <c r="H2420" s="219"/>
      <c r="I2420" s="169">
        <v>114771</v>
      </c>
      <c r="J2420" s="304" t="str">
        <f>CONCATENATE([2]Cover!$D$6,"fdd/view?i=",I2420)</f>
        <v>https://www.dgiwg.org/FAD/fdd/view?i=114771</v>
      </c>
      <c r="K2420" s="304" t="s">
        <v>36469</v>
      </c>
      <c r="L2420" s="188">
        <v>5</v>
      </c>
      <c r="M2420" s="179" t="s">
        <v>151</v>
      </c>
    </row>
    <row r="2421" spans="1:13" ht="25.5">
      <c r="A2421" s="313" t="str">
        <f t="shared" si="37"/>
        <v>DmeChannelCode_chan003Y</v>
      </c>
      <c r="B2421" s="330"/>
      <c r="C2421" s="334"/>
      <c r="D2421" s="188" t="s">
        <v>13930</v>
      </c>
      <c r="E2421" s="189" t="s">
        <v>13931</v>
      </c>
      <c r="F2421" s="162" t="s">
        <v>20020</v>
      </c>
      <c r="G2421" s="162" t="s">
        <v>13413</v>
      </c>
      <c r="H2421" s="219"/>
      <c r="I2421" s="169">
        <v>114772</v>
      </c>
      <c r="J2421" s="304" t="str">
        <f>CONCATENATE([2]Cover!$D$6,"fdd/view?i=",I2421)</f>
        <v>https://www.dgiwg.org/FAD/fdd/view?i=114772</v>
      </c>
      <c r="K2421" s="304" t="s">
        <v>36470</v>
      </c>
      <c r="L2421" s="188">
        <v>6</v>
      </c>
      <c r="M2421" s="179" t="s">
        <v>151</v>
      </c>
    </row>
    <row r="2422" spans="1:13" ht="25.5">
      <c r="A2422" s="313" t="str">
        <f t="shared" si="37"/>
        <v>DmeChannelCode_chan004X</v>
      </c>
      <c r="B2422" s="330"/>
      <c r="C2422" s="334"/>
      <c r="D2422" s="188" t="s">
        <v>14038</v>
      </c>
      <c r="E2422" s="189" t="s">
        <v>14039</v>
      </c>
      <c r="F2422" s="162" t="s">
        <v>20056</v>
      </c>
      <c r="G2422" s="162" t="s">
        <v>13413</v>
      </c>
      <c r="H2422" s="219"/>
      <c r="I2422" s="169">
        <v>114773</v>
      </c>
      <c r="J2422" s="304" t="str">
        <f>CONCATENATE([2]Cover!$D$6,"fdd/view?i=",I2422)</f>
        <v>https://www.dgiwg.org/FAD/fdd/view?i=114773</v>
      </c>
      <c r="K2422" s="304" t="s">
        <v>36471</v>
      </c>
      <c r="L2422" s="188">
        <v>7</v>
      </c>
      <c r="M2422" s="179" t="s">
        <v>151</v>
      </c>
    </row>
    <row r="2423" spans="1:13" ht="25.5">
      <c r="A2423" s="313" t="str">
        <f t="shared" si="37"/>
        <v>DmeChannelCode_chan004Y</v>
      </c>
      <c r="B2423" s="330"/>
      <c r="C2423" s="334"/>
      <c r="D2423" s="188" t="s">
        <v>14041</v>
      </c>
      <c r="E2423" s="189" t="s">
        <v>14042</v>
      </c>
      <c r="F2423" s="162" t="s">
        <v>20057</v>
      </c>
      <c r="G2423" s="162" t="s">
        <v>13413</v>
      </c>
      <c r="H2423" s="219"/>
      <c r="I2423" s="169">
        <v>114774</v>
      </c>
      <c r="J2423" s="304" t="str">
        <f>CONCATENATE([2]Cover!$D$6,"fdd/view?i=",I2423)</f>
        <v>https://www.dgiwg.org/FAD/fdd/view?i=114774</v>
      </c>
      <c r="K2423" s="304" t="s">
        <v>36472</v>
      </c>
      <c r="L2423" s="188">
        <v>8</v>
      </c>
      <c r="M2423" s="179" t="s">
        <v>151</v>
      </c>
    </row>
    <row r="2424" spans="1:13" ht="25.5">
      <c r="A2424" s="313" t="str">
        <f t="shared" si="37"/>
        <v>DmeChannelCode_chan005X</v>
      </c>
      <c r="B2424" s="330"/>
      <c r="C2424" s="334"/>
      <c r="D2424" s="188" t="s">
        <v>14137</v>
      </c>
      <c r="E2424" s="189" t="s">
        <v>14138</v>
      </c>
      <c r="F2424" s="162" t="s">
        <v>20089</v>
      </c>
      <c r="G2424" s="162" t="s">
        <v>13413</v>
      </c>
      <c r="H2424" s="219"/>
      <c r="I2424" s="169">
        <v>114775</v>
      </c>
      <c r="J2424" s="304" t="str">
        <f>CONCATENATE([2]Cover!$D$6,"fdd/view?i=",I2424)</f>
        <v>https://www.dgiwg.org/FAD/fdd/view?i=114775</v>
      </c>
      <c r="K2424" s="304" t="s">
        <v>36473</v>
      </c>
      <c r="L2424" s="188">
        <v>9</v>
      </c>
      <c r="M2424" s="179" t="s">
        <v>151</v>
      </c>
    </row>
    <row r="2425" spans="1:13" ht="25.5">
      <c r="A2425" s="313" t="str">
        <f t="shared" si="37"/>
        <v>DmeChannelCode_chan005Y</v>
      </c>
      <c r="B2425" s="330"/>
      <c r="C2425" s="334"/>
      <c r="D2425" s="188" t="s">
        <v>14140</v>
      </c>
      <c r="E2425" s="189" t="s">
        <v>14141</v>
      </c>
      <c r="F2425" s="162" t="s">
        <v>20090</v>
      </c>
      <c r="G2425" s="162" t="s">
        <v>13413</v>
      </c>
      <c r="H2425" s="219"/>
      <c r="I2425" s="169">
        <v>114776</v>
      </c>
      <c r="J2425" s="304" t="str">
        <f>CONCATENATE([2]Cover!$D$6,"fdd/view?i=",I2425)</f>
        <v>https://www.dgiwg.org/FAD/fdd/view?i=114776</v>
      </c>
      <c r="K2425" s="304" t="s">
        <v>36474</v>
      </c>
      <c r="L2425" s="188">
        <v>10</v>
      </c>
      <c r="M2425" s="179" t="s">
        <v>151</v>
      </c>
    </row>
    <row r="2426" spans="1:13" ht="25.5">
      <c r="A2426" s="313" t="str">
        <f t="shared" si="37"/>
        <v>DmeChannelCode_chan006X</v>
      </c>
      <c r="B2426" s="330"/>
      <c r="C2426" s="334"/>
      <c r="D2426" s="188" t="s">
        <v>14203</v>
      </c>
      <c r="E2426" s="189" t="s">
        <v>14204</v>
      </c>
      <c r="F2426" s="162" t="s">
        <v>20111</v>
      </c>
      <c r="G2426" s="162" t="s">
        <v>13413</v>
      </c>
      <c r="H2426" s="219"/>
      <c r="I2426" s="169">
        <v>114777</v>
      </c>
      <c r="J2426" s="304" t="str">
        <f>CONCATENATE([2]Cover!$D$6,"fdd/view?i=",I2426)</f>
        <v>https://www.dgiwg.org/FAD/fdd/view?i=114777</v>
      </c>
      <c r="K2426" s="304" t="s">
        <v>36475</v>
      </c>
      <c r="L2426" s="188">
        <v>11</v>
      </c>
      <c r="M2426" s="179" t="s">
        <v>151</v>
      </c>
    </row>
    <row r="2427" spans="1:13" ht="25.5">
      <c r="A2427" s="313" t="str">
        <f t="shared" si="37"/>
        <v>DmeChannelCode_chan006Y</v>
      </c>
      <c r="B2427" s="330"/>
      <c r="C2427" s="334"/>
      <c r="D2427" s="188" t="s">
        <v>14206</v>
      </c>
      <c r="E2427" s="189" t="s">
        <v>14207</v>
      </c>
      <c r="F2427" s="162" t="s">
        <v>20112</v>
      </c>
      <c r="G2427" s="162" t="s">
        <v>13413</v>
      </c>
      <c r="H2427" s="219"/>
      <c r="I2427" s="169">
        <v>114778</v>
      </c>
      <c r="J2427" s="304" t="str">
        <f>CONCATENATE([2]Cover!$D$6,"fdd/view?i=",I2427)</f>
        <v>https://www.dgiwg.org/FAD/fdd/view?i=114778</v>
      </c>
      <c r="K2427" s="304" t="s">
        <v>36476</v>
      </c>
      <c r="L2427" s="188">
        <v>12</v>
      </c>
      <c r="M2427" s="179" t="s">
        <v>151</v>
      </c>
    </row>
    <row r="2428" spans="1:13" ht="25.5">
      <c r="A2428" s="313" t="str">
        <f t="shared" si="37"/>
        <v>DmeChannelCode_chan007X</v>
      </c>
      <c r="B2428" s="330"/>
      <c r="C2428" s="334"/>
      <c r="D2428" s="188" t="s">
        <v>14269</v>
      </c>
      <c r="E2428" s="189" t="s">
        <v>14270</v>
      </c>
      <c r="F2428" s="162" t="s">
        <v>20133</v>
      </c>
      <c r="G2428" s="162" t="s">
        <v>13413</v>
      </c>
      <c r="H2428" s="219"/>
      <c r="I2428" s="169">
        <v>114779</v>
      </c>
      <c r="J2428" s="304" t="str">
        <f>CONCATENATE([2]Cover!$D$6,"fdd/view?i=",I2428)</f>
        <v>https://www.dgiwg.org/FAD/fdd/view?i=114779</v>
      </c>
      <c r="K2428" s="304" t="s">
        <v>36477</v>
      </c>
      <c r="L2428" s="188">
        <v>13</v>
      </c>
      <c r="M2428" s="179" t="s">
        <v>151</v>
      </c>
    </row>
    <row r="2429" spans="1:13" ht="25.5">
      <c r="A2429" s="313" t="str">
        <f t="shared" si="37"/>
        <v>DmeChannelCode_chan007Y</v>
      </c>
      <c r="B2429" s="330"/>
      <c r="C2429" s="334"/>
      <c r="D2429" s="188" t="s">
        <v>14272</v>
      </c>
      <c r="E2429" s="189" t="s">
        <v>14273</v>
      </c>
      <c r="F2429" s="162" t="s">
        <v>20134</v>
      </c>
      <c r="G2429" s="162" t="s">
        <v>13413</v>
      </c>
      <c r="H2429" s="219"/>
      <c r="I2429" s="169">
        <v>114780</v>
      </c>
      <c r="J2429" s="304" t="str">
        <f>CONCATENATE([2]Cover!$D$6,"fdd/view?i=",I2429)</f>
        <v>https://www.dgiwg.org/FAD/fdd/view?i=114780</v>
      </c>
      <c r="K2429" s="304" t="s">
        <v>36478</v>
      </c>
      <c r="L2429" s="188">
        <v>14</v>
      </c>
      <c r="M2429" s="179" t="s">
        <v>151</v>
      </c>
    </row>
    <row r="2430" spans="1:13" ht="25.5">
      <c r="A2430" s="313" t="str">
        <f t="shared" si="37"/>
        <v>DmeChannelCode_chan008X</v>
      </c>
      <c r="B2430" s="330"/>
      <c r="C2430" s="334"/>
      <c r="D2430" s="188" t="s">
        <v>14365</v>
      </c>
      <c r="E2430" s="189" t="s">
        <v>14366</v>
      </c>
      <c r="F2430" s="162" t="s">
        <v>20165</v>
      </c>
      <c r="G2430" s="162" t="s">
        <v>13413</v>
      </c>
      <c r="H2430" s="219"/>
      <c r="I2430" s="169">
        <v>114781</v>
      </c>
      <c r="J2430" s="304" t="str">
        <f>CONCATENATE([2]Cover!$D$6,"fdd/view?i=",I2430)</f>
        <v>https://www.dgiwg.org/FAD/fdd/view?i=114781</v>
      </c>
      <c r="K2430" s="304" t="s">
        <v>36479</v>
      </c>
      <c r="L2430" s="188">
        <v>15</v>
      </c>
      <c r="M2430" s="179" t="s">
        <v>151</v>
      </c>
    </row>
    <row r="2431" spans="1:13" ht="25.5">
      <c r="A2431" s="313" t="str">
        <f t="shared" si="37"/>
        <v>DmeChannelCode_chan008Y</v>
      </c>
      <c r="B2431" s="330"/>
      <c r="C2431" s="334"/>
      <c r="D2431" s="188" t="s">
        <v>14368</v>
      </c>
      <c r="E2431" s="189" t="s">
        <v>14369</v>
      </c>
      <c r="F2431" s="162" t="s">
        <v>20166</v>
      </c>
      <c r="G2431" s="162" t="s">
        <v>13413</v>
      </c>
      <c r="H2431" s="219"/>
      <c r="I2431" s="169">
        <v>114782</v>
      </c>
      <c r="J2431" s="304" t="str">
        <f>CONCATENATE([2]Cover!$D$6,"fdd/view?i=",I2431)</f>
        <v>https://www.dgiwg.org/FAD/fdd/view?i=114782</v>
      </c>
      <c r="K2431" s="304" t="s">
        <v>36480</v>
      </c>
      <c r="L2431" s="188">
        <v>16</v>
      </c>
      <c r="M2431" s="179" t="s">
        <v>151</v>
      </c>
    </row>
    <row r="2432" spans="1:13" ht="25.5">
      <c r="A2432" s="313" t="str">
        <f t="shared" si="37"/>
        <v>DmeChannelCode_chan009X</v>
      </c>
      <c r="B2432" s="330"/>
      <c r="C2432" s="334"/>
      <c r="D2432" s="188" t="s">
        <v>14461</v>
      </c>
      <c r="E2432" s="189" t="s">
        <v>14462</v>
      </c>
      <c r="F2432" s="162" t="s">
        <v>20197</v>
      </c>
      <c r="G2432" s="162" t="s">
        <v>13413</v>
      </c>
      <c r="H2432" s="219"/>
      <c r="I2432" s="169">
        <v>114783</v>
      </c>
      <c r="J2432" s="304" t="str">
        <f>CONCATENATE([2]Cover!$D$6,"fdd/view?i=",I2432)</f>
        <v>https://www.dgiwg.org/FAD/fdd/view?i=114783</v>
      </c>
      <c r="K2432" s="304" t="s">
        <v>36481</v>
      </c>
      <c r="L2432" s="188">
        <v>17</v>
      </c>
      <c r="M2432" s="179" t="s">
        <v>151</v>
      </c>
    </row>
    <row r="2433" spans="1:13" ht="25.5">
      <c r="A2433" s="313" t="str">
        <f t="shared" si="37"/>
        <v>DmeChannelCode_chan009Y</v>
      </c>
      <c r="B2433" s="330"/>
      <c r="C2433" s="334"/>
      <c r="D2433" s="188" t="s">
        <v>14464</v>
      </c>
      <c r="E2433" s="189" t="s">
        <v>14465</v>
      </c>
      <c r="F2433" s="162" t="s">
        <v>20198</v>
      </c>
      <c r="G2433" s="162" t="s">
        <v>13413</v>
      </c>
      <c r="H2433" s="219"/>
      <c r="I2433" s="169">
        <v>114784</v>
      </c>
      <c r="J2433" s="304" t="str">
        <f>CONCATENATE([2]Cover!$D$6,"fdd/view?i=",I2433)</f>
        <v>https://www.dgiwg.org/FAD/fdd/view?i=114784</v>
      </c>
      <c r="K2433" s="304" t="s">
        <v>36482</v>
      </c>
      <c r="L2433" s="188">
        <v>18</v>
      </c>
      <c r="M2433" s="179" t="s">
        <v>151</v>
      </c>
    </row>
    <row r="2434" spans="1:13" ht="25.5">
      <c r="A2434" s="313" t="str">
        <f t="shared" si="37"/>
        <v>DmeChannelCode_chan010X</v>
      </c>
      <c r="B2434" s="330"/>
      <c r="C2434" s="334"/>
      <c r="D2434" s="188" t="s">
        <v>13501</v>
      </c>
      <c r="E2434" s="189" t="s">
        <v>13502</v>
      </c>
      <c r="F2434" s="162" t="s">
        <v>19877</v>
      </c>
      <c r="G2434" s="162" t="s">
        <v>13413</v>
      </c>
      <c r="H2434" s="219"/>
      <c r="I2434" s="169">
        <v>114785</v>
      </c>
      <c r="J2434" s="304" t="str">
        <f>CONCATENATE([2]Cover!$D$6,"fdd/view?i=",I2434)</f>
        <v>https://www.dgiwg.org/FAD/fdd/view?i=114785</v>
      </c>
      <c r="K2434" s="304" t="s">
        <v>36483</v>
      </c>
      <c r="L2434" s="188">
        <v>19</v>
      </c>
      <c r="M2434" s="179" t="s">
        <v>151</v>
      </c>
    </row>
    <row r="2435" spans="1:13" ht="25.5">
      <c r="A2435" s="313" t="str">
        <f t="shared" ref="A2435:A2498" si="38">HYPERLINK(J2435,K2435)</f>
        <v>DmeChannelCode_chan010Y</v>
      </c>
      <c r="B2435" s="330"/>
      <c r="C2435" s="334"/>
      <c r="D2435" s="188" t="s">
        <v>13504</v>
      </c>
      <c r="E2435" s="189" t="s">
        <v>13505</v>
      </c>
      <c r="F2435" s="162" t="s">
        <v>19878</v>
      </c>
      <c r="G2435" s="162" t="s">
        <v>13413</v>
      </c>
      <c r="H2435" s="219"/>
      <c r="I2435" s="169">
        <v>114786</v>
      </c>
      <c r="J2435" s="304" t="str">
        <f>CONCATENATE([2]Cover!$D$6,"fdd/view?i=",I2435)</f>
        <v>https://www.dgiwg.org/FAD/fdd/view?i=114786</v>
      </c>
      <c r="K2435" s="304" t="s">
        <v>36484</v>
      </c>
      <c r="L2435" s="188">
        <v>20</v>
      </c>
      <c r="M2435" s="179" t="s">
        <v>151</v>
      </c>
    </row>
    <row r="2436" spans="1:13" ht="25.5">
      <c r="A2436" s="313" t="str">
        <f t="shared" si="38"/>
        <v>DmeChannelCode_chan011X</v>
      </c>
      <c r="B2436" s="330"/>
      <c r="C2436" s="334"/>
      <c r="D2436" s="188" t="s">
        <v>13597</v>
      </c>
      <c r="E2436" s="189" t="s">
        <v>13598</v>
      </c>
      <c r="F2436" s="162" t="s">
        <v>19909</v>
      </c>
      <c r="G2436" s="162" t="s">
        <v>13413</v>
      </c>
      <c r="H2436" s="219"/>
      <c r="I2436" s="169">
        <v>114787</v>
      </c>
      <c r="J2436" s="304" t="str">
        <f>CONCATENATE([2]Cover!$D$6,"fdd/view?i=",I2436)</f>
        <v>https://www.dgiwg.org/FAD/fdd/view?i=114787</v>
      </c>
      <c r="K2436" s="304" t="s">
        <v>36485</v>
      </c>
      <c r="L2436" s="188">
        <v>21</v>
      </c>
      <c r="M2436" s="179" t="s">
        <v>151</v>
      </c>
    </row>
    <row r="2437" spans="1:13" ht="25.5">
      <c r="A2437" s="313" t="str">
        <f t="shared" si="38"/>
        <v>DmeChannelCode_chan011Y</v>
      </c>
      <c r="B2437" s="330"/>
      <c r="C2437" s="334"/>
      <c r="D2437" s="188" t="s">
        <v>13600</v>
      </c>
      <c r="E2437" s="189" t="s">
        <v>13601</v>
      </c>
      <c r="F2437" s="162" t="s">
        <v>19910</v>
      </c>
      <c r="G2437" s="162" t="s">
        <v>13413</v>
      </c>
      <c r="H2437" s="219"/>
      <c r="I2437" s="169">
        <v>114788</v>
      </c>
      <c r="J2437" s="304" t="str">
        <f>CONCATENATE([2]Cover!$D$6,"fdd/view?i=",I2437)</f>
        <v>https://www.dgiwg.org/FAD/fdd/view?i=114788</v>
      </c>
      <c r="K2437" s="304" t="s">
        <v>36486</v>
      </c>
      <c r="L2437" s="188">
        <v>22</v>
      </c>
      <c r="M2437" s="179" t="s">
        <v>151</v>
      </c>
    </row>
    <row r="2438" spans="1:13" ht="25.5">
      <c r="A2438" s="313" t="str">
        <f t="shared" si="38"/>
        <v>DmeChannelCode_chan012X</v>
      </c>
      <c r="B2438" s="330"/>
      <c r="C2438" s="334"/>
      <c r="D2438" s="188" t="s">
        <v>13645</v>
      </c>
      <c r="E2438" s="189" t="s">
        <v>13646</v>
      </c>
      <c r="F2438" s="162" t="s">
        <v>19925</v>
      </c>
      <c r="G2438" s="162" t="s">
        <v>13413</v>
      </c>
      <c r="H2438" s="219"/>
      <c r="I2438" s="169">
        <v>114789</v>
      </c>
      <c r="J2438" s="304" t="str">
        <f>CONCATENATE([2]Cover!$D$6,"fdd/view?i=",I2438)</f>
        <v>https://www.dgiwg.org/FAD/fdd/view?i=114789</v>
      </c>
      <c r="K2438" s="304" t="s">
        <v>36487</v>
      </c>
      <c r="L2438" s="188">
        <v>23</v>
      </c>
      <c r="M2438" s="179" t="s">
        <v>151</v>
      </c>
    </row>
    <row r="2439" spans="1:13" ht="25.5">
      <c r="A2439" s="313" t="str">
        <f t="shared" si="38"/>
        <v>DmeChannelCode_chan012Y</v>
      </c>
      <c r="B2439" s="330"/>
      <c r="C2439" s="334"/>
      <c r="D2439" s="188" t="s">
        <v>13648</v>
      </c>
      <c r="E2439" s="189" t="s">
        <v>13649</v>
      </c>
      <c r="F2439" s="162" t="s">
        <v>19926</v>
      </c>
      <c r="G2439" s="162" t="s">
        <v>13413</v>
      </c>
      <c r="H2439" s="219"/>
      <c r="I2439" s="169">
        <v>114790</v>
      </c>
      <c r="J2439" s="304" t="str">
        <f>CONCATENATE([2]Cover!$D$6,"fdd/view?i=",I2439)</f>
        <v>https://www.dgiwg.org/FAD/fdd/view?i=114790</v>
      </c>
      <c r="K2439" s="304" t="s">
        <v>36488</v>
      </c>
      <c r="L2439" s="188">
        <v>24</v>
      </c>
      <c r="M2439" s="179" t="s">
        <v>151</v>
      </c>
    </row>
    <row r="2440" spans="1:13" ht="25.5">
      <c r="A2440" s="313" t="str">
        <f t="shared" si="38"/>
        <v>DmeChannelCode_chan013X</v>
      </c>
      <c r="B2440" s="330"/>
      <c r="C2440" s="334"/>
      <c r="D2440" s="188" t="s">
        <v>13651</v>
      </c>
      <c r="E2440" s="189" t="s">
        <v>13652</v>
      </c>
      <c r="F2440" s="162" t="s">
        <v>19927</v>
      </c>
      <c r="G2440" s="162" t="s">
        <v>13413</v>
      </c>
      <c r="H2440" s="219"/>
      <c r="I2440" s="169">
        <v>114791</v>
      </c>
      <c r="J2440" s="304" t="str">
        <f>CONCATENATE([2]Cover!$D$6,"fdd/view?i=",I2440)</f>
        <v>https://www.dgiwg.org/FAD/fdd/view?i=114791</v>
      </c>
      <c r="K2440" s="304" t="s">
        <v>36489</v>
      </c>
      <c r="L2440" s="188">
        <v>25</v>
      </c>
      <c r="M2440" s="179" t="s">
        <v>151</v>
      </c>
    </row>
    <row r="2441" spans="1:13" ht="25.5">
      <c r="A2441" s="313" t="str">
        <f t="shared" si="38"/>
        <v>DmeChannelCode_chan013Y</v>
      </c>
      <c r="B2441" s="330"/>
      <c r="C2441" s="334"/>
      <c r="D2441" s="188" t="s">
        <v>13654</v>
      </c>
      <c r="E2441" s="189" t="s">
        <v>13655</v>
      </c>
      <c r="F2441" s="162" t="s">
        <v>19928</v>
      </c>
      <c r="G2441" s="162" t="s">
        <v>13413</v>
      </c>
      <c r="H2441" s="219"/>
      <c r="I2441" s="169">
        <v>114792</v>
      </c>
      <c r="J2441" s="304" t="str">
        <f>CONCATENATE([2]Cover!$D$6,"fdd/view?i=",I2441)</f>
        <v>https://www.dgiwg.org/FAD/fdd/view?i=114792</v>
      </c>
      <c r="K2441" s="304" t="s">
        <v>36490</v>
      </c>
      <c r="L2441" s="188">
        <v>26</v>
      </c>
      <c r="M2441" s="179" t="s">
        <v>151</v>
      </c>
    </row>
    <row r="2442" spans="1:13" ht="25.5">
      <c r="A2442" s="313" t="str">
        <f t="shared" si="38"/>
        <v>DmeChannelCode_chan014X</v>
      </c>
      <c r="B2442" s="330"/>
      <c r="C2442" s="334"/>
      <c r="D2442" s="188" t="s">
        <v>13657</v>
      </c>
      <c r="E2442" s="189" t="s">
        <v>13658</v>
      </c>
      <c r="F2442" s="162" t="s">
        <v>19929</v>
      </c>
      <c r="G2442" s="162" t="s">
        <v>13413</v>
      </c>
      <c r="H2442" s="219"/>
      <c r="I2442" s="169">
        <v>114793</v>
      </c>
      <c r="J2442" s="304" t="str">
        <f>CONCATENATE([2]Cover!$D$6,"fdd/view?i=",I2442)</f>
        <v>https://www.dgiwg.org/FAD/fdd/view?i=114793</v>
      </c>
      <c r="K2442" s="304" t="s">
        <v>36491</v>
      </c>
      <c r="L2442" s="188">
        <v>27</v>
      </c>
      <c r="M2442" s="179" t="s">
        <v>151</v>
      </c>
    </row>
    <row r="2443" spans="1:13" ht="25.5">
      <c r="A2443" s="313" t="str">
        <f t="shared" si="38"/>
        <v>DmeChannelCode_chan014Y</v>
      </c>
      <c r="B2443" s="330"/>
      <c r="C2443" s="334"/>
      <c r="D2443" s="188" t="s">
        <v>13660</v>
      </c>
      <c r="E2443" s="189" t="s">
        <v>13661</v>
      </c>
      <c r="F2443" s="162" t="s">
        <v>19930</v>
      </c>
      <c r="G2443" s="162" t="s">
        <v>13413</v>
      </c>
      <c r="H2443" s="219"/>
      <c r="I2443" s="169">
        <v>114794</v>
      </c>
      <c r="J2443" s="304" t="str">
        <f>CONCATENATE([2]Cover!$D$6,"fdd/view?i=",I2443)</f>
        <v>https://www.dgiwg.org/FAD/fdd/view?i=114794</v>
      </c>
      <c r="K2443" s="304" t="s">
        <v>36492</v>
      </c>
      <c r="L2443" s="188">
        <v>28</v>
      </c>
      <c r="M2443" s="179" t="s">
        <v>151</v>
      </c>
    </row>
    <row r="2444" spans="1:13" ht="25.5">
      <c r="A2444" s="313" t="str">
        <f t="shared" si="38"/>
        <v>DmeChannelCode_chan015X</v>
      </c>
      <c r="B2444" s="330"/>
      <c r="C2444" s="334"/>
      <c r="D2444" s="188" t="s">
        <v>13663</v>
      </c>
      <c r="E2444" s="189" t="s">
        <v>13664</v>
      </c>
      <c r="F2444" s="162" t="s">
        <v>19931</v>
      </c>
      <c r="G2444" s="162" t="s">
        <v>13413</v>
      </c>
      <c r="H2444" s="219"/>
      <c r="I2444" s="169">
        <v>114795</v>
      </c>
      <c r="J2444" s="304" t="str">
        <f>CONCATENATE([2]Cover!$D$6,"fdd/view?i=",I2444)</f>
        <v>https://www.dgiwg.org/FAD/fdd/view?i=114795</v>
      </c>
      <c r="K2444" s="304" t="s">
        <v>36493</v>
      </c>
      <c r="L2444" s="188">
        <v>29</v>
      </c>
      <c r="M2444" s="179" t="s">
        <v>151</v>
      </c>
    </row>
    <row r="2445" spans="1:13" ht="25.5">
      <c r="A2445" s="313" t="str">
        <f t="shared" si="38"/>
        <v>DmeChannelCode_chan015Y</v>
      </c>
      <c r="B2445" s="330"/>
      <c r="C2445" s="334"/>
      <c r="D2445" s="188" t="s">
        <v>13666</v>
      </c>
      <c r="E2445" s="189" t="s">
        <v>13667</v>
      </c>
      <c r="F2445" s="162" t="s">
        <v>19932</v>
      </c>
      <c r="G2445" s="162" t="s">
        <v>13413</v>
      </c>
      <c r="H2445" s="219"/>
      <c r="I2445" s="169">
        <v>114796</v>
      </c>
      <c r="J2445" s="304" t="str">
        <f>CONCATENATE([2]Cover!$D$6,"fdd/view?i=",I2445)</f>
        <v>https://www.dgiwg.org/FAD/fdd/view?i=114796</v>
      </c>
      <c r="K2445" s="304" t="s">
        <v>36494</v>
      </c>
      <c r="L2445" s="188">
        <v>30</v>
      </c>
      <c r="M2445" s="179" t="s">
        <v>151</v>
      </c>
    </row>
    <row r="2446" spans="1:13" ht="25.5">
      <c r="A2446" s="313" t="str">
        <f t="shared" si="38"/>
        <v>DmeChannelCode_chan016X</v>
      </c>
      <c r="B2446" s="330"/>
      <c r="C2446" s="334"/>
      <c r="D2446" s="188" t="s">
        <v>13669</v>
      </c>
      <c r="E2446" s="189" t="s">
        <v>13670</v>
      </c>
      <c r="F2446" s="162" t="s">
        <v>19933</v>
      </c>
      <c r="G2446" s="162" t="s">
        <v>13413</v>
      </c>
      <c r="H2446" s="219"/>
      <c r="I2446" s="169">
        <v>114797</v>
      </c>
      <c r="J2446" s="304" t="str">
        <f>CONCATENATE([2]Cover!$D$6,"fdd/view?i=",I2446)</f>
        <v>https://www.dgiwg.org/FAD/fdd/view?i=114797</v>
      </c>
      <c r="K2446" s="304" t="s">
        <v>36495</v>
      </c>
      <c r="L2446" s="188">
        <v>31</v>
      </c>
      <c r="M2446" s="179" t="s">
        <v>151</v>
      </c>
    </row>
    <row r="2447" spans="1:13" ht="25.5">
      <c r="A2447" s="313" t="str">
        <f t="shared" si="38"/>
        <v>DmeChannelCode_chan016Y</v>
      </c>
      <c r="B2447" s="330"/>
      <c r="C2447" s="334"/>
      <c r="D2447" s="188" t="s">
        <v>13672</v>
      </c>
      <c r="E2447" s="189" t="s">
        <v>13673</v>
      </c>
      <c r="F2447" s="162" t="s">
        <v>19934</v>
      </c>
      <c r="G2447" s="162" t="s">
        <v>13413</v>
      </c>
      <c r="H2447" s="219"/>
      <c r="I2447" s="169">
        <v>114798</v>
      </c>
      <c r="J2447" s="304" t="str">
        <f>CONCATENATE([2]Cover!$D$6,"fdd/view?i=",I2447)</f>
        <v>https://www.dgiwg.org/FAD/fdd/view?i=114798</v>
      </c>
      <c r="K2447" s="304" t="s">
        <v>36496</v>
      </c>
      <c r="L2447" s="188">
        <v>32</v>
      </c>
      <c r="M2447" s="179" t="s">
        <v>151</v>
      </c>
    </row>
    <row r="2448" spans="1:13" ht="25.5">
      <c r="A2448" s="313" t="str">
        <f t="shared" si="38"/>
        <v>DmeChannelCode_chan017X</v>
      </c>
      <c r="B2448" s="330"/>
      <c r="C2448" s="334"/>
      <c r="D2448" s="188" t="s">
        <v>13675</v>
      </c>
      <c r="E2448" s="189" t="s">
        <v>13676</v>
      </c>
      <c r="F2448" s="162" t="s">
        <v>19935</v>
      </c>
      <c r="G2448" s="162" t="s">
        <v>13413</v>
      </c>
      <c r="H2448" s="219"/>
      <c r="I2448" s="169">
        <v>114799</v>
      </c>
      <c r="J2448" s="304" t="str">
        <f>CONCATENATE([2]Cover!$D$6,"fdd/view?i=",I2448)</f>
        <v>https://www.dgiwg.org/FAD/fdd/view?i=114799</v>
      </c>
      <c r="K2448" s="304" t="s">
        <v>36497</v>
      </c>
      <c r="L2448" s="188">
        <v>33</v>
      </c>
      <c r="M2448" s="179" t="s">
        <v>151</v>
      </c>
    </row>
    <row r="2449" spans="1:13" ht="25.5">
      <c r="A2449" s="313" t="str">
        <f t="shared" si="38"/>
        <v>DmeChannelCode_chan017Y</v>
      </c>
      <c r="B2449" s="330"/>
      <c r="C2449" s="334"/>
      <c r="D2449" s="188" t="s">
        <v>13678</v>
      </c>
      <c r="E2449" s="189" t="s">
        <v>13679</v>
      </c>
      <c r="F2449" s="162" t="s">
        <v>19936</v>
      </c>
      <c r="G2449" s="162" t="s">
        <v>13413</v>
      </c>
      <c r="H2449" s="219"/>
      <c r="I2449" s="169">
        <v>114800</v>
      </c>
      <c r="J2449" s="304" t="str">
        <f>CONCATENATE([2]Cover!$D$6,"fdd/view?i=",I2449)</f>
        <v>https://www.dgiwg.org/FAD/fdd/view?i=114800</v>
      </c>
      <c r="K2449" s="304" t="s">
        <v>36498</v>
      </c>
      <c r="L2449" s="188">
        <v>34</v>
      </c>
      <c r="M2449" s="179" t="s">
        <v>151</v>
      </c>
    </row>
    <row r="2450" spans="1:13" ht="25.5">
      <c r="A2450" s="313" t="str">
        <f t="shared" si="38"/>
        <v>DmeChannelCode_chan017Z</v>
      </c>
      <c r="B2450" s="330"/>
      <c r="C2450" s="334"/>
      <c r="D2450" s="188" t="s">
        <v>13681</v>
      </c>
      <c r="E2450" s="189" t="s">
        <v>13682</v>
      </c>
      <c r="F2450" s="162" t="s">
        <v>19937</v>
      </c>
      <c r="G2450" s="162" t="s">
        <v>13413</v>
      </c>
      <c r="H2450" s="219"/>
      <c r="I2450" s="169">
        <v>114801</v>
      </c>
      <c r="J2450" s="304" t="str">
        <f>CONCATENATE([2]Cover!$D$6,"fdd/view?i=",I2450)</f>
        <v>https://www.dgiwg.org/FAD/fdd/view?i=114801</v>
      </c>
      <c r="K2450" s="304" t="s">
        <v>36499</v>
      </c>
      <c r="L2450" s="188">
        <v>35</v>
      </c>
      <c r="M2450" s="179" t="s">
        <v>151</v>
      </c>
    </row>
    <row r="2451" spans="1:13" ht="25.5">
      <c r="A2451" s="313" t="str">
        <f t="shared" si="38"/>
        <v>DmeChannelCode_chan018W</v>
      </c>
      <c r="B2451" s="330"/>
      <c r="C2451" s="334"/>
      <c r="D2451" s="188" t="s">
        <v>13684</v>
      </c>
      <c r="E2451" s="189" t="s">
        <v>13685</v>
      </c>
      <c r="F2451" s="162" t="s">
        <v>19938</v>
      </c>
      <c r="G2451" s="162" t="s">
        <v>13413</v>
      </c>
      <c r="H2451" s="219"/>
      <c r="I2451" s="169">
        <v>114802</v>
      </c>
      <c r="J2451" s="304" t="str">
        <f>CONCATENATE([2]Cover!$D$6,"fdd/view?i=",I2451)</f>
        <v>https://www.dgiwg.org/FAD/fdd/view?i=114802</v>
      </c>
      <c r="K2451" s="304" t="s">
        <v>36500</v>
      </c>
      <c r="L2451" s="188">
        <v>36</v>
      </c>
      <c r="M2451" s="179" t="s">
        <v>151</v>
      </c>
    </row>
    <row r="2452" spans="1:13" ht="25.5">
      <c r="A2452" s="313" t="str">
        <f t="shared" si="38"/>
        <v>DmeChannelCode_chan018X</v>
      </c>
      <c r="B2452" s="330"/>
      <c r="C2452" s="334"/>
      <c r="D2452" s="188" t="s">
        <v>13687</v>
      </c>
      <c r="E2452" s="189" t="s">
        <v>13688</v>
      </c>
      <c r="F2452" s="162" t="s">
        <v>19939</v>
      </c>
      <c r="G2452" s="162" t="s">
        <v>13413</v>
      </c>
      <c r="H2452" s="219"/>
      <c r="I2452" s="169">
        <v>114803</v>
      </c>
      <c r="J2452" s="304" t="str">
        <f>CONCATENATE([2]Cover!$D$6,"fdd/view?i=",I2452)</f>
        <v>https://www.dgiwg.org/FAD/fdd/view?i=114803</v>
      </c>
      <c r="K2452" s="304" t="s">
        <v>36501</v>
      </c>
      <c r="L2452" s="188">
        <v>37</v>
      </c>
      <c r="M2452" s="179" t="s">
        <v>151</v>
      </c>
    </row>
    <row r="2453" spans="1:13" ht="25.5">
      <c r="A2453" s="313" t="str">
        <f t="shared" si="38"/>
        <v>DmeChannelCode_chan018Y</v>
      </c>
      <c r="B2453" s="330"/>
      <c r="C2453" s="334"/>
      <c r="D2453" s="188" t="s">
        <v>13690</v>
      </c>
      <c r="E2453" s="189" t="s">
        <v>13691</v>
      </c>
      <c r="F2453" s="162" t="s">
        <v>19940</v>
      </c>
      <c r="G2453" s="162" t="s">
        <v>13413</v>
      </c>
      <c r="H2453" s="219"/>
      <c r="I2453" s="169">
        <v>114804</v>
      </c>
      <c r="J2453" s="304" t="str">
        <f>CONCATENATE([2]Cover!$D$6,"fdd/view?i=",I2453)</f>
        <v>https://www.dgiwg.org/FAD/fdd/view?i=114804</v>
      </c>
      <c r="K2453" s="304" t="s">
        <v>36502</v>
      </c>
      <c r="L2453" s="188">
        <v>38</v>
      </c>
      <c r="M2453" s="179" t="s">
        <v>151</v>
      </c>
    </row>
    <row r="2454" spans="1:13" ht="25.5">
      <c r="A2454" s="313" t="str">
        <f t="shared" si="38"/>
        <v>DmeChannelCode_chan018Z</v>
      </c>
      <c r="B2454" s="330"/>
      <c r="C2454" s="334"/>
      <c r="D2454" s="188" t="s">
        <v>13693</v>
      </c>
      <c r="E2454" s="189" t="s">
        <v>13694</v>
      </c>
      <c r="F2454" s="162" t="s">
        <v>19941</v>
      </c>
      <c r="G2454" s="162" t="s">
        <v>13413</v>
      </c>
      <c r="H2454" s="219"/>
      <c r="I2454" s="169">
        <v>114805</v>
      </c>
      <c r="J2454" s="304" t="str">
        <f>CONCATENATE([2]Cover!$D$6,"fdd/view?i=",I2454)</f>
        <v>https://www.dgiwg.org/FAD/fdd/view?i=114805</v>
      </c>
      <c r="K2454" s="304" t="s">
        <v>36503</v>
      </c>
      <c r="L2454" s="188">
        <v>39</v>
      </c>
      <c r="M2454" s="179" t="s">
        <v>151</v>
      </c>
    </row>
    <row r="2455" spans="1:13" ht="25.5">
      <c r="A2455" s="313" t="str">
        <f t="shared" si="38"/>
        <v>DmeChannelCode_chan019X</v>
      </c>
      <c r="B2455" s="330"/>
      <c r="C2455" s="334"/>
      <c r="D2455" s="188" t="s">
        <v>13696</v>
      </c>
      <c r="E2455" s="189" t="s">
        <v>13697</v>
      </c>
      <c r="F2455" s="162" t="s">
        <v>19942</v>
      </c>
      <c r="G2455" s="162" t="s">
        <v>13413</v>
      </c>
      <c r="H2455" s="219"/>
      <c r="I2455" s="169">
        <v>114806</v>
      </c>
      <c r="J2455" s="304" t="str">
        <f>CONCATENATE([2]Cover!$D$6,"fdd/view?i=",I2455)</f>
        <v>https://www.dgiwg.org/FAD/fdd/view?i=114806</v>
      </c>
      <c r="K2455" s="304" t="s">
        <v>36504</v>
      </c>
      <c r="L2455" s="188">
        <v>40</v>
      </c>
      <c r="M2455" s="179" t="s">
        <v>151</v>
      </c>
    </row>
    <row r="2456" spans="1:13" ht="25.5">
      <c r="A2456" s="313" t="str">
        <f t="shared" si="38"/>
        <v>DmeChannelCode_chan019Y</v>
      </c>
      <c r="B2456" s="330"/>
      <c r="C2456" s="334"/>
      <c r="D2456" s="188" t="s">
        <v>13699</v>
      </c>
      <c r="E2456" s="189" t="s">
        <v>13700</v>
      </c>
      <c r="F2456" s="162" t="s">
        <v>19943</v>
      </c>
      <c r="G2456" s="162" t="s">
        <v>13413</v>
      </c>
      <c r="H2456" s="219"/>
      <c r="I2456" s="169">
        <v>114807</v>
      </c>
      <c r="J2456" s="304" t="str">
        <f>CONCATENATE([2]Cover!$D$6,"fdd/view?i=",I2456)</f>
        <v>https://www.dgiwg.org/FAD/fdd/view?i=114807</v>
      </c>
      <c r="K2456" s="304" t="s">
        <v>36505</v>
      </c>
      <c r="L2456" s="188">
        <v>41</v>
      </c>
      <c r="M2456" s="179" t="s">
        <v>151</v>
      </c>
    </row>
    <row r="2457" spans="1:13" ht="25.5">
      <c r="A2457" s="313" t="str">
        <f t="shared" si="38"/>
        <v>DmeChannelCode_chan019Z</v>
      </c>
      <c r="B2457" s="330"/>
      <c r="C2457" s="334"/>
      <c r="D2457" s="188" t="s">
        <v>13702</v>
      </c>
      <c r="E2457" s="189" t="s">
        <v>13703</v>
      </c>
      <c r="F2457" s="162" t="s">
        <v>19944</v>
      </c>
      <c r="G2457" s="162" t="s">
        <v>13413</v>
      </c>
      <c r="H2457" s="219"/>
      <c r="I2457" s="169">
        <v>114808</v>
      </c>
      <c r="J2457" s="304" t="str">
        <f>CONCATENATE([2]Cover!$D$6,"fdd/view?i=",I2457)</f>
        <v>https://www.dgiwg.org/FAD/fdd/view?i=114808</v>
      </c>
      <c r="K2457" s="304" t="s">
        <v>36506</v>
      </c>
      <c r="L2457" s="188">
        <v>42</v>
      </c>
      <c r="M2457" s="179" t="s">
        <v>151</v>
      </c>
    </row>
    <row r="2458" spans="1:13" ht="25.5">
      <c r="A2458" s="313" t="str">
        <f t="shared" si="38"/>
        <v>DmeChannelCode_chan020W</v>
      </c>
      <c r="B2458" s="330"/>
      <c r="C2458" s="334"/>
      <c r="D2458" s="188" t="s">
        <v>13711</v>
      </c>
      <c r="E2458" s="189" t="s">
        <v>13712</v>
      </c>
      <c r="F2458" s="162" t="s">
        <v>19947</v>
      </c>
      <c r="G2458" s="162" t="s">
        <v>13413</v>
      </c>
      <c r="H2458" s="219"/>
      <c r="I2458" s="169">
        <v>114809</v>
      </c>
      <c r="J2458" s="304" t="str">
        <f>CONCATENATE([2]Cover!$D$6,"fdd/view?i=",I2458)</f>
        <v>https://www.dgiwg.org/FAD/fdd/view?i=114809</v>
      </c>
      <c r="K2458" s="304" t="s">
        <v>36507</v>
      </c>
      <c r="L2458" s="188">
        <v>43</v>
      </c>
      <c r="M2458" s="179" t="s">
        <v>151</v>
      </c>
    </row>
    <row r="2459" spans="1:13" ht="25.5">
      <c r="A2459" s="313" t="str">
        <f t="shared" si="38"/>
        <v>DmeChannelCode_chan020X</v>
      </c>
      <c r="B2459" s="330"/>
      <c r="C2459" s="334"/>
      <c r="D2459" s="188" t="s">
        <v>13714</v>
      </c>
      <c r="E2459" s="189" t="s">
        <v>13715</v>
      </c>
      <c r="F2459" s="162" t="s">
        <v>19948</v>
      </c>
      <c r="G2459" s="162" t="s">
        <v>13413</v>
      </c>
      <c r="H2459" s="219"/>
      <c r="I2459" s="169">
        <v>114810</v>
      </c>
      <c r="J2459" s="304" t="str">
        <f>CONCATENATE([2]Cover!$D$6,"fdd/view?i=",I2459)</f>
        <v>https://www.dgiwg.org/FAD/fdd/view?i=114810</v>
      </c>
      <c r="K2459" s="304" t="s">
        <v>36508</v>
      </c>
      <c r="L2459" s="188">
        <v>44</v>
      </c>
      <c r="M2459" s="179" t="s">
        <v>151</v>
      </c>
    </row>
    <row r="2460" spans="1:13" ht="25.5">
      <c r="A2460" s="313" t="str">
        <f t="shared" si="38"/>
        <v>DmeChannelCode_chan020Y</v>
      </c>
      <c r="B2460" s="330"/>
      <c r="C2460" s="334"/>
      <c r="D2460" s="188" t="s">
        <v>13717</v>
      </c>
      <c r="E2460" s="189" t="s">
        <v>13718</v>
      </c>
      <c r="F2460" s="162" t="s">
        <v>19949</v>
      </c>
      <c r="G2460" s="162" t="s">
        <v>13413</v>
      </c>
      <c r="H2460" s="219"/>
      <c r="I2460" s="169">
        <v>114811</v>
      </c>
      <c r="J2460" s="304" t="str">
        <f>CONCATENATE([2]Cover!$D$6,"fdd/view?i=",I2460)</f>
        <v>https://www.dgiwg.org/FAD/fdd/view?i=114811</v>
      </c>
      <c r="K2460" s="304" t="s">
        <v>36509</v>
      </c>
      <c r="L2460" s="188">
        <v>45</v>
      </c>
      <c r="M2460" s="179" t="s">
        <v>151</v>
      </c>
    </row>
    <row r="2461" spans="1:13" ht="25.5">
      <c r="A2461" s="313" t="str">
        <f t="shared" si="38"/>
        <v>DmeChannelCode_chan020Z</v>
      </c>
      <c r="B2461" s="330"/>
      <c r="C2461" s="334"/>
      <c r="D2461" s="188" t="s">
        <v>13720</v>
      </c>
      <c r="E2461" s="189" t="s">
        <v>13721</v>
      </c>
      <c r="F2461" s="162" t="s">
        <v>19950</v>
      </c>
      <c r="G2461" s="162" t="s">
        <v>13413</v>
      </c>
      <c r="H2461" s="219"/>
      <c r="I2461" s="169">
        <v>114812</v>
      </c>
      <c r="J2461" s="304" t="str">
        <f>CONCATENATE([2]Cover!$D$6,"fdd/view?i=",I2461)</f>
        <v>https://www.dgiwg.org/FAD/fdd/view?i=114812</v>
      </c>
      <c r="K2461" s="304" t="s">
        <v>36510</v>
      </c>
      <c r="L2461" s="188">
        <v>46</v>
      </c>
      <c r="M2461" s="179" t="s">
        <v>151</v>
      </c>
    </row>
    <row r="2462" spans="1:13" ht="25.5">
      <c r="A2462" s="313" t="str">
        <f t="shared" si="38"/>
        <v>DmeChannelCode_chan021X</v>
      </c>
      <c r="B2462" s="330"/>
      <c r="C2462" s="334"/>
      <c r="D2462" s="188" t="s">
        <v>13723</v>
      </c>
      <c r="E2462" s="189" t="s">
        <v>13724</v>
      </c>
      <c r="F2462" s="162" t="s">
        <v>19951</v>
      </c>
      <c r="G2462" s="162" t="s">
        <v>13413</v>
      </c>
      <c r="H2462" s="219"/>
      <c r="I2462" s="169">
        <v>114813</v>
      </c>
      <c r="J2462" s="304" t="str">
        <f>CONCATENATE([2]Cover!$D$6,"fdd/view?i=",I2462)</f>
        <v>https://www.dgiwg.org/FAD/fdd/view?i=114813</v>
      </c>
      <c r="K2462" s="304" t="s">
        <v>36511</v>
      </c>
      <c r="L2462" s="188">
        <v>47</v>
      </c>
      <c r="M2462" s="179" t="s">
        <v>151</v>
      </c>
    </row>
    <row r="2463" spans="1:13" ht="25.5">
      <c r="A2463" s="313" t="str">
        <f t="shared" si="38"/>
        <v>DmeChannelCode_chan021Y</v>
      </c>
      <c r="B2463" s="330"/>
      <c r="C2463" s="334"/>
      <c r="D2463" s="188" t="s">
        <v>13726</v>
      </c>
      <c r="E2463" s="189" t="s">
        <v>13727</v>
      </c>
      <c r="F2463" s="162" t="s">
        <v>19952</v>
      </c>
      <c r="G2463" s="162" t="s">
        <v>13413</v>
      </c>
      <c r="H2463" s="219"/>
      <c r="I2463" s="169">
        <v>114814</v>
      </c>
      <c r="J2463" s="304" t="str">
        <f>CONCATENATE([2]Cover!$D$6,"fdd/view?i=",I2463)</f>
        <v>https://www.dgiwg.org/FAD/fdd/view?i=114814</v>
      </c>
      <c r="K2463" s="304" t="s">
        <v>36512</v>
      </c>
      <c r="L2463" s="188">
        <v>48</v>
      </c>
      <c r="M2463" s="179" t="s">
        <v>151</v>
      </c>
    </row>
    <row r="2464" spans="1:13" ht="25.5">
      <c r="A2464" s="313" t="str">
        <f t="shared" si="38"/>
        <v>DmeChannelCode_chan021Z</v>
      </c>
      <c r="B2464" s="330"/>
      <c r="C2464" s="334"/>
      <c r="D2464" s="188" t="s">
        <v>13729</v>
      </c>
      <c r="E2464" s="189" t="s">
        <v>13730</v>
      </c>
      <c r="F2464" s="162" t="s">
        <v>19953</v>
      </c>
      <c r="G2464" s="162" t="s">
        <v>13413</v>
      </c>
      <c r="H2464" s="219"/>
      <c r="I2464" s="169">
        <v>114815</v>
      </c>
      <c r="J2464" s="304" t="str">
        <f>CONCATENATE([2]Cover!$D$6,"fdd/view?i=",I2464)</f>
        <v>https://www.dgiwg.org/FAD/fdd/view?i=114815</v>
      </c>
      <c r="K2464" s="304" t="s">
        <v>36513</v>
      </c>
      <c r="L2464" s="188">
        <v>49</v>
      </c>
      <c r="M2464" s="179" t="s">
        <v>151</v>
      </c>
    </row>
    <row r="2465" spans="1:13" ht="25.5">
      <c r="A2465" s="313" t="str">
        <f t="shared" si="38"/>
        <v>DmeChannelCode_chan022W</v>
      </c>
      <c r="B2465" s="330"/>
      <c r="C2465" s="334"/>
      <c r="D2465" s="188" t="s">
        <v>13732</v>
      </c>
      <c r="E2465" s="189" t="s">
        <v>13733</v>
      </c>
      <c r="F2465" s="162" t="s">
        <v>19954</v>
      </c>
      <c r="G2465" s="162" t="s">
        <v>13413</v>
      </c>
      <c r="H2465" s="219"/>
      <c r="I2465" s="169">
        <v>114816</v>
      </c>
      <c r="J2465" s="304" t="str">
        <f>CONCATENATE([2]Cover!$D$6,"fdd/view?i=",I2465)</f>
        <v>https://www.dgiwg.org/FAD/fdd/view?i=114816</v>
      </c>
      <c r="K2465" s="304" t="s">
        <v>36514</v>
      </c>
      <c r="L2465" s="188">
        <v>50</v>
      </c>
      <c r="M2465" s="179" t="s">
        <v>151</v>
      </c>
    </row>
    <row r="2466" spans="1:13" ht="25.5">
      <c r="A2466" s="313" t="str">
        <f t="shared" si="38"/>
        <v>DmeChannelCode_chan022X</v>
      </c>
      <c r="B2466" s="330"/>
      <c r="C2466" s="334"/>
      <c r="D2466" s="188" t="s">
        <v>13735</v>
      </c>
      <c r="E2466" s="189" t="s">
        <v>13736</v>
      </c>
      <c r="F2466" s="162" t="s">
        <v>19955</v>
      </c>
      <c r="G2466" s="162" t="s">
        <v>13413</v>
      </c>
      <c r="H2466" s="219"/>
      <c r="I2466" s="169">
        <v>114817</v>
      </c>
      <c r="J2466" s="304" t="str">
        <f>CONCATENATE([2]Cover!$D$6,"fdd/view?i=",I2466)</f>
        <v>https://www.dgiwg.org/FAD/fdd/view?i=114817</v>
      </c>
      <c r="K2466" s="304" t="s">
        <v>36515</v>
      </c>
      <c r="L2466" s="188">
        <v>51</v>
      </c>
      <c r="M2466" s="179" t="s">
        <v>151</v>
      </c>
    </row>
    <row r="2467" spans="1:13" ht="25.5">
      <c r="A2467" s="313" t="str">
        <f t="shared" si="38"/>
        <v>DmeChannelCode_chan022Y</v>
      </c>
      <c r="B2467" s="330"/>
      <c r="C2467" s="334"/>
      <c r="D2467" s="188" t="s">
        <v>13738</v>
      </c>
      <c r="E2467" s="189" t="s">
        <v>13739</v>
      </c>
      <c r="F2467" s="162" t="s">
        <v>19956</v>
      </c>
      <c r="G2467" s="162" t="s">
        <v>13413</v>
      </c>
      <c r="H2467" s="219"/>
      <c r="I2467" s="169">
        <v>114818</v>
      </c>
      <c r="J2467" s="304" t="str">
        <f>CONCATENATE([2]Cover!$D$6,"fdd/view?i=",I2467)</f>
        <v>https://www.dgiwg.org/FAD/fdd/view?i=114818</v>
      </c>
      <c r="K2467" s="304" t="s">
        <v>36516</v>
      </c>
      <c r="L2467" s="188">
        <v>52</v>
      </c>
      <c r="M2467" s="179" t="s">
        <v>151</v>
      </c>
    </row>
    <row r="2468" spans="1:13" ht="25.5">
      <c r="A2468" s="313" t="str">
        <f t="shared" si="38"/>
        <v>DmeChannelCode_chan022Z</v>
      </c>
      <c r="B2468" s="330"/>
      <c r="C2468" s="334"/>
      <c r="D2468" s="188" t="s">
        <v>13741</v>
      </c>
      <c r="E2468" s="189" t="s">
        <v>13742</v>
      </c>
      <c r="F2468" s="162" t="s">
        <v>19957</v>
      </c>
      <c r="G2468" s="162" t="s">
        <v>13413</v>
      </c>
      <c r="H2468" s="219"/>
      <c r="I2468" s="169">
        <v>114819</v>
      </c>
      <c r="J2468" s="304" t="str">
        <f>CONCATENATE([2]Cover!$D$6,"fdd/view?i=",I2468)</f>
        <v>https://www.dgiwg.org/FAD/fdd/view?i=114819</v>
      </c>
      <c r="K2468" s="304" t="s">
        <v>36517</v>
      </c>
      <c r="L2468" s="188">
        <v>53</v>
      </c>
      <c r="M2468" s="179" t="s">
        <v>151</v>
      </c>
    </row>
    <row r="2469" spans="1:13" ht="25.5">
      <c r="A2469" s="313" t="str">
        <f t="shared" si="38"/>
        <v>DmeChannelCode_chan023X</v>
      </c>
      <c r="B2469" s="330"/>
      <c r="C2469" s="334"/>
      <c r="D2469" s="188" t="s">
        <v>13744</v>
      </c>
      <c r="E2469" s="189" t="s">
        <v>13745</v>
      </c>
      <c r="F2469" s="162" t="s">
        <v>19958</v>
      </c>
      <c r="G2469" s="162" t="s">
        <v>13413</v>
      </c>
      <c r="H2469" s="219"/>
      <c r="I2469" s="169">
        <v>114820</v>
      </c>
      <c r="J2469" s="304" t="str">
        <f>CONCATENATE([2]Cover!$D$6,"fdd/view?i=",I2469)</f>
        <v>https://www.dgiwg.org/FAD/fdd/view?i=114820</v>
      </c>
      <c r="K2469" s="304" t="s">
        <v>36518</v>
      </c>
      <c r="L2469" s="188">
        <v>54</v>
      </c>
      <c r="M2469" s="179" t="s">
        <v>151</v>
      </c>
    </row>
    <row r="2470" spans="1:13" ht="25.5">
      <c r="A2470" s="313" t="str">
        <f t="shared" si="38"/>
        <v>DmeChannelCode_chan023Y</v>
      </c>
      <c r="B2470" s="330"/>
      <c r="C2470" s="334"/>
      <c r="D2470" s="188" t="s">
        <v>13747</v>
      </c>
      <c r="E2470" s="189" t="s">
        <v>13748</v>
      </c>
      <c r="F2470" s="162" t="s">
        <v>19959</v>
      </c>
      <c r="G2470" s="162" t="s">
        <v>13413</v>
      </c>
      <c r="H2470" s="219"/>
      <c r="I2470" s="169">
        <v>114821</v>
      </c>
      <c r="J2470" s="304" t="str">
        <f>CONCATENATE([2]Cover!$D$6,"fdd/view?i=",I2470)</f>
        <v>https://www.dgiwg.org/FAD/fdd/view?i=114821</v>
      </c>
      <c r="K2470" s="304" t="s">
        <v>36519</v>
      </c>
      <c r="L2470" s="188">
        <v>55</v>
      </c>
      <c r="M2470" s="179" t="s">
        <v>151</v>
      </c>
    </row>
    <row r="2471" spans="1:13" ht="25.5">
      <c r="A2471" s="313" t="str">
        <f t="shared" si="38"/>
        <v>DmeChannelCode_chan023Z</v>
      </c>
      <c r="B2471" s="330"/>
      <c r="C2471" s="334"/>
      <c r="D2471" s="188" t="s">
        <v>13750</v>
      </c>
      <c r="E2471" s="189" t="s">
        <v>13751</v>
      </c>
      <c r="F2471" s="162" t="s">
        <v>19960</v>
      </c>
      <c r="G2471" s="162" t="s">
        <v>13413</v>
      </c>
      <c r="H2471" s="219"/>
      <c r="I2471" s="169">
        <v>114822</v>
      </c>
      <c r="J2471" s="304" t="str">
        <f>CONCATENATE([2]Cover!$D$6,"fdd/view?i=",I2471)</f>
        <v>https://www.dgiwg.org/FAD/fdd/view?i=114822</v>
      </c>
      <c r="K2471" s="304" t="s">
        <v>36520</v>
      </c>
      <c r="L2471" s="188">
        <v>56</v>
      </c>
      <c r="M2471" s="179" t="s">
        <v>151</v>
      </c>
    </row>
    <row r="2472" spans="1:13" ht="25.5">
      <c r="A2472" s="313" t="str">
        <f t="shared" si="38"/>
        <v>DmeChannelCode_chan024W</v>
      </c>
      <c r="B2472" s="330"/>
      <c r="C2472" s="334"/>
      <c r="D2472" s="188" t="s">
        <v>13753</v>
      </c>
      <c r="E2472" s="189" t="s">
        <v>13754</v>
      </c>
      <c r="F2472" s="162" t="s">
        <v>19961</v>
      </c>
      <c r="G2472" s="162" t="s">
        <v>13413</v>
      </c>
      <c r="H2472" s="219"/>
      <c r="I2472" s="169">
        <v>114823</v>
      </c>
      <c r="J2472" s="304" t="str">
        <f>CONCATENATE([2]Cover!$D$6,"fdd/view?i=",I2472)</f>
        <v>https://www.dgiwg.org/FAD/fdd/view?i=114823</v>
      </c>
      <c r="K2472" s="304" t="s">
        <v>36521</v>
      </c>
      <c r="L2472" s="188">
        <v>57</v>
      </c>
      <c r="M2472" s="179" t="s">
        <v>151</v>
      </c>
    </row>
    <row r="2473" spans="1:13" ht="25.5">
      <c r="A2473" s="313" t="str">
        <f t="shared" si="38"/>
        <v>DmeChannelCode_chan024X</v>
      </c>
      <c r="B2473" s="330"/>
      <c r="C2473" s="334"/>
      <c r="D2473" s="188" t="s">
        <v>13756</v>
      </c>
      <c r="E2473" s="189" t="s">
        <v>13757</v>
      </c>
      <c r="F2473" s="162" t="s">
        <v>19962</v>
      </c>
      <c r="G2473" s="162" t="s">
        <v>13413</v>
      </c>
      <c r="H2473" s="219"/>
      <c r="I2473" s="169">
        <v>114824</v>
      </c>
      <c r="J2473" s="304" t="str">
        <f>CONCATENATE([2]Cover!$D$6,"fdd/view?i=",I2473)</f>
        <v>https://www.dgiwg.org/FAD/fdd/view?i=114824</v>
      </c>
      <c r="K2473" s="304" t="s">
        <v>36522</v>
      </c>
      <c r="L2473" s="188">
        <v>58</v>
      </c>
      <c r="M2473" s="179" t="s">
        <v>151</v>
      </c>
    </row>
    <row r="2474" spans="1:13" ht="25.5">
      <c r="A2474" s="313" t="str">
        <f t="shared" si="38"/>
        <v>DmeChannelCode_chan024Y</v>
      </c>
      <c r="B2474" s="330"/>
      <c r="C2474" s="334"/>
      <c r="D2474" s="188" t="s">
        <v>13759</v>
      </c>
      <c r="E2474" s="189" t="s">
        <v>13760</v>
      </c>
      <c r="F2474" s="162" t="s">
        <v>19963</v>
      </c>
      <c r="G2474" s="162" t="s">
        <v>13413</v>
      </c>
      <c r="H2474" s="219"/>
      <c r="I2474" s="169">
        <v>114825</v>
      </c>
      <c r="J2474" s="304" t="str">
        <f>CONCATENATE([2]Cover!$D$6,"fdd/view?i=",I2474)</f>
        <v>https://www.dgiwg.org/FAD/fdd/view?i=114825</v>
      </c>
      <c r="K2474" s="304" t="s">
        <v>36523</v>
      </c>
      <c r="L2474" s="188">
        <v>59</v>
      </c>
      <c r="M2474" s="179" t="s">
        <v>151</v>
      </c>
    </row>
    <row r="2475" spans="1:13" ht="25.5">
      <c r="A2475" s="313" t="str">
        <f t="shared" si="38"/>
        <v>DmeChannelCode_chan024Z</v>
      </c>
      <c r="B2475" s="330"/>
      <c r="C2475" s="334"/>
      <c r="D2475" s="188" t="s">
        <v>13762</v>
      </c>
      <c r="E2475" s="189" t="s">
        <v>13763</v>
      </c>
      <c r="F2475" s="162" t="s">
        <v>19964</v>
      </c>
      <c r="G2475" s="162" t="s">
        <v>13413</v>
      </c>
      <c r="H2475" s="219"/>
      <c r="I2475" s="169">
        <v>114826</v>
      </c>
      <c r="J2475" s="304" t="str">
        <f>CONCATENATE([2]Cover!$D$6,"fdd/view?i=",I2475)</f>
        <v>https://www.dgiwg.org/FAD/fdd/view?i=114826</v>
      </c>
      <c r="K2475" s="304" t="s">
        <v>36524</v>
      </c>
      <c r="L2475" s="188">
        <v>60</v>
      </c>
      <c r="M2475" s="179" t="s">
        <v>151</v>
      </c>
    </row>
    <row r="2476" spans="1:13" ht="25.5">
      <c r="A2476" s="313" t="str">
        <f t="shared" si="38"/>
        <v>DmeChannelCode_chan025X</v>
      </c>
      <c r="B2476" s="330"/>
      <c r="C2476" s="334"/>
      <c r="D2476" s="188" t="s">
        <v>13765</v>
      </c>
      <c r="E2476" s="189" t="s">
        <v>13766</v>
      </c>
      <c r="F2476" s="162" t="s">
        <v>19965</v>
      </c>
      <c r="G2476" s="162" t="s">
        <v>13413</v>
      </c>
      <c r="H2476" s="219"/>
      <c r="I2476" s="169">
        <v>114827</v>
      </c>
      <c r="J2476" s="304" t="str">
        <f>CONCATENATE([2]Cover!$D$6,"fdd/view?i=",I2476)</f>
        <v>https://www.dgiwg.org/FAD/fdd/view?i=114827</v>
      </c>
      <c r="K2476" s="304" t="s">
        <v>36525</v>
      </c>
      <c r="L2476" s="188">
        <v>61</v>
      </c>
      <c r="M2476" s="179" t="s">
        <v>151</v>
      </c>
    </row>
    <row r="2477" spans="1:13" ht="25.5">
      <c r="A2477" s="313" t="str">
        <f t="shared" si="38"/>
        <v>DmeChannelCode_chan025Y</v>
      </c>
      <c r="B2477" s="330"/>
      <c r="C2477" s="334"/>
      <c r="D2477" s="188" t="s">
        <v>13768</v>
      </c>
      <c r="E2477" s="189" t="s">
        <v>13769</v>
      </c>
      <c r="F2477" s="162" t="s">
        <v>19966</v>
      </c>
      <c r="G2477" s="162" t="s">
        <v>13413</v>
      </c>
      <c r="H2477" s="219"/>
      <c r="I2477" s="169">
        <v>114828</v>
      </c>
      <c r="J2477" s="304" t="str">
        <f>CONCATENATE([2]Cover!$D$6,"fdd/view?i=",I2477)</f>
        <v>https://www.dgiwg.org/FAD/fdd/view?i=114828</v>
      </c>
      <c r="K2477" s="304" t="s">
        <v>36526</v>
      </c>
      <c r="L2477" s="188">
        <v>62</v>
      </c>
      <c r="M2477" s="179" t="s">
        <v>151</v>
      </c>
    </row>
    <row r="2478" spans="1:13" ht="25.5">
      <c r="A2478" s="313" t="str">
        <f t="shared" si="38"/>
        <v>DmeChannelCode_chan025Z</v>
      </c>
      <c r="B2478" s="330"/>
      <c r="C2478" s="334"/>
      <c r="D2478" s="188" t="s">
        <v>13771</v>
      </c>
      <c r="E2478" s="189" t="s">
        <v>13772</v>
      </c>
      <c r="F2478" s="162" t="s">
        <v>19967</v>
      </c>
      <c r="G2478" s="162" t="s">
        <v>13413</v>
      </c>
      <c r="H2478" s="219"/>
      <c r="I2478" s="169">
        <v>114829</v>
      </c>
      <c r="J2478" s="304" t="str">
        <f>CONCATENATE([2]Cover!$D$6,"fdd/view?i=",I2478)</f>
        <v>https://www.dgiwg.org/FAD/fdd/view?i=114829</v>
      </c>
      <c r="K2478" s="304" t="s">
        <v>36527</v>
      </c>
      <c r="L2478" s="188">
        <v>63</v>
      </c>
      <c r="M2478" s="179" t="s">
        <v>151</v>
      </c>
    </row>
    <row r="2479" spans="1:13" ht="25.5">
      <c r="A2479" s="313" t="str">
        <f t="shared" si="38"/>
        <v>DmeChannelCode_chan026W</v>
      </c>
      <c r="B2479" s="330"/>
      <c r="C2479" s="334"/>
      <c r="D2479" s="188" t="s">
        <v>13774</v>
      </c>
      <c r="E2479" s="189" t="s">
        <v>13775</v>
      </c>
      <c r="F2479" s="162" t="s">
        <v>19968</v>
      </c>
      <c r="G2479" s="162" t="s">
        <v>13413</v>
      </c>
      <c r="H2479" s="219"/>
      <c r="I2479" s="169">
        <v>114830</v>
      </c>
      <c r="J2479" s="304" t="str">
        <f>CONCATENATE([2]Cover!$D$6,"fdd/view?i=",I2479)</f>
        <v>https://www.dgiwg.org/FAD/fdd/view?i=114830</v>
      </c>
      <c r="K2479" s="304" t="s">
        <v>36528</v>
      </c>
      <c r="L2479" s="188">
        <v>64</v>
      </c>
      <c r="M2479" s="179" t="s">
        <v>151</v>
      </c>
    </row>
    <row r="2480" spans="1:13" ht="25.5">
      <c r="A2480" s="313" t="str">
        <f t="shared" si="38"/>
        <v>DmeChannelCode_chan026X</v>
      </c>
      <c r="B2480" s="330"/>
      <c r="C2480" s="334"/>
      <c r="D2480" s="188" t="s">
        <v>13777</v>
      </c>
      <c r="E2480" s="189" t="s">
        <v>13778</v>
      </c>
      <c r="F2480" s="162" t="s">
        <v>19969</v>
      </c>
      <c r="G2480" s="162" t="s">
        <v>13413</v>
      </c>
      <c r="H2480" s="219"/>
      <c r="I2480" s="169">
        <v>114831</v>
      </c>
      <c r="J2480" s="304" t="str">
        <f>CONCATENATE([2]Cover!$D$6,"fdd/view?i=",I2480)</f>
        <v>https://www.dgiwg.org/FAD/fdd/view?i=114831</v>
      </c>
      <c r="K2480" s="304" t="s">
        <v>36529</v>
      </c>
      <c r="L2480" s="188">
        <v>65</v>
      </c>
      <c r="M2480" s="179" t="s">
        <v>151</v>
      </c>
    </row>
    <row r="2481" spans="1:13" ht="25.5">
      <c r="A2481" s="313" t="str">
        <f t="shared" si="38"/>
        <v>DmeChannelCode_chan026Y</v>
      </c>
      <c r="B2481" s="330"/>
      <c r="C2481" s="334"/>
      <c r="D2481" s="188" t="s">
        <v>13780</v>
      </c>
      <c r="E2481" s="189" t="s">
        <v>13781</v>
      </c>
      <c r="F2481" s="162" t="s">
        <v>19970</v>
      </c>
      <c r="G2481" s="162" t="s">
        <v>13413</v>
      </c>
      <c r="H2481" s="219"/>
      <c r="I2481" s="169">
        <v>114832</v>
      </c>
      <c r="J2481" s="304" t="str">
        <f>CONCATENATE([2]Cover!$D$6,"fdd/view?i=",I2481)</f>
        <v>https://www.dgiwg.org/FAD/fdd/view?i=114832</v>
      </c>
      <c r="K2481" s="304" t="s">
        <v>36530</v>
      </c>
      <c r="L2481" s="188">
        <v>66</v>
      </c>
      <c r="M2481" s="179" t="s">
        <v>151</v>
      </c>
    </row>
    <row r="2482" spans="1:13" ht="25.5">
      <c r="A2482" s="313" t="str">
        <f t="shared" si="38"/>
        <v>DmeChannelCode_chan026Z</v>
      </c>
      <c r="B2482" s="330"/>
      <c r="C2482" s="334"/>
      <c r="D2482" s="188" t="s">
        <v>13783</v>
      </c>
      <c r="E2482" s="189" t="s">
        <v>13784</v>
      </c>
      <c r="F2482" s="162" t="s">
        <v>19971</v>
      </c>
      <c r="G2482" s="162" t="s">
        <v>13413</v>
      </c>
      <c r="H2482" s="219"/>
      <c r="I2482" s="169">
        <v>114833</v>
      </c>
      <c r="J2482" s="304" t="str">
        <f>CONCATENATE([2]Cover!$D$6,"fdd/view?i=",I2482)</f>
        <v>https://www.dgiwg.org/FAD/fdd/view?i=114833</v>
      </c>
      <c r="K2482" s="304" t="s">
        <v>36531</v>
      </c>
      <c r="L2482" s="188">
        <v>67</v>
      </c>
      <c r="M2482" s="179" t="s">
        <v>151</v>
      </c>
    </row>
    <row r="2483" spans="1:13" ht="25.5">
      <c r="A2483" s="313" t="str">
        <f t="shared" si="38"/>
        <v>DmeChannelCode_chan027X</v>
      </c>
      <c r="B2483" s="330"/>
      <c r="C2483" s="334"/>
      <c r="D2483" s="188" t="s">
        <v>13786</v>
      </c>
      <c r="E2483" s="189" t="s">
        <v>13787</v>
      </c>
      <c r="F2483" s="162" t="s">
        <v>19972</v>
      </c>
      <c r="G2483" s="162" t="s">
        <v>13413</v>
      </c>
      <c r="H2483" s="219"/>
      <c r="I2483" s="169">
        <v>114834</v>
      </c>
      <c r="J2483" s="304" t="str">
        <f>CONCATENATE([2]Cover!$D$6,"fdd/view?i=",I2483)</f>
        <v>https://www.dgiwg.org/FAD/fdd/view?i=114834</v>
      </c>
      <c r="K2483" s="304" t="s">
        <v>36532</v>
      </c>
      <c r="L2483" s="188">
        <v>68</v>
      </c>
      <c r="M2483" s="179" t="s">
        <v>151</v>
      </c>
    </row>
    <row r="2484" spans="1:13" ht="25.5">
      <c r="A2484" s="313" t="str">
        <f t="shared" si="38"/>
        <v>DmeChannelCode_chan027Y</v>
      </c>
      <c r="B2484" s="330"/>
      <c r="C2484" s="334"/>
      <c r="D2484" s="188" t="s">
        <v>13789</v>
      </c>
      <c r="E2484" s="189" t="s">
        <v>13790</v>
      </c>
      <c r="F2484" s="162" t="s">
        <v>19973</v>
      </c>
      <c r="G2484" s="162" t="s">
        <v>13413</v>
      </c>
      <c r="H2484" s="219"/>
      <c r="I2484" s="169">
        <v>114835</v>
      </c>
      <c r="J2484" s="304" t="str">
        <f>CONCATENATE([2]Cover!$D$6,"fdd/view?i=",I2484)</f>
        <v>https://www.dgiwg.org/FAD/fdd/view?i=114835</v>
      </c>
      <c r="K2484" s="304" t="s">
        <v>36533</v>
      </c>
      <c r="L2484" s="188">
        <v>69</v>
      </c>
      <c r="M2484" s="179" t="s">
        <v>151</v>
      </c>
    </row>
    <row r="2485" spans="1:13" ht="25.5">
      <c r="A2485" s="313" t="str">
        <f t="shared" si="38"/>
        <v>DmeChannelCode_chan027Z</v>
      </c>
      <c r="B2485" s="330"/>
      <c r="C2485" s="334"/>
      <c r="D2485" s="188" t="s">
        <v>13792</v>
      </c>
      <c r="E2485" s="189" t="s">
        <v>13793</v>
      </c>
      <c r="F2485" s="162" t="s">
        <v>19974</v>
      </c>
      <c r="G2485" s="162" t="s">
        <v>13413</v>
      </c>
      <c r="H2485" s="219"/>
      <c r="I2485" s="169">
        <v>114836</v>
      </c>
      <c r="J2485" s="304" t="str">
        <f>CONCATENATE([2]Cover!$D$6,"fdd/view?i=",I2485)</f>
        <v>https://www.dgiwg.org/FAD/fdd/view?i=114836</v>
      </c>
      <c r="K2485" s="304" t="s">
        <v>36534</v>
      </c>
      <c r="L2485" s="188">
        <v>70</v>
      </c>
      <c r="M2485" s="179" t="s">
        <v>151</v>
      </c>
    </row>
    <row r="2486" spans="1:13" ht="25.5">
      <c r="A2486" s="313" t="str">
        <f t="shared" si="38"/>
        <v>DmeChannelCode_chan028W</v>
      </c>
      <c r="B2486" s="330"/>
      <c r="C2486" s="334"/>
      <c r="D2486" s="188" t="s">
        <v>13795</v>
      </c>
      <c r="E2486" s="189" t="s">
        <v>13796</v>
      </c>
      <c r="F2486" s="162" t="s">
        <v>19975</v>
      </c>
      <c r="G2486" s="162" t="s">
        <v>13413</v>
      </c>
      <c r="H2486" s="219"/>
      <c r="I2486" s="169">
        <v>114837</v>
      </c>
      <c r="J2486" s="304" t="str">
        <f>CONCATENATE([2]Cover!$D$6,"fdd/view?i=",I2486)</f>
        <v>https://www.dgiwg.org/FAD/fdd/view?i=114837</v>
      </c>
      <c r="K2486" s="304" t="s">
        <v>36535</v>
      </c>
      <c r="L2486" s="188">
        <v>71</v>
      </c>
      <c r="M2486" s="179" t="s">
        <v>151</v>
      </c>
    </row>
    <row r="2487" spans="1:13" ht="25.5">
      <c r="A2487" s="313" t="str">
        <f t="shared" si="38"/>
        <v>DmeChannelCode_chan028X</v>
      </c>
      <c r="B2487" s="330"/>
      <c r="C2487" s="334"/>
      <c r="D2487" s="188" t="s">
        <v>13798</v>
      </c>
      <c r="E2487" s="189" t="s">
        <v>13799</v>
      </c>
      <c r="F2487" s="162" t="s">
        <v>19976</v>
      </c>
      <c r="G2487" s="162" t="s">
        <v>13413</v>
      </c>
      <c r="H2487" s="219"/>
      <c r="I2487" s="169">
        <v>114838</v>
      </c>
      <c r="J2487" s="304" t="str">
        <f>CONCATENATE([2]Cover!$D$6,"fdd/view?i=",I2487)</f>
        <v>https://www.dgiwg.org/FAD/fdd/view?i=114838</v>
      </c>
      <c r="K2487" s="304" t="s">
        <v>36536</v>
      </c>
      <c r="L2487" s="188">
        <v>72</v>
      </c>
      <c r="M2487" s="179" t="s">
        <v>151</v>
      </c>
    </row>
    <row r="2488" spans="1:13" ht="25.5">
      <c r="A2488" s="313" t="str">
        <f t="shared" si="38"/>
        <v>DmeChannelCode_chan028Y</v>
      </c>
      <c r="B2488" s="330"/>
      <c r="C2488" s="334"/>
      <c r="D2488" s="188" t="s">
        <v>13801</v>
      </c>
      <c r="E2488" s="189" t="s">
        <v>13802</v>
      </c>
      <c r="F2488" s="162" t="s">
        <v>19977</v>
      </c>
      <c r="G2488" s="162" t="s">
        <v>13413</v>
      </c>
      <c r="H2488" s="219"/>
      <c r="I2488" s="169">
        <v>114839</v>
      </c>
      <c r="J2488" s="304" t="str">
        <f>CONCATENATE([2]Cover!$D$6,"fdd/view?i=",I2488)</f>
        <v>https://www.dgiwg.org/FAD/fdd/view?i=114839</v>
      </c>
      <c r="K2488" s="304" t="s">
        <v>36537</v>
      </c>
      <c r="L2488" s="188">
        <v>73</v>
      </c>
      <c r="M2488" s="179" t="s">
        <v>151</v>
      </c>
    </row>
    <row r="2489" spans="1:13" ht="25.5">
      <c r="A2489" s="313" t="str">
        <f t="shared" si="38"/>
        <v>DmeChannelCode_chan028Z</v>
      </c>
      <c r="B2489" s="330"/>
      <c r="C2489" s="334"/>
      <c r="D2489" s="188" t="s">
        <v>13804</v>
      </c>
      <c r="E2489" s="189" t="s">
        <v>13805</v>
      </c>
      <c r="F2489" s="162" t="s">
        <v>19978</v>
      </c>
      <c r="G2489" s="162" t="s">
        <v>13413</v>
      </c>
      <c r="H2489" s="219"/>
      <c r="I2489" s="169">
        <v>114840</v>
      </c>
      <c r="J2489" s="304" t="str">
        <f>CONCATENATE([2]Cover!$D$6,"fdd/view?i=",I2489)</f>
        <v>https://www.dgiwg.org/FAD/fdd/view?i=114840</v>
      </c>
      <c r="K2489" s="304" t="s">
        <v>36538</v>
      </c>
      <c r="L2489" s="188">
        <v>74</v>
      </c>
      <c r="M2489" s="179" t="s">
        <v>151</v>
      </c>
    </row>
    <row r="2490" spans="1:13" ht="25.5">
      <c r="A2490" s="313" t="str">
        <f t="shared" si="38"/>
        <v>DmeChannelCode_chan029X</v>
      </c>
      <c r="B2490" s="330"/>
      <c r="C2490" s="334"/>
      <c r="D2490" s="188" t="s">
        <v>13807</v>
      </c>
      <c r="E2490" s="189" t="s">
        <v>13808</v>
      </c>
      <c r="F2490" s="162" t="s">
        <v>19979</v>
      </c>
      <c r="G2490" s="162" t="s">
        <v>13413</v>
      </c>
      <c r="H2490" s="219"/>
      <c r="I2490" s="169">
        <v>114841</v>
      </c>
      <c r="J2490" s="304" t="str">
        <f>CONCATENATE([2]Cover!$D$6,"fdd/view?i=",I2490)</f>
        <v>https://www.dgiwg.org/FAD/fdd/view?i=114841</v>
      </c>
      <c r="K2490" s="304" t="s">
        <v>36539</v>
      </c>
      <c r="L2490" s="188">
        <v>75</v>
      </c>
      <c r="M2490" s="179" t="s">
        <v>151</v>
      </c>
    </row>
    <row r="2491" spans="1:13" ht="25.5">
      <c r="A2491" s="313" t="str">
        <f t="shared" si="38"/>
        <v>DmeChannelCode_chan029Y</v>
      </c>
      <c r="B2491" s="330"/>
      <c r="C2491" s="334"/>
      <c r="D2491" s="188" t="s">
        <v>13810</v>
      </c>
      <c r="E2491" s="189" t="s">
        <v>13811</v>
      </c>
      <c r="F2491" s="162" t="s">
        <v>19980</v>
      </c>
      <c r="G2491" s="162" t="s">
        <v>13413</v>
      </c>
      <c r="H2491" s="219"/>
      <c r="I2491" s="169">
        <v>114842</v>
      </c>
      <c r="J2491" s="304" t="str">
        <f>CONCATENATE([2]Cover!$D$6,"fdd/view?i=",I2491)</f>
        <v>https://www.dgiwg.org/FAD/fdd/view?i=114842</v>
      </c>
      <c r="K2491" s="304" t="s">
        <v>36540</v>
      </c>
      <c r="L2491" s="188">
        <v>76</v>
      </c>
      <c r="M2491" s="179" t="s">
        <v>151</v>
      </c>
    </row>
    <row r="2492" spans="1:13" ht="25.5">
      <c r="A2492" s="313" t="str">
        <f t="shared" si="38"/>
        <v>DmeChannelCode_chan029Z</v>
      </c>
      <c r="B2492" s="330"/>
      <c r="C2492" s="334"/>
      <c r="D2492" s="188" t="s">
        <v>13813</v>
      </c>
      <c r="E2492" s="189" t="s">
        <v>13814</v>
      </c>
      <c r="F2492" s="162" t="s">
        <v>19981</v>
      </c>
      <c r="G2492" s="162" t="s">
        <v>13413</v>
      </c>
      <c r="H2492" s="219"/>
      <c r="I2492" s="169">
        <v>114843</v>
      </c>
      <c r="J2492" s="304" t="str">
        <f>CONCATENATE([2]Cover!$D$6,"fdd/view?i=",I2492)</f>
        <v>https://www.dgiwg.org/FAD/fdd/view?i=114843</v>
      </c>
      <c r="K2492" s="304" t="s">
        <v>36541</v>
      </c>
      <c r="L2492" s="188">
        <v>77</v>
      </c>
      <c r="M2492" s="179" t="s">
        <v>151</v>
      </c>
    </row>
    <row r="2493" spans="1:13" ht="25.5">
      <c r="A2493" s="313" t="str">
        <f t="shared" si="38"/>
        <v>DmeChannelCode_chan030W</v>
      </c>
      <c r="B2493" s="330"/>
      <c r="C2493" s="334"/>
      <c r="D2493" s="188" t="s">
        <v>13822</v>
      </c>
      <c r="E2493" s="189" t="s">
        <v>13823</v>
      </c>
      <c r="F2493" s="162" t="s">
        <v>19984</v>
      </c>
      <c r="G2493" s="162" t="s">
        <v>13413</v>
      </c>
      <c r="H2493" s="219"/>
      <c r="I2493" s="169">
        <v>114844</v>
      </c>
      <c r="J2493" s="304" t="str">
        <f>CONCATENATE([2]Cover!$D$6,"fdd/view?i=",I2493)</f>
        <v>https://www.dgiwg.org/FAD/fdd/view?i=114844</v>
      </c>
      <c r="K2493" s="304" t="s">
        <v>36542</v>
      </c>
      <c r="L2493" s="188">
        <v>78</v>
      </c>
      <c r="M2493" s="179" t="s">
        <v>151</v>
      </c>
    </row>
    <row r="2494" spans="1:13" ht="25.5">
      <c r="A2494" s="313" t="str">
        <f t="shared" si="38"/>
        <v>DmeChannelCode_chan030X</v>
      </c>
      <c r="B2494" s="330"/>
      <c r="C2494" s="334"/>
      <c r="D2494" s="188" t="s">
        <v>13825</v>
      </c>
      <c r="E2494" s="189" t="s">
        <v>13826</v>
      </c>
      <c r="F2494" s="162" t="s">
        <v>19985</v>
      </c>
      <c r="G2494" s="162" t="s">
        <v>13413</v>
      </c>
      <c r="H2494" s="219"/>
      <c r="I2494" s="169">
        <v>114845</v>
      </c>
      <c r="J2494" s="304" t="str">
        <f>CONCATENATE([2]Cover!$D$6,"fdd/view?i=",I2494)</f>
        <v>https://www.dgiwg.org/FAD/fdd/view?i=114845</v>
      </c>
      <c r="K2494" s="304" t="s">
        <v>36543</v>
      </c>
      <c r="L2494" s="188">
        <v>79</v>
      </c>
      <c r="M2494" s="179" t="s">
        <v>151</v>
      </c>
    </row>
    <row r="2495" spans="1:13" ht="25.5">
      <c r="A2495" s="313" t="str">
        <f t="shared" si="38"/>
        <v>DmeChannelCode_chan030Y</v>
      </c>
      <c r="B2495" s="330"/>
      <c r="C2495" s="334"/>
      <c r="D2495" s="188" t="s">
        <v>13828</v>
      </c>
      <c r="E2495" s="189" t="s">
        <v>13829</v>
      </c>
      <c r="F2495" s="162" t="s">
        <v>19986</v>
      </c>
      <c r="G2495" s="162" t="s">
        <v>13413</v>
      </c>
      <c r="H2495" s="219"/>
      <c r="I2495" s="169">
        <v>114846</v>
      </c>
      <c r="J2495" s="304" t="str">
        <f>CONCATENATE([2]Cover!$D$6,"fdd/view?i=",I2495)</f>
        <v>https://www.dgiwg.org/FAD/fdd/view?i=114846</v>
      </c>
      <c r="K2495" s="304" t="s">
        <v>36544</v>
      </c>
      <c r="L2495" s="188">
        <v>80</v>
      </c>
      <c r="M2495" s="179" t="s">
        <v>151</v>
      </c>
    </row>
    <row r="2496" spans="1:13" ht="25.5">
      <c r="A2496" s="313" t="str">
        <f t="shared" si="38"/>
        <v>DmeChannelCode_chan030Z</v>
      </c>
      <c r="B2496" s="330"/>
      <c r="C2496" s="334"/>
      <c r="D2496" s="188" t="s">
        <v>13831</v>
      </c>
      <c r="E2496" s="189" t="s">
        <v>13832</v>
      </c>
      <c r="F2496" s="162" t="s">
        <v>19987</v>
      </c>
      <c r="G2496" s="162" t="s">
        <v>13413</v>
      </c>
      <c r="H2496" s="219"/>
      <c r="I2496" s="169">
        <v>114847</v>
      </c>
      <c r="J2496" s="304" t="str">
        <f>CONCATENATE([2]Cover!$D$6,"fdd/view?i=",I2496)</f>
        <v>https://www.dgiwg.org/FAD/fdd/view?i=114847</v>
      </c>
      <c r="K2496" s="304" t="s">
        <v>36545</v>
      </c>
      <c r="L2496" s="188">
        <v>81</v>
      </c>
      <c r="M2496" s="179" t="s">
        <v>151</v>
      </c>
    </row>
    <row r="2497" spans="1:13" ht="25.5">
      <c r="A2497" s="313" t="str">
        <f t="shared" si="38"/>
        <v>DmeChannelCode_chan031X</v>
      </c>
      <c r="B2497" s="330"/>
      <c r="C2497" s="334"/>
      <c r="D2497" s="188" t="s">
        <v>13834</v>
      </c>
      <c r="E2497" s="189" t="s">
        <v>13835</v>
      </c>
      <c r="F2497" s="162" t="s">
        <v>19988</v>
      </c>
      <c r="G2497" s="162" t="s">
        <v>13413</v>
      </c>
      <c r="H2497" s="219"/>
      <c r="I2497" s="169">
        <v>114848</v>
      </c>
      <c r="J2497" s="304" t="str">
        <f>CONCATENATE([2]Cover!$D$6,"fdd/view?i=",I2497)</f>
        <v>https://www.dgiwg.org/FAD/fdd/view?i=114848</v>
      </c>
      <c r="K2497" s="304" t="s">
        <v>36546</v>
      </c>
      <c r="L2497" s="188">
        <v>82</v>
      </c>
      <c r="M2497" s="179" t="s">
        <v>151</v>
      </c>
    </row>
    <row r="2498" spans="1:13" ht="25.5">
      <c r="A2498" s="313" t="str">
        <f t="shared" si="38"/>
        <v>DmeChannelCode_chan031Y</v>
      </c>
      <c r="B2498" s="330"/>
      <c r="C2498" s="334"/>
      <c r="D2498" s="188" t="s">
        <v>13837</v>
      </c>
      <c r="E2498" s="189" t="s">
        <v>13838</v>
      </c>
      <c r="F2498" s="162" t="s">
        <v>19989</v>
      </c>
      <c r="G2498" s="162" t="s">
        <v>13413</v>
      </c>
      <c r="H2498" s="219"/>
      <c r="I2498" s="169">
        <v>114849</v>
      </c>
      <c r="J2498" s="304" t="str">
        <f>CONCATENATE([2]Cover!$D$6,"fdd/view?i=",I2498)</f>
        <v>https://www.dgiwg.org/FAD/fdd/view?i=114849</v>
      </c>
      <c r="K2498" s="304" t="s">
        <v>36547</v>
      </c>
      <c r="L2498" s="188">
        <v>83</v>
      </c>
      <c r="M2498" s="179" t="s">
        <v>151</v>
      </c>
    </row>
    <row r="2499" spans="1:13" ht="25.5">
      <c r="A2499" s="313" t="str">
        <f t="shared" ref="A2499:A2562" si="39">HYPERLINK(J2499,K2499)</f>
        <v>DmeChannelCode_chan031Z</v>
      </c>
      <c r="B2499" s="330"/>
      <c r="C2499" s="334"/>
      <c r="D2499" s="188" t="s">
        <v>13840</v>
      </c>
      <c r="E2499" s="189" t="s">
        <v>13841</v>
      </c>
      <c r="F2499" s="162" t="s">
        <v>19990</v>
      </c>
      <c r="G2499" s="162" t="s">
        <v>13413</v>
      </c>
      <c r="H2499" s="219"/>
      <c r="I2499" s="169">
        <v>114850</v>
      </c>
      <c r="J2499" s="304" t="str">
        <f>CONCATENATE([2]Cover!$D$6,"fdd/view?i=",I2499)</f>
        <v>https://www.dgiwg.org/FAD/fdd/view?i=114850</v>
      </c>
      <c r="K2499" s="304" t="s">
        <v>36548</v>
      </c>
      <c r="L2499" s="188">
        <v>84</v>
      </c>
      <c r="M2499" s="179" t="s">
        <v>151</v>
      </c>
    </row>
    <row r="2500" spans="1:13" ht="25.5">
      <c r="A2500" s="313" t="str">
        <f t="shared" si="39"/>
        <v>DmeChannelCode_chan032W</v>
      </c>
      <c r="B2500" s="330"/>
      <c r="C2500" s="334"/>
      <c r="D2500" s="188" t="s">
        <v>13843</v>
      </c>
      <c r="E2500" s="189" t="s">
        <v>13844</v>
      </c>
      <c r="F2500" s="162" t="s">
        <v>19991</v>
      </c>
      <c r="G2500" s="162" t="s">
        <v>13413</v>
      </c>
      <c r="H2500" s="219"/>
      <c r="I2500" s="169">
        <v>114851</v>
      </c>
      <c r="J2500" s="304" t="str">
        <f>CONCATENATE([2]Cover!$D$6,"fdd/view?i=",I2500)</f>
        <v>https://www.dgiwg.org/FAD/fdd/view?i=114851</v>
      </c>
      <c r="K2500" s="304" t="s">
        <v>36549</v>
      </c>
      <c r="L2500" s="188">
        <v>85</v>
      </c>
      <c r="M2500" s="179" t="s">
        <v>151</v>
      </c>
    </row>
    <row r="2501" spans="1:13" ht="25.5">
      <c r="A2501" s="313" t="str">
        <f t="shared" si="39"/>
        <v>DmeChannelCode_chan032X</v>
      </c>
      <c r="B2501" s="330"/>
      <c r="C2501" s="334"/>
      <c r="D2501" s="188" t="s">
        <v>13846</v>
      </c>
      <c r="E2501" s="189" t="s">
        <v>13847</v>
      </c>
      <c r="F2501" s="162" t="s">
        <v>19992</v>
      </c>
      <c r="G2501" s="162" t="s">
        <v>13413</v>
      </c>
      <c r="H2501" s="219"/>
      <c r="I2501" s="169">
        <v>114852</v>
      </c>
      <c r="J2501" s="304" t="str">
        <f>CONCATENATE([2]Cover!$D$6,"fdd/view?i=",I2501)</f>
        <v>https://www.dgiwg.org/FAD/fdd/view?i=114852</v>
      </c>
      <c r="K2501" s="304" t="s">
        <v>36550</v>
      </c>
      <c r="L2501" s="188">
        <v>86</v>
      </c>
      <c r="M2501" s="179" t="s">
        <v>151</v>
      </c>
    </row>
    <row r="2502" spans="1:13" ht="25.5">
      <c r="A2502" s="313" t="str">
        <f t="shared" si="39"/>
        <v>DmeChannelCode_chan032Y</v>
      </c>
      <c r="B2502" s="330"/>
      <c r="C2502" s="334"/>
      <c r="D2502" s="188" t="s">
        <v>13849</v>
      </c>
      <c r="E2502" s="189" t="s">
        <v>13850</v>
      </c>
      <c r="F2502" s="162" t="s">
        <v>19993</v>
      </c>
      <c r="G2502" s="162" t="s">
        <v>13413</v>
      </c>
      <c r="H2502" s="219"/>
      <c r="I2502" s="169">
        <v>114853</v>
      </c>
      <c r="J2502" s="304" t="str">
        <f>CONCATENATE([2]Cover!$D$6,"fdd/view?i=",I2502)</f>
        <v>https://www.dgiwg.org/FAD/fdd/view?i=114853</v>
      </c>
      <c r="K2502" s="304" t="s">
        <v>36551</v>
      </c>
      <c r="L2502" s="188">
        <v>87</v>
      </c>
      <c r="M2502" s="179" t="s">
        <v>151</v>
      </c>
    </row>
    <row r="2503" spans="1:13" ht="25.5">
      <c r="A2503" s="313" t="str">
        <f t="shared" si="39"/>
        <v>DmeChannelCode_chan032Z</v>
      </c>
      <c r="B2503" s="330"/>
      <c r="C2503" s="334"/>
      <c r="D2503" s="188" t="s">
        <v>13852</v>
      </c>
      <c r="E2503" s="189" t="s">
        <v>13853</v>
      </c>
      <c r="F2503" s="162" t="s">
        <v>19994</v>
      </c>
      <c r="G2503" s="162" t="s">
        <v>13413</v>
      </c>
      <c r="H2503" s="219"/>
      <c r="I2503" s="169">
        <v>114854</v>
      </c>
      <c r="J2503" s="304" t="str">
        <f>CONCATENATE([2]Cover!$D$6,"fdd/view?i=",I2503)</f>
        <v>https://www.dgiwg.org/FAD/fdd/view?i=114854</v>
      </c>
      <c r="K2503" s="304" t="s">
        <v>36552</v>
      </c>
      <c r="L2503" s="188">
        <v>88</v>
      </c>
      <c r="M2503" s="179" t="s">
        <v>151</v>
      </c>
    </row>
    <row r="2504" spans="1:13" ht="25.5">
      <c r="A2504" s="313" t="str">
        <f t="shared" si="39"/>
        <v>DmeChannelCode_chan033X</v>
      </c>
      <c r="B2504" s="330"/>
      <c r="C2504" s="334"/>
      <c r="D2504" s="188" t="s">
        <v>13855</v>
      </c>
      <c r="E2504" s="189" t="s">
        <v>13856</v>
      </c>
      <c r="F2504" s="162" t="s">
        <v>19995</v>
      </c>
      <c r="G2504" s="162" t="s">
        <v>13413</v>
      </c>
      <c r="H2504" s="219"/>
      <c r="I2504" s="169">
        <v>114855</v>
      </c>
      <c r="J2504" s="304" t="str">
        <f>CONCATENATE([2]Cover!$D$6,"fdd/view?i=",I2504)</f>
        <v>https://www.dgiwg.org/FAD/fdd/view?i=114855</v>
      </c>
      <c r="K2504" s="304" t="s">
        <v>36553</v>
      </c>
      <c r="L2504" s="188">
        <v>89</v>
      </c>
      <c r="M2504" s="179" t="s">
        <v>151</v>
      </c>
    </row>
    <row r="2505" spans="1:13" ht="25.5">
      <c r="A2505" s="313" t="str">
        <f t="shared" si="39"/>
        <v>DmeChannelCode_chan033Y</v>
      </c>
      <c r="B2505" s="330"/>
      <c r="C2505" s="334"/>
      <c r="D2505" s="188" t="s">
        <v>13858</v>
      </c>
      <c r="E2505" s="189" t="s">
        <v>13859</v>
      </c>
      <c r="F2505" s="162" t="s">
        <v>19996</v>
      </c>
      <c r="G2505" s="162" t="s">
        <v>13413</v>
      </c>
      <c r="H2505" s="219"/>
      <c r="I2505" s="169">
        <v>114856</v>
      </c>
      <c r="J2505" s="304" t="str">
        <f>CONCATENATE([2]Cover!$D$6,"fdd/view?i=",I2505)</f>
        <v>https://www.dgiwg.org/FAD/fdd/view?i=114856</v>
      </c>
      <c r="K2505" s="304" t="s">
        <v>36554</v>
      </c>
      <c r="L2505" s="188">
        <v>90</v>
      </c>
      <c r="M2505" s="179" t="s">
        <v>151</v>
      </c>
    </row>
    <row r="2506" spans="1:13" ht="25.5">
      <c r="A2506" s="313" t="str">
        <f t="shared" si="39"/>
        <v>DmeChannelCode_chan033Z</v>
      </c>
      <c r="B2506" s="330"/>
      <c r="C2506" s="334"/>
      <c r="D2506" s="188" t="s">
        <v>13861</v>
      </c>
      <c r="E2506" s="189" t="s">
        <v>13862</v>
      </c>
      <c r="F2506" s="162" t="s">
        <v>19997</v>
      </c>
      <c r="G2506" s="162" t="s">
        <v>13413</v>
      </c>
      <c r="H2506" s="219"/>
      <c r="I2506" s="169">
        <v>114857</v>
      </c>
      <c r="J2506" s="304" t="str">
        <f>CONCATENATE([2]Cover!$D$6,"fdd/view?i=",I2506)</f>
        <v>https://www.dgiwg.org/FAD/fdd/view?i=114857</v>
      </c>
      <c r="K2506" s="304" t="s">
        <v>36555</v>
      </c>
      <c r="L2506" s="188">
        <v>91</v>
      </c>
      <c r="M2506" s="179" t="s">
        <v>151</v>
      </c>
    </row>
    <row r="2507" spans="1:13" ht="25.5">
      <c r="A2507" s="313" t="str">
        <f t="shared" si="39"/>
        <v>DmeChannelCode_chan034W</v>
      </c>
      <c r="B2507" s="330"/>
      <c r="C2507" s="334"/>
      <c r="D2507" s="188" t="s">
        <v>13864</v>
      </c>
      <c r="E2507" s="189" t="s">
        <v>13865</v>
      </c>
      <c r="F2507" s="162" t="s">
        <v>19998</v>
      </c>
      <c r="G2507" s="162" t="s">
        <v>13413</v>
      </c>
      <c r="H2507" s="219"/>
      <c r="I2507" s="169">
        <v>114858</v>
      </c>
      <c r="J2507" s="304" t="str">
        <f>CONCATENATE([2]Cover!$D$6,"fdd/view?i=",I2507)</f>
        <v>https://www.dgiwg.org/FAD/fdd/view?i=114858</v>
      </c>
      <c r="K2507" s="304" t="s">
        <v>36556</v>
      </c>
      <c r="L2507" s="188">
        <v>92</v>
      </c>
      <c r="M2507" s="179" t="s">
        <v>151</v>
      </c>
    </row>
    <row r="2508" spans="1:13" ht="25.5">
      <c r="A2508" s="313" t="str">
        <f t="shared" si="39"/>
        <v>DmeChannelCode_chan034X</v>
      </c>
      <c r="B2508" s="330"/>
      <c r="C2508" s="334"/>
      <c r="D2508" s="188" t="s">
        <v>13867</v>
      </c>
      <c r="E2508" s="189" t="s">
        <v>13868</v>
      </c>
      <c r="F2508" s="162" t="s">
        <v>19999</v>
      </c>
      <c r="G2508" s="162" t="s">
        <v>13413</v>
      </c>
      <c r="H2508" s="219"/>
      <c r="I2508" s="169">
        <v>114859</v>
      </c>
      <c r="J2508" s="304" t="str">
        <f>CONCATENATE([2]Cover!$D$6,"fdd/view?i=",I2508)</f>
        <v>https://www.dgiwg.org/FAD/fdd/view?i=114859</v>
      </c>
      <c r="K2508" s="304" t="s">
        <v>36557</v>
      </c>
      <c r="L2508" s="188">
        <v>93</v>
      </c>
      <c r="M2508" s="179" t="s">
        <v>151</v>
      </c>
    </row>
    <row r="2509" spans="1:13" ht="25.5">
      <c r="A2509" s="313" t="str">
        <f t="shared" si="39"/>
        <v>DmeChannelCode_chan034Y</v>
      </c>
      <c r="B2509" s="330"/>
      <c r="C2509" s="334"/>
      <c r="D2509" s="188" t="s">
        <v>13870</v>
      </c>
      <c r="E2509" s="189" t="s">
        <v>13871</v>
      </c>
      <c r="F2509" s="162" t="s">
        <v>20000</v>
      </c>
      <c r="G2509" s="162" t="s">
        <v>13413</v>
      </c>
      <c r="H2509" s="219"/>
      <c r="I2509" s="169">
        <v>114860</v>
      </c>
      <c r="J2509" s="304" t="str">
        <f>CONCATENATE([2]Cover!$D$6,"fdd/view?i=",I2509)</f>
        <v>https://www.dgiwg.org/FAD/fdd/view?i=114860</v>
      </c>
      <c r="K2509" s="304" t="s">
        <v>36558</v>
      </c>
      <c r="L2509" s="188">
        <v>94</v>
      </c>
      <c r="M2509" s="179" t="s">
        <v>151</v>
      </c>
    </row>
    <row r="2510" spans="1:13" ht="25.5">
      <c r="A2510" s="313" t="str">
        <f t="shared" si="39"/>
        <v>DmeChannelCode_chan034Z</v>
      </c>
      <c r="B2510" s="330"/>
      <c r="C2510" s="334"/>
      <c r="D2510" s="188" t="s">
        <v>13873</v>
      </c>
      <c r="E2510" s="189" t="s">
        <v>13874</v>
      </c>
      <c r="F2510" s="162" t="s">
        <v>20001</v>
      </c>
      <c r="G2510" s="162" t="s">
        <v>13413</v>
      </c>
      <c r="H2510" s="219"/>
      <c r="I2510" s="169">
        <v>114861</v>
      </c>
      <c r="J2510" s="304" t="str">
        <f>CONCATENATE([2]Cover!$D$6,"fdd/view?i=",I2510)</f>
        <v>https://www.dgiwg.org/FAD/fdd/view?i=114861</v>
      </c>
      <c r="K2510" s="304" t="s">
        <v>36559</v>
      </c>
      <c r="L2510" s="188">
        <v>95</v>
      </c>
      <c r="M2510" s="179" t="s">
        <v>151</v>
      </c>
    </row>
    <row r="2511" spans="1:13" ht="25.5">
      <c r="A2511" s="313" t="str">
        <f t="shared" si="39"/>
        <v>DmeChannelCode_chan035X</v>
      </c>
      <c r="B2511" s="330"/>
      <c r="C2511" s="334"/>
      <c r="D2511" s="188" t="s">
        <v>13876</v>
      </c>
      <c r="E2511" s="189" t="s">
        <v>13877</v>
      </c>
      <c r="F2511" s="162" t="s">
        <v>20002</v>
      </c>
      <c r="G2511" s="162" t="s">
        <v>13413</v>
      </c>
      <c r="H2511" s="219"/>
      <c r="I2511" s="169">
        <v>114862</v>
      </c>
      <c r="J2511" s="304" t="str">
        <f>CONCATENATE([2]Cover!$D$6,"fdd/view?i=",I2511)</f>
        <v>https://www.dgiwg.org/FAD/fdd/view?i=114862</v>
      </c>
      <c r="K2511" s="304" t="s">
        <v>36560</v>
      </c>
      <c r="L2511" s="188">
        <v>96</v>
      </c>
      <c r="M2511" s="179" t="s">
        <v>151</v>
      </c>
    </row>
    <row r="2512" spans="1:13" ht="25.5">
      <c r="A2512" s="313" t="str">
        <f t="shared" si="39"/>
        <v>DmeChannelCode_chan035Y</v>
      </c>
      <c r="B2512" s="330"/>
      <c r="C2512" s="334"/>
      <c r="D2512" s="188" t="s">
        <v>13879</v>
      </c>
      <c r="E2512" s="189" t="s">
        <v>13880</v>
      </c>
      <c r="F2512" s="162" t="s">
        <v>20003</v>
      </c>
      <c r="G2512" s="162" t="s">
        <v>13413</v>
      </c>
      <c r="H2512" s="219"/>
      <c r="I2512" s="169">
        <v>114863</v>
      </c>
      <c r="J2512" s="304" t="str">
        <f>CONCATENATE([2]Cover!$D$6,"fdd/view?i=",I2512)</f>
        <v>https://www.dgiwg.org/FAD/fdd/view?i=114863</v>
      </c>
      <c r="K2512" s="304" t="s">
        <v>36561</v>
      </c>
      <c r="L2512" s="188">
        <v>97</v>
      </c>
      <c r="M2512" s="179" t="s">
        <v>151</v>
      </c>
    </row>
    <row r="2513" spans="1:13" ht="25.5">
      <c r="A2513" s="313" t="str">
        <f t="shared" si="39"/>
        <v>DmeChannelCode_chan035Z</v>
      </c>
      <c r="B2513" s="330"/>
      <c r="C2513" s="334"/>
      <c r="D2513" s="188" t="s">
        <v>13882</v>
      </c>
      <c r="E2513" s="189" t="s">
        <v>13883</v>
      </c>
      <c r="F2513" s="162" t="s">
        <v>20004</v>
      </c>
      <c r="G2513" s="162" t="s">
        <v>13413</v>
      </c>
      <c r="H2513" s="219"/>
      <c r="I2513" s="169">
        <v>114864</v>
      </c>
      <c r="J2513" s="304" t="str">
        <f>CONCATENATE([2]Cover!$D$6,"fdd/view?i=",I2513)</f>
        <v>https://www.dgiwg.org/FAD/fdd/view?i=114864</v>
      </c>
      <c r="K2513" s="304" t="s">
        <v>36562</v>
      </c>
      <c r="L2513" s="188">
        <v>98</v>
      </c>
      <c r="M2513" s="179" t="s">
        <v>151</v>
      </c>
    </row>
    <row r="2514" spans="1:13" ht="25.5">
      <c r="A2514" s="313" t="str">
        <f t="shared" si="39"/>
        <v>DmeChannelCode_chan036W</v>
      </c>
      <c r="B2514" s="330"/>
      <c r="C2514" s="334"/>
      <c r="D2514" s="188" t="s">
        <v>13885</v>
      </c>
      <c r="E2514" s="189" t="s">
        <v>13886</v>
      </c>
      <c r="F2514" s="162" t="s">
        <v>20005</v>
      </c>
      <c r="G2514" s="162" t="s">
        <v>13413</v>
      </c>
      <c r="H2514" s="219"/>
      <c r="I2514" s="169">
        <v>114865</v>
      </c>
      <c r="J2514" s="304" t="str">
        <f>CONCATENATE([2]Cover!$D$6,"fdd/view?i=",I2514)</f>
        <v>https://www.dgiwg.org/FAD/fdd/view?i=114865</v>
      </c>
      <c r="K2514" s="304" t="s">
        <v>36563</v>
      </c>
      <c r="L2514" s="188">
        <v>99</v>
      </c>
      <c r="M2514" s="179" t="s">
        <v>151</v>
      </c>
    </row>
    <row r="2515" spans="1:13" ht="25.5">
      <c r="A2515" s="313" t="str">
        <f t="shared" si="39"/>
        <v>DmeChannelCode_chan036X</v>
      </c>
      <c r="B2515" s="330"/>
      <c r="C2515" s="334"/>
      <c r="D2515" s="188" t="s">
        <v>13888</v>
      </c>
      <c r="E2515" s="189" t="s">
        <v>13889</v>
      </c>
      <c r="F2515" s="162" t="s">
        <v>20006</v>
      </c>
      <c r="G2515" s="162" t="s">
        <v>13413</v>
      </c>
      <c r="H2515" s="219"/>
      <c r="I2515" s="169">
        <v>114866</v>
      </c>
      <c r="J2515" s="304" t="str">
        <f>CONCATENATE([2]Cover!$D$6,"fdd/view?i=",I2515)</f>
        <v>https://www.dgiwg.org/FAD/fdd/view?i=114866</v>
      </c>
      <c r="K2515" s="304" t="s">
        <v>36564</v>
      </c>
      <c r="L2515" s="188">
        <v>100</v>
      </c>
      <c r="M2515" s="179" t="s">
        <v>151</v>
      </c>
    </row>
    <row r="2516" spans="1:13" ht="25.5">
      <c r="A2516" s="313" t="str">
        <f t="shared" si="39"/>
        <v>DmeChannelCode_chan036Y</v>
      </c>
      <c r="B2516" s="330"/>
      <c r="C2516" s="334"/>
      <c r="D2516" s="188" t="s">
        <v>13891</v>
      </c>
      <c r="E2516" s="189" t="s">
        <v>13892</v>
      </c>
      <c r="F2516" s="162" t="s">
        <v>20007</v>
      </c>
      <c r="G2516" s="162" t="s">
        <v>13413</v>
      </c>
      <c r="H2516" s="219"/>
      <c r="I2516" s="169">
        <v>114867</v>
      </c>
      <c r="J2516" s="304" t="str">
        <f>CONCATENATE([2]Cover!$D$6,"fdd/view?i=",I2516)</f>
        <v>https://www.dgiwg.org/FAD/fdd/view?i=114867</v>
      </c>
      <c r="K2516" s="304" t="s">
        <v>36565</v>
      </c>
      <c r="L2516" s="188">
        <v>101</v>
      </c>
      <c r="M2516" s="179" t="s">
        <v>151</v>
      </c>
    </row>
    <row r="2517" spans="1:13" ht="25.5">
      <c r="A2517" s="313" t="str">
        <f t="shared" si="39"/>
        <v>DmeChannelCode_chan036Z</v>
      </c>
      <c r="B2517" s="330"/>
      <c r="C2517" s="334"/>
      <c r="D2517" s="188" t="s">
        <v>13894</v>
      </c>
      <c r="E2517" s="189" t="s">
        <v>13895</v>
      </c>
      <c r="F2517" s="162" t="s">
        <v>20008</v>
      </c>
      <c r="G2517" s="162" t="s">
        <v>13413</v>
      </c>
      <c r="H2517" s="219"/>
      <c r="I2517" s="169">
        <v>114868</v>
      </c>
      <c r="J2517" s="304" t="str">
        <f>CONCATENATE([2]Cover!$D$6,"fdd/view?i=",I2517)</f>
        <v>https://www.dgiwg.org/FAD/fdd/view?i=114868</v>
      </c>
      <c r="K2517" s="304" t="s">
        <v>36566</v>
      </c>
      <c r="L2517" s="188">
        <v>102</v>
      </c>
      <c r="M2517" s="179" t="s">
        <v>151</v>
      </c>
    </row>
    <row r="2518" spans="1:13" ht="25.5">
      <c r="A2518" s="313" t="str">
        <f t="shared" si="39"/>
        <v>DmeChannelCode_chan037X</v>
      </c>
      <c r="B2518" s="330"/>
      <c r="C2518" s="334"/>
      <c r="D2518" s="188" t="s">
        <v>13897</v>
      </c>
      <c r="E2518" s="189" t="s">
        <v>13898</v>
      </c>
      <c r="F2518" s="162" t="s">
        <v>20009</v>
      </c>
      <c r="G2518" s="162" t="s">
        <v>13413</v>
      </c>
      <c r="H2518" s="219"/>
      <c r="I2518" s="169">
        <v>114869</v>
      </c>
      <c r="J2518" s="304" t="str">
        <f>CONCATENATE([2]Cover!$D$6,"fdd/view?i=",I2518)</f>
        <v>https://www.dgiwg.org/FAD/fdd/view?i=114869</v>
      </c>
      <c r="K2518" s="304" t="s">
        <v>36567</v>
      </c>
      <c r="L2518" s="188">
        <v>103</v>
      </c>
      <c r="M2518" s="179" t="s">
        <v>151</v>
      </c>
    </row>
    <row r="2519" spans="1:13" ht="25.5">
      <c r="A2519" s="313" t="str">
        <f t="shared" si="39"/>
        <v>DmeChannelCode_chan037Y</v>
      </c>
      <c r="B2519" s="330"/>
      <c r="C2519" s="334"/>
      <c r="D2519" s="188" t="s">
        <v>13900</v>
      </c>
      <c r="E2519" s="189" t="s">
        <v>13901</v>
      </c>
      <c r="F2519" s="162" t="s">
        <v>20010</v>
      </c>
      <c r="G2519" s="162" t="s">
        <v>13413</v>
      </c>
      <c r="H2519" s="219"/>
      <c r="I2519" s="169">
        <v>114870</v>
      </c>
      <c r="J2519" s="304" t="str">
        <f>CONCATENATE([2]Cover!$D$6,"fdd/view?i=",I2519)</f>
        <v>https://www.dgiwg.org/FAD/fdd/view?i=114870</v>
      </c>
      <c r="K2519" s="304" t="s">
        <v>36568</v>
      </c>
      <c r="L2519" s="188">
        <v>104</v>
      </c>
      <c r="M2519" s="179" t="s">
        <v>151</v>
      </c>
    </row>
    <row r="2520" spans="1:13" ht="25.5">
      <c r="A2520" s="313" t="str">
        <f t="shared" si="39"/>
        <v>DmeChannelCode_chan037Z</v>
      </c>
      <c r="B2520" s="330"/>
      <c r="C2520" s="334"/>
      <c r="D2520" s="188" t="s">
        <v>13903</v>
      </c>
      <c r="E2520" s="189" t="s">
        <v>13904</v>
      </c>
      <c r="F2520" s="162" t="s">
        <v>20011</v>
      </c>
      <c r="G2520" s="162" t="s">
        <v>13413</v>
      </c>
      <c r="H2520" s="219"/>
      <c r="I2520" s="169">
        <v>114871</v>
      </c>
      <c r="J2520" s="304" t="str">
        <f>CONCATENATE([2]Cover!$D$6,"fdd/view?i=",I2520)</f>
        <v>https://www.dgiwg.org/FAD/fdd/view?i=114871</v>
      </c>
      <c r="K2520" s="304" t="s">
        <v>36569</v>
      </c>
      <c r="L2520" s="188">
        <v>105</v>
      </c>
      <c r="M2520" s="179" t="s">
        <v>151</v>
      </c>
    </row>
    <row r="2521" spans="1:13" ht="25.5">
      <c r="A2521" s="313" t="str">
        <f t="shared" si="39"/>
        <v>DmeChannelCode_chan038W</v>
      </c>
      <c r="B2521" s="330"/>
      <c r="C2521" s="334"/>
      <c r="D2521" s="188" t="s">
        <v>13906</v>
      </c>
      <c r="E2521" s="189" t="s">
        <v>13907</v>
      </c>
      <c r="F2521" s="162" t="s">
        <v>20012</v>
      </c>
      <c r="G2521" s="162" t="s">
        <v>13413</v>
      </c>
      <c r="H2521" s="219"/>
      <c r="I2521" s="169">
        <v>114872</v>
      </c>
      <c r="J2521" s="304" t="str">
        <f>CONCATENATE([2]Cover!$D$6,"fdd/view?i=",I2521)</f>
        <v>https://www.dgiwg.org/FAD/fdd/view?i=114872</v>
      </c>
      <c r="K2521" s="304" t="s">
        <v>36570</v>
      </c>
      <c r="L2521" s="188">
        <v>106</v>
      </c>
      <c r="M2521" s="179" t="s">
        <v>151</v>
      </c>
    </row>
    <row r="2522" spans="1:13" ht="25.5">
      <c r="A2522" s="313" t="str">
        <f t="shared" si="39"/>
        <v>DmeChannelCode_chan038X</v>
      </c>
      <c r="B2522" s="330"/>
      <c r="C2522" s="334"/>
      <c r="D2522" s="188" t="s">
        <v>13909</v>
      </c>
      <c r="E2522" s="189" t="s">
        <v>13910</v>
      </c>
      <c r="F2522" s="162" t="s">
        <v>20013</v>
      </c>
      <c r="G2522" s="162" t="s">
        <v>13413</v>
      </c>
      <c r="H2522" s="219"/>
      <c r="I2522" s="169">
        <v>114873</v>
      </c>
      <c r="J2522" s="304" t="str">
        <f>CONCATENATE([2]Cover!$D$6,"fdd/view?i=",I2522)</f>
        <v>https://www.dgiwg.org/FAD/fdd/view?i=114873</v>
      </c>
      <c r="K2522" s="304" t="s">
        <v>36571</v>
      </c>
      <c r="L2522" s="188">
        <v>107</v>
      </c>
      <c r="M2522" s="179" t="s">
        <v>151</v>
      </c>
    </row>
    <row r="2523" spans="1:13" ht="25.5">
      <c r="A2523" s="313" t="str">
        <f t="shared" si="39"/>
        <v>DmeChannelCode_chan038Y</v>
      </c>
      <c r="B2523" s="330"/>
      <c r="C2523" s="334"/>
      <c r="D2523" s="188" t="s">
        <v>13912</v>
      </c>
      <c r="E2523" s="189" t="s">
        <v>13913</v>
      </c>
      <c r="F2523" s="162" t="s">
        <v>20014</v>
      </c>
      <c r="G2523" s="162" t="s">
        <v>13413</v>
      </c>
      <c r="H2523" s="219"/>
      <c r="I2523" s="169">
        <v>114874</v>
      </c>
      <c r="J2523" s="304" t="str">
        <f>CONCATENATE([2]Cover!$D$6,"fdd/view?i=",I2523)</f>
        <v>https://www.dgiwg.org/FAD/fdd/view?i=114874</v>
      </c>
      <c r="K2523" s="304" t="s">
        <v>36572</v>
      </c>
      <c r="L2523" s="188">
        <v>108</v>
      </c>
      <c r="M2523" s="179" t="s">
        <v>151</v>
      </c>
    </row>
    <row r="2524" spans="1:13" ht="25.5">
      <c r="A2524" s="313" t="str">
        <f t="shared" si="39"/>
        <v>DmeChannelCode_chan038Z</v>
      </c>
      <c r="B2524" s="330"/>
      <c r="C2524" s="334"/>
      <c r="D2524" s="188" t="s">
        <v>13915</v>
      </c>
      <c r="E2524" s="189" t="s">
        <v>13916</v>
      </c>
      <c r="F2524" s="162" t="s">
        <v>20015</v>
      </c>
      <c r="G2524" s="162" t="s">
        <v>13413</v>
      </c>
      <c r="H2524" s="219"/>
      <c r="I2524" s="169">
        <v>114875</v>
      </c>
      <c r="J2524" s="304" t="str">
        <f>CONCATENATE([2]Cover!$D$6,"fdd/view?i=",I2524)</f>
        <v>https://www.dgiwg.org/FAD/fdd/view?i=114875</v>
      </c>
      <c r="K2524" s="304" t="s">
        <v>36573</v>
      </c>
      <c r="L2524" s="188">
        <v>109</v>
      </c>
      <c r="M2524" s="179" t="s">
        <v>151</v>
      </c>
    </row>
    <row r="2525" spans="1:13" ht="25.5">
      <c r="A2525" s="313" t="str">
        <f t="shared" si="39"/>
        <v>DmeChannelCode_chan039X</v>
      </c>
      <c r="B2525" s="330"/>
      <c r="C2525" s="334"/>
      <c r="D2525" s="188" t="s">
        <v>13918</v>
      </c>
      <c r="E2525" s="189" t="s">
        <v>13919</v>
      </c>
      <c r="F2525" s="162" t="s">
        <v>20016</v>
      </c>
      <c r="G2525" s="162" t="s">
        <v>13413</v>
      </c>
      <c r="H2525" s="219"/>
      <c r="I2525" s="169">
        <v>114876</v>
      </c>
      <c r="J2525" s="304" t="str">
        <f>CONCATENATE([2]Cover!$D$6,"fdd/view?i=",I2525)</f>
        <v>https://www.dgiwg.org/FAD/fdd/view?i=114876</v>
      </c>
      <c r="K2525" s="304" t="s">
        <v>36574</v>
      </c>
      <c r="L2525" s="188">
        <v>110</v>
      </c>
      <c r="M2525" s="179" t="s">
        <v>151</v>
      </c>
    </row>
    <row r="2526" spans="1:13" ht="25.5">
      <c r="A2526" s="313" t="str">
        <f t="shared" si="39"/>
        <v>DmeChannelCode_chan039Y</v>
      </c>
      <c r="B2526" s="330"/>
      <c r="C2526" s="334"/>
      <c r="D2526" s="188" t="s">
        <v>13921</v>
      </c>
      <c r="E2526" s="189" t="s">
        <v>13922</v>
      </c>
      <c r="F2526" s="162" t="s">
        <v>20017</v>
      </c>
      <c r="G2526" s="162" t="s">
        <v>13413</v>
      </c>
      <c r="H2526" s="219"/>
      <c r="I2526" s="169">
        <v>114877</v>
      </c>
      <c r="J2526" s="304" t="str">
        <f>CONCATENATE([2]Cover!$D$6,"fdd/view?i=",I2526)</f>
        <v>https://www.dgiwg.org/FAD/fdd/view?i=114877</v>
      </c>
      <c r="K2526" s="304" t="s">
        <v>36575</v>
      </c>
      <c r="L2526" s="188">
        <v>111</v>
      </c>
      <c r="M2526" s="179" t="s">
        <v>151</v>
      </c>
    </row>
    <row r="2527" spans="1:13" ht="25.5">
      <c r="A2527" s="313" t="str">
        <f t="shared" si="39"/>
        <v>DmeChannelCode_chan039Z</v>
      </c>
      <c r="B2527" s="330"/>
      <c r="C2527" s="334"/>
      <c r="D2527" s="188" t="s">
        <v>13924</v>
      </c>
      <c r="E2527" s="189" t="s">
        <v>13925</v>
      </c>
      <c r="F2527" s="162" t="s">
        <v>20018</v>
      </c>
      <c r="G2527" s="162" t="s">
        <v>13413</v>
      </c>
      <c r="H2527" s="219"/>
      <c r="I2527" s="169">
        <v>114878</v>
      </c>
      <c r="J2527" s="304" t="str">
        <f>CONCATENATE([2]Cover!$D$6,"fdd/view?i=",I2527)</f>
        <v>https://www.dgiwg.org/FAD/fdd/view?i=114878</v>
      </c>
      <c r="K2527" s="304" t="s">
        <v>36576</v>
      </c>
      <c r="L2527" s="188">
        <v>112</v>
      </c>
      <c r="M2527" s="179" t="s">
        <v>151</v>
      </c>
    </row>
    <row r="2528" spans="1:13" ht="25.5">
      <c r="A2528" s="313" t="str">
        <f t="shared" si="39"/>
        <v>DmeChannelCode_chan040W</v>
      </c>
      <c r="B2528" s="330"/>
      <c r="C2528" s="334"/>
      <c r="D2528" s="188" t="s">
        <v>13933</v>
      </c>
      <c r="E2528" s="189" t="s">
        <v>13934</v>
      </c>
      <c r="F2528" s="162" t="s">
        <v>20021</v>
      </c>
      <c r="G2528" s="162" t="s">
        <v>13413</v>
      </c>
      <c r="H2528" s="219"/>
      <c r="I2528" s="169">
        <v>114879</v>
      </c>
      <c r="J2528" s="304" t="str">
        <f>CONCATENATE([2]Cover!$D$6,"fdd/view?i=",I2528)</f>
        <v>https://www.dgiwg.org/FAD/fdd/view?i=114879</v>
      </c>
      <c r="K2528" s="304" t="s">
        <v>36577</v>
      </c>
      <c r="L2528" s="188">
        <v>113</v>
      </c>
      <c r="M2528" s="179" t="s">
        <v>151</v>
      </c>
    </row>
    <row r="2529" spans="1:13" ht="25.5">
      <c r="A2529" s="313" t="str">
        <f t="shared" si="39"/>
        <v>DmeChannelCode_chan040X</v>
      </c>
      <c r="B2529" s="330"/>
      <c r="C2529" s="334"/>
      <c r="D2529" s="188" t="s">
        <v>13936</v>
      </c>
      <c r="E2529" s="189" t="s">
        <v>13937</v>
      </c>
      <c r="F2529" s="162" t="s">
        <v>20022</v>
      </c>
      <c r="G2529" s="162" t="s">
        <v>13413</v>
      </c>
      <c r="H2529" s="219"/>
      <c r="I2529" s="169">
        <v>114880</v>
      </c>
      <c r="J2529" s="304" t="str">
        <f>CONCATENATE([2]Cover!$D$6,"fdd/view?i=",I2529)</f>
        <v>https://www.dgiwg.org/FAD/fdd/view?i=114880</v>
      </c>
      <c r="K2529" s="304" t="s">
        <v>36578</v>
      </c>
      <c r="L2529" s="188">
        <v>114</v>
      </c>
      <c r="M2529" s="179" t="s">
        <v>151</v>
      </c>
    </row>
    <row r="2530" spans="1:13" ht="25.5">
      <c r="A2530" s="313" t="str">
        <f t="shared" si="39"/>
        <v>DmeChannelCode_chan040Y</v>
      </c>
      <c r="B2530" s="330"/>
      <c r="C2530" s="334"/>
      <c r="D2530" s="188" t="s">
        <v>13939</v>
      </c>
      <c r="E2530" s="189" t="s">
        <v>13940</v>
      </c>
      <c r="F2530" s="162" t="s">
        <v>20023</v>
      </c>
      <c r="G2530" s="162" t="s">
        <v>13413</v>
      </c>
      <c r="H2530" s="219"/>
      <c r="I2530" s="169">
        <v>114881</v>
      </c>
      <c r="J2530" s="304" t="str">
        <f>CONCATENATE([2]Cover!$D$6,"fdd/view?i=",I2530)</f>
        <v>https://www.dgiwg.org/FAD/fdd/view?i=114881</v>
      </c>
      <c r="K2530" s="304" t="s">
        <v>36579</v>
      </c>
      <c r="L2530" s="188">
        <v>115</v>
      </c>
      <c r="M2530" s="179" t="s">
        <v>151</v>
      </c>
    </row>
    <row r="2531" spans="1:13" ht="25.5">
      <c r="A2531" s="313" t="str">
        <f t="shared" si="39"/>
        <v>DmeChannelCode_chan040Z</v>
      </c>
      <c r="B2531" s="330"/>
      <c r="C2531" s="334"/>
      <c r="D2531" s="188" t="s">
        <v>13942</v>
      </c>
      <c r="E2531" s="189" t="s">
        <v>13943</v>
      </c>
      <c r="F2531" s="162" t="s">
        <v>20024</v>
      </c>
      <c r="G2531" s="162" t="s">
        <v>13413</v>
      </c>
      <c r="H2531" s="219"/>
      <c r="I2531" s="169">
        <v>114882</v>
      </c>
      <c r="J2531" s="304" t="str">
        <f>CONCATENATE([2]Cover!$D$6,"fdd/view?i=",I2531)</f>
        <v>https://www.dgiwg.org/FAD/fdd/view?i=114882</v>
      </c>
      <c r="K2531" s="304" t="s">
        <v>36580</v>
      </c>
      <c r="L2531" s="188">
        <v>116</v>
      </c>
      <c r="M2531" s="179" t="s">
        <v>151</v>
      </c>
    </row>
    <row r="2532" spans="1:13" ht="25.5">
      <c r="A2532" s="313" t="str">
        <f t="shared" si="39"/>
        <v>DmeChannelCode_chan041X</v>
      </c>
      <c r="B2532" s="330"/>
      <c r="C2532" s="334"/>
      <c r="D2532" s="188" t="s">
        <v>13945</v>
      </c>
      <c r="E2532" s="189" t="s">
        <v>13946</v>
      </c>
      <c r="F2532" s="162" t="s">
        <v>20025</v>
      </c>
      <c r="G2532" s="162" t="s">
        <v>13413</v>
      </c>
      <c r="H2532" s="219"/>
      <c r="I2532" s="169">
        <v>114883</v>
      </c>
      <c r="J2532" s="304" t="str">
        <f>CONCATENATE([2]Cover!$D$6,"fdd/view?i=",I2532)</f>
        <v>https://www.dgiwg.org/FAD/fdd/view?i=114883</v>
      </c>
      <c r="K2532" s="304" t="s">
        <v>36581</v>
      </c>
      <c r="L2532" s="188">
        <v>117</v>
      </c>
      <c r="M2532" s="179" t="s">
        <v>151</v>
      </c>
    </row>
    <row r="2533" spans="1:13" ht="25.5">
      <c r="A2533" s="313" t="str">
        <f t="shared" si="39"/>
        <v>DmeChannelCode_chan041Y</v>
      </c>
      <c r="B2533" s="330"/>
      <c r="C2533" s="334"/>
      <c r="D2533" s="188" t="s">
        <v>13948</v>
      </c>
      <c r="E2533" s="189" t="s">
        <v>13949</v>
      </c>
      <c r="F2533" s="162" t="s">
        <v>20026</v>
      </c>
      <c r="G2533" s="162" t="s">
        <v>13413</v>
      </c>
      <c r="H2533" s="219"/>
      <c r="I2533" s="169">
        <v>114884</v>
      </c>
      <c r="J2533" s="304" t="str">
        <f>CONCATENATE([2]Cover!$D$6,"fdd/view?i=",I2533)</f>
        <v>https://www.dgiwg.org/FAD/fdd/view?i=114884</v>
      </c>
      <c r="K2533" s="304" t="s">
        <v>36582</v>
      </c>
      <c r="L2533" s="188">
        <v>118</v>
      </c>
      <c r="M2533" s="179" t="s">
        <v>151</v>
      </c>
    </row>
    <row r="2534" spans="1:13" ht="25.5">
      <c r="A2534" s="313" t="str">
        <f t="shared" si="39"/>
        <v>DmeChannelCode_chan041Z</v>
      </c>
      <c r="B2534" s="330"/>
      <c r="C2534" s="334"/>
      <c r="D2534" s="188" t="s">
        <v>13951</v>
      </c>
      <c r="E2534" s="189" t="s">
        <v>13952</v>
      </c>
      <c r="F2534" s="162" t="s">
        <v>20027</v>
      </c>
      <c r="G2534" s="162" t="s">
        <v>13413</v>
      </c>
      <c r="H2534" s="219"/>
      <c r="I2534" s="169">
        <v>114885</v>
      </c>
      <c r="J2534" s="304" t="str">
        <f>CONCATENATE([2]Cover!$D$6,"fdd/view?i=",I2534)</f>
        <v>https://www.dgiwg.org/FAD/fdd/view?i=114885</v>
      </c>
      <c r="K2534" s="304" t="s">
        <v>36583</v>
      </c>
      <c r="L2534" s="188">
        <v>119</v>
      </c>
      <c r="M2534" s="179" t="s">
        <v>151</v>
      </c>
    </row>
    <row r="2535" spans="1:13" ht="25.5">
      <c r="A2535" s="313" t="str">
        <f t="shared" si="39"/>
        <v>DmeChannelCode_chan042W</v>
      </c>
      <c r="B2535" s="330"/>
      <c r="C2535" s="334"/>
      <c r="D2535" s="188" t="s">
        <v>13954</v>
      </c>
      <c r="E2535" s="189" t="s">
        <v>13955</v>
      </c>
      <c r="F2535" s="162" t="s">
        <v>20028</v>
      </c>
      <c r="G2535" s="162" t="s">
        <v>13413</v>
      </c>
      <c r="H2535" s="219"/>
      <c r="I2535" s="169">
        <v>114886</v>
      </c>
      <c r="J2535" s="304" t="str">
        <f>CONCATENATE([2]Cover!$D$6,"fdd/view?i=",I2535)</f>
        <v>https://www.dgiwg.org/FAD/fdd/view?i=114886</v>
      </c>
      <c r="K2535" s="304" t="s">
        <v>36584</v>
      </c>
      <c r="L2535" s="188">
        <v>120</v>
      </c>
      <c r="M2535" s="179" t="s">
        <v>151</v>
      </c>
    </row>
    <row r="2536" spans="1:13" ht="25.5">
      <c r="A2536" s="313" t="str">
        <f t="shared" si="39"/>
        <v>DmeChannelCode_chan042X</v>
      </c>
      <c r="B2536" s="330"/>
      <c r="C2536" s="334"/>
      <c r="D2536" s="188" t="s">
        <v>13957</v>
      </c>
      <c r="E2536" s="189" t="s">
        <v>13958</v>
      </c>
      <c r="F2536" s="162" t="s">
        <v>20029</v>
      </c>
      <c r="G2536" s="162" t="s">
        <v>13413</v>
      </c>
      <c r="H2536" s="219"/>
      <c r="I2536" s="169">
        <v>114887</v>
      </c>
      <c r="J2536" s="304" t="str">
        <f>CONCATENATE([2]Cover!$D$6,"fdd/view?i=",I2536)</f>
        <v>https://www.dgiwg.org/FAD/fdd/view?i=114887</v>
      </c>
      <c r="K2536" s="304" t="s">
        <v>36585</v>
      </c>
      <c r="L2536" s="188">
        <v>121</v>
      </c>
      <c r="M2536" s="179" t="s">
        <v>151</v>
      </c>
    </row>
    <row r="2537" spans="1:13" ht="25.5">
      <c r="A2537" s="313" t="str">
        <f t="shared" si="39"/>
        <v>DmeChannelCode_chan042Y</v>
      </c>
      <c r="B2537" s="330"/>
      <c r="C2537" s="334"/>
      <c r="D2537" s="188" t="s">
        <v>13960</v>
      </c>
      <c r="E2537" s="189" t="s">
        <v>13961</v>
      </c>
      <c r="F2537" s="162" t="s">
        <v>20030</v>
      </c>
      <c r="G2537" s="162" t="s">
        <v>13413</v>
      </c>
      <c r="H2537" s="219"/>
      <c r="I2537" s="169">
        <v>114888</v>
      </c>
      <c r="J2537" s="304" t="str">
        <f>CONCATENATE([2]Cover!$D$6,"fdd/view?i=",I2537)</f>
        <v>https://www.dgiwg.org/FAD/fdd/view?i=114888</v>
      </c>
      <c r="K2537" s="304" t="s">
        <v>36586</v>
      </c>
      <c r="L2537" s="188">
        <v>122</v>
      </c>
      <c r="M2537" s="179" t="s">
        <v>151</v>
      </c>
    </row>
    <row r="2538" spans="1:13" ht="25.5">
      <c r="A2538" s="313" t="str">
        <f t="shared" si="39"/>
        <v>DmeChannelCode_chan042Z</v>
      </c>
      <c r="B2538" s="330"/>
      <c r="C2538" s="334"/>
      <c r="D2538" s="188" t="s">
        <v>13963</v>
      </c>
      <c r="E2538" s="189" t="s">
        <v>13964</v>
      </c>
      <c r="F2538" s="162" t="s">
        <v>20031</v>
      </c>
      <c r="G2538" s="162" t="s">
        <v>13413</v>
      </c>
      <c r="H2538" s="219"/>
      <c r="I2538" s="169">
        <v>114889</v>
      </c>
      <c r="J2538" s="304" t="str">
        <f>CONCATENATE([2]Cover!$D$6,"fdd/view?i=",I2538)</f>
        <v>https://www.dgiwg.org/FAD/fdd/view?i=114889</v>
      </c>
      <c r="K2538" s="304" t="s">
        <v>36587</v>
      </c>
      <c r="L2538" s="188">
        <v>123</v>
      </c>
      <c r="M2538" s="179" t="s">
        <v>151</v>
      </c>
    </row>
    <row r="2539" spans="1:13" ht="25.5">
      <c r="A2539" s="313" t="str">
        <f t="shared" si="39"/>
        <v>DmeChannelCode_chan043X</v>
      </c>
      <c r="B2539" s="330"/>
      <c r="C2539" s="334"/>
      <c r="D2539" s="188" t="s">
        <v>13966</v>
      </c>
      <c r="E2539" s="189" t="s">
        <v>13967</v>
      </c>
      <c r="F2539" s="162" t="s">
        <v>20032</v>
      </c>
      <c r="G2539" s="162" t="s">
        <v>13413</v>
      </c>
      <c r="H2539" s="219"/>
      <c r="I2539" s="169">
        <v>114890</v>
      </c>
      <c r="J2539" s="304" t="str">
        <f>CONCATENATE([2]Cover!$D$6,"fdd/view?i=",I2539)</f>
        <v>https://www.dgiwg.org/FAD/fdd/view?i=114890</v>
      </c>
      <c r="K2539" s="304" t="s">
        <v>36588</v>
      </c>
      <c r="L2539" s="188">
        <v>124</v>
      </c>
      <c r="M2539" s="179" t="s">
        <v>151</v>
      </c>
    </row>
    <row r="2540" spans="1:13" ht="25.5">
      <c r="A2540" s="313" t="str">
        <f t="shared" si="39"/>
        <v>DmeChannelCode_chan043Y</v>
      </c>
      <c r="B2540" s="330"/>
      <c r="C2540" s="334"/>
      <c r="D2540" s="188" t="s">
        <v>13969</v>
      </c>
      <c r="E2540" s="189" t="s">
        <v>13970</v>
      </c>
      <c r="F2540" s="162" t="s">
        <v>20033</v>
      </c>
      <c r="G2540" s="162" t="s">
        <v>13413</v>
      </c>
      <c r="H2540" s="219"/>
      <c r="I2540" s="169">
        <v>114891</v>
      </c>
      <c r="J2540" s="304" t="str">
        <f>CONCATENATE([2]Cover!$D$6,"fdd/view?i=",I2540)</f>
        <v>https://www.dgiwg.org/FAD/fdd/view?i=114891</v>
      </c>
      <c r="K2540" s="304" t="s">
        <v>36589</v>
      </c>
      <c r="L2540" s="188">
        <v>125</v>
      </c>
      <c r="M2540" s="179" t="s">
        <v>151</v>
      </c>
    </row>
    <row r="2541" spans="1:13" ht="25.5">
      <c r="A2541" s="313" t="str">
        <f t="shared" si="39"/>
        <v>DmeChannelCode_chan043Z</v>
      </c>
      <c r="B2541" s="330"/>
      <c r="C2541" s="334"/>
      <c r="D2541" s="188" t="s">
        <v>13972</v>
      </c>
      <c r="E2541" s="189" t="s">
        <v>13973</v>
      </c>
      <c r="F2541" s="162" t="s">
        <v>20034</v>
      </c>
      <c r="G2541" s="162" t="s">
        <v>13413</v>
      </c>
      <c r="H2541" s="219"/>
      <c r="I2541" s="169">
        <v>114892</v>
      </c>
      <c r="J2541" s="304" t="str">
        <f>CONCATENATE([2]Cover!$D$6,"fdd/view?i=",I2541)</f>
        <v>https://www.dgiwg.org/FAD/fdd/view?i=114892</v>
      </c>
      <c r="K2541" s="304" t="s">
        <v>36590</v>
      </c>
      <c r="L2541" s="188">
        <v>126</v>
      </c>
      <c r="M2541" s="179" t="s">
        <v>151</v>
      </c>
    </row>
    <row r="2542" spans="1:13" ht="25.5">
      <c r="A2542" s="313" t="str">
        <f t="shared" si="39"/>
        <v>DmeChannelCode_chan044W</v>
      </c>
      <c r="B2542" s="330"/>
      <c r="C2542" s="334"/>
      <c r="D2542" s="188" t="s">
        <v>13975</v>
      </c>
      <c r="E2542" s="189" t="s">
        <v>13976</v>
      </c>
      <c r="F2542" s="162" t="s">
        <v>20035</v>
      </c>
      <c r="G2542" s="162" t="s">
        <v>13413</v>
      </c>
      <c r="H2542" s="219"/>
      <c r="I2542" s="169">
        <v>114893</v>
      </c>
      <c r="J2542" s="304" t="str">
        <f>CONCATENATE([2]Cover!$D$6,"fdd/view?i=",I2542)</f>
        <v>https://www.dgiwg.org/FAD/fdd/view?i=114893</v>
      </c>
      <c r="K2542" s="304" t="s">
        <v>36591</v>
      </c>
      <c r="L2542" s="188">
        <v>127</v>
      </c>
      <c r="M2542" s="179" t="s">
        <v>151</v>
      </c>
    </row>
    <row r="2543" spans="1:13" ht="25.5">
      <c r="A2543" s="313" t="str">
        <f t="shared" si="39"/>
        <v>DmeChannelCode_chan044X</v>
      </c>
      <c r="B2543" s="330"/>
      <c r="C2543" s="334"/>
      <c r="D2543" s="188" t="s">
        <v>13978</v>
      </c>
      <c r="E2543" s="189" t="s">
        <v>13979</v>
      </c>
      <c r="F2543" s="162" t="s">
        <v>20036</v>
      </c>
      <c r="G2543" s="162" t="s">
        <v>13413</v>
      </c>
      <c r="H2543" s="219"/>
      <c r="I2543" s="169">
        <v>114894</v>
      </c>
      <c r="J2543" s="304" t="str">
        <f>CONCATENATE([2]Cover!$D$6,"fdd/view?i=",I2543)</f>
        <v>https://www.dgiwg.org/FAD/fdd/view?i=114894</v>
      </c>
      <c r="K2543" s="304" t="s">
        <v>36592</v>
      </c>
      <c r="L2543" s="188">
        <v>128</v>
      </c>
      <c r="M2543" s="179" t="s">
        <v>151</v>
      </c>
    </row>
    <row r="2544" spans="1:13" ht="25.5">
      <c r="A2544" s="313" t="str">
        <f t="shared" si="39"/>
        <v>DmeChannelCode_chan044Y</v>
      </c>
      <c r="B2544" s="330"/>
      <c r="C2544" s="334"/>
      <c r="D2544" s="188" t="s">
        <v>13981</v>
      </c>
      <c r="E2544" s="189" t="s">
        <v>13982</v>
      </c>
      <c r="F2544" s="162" t="s">
        <v>20037</v>
      </c>
      <c r="G2544" s="162" t="s">
        <v>13413</v>
      </c>
      <c r="H2544" s="219"/>
      <c r="I2544" s="169">
        <v>114895</v>
      </c>
      <c r="J2544" s="304" t="str">
        <f>CONCATENATE([2]Cover!$D$6,"fdd/view?i=",I2544)</f>
        <v>https://www.dgiwg.org/FAD/fdd/view?i=114895</v>
      </c>
      <c r="K2544" s="304" t="s">
        <v>36593</v>
      </c>
      <c r="L2544" s="188">
        <v>129</v>
      </c>
      <c r="M2544" s="179" t="s">
        <v>151</v>
      </c>
    </row>
    <row r="2545" spans="1:13" ht="25.5">
      <c r="A2545" s="313" t="str">
        <f t="shared" si="39"/>
        <v>DmeChannelCode_chan044Z</v>
      </c>
      <c r="B2545" s="330"/>
      <c r="C2545" s="334"/>
      <c r="D2545" s="188" t="s">
        <v>13984</v>
      </c>
      <c r="E2545" s="189" t="s">
        <v>13985</v>
      </c>
      <c r="F2545" s="162" t="s">
        <v>20038</v>
      </c>
      <c r="G2545" s="162" t="s">
        <v>13413</v>
      </c>
      <c r="H2545" s="219"/>
      <c r="I2545" s="169">
        <v>114896</v>
      </c>
      <c r="J2545" s="304" t="str">
        <f>CONCATENATE([2]Cover!$D$6,"fdd/view?i=",I2545)</f>
        <v>https://www.dgiwg.org/FAD/fdd/view?i=114896</v>
      </c>
      <c r="K2545" s="304" t="s">
        <v>36594</v>
      </c>
      <c r="L2545" s="188">
        <v>130</v>
      </c>
      <c r="M2545" s="179" t="s">
        <v>151</v>
      </c>
    </row>
    <row r="2546" spans="1:13" ht="25.5">
      <c r="A2546" s="313" t="str">
        <f t="shared" si="39"/>
        <v>DmeChannelCode_chan045X</v>
      </c>
      <c r="B2546" s="330"/>
      <c r="C2546" s="334"/>
      <c r="D2546" s="188" t="s">
        <v>13987</v>
      </c>
      <c r="E2546" s="189" t="s">
        <v>13988</v>
      </c>
      <c r="F2546" s="162" t="s">
        <v>20039</v>
      </c>
      <c r="G2546" s="162" t="s">
        <v>13413</v>
      </c>
      <c r="H2546" s="219"/>
      <c r="I2546" s="169">
        <v>114897</v>
      </c>
      <c r="J2546" s="304" t="str">
        <f>CONCATENATE([2]Cover!$D$6,"fdd/view?i=",I2546)</f>
        <v>https://www.dgiwg.org/FAD/fdd/view?i=114897</v>
      </c>
      <c r="K2546" s="304" t="s">
        <v>36595</v>
      </c>
      <c r="L2546" s="188">
        <v>131</v>
      </c>
      <c r="M2546" s="179" t="s">
        <v>151</v>
      </c>
    </row>
    <row r="2547" spans="1:13" ht="25.5">
      <c r="A2547" s="313" t="str">
        <f t="shared" si="39"/>
        <v>DmeChannelCode_chan045Y</v>
      </c>
      <c r="B2547" s="330"/>
      <c r="C2547" s="334"/>
      <c r="D2547" s="188" t="s">
        <v>13990</v>
      </c>
      <c r="E2547" s="189" t="s">
        <v>13991</v>
      </c>
      <c r="F2547" s="162" t="s">
        <v>20040</v>
      </c>
      <c r="G2547" s="162" t="s">
        <v>13413</v>
      </c>
      <c r="H2547" s="219"/>
      <c r="I2547" s="169">
        <v>114898</v>
      </c>
      <c r="J2547" s="304" t="str">
        <f>CONCATENATE([2]Cover!$D$6,"fdd/view?i=",I2547)</f>
        <v>https://www.dgiwg.org/FAD/fdd/view?i=114898</v>
      </c>
      <c r="K2547" s="304" t="s">
        <v>36596</v>
      </c>
      <c r="L2547" s="188">
        <v>132</v>
      </c>
      <c r="M2547" s="179" t="s">
        <v>151</v>
      </c>
    </row>
    <row r="2548" spans="1:13" ht="25.5">
      <c r="A2548" s="313" t="str">
        <f t="shared" si="39"/>
        <v>DmeChannelCode_chan045Z</v>
      </c>
      <c r="B2548" s="330"/>
      <c r="C2548" s="334"/>
      <c r="D2548" s="188" t="s">
        <v>13993</v>
      </c>
      <c r="E2548" s="189" t="s">
        <v>13994</v>
      </c>
      <c r="F2548" s="162" t="s">
        <v>20041</v>
      </c>
      <c r="G2548" s="162" t="s">
        <v>13413</v>
      </c>
      <c r="H2548" s="219"/>
      <c r="I2548" s="169">
        <v>114899</v>
      </c>
      <c r="J2548" s="304" t="str">
        <f>CONCATENATE([2]Cover!$D$6,"fdd/view?i=",I2548)</f>
        <v>https://www.dgiwg.org/FAD/fdd/view?i=114899</v>
      </c>
      <c r="K2548" s="304" t="s">
        <v>36597</v>
      </c>
      <c r="L2548" s="188">
        <v>133</v>
      </c>
      <c r="M2548" s="179" t="s">
        <v>151</v>
      </c>
    </row>
    <row r="2549" spans="1:13" ht="25.5">
      <c r="A2549" s="313" t="str">
        <f t="shared" si="39"/>
        <v>DmeChannelCode_chan046W</v>
      </c>
      <c r="B2549" s="330"/>
      <c r="C2549" s="334"/>
      <c r="D2549" s="188" t="s">
        <v>13996</v>
      </c>
      <c r="E2549" s="189" t="s">
        <v>13997</v>
      </c>
      <c r="F2549" s="162" t="s">
        <v>20042</v>
      </c>
      <c r="G2549" s="162" t="s">
        <v>13413</v>
      </c>
      <c r="H2549" s="219"/>
      <c r="I2549" s="169">
        <v>114900</v>
      </c>
      <c r="J2549" s="304" t="str">
        <f>CONCATENATE([2]Cover!$D$6,"fdd/view?i=",I2549)</f>
        <v>https://www.dgiwg.org/FAD/fdd/view?i=114900</v>
      </c>
      <c r="K2549" s="304" t="s">
        <v>36598</v>
      </c>
      <c r="L2549" s="188">
        <v>134</v>
      </c>
      <c r="M2549" s="179" t="s">
        <v>151</v>
      </c>
    </row>
    <row r="2550" spans="1:13" ht="25.5">
      <c r="A2550" s="313" t="str">
        <f t="shared" si="39"/>
        <v>DmeChannelCode_chan046X</v>
      </c>
      <c r="B2550" s="330"/>
      <c r="C2550" s="334"/>
      <c r="D2550" s="188" t="s">
        <v>13999</v>
      </c>
      <c r="E2550" s="189" t="s">
        <v>14000</v>
      </c>
      <c r="F2550" s="162" t="s">
        <v>20043</v>
      </c>
      <c r="G2550" s="162" t="s">
        <v>13413</v>
      </c>
      <c r="H2550" s="219"/>
      <c r="I2550" s="169">
        <v>114901</v>
      </c>
      <c r="J2550" s="304" t="str">
        <f>CONCATENATE([2]Cover!$D$6,"fdd/view?i=",I2550)</f>
        <v>https://www.dgiwg.org/FAD/fdd/view?i=114901</v>
      </c>
      <c r="K2550" s="304" t="s">
        <v>36599</v>
      </c>
      <c r="L2550" s="188">
        <v>135</v>
      </c>
      <c r="M2550" s="179" t="s">
        <v>151</v>
      </c>
    </row>
    <row r="2551" spans="1:13" ht="25.5">
      <c r="A2551" s="313" t="str">
        <f t="shared" si="39"/>
        <v>DmeChannelCode_chan046Y</v>
      </c>
      <c r="B2551" s="330"/>
      <c r="C2551" s="334"/>
      <c r="D2551" s="188" t="s">
        <v>14002</v>
      </c>
      <c r="E2551" s="189" t="s">
        <v>14003</v>
      </c>
      <c r="F2551" s="162" t="s">
        <v>20044</v>
      </c>
      <c r="G2551" s="162" t="s">
        <v>13413</v>
      </c>
      <c r="H2551" s="219"/>
      <c r="I2551" s="169">
        <v>114902</v>
      </c>
      <c r="J2551" s="304" t="str">
        <f>CONCATENATE([2]Cover!$D$6,"fdd/view?i=",I2551)</f>
        <v>https://www.dgiwg.org/FAD/fdd/view?i=114902</v>
      </c>
      <c r="K2551" s="304" t="s">
        <v>36600</v>
      </c>
      <c r="L2551" s="188">
        <v>136</v>
      </c>
      <c r="M2551" s="179" t="s">
        <v>151</v>
      </c>
    </row>
    <row r="2552" spans="1:13" ht="25.5">
      <c r="A2552" s="313" t="str">
        <f t="shared" si="39"/>
        <v>DmeChannelCode_chan046Z</v>
      </c>
      <c r="B2552" s="330"/>
      <c r="C2552" s="334"/>
      <c r="D2552" s="188" t="s">
        <v>14005</v>
      </c>
      <c r="E2552" s="189" t="s">
        <v>14006</v>
      </c>
      <c r="F2552" s="162" t="s">
        <v>20045</v>
      </c>
      <c r="G2552" s="162" t="s">
        <v>13413</v>
      </c>
      <c r="H2552" s="219"/>
      <c r="I2552" s="169">
        <v>114903</v>
      </c>
      <c r="J2552" s="304" t="str">
        <f>CONCATENATE([2]Cover!$D$6,"fdd/view?i=",I2552)</f>
        <v>https://www.dgiwg.org/FAD/fdd/view?i=114903</v>
      </c>
      <c r="K2552" s="304" t="s">
        <v>36601</v>
      </c>
      <c r="L2552" s="188">
        <v>137</v>
      </c>
      <c r="M2552" s="179" t="s">
        <v>151</v>
      </c>
    </row>
    <row r="2553" spans="1:13" ht="25.5">
      <c r="A2553" s="313" t="str">
        <f t="shared" si="39"/>
        <v>DmeChannelCode_chan047X</v>
      </c>
      <c r="B2553" s="330"/>
      <c r="C2553" s="334"/>
      <c r="D2553" s="188" t="s">
        <v>14008</v>
      </c>
      <c r="E2553" s="189" t="s">
        <v>14009</v>
      </c>
      <c r="F2553" s="162" t="s">
        <v>20046</v>
      </c>
      <c r="G2553" s="162" t="s">
        <v>13413</v>
      </c>
      <c r="H2553" s="219"/>
      <c r="I2553" s="169">
        <v>114904</v>
      </c>
      <c r="J2553" s="304" t="str">
        <f>CONCATENATE([2]Cover!$D$6,"fdd/view?i=",I2553)</f>
        <v>https://www.dgiwg.org/FAD/fdd/view?i=114904</v>
      </c>
      <c r="K2553" s="304" t="s">
        <v>36602</v>
      </c>
      <c r="L2553" s="188">
        <v>138</v>
      </c>
      <c r="M2553" s="179" t="s">
        <v>151</v>
      </c>
    </row>
    <row r="2554" spans="1:13" ht="25.5">
      <c r="A2554" s="313" t="str">
        <f t="shared" si="39"/>
        <v>DmeChannelCode_chan047Y</v>
      </c>
      <c r="B2554" s="330"/>
      <c r="C2554" s="334"/>
      <c r="D2554" s="188" t="s">
        <v>14011</v>
      </c>
      <c r="E2554" s="189" t="s">
        <v>14012</v>
      </c>
      <c r="F2554" s="162" t="s">
        <v>20047</v>
      </c>
      <c r="G2554" s="162" t="s">
        <v>13413</v>
      </c>
      <c r="H2554" s="219"/>
      <c r="I2554" s="169">
        <v>114905</v>
      </c>
      <c r="J2554" s="304" t="str">
        <f>CONCATENATE([2]Cover!$D$6,"fdd/view?i=",I2554)</f>
        <v>https://www.dgiwg.org/FAD/fdd/view?i=114905</v>
      </c>
      <c r="K2554" s="304" t="s">
        <v>36603</v>
      </c>
      <c r="L2554" s="188">
        <v>139</v>
      </c>
      <c r="M2554" s="179" t="s">
        <v>151</v>
      </c>
    </row>
    <row r="2555" spans="1:13" ht="25.5">
      <c r="A2555" s="313" t="str">
        <f t="shared" si="39"/>
        <v>DmeChannelCode_chan047Z</v>
      </c>
      <c r="B2555" s="330"/>
      <c r="C2555" s="334"/>
      <c r="D2555" s="188" t="s">
        <v>14014</v>
      </c>
      <c r="E2555" s="189" t="s">
        <v>14015</v>
      </c>
      <c r="F2555" s="162" t="s">
        <v>20048</v>
      </c>
      <c r="G2555" s="162" t="s">
        <v>13413</v>
      </c>
      <c r="H2555" s="219"/>
      <c r="I2555" s="169">
        <v>114906</v>
      </c>
      <c r="J2555" s="304" t="str">
        <f>CONCATENATE([2]Cover!$D$6,"fdd/view?i=",I2555)</f>
        <v>https://www.dgiwg.org/FAD/fdd/view?i=114906</v>
      </c>
      <c r="K2555" s="304" t="s">
        <v>36604</v>
      </c>
      <c r="L2555" s="188">
        <v>140</v>
      </c>
      <c r="M2555" s="179" t="s">
        <v>151</v>
      </c>
    </row>
    <row r="2556" spans="1:13" ht="25.5">
      <c r="A2556" s="313" t="str">
        <f t="shared" si="39"/>
        <v>DmeChannelCode_chan048W</v>
      </c>
      <c r="B2556" s="330"/>
      <c r="C2556" s="334"/>
      <c r="D2556" s="188" t="s">
        <v>14017</v>
      </c>
      <c r="E2556" s="189" t="s">
        <v>14018</v>
      </c>
      <c r="F2556" s="162" t="s">
        <v>20049</v>
      </c>
      <c r="G2556" s="162" t="s">
        <v>13413</v>
      </c>
      <c r="H2556" s="219"/>
      <c r="I2556" s="169">
        <v>114907</v>
      </c>
      <c r="J2556" s="304" t="str">
        <f>CONCATENATE([2]Cover!$D$6,"fdd/view?i=",I2556)</f>
        <v>https://www.dgiwg.org/FAD/fdd/view?i=114907</v>
      </c>
      <c r="K2556" s="304" t="s">
        <v>36605</v>
      </c>
      <c r="L2556" s="188">
        <v>141</v>
      </c>
      <c r="M2556" s="179" t="s">
        <v>151</v>
      </c>
    </row>
    <row r="2557" spans="1:13" ht="25.5">
      <c r="A2557" s="313" t="str">
        <f t="shared" si="39"/>
        <v>DmeChannelCode_chan048X</v>
      </c>
      <c r="B2557" s="330"/>
      <c r="C2557" s="334"/>
      <c r="D2557" s="188" t="s">
        <v>14020</v>
      </c>
      <c r="E2557" s="189" t="s">
        <v>14021</v>
      </c>
      <c r="F2557" s="162" t="s">
        <v>20050</v>
      </c>
      <c r="G2557" s="162" t="s">
        <v>13413</v>
      </c>
      <c r="H2557" s="219"/>
      <c r="I2557" s="169">
        <v>114908</v>
      </c>
      <c r="J2557" s="304" t="str">
        <f>CONCATENATE([2]Cover!$D$6,"fdd/view?i=",I2557)</f>
        <v>https://www.dgiwg.org/FAD/fdd/view?i=114908</v>
      </c>
      <c r="K2557" s="304" t="s">
        <v>36606</v>
      </c>
      <c r="L2557" s="188">
        <v>142</v>
      </c>
      <c r="M2557" s="179" t="s">
        <v>151</v>
      </c>
    </row>
    <row r="2558" spans="1:13" ht="25.5">
      <c r="A2558" s="313" t="str">
        <f t="shared" si="39"/>
        <v>DmeChannelCode_chan048Y</v>
      </c>
      <c r="B2558" s="330"/>
      <c r="C2558" s="334"/>
      <c r="D2558" s="188" t="s">
        <v>14023</v>
      </c>
      <c r="E2558" s="189" t="s">
        <v>14024</v>
      </c>
      <c r="F2558" s="162" t="s">
        <v>20051</v>
      </c>
      <c r="G2558" s="162" t="s">
        <v>13413</v>
      </c>
      <c r="H2558" s="219"/>
      <c r="I2558" s="169">
        <v>114909</v>
      </c>
      <c r="J2558" s="304" t="str">
        <f>CONCATENATE([2]Cover!$D$6,"fdd/view?i=",I2558)</f>
        <v>https://www.dgiwg.org/FAD/fdd/view?i=114909</v>
      </c>
      <c r="K2558" s="304" t="s">
        <v>36607</v>
      </c>
      <c r="L2558" s="188">
        <v>143</v>
      </c>
      <c r="M2558" s="179" t="s">
        <v>151</v>
      </c>
    </row>
    <row r="2559" spans="1:13" ht="25.5">
      <c r="A2559" s="313" t="str">
        <f t="shared" si="39"/>
        <v>DmeChannelCode_chan048Z</v>
      </c>
      <c r="B2559" s="330"/>
      <c r="C2559" s="334"/>
      <c r="D2559" s="188" t="s">
        <v>14026</v>
      </c>
      <c r="E2559" s="189" t="s">
        <v>14027</v>
      </c>
      <c r="F2559" s="162" t="s">
        <v>20052</v>
      </c>
      <c r="G2559" s="162" t="s">
        <v>13413</v>
      </c>
      <c r="H2559" s="219"/>
      <c r="I2559" s="169">
        <v>114910</v>
      </c>
      <c r="J2559" s="304" t="str">
        <f>CONCATENATE([2]Cover!$D$6,"fdd/view?i=",I2559)</f>
        <v>https://www.dgiwg.org/FAD/fdd/view?i=114910</v>
      </c>
      <c r="K2559" s="304" t="s">
        <v>36608</v>
      </c>
      <c r="L2559" s="188">
        <v>144</v>
      </c>
      <c r="M2559" s="179" t="s">
        <v>151</v>
      </c>
    </row>
    <row r="2560" spans="1:13" ht="25.5">
      <c r="A2560" s="313" t="str">
        <f t="shared" si="39"/>
        <v>DmeChannelCode_chan049X</v>
      </c>
      <c r="B2560" s="330"/>
      <c r="C2560" s="334"/>
      <c r="D2560" s="188" t="s">
        <v>14029</v>
      </c>
      <c r="E2560" s="189" t="s">
        <v>14030</v>
      </c>
      <c r="F2560" s="162" t="s">
        <v>20053</v>
      </c>
      <c r="G2560" s="162" t="s">
        <v>13413</v>
      </c>
      <c r="H2560" s="219"/>
      <c r="I2560" s="169">
        <v>114911</v>
      </c>
      <c r="J2560" s="304" t="str">
        <f>CONCATENATE([2]Cover!$D$6,"fdd/view?i=",I2560)</f>
        <v>https://www.dgiwg.org/FAD/fdd/view?i=114911</v>
      </c>
      <c r="K2560" s="304" t="s">
        <v>36609</v>
      </c>
      <c r="L2560" s="188">
        <v>145</v>
      </c>
      <c r="M2560" s="179" t="s">
        <v>151</v>
      </c>
    </row>
    <row r="2561" spans="1:13" ht="25.5">
      <c r="A2561" s="313" t="str">
        <f t="shared" si="39"/>
        <v>DmeChannelCode_chan049Y</v>
      </c>
      <c r="B2561" s="330"/>
      <c r="C2561" s="334"/>
      <c r="D2561" s="188" t="s">
        <v>14032</v>
      </c>
      <c r="E2561" s="189" t="s">
        <v>14033</v>
      </c>
      <c r="F2561" s="162" t="s">
        <v>20054</v>
      </c>
      <c r="G2561" s="162" t="s">
        <v>13413</v>
      </c>
      <c r="H2561" s="219"/>
      <c r="I2561" s="169">
        <v>114912</v>
      </c>
      <c r="J2561" s="304" t="str">
        <f>CONCATENATE([2]Cover!$D$6,"fdd/view?i=",I2561)</f>
        <v>https://www.dgiwg.org/FAD/fdd/view?i=114912</v>
      </c>
      <c r="K2561" s="304" t="s">
        <v>36610</v>
      </c>
      <c r="L2561" s="188">
        <v>146</v>
      </c>
      <c r="M2561" s="179" t="s">
        <v>151</v>
      </c>
    </row>
    <row r="2562" spans="1:13" ht="25.5">
      <c r="A2562" s="313" t="str">
        <f t="shared" si="39"/>
        <v>DmeChannelCode_chan049Z</v>
      </c>
      <c r="B2562" s="330"/>
      <c r="C2562" s="334"/>
      <c r="D2562" s="188" t="s">
        <v>14035</v>
      </c>
      <c r="E2562" s="189" t="s">
        <v>14036</v>
      </c>
      <c r="F2562" s="162" t="s">
        <v>20055</v>
      </c>
      <c r="G2562" s="162" t="s">
        <v>13413</v>
      </c>
      <c r="H2562" s="219"/>
      <c r="I2562" s="169">
        <v>114913</v>
      </c>
      <c r="J2562" s="304" t="str">
        <f>CONCATENATE([2]Cover!$D$6,"fdd/view?i=",I2562)</f>
        <v>https://www.dgiwg.org/FAD/fdd/view?i=114913</v>
      </c>
      <c r="K2562" s="304" t="s">
        <v>36611</v>
      </c>
      <c r="L2562" s="188">
        <v>147</v>
      </c>
      <c r="M2562" s="179" t="s">
        <v>151</v>
      </c>
    </row>
    <row r="2563" spans="1:13" ht="25.5">
      <c r="A2563" s="313" t="str">
        <f t="shared" ref="A2563:A2626" si="40">HYPERLINK(J2563,K2563)</f>
        <v>DmeChannelCode_chan050W</v>
      </c>
      <c r="B2563" s="330"/>
      <c r="C2563" s="334"/>
      <c r="D2563" s="188" t="s">
        <v>14044</v>
      </c>
      <c r="E2563" s="189" t="s">
        <v>14045</v>
      </c>
      <c r="F2563" s="162" t="s">
        <v>20058</v>
      </c>
      <c r="G2563" s="162" t="s">
        <v>13413</v>
      </c>
      <c r="H2563" s="219"/>
      <c r="I2563" s="169">
        <v>114914</v>
      </c>
      <c r="J2563" s="304" t="str">
        <f>CONCATENATE([2]Cover!$D$6,"fdd/view?i=",I2563)</f>
        <v>https://www.dgiwg.org/FAD/fdd/view?i=114914</v>
      </c>
      <c r="K2563" s="304" t="s">
        <v>36612</v>
      </c>
      <c r="L2563" s="188">
        <v>148</v>
      </c>
      <c r="M2563" s="179" t="s">
        <v>151</v>
      </c>
    </row>
    <row r="2564" spans="1:13" ht="25.5">
      <c r="A2564" s="313" t="str">
        <f t="shared" si="40"/>
        <v>DmeChannelCode_chan050X</v>
      </c>
      <c r="B2564" s="330"/>
      <c r="C2564" s="334"/>
      <c r="D2564" s="188" t="s">
        <v>14047</v>
      </c>
      <c r="E2564" s="189" t="s">
        <v>14048</v>
      </c>
      <c r="F2564" s="162" t="s">
        <v>20059</v>
      </c>
      <c r="G2564" s="162" t="s">
        <v>13413</v>
      </c>
      <c r="H2564" s="219"/>
      <c r="I2564" s="169">
        <v>114915</v>
      </c>
      <c r="J2564" s="304" t="str">
        <f>CONCATENATE([2]Cover!$D$6,"fdd/view?i=",I2564)</f>
        <v>https://www.dgiwg.org/FAD/fdd/view?i=114915</v>
      </c>
      <c r="K2564" s="304" t="s">
        <v>36613</v>
      </c>
      <c r="L2564" s="188">
        <v>149</v>
      </c>
      <c r="M2564" s="179" t="s">
        <v>151</v>
      </c>
    </row>
    <row r="2565" spans="1:13" ht="25.5">
      <c r="A2565" s="313" t="str">
        <f t="shared" si="40"/>
        <v>DmeChannelCode_chan050Y</v>
      </c>
      <c r="B2565" s="330"/>
      <c r="C2565" s="334"/>
      <c r="D2565" s="188" t="s">
        <v>14050</v>
      </c>
      <c r="E2565" s="189" t="s">
        <v>14051</v>
      </c>
      <c r="F2565" s="162" t="s">
        <v>20060</v>
      </c>
      <c r="G2565" s="162" t="s">
        <v>13413</v>
      </c>
      <c r="H2565" s="219"/>
      <c r="I2565" s="169">
        <v>114916</v>
      </c>
      <c r="J2565" s="304" t="str">
        <f>CONCATENATE([2]Cover!$D$6,"fdd/view?i=",I2565)</f>
        <v>https://www.dgiwg.org/FAD/fdd/view?i=114916</v>
      </c>
      <c r="K2565" s="304" t="s">
        <v>36614</v>
      </c>
      <c r="L2565" s="188">
        <v>150</v>
      </c>
      <c r="M2565" s="179" t="s">
        <v>151</v>
      </c>
    </row>
    <row r="2566" spans="1:13" ht="25.5">
      <c r="A2566" s="313" t="str">
        <f t="shared" si="40"/>
        <v>DmeChannelCode_chan050Z</v>
      </c>
      <c r="B2566" s="330"/>
      <c r="C2566" s="334"/>
      <c r="D2566" s="188" t="s">
        <v>14053</v>
      </c>
      <c r="E2566" s="189" t="s">
        <v>14054</v>
      </c>
      <c r="F2566" s="162" t="s">
        <v>20061</v>
      </c>
      <c r="G2566" s="162" t="s">
        <v>13413</v>
      </c>
      <c r="H2566" s="219"/>
      <c r="I2566" s="169">
        <v>114917</v>
      </c>
      <c r="J2566" s="304" t="str">
        <f>CONCATENATE([2]Cover!$D$6,"fdd/view?i=",I2566)</f>
        <v>https://www.dgiwg.org/FAD/fdd/view?i=114917</v>
      </c>
      <c r="K2566" s="304" t="s">
        <v>36615</v>
      </c>
      <c r="L2566" s="188">
        <v>151</v>
      </c>
      <c r="M2566" s="179" t="s">
        <v>151</v>
      </c>
    </row>
    <row r="2567" spans="1:13" ht="25.5">
      <c r="A2567" s="313" t="str">
        <f t="shared" si="40"/>
        <v>DmeChannelCode_chan051X</v>
      </c>
      <c r="B2567" s="330"/>
      <c r="C2567" s="334"/>
      <c r="D2567" s="188" t="s">
        <v>14056</v>
      </c>
      <c r="E2567" s="189" t="s">
        <v>14057</v>
      </c>
      <c r="F2567" s="162" t="s">
        <v>20062</v>
      </c>
      <c r="G2567" s="162" t="s">
        <v>13413</v>
      </c>
      <c r="H2567" s="219"/>
      <c r="I2567" s="169">
        <v>114918</v>
      </c>
      <c r="J2567" s="304" t="str">
        <f>CONCATENATE([2]Cover!$D$6,"fdd/view?i=",I2567)</f>
        <v>https://www.dgiwg.org/FAD/fdd/view?i=114918</v>
      </c>
      <c r="K2567" s="304" t="s">
        <v>36616</v>
      </c>
      <c r="L2567" s="188">
        <v>152</v>
      </c>
      <c r="M2567" s="179" t="s">
        <v>151</v>
      </c>
    </row>
    <row r="2568" spans="1:13" ht="25.5">
      <c r="A2568" s="313" t="str">
        <f t="shared" si="40"/>
        <v>DmeChannelCode_chan051Y</v>
      </c>
      <c r="B2568" s="330"/>
      <c r="C2568" s="334"/>
      <c r="D2568" s="188" t="s">
        <v>14059</v>
      </c>
      <c r="E2568" s="189" t="s">
        <v>14060</v>
      </c>
      <c r="F2568" s="162" t="s">
        <v>20063</v>
      </c>
      <c r="G2568" s="162" t="s">
        <v>13413</v>
      </c>
      <c r="H2568" s="219"/>
      <c r="I2568" s="169">
        <v>114919</v>
      </c>
      <c r="J2568" s="304" t="str">
        <f>CONCATENATE([2]Cover!$D$6,"fdd/view?i=",I2568)</f>
        <v>https://www.dgiwg.org/FAD/fdd/view?i=114919</v>
      </c>
      <c r="K2568" s="304" t="s">
        <v>36617</v>
      </c>
      <c r="L2568" s="188">
        <v>153</v>
      </c>
      <c r="M2568" s="179" t="s">
        <v>151</v>
      </c>
    </row>
    <row r="2569" spans="1:13" ht="25.5">
      <c r="A2569" s="313" t="str">
        <f t="shared" si="40"/>
        <v>DmeChannelCode_chan051Z</v>
      </c>
      <c r="B2569" s="330"/>
      <c r="C2569" s="334"/>
      <c r="D2569" s="188" t="s">
        <v>14062</v>
      </c>
      <c r="E2569" s="189" t="s">
        <v>14063</v>
      </c>
      <c r="F2569" s="162" t="s">
        <v>20064</v>
      </c>
      <c r="G2569" s="162" t="s">
        <v>13413</v>
      </c>
      <c r="H2569" s="219"/>
      <c r="I2569" s="169">
        <v>114920</v>
      </c>
      <c r="J2569" s="304" t="str">
        <f>CONCATENATE([2]Cover!$D$6,"fdd/view?i=",I2569)</f>
        <v>https://www.dgiwg.org/FAD/fdd/view?i=114920</v>
      </c>
      <c r="K2569" s="304" t="s">
        <v>36618</v>
      </c>
      <c r="L2569" s="188">
        <v>154</v>
      </c>
      <c r="M2569" s="179" t="s">
        <v>151</v>
      </c>
    </row>
    <row r="2570" spans="1:13" ht="25.5">
      <c r="A2570" s="313" t="str">
        <f t="shared" si="40"/>
        <v>DmeChannelCode_chan052W</v>
      </c>
      <c r="B2570" s="330"/>
      <c r="C2570" s="334"/>
      <c r="D2570" s="188" t="s">
        <v>14065</v>
      </c>
      <c r="E2570" s="189" t="s">
        <v>14066</v>
      </c>
      <c r="F2570" s="162" t="s">
        <v>20065</v>
      </c>
      <c r="G2570" s="162" t="s">
        <v>13413</v>
      </c>
      <c r="H2570" s="219"/>
      <c r="I2570" s="169">
        <v>114921</v>
      </c>
      <c r="J2570" s="304" t="str">
        <f>CONCATENATE([2]Cover!$D$6,"fdd/view?i=",I2570)</f>
        <v>https://www.dgiwg.org/FAD/fdd/view?i=114921</v>
      </c>
      <c r="K2570" s="304" t="s">
        <v>36619</v>
      </c>
      <c r="L2570" s="188">
        <v>155</v>
      </c>
      <c r="M2570" s="179" t="s">
        <v>151</v>
      </c>
    </row>
    <row r="2571" spans="1:13" ht="25.5">
      <c r="A2571" s="313" t="str">
        <f t="shared" si="40"/>
        <v>DmeChannelCode_chan052X</v>
      </c>
      <c r="B2571" s="330"/>
      <c r="C2571" s="334"/>
      <c r="D2571" s="188" t="s">
        <v>14068</v>
      </c>
      <c r="E2571" s="189" t="s">
        <v>14069</v>
      </c>
      <c r="F2571" s="162" t="s">
        <v>20066</v>
      </c>
      <c r="G2571" s="162" t="s">
        <v>13413</v>
      </c>
      <c r="H2571" s="219"/>
      <c r="I2571" s="169">
        <v>114922</v>
      </c>
      <c r="J2571" s="304" t="str">
        <f>CONCATENATE([2]Cover!$D$6,"fdd/view?i=",I2571)</f>
        <v>https://www.dgiwg.org/FAD/fdd/view?i=114922</v>
      </c>
      <c r="K2571" s="304" t="s">
        <v>36620</v>
      </c>
      <c r="L2571" s="188">
        <v>156</v>
      </c>
      <c r="M2571" s="179" t="s">
        <v>151</v>
      </c>
    </row>
    <row r="2572" spans="1:13" ht="25.5">
      <c r="A2572" s="313" t="str">
        <f t="shared" si="40"/>
        <v>DmeChannelCode_chan052Y</v>
      </c>
      <c r="B2572" s="330"/>
      <c r="C2572" s="334"/>
      <c r="D2572" s="188" t="s">
        <v>14071</v>
      </c>
      <c r="E2572" s="189" t="s">
        <v>14072</v>
      </c>
      <c r="F2572" s="162" t="s">
        <v>20067</v>
      </c>
      <c r="G2572" s="162" t="s">
        <v>13413</v>
      </c>
      <c r="H2572" s="219"/>
      <c r="I2572" s="169">
        <v>114923</v>
      </c>
      <c r="J2572" s="304" t="str">
        <f>CONCATENATE([2]Cover!$D$6,"fdd/view?i=",I2572)</f>
        <v>https://www.dgiwg.org/FAD/fdd/view?i=114923</v>
      </c>
      <c r="K2572" s="304" t="s">
        <v>36621</v>
      </c>
      <c r="L2572" s="188">
        <v>157</v>
      </c>
      <c r="M2572" s="179" t="s">
        <v>151</v>
      </c>
    </row>
    <row r="2573" spans="1:13" ht="25.5">
      <c r="A2573" s="313" t="str">
        <f t="shared" si="40"/>
        <v>DmeChannelCode_chan052Z</v>
      </c>
      <c r="B2573" s="330"/>
      <c r="C2573" s="334"/>
      <c r="D2573" s="188" t="s">
        <v>14074</v>
      </c>
      <c r="E2573" s="189" t="s">
        <v>14075</v>
      </c>
      <c r="F2573" s="162" t="s">
        <v>20068</v>
      </c>
      <c r="G2573" s="162" t="s">
        <v>13413</v>
      </c>
      <c r="H2573" s="219"/>
      <c r="I2573" s="169">
        <v>114924</v>
      </c>
      <c r="J2573" s="304" t="str">
        <f>CONCATENATE([2]Cover!$D$6,"fdd/view?i=",I2573)</f>
        <v>https://www.dgiwg.org/FAD/fdd/view?i=114924</v>
      </c>
      <c r="K2573" s="304" t="s">
        <v>36622</v>
      </c>
      <c r="L2573" s="188">
        <v>158</v>
      </c>
      <c r="M2573" s="179" t="s">
        <v>151</v>
      </c>
    </row>
    <row r="2574" spans="1:13" ht="25.5">
      <c r="A2574" s="313" t="str">
        <f t="shared" si="40"/>
        <v>DmeChannelCode_chan053X</v>
      </c>
      <c r="B2574" s="330"/>
      <c r="C2574" s="334"/>
      <c r="D2574" s="188" t="s">
        <v>14077</v>
      </c>
      <c r="E2574" s="189" t="s">
        <v>14078</v>
      </c>
      <c r="F2574" s="162" t="s">
        <v>20069</v>
      </c>
      <c r="G2574" s="162" t="s">
        <v>13413</v>
      </c>
      <c r="H2574" s="219"/>
      <c r="I2574" s="169">
        <v>114925</v>
      </c>
      <c r="J2574" s="304" t="str">
        <f>CONCATENATE([2]Cover!$D$6,"fdd/view?i=",I2574)</f>
        <v>https://www.dgiwg.org/FAD/fdd/view?i=114925</v>
      </c>
      <c r="K2574" s="304" t="s">
        <v>36623</v>
      </c>
      <c r="L2574" s="188">
        <v>159</v>
      </c>
      <c r="M2574" s="179" t="s">
        <v>151</v>
      </c>
    </row>
    <row r="2575" spans="1:13" ht="25.5">
      <c r="A2575" s="313" t="str">
        <f t="shared" si="40"/>
        <v>DmeChannelCode_chan053Y</v>
      </c>
      <c r="B2575" s="330"/>
      <c r="C2575" s="334"/>
      <c r="D2575" s="188" t="s">
        <v>14080</v>
      </c>
      <c r="E2575" s="189" t="s">
        <v>14081</v>
      </c>
      <c r="F2575" s="162" t="s">
        <v>20070</v>
      </c>
      <c r="G2575" s="162" t="s">
        <v>13413</v>
      </c>
      <c r="H2575" s="219"/>
      <c r="I2575" s="169">
        <v>114926</v>
      </c>
      <c r="J2575" s="304" t="str">
        <f>CONCATENATE([2]Cover!$D$6,"fdd/view?i=",I2575)</f>
        <v>https://www.dgiwg.org/FAD/fdd/view?i=114926</v>
      </c>
      <c r="K2575" s="304" t="s">
        <v>36624</v>
      </c>
      <c r="L2575" s="188">
        <v>160</v>
      </c>
      <c r="M2575" s="179" t="s">
        <v>151</v>
      </c>
    </row>
    <row r="2576" spans="1:13" ht="25.5">
      <c r="A2576" s="313" t="str">
        <f t="shared" si="40"/>
        <v>DmeChannelCode_chan053Z</v>
      </c>
      <c r="B2576" s="330"/>
      <c r="C2576" s="334"/>
      <c r="D2576" s="188" t="s">
        <v>14083</v>
      </c>
      <c r="E2576" s="189" t="s">
        <v>14084</v>
      </c>
      <c r="F2576" s="162" t="s">
        <v>20071</v>
      </c>
      <c r="G2576" s="162" t="s">
        <v>13413</v>
      </c>
      <c r="H2576" s="219"/>
      <c r="I2576" s="169">
        <v>114927</v>
      </c>
      <c r="J2576" s="304" t="str">
        <f>CONCATENATE([2]Cover!$D$6,"fdd/view?i=",I2576)</f>
        <v>https://www.dgiwg.org/FAD/fdd/view?i=114927</v>
      </c>
      <c r="K2576" s="304" t="s">
        <v>36625</v>
      </c>
      <c r="L2576" s="188">
        <v>161</v>
      </c>
      <c r="M2576" s="179" t="s">
        <v>151</v>
      </c>
    </row>
    <row r="2577" spans="1:13" ht="25.5">
      <c r="A2577" s="313" t="str">
        <f t="shared" si="40"/>
        <v>DmeChannelCode_chan054W</v>
      </c>
      <c r="B2577" s="330"/>
      <c r="C2577" s="334"/>
      <c r="D2577" s="188" t="s">
        <v>14086</v>
      </c>
      <c r="E2577" s="189" t="s">
        <v>14087</v>
      </c>
      <c r="F2577" s="162" t="s">
        <v>20072</v>
      </c>
      <c r="G2577" s="162" t="s">
        <v>13413</v>
      </c>
      <c r="H2577" s="219"/>
      <c r="I2577" s="169">
        <v>114928</v>
      </c>
      <c r="J2577" s="304" t="str">
        <f>CONCATENATE([2]Cover!$D$6,"fdd/view?i=",I2577)</f>
        <v>https://www.dgiwg.org/FAD/fdd/view?i=114928</v>
      </c>
      <c r="K2577" s="304" t="s">
        <v>36626</v>
      </c>
      <c r="L2577" s="188">
        <v>162</v>
      </c>
      <c r="M2577" s="179" t="s">
        <v>151</v>
      </c>
    </row>
    <row r="2578" spans="1:13" ht="25.5">
      <c r="A2578" s="313" t="str">
        <f t="shared" si="40"/>
        <v>DmeChannelCode_chan054X</v>
      </c>
      <c r="B2578" s="330"/>
      <c r="C2578" s="334"/>
      <c r="D2578" s="188" t="s">
        <v>14089</v>
      </c>
      <c r="E2578" s="189" t="s">
        <v>14090</v>
      </c>
      <c r="F2578" s="162" t="s">
        <v>20073</v>
      </c>
      <c r="G2578" s="162" t="s">
        <v>13413</v>
      </c>
      <c r="H2578" s="219"/>
      <c r="I2578" s="169">
        <v>114929</v>
      </c>
      <c r="J2578" s="304" t="str">
        <f>CONCATENATE([2]Cover!$D$6,"fdd/view?i=",I2578)</f>
        <v>https://www.dgiwg.org/FAD/fdd/view?i=114929</v>
      </c>
      <c r="K2578" s="304" t="s">
        <v>36627</v>
      </c>
      <c r="L2578" s="188">
        <v>163</v>
      </c>
      <c r="M2578" s="179" t="s">
        <v>151</v>
      </c>
    </row>
    <row r="2579" spans="1:13" ht="25.5">
      <c r="A2579" s="313" t="str">
        <f t="shared" si="40"/>
        <v>DmeChannelCode_chan054Y</v>
      </c>
      <c r="B2579" s="330"/>
      <c r="C2579" s="334"/>
      <c r="D2579" s="188" t="s">
        <v>14092</v>
      </c>
      <c r="E2579" s="189" t="s">
        <v>14093</v>
      </c>
      <c r="F2579" s="162" t="s">
        <v>20074</v>
      </c>
      <c r="G2579" s="162" t="s">
        <v>13413</v>
      </c>
      <c r="H2579" s="219"/>
      <c r="I2579" s="169">
        <v>114930</v>
      </c>
      <c r="J2579" s="304" t="str">
        <f>CONCATENATE([2]Cover!$D$6,"fdd/view?i=",I2579)</f>
        <v>https://www.dgiwg.org/FAD/fdd/view?i=114930</v>
      </c>
      <c r="K2579" s="304" t="s">
        <v>36628</v>
      </c>
      <c r="L2579" s="188">
        <v>164</v>
      </c>
      <c r="M2579" s="179" t="s">
        <v>151</v>
      </c>
    </row>
    <row r="2580" spans="1:13" ht="25.5">
      <c r="A2580" s="313" t="str">
        <f t="shared" si="40"/>
        <v>DmeChannelCode_chan054Z</v>
      </c>
      <c r="B2580" s="330"/>
      <c r="C2580" s="334"/>
      <c r="D2580" s="188" t="s">
        <v>14095</v>
      </c>
      <c r="E2580" s="189" t="s">
        <v>14096</v>
      </c>
      <c r="F2580" s="162" t="s">
        <v>20075</v>
      </c>
      <c r="G2580" s="162" t="s">
        <v>13413</v>
      </c>
      <c r="H2580" s="219"/>
      <c r="I2580" s="169">
        <v>114931</v>
      </c>
      <c r="J2580" s="304" t="str">
        <f>CONCATENATE([2]Cover!$D$6,"fdd/view?i=",I2580)</f>
        <v>https://www.dgiwg.org/FAD/fdd/view?i=114931</v>
      </c>
      <c r="K2580" s="304" t="s">
        <v>36629</v>
      </c>
      <c r="L2580" s="188">
        <v>165</v>
      </c>
      <c r="M2580" s="179" t="s">
        <v>151</v>
      </c>
    </row>
    <row r="2581" spans="1:13" ht="25.5">
      <c r="A2581" s="313" t="str">
        <f t="shared" si="40"/>
        <v>DmeChannelCode_chan055X</v>
      </c>
      <c r="B2581" s="330"/>
      <c r="C2581" s="334"/>
      <c r="D2581" s="188" t="s">
        <v>14098</v>
      </c>
      <c r="E2581" s="189" t="s">
        <v>14099</v>
      </c>
      <c r="F2581" s="162" t="s">
        <v>20076</v>
      </c>
      <c r="G2581" s="162" t="s">
        <v>13413</v>
      </c>
      <c r="H2581" s="219"/>
      <c r="I2581" s="169">
        <v>114932</v>
      </c>
      <c r="J2581" s="304" t="str">
        <f>CONCATENATE([2]Cover!$D$6,"fdd/view?i=",I2581)</f>
        <v>https://www.dgiwg.org/FAD/fdd/view?i=114932</v>
      </c>
      <c r="K2581" s="304" t="s">
        <v>36630</v>
      </c>
      <c r="L2581" s="188">
        <v>166</v>
      </c>
      <c r="M2581" s="179" t="s">
        <v>151</v>
      </c>
    </row>
    <row r="2582" spans="1:13" ht="25.5">
      <c r="A2582" s="313" t="str">
        <f t="shared" si="40"/>
        <v>DmeChannelCode_chan055Y</v>
      </c>
      <c r="B2582" s="330"/>
      <c r="C2582" s="334"/>
      <c r="D2582" s="188" t="s">
        <v>14101</v>
      </c>
      <c r="E2582" s="189" t="s">
        <v>14102</v>
      </c>
      <c r="F2582" s="162" t="s">
        <v>20077</v>
      </c>
      <c r="G2582" s="162" t="s">
        <v>13413</v>
      </c>
      <c r="H2582" s="219"/>
      <c r="I2582" s="169">
        <v>114933</v>
      </c>
      <c r="J2582" s="304" t="str">
        <f>CONCATENATE([2]Cover!$D$6,"fdd/view?i=",I2582)</f>
        <v>https://www.dgiwg.org/FAD/fdd/view?i=114933</v>
      </c>
      <c r="K2582" s="304" t="s">
        <v>36631</v>
      </c>
      <c r="L2582" s="188">
        <v>167</v>
      </c>
      <c r="M2582" s="179" t="s">
        <v>151</v>
      </c>
    </row>
    <row r="2583" spans="1:13" ht="25.5">
      <c r="A2583" s="313" t="str">
        <f t="shared" si="40"/>
        <v>DmeChannelCode_chan055Z</v>
      </c>
      <c r="B2583" s="330"/>
      <c r="C2583" s="334"/>
      <c r="D2583" s="188" t="s">
        <v>14104</v>
      </c>
      <c r="E2583" s="189" t="s">
        <v>14105</v>
      </c>
      <c r="F2583" s="162" t="s">
        <v>20078</v>
      </c>
      <c r="G2583" s="162" t="s">
        <v>13413</v>
      </c>
      <c r="H2583" s="219"/>
      <c r="I2583" s="169">
        <v>114934</v>
      </c>
      <c r="J2583" s="304" t="str">
        <f>CONCATENATE([2]Cover!$D$6,"fdd/view?i=",I2583)</f>
        <v>https://www.dgiwg.org/FAD/fdd/view?i=114934</v>
      </c>
      <c r="K2583" s="304" t="s">
        <v>36632</v>
      </c>
      <c r="L2583" s="188">
        <v>168</v>
      </c>
      <c r="M2583" s="179" t="s">
        <v>151</v>
      </c>
    </row>
    <row r="2584" spans="1:13" ht="25.5">
      <c r="A2584" s="313" t="str">
        <f t="shared" si="40"/>
        <v>DmeChannelCode_chan056W</v>
      </c>
      <c r="B2584" s="330"/>
      <c r="C2584" s="334"/>
      <c r="D2584" s="188" t="s">
        <v>14107</v>
      </c>
      <c r="E2584" s="189" t="s">
        <v>14108</v>
      </c>
      <c r="F2584" s="162" t="s">
        <v>20079</v>
      </c>
      <c r="G2584" s="162" t="s">
        <v>13413</v>
      </c>
      <c r="H2584" s="219"/>
      <c r="I2584" s="169">
        <v>114935</v>
      </c>
      <c r="J2584" s="304" t="str">
        <f>CONCATENATE([2]Cover!$D$6,"fdd/view?i=",I2584)</f>
        <v>https://www.dgiwg.org/FAD/fdd/view?i=114935</v>
      </c>
      <c r="K2584" s="304" t="s">
        <v>36633</v>
      </c>
      <c r="L2584" s="188">
        <v>169</v>
      </c>
      <c r="M2584" s="179" t="s">
        <v>151</v>
      </c>
    </row>
    <row r="2585" spans="1:13" ht="25.5">
      <c r="A2585" s="313" t="str">
        <f t="shared" si="40"/>
        <v>DmeChannelCode_chan056X</v>
      </c>
      <c r="B2585" s="330"/>
      <c r="C2585" s="334"/>
      <c r="D2585" s="188" t="s">
        <v>14110</v>
      </c>
      <c r="E2585" s="189" t="s">
        <v>14111</v>
      </c>
      <c r="F2585" s="162" t="s">
        <v>20080</v>
      </c>
      <c r="G2585" s="162" t="s">
        <v>13413</v>
      </c>
      <c r="H2585" s="219"/>
      <c r="I2585" s="169">
        <v>114936</v>
      </c>
      <c r="J2585" s="304" t="str">
        <f>CONCATENATE([2]Cover!$D$6,"fdd/view?i=",I2585)</f>
        <v>https://www.dgiwg.org/FAD/fdd/view?i=114936</v>
      </c>
      <c r="K2585" s="304" t="s">
        <v>36634</v>
      </c>
      <c r="L2585" s="188">
        <v>170</v>
      </c>
      <c r="M2585" s="179" t="s">
        <v>151</v>
      </c>
    </row>
    <row r="2586" spans="1:13" ht="25.5">
      <c r="A2586" s="313" t="str">
        <f t="shared" si="40"/>
        <v>DmeChannelCode_chan056Y</v>
      </c>
      <c r="B2586" s="330"/>
      <c r="C2586" s="334"/>
      <c r="D2586" s="188" t="s">
        <v>14113</v>
      </c>
      <c r="E2586" s="189" t="s">
        <v>14114</v>
      </c>
      <c r="F2586" s="162" t="s">
        <v>20081</v>
      </c>
      <c r="G2586" s="162" t="s">
        <v>13413</v>
      </c>
      <c r="H2586" s="219"/>
      <c r="I2586" s="169">
        <v>114937</v>
      </c>
      <c r="J2586" s="304" t="str">
        <f>CONCATENATE([2]Cover!$D$6,"fdd/view?i=",I2586)</f>
        <v>https://www.dgiwg.org/FAD/fdd/view?i=114937</v>
      </c>
      <c r="K2586" s="304" t="s">
        <v>36635</v>
      </c>
      <c r="L2586" s="188">
        <v>171</v>
      </c>
      <c r="M2586" s="179" t="s">
        <v>151</v>
      </c>
    </row>
    <row r="2587" spans="1:13" ht="25.5">
      <c r="A2587" s="313" t="str">
        <f t="shared" si="40"/>
        <v>DmeChannelCode_chan056Z</v>
      </c>
      <c r="B2587" s="330"/>
      <c r="C2587" s="334"/>
      <c r="D2587" s="188" t="s">
        <v>14116</v>
      </c>
      <c r="E2587" s="189" t="s">
        <v>14117</v>
      </c>
      <c r="F2587" s="162" t="s">
        <v>20082</v>
      </c>
      <c r="G2587" s="162" t="s">
        <v>13413</v>
      </c>
      <c r="H2587" s="219"/>
      <c r="I2587" s="169">
        <v>114938</v>
      </c>
      <c r="J2587" s="304" t="str">
        <f>CONCATENATE([2]Cover!$D$6,"fdd/view?i=",I2587)</f>
        <v>https://www.dgiwg.org/FAD/fdd/view?i=114938</v>
      </c>
      <c r="K2587" s="304" t="s">
        <v>36636</v>
      </c>
      <c r="L2587" s="188">
        <v>172</v>
      </c>
      <c r="M2587" s="179" t="s">
        <v>151</v>
      </c>
    </row>
    <row r="2588" spans="1:13" ht="25.5">
      <c r="A2588" s="313" t="str">
        <f t="shared" si="40"/>
        <v>DmeChannelCode_chan057X</v>
      </c>
      <c r="B2588" s="330"/>
      <c r="C2588" s="334"/>
      <c r="D2588" s="188" t="s">
        <v>14119</v>
      </c>
      <c r="E2588" s="189" t="s">
        <v>14120</v>
      </c>
      <c r="F2588" s="162" t="s">
        <v>20083</v>
      </c>
      <c r="G2588" s="162" t="s">
        <v>13413</v>
      </c>
      <c r="H2588" s="219"/>
      <c r="I2588" s="169">
        <v>114939</v>
      </c>
      <c r="J2588" s="304" t="str">
        <f>CONCATENATE([2]Cover!$D$6,"fdd/view?i=",I2588)</f>
        <v>https://www.dgiwg.org/FAD/fdd/view?i=114939</v>
      </c>
      <c r="K2588" s="304" t="s">
        <v>36637</v>
      </c>
      <c r="L2588" s="188">
        <v>173</v>
      </c>
      <c r="M2588" s="179" t="s">
        <v>151</v>
      </c>
    </row>
    <row r="2589" spans="1:13" ht="25.5">
      <c r="A2589" s="313" t="str">
        <f t="shared" si="40"/>
        <v>DmeChannelCode_chan057Y</v>
      </c>
      <c r="B2589" s="330"/>
      <c r="C2589" s="334"/>
      <c r="D2589" s="188" t="s">
        <v>14122</v>
      </c>
      <c r="E2589" s="189" t="s">
        <v>14123</v>
      </c>
      <c r="F2589" s="162" t="s">
        <v>20084</v>
      </c>
      <c r="G2589" s="162" t="s">
        <v>13413</v>
      </c>
      <c r="H2589" s="219"/>
      <c r="I2589" s="169">
        <v>114940</v>
      </c>
      <c r="J2589" s="304" t="str">
        <f>CONCATENATE([2]Cover!$D$6,"fdd/view?i=",I2589)</f>
        <v>https://www.dgiwg.org/FAD/fdd/view?i=114940</v>
      </c>
      <c r="K2589" s="304" t="s">
        <v>36638</v>
      </c>
      <c r="L2589" s="188">
        <v>174</v>
      </c>
      <c r="M2589" s="179" t="s">
        <v>151</v>
      </c>
    </row>
    <row r="2590" spans="1:13" ht="25.5">
      <c r="A2590" s="313" t="str">
        <f t="shared" si="40"/>
        <v>DmeChannelCode_chan058X</v>
      </c>
      <c r="B2590" s="330"/>
      <c r="C2590" s="334"/>
      <c r="D2590" s="188" t="s">
        <v>14125</v>
      </c>
      <c r="E2590" s="189" t="s">
        <v>14126</v>
      </c>
      <c r="F2590" s="162" t="s">
        <v>20085</v>
      </c>
      <c r="G2590" s="162" t="s">
        <v>13413</v>
      </c>
      <c r="H2590" s="219"/>
      <c r="I2590" s="169">
        <v>114941</v>
      </c>
      <c r="J2590" s="304" t="str">
        <f>CONCATENATE([2]Cover!$D$6,"fdd/view?i=",I2590)</f>
        <v>https://www.dgiwg.org/FAD/fdd/view?i=114941</v>
      </c>
      <c r="K2590" s="304" t="s">
        <v>36639</v>
      </c>
      <c r="L2590" s="188">
        <v>175</v>
      </c>
      <c r="M2590" s="179" t="s">
        <v>151</v>
      </c>
    </row>
    <row r="2591" spans="1:13" ht="25.5">
      <c r="A2591" s="313" t="str">
        <f t="shared" si="40"/>
        <v>DmeChannelCode_chan058Y</v>
      </c>
      <c r="B2591" s="330"/>
      <c r="C2591" s="334"/>
      <c r="D2591" s="188" t="s">
        <v>14128</v>
      </c>
      <c r="E2591" s="189" t="s">
        <v>14129</v>
      </c>
      <c r="F2591" s="162" t="s">
        <v>20086</v>
      </c>
      <c r="G2591" s="162" t="s">
        <v>13413</v>
      </c>
      <c r="H2591" s="219"/>
      <c r="I2591" s="169">
        <v>114942</v>
      </c>
      <c r="J2591" s="304" t="str">
        <f>CONCATENATE([2]Cover!$D$6,"fdd/view?i=",I2591)</f>
        <v>https://www.dgiwg.org/FAD/fdd/view?i=114942</v>
      </c>
      <c r="K2591" s="304" t="s">
        <v>36640</v>
      </c>
      <c r="L2591" s="188">
        <v>176</v>
      </c>
      <c r="M2591" s="179" t="s">
        <v>151</v>
      </c>
    </row>
    <row r="2592" spans="1:13" ht="25.5">
      <c r="A2592" s="313" t="str">
        <f t="shared" si="40"/>
        <v>DmeChannelCode_chan059X</v>
      </c>
      <c r="B2592" s="330"/>
      <c r="C2592" s="334"/>
      <c r="D2592" s="188" t="s">
        <v>14131</v>
      </c>
      <c r="E2592" s="189" t="s">
        <v>14132</v>
      </c>
      <c r="F2592" s="162" t="s">
        <v>20087</v>
      </c>
      <c r="G2592" s="162" t="s">
        <v>13413</v>
      </c>
      <c r="H2592" s="219"/>
      <c r="I2592" s="169">
        <v>114943</v>
      </c>
      <c r="J2592" s="304" t="str">
        <f>CONCATENATE([2]Cover!$D$6,"fdd/view?i=",I2592)</f>
        <v>https://www.dgiwg.org/FAD/fdd/view?i=114943</v>
      </c>
      <c r="K2592" s="304" t="s">
        <v>36641</v>
      </c>
      <c r="L2592" s="188">
        <v>177</v>
      </c>
      <c r="M2592" s="179" t="s">
        <v>151</v>
      </c>
    </row>
    <row r="2593" spans="1:13" ht="25.5">
      <c r="A2593" s="313" t="str">
        <f t="shared" si="40"/>
        <v>DmeChannelCode_chan059Y</v>
      </c>
      <c r="B2593" s="330"/>
      <c r="C2593" s="334"/>
      <c r="D2593" s="188" t="s">
        <v>14134</v>
      </c>
      <c r="E2593" s="189" t="s">
        <v>14135</v>
      </c>
      <c r="F2593" s="162" t="s">
        <v>20088</v>
      </c>
      <c r="G2593" s="162" t="s">
        <v>13413</v>
      </c>
      <c r="H2593" s="219"/>
      <c r="I2593" s="169">
        <v>114944</v>
      </c>
      <c r="J2593" s="304" t="str">
        <f>CONCATENATE([2]Cover!$D$6,"fdd/view?i=",I2593)</f>
        <v>https://www.dgiwg.org/FAD/fdd/view?i=114944</v>
      </c>
      <c r="K2593" s="304" t="s">
        <v>36642</v>
      </c>
      <c r="L2593" s="188">
        <v>178</v>
      </c>
      <c r="M2593" s="179" t="s">
        <v>151</v>
      </c>
    </row>
    <row r="2594" spans="1:13" ht="25.5">
      <c r="A2594" s="313" t="str">
        <f t="shared" si="40"/>
        <v>DmeChannelCode_chan060X</v>
      </c>
      <c r="B2594" s="330"/>
      <c r="C2594" s="334"/>
      <c r="D2594" s="188" t="s">
        <v>14143</v>
      </c>
      <c r="E2594" s="189" t="s">
        <v>14144</v>
      </c>
      <c r="F2594" s="162" t="s">
        <v>20091</v>
      </c>
      <c r="G2594" s="162" t="s">
        <v>13413</v>
      </c>
      <c r="H2594" s="219"/>
      <c r="I2594" s="169">
        <v>114945</v>
      </c>
      <c r="J2594" s="304" t="str">
        <f>CONCATENATE([2]Cover!$D$6,"fdd/view?i=",I2594)</f>
        <v>https://www.dgiwg.org/FAD/fdd/view?i=114945</v>
      </c>
      <c r="K2594" s="304" t="s">
        <v>36643</v>
      </c>
      <c r="L2594" s="188">
        <v>179</v>
      </c>
      <c r="M2594" s="179" t="s">
        <v>151</v>
      </c>
    </row>
    <row r="2595" spans="1:13" ht="25.5">
      <c r="A2595" s="313" t="str">
        <f t="shared" si="40"/>
        <v>DmeChannelCode_chan060Y</v>
      </c>
      <c r="B2595" s="330"/>
      <c r="C2595" s="334"/>
      <c r="D2595" s="188" t="s">
        <v>14146</v>
      </c>
      <c r="E2595" s="189" t="s">
        <v>14147</v>
      </c>
      <c r="F2595" s="162" t="s">
        <v>20092</v>
      </c>
      <c r="G2595" s="162" t="s">
        <v>13413</v>
      </c>
      <c r="H2595" s="219"/>
      <c r="I2595" s="169">
        <v>114946</v>
      </c>
      <c r="J2595" s="304" t="str">
        <f>CONCATENATE([2]Cover!$D$6,"fdd/view?i=",I2595)</f>
        <v>https://www.dgiwg.org/FAD/fdd/view?i=114946</v>
      </c>
      <c r="K2595" s="304" t="s">
        <v>36644</v>
      </c>
      <c r="L2595" s="188">
        <v>180</v>
      </c>
      <c r="M2595" s="179" t="s">
        <v>151</v>
      </c>
    </row>
    <row r="2596" spans="1:13" ht="25.5">
      <c r="A2596" s="313" t="str">
        <f t="shared" si="40"/>
        <v>DmeChannelCode_chan061X</v>
      </c>
      <c r="B2596" s="330"/>
      <c r="C2596" s="334"/>
      <c r="D2596" s="188" t="s">
        <v>14149</v>
      </c>
      <c r="E2596" s="189" t="s">
        <v>14150</v>
      </c>
      <c r="F2596" s="162" t="s">
        <v>20093</v>
      </c>
      <c r="G2596" s="162" t="s">
        <v>13413</v>
      </c>
      <c r="H2596" s="219"/>
      <c r="I2596" s="169">
        <v>114947</v>
      </c>
      <c r="J2596" s="304" t="str">
        <f>CONCATENATE([2]Cover!$D$6,"fdd/view?i=",I2596)</f>
        <v>https://www.dgiwg.org/FAD/fdd/view?i=114947</v>
      </c>
      <c r="K2596" s="304" t="s">
        <v>36645</v>
      </c>
      <c r="L2596" s="188">
        <v>181</v>
      </c>
      <c r="M2596" s="179" t="s">
        <v>151</v>
      </c>
    </row>
    <row r="2597" spans="1:13" ht="25.5">
      <c r="A2597" s="313" t="str">
        <f t="shared" si="40"/>
        <v>DmeChannelCode_chan061Y</v>
      </c>
      <c r="B2597" s="330"/>
      <c r="C2597" s="334"/>
      <c r="D2597" s="188" t="s">
        <v>14152</v>
      </c>
      <c r="E2597" s="189" t="s">
        <v>14153</v>
      </c>
      <c r="F2597" s="162" t="s">
        <v>20094</v>
      </c>
      <c r="G2597" s="162" t="s">
        <v>13413</v>
      </c>
      <c r="H2597" s="219"/>
      <c r="I2597" s="169">
        <v>114948</v>
      </c>
      <c r="J2597" s="304" t="str">
        <f>CONCATENATE([2]Cover!$D$6,"fdd/view?i=",I2597)</f>
        <v>https://www.dgiwg.org/FAD/fdd/view?i=114948</v>
      </c>
      <c r="K2597" s="304" t="s">
        <v>36646</v>
      </c>
      <c r="L2597" s="188">
        <v>182</v>
      </c>
      <c r="M2597" s="179" t="s">
        <v>151</v>
      </c>
    </row>
    <row r="2598" spans="1:13" ht="25.5">
      <c r="A2598" s="313" t="str">
        <f t="shared" si="40"/>
        <v>DmeChannelCode_chan062X</v>
      </c>
      <c r="B2598" s="330"/>
      <c r="C2598" s="334"/>
      <c r="D2598" s="188" t="s">
        <v>14155</v>
      </c>
      <c r="E2598" s="189" t="s">
        <v>14156</v>
      </c>
      <c r="F2598" s="162" t="s">
        <v>20095</v>
      </c>
      <c r="G2598" s="162" t="s">
        <v>13413</v>
      </c>
      <c r="H2598" s="219"/>
      <c r="I2598" s="169">
        <v>114949</v>
      </c>
      <c r="J2598" s="304" t="str">
        <f>CONCATENATE([2]Cover!$D$6,"fdd/view?i=",I2598)</f>
        <v>https://www.dgiwg.org/FAD/fdd/view?i=114949</v>
      </c>
      <c r="K2598" s="304" t="s">
        <v>36647</v>
      </c>
      <c r="L2598" s="188">
        <v>183</v>
      </c>
      <c r="M2598" s="179" t="s">
        <v>151</v>
      </c>
    </row>
    <row r="2599" spans="1:13" ht="25.5">
      <c r="A2599" s="313" t="str">
        <f t="shared" si="40"/>
        <v>DmeChannelCode_chan062Y</v>
      </c>
      <c r="B2599" s="330"/>
      <c r="C2599" s="334"/>
      <c r="D2599" s="188" t="s">
        <v>14158</v>
      </c>
      <c r="E2599" s="189" t="s">
        <v>14159</v>
      </c>
      <c r="F2599" s="162" t="s">
        <v>20096</v>
      </c>
      <c r="G2599" s="162" t="s">
        <v>13413</v>
      </c>
      <c r="H2599" s="219"/>
      <c r="I2599" s="169">
        <v>114950</v>
      </c>
      <c r="J2599" s="304" t="str">
        <f>CONCATENATE([2]Cover!$D$6,"fdd/view?i=",I2599)</f>
        <v>https://www.dgiwg.org/FAD/fdd/view?i=114950</v>
      </c>
      <c r="K2599" s="304" t="s">
        <v>36648</v>
      </c>
      <c r="L2599" s="188">
        <v>184</v>
      </c>
      <c r="M2599" s="179" t="s">
        <v>151</v>
      </c>
    </row>
    <row r="2600" spans="1:13" ht="25.5">
      <c r="A2600" s="313" t="str">
        <f t="shared" si="40"/>
        <v>DmeChannelCode_chan063X</v>
      </c>
      <c r="B2600" s="330"/>
      <c r="C2600" s="334"/>
      <c r="D2600" s="188" t="s">
        <v>14161</v>
      </c>
      <c r="E2600" s="189" t="s">
        <v>14162</v>
      </c>
      <c r="F2600" s="162" t="s">
        <v>20097</v>
      </c>
      <c r="G2600" s="162" t="s">
        <v>13413</v>
      </c>
      <c r="H2600" s="219"/>
      <c r="I2600" s="169">
        <v>114951</v>
      </c>
      <c r="J2600" s="304" t="str">
        <f>CONCATENATE([2]Cover!$D$6,"fdd/view?i=",I2600)</f>
        <v>https://www.dgiwg.org/FAD/fdd/view?i=114951</v>
      </c>
      <c r="K2600" s="304" t="s">
        <v>36649</v>
      </c>
      <c r="L2600" s="188">
        <v>185</v>
      </c>
      <c r="M2600" s="179" t="s">
        <v>151</v>
      </c>
    </row>
    <row r="2601" spans="1:13" ht="25.5">
      <c r="A2601" s="313" t="str">
        <f t="shared" si="40"/>
        <v>DmeChannelCode_chan063Y</v>
      </c>
      <c r="B2601" s="330"/>
      <c r="C2601" s="334"/>
      <c r="D2601" s="188" t="s">
        <v>14164</v>
      </c>
      <c r="E2601" s="189" t="s">
        <v>14165</v>
      </c>
      <c r="F2601" s="162" t="s">
        <v>20098</v>
      </c>
      <c r="G2601" s="162" t="s">
        <v>13413</v>
      </c>
      <c r="H2601" s="219"/>
      <c r="I2601" s="169">
        <v>114952</v>
      </c>
      <c r="J2601" s="304" t="str">
        <f>CONCATENATE([2]Cover!$D$6,"fdd/view?i=",I2601)</f>
        <v>https://www.dgiwg.org/FAD/fdd/view?i=114952</v>
      </c>
      <c r="K2601" s="304" t="s">
        <v>36650</v>
      </c>
      <c r="L2601" s="188">
        <v>186</v>
      </c>
      <c r="M2601" s="179" t="s">
        <v>151</v>
      </c>
    </row>
    <row r="2602" spans="1:13" ht="25.5">
      <c r="A2602" s="313" t="str">
        <f t="shared" si="40"/>
        <v>DmeChannelCode_chan064X</v>
      </c>
      <c r="B2602" s="330"/>
      <c r="C2602" s="334"/>
      <c r="D2602" s="188" t="s">
        <v>14167</v>
      </c>
      <c r="E2602" s="189" t="s">
        <v>14168</v>
      </c>
      <c r="F2602" s="162" t="s">
        <v>20099</v>
      </c>
      <c r="G2602" s="162" t="s">
        <v>13413</v>
      </c>
      <c r="H2602" s="219"/>
      <c r="I2602" s="169">
        <v>114953</v>
      </c>
      <c r="J2602" s="304" t="str">
        <f>CONCATENATE([2]Cover!$D$6,"fdd/view?i=",I2602)</f>
        <v>https://www.dgiwg.org/FAD/fdd/view?i=114953</v>
      </c>
      <c r="K2602" s="304" t="s">
        <v>36651</v>
      </c>
      <c r="L2602" s="188">
        <v>187</v>
      </c>
      <c r="M2602" s="179" t="s">
        <v>151</v>
      </c>
    </row>
    <row r="2603" spans="1:13" ht="25.5">
      <c r="A2603" s="313" t="str">
        <f t="shared" si="40"/>
        <v>DmeChannelCode_chan064Y</v>
      </c>
      <c r="B2603" s="330"/>
      <c r="C2603" s="334"/>
      <c r="D2603" s="188" t="s">
        <v>14170</v>
      </c>
      <c r="E2603" s="189" t="s">
        <v>14171</v>
      </c>
      <c r="F2603" s="162" t="s">
        <v>20100</v>
      </c>
      <c r="G2603" s="162" t="s">
        <v>13413</v>
      </c>
      <c r="H2603" s="219"/>
      <c r="I2603" s="169">
        <v>114954</v>
      </c>
      <c r="J2603" s="304" t="str">
        <f>CONCATENATE([2]Cover!$D$6,"fdd/view?i=",I2603)</f>
        <v>https://www.dgiwg.org/FAD/fdd/view?i=114954</v>
      </c>
      <c r="K2603" s="304" t="s">
        <v>36652</v>
      </c>
      <c r="L2603" s="188">
        <v>188</v>
      </c>
      <c r="M2603" s="179" t="s">
        <v>151</v>
      </c>
    </row>
    <row r="2604" spans="1:13" ht="25.5">
      <c r="A2604" s="313" t="str">
        <f t="shared" si="40"/>
        <v>DmeChannelCode_chan065X</v>
      </c>
      <c r="B2604" s="330"/>
      <c r="C2604" s="334"/>
      <c r="D2604" s="188" t="s">
        <v>14173</v>
      </c>
      <c r="E2604" s="189" t="s">
        <v>14174</v>
      </c>
      <c r="F2604" s="162" t="s">
        <v>20101</v>
      </c>
      <c r="G2604" s="162" t="s">
        <v>13413</v>
      </c>
      <c r="H2604" s="219"/>
      <c r="I2604" s="169">
        <v>114955</v>
      </c>
      <c r="J2604" s="304" t="str">
        <f>CONCATENATE([2]Cover!$D$6,"fdd/view?i=",I2604)</f>
        <v>https://www.dgiwg.org/FAD/fdd/view?i=114955</v>
      </c>
      <c r="K2604" s="304" t="s">
        <v>36653</v>
      </c>
      <c r="L2604" s="188">
        <v>189</v>
      </c>
      <c r="M2604" s="179" t="s">
        <v>151</v>
      </c>
    </row>
    <row r="2605" spans="1:13" ht="25.5">
      <c r="A2605" s="313" t="str">
        <f t="shared" si="40"/>
        <v>DmeChannelCode_chan065Y</v>
      </c>
      <c r="B2605" s="330"/>
      <c r="C2605" s="334"/>
      <c r="D2605" s="188" t="s">
        <v>14176</v>
      </c>
      <c r="E2605" s="189" t="s">
        <v>14177</v>
      </c>
      <c r="F2605" s="162" t="s">
        <v>20102</v>
      </c>
      <c r="G2605" s="162" t="s">
        <v>13413</v>
      </c>
      <c r="H2605" s="219"/>
      <c r="I2605" s="169">
        <v>114956</v>
      </c>
      <c r="J2605" s="304" t="str">
        <f>CONCATENATE([2]Cover!$D$6,"fdd/view?i=",I2605)</f>
        <v>https://www.dgiwg.org/FAD/fdd/view?i=114956</v>
      </c>
      <c r="K2605" s="304" t="s">
        <v>36654</v>
      </c>
      <c r="L2605" s="188">
        <v>190</v>
      </c>
      <c r="M2605" s="179" t="s">
        <v>151</v>
      </c>
    </row>
    <row r="2606" spans="1:13" ht="25.5">
      <c r="A2606" s="313" t="str">
        <f t="shared" si="40"/>
        <v>DmeChannelCode_chan066X</v>
      </c>
      <c r="B2606" s="330"/>
      <c r="C2606" s="334"/>
      <c r="D2606" s="188" t="s">
        <v>14179</v>
      </c>
      <c r="E2606" s="189" t="s">
        <v>14180</v>
      </c>
      <c r="F2606" s="162" t="s">
        <v>20103</v>
      </c>
      <c r="G2606" s="162" t="s">
        <v>13413</v>
      </c>
      <c r="H2606" s="219"/>
      <c r="I2606" s="169">
        <v>114957</v>
      </c>
      <c r="J2606" s="304" t="str">
        <f>CONCATENATE([2]Cover!$D$6,"fdd/view?i=",I2606)</f>
        <v>https://www.dgiwg.org/FAD/fdd/view?i=114957</v>
      </c>
      <c r="K2606" s="304" t="s">
        <v>36655</v>
      </c>
      <c r="L2606" s="188">
        <v>191</v>
      </c>
      <c r="M2606" s="179" t="s">
        <v>151</v>
      </c>
    </row>
    <row r="2607" spans="1:13" ht="25.5">
      <c r="A2607" s="313" t="str">
        <f t="shared" si="40"/>
        <v>DmeChannelCode_chan066Y</v>
      </c>
      <c r="B2607" s="330"/>
      <c r="C2607" s="334"/>
      <c r="D2607" s="188" t="s">
        <v>14182</v>
      </c>
      <c r="E2607" s="189" t="s">
        <v>14183</v>
      </c>
      <c r="F2607" s="162" t="s">
        <v>20104</v>
      </c>
      <c r="G2607" s="162" t="s">
        <v>13413</v>
      </c>
      <c r="H2607" s="219"/>
      <c r="I2607" s="169">
        <v>114958</v>
      </c>
      <c r="J2607" s="304" t="str">
        <f>CONCATENATE([2]Cover!$D$6,"fdd/view?i=",I2607)</f>
        <v>https://www.dgiwg.org/FAD/fdd/view?i=114958</v>
      </c>
      <c r="K2607" s="304" t="s">
        <v>36656</v>
      </c>
      <c r="L2607" s="188">
        <v>192</v>
      </c>
      <c r="M2607" s="179" t="s">
        <v>151</v>
      </c>
    </row>
    <row r="2608" spans="1:13" ht="25.5">
      <c r="A2608" s="313" t="str">
        <f t="shared" si="40"/>
        <v>DmeChannelCode_chan067X</v>
      </c>
      <c r="B2608" s="330"/>
      <c r="C2608" s="334"/>
      <c r="D2608" s="188" t="s">
        <v>14185</v>
      </c>
      <c r="E2608" s="189" t="s">
        <v>14186</v>
      </c>
      <c r="F2608" s="162" t="s">
        <v>20105</v>
      </c>
      <c r="G2608" s="162" t="s">
        <v>13413</v>
      </c>
      <c r="H2608" s="219"/>
      <c r="I2608" s="169">
        <v>114959</v>
      </c>
      <c r="J2608" s="304" t="str">
        <f>CONCATENATE([2]Cover!$D$6,"fdd/view?i=",I2608)</f>
        <v>https://www.dgiwg.org/FAD/fdd/view?i=114959</v>
      </c>
      <c r="K2608" s="304" t="s">
        <v>36657</v>
      </c>
      <c r="L2608" s="188">
        <v>193</v>
      </c>
      <c r="M2608" s="179" t="s">
        <v>151</v>
      </c>
    </row>
    <row r="2609" spans="1:13" ht="25.5">
      <c r="A2609" s="313" t="str">
        <f t="shared" si="40"/>
        <v>DmeChannelCode_chan067Y</v>
      </c>
      <c r="B2609" s="330"/>
      <c r="C2609" s="334"/>
      <c r="D2609" s="188" t="s">
        <v>14188</v>
      </c>
      <c r="E2609" s="189" t="s">
        <v>14189</v>
      </c>
      <c r="F2609" s="162" t="s">
        <v>20106</v>
      </c>
      <c r="G2609" s="162" t="s">
        <v>13413</v>
      </c>
      <c r="H2609" s="219"/>
      <c r="I2609" s="169">
        <v>114960</v>
      </c>
      <c r="J2609" s="304" t="str">
        <f>CONCATENATE([2]Cover!$D$6,"fdd/view?i=",I2609)</f>
        <v>https://www.dgiwg.org/FAD/fdd/view?i=114960</v>
      </c>
      <c r="K2609" s="304" t="s">
        <v>36658</v>
      </c>
      <c r="L2609" s="188">
        <v>194</v>
      </c>
      <c r="M2609" s="179" t="s">
        <v>151</v>
      </c>
    </row>
    <row r="2610" spans="1:13" ht="25.5">
      <c r="A2610" s="313" t="str">
        <f t="shared" si="40"/>
        <v>DmeChannelCode_chan068X</v>
      </c>
      <c r="B2610" s="330"/>
      <c r="C2610" s="334"/>
      <c r="D2610" s="188" t="s">
        <v>14191</v>
      </c>
      <c r="E2610" s="189" t="s">
        <v>14192</v>
      </c>
      <c r="F2610" s="162" t="s">
        <v>20107</v>
      </c>
      <c r="G2610" s="162" t="s">
        <v>13413</v>
      </c>
      <c r="H2610" s="219"/>
      <c r="I2610" s="169">
        <v>114961</v>
      </c>
      <c r="J2610" s="304" t="str">
        <f>CONCATENATE([2]Cover!$D$6,"fdd/view?i=",I2610)</f>
        <v>https://www.dgiwg.org/FAD/fdd/view?i=114961</v>
      </c>
      <c r="K2610" s="304" t="s">
        <v>36659</v>
      </c>
      <c r="L2610" s="188">
        <v>195</v>
      </c>
      <c r="M2610" s="179" t="s">
        <v>151</v>
      </c>
    </row>
    <row r="2611" spans="1:13" ht="25.5">
      <c r="A2611" s="313" t="str">
        <f t="shared" si="40"/>
        <v>DmeChannelCode_chan068Y</v>
      </c>
      <c r="B2611" s="330"/>
      <c r="C2611" s="334"/>
      <c r="D2611" s="188" t="s">
        <v>14194</v>
      </c>
      <c r="E2611" s="189" t="s">
        <v>14195</v>
      </c>
      <c r="F2611" s="162" t="s">
        <v>20108</v>
      </c>
      <c r="G2611" s="162" t="s">
        <v>13413</v>
      </c>
      <c r="H2611" s="219"/>
      <c r="I2611" s="169">
        <v>114962</v>
      </c>
      <c r="J2611" s="304" t="str">
        <f>CONCATENATE([2]Cover!$D$6,"fdd/view?i=",I2611)</f>
        <v>https://www.dgiwg.org/FAD/fdd/view?i=114962</v>
      </c>
      <c r="K2611" s="304" t="s">
        <v>36660</v>
      </c>
      <c r="L2611" s="188">
        <v>196</v>
      </c>
      <c r="M2611" s="179" t="s">
        <v>151</v>
      </c>
    </row>
    <row r="2612" spans="1:13" ht="25.5">
      <c r="A2612" s="313" t="str">
        <f t="shared" si="40"/>
        <v>DmeChannelCode_chan069X</v>
      </c>
      <c r="B2612" s="330"/>
      <c r="C2612" s="334"/>
      <c r="D2612" s="188" t="s">
        <v>14197</v>
      </c>
      <c r="E2612" s="189" t="s">
        <v>14198</v>
      </c>
      <c r="F2612" s="162" t="s">
        <v>20109</v>
      </c>
      <c r="G2612" s="162" t="s">
        <v>13413</v>
      </c>
      <c r="H2612" s="219"/>
      <c r="I2612" s="169">
        <v>114963</v>
      </c>
      <c r="J2612" s="304" t="str">
        <f>CONCATENATE([2]Cover!$D$6,"fdd/view?i=",I2612)</f>
        <v>https://www.dgiwg.org/FAD/fdd/view?i=114963</v>
      </c>
      <c r="K2612" s="304" t="s">
        <v>36661</v>
      </c>
      <c r="L2612" s="188">
        <v>197</v>
      </c>
      <c r="M2612" s="179" t="s">
        <v>151</v>
      </c>
    </row>
    <row r="2613" spans="1:13" ht="25.5">
      <c r="A2613" s="313" t="str">
        <f t="shared" si="40"/>
        <v>DmeChannelCode_chan069Y</v>
      </c>
      <c r="B2613" s="330"/>
      <c r="C2613" s="334"/>
      <c r="D2613" s="188" t="s">
        <v>14200</v>
      </c>
      <c r="E2613" s="189" t="s">
        <v>14201</v>
      </c>
      <c r="F2613" s="162" t="s">
        <v>20110</v>
      </c>
      <c r="G2613" s="162" t="s">
        <v>13413</v>
      </c>
      <c r="H2613" s="219"/>
      <c r="I2613" s="169">
        <v>114964</v>
      </c>
      <c r="J2613" s="304" t="str">
        <f>CONCATENATE([2]Cover!$D$6,"fdd/view?i=",I2613)</f>
        <v>https://www.dgiwg.org/FAD/fdd/view?i=114964</v>
      </c>
      <c r="K2613" s="304" t="s">
        <v>36662</v>
      </c>
      <c r="L2613" s="188">
        <v>198</v>
      </c>
      <c r="M2613" s="179" t="s">
        <v>151</v>
      </c>
    </row>
    <row r="2614" spans="1:13" ht="25.5">
      <c r="A2614" s="313" t="str">
        <f t="shared" si="40"/>
        <v>DmeChannelCode_chan070X</v>
      </c>
      <c r="B2614" s="330"/>
      <c r="C2614" s="334"/>
      <c r="D2614" s="188" t="s">
        <v>14209</v>
      </c>
      <c r="E2614" s="189" t="s">
        <v>14210</v>
      </c>
      <c r="F2614" s="162" t="s">
        <v>20113</v>
      </c>
      <c r="G2614" s="162" t="s">
        <v>13413</v>
      </c>
      <c r="H2614" s="219"/>
      <c r="I2614" s="169">
        <v>114965</v>
      </c>
      <c r="J2614" s="304" t="str">
        <f>CONCATENATE([2]Cover!$D$6,"fdd/view?i=",I2614)</f>
        <v>https://www.dgiwg.org/FAD/fdd/view?i=114965</v>
      </c>
      <c r="K2614" s="304" t="s">
        <v>36663</v>
      </c>
      <c r="L2614" s="188">
        <v>199</v>
      </c>
      <c r="M2614" s="179" t="s">
        <v>151</v>
      </c>
    </row>
    <row r="2615" spans="1:13" ht="25.5">
      <c r="A2615" s="313" t="str">
        <f t="shared" si="40"/>
        <v>DmeChannelCode_chan070Y</v>
      </c>
      <c r="B2615" s="330"/>
      <c r="C2615" s="334"/>
      <c r="D2615" s="188" t="s">
        <v>14212</v>
      </c>
      <c r="E2615" s="189" t="s">
        <v>14213</v>
      </c>
      <c r="F2615" s="162" t="s">
        <v>20114</v>
      </c>
      <c r="G2615" s="162" t="s">
        <v>13413</v>
      </c>
      <c r="H2615" s="219"/>
      <c r="I2615" s="169">
        <v>114966</v>
      </c>
      <c r="J2615" s="304" t="str">
        <f>CONCATENATE([2]Cover!$D$6,"fdd/view?i=",I2615)</f>
        <v>https://www.dgiwg.org/FAD/fdd/view?i=114966</v>
      </c>
      <c r="K2615" s="304" t="s">
        <v>36664</v>
      </c>
      <c r="L2615" s="188">
        <v>200</v>
      </c>
      <c r="M2615" s="179" t="s">
        <v>151</v>
      </c>
    </row>
    <row r="2616" spans="1:13" ht="25.5">
      <c r="A2616" s="313" t="str">
        <f t="shared" si="40"/>
        <v>DmeChannelCode_chan071X</v>
      </c>
      <c r="B2616" s="330"/>
      <c r="C2616" s="334"/>
      <c r="D2616" s="188" t="s">
        <v>14215</v>
      </c>
      <c r="E2616" s="189" t="s">
        <v>14216</v>
      </c>
      <c r="F2616" s="162" t="s">
        <v>20115</v>
      </c>
      <c r="G2616" s="162" t="s">
        <v>13413</v>
      </c>
      <c r="H2616" s="219"/>
      <c r="I2616" s="169">
        <v>114967</v>
      </c>
      <c r="J2616" s="304" t="str">
        <f>CONCATENATE([2]Cover!$D$6,"fdd/view?i=",I2616)</f>
        <v>https://www.dgiwg.org/FAD/fdd/view?i=114967</v>
      </c>
      <c r="K2616" s="304" t="s">
        <v>36665</v>
      </c>
      <c r="L2616" s="188">
        <v>201</v>
      </c>
      <c r="M2616" s="179" t="s">
        <v>151</v>
      </c>
    </row>
    <row r="2617" spans="1:13" ht="25.5">
      <c r="A2617" s="313" t="str">
        <f t="shared" si="40"/>
        <v>DmeChannelCode_chan071Y</v>
      </c>
      <c r="B2617" s="330"/>
      <c r="C2617" s="334"/>
      <c r="D2617" s="188" t="s">
        <v>14218</v>
      </c>
      <c r="E2617" s="189" t="s">
        <v>14219</v>
      </c>
      <c r="F2617" s="162" t="s">
        <v>20116</v>
      </c>
      <c r="G2617" s="162" t="s">
        <v>13413</v>
      </c>
      <c r="H2617" s="219"/>
      <c r="I2617" s="169">
        <v>114968</v>
      </c>
      <c r="J2617" s="304" t="str">
        <f>CONCATENATE([2]Cover!$D$6,"fdd/view?i=",I2617)</f>
        <v>https://www.dgiwg.org/FAD/fdd/view?i=114968</v>
      </c>
      <c r="K2617" s="304" t="s">
        <v>36666</v>
      </c>
      <c r="L2617" s="188">
        <v>202</v>
      </c>
      <c r="M2617" s="179" t="s">
        <v>151</v>
      </c>
    </row>
    <row r="2618" spans="1:13" ht="25.5">
      <c r="A2618" s="313" t="str">
        <f t="shared" si="40"/>
        <v>DmeChannelCode_chan072X</v>
      </c>
      <c r="B2618" s="330"/>
      <c r="C2618" s="334"/>
      <c r="D2618" s="188" t="s">
        <v>14221</v>
      </c>
      <c r="E2618" s="189" t="s">
        <v>14222</v>
      </c>
      <c r="F2618" s="162" t="s">
        <v>20117</v>
      </c>
      <c r="G2618" s="162" t="s">
        <v>13413</v>
      </c>
      <c r="H2618" s="219"/>
      <c r="I2618" s="169">
        <v>114969</v>
      </c>
      <c r="J2618" s="304" t="str">
        <f>CONCATENATE([2]Cover!$D$6,"fdd/view?i=",I2618)</f>
        <v>https://www.dgiwg.org/FAD/fdd/view?i=114969</v>
      </c>
      <c r="K2618" s="304" t="s">
        <v>36667</v>
      </c>
      <c r="L2618" s="188">
        <v>203</v>
      </c>
      <c r="M2618" s="179" t="s">
        <v>151</v>
      </c>
    </row>
    <row r="2619" spans="1:13" ht="25.5">
      <c r="A2619" s="313" t="str">
        <f t="shared" si="40"/>
        <v>DmeChannelCode_chan072Y</v>
      </c>
      <c r="B2619" s="330"/>
      <c r="C2619" s="334"/>
      <c r="D2619" s="188" t="s">
        <v>14224</v>
      </c>
      <c r="E2619" s="189" t="s">
        <v>14225</v>
      </c>
      <c r="F2619" s="162" t="s">
        <v>20118</v>
      </c>
      <c r="G2619" s="162" t="s">
        <v>13413</v>
      </c>
      <c r="H2619" s="219"/>
      <c r="I2619" s="169">
        <v>114970</v>
      </c>
      <c r="J2619" s="304" t="str">
        <f>CONCATENATE([2]Cover!$D$6,"fdd/view?i=",I2619)</f>
        <v>https://www.dgiwg.org/FAD/fdd/view?i=114970</v>
      </c>
      <c r="K2619" s="304" t="s">
        <v>36668</v>
      </c>
      <c r="L2619" s="188">
        <v>204</v>
      </c>
      <c r="M2619" s="179" t="s">
        <v>151</v>
      </c>
    </row>
    <row r="2620" spans="1:13" ht="25.5">
      <c r="A2620" s="313" t="str">
        <f t="shared" si="40"/>
        <v>DmeChannelCode_chan073X</v>
      </c>
      <c r="B2620" s="330"/>
      <c r="C2620" s="334"/>
      <c r="D2620" s="188" t="s">
        <v>14227</v>
      </c>
      <c r="E2620" s="189" t="s">
        <v>14228</v>
      </c>
      <c r="F2620" s="162" t="s">
        <v>20119</v>
      </c>
      <c r="G2620" s="162" t="s">
        <v>13413</v>
      </c>
      <c r="H2620" s="219"/>
      <c r="I2620" s="169">
        <v>114971</v>
      </c>
      <c r="J2620" s="304" t="str">
        <f>CONCATENATE([2]Cover!$D$6,"fdd/view?i=",I2620)</f>
        <v>https://www.dgiwg.org/FAD/fdd/view?i=114971</v>
      </c>
      <c r="K2620" s="304" t="s">
        <v>36669</v>
      </c>
      <c r="L2620" s="188">
        <v>205</v>
      </c>
      <c r="M2620" s="179" t="s">
        <v>151</v>
      </c>
    </row>
    <row r="2621" spans="1:13" ht="25.5">
      <c r="A2621" s="313" t="str">
        <f t="shared" si="40"/>
        <v>DmeChannelCode_chan073Y</v>
      </c>
      <c r="B2621" s="330"/>
      <c r="C2621" s="334"/>
      <c r="D2621" s="188" t="s">
        <v>14230</v>
      </c>
      <c r="E2621" s="189" t="s">
        <v>14231</v>
      </c>
      <c r="F2621" s="162" t="s">
        <v>20120</v>
      </c>
      <c r="G2621" s="162" t="s">
        <v>13413</v>
      </c>
      <c r="H2621" s="219"/>
      <c r="I2621" s="169">
        <v>114972</v>
      </c>
      <c r="J2621" s="304" t="str">
        <f>CONCATENATE([2]Cover!$D$6,"fdd/view?i=",I2621)</f>
        <v>https://www.dgiwg.org/FAD/fdd/view?i=114972</v>
      </c>
      <c r="K2621" s="304" t="s">
        <v>36670</v>
      </c>
      <c r="L2621" s="188">
        <v>206</v>
      </c>
      <c r="M2621" s="179" t="s">
        <v>151</v>
      </c>
    </row>
    <row r="2622" spans="1:13" ht="25.5">
      <c r="A2622" s="313" t="str">
        <f t="shared" si="40"/>
        <v>DmeChannelCode_chan074X</v>
      </c>
      <c r="B2622" s="330"/>
      <c r="C2622" s="334"/>
      <c r="D2622" s="188" t="s">
        <v>14233</v>
      </c>
      <c r="E2622" s="189" t="s">
        <v>14234</v>
      </c>
      <c r="F2622" s="162" t="s">
        <v>20121</v>
      </c>
      <c r="G2622" s="162" t="s">
        <v>13413</v>
      </c>
      <c r="H2622" s="219"/>
      <c r="I2622" s="169">
        <v>114973</v>
      </c>
      <c r="J2622" s="304" t="str">
        <f>CONCATENATE([2]Cover!$D$6,"fdd/view?i=",I2622)</f>
        <v>https://www.dgiwg.org/FAD/fdd/view?i=114973</v>
      </c>
      <c r="K2622" s="304" t="s">
        <v>36671</v>
      </c>
      <c r="L2622" s="188">
        <v>207</v>
      </c>
      <c r="M2622" s="179" t="s">
        <v>151</v>
      </c>
    </row>
    <row r="2623" spans="1:13" ht="25.5">
      <c r="A2623" s="313" t="str">
        <f t="shared" si="40"/>
        <v>DmeChannelCode_chan074Y</v>
      </c>
      <c r="B2623" s="330"/>
      <c r="C2623" s="334"/>
      <c r="D2623" s="188" t="s">
        <v>14236</v>
      </c>
      <c r="E2623" s="189" t="s">
        <v>14237</v>
      </c>
      <c r="F2623" s="162" t="s">
        <v>20122</v>
      </c>
      <c r="G2623" s="162" t="s">
        <v>13413</v>
      </c>
      <c r="H2623" s="219"/>
      <c r="I2623" s="169">
        <v>114974</v>
      </c>
      <c r="J2623" s="304" t="str">
        <f>CONCATENATE([2]Cover!$D$6,"fdd/view?i=",I2623)</f>
        <v>https://www.dgiwg.org/FAD/fdd/view?i=114974</v>
      </c>
      <c r="K2623" s="304" t="s">
        <v>36672</v>
      </c>
      <c r="L2623" s="188">
        <v>208</v>
      </c>
      <c r="M2623" s="179" t="s">
        <v>151</v>
      </c>
    </row>
    <row r="2624" spans="1:13" ht="25.5">
      <c r="A2624" s="313" t="str">
        <f t="shared" si="40"/>
        <v>DmeChannelCode_chan075X</v>
      </c>
      <c r="B2624" s="330"/>
      <c r="C2624" s="334"/>
      <c r="D2624" s="188" t="s">
        <v>14239</v>
      </c>
      <c r="E2624" s="189" t="s">
        <v>14240</v>
      </c>
      <c r="F2624" s="162" t="s">
        <v>20123</v>
      </c>
      <c r="G2624" s="162" t="s">
        <v>13413</v>
      </c>
      <c r="H2624" s="219"/>
      <c r="I2624" s="169">
        <v>114975</v>
      </c>
      <c r="J2624" s="304" t="str">
        <f>CONCATENATE([2]Cover!$D$6,"fdd/view?i=",I2624)</f>
        <v>https://www.dgiwg.org/FAD/fdd/view?i=114975</v>
      </c>
      <c r="K2624" s="304" t="s">
        <v>36673</v>
      </c>
      <c r="L2624" s="188">
        <v>209</v>
      </c>
      <c r="M2624" s="179" t="s">
        <v>151</v>
      </c>
    </row>
    <row r="2625" spans="1:13" ht="25.5">
      <c r="A2625" s="313" t="str">
        <f t="shared" si="40"/>
        <v>DmeChannelCode_chan075Y</v>
      </c>
      <c r="B2625" s="330"/>
      <c r="C2625" s="334"/>
      <c r="D2625" s="188" t="s">
        <v>14242</v>
      </c>
      <c r="E2625" s="189" t="s">
        <v>14243</v>
      </c>
      <c r="F2625" s="162" t="s">
        <v>20124</v>
      </c>
      <c r="G2625" s="162" t="s">
        <v>13413</v>
      </c>
      <c r="H2625" s="219"/>
      <c r="I2625" s="169">
        <v>114976</v>
      </c>
      <c r="J2625" s="304" t="str">
        <f>CONCATENATE([2]Cover!$D$6,"fdd/view?i=",I2625)</f>
        <v>https://www.dgiwg.org/FAD/fdd/view?i=114976</v>
      </c>
      <c r="K2625" s="304" t="s">
        <v>36674</v>
      </c>
      <c r="L2625" s="188">
        <v>210</v>
      </c>
      <c r="M2625" s="179" t="s">
        <v>151</v>
      </c>
    </row>
    <row r="2626" spans="1:13" ht="25.5">
      <c r="A2626" s="313" t="str">
        <f t="shared" si="40"/>
        <v>DmeChannelCode_chan076X</v>
      </c>
      <c r="B2626" s="330"/>
      <c r="C2626" s="334"/>
      <c r="D2626" s="188" t="s">
        <v>14245</v>
      </c>
      <c r="E2626" s="189" t="s">
        <v>14246</v>
      </c>
      <c r="F2626" s="162" t="s">
        <v>20125</v>
      </c>
      <c r="G2626" s="162" t="s">
        <v>13413</v>
      </c>
      <c r="H2626" s="219"/>
      <c r="I2626" s="169">
        <v>114977</v>
      </c>
      <c r="J2626" s="304" t="str">
        <f>CONCATENATE([2]Cover!$D$6,"fdd/view?i=",I2626)</f>
        <v>https://www.dgiwg.org/FAD/fdd/view?i=114977</v>
      </c>
      <c r="K2626" s="304" t="s">
        <v>36675</v>
      </c>
      <c r="L2626" s="188">
        <v>211</v>
      </c>
      <c r="M2626" s="179" t="s">
        <v>151</v>
      </c>
    </row>
    <row r="2627" spans="1:13" ht="25.5">
      <c r="A2627" s="313" t="str">
        <f t="shared" ref="A2627:A2690" si="41">HYPERLINK(J2627,K2627)</f>
        <v>DmeChannelCode_chan076Y</v>
      </c>
      <c r="B2627" s="330"/>
      <c r="C2627" s="334"/>
      <c r="D2627" s="188" t="s">
        <v>14248</v>
      </c>
      <c r="E2627" s="189" t="s">
        <v>14249</v>
      </c>
      <c r="F2627" s="162" t="s">
        <v>20126</v>
      </c>
      <c r="G2627" s="162" t="s">
        <v>13413</v>
      </c>
      <c r="H2627" s="219"/>
      <c r="I2627" s="169">
        <v>114978</v>
      </c>
      <c r="J2627" s="304" t="str">
        <f>CONCATENATE([2]Cover!$D$6,"fdd/view?i=",I2627)</f>
        <v>https://www.dgiwg.org/FAD/fdd/view?i=114978</v>
      </c>
      <c r="K2627" s="304" t="s">
        <v>36676</v>
      </c>
      <c r="L2627" s="188">
        <v>212</v>
      </c>
      <c r="M2627" s="179" t="s">
        <v>151</v>
      </c>
    </row>
    <row r="2628" spans="1:13" ht="25.5">
      <c r="A2628" s="313" t="str">
        <f t="shared" si="41"/>
        <v>DmeChannelCode_chan077X</v>
      </c>
      <c r="B2628" s="330"/>
      <c r="C2628" s="334"/>
      <c r="D2628" s="188" t="s">
        <v>14251</v>
      </c>
      <c r="E2628" s="189" t="s">
        <v>14252</v>
      </c>
      <c r="F2628" s="162" t="s">
        <v>20127</v>
      </c>
      <c r="G2628" s="162" t="s">
        <v>13413</v>
      </c>
      <c r="H2628" s="219"/>
      <c r="I2628" s="169">
        <v>114979</v>
      </c>
      <c r="J2628" s="304" t="str">
        <f>CONCATENATE([2]Cover!$D$6,"fdd/view?i=",I2628)</f>
        <v>https://www.dgiwg.org/FAD/fdd/view?i=114979</v>
      </c>
      <c r="K2628" s="304" t="s">
        <v>36677</v>
      </c>
      <c r="L2628" s="188">
        <v>213</v>
      </c>
      <c r="M2628" s="179" t="s">
        <v>151</v>
      </c>
    </row>
    <row r="2629" spans="1:13" ht="25.5">
      <c r="A2629" s="313" t="str">
        <f t="shared" si="41"/>
        <v>DmeChannelCode_chan077Y</v>
      </c>
      <c r="B2629" s="330"/>
      <c r="C2629" s="334"/>
      <c r="D2629" s="188" t="s">
        <v>14254</v>
      </c>
      <c r="E2629" s="189" t="s">
        <v>14255</v>
      </c>
      <c r="F2629" s="162" t="s">
        <v>20128</v>
      </c>
      <c r="G2629" s="162" t="s">
        <v>13413</v>
      </c>
      <c r="H2629" s="219"/>
      <c r="I2629" s="169">
        <v>114980</v>
      </c>
      <c r="J2629" s="304" t="str">
        <f>CONCATENATE([2]Cover!$D$6,"fdd/view?i=",I2629)</f>
        <v>https://www.dgiwg.org/FAD/fdd/view?i=114980</v>
      </c>
      <c r="K2629" s="304" t="s">
        <v>36678</v>
      </c>
      <c r="L2629" s="188">
        <v>214</v>
      </c>
      <c r="M2629" s="179" t="s">
        <v>151</v>
      </c>
    </row>
    <row r="2630" spans="1:13" ht="25.5">
      <c r="A2630" s="313" t="str">
        <f t="shared" si="41"/>
        <v>DmeChannelCode_chan078X</v>
      </c>
      <c r="B2630" s="330"/>
      <c r="C2630" s="334"/>
      <c r="D2630" s="188" t="s">
        <v>14257</v>
      </c>
      <c r="E2630" s="189" t="s">
        <v>14258</v>
      </c>
      <c r="F2630" s="162" t="s">
        <v>20129</v>
      </c>
      <c r="G2630" s="162" t="s">
        <v>13413</v>
      </c>
      <c r="H2630" s="219"/>
      <c r="I2630" s="169">
        <v>114981</v>
      </c>
      <c r="J2630" s="304" t="str">
        <f>CONCATENATE([2]Cover!$D$6,"fdd/view?i=",I2630)</f>
        <v>https://www.dgiwg.org/FAD/fdd/view?i=114981</v>
      </c>
      <c r="K2630" s="304" t="s">
        <v>36679</v>
      </c>
      <c r="L2630" s="188">
        <v>215</v>
      </c>
      <c r="M2630" s="179" t="s">
        <v>151</v>
      </c>
    </row>
    <row r="2631" spans="1:13" ht="25.5">
      <c r="A2631" s="313" t="str">
        <f t="shared" si="41"/>
        <v>DmeChannelCode_chan078Y</v>
      </c>
      <c r="B2631" s="330"/>
      <c r="C2631" s="334"/>
      <c r="D2631" s="188" t="s">
        <v>14260</v>
      </c>
      <c r="E2631" s="189" t="s">
        <v>14261</v>
      </c>
      <c r="F2631" s="162" t="s">
        <v>20130</v>
      </c>
      <c r="G2631" s="162" t="s">
        <v>13413</v>
      </c>
      <c r="H2631" s="219"/>
      <c r="I2631" s="169">
        <v>114982</v>
      </c>
      <c r="J2631" s="304" t="str">
        <f>CONCATENATE([2]Cover!$D$6,"fdd/view?i=",I2631)</f>
        <v>https://www.dgiwg.org/FAD/fdd/view?i=114982</v>
      </c>
      <c r="K2631" s="304" t="s">
        <v>36680</v>
      </c>
      <c r="L2631" s="188">
        <v>216</v>
      </c>
      <c r="M2631" s="179" t="s">
        <v>151</v>
      </c>
    </row>
    <row r="2632" spans="1:13" ht="25.5">
      <c r="A2632" s="313" t="str">
        <f t="shared" si="41"/>
        <v>DmeChannelCode_chan079X</v>
      </c>
      <c r="B2632" s="330"/>
      <c r="C2632" s="334"/>
      <c r="D2632" s="188" t="s">
        <v>14263</v>
      </c>
      <c r="E2632" s="189" t="s">
        <v>14264</v>
      </c>
      <c r="F2632" s="162" t="s">
        <v>20131</v>
      </c>
      <c r="G2632" s="162" t="s">
        <v>13413</v>
      </c>
      <c r="H2632" s="219"/>
      <c r="I2632" s="169">
        <v>114983</v>
      </c>
      <c r="J2632" s="304" t="str">
        <f>CONCATENATE([2]Cover!$D$6,"fdd/view?i=",I2632)</f>
        <v>https://www.dgiwg.org/FAD/fdd/view?i=114983</v>
      </c>
      <c r="K2632" s="304" t="s">
        <v>36681</v>
      </c>
      <c r="L2632" s="188">
        <v>217</v>
      </c>
      <c r="M2632" s="179" t="s">
        <v>151</v>
      </c>
    </row>
    <row r="2633" spans="1:13" ht="25.5">
      <c r="A2633" s="313" t="str">
        <f t="shared" si="41"/>
        <v>DmeChannelCode_chan079Y</v>
      </c>
      <c r="B2633" s="330"/>
      <c r="C2633" s="334"/>
      <c r="D2633" s="188" t="s">
        <v>14266</v>
      </c>
      <c r="E2633" s="189" t="s">
        <v>14267</v>
      </c>
      <c r="F2633" s="162" t="s">
        <v>20132</v>
      </c>
      <c r="G2633" s="162" t="s">
        <v>13413</v>
      </c>
      <c r="H2633" s="219"/>
      <c r="I2633" s="169">
        <v>114984</v>
      </c>
      <c r="J2633" s="304" t="str">
        <f>CONCATENATE([2]Cover!$D$6,"fdd/view?i=",I2633)</f>
        <v>https://www.dgiwg.org/FAD/fdd/view?i=114984</v>
      </c>
      <c r="K2633" s="304" t="s">
        <v>36682</v>
      </c>
      <c r="L2633" s="188">
        <v>218</v>
      </c>
      <c r="M2633" s="179" t="s">
        <v>151</v>
      </c>
    </row>
    <row r="2634" spans="1:13" ht="25.5">
      <c r="A2634" s="313" t="str">
        <f t="shared" si="41"/>
        <v>DmeChannelCode_chan080X</v>
      </c>
      <c r="B2634" s="330"/>
      <c r="C2634" s="334"/>
      <c r="D2634" s="188" t="s">
        <v>14275</v>
      </c>
      <c r="E2634" s="189" t="s">
        <v>14276</v>
      </c>
      <c r="F2634" s="162" t="s">
        <v>20135</v>
      </c>
      <c r="G2634" s="162" t="s">
        <v>13413</v>
      </c>
      <c r="H2634" s="219"/>
      <c r="I2634" s="169">
        <v>114985</v>
      </c>
      <c r="J2634" s="304" t="str">
        <f>CONCATENATE([2]Cover!$D$6,"fdd/view?i=",I2634)</f>
        <v>https://www.dgiwg.org/FAD/fdd/view?i=114985</v>
      </c>
      <c r="K2634" s="304" t="s">
        <v>36683</v>
      </c>
      <c r="L2634" s="188">
        <v>219</v>
      </c>
      <c r="M2634" s="179" t="s">
        <v>151</v>
      </c>
    </row>
    <row r="2635" spans="1:13" ht="25.5">
      <c r="A2635" s="313" t="str">
        <f t="shared" si="41"/>
        <v>DmeChannelCode_chan080Y</v>
      </c>
      <c r="B2635" s="330"/>
      <c r="C2635" s="334"/>
      <c r="D2635" s="188" t="s">
        <v>14278</v>
      </c>
      <c r="E2635" s="189" t="s">
        <v>14279</v>
      </c>
      <c r="F2635" s="162" t="s">
        <v>20136</v>
      </c>
      <c r="G2635" s="162" t="s">
        <v>13413</v>
      </c>
      <c r="H2635" s="219"/>
      <c r="I2635" s="169">
        <v>114986</v>
      </c>
      <c r="J2635" s="304" t="str">
        <f>CONCATENATE([2]Cover!$D$6,"fdd/view?i=",I2635)</f>
        <v>https://www.dgiwg.org/FAD/fdd/view?i=114986</v>
      </c>
      <c r="K2635" s="304" t="s">
        <v>36684</v>
      </c>
      <c r="L2635" s="188">
        <v>220</v>
      </c>
      <c r="M2635" s="179" t="s">
        <v>151</v>
      </c>
    </row>
    <row r="2636" spans="1:13" ht="25.5">
      <c r="A2636" s="313" t="str">
        <f t="shared" si="41"/>
        <v>DmeChannelCode_chan080Z</v>
      </c>
      <c r="B2636" s="330"/>
      <c r="C2636" s="334"/>
      <c r="D2636" s="188" t="s">
        <v>14281</v>
      </c>
      <c r="E2636" s="189" t="s">
        <v>14282</v>
      </c>
      <c r="F2636" s="162" t="s">
        <v>20137</v>
      </c>
      <c r="G2636" s="162" t="s">
        <v>13413</v>
      </c>
      <c r="H2636" s="219"/>
      <c r="I2636" s="169">
        <v>114987</v>
      </c>
      <c r="J2636" s="304" t="str">
        <f>CONCATENATE([2]Cover!$D$6,"fdd/view?i=",I2636)</f>
        <v>https://www.dgiwg.org/FAD/fdd/view?i=114987</v>
      </c>
      <c r="K2636" s="304" t="s">
        <v>36685</v>
      </c>
      <c r="L2636" s="188">
        <v>221</v>
      </c>
      <c r="M2636" s="179" t="s">
        <v>151</v>
      </c>
    </row>
    <row r="2637" spans="1:13" ht="25.5">
      <c r="A2637" s="313" t="str">
        <f t="shared" si="41"/>
        <v>DmeChannelCode_chan081X</v>
      </c>
      <c r="B2637" s="330"/>
      <c r="C2637" s="334"/>
      <c r="D2637" s="188" t="s">
        <v>14284</v>
      </c>
      <c r="E2637" s="189" t="s">
        <v>14285</v>
      </c>
      <c r="F2637" s="162" t="s">
        <v>20138</v>
      </c>
      <c r="G2637" s="162" t="s">
        <v>13413</v>
      </c>
      <c r="H2637" s="219"/>
      <c r="I2637" s="169">
        <v>114988</v>
      </c>
      <c r="J2637" s="304" t="str">
        <f>CONCATENATE([2]Cover!$D$6,"fdd/view?i=",I2637)</f>
        <v>https://www.dgiwg.org/FAD/fdd/view?i=114988</v>
      </c>
      <c r="K2637" s="304" t="s">
        <v>36686</v>
      </c>
      <c r="L2637" s="188">
        <v>222</v>
      </c>
      <c r="M2637" s="179" t="s">
        <v>151</v>
      </c>
    </row>
    <row r="2638" spans="1:13" ht="25.5">
      <c r="A2638" s="313" t="str">
        <f t="shared" si="41"/>
        <v>DmeChannelCode_chan081Y</v>
      </c>
      <c r="B2638" s="330"/>
      <c r="C2638" s="334"/>
      <c r="D2638" s="188" t="s">
        <v>14287</v>
      </c>
      <c r="E2638" s="189" t="s">
        <v>14288</v>
      </c>
      <c r="F2638" s="162" t="s">
        <v>20139</v>
      </c>
      <c r="G2638" s="162" t="s">
        <v>13413</v>
      </c>
      <c r="H2638" s="219"/>
      <c r="I2638" s="169">
        <v>114989</v>
      </c>
      <c r="J2638" s="304" t="str">
        <f>CONCATENATE([2]Cover!$D$6,"fdd/view?i=",I2638)</f>
        <v>https://www.dgiwg.org/FAD/fdd/view?i=114989</v>
      </c>
      <c r="K2638" s="304" t="s">
        <v>36687</v>
      </c>
      <c r="L2638" s="188">
        <v>223</v>
      </c>
      <c r="M2638" s="179" t="s">
        <v>151</v>
      </c>
    </row>
    <row r="2639" spans="1:13" ht="25.5">
      <c r="A2639" s="313" t="str">
        <f t="shared" si="41"/>
        <v>DmeChannelCode_chan081Z</v>
      </c>
      <c r="B2639" s="330"/>
      <c r="C2639" s="334"/>
      <c r="D2639" s="188" t="s">
        <v>14290</v>
      </c>
      <c r="E2639" s="189" t="s">
        <v>14291</v>
      </c>
      <c r="F2639" s="162" t="s">
        <v>20140</v>
      </c>
      <c r="G2639" s="162" t="s">
        <v>13413</v>
      </c>
      <c r="H2639" s="219"/>
      <c r="I2639" s="169">
        <v>114990</v>
      </c>
      <c r="J2639" s="304" t="str">
        <f>CONCATENATE([2]Cover!$D$6,"fdd/view?i=",I2639)</f>
        <v>https://www.dgiwg.org/FAD/fdd/view?i=114990</v>
      </c>
      <c r="K2639" s="304" t="s">
        <v>36688</v>
      </c>
      <c r="L2639" s="188">
        <v>224</v>
      </c>
      <c r="M2639" s="179" t="s">
        <v>151</v>
      </c>
    </row>
    <row r="2640" spans="1:13" ht="25.5">
      <c r="A2640" s="313" t="str">
        <f t="shared" si="41"/>
        <v>DmeChannelCode_chan082X</v>
      </c>
      <c r="B2640" s="330"/>
      <c r="C2640" s="334"/>
      <c r="D2640" s="188" t="s">
        <v>14293</v>
      </c>
      <c r="E2640" s="189" t="s">
        <v>14294</v>
      </c>
      <c r="F2640" s="162" t="s">
        <v>20141</v>
      </c>
      <c r="G2640" s="162" t="s">
        <v>13413</v>
      </c>
      <c r="H2640" s="219"/>
      <c r="I2640" s="169">
        <v>114991</v>
      </c>
      <c r="J2640" s="304" t="str">
        <f>CONCATENATE([2]Cover!$D$6,"fdd/view?i=",I2640)</f>
        <v>https://www.dgiwg.org/FAD/fdd/view?i=114991</v>
      </c>
      <c r="K2640" s="304" t="s">
        <v>36689</v>
      </c>
      <c r="L2640" s="188">
        <v>225</v>
      </c>
      <c r="M2640" s="179" t="s">
        <v>151</v>
      </c>
    </row>
    <row r="2641" spans="1:13" ht="25.5">
      <c r="A2641" s="313" t="str">
        <f t="shared" si="41"/>
        <v>DmeChannelCode_chan082Y</v>
      </c>
      <c r="B2641" s="330"/>
      <c r="C2641" s="334"/>
      <c r="D2641" s="188" t="s">
        <v>14296</v>
      </c>
      <c r="E2641" s="189" t="s">
        <v>14297</v>
      </c>
      <c r="F2641" s="162" t="s">
        <v>20142</v>
      </c>
      <c r="G2641" s="162" t="s">
        <v>13413</v>
      </c>
      <c r="H2641" s="219"/>
      <c r="I2641" s="169">
        <v>114992</v>
      </c>
      <c r="J2641" s="304" t="str">
        <f>CONCATENATE([2]Cover!$D$6,"fdd/view?i=",I2641)</f>
        <v>https://www.dgiwg.org/FAD/fdd/view?i=114992</v>
      </c>
      <c r="K2641" s="304" t="s">
        <v>36690</v>
      </c>
      <c r="L2641" s="188">
        <v>226</v>
      </c>
      <c r="M2641" s="179" t="s">
        <v>151</v>
      </c>
    </row>
    <row r="2642" spans="1:13" ht="25.5">
      <c r="A2642" s="313" t="str">
        <f t="shared" si="41"/>
        <v>DmeChannelCode_chan082Z</v>
      </c>
      <c r="B2642" s="330"/>
      <c r="C2642" s="334"/>
      <c r="D2642" s="188" t="s">
        <v>14299</v>
      </c>
      <c r="E2642" s="189" t="s">
        <v>14300</v>
      </c>
      <c r="F2642" s="162" t="s">
        <v>20143</v>
      </c>
      <c r="G2642" s="162" t="s">
        <v>13413</v>
      </c>
      <c r="H2642" s="219"/>
      <c r="I2642" s="169">
        <v>114993</v>
      </c>
      <c r="J2642" s="304" t="str">
        <f>CONCATENATE([2]Cover!$D$6,"fdd/view?i=",I2642)</f>
        <v>https://www.dgiwg.org/FAD/fdd/view?i=114993</v>
      </c>
      <c r="K2642" s="304" t="s">
        <v>36691</v>
      </c>
      <c r="L2642" s="188">
        <v>227</v>
      </c>
      <c r="M2642" s="179" t="s">
        <v>151</v>
      </c>
    </row>
    <row r="2643" spans="1:13" ht="25.5">
      <c r="A2643" s="313" t="str">
        <f t="shared" si="41"/>
        <v>DmeChannelCode_chan083X</v>
      </c>
      <c r="B2643" s="330"/>
      <c r="C2643" s="334"/>
      <c r="D2643" s="188" t="s">
        <v>14302</v>
      </c>
      <c r="E2643" s="189" t="s">
        <v>14303</v>
      </c>
      <c r="F2643" s="162" t="s">
        <v>20144</v>
      </c>
      <c r="G2643" s="162" t="s">
        <v>13413</v>
      </c>
      <c r="H2643" s="219"/>
      <c r="I2643" s="169">
        <v>114994</v>
      </c>
      <c r="J2643" s="304" t="str">
        <f>CONCATENATE([2]Cover!$D$6,"fdd/view?i=",I2643)</f>
        <v>https://www.dgiwg.org/FAD/fdd/view?i=114994</v>
      </c>
      <c r="K2643" s="304" t="s">
        <v>36692</v>
      </c>
      <c r="L2643" s="188">
        <v>228</v>
      </c>
      <c r="M2643" s="179" t="s">
        <v>151</v>
      </c>
    </row>
    <row r="2644" spans="1:13" ht="25.5">
      <c r="A2644" s="313" t="str">
        <f t="shared" si="41"/>
        <v>DmeChannelCode_chan083Y</v>
      </c>
      <c r="B2644" s="330"/>
      <c r="C2644" s="334"/>
      <c r="D2644" s="188" t="s">
        <v>14305</v>
      </c>
      <c r="E2644" s="189" t="s">
        <v>14306</v>
      </c>
      <c r="F2644" s="162" t="s">
        <v>20145</v>
      </c>
      <c r="G2644" s="162" t="s">
        <v>13413</v>
      </c>
      <c r="H2644" s="219"/>
      <c r="I2644" s="169">
        <v>114995</v>
      </c>
      <c r="J2644" s="304" t="str">
        <f>CONCATENATE([2]Cover!$D$6,"fdd/view?i=",I2644)</f>
        <v>https://www.dgiwg.org/FAD/fdd/view?i=114995</v>
      </c>
      <c r="K2644" s="304" t="s">
        <v>36693</v>
      </c>
      <c r="L2644" s="188">
        <v>229</v>
      </c>
      <c r="M2644" s="179" t="s">
        <v>151</v>
      </c>
    </row>
    <row r="2645" spans="1:13" ht="25.5">
      <c r="A2645" s="313" t="str">
        <f t="shared" si="41"/>
        <v>DmeChannelCode_chan083Z</v>
      </c>
      <c r="B2645" s="330"/>
      <c r="C2645" s="334"/>
      <c r="D2645" s="188" t="s">
        <v>14308</v>
      </c>
      <c r="E2645" s="189" t="s">
        <v>14309</v>
      </c>
      <c r="F2645" s="162" t="s">
        <v>20146</v>
      </c>
      <c r="G2645" s="162" t="s">
        <v>13413</v>
      </c>
      <c r="H2645" s="219"/>
      <c r="I2645" s="169">
        <v>114996</v>
      </c>
      <c r="J2645" s="304" t="str">
        <f>CONCATENATE([2]Cover!$D$6,"fdd/view?i=",I2645)</f>
        <v>https://www.dgiwg.org/FAD/fdd/view?i=114996</v>
      </c>
      <c r="K2645" s="304" t="s">
        <v>36694</v>
      </c>
      <c r="L2645" s="188">
        <v>230</v>
      </c>
      <c r="M2645" s="179" t="s">
        <v>151</v>
      </c>
    </row>
    <row r="2646" spans="1:13" ht="25.5">
      <c r="A2646" s="313" t="str">
        <f t="shared" si="41"/>
        <v>DmeChannelCode_chan084X</v>
      </c>
      <c r="B2646" s="330"/>
      <c r="C2646" s="334"/>
      <c r="D2646" s="188" t="s">
        <v>14311</v>
      </c>
      <c r="E2646" s="189" t="s">
        <v>14312</v>
      </c>
      <c r="F2646" s="162" t="s">
        <v>20147</v>
      </c>
      <c r="G2646" s="162" t="s">
        <v>13413</v>
      </c>
      <c r="H2646" s="219"/>
      <c r="I2646" s="169">
        <v>114997</v>
      </c>
      <c r="J2646" s="304" t="str">
        <f>CONCATENATE([2]Cover!$D$6,"fdd/view?i=",I2646)</f>
        <v>https://www.dgiwg.org/FAD/fdd/view?i=114997</v>
      </c>
      <c r="K2646" s="304" t="s">
        <v>36695</v>
      </c>
      <c r="L2646" s="188">
        <v>231</v>
      </c>
      <c r="M2646" s="179" t="s">
        <v>151</v>
      </c>
    </row>
    <row r="2647" spans="1:13" ht="25.5">
      <c r="A2647" s="313" t="str">
        <f t="shared" si="41"/>
        <v>DmeChannelCode_chan084Y</v>
      </c>
      <c r="B2647" s="330"/>
      <c r="C2647" s="334"/>
      <c r="D2647" s="188" t="s">
        <v>14314</v>
      </c>
      <c r="E2647" s="189" t="s">
        <v>14315</v>
      </c>
      <c r="F2647" s="162" t="s">
        <v>20148</v>
      </c>
      <c r="G2647" s="162" t="s">
        <v>13413</v>
      </c>
      <c r="H2647" s="219"/>
      <c r="I2647" s="169">
        <v>114998</v>
      </c>
      <c r="J2647" s="304" t="str">
        <f>CONCATENATE([2]Cover!$D$6,"fdd/view?i=",I2647)</f>
        <v>https://www.dgiwg.org/FAD/fdd/view?i=114998</v>
      </c>
      <c r="K2647" s="304" t="s">
        <v>36696</v>
      </c>
      <c r="L2647" s="188">
        <v>232</v>
      </c>
      <c r="M2647" s="179" t="s">
        <v>151</v>
      </c>
    </row>
    <row r="2648" spans="1:13" ht="25.5">
      <c r="A2648" s="313" t="str">
        <f t="shared" si="41"/>
        <v>DmeChannelCode_chan084Z</v>
      </c>
      <c r="B2648" s="330"/>
      <c r="C2648" s="334"/>
      <c r="D2648" s="188" t="s">
        <v>14317</v>
      </c>
      <c r="E2648" s="189" t="s">
        <v>14318</v>
      </c>
      <c r="F2648" s="162" t="s">
        <v>20149</v>
      </c>
      <c r="G2648" s="162" t="s">
        <v>13413</v>
      </c>
      <c r="H2648" s="219"/>
      <c r="I2648" s="169">
        <v>114999</v>
      </c>
      <c r="J2648" s="304" t="str">
        <f>CONCATENATE([2]Cover!$D$6,"fdd/view?i=",I2648)</f>
        <v>https://www.dgiwg.org/FAD/fdd/view?i=114999</v>
      </c>
      <c r="K2648" s="304" t="s">
        <v>36697</v>
      </c>
      <c r="L2648" s="188">
        <v>233</v>
      </c>
      <c r="M2648" s="179" t="s">
        <v>151</v>
      </c>
    </row>
    <row r="2649" spans="1:13" ht="25.5">
      <c r="A2649" s="313" t="str">
        <f t="shared" si="41"/>
        <v>DmeChannelCode_chan085X</v>
      </c>
      <c r="B2649" s="330"/>
      <c r="C2649" s="334"/>
      <c r="D2649" s="188" t="s">
        <v>14320</v>
      </c>
      <c r="E2649" s="189" t="s">
        <v>14321</v>
      </c>
      <c r="F2649" s="162" t="s">
        <v>20150</v>
      </c>
      <c r="G2649" s="162" t="s">
        <v>13413</v>
      </c>
      <c r="H2649" s="219"/>
      <c r="I2649" s="169">
        <v>115000</v>
      </c>
      <c r="J2649" s="304" t="str">
        <f>CONCATENATE([2]Cover!$D$6,"fdd/view?i=",I2649)</f>
        <v>https://www.dgiwg.org/FAD/fdd/view?i=115000</v>
      </c>
      <c r="K2649" s="304" t="s">
        <v>36698</v>
      </c>
      <c r="L2649" s="188">
        <v>234</v>
      </c>
      <c r="M2649" s="179" t="s">
        <v>151</v>
      </c>
    </row>
    <row r="2650" spans="1:13" ht="25.5">
      <c r="A2650" s="313" t="str">
        <f t="shared" si="41"/>
        <v>DmeChannelCode_chan085Y</v>
      </c>
      <c r="B2650" s="330"/>
      <c r="C2650" s="334"/>
      <c r="D2650" s="188" t="s">
        <v>14323</v>
      </c>
      <c r="E2650" s="189" t="s">
        <v>14324</v>
      </c>
      <c r="F2650" s="162" t="s">
        <v>20151</v>
      </c>
      <c r="G2650" s="162" t="s">
        <v>13413</v>
      </c>
      <c r="H2650" s="219"/>
      <c r="I2650" s="169">
        <v>115001</v>
      </c>
      <c r="J2650" s="304" t="str">
        <f>CONCATENATE([2]Cover!$D$6,"fdd/view?i=",I2650)</f>
        <v>https://www.dgiwg.org/FAD/fdd/view?i=115001</v>
      </c>
      <c r="K2650" s="304" t="s">
        <v>36699</v>
      </c>
      <c r="L2650" s="188">
        <v>235</v>
      </c>
      <c r="M2650" s="179" t="s">
        <v>151</v>
      </c>
    </row>
    <row r="2651" spans="1:13" ht="25.5">
      <c r="A2651" s="313" t="str">
        <f t="shared" si="41"/>
        <v>DmeChannelCode_chan085Z</v>
      </c>
      <c r="B2651" s="330"/>
      <c r="C2651" s="334"/>
      <c r="D2651" s="188" t="s">
        <v>14326</v>
      </c>
      <c r="E2651" s="189" t="s">
        <v>14327</v>
      </c>
      <c r="F2651" s="162" t="s">
        <v>20152</v>
      </c>
      <c r="G2651" s="162" t="s">
        <v>13413</v>
      </c>
      <c r="H2651" s="219"/>
      <c r="I2651" s="169">
        <v>115002</v>
      </c>
      <c r="J2651" s="304" t="str">
        <f>CONCATENATE([2]Cover!$D$6,"fdd/view?i=",I2651)</f>
        <v>https://www.dgiwg.org/FAD/fdd/view?i=115002</v>
      </c>
      <c r="K2651" s="304" t="s">
        <v>36700</v>
      </c>
      <c r="L2651" s="188">
        <v>236</v>
      </c>
      <c r="M2651" s="179" t="s">
        <v>151</v>
      </c>
    </row>
    <row r="2652" spans="1:13" ht="25.5">
      <c r="A2652" s="313" t="str">
        <f t="shared" si="41"/>
        <v>DmeChannelCode_chan086X</v>
      </c>
      <c r="B2652" s="330"/>
      <c r="C2652" s="334"/>
      <c r="D2652" s="188" t="s">
        <v>14329</v>
      </c>
      <c r="E2652" s="189" t="s">
        <v>14330</v>
      </c>
      <c r="F2652" s="162" t="s">
        <v>20153</v>
      </c>
      <c r="G2652" s="162" t="s">
        <v>13413</v>
      </c>
      <c r="H2652" s="219"/>
      <c r="I2652" s="169">
        <v>115003</v>
      </c>
      <c r="J2652" s="304" t="str">
        <f>CONCATENATE([2]Cover!$D$6,"fdd/view?i=",I2652)</f>
        <v>https://www.dgiwg.org/FAD/fdd/view?i=115003</v>
      </c>
      <c r="K2652" s="304" t="s">
        <v>36701</v>
      </c>
      <c r="L2652" s="188">
        <v>237</v>
      </c>
      <c r="M2652" s="179" t="s">
        <v>151</v>
      </c>
    </row>
    <row r="2653" spans="1:13" ht="25.5">
      <c r="A2653" s="313" t="str">
        <f t="shared" si="41"/>
        <v>DmeChannelCode_chan086Y</v>
      </c>
      <c r="B2653" s="330"/>
      <c r="C2653" s="334"/>
      <c r="D2653" s="188" t="s">
        <v>14332</v>
      </c>
      <c r="E2653" s="189" t="s">
        <v>14333</v>
      </c>
      <c r="F2653" s="162" t="s">
        <v>20154</v>
      </c>
      <c r="G2653" s="162" t="s">
        <v>13413</v>
      </c>
      <c r="H2653" s="219"/>
      <c r="I2653" s="169">
        <v>115004</v>
      </c>
      <c r="J2653" s="304" t="str">
        <f>CONCATENATE([2]Cover!$D$6,"fdd/view?i=",I2653)</f>
        <v>https://www.dgiwg.org/FAD/fdd/view?i=115004</v>
      </c>
      <c r="K2653" s="304" t="s">
        <v>36702</v>
      </c>
      <c r="L2653" s="188">
        <v>238</v>
      </c>
      <c r="M2653" s="179" t="s">
        <v>151</v>
      </c>
    </row>
    <row r="2654" spans="1:13" ht="25.5">
      <c r="A2654" s="313" t="str">
        <f t="shared" si="41"/>
        <v>DmeChannelCode_chan086Z</v>
      </c>
      <c r="B2654" s="330"/>
      <c r="C2654" s="334"/>
      <c r="D2654" s="188" t="s">
        <v>14335</v>
      </c>
      <c r="E2654" s="189" t="s">
        <v>14336</v>
      </c>
      <c r="F2654" s="162" t="s">
        <v>20155</v>
      </c>
      <c r="G2654" s="162" t="s">
        <v>13413</v>
      </c>
      <c r="H2654" s="219"/>
      <c r="I2654" s="169">
        <v>115005</v>
      </c>
      <c r="J2654" s="304" t="str">
        <f>CONCATENATE([2]Cover!$D$6,"fdd/view?i=",I2654)</f>
        <v>https://www.dgiwg.org/FAD/fdd/view?i=115005</v>
      </c>
      <c r="K2654" s="304" t="s">
        <v>36703</v>
      </c>
      <c r="L2654" s="188">
        <v>239</v>
      </c>
      <c r="M2654" s="179" t="s">
        <v>151</v>
      </c>
    </row>
    <row r="2655" spans="1:13" ht="25.5">
      <c r="A2655" s="313" t="str">
        <f t="shared" si="41"/>
        <v>DmeChannelCode_chan087X</v>
      </c>
      <c r="B2655" s="330"/>
      <c r="C2655" s="334"/>
      <c r="D2655" s="188" t="s">
        <v>14338</v>
      </c>
      <c r="E2655" s="189" t="s">
        <v>14339</v>
      </c>
      <c r="F2655" s="162" t="s">
        <v>20156</v>
      </c>
      <c r="G2655" s="162" t="s">
        <v>13413</v>
      </c>
      <c r="H2655" s="219"/>
      <c r="I2655" s="169">
        <v>115006</v>
      </c>
      <c r="J2655" s="304" t="str">
        <f>CONCATENATE([2]Cover!$D$6,"fdd/view?i=",I2655)</f>
        <v>https://www.dgiwg.org/FAD/fdd/view?i=115006</v>
      </c>
      <c r="K2655" s="304" t="s">
        <v>36704</v>
      </c>
      <c r="L2655" s="188">
        <v>240</v>
      </c>
      <c r="M2655" s="179" t="s">
        <v>151</v>
      </c>
    </row>
    <row r="2656" spans="1:13" ht="25.5">
      <c r="A2656" s="313" t="str">
        <f t="shared" si="41"/>
        <v>DmeChannelCode_chan087Y</v>
      </c>
      <c r="B2656" s="330"/>
      <c r="C2656" s="334"/>
      <c r="D2656" s="188" t="s">
        <v>14341</v>
      </c>
      <c r="E2656" s="189" t="s">
        <v>14342</v>
      </c>
      <c r="F2656" s="162" t="s">
        <v>20157</v>
      </c>
      <c r="G2656" s="162" t="s">
        <v>13413</v>
      </c>
      <c r="H2656" s="219"/>
      <c r="I2656" s="169">
        <v>115007</v>
      </c>
      <c r="J2656" s="304" t="str">
        <f>CONCATENATE([2]Cover!$D$6,"fdd/view?i=",I2656)</f>
        <v>https://www.dgiwg.org/FAD/fdd/view?i=115007</v>
      </c>
      <c r="K2656" s="304" t="s">
        <v>36705</v>
      </c>
      <c r="L2656" s="188">
        <v>241</v>
      </c>
      <c r="M2656" s="179" t="s">
        <v>151</v>
      </c>
    </row>
    <row r="2657" spans="1:13" ht="25.5">
      <c r="A2657" s="313" t="str">
        <f t="shared" si="41"/>
        <v>DmeChannelCode_chan087Z</v>
      </c>
      <c r="B2657" s="330"/>
      <c r="C2657" s="334"/>
      <c r="D2657" s="188" t="s">
        <v>14344</v>
      </c>
      <c r="E2657" s="189" t="s">
        <v>14345</v>
      </c>
      <c r="F2657" s="162" t="s">
        <v>20158</v>
      </c>
      <c r="G2657" s="162" t="s">
        <v>13413</v>
      </c>
      <c r="H2657" s="219"/>
      <c r="I2657" s="169">
        <v>115008</v>
      </c>
      <c r="J2657" s="304" t="str">
        <f>CONCATENATE([2]Cover!$D$6,"fdd/view?i=",I2657)</f>
        <v>https://www.dgiwg.org/FAD/fdd/view?i=115008</v>
      </c>
      <c r="K2657" s="304" t="s">
        <v>36706</v>
      </c>
      <c r="L2657" s="188">
        <v>242</v>
      </c>
      <c r="M2657" s="179" t="s">
        <v>151</v>
      </c>
    </row>
    <row r="2658" spans="1:13" ht="25.5">
      <c r="A2658" s="313" t="str">
        <f t="shared" si="41"/>
        <v>DmeChannelCode_chan088X</v>
      </c>
      <c r="B2658" s="330"/>
      <c r="C2658" s="334"/>
      <c r="D2658" s="188" t="s">
        <v>14347</v>
      </c>
      <c r="E2658" s="189" t="s">
        <v>14348</v>
      </c>
      <c r="F2658" s="162" t="s">
        <v>20159</v>
      </c>
      <c r="G2658" s="162" t="s">
        <v>13413</v>
      </c>
      <c r="H2658" s="219"/>
      <c r="I2658" s="169">
        <v>115009</v>
      </c>
      <c r="J2658" s="304" t="str">
        <f>CONCATENATE([2]Cover!$D$6,"fdd/view?i=",I2658)</f>
        <v>https://www.dgiwg.org/FAD/fdd/view?i=115009</v>
      </c>
      <c r="K2658" s="304" t="s">
        <v>36707</v>
      </c>
      <c r="L2658" s="188">
        <v>243</v>
      </c>
      <c r="M2658" s="179" t="s">
        <v>151</v>
      </c>
    </row>
    <row r="2659" spans="1:13" ht="25.5">
      <c r="A2659" s="313" t="str">
        <f t="shared" si="41"/>
        <v>DmeChannelCode_chan088Y</v>
      </c>
      <c r="B2659" s="330"/>
      <c r="C2659" s="334"/>
      <c r="D2659" s="188" t="s">
        <v>14350</v>
      </c>
      <c r="E2659" s="189" t="s">
        <v>14351</v>
      </c>
      <c r="F2659" s="162" t="s">
        <v>20160</v>
      </c>
      <c r="G2659" s="162" t="s">
        <v>13413</v>
      </c>
      <c r="H2659" s="219"/>
      <c r="I2659" s="169">
        <v>115010</v>
      </c>
      <c r="J2659" s="304" t="str">
        <f>CONCATENATE([2]Cover!$D$6,"fdd/view?i=",I2659)</f>
        <v>https://www.dgiwg.org/FAD/fdd/view?i=115010</v>
      </c>
      <c r="K2659" s="304" t="s">
        <v>36708</v>
      </c>
      <c r="L2659" s="188">
        <v>244</v>
      </c>
      <c r="M2659" s="179" t="s">
        <v>151</v>
      </c>
    </row>
    <row r="2660" spans="1:13" ht="25.5">
      <c r="A2660" s="313" t="str">
        <f t="shared" si="41"/>
        <v>DmeChannelCode_chan088Z</v>
      </c>
      <c r="B2660" s="330"/>
      <c r="C2660" s="334"/>
      <c r="D2660" s="188" t="s">
        <v>14353</v>
      </c>
      <c r="E2660" s="189" t="s">
        <v>14354</v>
      </c>
      <c r="F2660" s="162" t="s">
        <v>20161</v>
      </c>
      <c r="G2660" s="162" t="s">
        <v>13413</v>
      </c>
      <c r="H2660" s="219"/>
      <c r="I2660" s="169">
        <v>115011</v>
      </c>
      <c r="J2660" s="304" t="str">
        <f>CONCATENATE([2]Cover!$D$6,"fdd/view?i=",I2660)</f>
        <v>https://www.dgiwg.org/FAD/fdd/view?i=115011</v>
      </c>
      <c r="K2660" s="304" t="s">
        <v>36709</v>
      </c>
      <c r="L2660" s="188">
        <v>245</v>
      </c>
      <c r="M2660" s="179" t="s">
        <v>151</v>
      </c>
    </row>
    <row r="2661" spans="1:13" ht="25.5">
      <c r="A2661" s="313" t="str">
        <f t="shared" si="41"/>
        <v>DmeChannelCode_chan089X</v>
      </c>
      <c r="B2661" s="330"/>
      <c r="C2661" s="334"/>
      <c r="D2661" s="188" t="s">
        <v>14356</v>
      </c>
      <c r="E2661" s="189" t="s">
        <v>14357</v>
      </c>
      <c r="F2661" s="162" t="s">
        <v>20162</v>
      </c>
      <c r="G2661" s="162" t="s">
        <v>13413</v>
      </c>
      <c r="H2661" s="219"/>
      <c r="I2661" s="169">
        <v>115012</v>
      </c>
      <c r="J2661" s="304" t="str">
        <f>CONCATENATE([2]Cover!$D$6,"fdd/view?i=",I2661)</f>
        <v>https://www.dgiwg.org/FAD/fdd/view?i=115012</v>
      </c>
      <c r="K2661" s="304" t="s">
        <v>36710</v>
      </c>
      <c r="L2661" s="188">
        <v>246</v>
      </c>
      <c r="M2661" s="179" t="s">
        <v>151</v>
      </c>
    </row>
    <row r="2662" spans="1:13" ht="25.5">
      <c r="A2662" s="313" t="str">
        <f t="shared" si="41"/>
        <v>DmeChannelCode_chan089Y</v>
      </c>
      <c r="B2662" s="330"/>
      <c r="C2662" s="334"/>
      <c r="D2662" s="188" t="s">
        <v>14359</v>
      </c>
      <c r="E2662" s="189" t="s">
        <v>14360</v>
      </c>
      <c r="F2662" s="162" t="s">
        <v>20163</v>
      </c>
      <c r="G2662" s="162" t="s">
        <v>13413</v>
      </c>
      <c r="H2662" s="219"/>
      <c r="I2662" s="169">
        <v>115013</v>
      </c>
      <c r="J2662" s="304" t="str">
        <f>CONCATENATE([2]Cover!$D$6,"fdd/view?i=",I2662)</f>
        <v>https://www.dgiwg.org/FAD/fdd/view?i=115013</v>
      </c>
      <c r="K2662" s="304" t="s">
        <v>36711</v>
      </c>
      <c r="L2662" s="188">
        <v>247</v>
      </c>
      <c r="M2662" s="179" t="s">
        <v>151</v>
      </c>
    </row>
    <row r="2663" spans="1:13" ht="25.5">
      <c r="A2663" s="313" t="str">
        <f t="shared" si="41"/>
        <v>DmeChannelCode_chan089Z</v>
      </c>
      <c r="B2663" s="330"/>
      <c r="C2663" s="334"/>
      <c r="D2663" s="188" t="s">
        <v>14362</v>
      </c>
      <c r="E2663" s="189" t="s">
        <v>14363</v>
      </c>
      <c r="F2663" s="162" t="s">
        <v>20164</v>
      </c>
      <c r="G2663" s="162" t="s">
        <v>13413</v>
      </c>
      <c r="H2663" s="219"/>
      <c r="I2663" s="169">
        <v>115014</v>
      </c>
      <c r="J2663" s="304" t="str">
        <f>CONCATENATE([2]Cover!$D$6,"fdd/view?i=",I2663)</f>
        <v>https://www.dgiwg.org/FAD/fdd/view?i=115014</v>
      </c>
      <c r="K2663" s="304" t="s">
        <v>36712</v>
      </c>
      <c r="L2663" s="188">
        <v>248</v>
      </c>
      <c r="M2663" s="179" t="s">
        <v>151</v>
      </c>
    </row>
    <row r="2664" spans="1:13" ht="25.5">
      <c r="A2664" s="313" t="str">
        <f t="shared" si="41"/>
        <v>DmeChannelCode_chan090X</v>
      </c>
      <c r="B2664" s="330"/>
      <c r="C2664" s="334"/>
      <c r="D2664" s="188" t="s">
        <v>14371</v>
      </c>
      <c r="E2664" s="189" t="s">
        <v>14372</v>
      </c>
      <c r="F2664" s="162" t="s">
        <v>20167</v>
      </c>
      <c r="G2664" s="162" t="s">
        <v>13413</v>
      </c>
      <c r="H2664" s="219"/>
      <c r="I2664" s="169">
        <v>115015</v>
      </c>
      <c r="J2664" s="304" t="str">
        <f>CONCATENATE([2]Cover!$D$6,"fdd/view?i=",I2664)</f>
        <v>https://www.dgiwg.org/FAD/fdd/view?i=115015</v>
      </c>
      <c r="K2664" s="304" t="s">
        <v>36713</v>
      </c>
      <c r="L2664" s="188">
        <v>249</v>
      </c>
      <c r="M2664" s="179" t="s">
        <v>151</v>
      </c>
    </row>
    <row r="2665" spans="1:13" ht="25.5">
      <c r="A2665" s="313" t="str">
        <f t="shared" si="41"/>
        <v>DmeChannelCode_chan090Y</v>
      </c>
      <c r="B2665" s="330"/>
      <c r="C2665" s="334"/>
      <c r="D2665" s="188" t="s">
        <v>14374</v>
      </c>
      <c r="E2665" s="189" t="s">
        <v>14375</v>
      </c>
      <c r="F2665" s="162" t="s">
        <v>20168</v>
      </c>
      <c r="G2665" s="162" t="s">
        <v>13413</v>
      </c>
      <c r="H2665" s="219"/>
      <c r="I2665" s="169">
        <v>115016</v>
      </c>
      <c r="J2665" s="304" t="str">
        <f>CONCATENATE([2]Cover!$D$6,"fdd/view?i=",I2665)</f>
        <v>https://www.dgiwg.org/FAD/fdd/view?i=115016</v>
      </c>
      <c r="K2665" s="304" t="s">
        <v>36714</v>
      </c>
      <c r="L2665" s="188">
        <v>250</v>
      </c>
      <c r="M2665" s="179" t="s">
        <v>151</v>
      </c>
    </row>
    <row r="2666" spans="1:13" ht="25.5">
      <c r="A2666" s="313" t="str">
        <f t="shared" si="41"/>
        <v>DmeChannelCode_chan090Z</v>
      </c>
      <c r="B2666" s="330"/>
      <c r="C2666" s="334"/>
      <c r="D2666" s="188" t="s">
        <v>14377</v>
      </c>
      <c r="E2666" s="189" t="s">
        <v>14378</v>
      </c>
      <c r="F2666" s="162" t="s">
        <v>20169</v>
      </c>
      <c r="G2666" s="162" t="s">
        <v>13413</v>
      </c>
      <c r="H2666" s="219"/>
      <c r="I2666" s="169">
        <v>115017</v>
      </c>
      <c r="J2666" s="304" t="str">
        <f>CONCATENATE([2]Cover!$D$6,"fdd/view?i=",I2666)</f>
        <v>https://www.dgiwg.org/FAD/fdd/view?i=115017</v>
      </c>
      <c r="K2666" s="304" t="s">
        <v>36715</v>
      </c>
      <c r="L2666" s="188">
        <v>251</v>
      </c>
      <c r="M2666" s="179" t="s">
        <v>151</v>
      </c>
    </row>
    <row r="2667" spans="1:13" ht="25.5">
      <c r="A2667" s="313" t="str">
        <f t="shared" si="41"/>
        <v>DmeChannelCode_chan091X</v>
      </c>
      <c r="B2667" s="330"/>
      <c r="C2667" s="334"/>
      <c r="D2667" s="188" t="s">
        <v>14380</v>
      </c>
      <c r="E2667" s="189" t="s">
        <v>14381</v>
      </c>
      <c r="F2667" s="162" t="s">
        <v>20170</v>
      </c>
      <c r="G2667" s="162" t="s">
        <v>13413</v>
      </c>
      <c r="H2667" s="219"/>
      <c r="I2667" s="169">
        <v>115018</v>
      </c>
      <c r="J2667" s="304" t="str">
        <f>CONCATENATE([2]Cover!$D$6,"fdd/view?i=",I2667)</f>
        <v>https://www.dgiwg.org/FAD/fdd/view?i=115018</v>
      </c>
      <c r="K2667" s="304" t="s">
        <v>36716</v>
      </c>
      <c r="L2667" s="188">
        <v>252</v>
      </c>
      <c r="M2667" s="179" t="s">
        <v>151</v>
      </c>
    </row>
    <row r="2668" spans="1:13" ht="25.5">
      <c r="A2668" s="313" t="str">
        <f t="shared" si="41"/>
        <v>DmeChannelCode_chan091Y</v>
      </c>
      <c r="B2668" s="330"/>
      <c r="C2668" s="334"/>
      <c r="D2668" s="188" t="s">
        <v>14383</v>
      </c>
      <c r="E2668" s="189" t="s">
        <v>14384</v>
      </c>
      <c r="F2668" s="162" t="s">
        <v>20171</v>
      </c>
      <c r="G2668" s="162" t="s">
        <v>13413</v>
      </c>
      <c r="H2668" s="219"/>
      <c r="I2668" s="169">
        <v>115019</v>
      </c>
      <c r="J2668" s="304" t="str">
        <f>CONCATENATE([2]Cover!$D$6,"fdd/view?i=",I2668)</f>
        <v>https://www.dgiwg.org/FAD/fdd/view?i=115019</v>
      </c>
      <c r="K2668" s="304" t="s">
        <v>36717</v>
      </c>
      <c r="L2668" s="188">
        <v>253</v>
      </c>
      <c r="M2668" s="179" t="s">
        <v>151</v>
      </c>
    </row>
    <row r="2669" spans="1:13" ht="25.5">
      <c r="A2669" s="313" t="str">
        <f t="shared" si="41"/>
        <v>DmeChannelCode_chan091Z</v>
      </c>
      <c r="B2669" s="330"/>
      <c r="C2669" s="334"/>
      <c r="D2669" s="188" t="s">
        <v>14386</v>
      </c>
      <c r="E2669" s="189" t="s">
        <v>14387</v>
      </c>
      <c r="F2669" s="162" t="s">
        <v>20172</v>
      </c>
      <c r="G2669" s="162" t="s">
        <v>13413</v>
      </c>
      <c r="H2669" s="219"/>
      <c r="I2669" s="169">
        <v>115020</v>
      </c>
      <c r="J2669" s="304" t="str">
        <f>CONCATENATE([2]Cover!$D$6,"fdd/view?i=",I2669)</f>
        <v>https://www.dgiwg.org/FAD/fdd/view?i=115020</v>
      </c>
      <c r="K2669" s="304" t="s">
        <v>36718</v>
      </c>
      <c r="L2669" s="188">
        <v>254</v>
      </c>
      <c r="M2669" s="179" t="s">
        <v>151</v>
      </c>
    </row>
    <row r="2670" spans="1:13" ht="25.5">
      <c r="A2670" s="313" t="str">
        <f t="shared" si="41"/>
        <v>DmeChannelCode_chan092X</v>
      </c>
      <c r="B2670" s="330"/>
      <c r="C2670" s="334"/>
      <c r="D2670" s="188" t="s">
        <v>14389</v>
      </c>
      <c r="E2670" s="189" t="s">
        <v>14390</v>
      </c>
      <c r="F2670" s="162" t="s">
        <v>20173</v>
      </c>
      <c r="G2670" s="162" t="s">
        <v>13413</v>
      </c>
      <c r="H2670" s="219"/>
      <c r="I2670" s="169">
        <v>115021</v>
      </c>
      <c r="J2670" s="304" t="str">
        <f>CONCATENATE([2]Cover!$D$6,"fdd/view?i=",I2670)</f>
        <v>https://www.dgiwg.org/FAD/fdd/view?i=115021</v>
      </c>
      <c r="K2670" s="304" t="s">
        <v>36719</v>
      </c>
      <c r="L2670" s="188">
        <v>255</v>
      </c>
      <c r="M2670" s="179" t="s">
        <v>151</v>
      </c>
    </row>
    <row r="2671" spans="1:13" ht="25.5">
      <c r="A2671" s="313" t="str">
        <f t="shared" si="41"/>
        <v>DmeChannelCode_chan092Y</v>
      </c>
      <c r="B2671" s="330"/>
      <c r="C2671" s="334"/>
      <c r="D2671" s="188" t="s">
        <v>14392</v>
      </c>
      <c r="E2671" s="189" t="s">
        <v>14393</v>
      </c>
      <c r="F2671" s="162" t="s">
        <v>20174</v>
      </c>
      <c r="G2671" s="162" t="s">
        <v>13413</v>
      </c>
      <c r="H2671" s="219"/>
      <c r="I2671" s="169">
        <v>115022</v>
      </c>
      <c r="J2671" s="304" t="str">
        <f>CONCATENATE([2]Cover!$D$6,"fdd/view?i=",I2671)</f>
        <v>https://www.dgiwg.org/FAD/fdd/view?i=115022</v>
      </c>
      <c r="K2671" s="304" t="s">
        <v>36720</v>
      </c>
      <c r="L2671" s="188">
        <v>256</v>
      </c>
      <c r="M2671" s="179" t="s">
        <v>151</v>
      </c>
    </row>
    <row r="2672" spans="1:13" ht="25.5">
      <c r="A2672" s="313" t="str">
        <f t="shared" si="41"/>
        <v>DmeChannelCode_chan092Z</v>
      </c>
      <c r="B2672" s="330"/>
      <c r="C2672" s="334"/>
      <c r="D2672" s="188" t="s">
        <v>14395</v>
      </c>
      <c r="E2672" s="189" t="s">
        <v>14396</v>
      </c>
      <c r="F2672" s="162" t="s">
        <v>20175</v>
      </c>
      <c r="G2672" s="162" t="s">
        <v>13413</v>
      </c>
      <c r="H2672" s="219"/>
      <c r="I2672" s="169">
        <v>115023</v>
      </c>
      <c r="J2672" s="304" t="str">
        <f>CONCATENATE([2]Cover!$D$6,"fdd/view?i=",I2672)</f>
        <v>https://www.dgiwg.org/FAD/fdd/view?i=115023</v>
      </c>
      <c r="K2672" s="304" t="s">
        <v>36721</v>
      </c>
      <c r="L2672" s="188">
        <v>257</v>
      </c>
      <c r="M2672" s="179" t="s">
        <v>151</v>
      </c>
    </row>
    <row r="2673" spans="1:13" ht="25.5">
      <c r="A2673" s="313" t="str">
        <f t="shared" si="41"/>
        <v>DmeChannelCode_chan093X</v>
      </c>
      <c r="B2673" s="330"/>
      <c r="C2673" s="334"/>
      <c r="D2673" s="188" t="s">
        <v>14398</v>
      </c>
      <c r="E2673" s="189" t="s">
        <v>14399</v>
      </c>
      <c r="F2673" s="162" t="s">
        <v>20176</v>
      </c>
      <c r="G2673" s="162" t="s">
        <v>13413</v>
      </c>
      <c r="H2673" s="219"/>
      <c r="I2673" s="169">
        <v>115024</v>
      </c>
      <c r="J2673" s="304" t="str">
        <f>CONCATENATE([2]Cover!$D$6,"fdd/view?i=",I2673)</f>
        <v>https://www.dgiwg.org/FAD/fdd/view?i=115024</v>
      </c>
      <c r="K2673" s="304" t="s">
        <v>36722</v>
      </c>
      <c r="L2673" s="188">
        <v>258</v>
      </c>
      <c r="M2673" s="179" t="s">
        <v>151</v>
      </c>
    </row>
    <row r="2674" spans="1:13" ht="25.5">
      <c r="A2674" s="313" t="str">
        <f t="shared" si="41"/>
        <v>DmeChannelCode_chan093Y</v>
      </c>
      <c r="B2674" s="330"/>
      <c r="C2674" s="334"/>
      <c r="D2674" s="188" t="s">
        <v>14401</v>
      </c>
      <c r="E2674" s="189" t="s">
        <v>14402</v>
      </c>
      <c r="F2674" s="162" t="s">
        <v>20177</v>
      </c>
      <c r="G2674" s="162" t="s">
        <v>13413</v>
      </c>
      <c r="H2674" s="219"/>
      <c r="I2674" s="169">
        <v>115025</v>
      </c>
      <c r="J2674" s="304" t="str">
        <f>CONCATENATE([2]Cover!$D$6,"fdd/view?i=",I2674)</f>
        <v>https://www.dgiwg.org/FAD/fdd/view?i=115025</v>
      </c>
      <c r="K2674" s="304" t="s">
        <v>36723</v>
      </c>
      <c r="L2674" s="188">
        <v>259</v>
      </c>
      <c r="M2674" s="179" t="s">
        <v>151</v>
      </c>
    </row>
    <row r="2675" spans="1:13" ht="25.5">
      <c r="A2675" s="313" t="str">
        <f t="shared" si="41"/>
        <v>DmeChannelCode_chan093Z</v>
      </c>
      <c r="B2675" s="330"/>
      <c r="C2675" s="334"/>
      <c r="D2675" s="188" t="s">
        <v>14404</v>
      </c>
      <c r="E2675" s="189" t="s">
        <v>14405</v>
      </c>
      <c r="F2675" s="162" t="s">
        <v>20178</v>
      </c>
      <c r="G2675" s="162" t="s">
        <v>13413</v>
      </c>
      <c r="H2675" s="219"/>
      <c r="I2675" s="169">
        <v>115026</v>
      </c>
      <c r="J2675" s="304" t="str">
        <f>CONCATENATE([2]Cover!$D$6,"fdd/view?i=",I2675)</f>
        <v>https://www.dgiwg.org/FAD/fdd/view?i=115026</v>
      </c>
      <c r="K2675" s="304" t="s">
        <v>36724</v>
      </c>
      <c r="L2675" s="188">
        <v>260</v>
      </c>
      <c r="M2675" s="179" t="s">
        <v>151</v>
      </c>
    </row>
    <row r="2676" spans="1:13" ht="25.5">
      <c r="A2676" s="313" t="str">
        <f t="shared" si="41"/>
        <v>DmeChannelCode_chan094X</v>
      </c>
      <c r="B2676" s="330"/>
      <c r="C2676" s="334"/>
      <c r="D2676" s="188" t="s">
        <v>14407</v>
      </c>
      <c r="E2676" s="189" t="s">
        <v>14408</v>
      </c>
      <c r="F2676" s="162" t="s">
        <v>20179</v>
      </c>
      <c r="G2676" s="162" t="s">
        <v>13413</v>
      </c>
      <c r="H2676" s="219"/>
      <c r="I2676" s="169">
        <v>115027</v>
      </c>
      <c r="J2676" s="304" t="str">
        <f>CONCATENATE([2]Cover!$D$6,"fdd/view?i=",I2676)</f>
        <v>https://www.dgiwg.org/FAD/fdd/view?i=115027</v>
      </c>
      <c r="K2676" s="304" t="s">
        <v>36725</v>
      </c>
      <c r="L2676" s="188">
        <v>261</v>
      </c>
      <c r="M2676" s="179" t="s">
        <v>151</v>
      </c>
    </row>
    <row r="2677" spans="1:13" ht="25.5">
      <c r="A2677" s="313" t="str">
        <f t="shared" si="41"/>
        <v>DmeChannelCode_chan094Y</v>
      </c>
      <c r="B2677" s="330"/>
      <c r="C2677" s="334"/>
      <c r="D2677" s="188" t="s">
        <v>14410</v>
      </c>
      <c r="E2677" s="189" t="s">
        <v>14411</v>
      </c>
      <c r="F2677" s="162" t="s">
        <v>20180</v>
      </c>
      <c r="G2677" s="162" t="s">
        <v>13413</v>
      </c>
      <c r="H2677" s="219"/>
      <c r="I2677" s="169">
        <v>115028</v>
      </c>
      <c r="J2677" s="304" t="str">
        <f>CONCATENATE([2]Cover!$D$6,"fdd/view?i=",I2677)</f>
        <v>https://www.dgiwg.org/FAD/fdd/view?i=115028</v>
      </c>
      <c r="K2677" s="304" t="s">
        <v>36726</v>
      </c>
      <c r="L2677" s="188">
        <v>262</v>
      </c>
      <c r="M2677" s="179" t="s">
        <v>151</v>
      </c>
    </row>
    <row r="2678" spans="1:13" ht="25.5">
      <c r="A2678" s="313" t="str">
        <f t="shared" si="41"/>
        <v>DmeChannelCode_chan094Z</v>
      </c>
      <c r="B2678" s="330"/>
      <c r="C2678" s="334"/>
      <c r="D2678" s="188" t="s">
        <v>14413</v>
      </c>
      <c r="E2678" s="189" t="s">
        <v>14414</v>
      </c>
      <c r="F2678" s="162" t="s">
        <v>20181</v>
      </c>
      <c r="G2678" s="162" t="s">
        <v>13413</v>
      </c>
      <c r="H2678" s="219"/>
      <c r="I2678" s="169">
        <v>115029</v>
      </c>
      <c r="J2678" s="304" t="str">
        <f>CONCATENATE([2]Cover!$D$6,"fdd/view?i=",I2678)</f>
        <v>https://www.dgiwg.org/FAD/fdd/view?i=115029</v>
      </c>
      <c r="K2678" s="304" t="s">
        <v>36727</v>
      </c>
      <c r="L2678" s="188">
        <v>263</v>
      </c>
      <c r="M2678" s="179" t="s">
        <v>151</v>
      </c>
    </row>
    <row r="2679" spans="1:13" ht="25.5">
      <c r="A2679" s="313" t="str">
        <f t="shared" si="41"/>
        <v>DmeChannelCode_chan095X</v>
      </c>
      <c r="B2679" s="330"/>
      <c r="C2679" s="334"/>
      <c r="D2679" s="188" t="s">
        <v>14416</v>
      </c>
      <c r="E2679" s="189" t="s">
        <v>14417</v>
      </c>
      <c r="F2679" s="162" t="s">
        <v>20182</v>
      </c>
      <c r="G2679" s="162" t="s">
        <v>13413</v>
      </c>
      <c r="H2679" s="219"/>
      <c r="I2679" s="169">
        <v>115030</v>
      </c>
      <c r="J2679" s="304" t="str">
        <f>CONCATENATE([2]Cover!$D$6,"fdd/view?i=",I2679)</f>
        <v>https://www.dgiwg.org/FAD/fdd/view?i=115030</v>
      </c>
      <c r="K2679" s="304" t="s">
        <v>36728</v>
      </c>
      <c r="L2679" s="188">
        <v>264</v>
      </c>
      <c r="M2679" s="179" t="s">
        <v>151</v>
      </c>
    </row>
    <row r="2680" spans="1:13" ht="25.5">
      <c r="A2680" s="313" t="str">
        <f t="shared" si="41"/>
        <v>DmeChannelCode_chan095Y</v>
      </c>
      <c r="B2680" s="330"/>
      <c r="C2680" s="334"/>
      <c r="D2680" s="188" t="s">
        <v>14419</v>
      </c>
      <c r="E2680" s="189" t="s">
        <v>14420</v>
      </c>
      <c r="F2680" s="162" t="s">
        <v>20183</v>
      </c>
      <c r="G2680" s="162" t="s">
        <v>13413</v>
      </c>
      <c r="H2680" s="219"/>
      <c r="I2680" s="169">
        <v>115031</v>
      </c>
      <c r="J2680" s="304" t="str">
        <f>CONCATENATE([2]Cover!$D$6,"fdd/view?i=",I2680)</f>
        <v>https://www.dgiwg.org/FAD/fdd/view?i=115031</v>
      </c>
      <c r="K2680" s="304" t="s">
        <v>36729</v>
      </c>
      <c r="L2680" s="188">
        <v>265</v>
      </c>
      <c r="M2680" s="179" t="s">
        <v>151</v>
      </c>
    </row>
    <row r="2681" spans="1:13" ht="25.5">
      <c r="A2681" s="313" t="str">
        <f t="shared" si="41"/>
        <v>DmeChannelCode_chan095Z</v>
      </c>
      <c r="B2681" s="330"/>
      <c r="C2681" s="334"/>
      <c r="D2681" s="188" t="s">
        <v>14422</v>
      </c>
      <c r="E2681" s="189" t="s">
        <v>14423</v>
      </c>
      <c r="F2681" s="162" t="s">
        <v>20184</v>
      </c>
      <c r="G2681" s="162" t="s">
        <v>13413</v>
      </c>
      <c r="H2681" s="219"/>
      <c r="I2681" s="169">
        <v>115032</v>
      </c>
      <c r="J2681" s="304" t="str">
        <f>CONCATENATE([2]Cover!$D$6,"fdd/view?i=",I2681)</f>
        <v>https://www.dgiwg.org/FAD/fdd/view?i=115032</v>
      </c>
      <c r="K2681" s="304" t="s">
        <v>36730</v>
      </c>
      <c r="L2681" s="188">
        <v>266</v>
      </c>
      <c r="M2681" s="179" t="s">
        <v>151</v>
      </c>
    </row>
    <row r="2682" spans="1:13" ht="25.5">
      <c r="A2682" s="313" t="str">
        <f t="shared" si="41"/>
        <v>DmeChannelCode_chan096X</v>
      </c>
      <c r="B2682" s="330"/>
      <c r="C2682" s="334"/>
      <c r="D2682" s="188" t="s">
        <v>14425</v>
      </c>
      <c r="E2682" s="189" t="s">
        <v>14426</v>
      </c>
      <c r="F2682" s="162" t="s">
        <v>20185</v>
      </c>
      <c r="G2682" s="162" t="s">
        <v>13413</v>
      </c>
      <c r="H2682" s="219"/>
      <c r="I2682" s="169">
        <v>115033</v>
      </c>
      <c r="J2682" s="304" t="str">
        <f>CONCATENATE([2]Cover!$D$6,"fdd/view?i=",I2682)</f>
        <v>https://www.dgiwg.org/FAD/fdd/view?i=115033</v>
      </c>
      <c r="K2682" s="304" t="s">
        <v>36731</v>
      </c>
      <c r="L2682" s="188">
        <v>267</v>
      </c>
      <c r="M2682" s="179" t="s">
        <v>151</v>
      </c>
    </row>
    <row r="2683" spans="1:13" ht="25.5">
      <c r="A2683" s="313" t="str">
        <f t="shared" si="41"/>
        <v>DmeChannelCode_chan096Y</v>
      </c>
      <c r="B2683" s="330"/>
      <c r="C2683" s="334"/>
      <c r="D2683" s="188" t="s">
        <v>14428</v>
      </c>
      <c r="E2683" s="189" t="s">
        <v>14429</v>
      </c>
      <c r="F2683" s="162" t="s">
        <v>20186</v>
      </c>
      <c r="G2683" s="162" t="s">
        <v>13413</v>
      </c>
      <c r="H2683" s="219"/>
      <c r="I2683" s="169">
        <v>115034</v>
      </c>
      <c r="J2683" s="304" t="str">
        <f>CONCATENATE([2]Cover!$D$6,"fdd/view?i=",I2683)</f>
        <v>https://www.dgiwg.org/FAD/fdd/view?i=115034</v>
      </c>
      <c r="K2683" s="304" t="s">
        <v>36732</v>
      </c>
      <c r="L2683" s="188">
        <v>268</v>
      </c>
      <c r="M2683" s="179" t="s">
        <v>151</v>
      </c>
    </row>
    <row r="2684" spans="1:13" ht="25.5">
      <c r="A2684" s="313" t="str">
        <f t="shared" si="41"/>
        <v>DmeChannelCode_chan096Z</v>
      </c>
      <c r="B2684" s="330"/>
      <c r="C2684" s="334"/>
      <c r="D2684" s="188" t="s">
        <v>14431</v>
      </c>
      <c r="E2684" s="189" t="s">
        <v>14432</v>
      </c>
      <c r="F2684" s="162" t="s">
        <v>20187</v>
      </c>
      <c r="G2684" s="162" t="s">
        <v>13413</v>
      </c>
      <c r="H2684" s="219"/>
      <c r="I2684" s="169">
        <v>115035</v>
      </c>
      <c r="J2684" s="304" t="str">
        <f>CONCATENATE([2]Cover!$D$6,"fdd/view?i=",I2684)</f>
        <v>https://www.dgiwg.org/FAD/fdd/view?i=115035</v>
      </c>
      <c r="K2684" s="304" t="s">
        <v>36733</v>
      </c>
      <c r="L2684" s="188">
        <v>269</v>
      </c>
      <c r="M2684" s="179" t="s">
        <v>151</v>
      </c>
    </row>
    <row r="2685" spans="1:13" ht="25.5">
      <c r="A2685" s="313" t="str">
        <f t="shared" si="41"/>
        <v>DmeChannelCode_chan097X</v>
      </c>
      <c r="B2685" s="330"/>
      <c r="C2685" s="334"/>
      <c r="D2685" s="188" t="s">
        <v>14434</v>
      </c>
      <c r="E2685" s="189" t="s">
        <v>14435</v>
      </c>
      <c r="F2685" s="162" t="s">
        <v>20188</v>
      </c>
      <c r="G2685" s="162" t="s">
        <v>13413</v>
      </c>
      <c r="H2685" s="219"/>
      <c r="I2685" s="169">
        <v>115036</v>
      </c>
      <c r="J2685" s="304" t="str">
        <f>CONCATENATE([2]Cover!$D$6,"fdd/view?i=",I2685)</f>
        <v>https://www.dgiwg.org/FAD/fdd/view?i=115036</v>
      </c>
      <c r="K2685" s="304" t="s">
        <v>36734</v>
      </c>
      <c r="L2685" s="188">
        <v>270</v>
      </c>
      <c r="M2685" s="179" t="s">
        <v>151</v>
      </c>
    </row>
    <row r="2686" spans="1:13" ht="25.5">
      <c r="A2686" s="313" t="str">
        <f t="shared" si="41"/>
        <v>DmeChannelCode_chan097Y</v>
      </c>
      <c r="B2686" s="330"/>
      <c r="C2686" s="334"/>
      <c r="D2686" s="188" t="s">
        <v>14437</v>
      </c>
      <c r="E2686" s="189" t="s">
        <v>14438</v>
      </c>
      <c r="F2686" s="162" t="s">
        <v>20189</v>
      </c>
      <c r="G2686" s="162" t="s">
        <v>13413</v>
      </c>
      <c r="H2686" s="219"/>
      <c r="I2686" s="169">
        <v>115037</v>
      </c>
      <c r="J2686" s="304" t="str">
        <f>CONCATENATE([2]Cover!$D$6,"fdd/view?i=",I2686)</f>
        <v>https://www.dgiwg.org/FAD/fdd/view?i=115037</v>
      </c>
      <c r="K2686" s="304" t="s">
        <v>36735</v>
      </c>
      <c r="L2686" s="188">
        <v>271</v>
      </c>
      <c r="M2686" s="179" t="s">
        <v>151</v>
      </c>
    </row>
    <row r="2687" spans="1:13" ht="25.5">
      <c r="A2687" s="313" t="str">
        <f t="shared" si="41"/>
        <v>DmeChannelCode_chan097Z</v>
      </c>
      <c r="B2687" s="330"/>
      <c r="C2687" s="334"/>
      <c r="D2687" s="188" t="s">
        <v>14440</v>
      </c>
      <c r="E2687" s="189" t="s">
        <v>14441</v>
      </c>
      <c r="F2687" s="162" t="s">
        <v>20190</v>
      </c>
      <c r="G2687" s="162" t="s">
        <v>13413</v>
      </c>
      <c r="H2687" s="219"/>
      <c r="I2687" s="169">
        <v>115038</v>
      </c>
      <c r="J2687" s="304" t="str">
        <f>CONCATENATE([2]Cover!$D$6,"fdd/view?i=",I2687)</f>
        <v>https://www.dgiwg.org/FAD/fdd/view?i=115038</v>
      </c>
      <c r="K2687" s="304" t="s">
        <v>36736</v>
      </c>
      <c r="L2687" s="188">
        <v>272</v>
      </c>
      <c r="M2687" s="179" t="s">
        <v>151</v>
      </c>
    </row>
    <row r="2688" spans="1:13" ht="25.5">
      <c r="A2688" s="313" t="str">
        <f t="shared" si="41"/>
        <v>DmeChannelCode_chan098X</v>
      </c>
      <c r="B2688" s="330"/>
      <c r="C2688" s="334"/>
      <c r="D2688" s="188" t="s">
        <v>14443</v>
      </c>
      <c r="E2688" s="189" t="s">
        <v>14444</v>
      </c>
      <c r="F2688" s="162" t="s">
        <v>20191</v>
      </c>
      <c r="G2688" s="162" t="s">
        <v>13413</v>
      </c>
      <c r="H2688" s="219"/>
      <c r="I2688" s="169">
        <v>115039</v>
      </c>
      <c r="J2688" s="304" t="str">
        <f>CONCATENATE([2]Cover!$D$6,"fdd/view?i=",I2688)</f>
        <v>https://www.dgiwg.org/FAD/fdd/view?i=115039</v>
      </c>
      <c r="K2688" s="304" t="s">
        <v>36737</v>
      </c>
      <c r="L2688" s="188">
        <v>273</v>
      </c>
      <c r="M2688" s="179" t="s">
        <v>151</v>
      </c>
    </row>
    <row r="2689" spans="1:13" ht="25.5">
      <c r="A2689" s="313" t="str">
        <f t="shared" si="41"/>
        <v>DmeChannelCode_chan098Y</v>
      </c>
      <c r="B2689" s="330"/>
      <c r="C2689" s="334"/>
      <c r="D2689" s="188" t="s">
        <v>14446</v>
      </c>
      <c r="E2689" s="189" t="s">
        <v>14447</v>
      </c>
      <c r="F2689" s="162" t="s">
        <v>20192</v>
      </c>
      <c r="G2689" s="162" t="s">
        <v>13413</v>
      </c>
      <c r="H2689" s="219"/>
      <c r="I2689" s="169">
        <v>115040</v>
      </c>
      <c r="J2689" s="304" t="str">
        <f>CONCATENATE([2]Cover!$D$6,"fdd/view?i=",I2689)</f>
        <v>https://www.dgiwg.org/FAD/fdd/view?i=115040</v>
      </c>
      <c r="K2689" s="304" t="s">
        <v>36738</v>
      </c>
      <c r="L2689" s="188">
        <v>274</v>
      </c>
      <c r="M2689" s="179" t="s">
        <v>151</v>
      </c>
    </row>
    <row r="2690" spans="1:13" ht="25.5">
      <c r="A2690" s="313" t="str">
        <f t="shared" si="41"/>
        <v>DmeChannelCode_chan098Z</v>
      </c>
      <c r="B2690" s="330"/>
      <c r="C2690" s="334"/>
      <c r="D2690" s="188" t="s">
        <v>14449</v>
      </c>
      <c r="E2690" s="189" t="s">
        <v>14450</v>
      </c>
      <c r="F2690" s="162" t="s">
        <v>20193</v>
      </c>
      <c r="G2690" s="162" t="s">
        <v>13413</v>
      </c>
      <c r="H2690" s="219"/>
      <c r="I2690" s="169">
        <v>115041</v>
      </c>
      <c r="J2690" s="304" t="str">
        <f>CONCATENATE([2]Cover!$D$6,"fdd/view?i=",I2690)</f>
        <v>https://www.dgiwg.org/FAD/fdd/view?i=115041</v>
      </c>
      <c r="K2690" s="304" t="s">
        <v>36739</v>
      </c>
      <c r="L2690" s="188">
        <v>275</v>
      </c>
      <c r="M2690" s="179" t="s">
        <v>151</v>
      </c>
    </row>
    <row r="2691" spans="1:13" ht="25.5">
      <c r="A2691" s="313" t="str">
        <f t="shared" ref="A2691:A2754" si="42">HYPERLINK(J2691,K2691)</f>
        <v>DmeChannelCode_chan099X</v>
      </c>
      <c r="B2691" s="330"/>
      <c r="C2691" s="334"/>
      <c r="D2691" s="188" t="s">
        <v>14452</v>
      </c>
      <c r="E2691" s="189" t="s">
        <v>14453</v>
      </c>
      <c r="F2691" s="162" t="s">
        <v>20194</v>
      </c>
      <c r="G2691" s="162" t="s">
        <v>13413</v>
      </c>
      <c r="H2691" s="219"/>
      <c r="I2691" s="169">
        <v>115042</v>
      </c>
      <c r="J2691" s="304" t="str">
        <f>CONCATENATE([2]Cover!$D$6,"fdd/view?i=",I2691)</f>
        <v>https://www.dgiwg.org/FAD/fdd/view?i=115042</v>
      </c>
      <c r="K2691" s="304" t="s">
        <v>36740</v>
      </c>
      <c r="L2691" s="188">
        <v>276</v>
      </c>
      <c r="M2691" s="179" t="s">
        <v>151</v>
      </c>
    </row>
    <row r="2692" spans="1:13" ht="25.5">
      <c r="A2692" s="313" t="str">
        <f t="shared" si="42"/>
        <v>DmeChannelCode_chan099Y</v>
      </c>
      <c r="B2692" s="330"/>
      <c r="C2692" s="334"/>
      <c r="D2692" s="188" t="s">
        <v>14455</v>
      </c>
      <c r="E2692" s="189" t="s">
        <v>14456</v>
      </c>
      <c r="F2692" s="162" t="s">
        <v>20195</v>
      </c>
      <c r="G2692" s="162" t="s">
        <v>13413</v>
      </c>
      <c r="H2692" s="219"/>
      <c r="I2692" s="169">
        <v>115043</v>
      </c>
      <c r="J2692" s="304" t="str">
        <f>CONCATENATE([2]Cover!$D$6,"fdd/view?i=",I2692)</f>
        <v>https://www.dgiwg.org/FAD/fdd/view?i=115043</v>
      </c>
      <c r="K2692" s="304" t="s">
        <v>36741</v>
      </c>
      <c r="L2692" s="188">
        <v>277</v>
      </c>
      <c r="M2692" s="179" t="s">
        <v>151</v>
      </c>
    </row>
    <row r="2693" spans="1:13" ht="25.5">
      <c r="A2693" s="313" t="str">
        <f t="shared" si="42"/>
        <v>DmeChannelCode_chan099Z</v>
      </c>
      <c r="B2693" s="330"/>
      <c r="C2693" s="334"/>
      <c r="D2693" s="188" t="s">
        <v>14458</v>
      </c>
      <c r="E2693" s="189" t="s">
        <v>14459</v>
      </c>
      <c r="F2693" s="162" t="s">
        <v>20196</v>
      </c>
      <c r="G2693" s="162" t="s">
        <v>13413</v>
      </c>
      <c r="H2693" s="219"/>
      <c r="I2693" s="169">
        <v>115044</v>
      </c>
      <c r="J2693" s="304" t="str">
        <f>CONCATENATE([2]Cover!$D$6,"fdd/view?i=",I2693)</f>
        <v>https://www.dgiwg.org/FAD/fdd/view?i=115044</v>
      </c>
      <c r="K2693" s="304" t="s">
        <v>36742</v>
      </c>
      <c r="L2693" s="188">
        <v>278</v>
      </c>
      <c r="M2693" s="179" t="s">
        <v>151</v>
      </c>
    </row>
    <row r="2694" spans="1:13" ht="25.5">
      <c r="A2694" s="313" t="str">
        <f t="shared" si="42"/>
        <v>DmeChannelCode_chan100X</v>
      </c>
      <c r="B2694" s="330"/>
      <c r="C2694" s="334"/>
      <c r="D2694" s="188" t="s">
        <v>13410</v>
      </c>
      <c r="E2694" s="189" t="s">
        <v>13411</v>
      </c>
      <c r="F2694" s="162" t="s">
        <v>19847</v>
      </c>
      <c r="G2694" s="162" t="s">
        <v>13413</v>
      </c>
      <c r="H2694" s="219"/>
      <c r="I2694" s="169">
        <v>115045</v>
      </c>
      <c r="J2694" s="304" t="str">
        <f>CONCATENATE([2]Cover!$D$6,"fdd/view?i=",I2694)</f>
        <v>https://www.dgiwg.org/FAD/fdd/view?i=115045</v>
      </c>
      <c r="K2694" s="304" t="s">
        <v>36743</v>
      </c>
      <c r="L2694" s="188">
        <v>279</v>
      </c>
      <c r="M2694" s="179" t="s">
        <v>151</v>
      </c>
    </row>
    <row r="2695" spans="1:13" ht="25.5">
      <c r="A2695" s="313" t="str">
        <f t="shared" si="42"/>
        <v>DmeChannelCode_chan100Y</v>
      </c>
      <c r="B2695" s="330"/>
      <c r="C2695" s="334"/>
      <c r="D2695" s="188" t="s">
        <v>13414</v>
      </c>
      <c r="E2695" s="189" t="s">
        <v>13415</v>
      </c>
      <c r="F2695" s="162" t="s">
        <v>19848</v>
      </c>
      <c r="G2695" s="162" t="s">
        <v>13413</v>
      </c>
      <c r="H2695" s="219"/>
      <c r="I2695" s="169">
        <v>115046</v>
      </c>
      <c r="J2695" s="304" t="str">
        <f>CONCATENATE([2]Cover!$D$6,"fdd/view?i=",I2695)</f>
        <v>https://www.dgiwg.org/FAD/fdd/view?i=115046</v>
      </c>
      <c r="K2695" s="304" t="s">
        <v>36744</v>
      </c>
      <c r="L2695" s="188">
        <v>280</v>
      </c>
      <c r="M2695" s="179" t="s">
        <v>151</v>
      </c>
    </row>
    <row r="2696" spans="1:13" ht="25.5">
      <c r="A2696" s="313" t="str">
        <f t="shared" si="42"/>
        <v>DmeChannelCode_chan100Z</v>
      </c>
      <c r="B2696" s="330"/>
      <c r="C2696" s="334"/>
      <c r="D2696" s="188" t="s">
        <v>13417</v>
      </c>
      <c r="E2696" s="189" t="s">
        <v>13418</v>
      </c>
      <c r="F2696" s="162" t="s">
        <v>19849</v>
      </c>
      <c r="G2696" s="162" t="s">
        <v>13413</v>
      </c>
      <c r="H2696" s="219"/>
      <c r="I2696" s="169">
        <v>115047</v>
      </c>
      <c r="J2696" s="304" t="str">
        <f>CONCATENATE([2]Cover!$D$6,"fdd/view?i=",I2696)</f>
        <v>https://www.dgiwg.org/FAD/fdd/view?i=115047</v>
      </c>
      <c r="K2696" s="304" t="s">
        <v>36745</v>
      </c>
      <c r="L2696" s="188">
        <v>281</v>
      </c>
      <c r="M2696" s="179" t="s">
        <v>151</v>
      </c>
    </row>
    <row r="2697" spans="1:13" ht="25.5">
      <c r="A2697" s="313" t="str">
        <f t="shared" si="42"/>
        <v>DmeChannelCode_chan101X</v>
      </c>
      <c r="B2697" s="330"/>
      <c r="C2697" s="334"/>
      <c r="D2697" s="188" t="s">
        <v>13420</v>
      </c>
      <c r="E2697" s="189" t="s">
        <v>13421</v>
      </c>
      <c r="F2697" s="162" t="s">
        <v>19850</v>
      </c>
      <c r="G2697" s="162" t="s">
        <v>13413</v>
      </c>
      <c r="H2697" s="219"/>
      <c r="I2697" s="169">
        <v>115048</v>
      </c>
      <c r="J2697" s="304" t="str">
        <f>CONCATENATE([2]Cover!$D$6,"fdd/view?i=",I2697)</f>
        <v>https://www.dgiwg.org/FAD/fdd/view?i=115048</v>
      </c>
      <c r="K2697" s="304" t="s">
        <v>36746</v>
      </c>
      <c r="L2697" s="188">
        <v>282</v>
      </c>
      <c r="M2697" s="179" t="s">
        <v>151</v>
      </c>
    </row>
    <row r="2698" spans="1:13" ht="25.5">
      <c r="A2698" s="313" t="str">
        <f t="shared" si="42"/>
        <v>DmeChannelCode_chan101Y</v>
      </c>
      <c r="B2698" s="330"/>
      <c r="C2698" s="334"/>
      <c r="D2698" s="188" t="s">
        <v>13423</v>
      </c>
      <c r="E2698" s="189" t="s">
        <v>13424</v>
      </c>
      <c r="F2698" s="162" t="s">
        <v>19851</v>
      </c>
      <c r="G2698" s="162" t="s">
        <v>13413</v>
      </c>
      <c r="H2698" s="219"/>
      <c r="I2698" s="169">
        <v>115049</v>
      </c>
      <c r="J2698" s="304" t="str">
        <f>CONCATENATE([2]Cover!$D$6,"fdd/view?i=",I2698)</f>
        <v>https://www.dgiwg.org/FAD/fdd/view?i=115049</v>
      </c>
      <c r="K2698" s="304" t="s">
        <v>36747</v>
      </c>
      <c r="L2698" s="188">
        <v>283</v>
      </c>
      <c r="M2698" s="179" t="s">
        <v>151</v>
      </c>
    </row>
    <row r="2699" spans="1:13" ht="25.5">
      <c r="A2699" s="313" t="str">
        <f t="shared" si="42"/>
        <v>DmeChannelCode_chan101Z</v>
      </c>
      <c r="B2699" s="330"/>
      <c r="C2699" s="334"/>
      <c r="D2699" s="188" t="s">
        <v>13426</v>
      </c>
      <c r="E2699" s="189" t="s">
        <v>13427</v>
      </c>
      <c r="F2699" s="162" t="s">
        <v>19852</v>
      </c>
      <c r="G2699" s="162" t="s">
        <v>13413</v>
      </c>
      <c r="H2699" s="219"/>
      <c r="I2699" s="169">
        <v>115050</v>
      </c>
      <c r="J2699" s="304" t="str">
        <f>CONCATENATE([2]Cover!$D$6,"fdd/view?i=",I2699)</f>
        <v>https://www.dgiwg.org/FAD/fdd/view?i=115050</v>
      </c>
      <c r="K2699" s="304" t="s">
        <v>36748</v>
      </c>
      <c r="L2699" s="188">
        <v>284</v>
      </c>
      <c r="M2699" s="179" t="s">
        <v>151</v>
      </c>
    </row>
    <row r="2700" spans="1:13" ht="25.5">
      <c r="A2700" s="313" t="str">
        <f t="shared" si="42"/>
        <v>DmeChannelCode_chan102X</v>
      </c>
      <c r="B2700" s="330"/>
      <c r="C2700" s="334"/>
      <c r="D2700" s="188" t="s">
        <v>13429</v>
      </c>
      <c r="E2700" s="189" t="s">
        <v>13430</v>
      </c>
      <c r="F2700" s="162" t="s">
        <v>19853</v>
      </c>
      <c r="G2700" s="162" t="s">
        <v>13413</v>
      </c>
      <c r="H2700" s="219"/>
      <c r="I2700" s="169">
        <v>115051</v>
      </c>
      <c r="J2700" s="304" t="str">
        <f>CONCATENATE([2]Cover!$D$6,"fdd/view?i=",I2700)</f>
        <v>https://www.dgiwg.org/FAD/fdd/view?i=115051</v>
      </c>
      <c r="K2700" s="304" t="s">
        <v>36749</v>
      </c>
      <c r="L2700" s="188">
        <v>285</v>
      </c>
      <c r="M2700" s="179" t="s">
        <v>151</v>
      </c>
    </row>
    <row r="2701" spans="1:13" ht="25.5">
      <c r="A2701" s="313" t="str">
        <f t="shared" si="42"/>
        <v>DmeChannelCode_chan102Y</v>
      </c>
      <c r="B2701" s="330"/>
      <c r="C2701" s="334"/>
      <c r="D2701" s="188" t="s">
        <v>13432</v>
      </c>
      <c r="E2701" s="189" t="s">
        <v>13433</v>
      </c>
      <c r="F2701" s="162" t="s">
        <v>19854</v>
      </c>
      <c r="G2701" s="162" t="s">
        <v>13413</v>
      </c>
      <c r="H2701" s="219"/>
      <c r="I2701" s="169">
        <v>115052</v>
      </c>
      <c r="J2701" s="304" t="str">
        <f>CONCATENATE([2]Cover!$D$6,"fdd/view?i=",I2701)</f>
        <v>https://www.dgiwg.org/FAD/fdd/view?i=115052</v>
      </c>
      <c r="K2701" s="304" t="s">
        <v>36750</v>
      </c>
      <c r="L2701" s="188">
        <v>286</v>
      </c>
      <c r="M2701" s="179" t="s">
        <v>151</v>
      </c>
    </row>
    <row r="2702" spans="1:13" ht="25.5">
      <c r="A2702" s="313" t="str">
        <f t="shared" si="42"/>
        <v>DmeChannelCode_chan102Z</v>
      </c>
      <c r="B2702" s="330"/>
      <c r="C2702" s="334"/>
      <c r="D2702" s="188" t="s">
        <v>13435</v>
      </c>
      <c r="E2702" s="189" t="s">
        <v>13436</v>
      </c>
      <c r="F2702" s="162" t="s">
        <v>19855</v>
      </c>
      <c r="G2702" s="162" t="s">
        <v>13413</v>
      </c>
      <c r="H2702" s="219"/>
      <c r="I2702" s="169">
        <v>115053</v>
      </c>
      <c r="J2702" s="304" t="str">
        <f>CONCATENATE([2]Cover!$D$6,"fdd/view?i=",I2702)</f>
        <v>https://www.dgiwg.org/FAD/fdd/view?i=115053</v>
      </c>
      <c r="K2702" s="304" t="s">
        <v>36751</v>
      </c>
      <c r="L2702" s="188">
        <v>287</v>
      </c>
      <c r="M2702" s="179" t="s">
        <v>151</v>
      </c>
    </row>
    <row r="2703" spans="1:13" ht="25.5">
      <c r="A2703" s="313" t="str">
        <f t="shared" si="42"/>
        <v>DmeChannelCode_chan103X</v>
      </c>
      <c r="B2703" s="330"/>
      <c r="C2703" s="334"/>
      <c r="D2703" s="188" t="s">
        <v>13438</v>
      </c>
      <c r="E2703" s="189" t="s">
        <v>13439</v>
      </c>
      <c r="F2703" s="162" t="s">
        <v>19856</v>
      </c>
      <c r="G2703" s="162" t="s">
        <v>13413</v>
      </c>
      <c r="H2703" s="219"/>
      <c r="I2703" s="169">
        <v>115054</v>
      </c>
      <c r="J2703" s="304" t="str">
        <f>CONCATENATE([2]Cover!$D$6,"fdd/view?i=",I2703)</f>
        <v>https://www.dgiwg.org/FAD/fdd/view?i=115054</v>
      </c>
      <c r="K2703" s="304" t="s">
        <v>36752</v>
      </c>
      <c r="L2703" s="188">
        <v>288</v>
      </c>
      <c r="M2703" s="179" t="s">
        <v>151</v>
      </c>
    </row>
    <row r="2704" spans="1:13" ht="25.5">
      <c r="A2704" s="313" t="str">
        <f t="shared" si="42"/>
        <v>DmeChannelCode_chan103Y</v>
      </c>
      <c r="B2704" s="330"/>
      <c r="C2704" s="334"/>
      <c r="D2704" s="188" t="s">
        <v>13441</v>
      </c>
      <c r="E2704" s="189" t="s">
        <v>13442</v>
      </c>
      <c r="F2704" s="162" t="s">
        <v>19857</v>
      </c>
      <c r="G2704" s="162" t="s">
        <v>13413</v>
      </c>
      <c r="H2704" s="219"/>
      <c r="I2704" s="169">
        <v>115055</v>
      </c>
      <c r="J2704" s="304" t="str">
        <f>CONCATENATE([2]Cover!$D$6,"fdd/view?i=",I2704)</f>
        <v>https://www.dgiwg.org/FAD/fdd/view?i=115055</v>
      </c>
      <c r="K2704" s="304" t="s">
        <v>36753</v>
      </c>
      <c r="L2704" s="188">
        <v>289</v>
      </c>
      <c r="M2704" s="179" t="s">
        <v>151</v>
      </c>
    </row>
    <row r="2705" spans="1:13" ht="25.5">
      <c r="A2705" s="313" t="str">
        <f t="shared" si="42"/>
        <v>DmeChannelCode_chan103Z</v>
      </c>
      <c r="B2705" s="330"/>
      <c r="C2705" s="334"/>
      <c r="D2705" s="188" t="s">
        <v>13444</v>
      </c>
      <c r="E2705" s="189" t="s">
        <v>13445</v>
      </c>
      <c r="F2705" s="162" t="s">
        <v>19858</v>
      </c>
      <c r="G2705" s="162" t="s">
        <v>13413</v>
      </c>
      <c r="H2705" s="219"/>
      <c r="I2705" s="169">
        <v>115056</v>
      </c>
      <c r="J2705" s="304" t="str">
        <f>CONCATENATE([2]Cover!$D$6,"fdd/view?i=",I2705)</f>
        <v>https://www.dgiwg.org/FAD/fdd/view?i=115056</v>
      </c>
      <c r="K2705" s="304" t="s">
        <v>36754</v>
      </c>
      <c r="L2705" s="188">
        <v>290</v>
      </c>
      <c r="M2705" s="179" t="s">
        <v>151</v>
      </c>
    </row>
    <row r="2706" spans="1:13" ht="25.5">
      <c r="A2706" s="313" t="str">
        <f t="shared" si="42"/>
        <v>DmeChannelCode_chan104X</v>
      </c>
      <c r="B2706" s="330"/>
      <c r="C2706" s="334"/>
      <c r="D2706" s="188" t="s">
        <v>13447</v>
      </c>
      <c r="E2706" s="189" t="s">
        <v>13448</v>
      </c>
      <c r="F2706" s="162" t="s">
        <v>19859</v>
      </c>
      <c r="G2706" s="162" t="s">
        <v>13413</v>
      </c>
      <c r="H2706" s="219"/>
      <c r="I2706" s="169">
        <v>115057</v>
      </c>
      <c r="J2706" s="304" t="str">
        <f>CONCATENATE([2]Cover!$D$6,"fdd/view?i=",I2706)</f>
        <v>https://www.dgiwg.org/FAD/fdd/view?i=115057</v>
      </c>
      <c r="K2706" s="304" t="s">
        <v>36755</v>
      </c>
      <c r="L2706" s="188">
        <v>291</v>
      </c>
      <c r="M2706" s="179" t="s">
        <v>151</v>
      </c>
    </row>
    <row r="2707" spans="1:13" ht="25.5">
      <c r="A2707" s="313" t="str">
        <f t="shared" si="42"/>
        <v>DmeChannelCode_chan104Y</v>
      </c>
      <c r="B2707" s="330"/>
      <c r="C2707" s="334"/>
      <c r="D2707" s="188" t="s">
        <v>13450</v>
      </c>
      <c r="E2707" s="189" t="s">
        <v>13451</v>
      </c>
      <c r="F2707" s="162" t="s">
        <v>19860</v>
      </c>
      <c r="G2707" s="162" t="s">
        <v>13413</v>
      </c>
      <c r="H2707" s="219"/>
      <c r="I2707" s="169">
        <v>115058</v>
      </c>
      <c r="J2707" s="304" t="str">
        <f>CONCATENATE([2]Cover!$D$6,"fdd/view?i=",I2707)</f>
        <v>https://www.dgiwg.org/FAD/fdd/view?i=115058</v>
      </c>
      <c r="K2707" s="304" t="s">
        <v>36756</v>
      </c>
      <c r="L2707" s="188">
        <v>292</v>
      </c>
      <c r="M2707" s="179" t="s">
        <v>151</v>
      </c>
    </row>
    <row r="2708" spans="1:13" ht="25.5">
      <c r="A2708" s="313" t="str">
        <f t="shared" si="42"/>
        <v>DmeChannelCode_chan104Z</v>
      </c>
      <c r="B2708" s="330"/>
      <c r="C2708" s="334"/>
      <c r="D2708" s="188" t="s">
        <v>13453</v>
      </c>
      <c r="E2708" s="189" t="s">
        <v>13454</v>
      </c>
      <c r="F2708" s="162" t="s">
        <v>19861</v>
      </c>
      <c r="G2708" s="162" t="s">
        <v>13413</v>
      </c>
      <c r="H2708" s="219"/>
      <c r="I2708" s="169">
        <v>115059</v>
      </c>
      <c r="J2708" s="304" t="str">
        <f>CONCATENATE([2]Cover!$D$6,"fdd/view?i=",I2708)</f>
        <v>https://www.dgiwg.org/FAD/fdd/view?i=115059</v>
      </c>
      <c r="K2708" s="304" t="s">
        <v>36757</v>
      </c>
      <c r="L2708" s="188">
        <v>293</v>
      </c>
      <c r="M2708" s="179" t="s">
        <v>151</v>
      </c>
    </row>
    <row r="2709" spans="1:13" ht="25.5">
      <c r="A2709" s="313" t="str">
        <f t="shared" si="42"/>
        <v>DmeChannelCode_chan105X</v>
      </c>
      <c r="B2709" s="330"/>
      <c r="C2709" s="334"/>
      <c r="D2709" s="188" t="s">
        <v>13456</v>
      </c>
      <c r="E2709" s="189" t="s">
        <v>13457</v>
      </c>
      <c r="F2709" s="162" t="s">
        <v>19862</v>
      </c>
      <c r="G2709" s="162" t="s">
        <v>13413</v>
      </c>
      <c r="H2709" s="219"/>
      <c r="I2709" s="169">
        <v>115060</v>
      </c>
      <c r="J2709" s="304" t="str">
        <f>CONCATENATE([2]Cover!$D$6,"fdd/view?i=",I2709)</f>
        <v>https://www.dgiwg.org/FAD/fdd/view?i=115060</v>
      </c>
      <c r="K2709" s="304" t="s">
        <v>36758</v>
      </c>
      <c r="L2709" s="188">
        <v>294</v>
      </c>
      <c r="M2709" s="179" t="s">
        <v>151</v>
      </c>
    </row>
    <row r="2710" spans="1:13" ht="25.5">
      <c r="A2710" s="313" t="str">
        <f t="shared" si="42"/>
        <v>DmeChannelCode_chan105Y</v>
      </c>
      <c r="B2710" s="330"/>
      <c r="C2710" s="334"/>
      <c r="D2710" s="188" t="s">
        <v>13459</v>
      </c>
      <c r="E2710" s="189" t="s">
        <v>13460</v>
      </c>
      <c r="F2710" s="162" t="s">
        <v>19863</v>
      </c>
      <c r="G2710" s="162" t="s">
        <v>13413</v>
      </c>
      <c r="H2710" s="219"/>
      <c r="I2710" s="169">
        <v>115061</v>
      </c>
      <c r="J2710" s="304" t="str">
        <f>CONCATENATE([2]Cover!$D$6,"fdd/view?i=",I2710)</f>
        <v>https://www.dgiwg.org/FAD/fdd/view?i=115061</v>
      </c>
      <c r="K2710" s="304" t="s">
        <v>36759</v>
      </c>
      <c r="L2710" s="188">
        <v>295</v>
      </c>
      <c r="M2710" s="179" t="s">
        <v>151</v>
      </c>
    </row>
    <row r="2711" spans="1:13" ht="25.5">
      <c r="A2711" s="313" t="str">
        <f t="shared" si="42"/>
        <v>DmeChannelCode_chan105Z</v>
      </c>
      <c r="B2711" s="330"/>
      <c r="C2711" s="334"/>
      <c r="D2711" s="188" t="s">
        <v>13462</v>
      </c>
      <c r="E2711" s="189" t="s">
        <v>13463</v>
      </c>
      <c r="F2711" s="162" t="s">
        <v>19864</v>
      </c>
      <c r="G2711" s="162" t="s">
        <v>13413</v>
      </c>
      <c r="H2711" s="219"/>
      <c r="I2711" s="169">
        <v>115062</v>
      </c>
      <c r="J2711" s="304" t="str">
        <f>CONCATENATE([2]Cover!$D$6,"fdd/view?i=",I2711)</f>
        <v>https://www.dgiwg.org/FAD/fdd/view?i=115062</v>
      </c>
      <c r="K2711" s="304" t="s">
        <v>36760</v>
      </c>
      <c r="L2711" s="188">
        <v>296</v>
      </c>
      <c r="M2711" s="179" t="s">
        <v>151</v>
      </c>
    </row>
    <row r="2712" spans="1:13" ht="25.5">
      <c r="A2712" s="313" t="str">
        <f t="shared" si="42"/>
        <v>DmeChannelCode_chan106X</v>
      </c>
      <c r="B2712" s="330"/>
      <c r="C2712" s="334"/>
      <c r="D2712" s="188" t="s">
        <v>13465</v>
      </c>
      <c r="E2712" s="189" t="s">
        <v>13466</v>
      </c>
      <c r="F2712" s="162" t="s">
        <v>19865</v>
      </c>
      <c r="G2712" s="162" t="s">
        <v>13413</v>
      </c>
      <c r="H2712" s="219"/>
      <c r="I2712" s="169">
        <v>115063</v>
      </c>
      <c r="J2712" s="304" t="str">
        <f>CONCATENATE([2]Cover!$D$6,"fdd/view?i=",I2712)</f>
        <v>https://www.dgiwg.org/FAD/fdd/view?i=115063</v>
      </c>
      <c r="K2712" s="304" t="s">
        <v>36761</v>
      </c>
      <c r="L2712" s="188">
        <v>297</v>
      </c>
      <c r="M2712" s="179" t="s">
        <v>151</v>
      </c>
    </row>
    <row r="2713" spans="1:13" ht="25.5">
      <c r="A2713" s="313" t="str">
        <f t="shared" si="42"/>
        <v>DmeChannelCode_chan106Y</v>
      </c>
      <c r="B2713" s="330"/>
      <c r="C2713" s="334"/>
      <c r="D2713" s="188" t="s">
        <v>13468</v>
      </c>
      <c r="E2713" s="189" t="s">
        <v>13469</v>
      </c>
      <c r="F2713" s="162" t="s">
        <v>19866</v>
      </c>
      <c r="G2713" s="162" t="s">
        <v>13413</v>
      </c>
      <c r="H2713" s="219"/>
      <c r="I2713" s="169">
        <v>115064</v>
      </c>
      <c r="J2713" s="304" t="str">
        <f>CONCATENATE([2]Cover!$D$6,"fdd/view?i=",I2713)</f>
        <v>https://www.dgiwg.org/FAD/fdd/view?i=115064</v>
      </c>
      <c r="K2713" s="304" t="s">
        <v>36762</v>
      </c>
      <c r="L2713" s="188">
        <v>298</v>
      </c>
      <c r="M2713" s="179" t="s">
        <v>151</v>
      </c>
    </row>
    <row r="2714" spans="1:13" ht="25.5">
      <c r="A2714" s="313" t="str">
        <f t="shared" si="42"/>
        <v>DmeChannelCode_chan106Z</v>
      </c>
      <c r="B2714" s="330"/>
      <c r="C2714" s="334"/>
      <c r="D2714" s="188" t="s">
        <v>13471</v>
      </c>
      <c r="E2714" s="189" t="s">
        <v>13472</v>
      </c>
      <c r="F2714" s="162" t="s">
        <v>19867</v>
      </c>
      <c r="G2714" s="162" t="s">
        <v>13413</v>
      </c>
      <c r="H2714" s="219"/>
      <c r="I2714" s="169">
        <v>115065</v>
      </c>
      <c r="J2714" s="304" t="str">
        <f>CONCATENATE([2]Cover!$D$6,"fdd/view?i=",I2714)</f>
        <v>https://www.dgiwg.org/FAD/fdd/view?i=115065</v>
      </c>
      <c r="K2714" s="304" t="s">
        <v>36763</v>
      </c>
      <c r="L2714" s="188">
        <v>299</v>
      </c>
      <c r="M2714" s="179" t="s">
        <v>151</v>
      </c>
    </row>
    <row r="2715" spans="1:13" ht="25.5">
      <c r="A2715" s="313" t="str">
        <f t="shared" si="42"/>
        <v>DmeChannelCode_chan107X</v>
      </c>
      <c r="B2715" s="330"/>
      <c r="C2715" s="334"/>
      <c r="D2715" s="188" t="s">
        <v>13474</v>
      </c>
      <c r="E2715" s="189" t="s">
        <v>13475</v>
      </c>
      <c r="F2715" s="162" t="s">
        <v>19868</v>
      </c>
      <c r="G2715" s="162" t="s">
        <v>13413</v>
      </c>
      <c r="H2715" s="219"/>
      <c r="I2715" s="169">
        <v>115066</v>
      </c>
      <c r="J2715" s="304" t="str">
        <f>CONCATENATE([2]Cover!$D$6,"fdd/view?i=",I2715)</f>
        <v>https://www.dgiwg.org/FAD/fdd/view?i=115066</v>
      </c>
      <c r="K2715" s="304" t="s">
        <v>36764</v>
      </c>
      <c r="L2715" s="188">
        <v>300</v>
      </c>
      <c r="M2715" s="179" t="s">
        <v>151</v>
      </c>
    </row>
    <row r="2716" spans="1:13" ht="25.5">
      <c r="A2716" s="313" t="str">
        <f t="shared" si="42"/>
        <v>DmeChannelCode_chan107Y</v>
      </c>
      <c r="B2716" s="330"/>
      <c r="C2716" s="334"/>
      <c r="D2716" s="188" t="s">
        <v>13477</v>
      </c>
      <c r="E2716" s="189" t="s">
        <v>13478</v>
      </c>
      <c r="F2716" s="162" t="s">
        <v>19869</v>
      </c>
      <c r="G2716" s="162" t="s">
        <v>13413</v>
      </c>
      <c r="H2716" s="219"/>
      <c r="I2716" s="169">
        <v>115067</v>
      </c>
      <c r="J2716" s="304" t="str">
        <f>CONCATENATE([2]Cover!$D$6,"fdd/view?i=",I2716)</f>
        <v>https://www.dgiwg.org/FAD/fdd/view?i=115067</v>
      </c>
      <c r="K2716" s="304" t="s">
        <v>36765</v>
      </c>
      <c r="L2716" s="188">
        <v>301</v>
      </c>
      <c r="M2716" s="179" t="s">
        <v>151</v>
      </c>
    </row>
    <row r="2717" spans="1:13" ht="25.5">
      <c r="A2717" s="313" t="str">
        <f t="shared" si="42"/>
        <v>DmeChannelCode_chan107Z</v>
      </c>
      <c r="B2717" s="330"/>
      <c r="C2717" s="334"/>
      <c r="D2717" s="188" t="s">
        <v>13480</v>
      </c>
      <c r="E2717" s="189" t="s">
        <v>13481</v>
      </c>
      <c r="F2717" s="162" t="s">
        <v>19870</v>
      </c>
      <c r="G2717" s="162" t="s">
        <v>13413</v>
      </c>
      <c r="H2717" s="219"/>
      <c r="I2717" s="169">
        <v>115068</v>
      </c>
      <c r="J2717" s="304" t="str">
        <f>CONCATENATE([2]Cover!$D$6,"fdd/view?i=",I2717)</f>
        <v>https://www.dgiwg.org/FAD/fdd/view?i=115068</v>
      </c>
      <c r="K2717" s="304" t="s">
        <v>36766</v>
      </c>
      <c r="L2717" s="188">
        <v>302</v>
      </c>
      <c r="M2717" s="179" t="s">
        <v>151</v>
      </c>
    </row>
    <row r="2718" spans="1:13" ht="25.5">
      <c r="A2718" s="313" t="str">
        <f t="shared" si="42"/>
        <v>DmeChannelCode_chan108X</v>
      </c>
      <c r="B2718" s="330"/>
      <c r="C2718" s="334"/>
      <c r="D2718" s="188" t="s">
        <v>13483</v>
      </c>
      <c r="E2718" s="189" t="s">
        <v>13484</v>
      </c>
      <c r="F2718" s="162" t="s">
        <v>19871</v>
      </c>
      <c r="G2718" s="162" t="s">
        <v>13413</v>
      </c>
      <c r="H2718" s="219"/>
      <c r="I2718" s="169">
        <v>115069</v>
      </c>
      <c r="J2718" s="304" t="str">
        <f>CONCATENATE([2]Cover!$D$6,"fdd/view?i=",I2718)</f>
        <v>https://www.dgiwg.org/FAD/fdd/view?i=115069</v>
      </c>
      <c r="K2718" s="304" t="s">
        <v>36767</v>
      </c>
      <c r="L2718" s="188">
        <v>303</v>
      </c>
      <c r="M2718" s="179" t="s">
        <v>151</v>
      </c>
    </row>
    <row r="2719" spans="1:13" ht="25.5">
      <c r="A2719" s="313" t="str">
        <f t="shared" si="42"/>
        <v>DmeChannelCode_chan108Y</v>
      </c>
      <c r="B2719" s="330"/>
      <c r="C2719" s="334"/>
      <c r="D2719" s="188" t="s">
        <v>13486</v>
      </c>
      <c r="E2719" s="189" t="s">
        <v>13487</v>
      </c>
      <c r="F2719" s="162" t="s">
        <v>19872</v>
      </c>
      <c r="G2719" s="162" t="s">
        <v>13413</v>
      </c>
      <c r="H2719" s="219"/>
      <c r="I2719" s="169">
        <v>115070</v>
      </c>
      <c r="J2719" s="304" t="str">
        <f>CONCATENATE([2]Cover!$D$6,"fdd/view?i=",I2719)</f>
        <v>https://www.dgiwg.org/FAD/fdd/view?i=115070</v>
      </c>
      <c r="K2719" s="304" t="s">
        <v>36768</v>
      </c>
      <c r="L2719" s="188">
        <v>304</v>
      </c>
      <c r="M2719" s="179" t="s">
        <v>151</v>
      </c>
    </row>
    <row r="2720" spans="1:13" ht="25.5">
      <c r="A2720" s="313" t="str">
        <f t="shared" si="42"/>
        <v>DmeChannelCode_chan108Z</v>
      </c>
      <c r="B2720" s="330"/>
      <c r="C2720" s="334"/>
      <c r="D2720" s="188" t="s">
        <v>13489</v>
      </c>
      <c r="E2720" s="189" t="s">
        <v>13490</v>
      </c>
      <c r="F2720" s="162" t="s">
        <v>19873</v>
      </c>
      <c r="G2720" s="162" t="s">
        <v>13413</v>
      </c>
      <c r="H2720" s="219"/>
      <c r="I2720" s="169">
        <v>115071</v>
      </c>
      <c r="J2720" s="304" t="str">
        <f>CONCATENATE([2]Cover!$D$6,"fdd/view?i=",I2720)</f>
        <v>https://www.dgiwg.org/FAD/fdd/view?i=115071</v>
      </c>
      <c r="K2720" s="304" t="s">
        <v>36769</v>
      </c>
      <c r="L2720" s="188">
        <v>305</v>
      </c>
      <c r="M2720" s="179" t="s">
        <v>151</v>
      </c>
    </row>
    <row r="2721" spans="1:13" ht="25.5">
      <c r="A2721" s="313" t="str">
        <f t="shared" si="42"/>
        <v>DmeChannelCode_chan109X</v>
      </c>
      <c r="B2721" s="330"/>
      <c r="C2721" s="334"/>
      <c r="D2721" s="188" t="s">
        <v>13492</v>
      </c>
      <c r="E2721" s="189" t="s">
        <v>13493</v>
      </c>
      <c r="F2721" s="162" t="s">
        <v>19874</v>
      </c>
      <c r="G2721" s="162" t="s">
        <v>13413</v>
      </c>
      <c r="H2721" s="219"/>
      <c r="I2721" s="169">
        <v>115072</v>
      </c>
      <c r="J2721" s="304" t="str">
        <f>CONCATENATE([2]Cover!$D$6,"fdd/view?i=",I2721)</f>
        <v>https://www.dgiwg.org/FAD/fdd/view?i=115072</v>
      </c>
      <c r="K2721" s="304" t="s">
        <v>36770</v>
      </c>
      <c r="L2721" s="188">
        <v>306</v>
      </c>
      <c r="M2721" s="179" t="s">
        <v>151</v>
      </c>
    </row>
    <row r="2722" spans="1:13" ht="25.5">
      <c r="A2722" s="313" t="str">
        <f t="shared" si="42"/>
        <v>DmeChannelCode_chan109Y</v>
      </c>
      <c r="B2722" s="330"/>
      <c r="C2722" s="334"/>
      <c r="D2722" s="188" t="s">
        <v>13495</v>
      </c>
      <c r="E2722" s="189" t="s">
        <v>13496</v>
      </c>
      <c r="F2722" s="162" t="s">
        <v>19875</v>
      </c>
      <c r="G2722" s="162" t="s">
        <v>13413</v>
      </c>
      <c r="H2722" s="219"/>
      <c r="I2722" s="169">
        <v>115073</v>
      </c>
      <c r="J2722" s="304" t="str">
        <f>CONCATENATE([2]Cover!$D$6,"fdd/view?i=",I2722)</f>
        <v>https://www.dgiwg.org/FAD/fdd/view?i=115073</v>
      </c>
      <c r="K2722" s="304" t="s">
        <v>36771</v>
      </c>
      <c r="L2722" s="188">
        <v>307</v>
      </c>
      <c r="M2722" s="179" t="s">
        <v>151</v>
      </c>
    </row>
    <row r="2723" spans="1:13" ht="25.5">
      <c r="A2723" s="313" t="str">
        <f t="shared" si="42"/>
        <v>DmeChannelCode_chan109Z</v>
      </c>
      <c r="B2723" s="330"/>
      <c r="C2723" s="334"/>
      <c r="D2723" s="188" t="s">
        <v>13498</v>
      </c>
      <c r="E2723" s="189" t="s">
        <v>13499</v>
      </c>
      <c r="F2723" s="162" t="s">
        <v>19876</v>
      </c>
      <c r="G2723" s="162" t="s">
        <v>13413</v>
      </c>
      <c r="H2723" s="219"/>
      <c r="I2723" s="169">
        <v>115074</v>
      </c>
      <c r="J2723" s="304" t="str">
        <f>CONCATENATE([2]Cover!$D$6,"fdd/view?i=",I2723)</f>
        <v>https://www.dgiwg.org/FAD/fdd/view?i=115074</v>
      </c>
      <c r="K2723" s="304" t="s">
        <v>36772</v>
      </c>
      <c r="L2723" s="188">
        <v>308</v>
      </c>
      <c r="M2723" s="179" t="s">
        <v>151</v>
      </c>
    </row>
    <row r="2724" spans="1:13" ht="25.5">
      <c r="A2724" s="313" t="str">
        <f t="shared" si="42"/>
        <v>DmeChannelCode_chan110X</v>
      </c>
      <c r="B2724" s="330"/>
      <c r="C2724" s="334"/>
      <c r="D2724" s="188" t="s">
        <v>13507</v>
      </c>
      <c r="E2724" s="189" t="s">
        <v>13508</v>
      </c>
      <c r="F2724" s="162" t="s">
        <v>19879</v>
      </c>
      <c r="G2724" s="162" t="s">
        <v>13413</v>
      </c>
      <c r="H2724" s="219"/>
      <c r="I2724" s="169">
        <v>115075</v>
      </c>
      <c r="J2724" s="304" t="str">
        <f>CONCATENATE([2]Cover!$D$6,"fdd/view?i=",I2724)</f>
        <v>https://www.dgiwg.org/FAD/fdd/view?i=115075</v>
      </c>
      <c r="K2724" s="304" t="s">
        <v>36773</v>
      </c>
      <c r="L2724" s="188">
        <v>309</v>
      </c>
      <c r="M2724" s="179" t="s">
        <v>151</v>
      </c>
    </row>
    <row r="2725" spans="1:13" ht="25.5">
      <c r="A2725" s="313" t="str">
        <f t="shared" si="42"/>
        <v>DmeChannelCode_chan110Y</v>
      </c>
      <c r="B2725" s="330"/>
      <c r="C2725" s="334"/>
      <c r="D2725" s="188" t="s">
        <v>13510</v>
      </c>
      <c r="E2725" s="189" t="s">
        <v>13511</v>
      </c>
      <c r="F2725" s="162" t="s">
        <v>19880</v>
      </c>
      <c r="G2725" s="162" t="s">
        <v>13413</v>
      </c>
      <c r="H2725" s="219"/>
      <c r="I2725" s="169">
        <v>115076</v>
      </c>
      <c r="J2725" s="304" t="str">
        <f>CONCATENATE([2]Cover!$D$6,"fdd/view?i=",I2725)</f>
        <v>https://www.dgiwg.org/FAD/fdd/view?i=115076</v>
      </c>
      <c r="K2725" s="304" t="s">
        <v>36774</v>
      </c>
      <c r="L2725" s="188">
        <v>310</v>
      </c>
      <c r="M2725" s="179" t="s">
        <v>151</v>
      </c>
    </row>
    <row r="2726" spans="1:13" ht="25.5">
      <c r="A2726" s="313" t="str">
        <f t="shared" si="42"/>
        <v>DmeChannelCode_chan110Z</v>
      </c>
      <c r="B2726" s="330"/>
      <c r="C2726" s="334"/>
      <c r="D2726" s="188" t="s">
        <v>13513</v>
      </c>
      <c r="E2726" s="189" t="s">
        <v>13514</v>
      </c>
      <c r="F2726" s="162" t="s">
        <v>19881</v>
      </c>
      <c r="G2726" s="162" t="s">
        <v>13413</v>
      </c>
      <c r="H2726" s="219"/>
      <c r="I2726" s="169">
        <v>115077</v>
      </c>
      <c r="J2726" s="304" t="str">
        <f>CONCATENATE([2]Cover!$D$6,"fdd/view?i=",I2726)</f>
        <v>https://www.dgiwg.org/FAD/fdd/view?i=115077</v>
      </c>
      <c r="K2726" s="304" t="s">
        <v>36775</v>
      </c>
      <c r="L2726" s="188">
        <v>311</v>
      </c>
      <c r="M2726" s="179" t="s">
        <v>151</v>
      </c>
    </row>
    <row r="2727" spans="1:13" ht="25.5">
      <c r="A2727" s="313" t="str">
        <f t="shared" si="42"/>
        <v>DmeChannelCode_chan111X</v>
      </c>
      <c r="B2727" s="330"/>
      <c r="C2727" s="334"/>
      <c r="D2727" s="188" t="s">
        <v>13516</v>
      </c>
      <c r="E2727" s="189" t="s">
        <v>13517</v>
      </c>
      <c r="F2727" s="162" t="s">
        <v>19882</v>
      </c>
      <c r="G2727" s="162" t="s">
        <v>13413</v>
      </c>
      <c r="H2727" s="219"/>
      <c r="I2727" s="169">
        <v>115078</v>
      </c>
      <c r="J2727" s="304" t="str">
        <f>CONCATENATE([2]Cover!$D$6,"fdd/view?i=",I2727)</f>
        <v>https://www.dgiwg.org/FAD/fdd/view?i=115078</v>
      </c>
      <c r="K2727" s="304" t="s">
        <v>36776</v>
      </c>
      <c r="L2727" s="188">
        <v>312</v>
      </c>
      <c r="M2727" s="179" t="s">
        <v>151</v>
      </c>
    </row>
    <row r="2728" spans="1:13" ht="25.5">
      <c r="A2728" s="313" t="str">
        <f t="shared" si="42"/>
        <v>DmeChannelCode_chan111Y</v>
      </c>
      <c r="B2728" s="330"/>
      <c r="C2728" s="334"/>
      <c r="D2728" s="188" t="s">
        <v>13519</v>
      </c>
      <c r="E2728" s="189" t="s">
        <v>13520</v>
      </c>
      <c r="F2728" s="162" t="s">
        <v>19883</v>
      </c>
      <c r="G2728" s="162" t="s">
        <v>13413</v>
      </c>
      <c r="H2728" s="219"/>
      <c r="I2728" s="169">
        <v>115079</v>
      </c>
      <c r="J2728" s="304" t="str">
        <f>CONCATENATE([2]Cover!$D$6,"fdd/view?i=",I2728)</f>
        <v>https://www.dgiwg.org/FAD/fdd/view?i=115079</v>
      </c>
      <c r="K2728" s="304" t="s">
        <v>36777</v>
      </c>
      <c r="L2728" s="188">
        <v>313</v>
      </c>
      <c r="M2728" s="179" t="s">
        <v>151</v>
      </c>
    </row>
    <row r="2729" spans="1:13" ht="25.5">
      <c r="A2729" s="313" t="str">
        <f t="shared" si="42"/>
        <v>DmeChannelCode_chan111Z</v>
      </c>
      <c r="B2729" s="330"/>
      <c r="C2729" s="334"/>
      <c r="D2729" s="188" t="s">
        <v>13522</v>
      </c>
      <c r="E2729" s="189" t="s">
        <v>13523</v>
      </c>
      <c r="F2729" s="162" t="s">
        <v>19884</v>
      </c>
      <c r="G2729" s="162" t="s">
        <v>13413</v>
      </c>
      <c r="H2729" s="219"/>
      <c r="I2729" s="169">
        <v>115080</v>
      </c>
      <c r="J2729" s="304" t="str">
        <f>CONCATENATE([2]Cover!$D$6,"fdd/view?i=",I2729)</f>
        <v>https://www.dgiwg.org/FAD/fdd/view?i=115080</v>
      </c>
      <c r="K2729" s="304" t="s">
        <v>36778</v>
      </c>
      <c r="L2729" s="188">
        <v>314</v>
      </c>
      <c r="M2729" s="179" t="s">
        <v>151</v>
      </c>
    </row>
    <row r="2730" spans="1:13" ht="25.5">
      <c r="A2730" s="313" t="str">
        <f t="shared" si="42"/>
        <v>DmeChannelCode_chan112X</v>
      </c>
      <c r="B2730" s="330"/>
      <c r="C2730" s="334"/>
      <c r="D2730" s="188" t="s">
        <v>13525</v>
      </c>
      <c r="E2730" s="189" t="s">
        <v>13526</v>
      </c>
      <c r="F2730" s="162" t="s">
        <v>19885</v>
      </c>
      <c r="G2730" s="162" t="s">
        <v>13413</v>
      </c>
      <c r="H2730" s="219"/>
      <c r="I2730" s="169">
        <v>115081</v>
      </c>
      <c r="J2730" s="304" t="str">
        <f>CONCATENATE([2]Cover!$D$6,"fdd/view?i=",I2730)</f>
        <v>https://www.dgiwg.org/FAD/fdd/view?i=115081</v>
      </c>
      <c r="K2730" s="304" t="s">
        <v>36779</v>
      </c>
      <c r="L2730" s="188">
        <v>315</v>
      </c>
      <c r="M2730" s="179" t="s">
        <v>151</v>
      </c>
    </row>
    <row r="2731" spans="1:13" ht="25.5">
      <c r="A2731" s="313" t="str">
        <f t="shared" si="42"/>
        <v>DmeChannelCode_chan112Y</v>
      </c>
      <c r="B2731" s="330"/>
      <c r="C2731" s="334"/>
      <c r="D2731" s="188" t="s">
        <v>13528</v>
      </c>
      <c r="E2731" s="189" t="s">
        <v>13529</v>
      </c>
      <c r="F2731" s="162" t="s">
        <v>19886</v>
      </c>
      <c r="G2731" s="162" t="s">
        <v>13413</v>
      </c>
      <c r="H2731" s="219"/>
      <c r="I2731" s="169">
        <v>115082</v>
      </c>
      <c r="J2731" s="304" t="str">
        <f>CONCATENATE([2]Cover!$D$6,"fdd/view?i=",I2731)</f>
        <v>https://www.dgiwg.org/FAD/fdd/view?i=115082</v>
      </c>
      <c r="K2731" s="304" t="s">
        <v>36780</v>
      </c>
      <c r="L2731" s="188">
        <v>316</v>
      </c>
      <c r="M2731" s="179" t="s">
        <v>151</v>
      </c>
    </row>
    <row r="2732" spans="1:13" ht="25.5">
      <c r="A2732" s="313" t="str">
        <f t="shared" si="42"/>
        <v>DmeChannelCode_chan112Z</v>
      </c>
      <c r="B2732" s="330"/>
      <c r="C2732" s="334"/>
      <c r="D2732" s="188" t="s">
        <v>13531</v>
      </c>
      <c r="E2732" s="189" t="s">
        <v>13532</v>
      </c>
      <c r="F2732" s="162" t="s">
        <v>19887</v>
      </c>
      <c r="G2732" s="162" t="s">
        <v>13413</v>
      </c>
      <c r="H2732" s="219"/>
      <c r="I2732" s="169">
        <v>115083</v>
      </c>
      <c r="J2732" s="304" t="str">
        <f>CONCATENATE([2]Cover!$D$6,"fdd/view?i=",I2732)</f>
        <v>https://www.dgiwg.org/FAD/fdd/view?i=115083</v>
      </c>
      <c r="K2732" s="304" t="s">
        <v>36781</v>
      </c>
      <c r="L2732" s="188">
        <v>317</v>
      </c>
      <c r="M2732" s="179" t="s">
        <v>151</v>
      </c>
    </row>
    <row r="2733" spans="1:13" ht="25.5">
      <c r="A2733" s="313" t="str">
        <f t="shared" si="42"/>
        <v>DmeChannelCode_chan113X</v>
      </c>
      <c r="B2733" s="330"/>
      <c r="C2733" s="334"/>
      <c r="D2733" s="188" t="s">
        <v>13534</v>
      </c>
      <c r="E2733" s="189" t="s">
        <v>13535</v>
      </c>
      <c r="F2733" s="162" t="s">
        <v>19888</v>
      </c>
      <c r="G2733" s="162" t="s">
        <v>13413</v>
      </c>
      <c r="H2733" s="219"/>
      <c r="I2733" s="169">
        <v>115084</v>
      </c>
      <c r="J2733" s="304" t="str">
        <f>CONCATENATE([2]Cover!$D$6,"fdd/view?i=",I2733)</f>
        <v>https://www.dgiwg.org/FAD/fdd/view?i=115084</v>
      </c>
      <c r="K2733" s="304" t="s">
        <v>36782</v>
      </c>
      <c r="L2733" s="188">
        <v>318</v>
      </c>
      <c r="M2733" s="179" t="s">
        <v>151</v>
      </c>
    </row>
    <row r="2734" spans="1:13" ht="25.5">
      <c r="A2734" s="313" t="str">
        <f t="shared" si="42"/>
        <v>DmeChannelCode_chan113Y</v>
      </c>
      <c r="B2734" s="330"/>
      <c r="C2734" s="334"/>
      <c r="D2734" s="188" t="s">
        <v>13537</v>
      </c>
      <c r="E2734" s="189" t="s">
        <v>13538</v>
      </c>
      <c r="F2734" s="162" t="s">
        <v>19889</v>
      </c>
      <c r="G2734" s="162" t="s">
        <v>13413</v>
      </c>
      <c r="H2734" s="219"/>
      <c r="I2734" s="169">
        <v>115085</v>
      </c>
      <c r="J2734" s="304" t="str">
        <f>CONCATENATE([2]Cover!$D$6,"fdd/view?i=",I2734)</f>
        <v>https://www.dgiwg.org/FAD/fdd/view?i=115085</v>
      </c>
      <c r="K2734" s="304" t="s">
        <v>36783</v>
      </c>
      <c r="L2734" s="188">
        <v>319</v>
      </c>
      <c r="M2734" s="179" t="s">
        <v>151</v>
      </c>
    </row>
    <row r="2735" spans="1:13" ht="25.5">
      <c r="A2735" s="313" t="str">
        <f t="shared" si="42"/>
        <v>DmeChannelCode_chan113Z</v>
      </c>
      <c r="B2735" s="330"/>
      <c r="C2735" s="334"/>
      <c r="D2735" s="188" t="s">
        <v>13540</v>
      </c>
      <c r="E2735" s="189" t="s">
        <v>13541</v>
      </c>
      <c r="F2735" s="162" t="s">
        <v>19890</v>
      </c>
      <c r="G2735" s="162" t="s">
        <v>13413</v>
      </c>
      <c r="H2735" s="219"/>
      <c r="I2735" s="169">
        <v>115086</v>
      </c>
      <c r="J2735" s="304" t="str">
        <f>CONCATENATE([2]Cover!$D$6,"fdd/view?i=",I2735)</f>
        <v>https://www.dgiwg.org/FAD/fdd/view?i=115086</v>
      </c>
      <c r="K2735" s="304" t="s">
        <v>36784</v>
      </c>
      <c r="L2735" s="188">
        <v>320</v>
      </c>
      <c r="M2735" s="179" t="s">
        <v>151</v>
      </c>
    </row>
    <row r="2736" spans="1:13" ht="25.5">
      <c r="A2736" s="313" t="str">
        <f t="shared" si="42"/>
        <v>DmeChannelCode_chan114X</v>
      </c>
      <c r="B2736" s="330"/>
      <c r="C2736" s="334"/>
      <c r="D2736" s="188" t="s">
        <v>13543</v>
      </c>
      <c r="E2736" s="189" t="s">
        <v>13544</v>
      </c>
      <c r="F2736" s="162" t="s">
        <v>19891</v>
      </c>
      <c r="G2736" s="162" t="s">
        <v>13413</v>
      </c>
      <c r="H2736" s="219"/>
      <c r="I2736" s="169">
        <v>115087</v>
      </c>
      <c r="J2736" s="304" t="str">
        <f>CONCATENATE([2]Cover!$D$6,"fdd/view?i=",I2736)</f>
        <v>https://www.dgiwg.org/FAD/fdd/view?i=115087</v>
      </c>
      <c r="K2736" s="304" t="s">
        <v>36785</v>
      </c>
      <c r="L2736" s="188">
        <v>321</v>
      </c>
      <c r="M2736" s="179" t="s">
        <v>151</v>
      </c>
    </row>
    <row r="2737" spans="1:13" ht="25.5">
      <c r="A2737" s="313" t="str">
        <f t="shared" si="42"/>
        <v>DmeChannelCode_chan114Y</v>
      </c>
      <c r="B2737" s="330"/>
      <c r="C2737" s="334"/>
      <c r="D2737" s="188" t="s">
        <v>13546</v>
      </c>
      <c r="E2737" s="189" t="s">
        <v>13547</v>
      </c>
      <c r="F2737" s="162" t="s">
        <v>19892</v>
      </c>
      <c r="G2737" s="162" t="s">
        <v>13413</v>
      </c>
      <c r="H2737" s="219"/>
      <c r="I2737" s="169">
        <v>115088</v>
      </c>
      <c r="J2737" s="304" t="str">
        <f>CONCATENATE([2]Cover!$D$6,"fdd/view?i=",I2737)</f>
        <v>https://www.dgiwg.org/FAD/fdd/view?i=115088</v>
      </c>
      <c r="K2737" s="304" t="s">
        <v>36786</v>
      </c>
      <c r="L2737" s="188">
        <v>322</v>
      </c>
      <c r="M2737" s="179" t="s">
        <v>151</v>
      </c>
    </row>
    <row r="2738" spans="1:13" ht="25.5">
      <c r="A2738" s="313" t="str">
        <f t="shared" si="42"/>
        <v>DmeChannelCode_chan114Z</v>
      </c>
      <c r="B2738" s="330"/>
      <c r="C2738" s="334"/>
      <c r="D2738" s="188" t="s">
        <v>13549</v>
      </c>
      <c r="E2738" s="189" t="s">
        <v>13550</v>
      </c>
      <c r="F2738" s="162" t="s">
        <v>19893</v>
      </c>
      <c r="G2738" s="162" t="s">
        <v>13413</v>
      </c>
      <c r="H2738" s="219"/>
      <c r="I2738" s="169">
        <v>115089</v>
      </c>
      <c r="J2738" s="304" t="str">
        <f>CONCATENATE([2]Cover!$D$6,"fdd/view?i=",I2738)</f>
        <v>https://www.dgiwg.org/FAD/fdd/view?i=115089</v>
      </c>
      <c r="K2738" s="304" t="s">
        <v>36787</v>
      </c>
      <c r="L2738" s="188">
        <v>323</v>
      </c>
      <c r="M2738" s="179" t="s">
        <v>151</v>
      </c>
    </row>
    <row r="2739" spans="1:13" ht="25.5">
      <c r="A2739" s="313" t="str">
        <f t="shared" si="42"/>
        <v>DmeChannelCode_chan115X</v>
      </c>
      <c r="B2739" s="330"/>
      <c r="C2739" s="334"/>
      <c r="D2739" s="188" t="s">
        <v>13552</v>
      </c>
      <c r="E2739" s="189" t="s">
        <v>13553</v>
      </c>
      <c r="F2739" s="162" t="s">
        <v>19894</v>
      </c>
      <c r="G2739" s="162" t="s">
        <v>13413</v>
      </c>
      <c r="H2739" s="219"/>
      <c r="I2739" s="169">
        <v>115090</v>
      </c>
      <c r="J2739" s="304" t="str">
        <f>CONCATENATE([2]Cover!$D$6,"fdd/view?i=",I2739)</f>
        <v>https://www.dgiwg.org/FAD/fdd/view?i=115090</v>
      </c>
      <c r="K2739" s="304" t="s">
        <v>36788</v>
      </c>
      <c r="L2739" s="188">
        <v>324</v>
      </c>
      <c r="M2739" s="179" t="s">
        <v>151</v>
      </c>
    </row>
    <row r="2740" spans="1:13" ht="25.5">
      <c r="A2740" s="313" t="str">
        <f t="shared" si="42"/>
        <v>DmeChannelCode_chan115Y</v>
      </c>
      <c r="B2740" s="330"/>
      <c r="C2740" s="334"/>
      <c r="D2740" s="188" t="s">
        <v>13555</v>
      </c>
      <c r="E2740" s="189" t="s">
        <v>13556</v>
      </c>
      <c r="F2740" s="162" t="s">
        <v>19895</v>
      </c>
      <c r="G2740" s="162" t="s">
        <v>13413</v>
      </c>
      <c r="H2740" s="219"/>
      <c r="I2740" s="169">
        <v>115091</v>
      </c>
      <c r="J2740" s="304" t="str">
        <f>CONCATENATE([2]Cover!$D$6,"fdd/view?i=",I2740)</f>
        <v>https://www.dgiwg.org/FAD/fdd/view?i=115091</v>
      </c>
      <c r="K2740" s="304" t="s">
        <v>36789</v>
      </c>
      <c r="L2740" s="188">
        <v>325</v>
      </c>
      <c r="M2740" s="179" t="s">
        <v>151</v>
      </c>
    </row>
    <row r="2741" spans="1:13" ht="25.5">
      <c r="A2741" s="313" t="str">
        <f t="shared" si="42"/>
        <v>DmeChannelCode_chan115Z</v>
      </c>
      <c r="B2741" s="330"/>
      <c r="C2741" s="334"/>
      <c r="D2741" s="188" t="s">
        <v>13558</v>
      </c>
      <c r="E2741" s="189" t="s">
        <v>13559</v>
      </c>
      <c r="F2741" s="162" t="s">
        <v>19896</v>
      </c>
      <c r="G2741" s="162" t="s">
        <v>13413</v>
      </c>
      <c r="H2741" s="219"/>
      <c r="I2741" s="169">
        <v>115092</v>
      </c>
      <c r="J2741" s="304" t="str">
        <f>CONCATENATE([2]Cover!$D$6,"fdd/view?i=",I2741)</f>
        <v>https://www.dgiwg.org/FAD/fdd/view?i=115092</v>
      </c>
      <c r="K2741" s="304" t="s">
        <v>36790</v>
      </c>
      <c r="L2741" s="188">
        <v>326</v>
      </c>
      <c r="M2741" s="179" t="s">
        <v>151</v>
      </c>
    </row>
    <row r="2742" spans="1:13" ht="25.5">
      <c r="A2742" s="313" t="str">
        <f t="shared" si="42"/>
        <v>DmeChannelCode_chan116X</v>
      </c>
      <c r="B2742" s="330"/>
      <c r="C2742" s="334"/>
      <c r="D2742" s="188" t="s">
        <v>13561</v>
      </c>
      <c r="E2742" s="189" t="s">
        <v>13562</v>
      </c>
      <c r="F2742" s="162" t="s">
        <v>19897</v>
      </c>
      <c r="G2742" s="162" t="s">
        <v>13413</v>
      </c>
      <c r="H2742" s="219"/>
      <c r="I2742" s="169">
        <v>115093</v>
      </c>
      <c r="J2742" s="304" t="str">
        <f>CONCATENATE([2]Cover!$D$6,"fdd/view?i=",I2742)</f>
        <v>https://www.dgiwg.org/FAD/fdd/view?i=115093</v>
      </c>
      <c r="K2742" s="304" t="s">
        <v>36791</v>
      </c>
      <c r="L2742" s="188">
        <v>327</v>
      </c>
      <c r="M2742" s="179" t="s">
        <v>151</v>
      </c>
    </row>
    <row r="2743" spans="1:13" ht="25.5">
      <c r="A2743" s="313" t="str">
        <f t="shared" si="42"/>
        <v>DmeChannelCode_chan116Y</v>
      </c>
      <c r="B2743" s="330"/>
      <c r="C2743" s="334"/>
      <c r="D2743" s="188" t="s">
        <v>13564</v>
      </c>
      <c r="E2743" s="189" t="s">
        <v>13565</v>
      </c>
      <c r="F2743" s="162" t="s">
        <v>19898</v>
      </c>
      <c r="G2743" s="162" t="s">
        <v>13413</v>
      </c>
      <c r="H2743" s="219"/>
      <c r="I2743" s="169">
        <v>115094</v>
      </c>
      <c r="J2743" s="304" t="str">
        <f>CONCATENATE([2]Cover!$D$6,"fdd/view?i=",I2743)</f>
        <v>https://www.dgiwg.org/FAD/fdd/view?i=115094</v>
      </c>
      <c r="K2743" s="304" t="s">
        <v>36792</v>
      </c>
      <c r="L2743" s="188">
        <v>328</v>
      </c>
      <c r="M2743" s="179" t="s">
        <v>151</v>
      </c>
    </row>
    <row r="2744" spans="1:13" ht="25.5">
      <c r="A2744" s="313" t="str">
        <f t="shared" si="42"/>
        <v>DmeChannelCode_chan116Z</v>
      </c>
      <c r="B2744" s="330"/>
      <c r="C2744" s="334"/>
      <c r="D2744" s="188" t="s">
        <v>13567</v>
      </c>
      <c r="E2744" s="189" t="s">
        <v>13568</v>
      </c>
      <c r="F2744" s="162" t="s">
        <v>19899</v>
      </c>
      <c r="G2744" s="162" t="s">
        <v>13413</v>
      </c>
      <c r="H2744" s="219"/>
      <c r="I2744" s="169">
        <v>115095</v>
      </c>
      <c r="J2744" s="304" t="str">
        <f>CONCATENATE([2]Cover!$D$6,"fdd/view?i=",I2744)</f>
        <v>https://www.dgiwg.org/FAD/fdd/view?i=115095</v>
      </c>
      <c r="K2744" s="304" t="s">
        <v>36793</v>
      </c>
      <c r="L2744" s="188">
        <v>329</v>
      </c>
      <c r="M2744" s="179" t="s">
        <v>151</v>
      </c>
    </row>
    <row r="2745" spans="1:13" ht="25.5">
      <c r="A2745" s="313" t="str">
        <f t="shared" si="42"/>
        <v>DmeChannelCode_chan117X</v>
      </c>
      <c r="B2745" s="330"/>
      <c r="C2745" s="334"/>
      <c r="D2745" s="188" t="s">
        <v>13570</v>
      </c>
      <c r="E2745" s="189" t="s">
        <v>13571</v>
      </c>
      <c r="F2745" s="162" t="s">
        <v>19900</v>
      </c>
      <c r="G2745" s="162" t="s">
        <v>13413</v>
      </c>
      <c r="H2745" s="219"/>
      <c r="I2745" s="169">
        <v>115096</v>
      </c>
      <c r="J2745" s="304" t="str">
        <f>CONCATENATE([2]Cover!$D$6,"fdd/view?i=",I2745)</f>
        <v>https://www.dgiwg.org/FAD/fdd/view?i=115096</v>
      </c>
      <c r="K2745" s="304" t="s">
        <v>36794</v>
      </c>
      <c r="L2745" s="188">
        <v>330</v>
      </c>
      <c r="M2745" s="179" t="s">
        <v>151</v>
      </c>
    </row>
    <row r="2746" spans="1:13" ht="25.5">
      <c r="A2746" s="313" t="str">
        <f t="shared" si="42"/>
        <v>DmeChannelCode_chan117Y</v>
      </c>
      <c r="B2746" s="330"/>
      <c r="C2746" s="334"/>
      <c r="D2746" s="188" t="s">
        <v>13573</v>
      </c>
      <c r="E2746" s="189" t="s">
        <v>13574</v>
      </c>
      <c r="F2746" s="162" t="s">
        <v>19901</v>
      </c>
      <c r="G2746" s="162" t="s">
        <v>13413</v>
      </c>
      <c r="H2746" s="219"/>
      <c r="I2746" s="169">
        <v>115097</v>
      </c>
      <c r="J2746" s="304" t="str">
        <f>CONCATENATE([2]Cover!$D$6,"fdd/view?i=",I2746)</f>
        <v>https://www.dgiwg.org/FAD/fdd/view?i=115097</v>
      </c>
      <c r="K2746" s="304" t="s">
        <v>36795</v>
      </c>
      <c r="L2746" s="188">
        <v>331</v>
      </c>
      <c r="M2746" s="179" t="s">
        <v>151</v>
      </c>
    </row>
    <row r="2747" spans="1:13" ht="25.5">
      <c r="A2747" s="313" t="str">
        <f t="shared" si="42"/>
        <v>DmeChannelCode_chan117Z</v>
      </c>
      <c r="B2747" s="330"/>
      <c r="C2747" s="334"/>
      <c r="D2747" s="188" t="s">
        <v>13576</v>
      </c>
      <c r="E2747" s="189" t="s">
        <v>13577</v>
      </c>
      <c r="F2747" s="162" t="s">
        <v>19902</v>
      </c>
      <c r="G2747" s="162" t="s">
        <v>13413</v>
      </c>
      <c r="H2747" s="219"/>
      <c r="I2747" s="169">
        <v>115098</v>
      </c>
      <c r="J2747" s="304" t="str">
        <f>CONCATENATE([2]Cover!$D$6,"fdd/view?i=",I2747)</f>
        <v>https://www.dgiwg.org/FAD/fdd/view?i=115098</v>
      </c>
      <c r="K2747" s="304" t="s">
        <v>36796</v>
      </c>
      <c r="L2747" s="188">
        <v>332</v>
      </c>
      <c r="M2747" s="179" t="s">
        <v>151</v>
      </c>
    </row>
    <row r="2748" spans="1:13" ht="25.5">
      <c r="A2748" s="313" t="str">
        <f t="shared" si="42"/>
        <v>DmeChannelCode_chan118X</v>
      </c>
      <c r="B2748" s="330"/>
      <c r="C2748" s="334"/>
      <c r="D2748" s="188" t="s">
        <v>13579</v>
      </c>
      <c r="E2748" s="189" t="s">
        <v>13580</v>
      </c>
      <c r="F2748" s="162" t="s">
        <v>19903</v>
      </c>
      <c r="G2748" s="162" t="s">
        <v>13413</v>
      </c>
      <c r="H2748" s="219"/>
      <c r="I2748" s="169">
        <v>115099</v>
      </c>
      <c r="J2748" s="304" t="str">
        <f>CONCATENATE([2]Cover!$D$6,"fdd/view?i=",I2748)</f>
        <v>https://www.dgiwg.org/FAD/fdd/view?i=115099</v>
      </c>
      <c r="K2748" s="304" t="s">
        <v>36797</v>
      </c>
      <c r="L2748" s="188">
        <v>333</v>
      </c>
      <c r="M2748" s="179" t="s">
        <v>151</v>
      </c>
    </row>
    <row r="2749" spans="1:13" ht="25.5">
      <c r="A2749" s="313" t="str">
        <f t="shared" si="42"/>
        <v>DmeChannelCode_chan118Y</v>
      </c>
      <c r="B2749" s="330"/>
      <c r="C2749" s="334"/>
      <c r="D2749" s="188" t="s">
        <v>13582</v>
      </c>
      <c r="E2749" s="189" t="s">
        <v>13583</v>
      </c>
      <c r="F2749" s="162" t="s">
        <v>19904</v>
      </c>
      <c r="G2749" s="162" t="s">
        <v>13413</v>
      </c>
      <c r="H2749" s="219"/>
      <c r="I2749" s="169">
        <v>115100</v>
      </c>
      <c r="J2749" s="304" t="str">
        <f>CONCATENATE([2]Cover!$D$6,"fdd/view?i=",I2749)</f>
        <v>https://www.dgiwg.org/FAD/fdd/view?i=115100</v>
      </c>
      <c r="K2749" s="304" t="s">
        <v>36798</v>
      </c>
      <c r="L2749" s="188">
        <v>334</v>
      </c>
      <c r="M2749" s="179" t="s">
        <v>151</v>
      </c>
    </row>
    <row r="2750" spans="1:13" ht="25.5">
      <c r="A2750" s="313" t="str">
        <f t="shared" si="42"/>
        <v>DmeChannelCode_chan118Z</v>
      </c>
      <c r="B2750" s="330"/>
      <c r="C2750" s="334"/>
      <c r="D2750" s="188" t="s">
        <v>13585</v>
      </c>
      <c r="E2750" s="189" t="s">
        <v>13586</v>
      </c>
      <c r="F2750" s="162" t="s">
        <v>19905</v>
      </c>
      <c r="G2750" s="162" t="s">
        <v>13413</v>
      </c>
      <c r="H2750" s="219"/>
      <c r="I2750" s="169">
        <v>115101</v>
      </c>
      <c r="J2750" s="304" t="str">
        <f>CONCATENATE([2]Cover!$D$6,"fdd/view?i=",I2750)</f>
        <v>https://www.dgiwg.org/FAD/fdd/view?i=115101</v>
      </c>
      <c r="K2750" s="304" t="s">
        <v>36799</v>
      </c>
      <c r="L2750" s="188">
        <v>335</v>
      </c>
      <c r="M2750" s="179" t="s">
        <v>151</v>
      </c>
    </row>
    <row r="2751" spans="1:13" ht="25.5">
      <c r="A2751" s="313" t="str">
        <f t="shared" si="42"/>
        <v>DmeChannelCode_chan119X</v>
      </c>
      <c r="B2751" s="330"/>
      <c r="C2751" s="334"/>
      <c r="D2751" s="188" t="s">
        <v>13588</v>
      </c>
      <c r="E2751" s="189" t="s">
        <v>13589</v>
      </c>
      <c r="F2751" s="162" t="s">
        <v>19906</v>
      </c>
      <c r="G2751" s="162" t="s">
        <v>13413</v>
      </c>
      <c r="H2751" s="219"/>
      <c r="I2751" s="169">
        <v>115102</v>
      </c>
      <c r="J2751" s="304" t="str">
        <f>CONCATENATE([2]Cover!$D$6,"fdd/view?i=",I2751)</f>
        <v>https://www.dgiwg.org/FAD/fdd/view?i=115102</v>
      </c>
      <c r="K2751" s="304" t="s">
        <v>36800</v>
      </c>
      <c r="L2751" s="188">
        <v>336</v>
      </c>
      <c r="M2751" s="179" t="s">
        <v>151</v>
      </c>
    </row>
    <row r="2752" spans="1:13" ht="25.5">
      <c r="A2752" s="313" t="str">
        <f t="shared" si="42"/>
        <v>DmeChannelCode_chan119Y</v>
      </c>
      <c r="B2752" s="330"/>
      <c r="C2752" s="334"/>
      <c r="D2752" s="188" t="s">
        <v>13591</v>
      </c>
      <c r="E2752" s="189" t="s">
        <v>13592</v>
      </c>
      <c r="F2752" s="162" t="s">
        <v>19907</v>
      </c>
      <c r="G2752" s="162" t="s">
        <v>13413</v>
      </c>
      <c r="H2752" s="219"/>
      <c r="I2752" s="169">
        <v>115103</v>
      </c>
      <c r="J2752" s="304" t="str">
        <f>CONCATENATE([2]Cover!$D$6,"fdd/view?i=",I2752)</f>
        <v>https://www.dgiwg.org/FAD/fdd/view?i=115103</v>
      </c>
      <c r="K2752" s="304" t="s">
        <v>36801</v>
      </c>
      <c r="L2752" s="188">
        <v>337</v>
      </c>
      <c r="M2752" s="179" t="s">
        <v>151</v>
      </c>
    </row>
    <row r="2753" spans="1:13" ht="25.5">
      <c r="A2753" s="313" t="str">
        <f t="shared" si="42"/>
        <v>DmeChannelCode_chan119Z</v>
      </c>
      <c r="B2753" s="330"/>
      <c r="C2753" s="334"/>
      <c r="D2753" s="188" t="s">
        <v>13594</v>
      </c>
      <c r="E2753" s="189" t="s">
        <v>13595</v>
      </c>
      <c r="F2753" s="162" t="s">
        <v>19908</v>
      </c>
      <c r="G2753" s="162" t="s">
        <v>13413</v>
      </c>
      <c r="H2753" s="219"/>
      <c r="I2753" s="169">
        <v>115104</v>
      </c>
      <c r="J2753" s="304" t="str">
        <f>CONCATENATE([2]Cover!$D$6,"fdd/view?i=",I2753)</f>
        <v>https://www.dgiwg.org/FAD/fdd/view?i=115104</v>
      </c>
      <c r="K2753" s="304" t="s">
        <v>36802</v>
      </c>
      <c r="L2753" s="188">
        <v>338</v>
      </c>
      <c r="M2753" s="179" t="s">
        <v>151</v>
      </c>
    </row>
    <row r="2754" spans="1:13" ht="25.5">
      <c r="A2754" s="313" t="str">
        <f t="shared" si="42"/>
        <v>DmeChannelCode_chan120X</v>
      </c>
      <c r="B2754" s="330"/>
      <c r="C2754" s="334"/>
      <c r="D2754" s="188" t="s">
        <v>13603</v>
      </c>
      <c r="E2754" s="189" t="s">
        <v>13604</v>
      </c>
      <c r="F2754" s="162" t="s">
        <v>19911</v>
      </c>
      <c r="G2754" s="162" t="s">
        <v>13413</v>
      </c>
      <c r="H2754" s="219"/>
      <c r="I2754" s="169">
        <v>115105</v>
      </c>
      <c r="J2754" s="304" t="str">
        <f>CONCATENATE([2]Cover!$D$6,"fdd/view?i=",I2754)</f>
        <v>https://www.dgiwg.org/FAD/fdd/view?i=115105</v>
      </c>
      <c r="K2754" s="304" t="s">
        <v>36803</v>
      </c>
      <c r="L2754" s="188">
        <v>339</v>
      </c>
      <c r="M2754" s="179" t="s">
        <v>151</v>
      </c>
    </row>
    <row r="2755" spans="1:13" ht="25.5">
      <c r="A2755" s="313" t="str">
        <f t="shared" ref="A2755:A2818" si="43">HYPERLINK(J2755,K2755)</f>
        <v>DmeChannelCode_chan120Y</v>
      </c>
      <c r="B2755" s="330"/>
      <c r="C2755" s="334"/>
      <c r="D2755" s="188" t="s">
        <v>13606</v>
      </c>
      <c r="E2755" s="189" t="s">
        <v>13607</v>
      </c>
      <c r="F2755" s="162" t="s">
        <v>19912</v>
      </c>
      <c r="G2755" s="162" t="s">
        <v>13413</v>
      </c>
      <c r="H2755" s="219"/>
      <c r="I2755" s="169">
        <v>115106</v>
      </c>
      <c r="J2755" s="304" t="str">
        <f>CONCATENATE([2]Cover!$D$6,"fdd/view?i=",I2755)</f>
        <v>https://www.dgiwg.org/FAD/fdd/view?i=115106</v>
      </c>
      <c r="K2755" s="304" t="s">
        <v>36804</v>
      </c>
      <c r="L2755" s="188">
        <v>340</v>
      </c>
      <c r="M2755" s="179" t="s">
        <v>151</v>
      </c>
    </row>
    <row r="2756" spans="1:13" ht="25.5">
      <c r="A2756" s="313" t="str">
        <f t="shared" si="43"/>
        <v>DmeChannelCode_chan121X</v>
      </c>
      <c r="B2756" s="330"/>
      <c r="C2756" s="334"/>
      <c r="D2756" s="188" t="s">
        <v>13609</v>
      </c>
      <c r="E2756" s="189" t="s">
        <v>13610</v>
      </c>
      <c r="F2756" s="162" t="s">
        <v>19913</v>
      </c>
      <c r="G2756" s="162" t="s">
        <v>13413</v>
      </c>
      <c r="H2756" s="219"/>
      <c r="I2756" s="169">
        <v>115107</v>
      </c>
      <c r="J2756" s="304" t="str">
        <f>CONCATENATE([2]Cover!$D$6,"fdd/view?i=",I2756)</f>
        <v>https://www.dgiwg.org/FAD/fdd/view?i=115107</v>
      </c>
      <c r="K2756" s="304" t="s">
        <v>36805</v>
      </c>
      <c r="L2756" s="188">
        <v>341</v>
      </c>
      <c r="M2756" s="179" t="s">
        <v>151</v>
      </c>
    </row>
    <row r="2757" spans="1:13" ht="25.5">
      <c r="A2757" s="313" t="str">
        <f t="shared" si="43"/>
        <v>DmeChannelCode_chan121Y</v>
      </c>
      <c r="B2757" s="330"/>
      <c r="C2757" s="334"/>
      <c r="D2757" s="188" t="s">
        <v>13612</v>
      </c>
      <c r="E2757" s="189" t="s">
        <v>13613</v>
      </c>
      <c r="F2757" s="162" t="s">
        <v>19914</v>
      </c>
      <c r="G2757" s="162" t="s">
        <v>13413</v>
      </c>
      <c r="H2757" s="219"/>
      <c r="I2757" s="169">
        <v>115108</v>
      </c>
      <c r="J2757" s="304" t="str">
        <f>CONCATENATE([2]Cover!$D$6,"fdd/view?i=",I2757)</f>
        <v>https://www.dgiwg.org/FAD/fdd/view?i=115108</v>
      </c>
      <c r="K2757" s="304" t="s">
        <v>36806</v>
      </c>
      <c r="L2757" s="188">
        <v>342</v>
      </c>
      <c r="M2757" s="179" t="s">
        <v>151</v>
      </c>
    </row>
    <row r="2758" spans="1:13" ht="25.5">
      <c r="A2758" s="313" t="str">
        <f t="shared" si="43"/>
        <v>DmeChannelCode_chan122X</v>
      </c>
      <c r="B2758" s="330"/>
      <c r="C2758" s="334"/>
      <c r="D2758" s="188" t="s">
        <v>13615</v>
      </c>
      <c r="E2758" s="189" t="s">
        <v>13616</v>
      </c>
      <c r="F2758" s="162" t="s">
        <v>19915</v>
      </c>
      <c r="G2758" s="162" t="s">
        <v>13413</v>
      </c>
      <c r="H2758" s="219"/>
      <c r="I2758" s="169">
        <v>115109</v>
      </c>
      <c r="J2758" s="304" t="str">
        <f>CONCATENATE([2]Cover!$D$6,"fdd/view?i=",I2758)</f>
        <v>https://www.dgiwg.org/FAD/fdd/view?i=115109</v>
      </c>
      <c r="K2758" s="304" t="s">
        <v>36807</v>
      </c>
      <c r="L2758" s="188">
        <v>343</v>
      </c>
      <c r="M2758" s="179" t="s">
        <v>151</v>
      </c>
    </row>
    <row r="2759" spans="1:13" ht="25.5">
      <c r="A2759" s="313" t="str">
        <f t="shared" si="43"/>
        <v>DmeChannelCode_chan122Y</v>
      </c>
      <c r="B2759" s="330"/>
      <c r="C2759" s="334"/>
      <c r="D2759" s="188" t="s">
        <v>13618</v>
      </c>
      <c r="E2759" s="189" t="s">
        <v>13619</v>
      </c>
      <c r="F2759" s="162" t="s">
        <v>19916</v>
      </c>
      <c r="G2759" s="162" t="s">
        <v>13413</v>
      </c>
      <c r="H2759" s="219"/>
      <c r="I2759" s="169">
        <v>115110</v>
      </c>
      <c r="J2759" s="304" t="str">
        <f>CONCATENATE([2]Cover!$D$6,"fdd/view?i=",I2759)</f>
        <v>https://www.dgiwg.org/FAD/fdd/view?i=115110</v>
      </c>
      <c r="K2759" s="304" t="s">
        <v>36808</v>
      </c>
      <c r="L2759" s="188">
        <v>344</v>
      </c>
      <c r="M2759" s="179" t="s">
        <v>151</v>
      </c>
    </row>
    <row r="2760" spans="1:13" ht="25.5">
      <c r="A2760" s="313" t="str">
        <f t="shared" si="43"/>
        <v>DmeChannelCode_chan123X</v>
      </c>
      <c r="B2760" s="330"/>
      <c r="C2760" s="334"/>
      <c r="D2760" s="188" t="s">
        <v>13621</v>
      </c>
      <c r="E2760" s="189" t="s">
        <v>13622</v>
      </c>
      <c r="F2760" s="162" t="s">
        <v>19917</v>
      </c>
      <c r="G2760" s="162" t="s">
        <v>13413</v>
      </c>
      <c r="H2760" s="219"/>
      <c r="I2760" s="169">
        <v>115111</v>
      </c>
      <c r="J2760" s="304" t="str">
        <f>CONCATENATE([2]Cover!$D$6,"fdd/view?i=",I2760)</f>
        <v>https://www.dgiwg.org/FAD/fdd/view?i=115111</v>
      </c>
      <c r="K2760" s="304" t="s">
        <v>36809</v>
      </c>
      <c r="L2760" s="188">
        <v>345</v>
      </c>
      <c r="M2760" s="179" t="s">
        <v>151</v>
      </c>
    </row>
    <row r="2761" spans="1:13" ht="25.5">
      <c r="A2761" s="313" t="str">
        <f t="shared" si="43"/>
        <v>DmeChannelCode_chan123Y</v>
      </c>
      <c r="B2761" s="330"/>
      <c r="C2761" s="334"/>
      <c r="D2761" s="188" t="s">
        <v>13624</v>
      </c>
      <c r="E2761" s="189" t="s">
        <v>13625</v>
      </c>
      <c r="F2761" s="162" t="s">
        <v>19918</v>
      </c>
      <c r="G2761" s="162" t="s">
        <v>13413</v>
      </c>
      <c r="H2761" s="219"/>
      <c r="I2761" s="169">
        <v>115112</v>
      </c>
      <c r="J2761" s="304" t="str">
        <f>CONCATENATE([2]Cover!$D$6,"fdd/view?i=",I2761)</f>
        <v>https://www.dgiwg.org/FAD/fdd/view?i=115112</v>
      </c>
      <c r="K2761" s="304" t="s">
        <v>36810</v>
      </c>
      <c r="L2761" s="188">
        <v>346</v>
      </c>
      <c r="M2761" s="179" t="s">
        <v>151</v>
      </c>
    </row>
    <row r="2762" spans="1:13" ht="25.5">
      <c r="A2762" s="313" t="str">
        <f t="shared" si="43"/>
        <v>DmeChannelCode_chan124X</v>
      </c>
      <c r="B2762" s="330"/>
      <c r="C2762" s="334"/>
      <c r="D2762" s="188" t="s">
        <v>13627</v>
      </c>
      <c r="E2762" s="189" t="s">
        <v>13628</v>
      </c>
      <c r="F2762" s="162" t="s">
        <v>19919</v>
      </c>
      <c r="G2762" s="162" t="s">
        <v>13413</v>
      </c>
      <c r="H2762" s="219"/>
      <c r="I2762" s="169">
        <v>115113</v>
      </c>
      <c r="J2762" s="304" t="str">
        <f>CONCATENATE([2]Cover!$D$6,"fdd/view?i=",I2762)</f>
        <v>https://www.dgiwg.org/FAD/fdd/view?i=115113</v>
      </c>
      <c r="K2762" s="304" t="s">
        <v>36811</v>
      </c>
      <c r="L2762" s="188">
        <v>347</v>
      </c>
      <c r="M2762" s="179" t="s">
        <v>151</v>
      </c>
    </row>
    <row r="2763" spans="1:13" ht="25.5">
      <c r="A2763" s="313" t="str">
        <f t="shared" si="43"/>
        <v>DmeChannelCode_chan124Y</v>
      </c>
      <c r="B2763" s="330"/>
      <c r="C2763" s="334"/>
      <c r="D2763" s="188" t="s">
        <v>13630</v>
      </c>
      <c r="E2763" s="189" t="s">
        <v>13631</v>
      </c>
      <c r="F2763" s="162" t="s">
        <v>19920</v>
      </c>
      <c r="G2763" s="162" t="s">
        <v>13413</v>
      </c>
      <c r="H2763" s="219"/>
      <c r="I2763" s="169">
        <v>115114</v>
      </c>
      <c r="J2763" s="304" t="str">
        <f>CONCATENATE([2]Cover!$D$6,"fdd/view?i=",I2763)</f>
        <v>https://www.dgiwg.org/FAD/fdd/view?i=115114</v>
      </c>
      <c r="K2763" s="304" t="s">
        <v>36812</v>
      </c>
      <c r="L2763" s="188">
        <v>348</v>
      </c>
      <c r="M2763" s="179" t="s">
        <v>151</v>
      </c>
    </row>
    <row r="2764" spans="1:13" ht="25.5">
      <c r="A2764" s="313" t="str">
        <f t="shared" si="43"/>
        <v>DmeChannelCode_chan125X</v>
      </c>
      <c r="B2764" s="330"/>
      <c r="C2764" s="334"/>
      <c r="D2764" s="188" t="s">
        <v>13633</v>
      </c>
      <c r="E2764" s="189" t="s">
        <v>13634</v>
      </c>
      <c r="F2764" s="162" t="s">
        <v>19921</v>
      </c>
      <c r="G2764" s="162" t="s">
        <v>13413</v>
      </c>
      <c r="H2764" s="219"/>
      <c r="I2764" s="169">
        <v>115115</v>
      </c>
      <c r="J2764" s="304" t="str">
        <f>CONCATENATE([2]Cover!$D$6,"fdd/view?i=",I2764)</f>
        <v>https://www.dgiwg.org/FAD/fdd/view?i=115115</v>
      </c>
      <c r="K2764" s="304" t="s">
        <v>36813</v>
      </c>
      <c r="L2764" s="188">
        <v>349</v>
      </c>
      <c r="M2764" s="179" t="s">
        <v>151</v>
      </c>
    </row>
    <row r="2765" spans="1:13" ht="25.5">
      <c r="A2765" s="313" t="str">
        <f t="shared" si="43"/>
        <v>DmeChannelCode_chan125Y</v>
      </c>
      <c r="B2765" s="330"/>
      <c r="C2765" s="334"/>
      <c r="D2765" s="188" t="s">
        <v>13636</v>
      </c>
      <c r="E2765" s="189" t="s">
        <v>13637</v>
      </c>
      <c r="F2765" s="162" t="s">
        <v>19922</v>
      </c>
      <c r="G2765" s="162" t="s">
        <v>13413</v>
      </c>
      <c r="H2765" s="219"/>
      <c r="I2765" s="169">
        <v>115116</v>
      </c>
      <c r="J2765" s="304" t="str">
        <f>CONCATENATE([2]Cover!$D$6,"fdd/view?i=",I2765)</f>
        <v>https://www.dgiwg.org/FAD/fdd/view?i=115116</v>
      </c>
      <c r="K2765" s="304" t="s">
        <v>36814</v>
      </c>
      <c r="L2765" s="188">
        <v>350</v>
      </c>
      <c r="M2765" s="179" t="s">
        <v>151</v>
      </c>
    </row>
    <row r="2766" spans="1:13" ht="25.5">
      <c r="A2766" s="313" t="str">
        <f t="shared" si="43"/>
        <v>DmeChannelCode_chan126X</v>
      </c>
      <c r="B2766" s="330"/>
      <c r="C2766" s="334"/>
      <c r="D2766" s="188" t="s">
        <v>13639</v>
      </c>
      <c r="E2766" s="189" t="s">
        <v>13640</v>
      </c>
      <c r="F2766" s="162" t="s">
        <v>19923</v>
      </c>
      <c r="G2766" s="162" t="s">
        <v>13413</v>
      </c>
      <c r="H2766" s="219"/>
      <c r="I2766" s="169">
        <v>115117</v>
      </c>
      <c r="J2766" s="304" t="str">
        <f>CONCATENATE([2]Cover!$D$6,"fdd/view?i=",I2766)</f>
        <v>https://www.dgiwg.org/FAD/fdd/view?i=115117</v>
      </c>
      <c r="K2766" s="304" t="s">
        <v>36815</v>
      </c>
      <c r="L2766" s="188">
        <v>351</v>
      </c>
      <c r="M2766" s="179" t="s">
        <v>151</v>
      </c>
    </row>
    <row r="2767" spans="1:13" ht="25.5">
      <c r="A2767" s="313" t="str">
        <f t="shared" si="43"/>
        <v>DmeChannelCode_chan126Y</v>
      </c>
      <c r="B2767" s="331"/>
      <c r="C2767" s="335"/>
      <c r="D2767" s="181" t="s">
        <v>13642</v>
      </c>
      <c r="E2767" s="192" t="s">
        <v>13643</v>
      </c>
      <c r="F2767" s="193" t="s">
        <v>19924</v>
      </c>
      <c r="G2767" s="193" t="s">
        <v>13413</v>
      </c>
      <c r="H2767" s="220"/>
      <c r="I2767" s="169">
        <v>115118</v>
      </c>
      <c r="J2767" s="304" t="str">
        <f>CONCATENATE([2]Cover!$D$6,"fdd/view?i=",I2767)</f>
        <v>https://www.dgiwg.org/FAD/fdd/view?i=115118</v>
      </c>
      <c r="K2767" s="304" t="s">
        <v>36816</v>
      </c>
      <c r="L2767" s="181">
        <v>352</v>
      </c>
      <c r="M2767" s="179" t="s">
        <v>151</v>
      </c>
    </row>
    <row r="2768" spans="1:13">
      <c r="A2768" s="313" t="str">
        <f t="shared" si="43"/>
        <v>DmeTypeCode_dmeN</v>
      </c>
      <c r="B2768" s="332" t="str">
        <f>HYPERLINK("[#]Datatypes!A464:L464","DmeTypeCode")</f>
        <v>DmeTypeCode</v>
      </c>
      <c r="C2768" s="333" t="s">
        <v>11994</v>
      </c>
      <c r="D2768" s="202" t="s">
        <v>20199</v>
      </c>
      <c r="E2768" s="203" t="s">
        <v>20200</v>
      </c>
      <c r="F2768" s="204" t="s">
        <v>20201</v>
      </c>
      <c r="G2768" s="205"/>
      <c r="H2768" s="218"/>
      <c r="I2768" s="169">
        <v>115119</v>
      </c>
      <c r="J2768" s="304" t="str">
        <f>CONCATENATE([2]Cover!$D$6,"fdd/view?i=",I2768)</f>
        <v>https://www.dgiwg.org/FAD/fdd/view?i=115119</v>
      </c>
      <c r="K2768" s="304" t="s">
        <v>36817</v>
      </c>
      <c r="L2768" s="202">
        <v>1</v>
      </c>
      <c r="M2768" s="179" t="s">
        <v>151</v>
      </c>
    </row>
    <row r="2769" spans="1:13">
      <c r="A2769" s="313" t="str">
        <f t="shared" si="43"/>
        <v>DmeTypeCode_dmeP</v>
      </c>
      <c r="B2769" s="330"/>
      <c r="C2769" s="334"/>
      <c r="D2769" s="188" t="s">
        <v>20202</v>
      </c>
      <c r="E2769" s="189" t="s">
        <v>20203</v>
      </c>
      <c r="F2769" s="162" t="s">
        <v>20204</v>
      </c>
      <c r="G2769" s="190"/>
      <c r="H2769" s="219"/>
      <c r="I2769" s="169">
        <v>115120</v>
      </c>
      <c r="J2769" s="304" t="str">
        <f>CONCATENATE([2]Cover!$D$6,"fdd/view?i=",I2769)</f>
        <v>https://www.dgiwg.org/FAD/fdd/view?i=115120</v>
      </c>
      <c r="K2769" s="304" t="s">
        <v>36818</v>
      </c>
      <c r="L2769" s="188">
        <v>2</v>
      </c>
      <c r="M2769" s="179" t="s">
        <v>151</v>
      </c>
    </row>
    <row r="2770" spans="1:13">
      <c r="A2770" s="313" t="str">
        <f t="shared" si="43"/>
        <v>DmeTypeCode_dmeW</v>
      </c>
      <c r="B2770" s="331"/>
      <c r="C2770" s="335"/>
      <c r="D2770" s="181" t="s">
        <v>20205</v>
      </c>
      <c r="E2770" s="192" t="s">
        <v>20206</v>
      </c>
      <c r="F2770" s="193" t="s">
        <v>20207</v>
      </c>
      <c r="G2770" s="194"/>
      <c r="H2770" s="220"/>
      <c r="I2770" s="169">
        <v>115121</v>
      </c>
      <c r="J2770" s="304" t="str">
        <f>CONCATENATE([2]Cover!$D$6,"fdd/view?i=",I2770)</f>
        <v>https://www.dgiwg.org/FAD/fdd/view?i=115121</v>
      </c>
      <c r="K2770" s="304" t="s">
        <v>36819</v>
      </c>
      <c r="L2770" s="181">
        <v>3</v>
      </c>
      <c r="M2770" s="179" t="s">
        <v>151</v>
      </c>
    </row>
    <row r="2771" spans="1:13">
      <c r="A2771" s="313" t="str">
        <f t="shared" si="43"/>
        <v>DitchFunctionCode_drainage</v>
      </c>
      <c r="B2771" s="332" t="str">
        <f>HYPERLINK("[#]Datatypes!A466:L466","DitchFunctionCode")</f>
        <v>DitchFunctionCode</v>
      </c>
      <c r="C2771" s="333" t="s">
        <v>11996</v>
      </c>
      <c r="D2771" s="202" t="s">
        <v>20208</v>
      </c>
      <c r="E2771" s="203" t="s">
        <v>20209</v>
      </c>
      <c r="F2771" s="204" t="s">
        <v>20210</v>
      </c>
      <c r="G2771" s="205"/>
      <c r="H2771" s="218"/>
      <c r="I2771" s="169">
        <v>111812</v>
      </c>
      <c r="J2771" s="304" t="str">
        <f>CONCATENATE([2]Cover!$D$6,"fdd/view?i=",I2771)</f>
        <v>https://www.dgiwg.org/FAD/fdd/view?i=111812</v>
      </c>
      <c r="K2771" s="304" t="s">
        <v>36820</v>
      </c>
      <c r="L2771" s="202">
        <v>2</v>
      </c>
      <c r="M2771" s="179" t="s">
        <v>151</v>
      </c>
    </row>
    <row r="2772" spans="1:13">
      <c r="A2772" s="313" t="str">
        <f t="shared" si="43"/>
        <v>DitchFunctionCode_irrigation</v>
      </c>
      <c r="B2772" s="330"/>
      <c r="C2772" s="334"/>
      <c r="D2772" s="188" t="s">
        <v>20211</v>
      </c>
      <c r="E2772" s="189" t="s">
        <v>20212</v>
      </c>
      <c r="F2772" s="162" t="s">
        <v>20213</v>
      </c>
      <c r="G2772" s="190"/>
      <c r="H2772" s="219"/>
      <c r="I2772" s="169">
        <v>111810</v>
      </c>
      <c r="J2772" s="304" t="str">
        <f>CONCATENATE([2]Cover!$D$6,"fdd/view?i=",I2772)</f>
        <v>https://www.dgiwg.org/FAD/fdd/view?i=111810</v>
      </c>
      <c r="K2772" s="304" t="s">
        <v>36821</v>
      </c>
      <c r="L2772" s="188">
        <v>1</v>
      </c>
      <c r="M2772" s="179" t="s">
        <v>151</v>
      </c>
    </row>
    <row r="2773" spans="1:13">
      <c r="A2773" s="313" t="str">
        <f t="shared" si="43"/>
        <v>DitchFunctionCode_sewage</v>
      </c>
      <c r="B2773" s="331"/>
      <c r="C2773" s="335"/>
      <c r="D2773" s="181" t="s">
        <v>13360</v>
      </c>
      <c r="E2773" s="192" t="s">
        <v>13361</v>
      </c>
      <c r="F2773" s="193" t="s">
        <v>20214</v>
      </c>
      <c r="G2773" s="194"/>
      <c r="H2773" s="220"/>
      <c r="I2773" s="169">
        <v>111814</v>
      </c>
      <c r="J2773" s="304" t="str">
        <f>CONCATENATE([2]Cover!$D$6,"fdd/view?i=",I2773)</f>
        <v>https://www.dgiwg.org/FAD/fdd/view?i=111814</v>
      </c>
      <c r="K2773" s="304" t="s">
        <v>36822</v>
      </c>
      <c r="L2773" s="181">
        <v>3</v>
      </c>
      <c r="M2773" s="179" t="s">
        <v>151</v>
      </c>
    </row>
    <row r="2774" spans="1:13" ht="25.5">
      <c r="A2774" s="313" t="str">
        <f t="shared" si="43"/>
        <v>DockTypeCode_ungated</v>
      </c>
      <c r="B2774" s="332" t="str">
        <f>HYPERLINK("[#]Datatypes!A468:L468","DockTypeCode")</f>
        <v>DockTypeCode</v>
      </c>
      <c r="C2774" s="333" t="s">
        <v>11998</v>
      </c>
      <c r="D2774" s="202" t="s">
        <v>20215</v>
      </c>
      <c r="E2774" s="203" t="s">
        <v>20216</v>
      </c>
      <c r="F2774" s="204" t="s">
        <v>20217</v>
      </c>
      <c r="G2774" s="205"/>
      <c r="H2774" s="218"/>
      <c r="I2774" s="169">
        <v>110908</v>
      </c>
      <c r="J2774" s="304" t="str">
        <f>CONCATENATE([2]Cover!$D$6,"fdd/view?i=",I2774)</f>
        <v>https://www.dgiwg.org/FAD/fdd/view?i=110908</v>
      </c>
      <c r="K2774" s="304" t="s">
        <v>36823</v>
      </c>
      <c r="L2774" s="202">
        <v>1</v>
      </c>
      <c r="M2774" s="179" t="s">
        <v>151</v>
      </c>
    </row>
    <row r="2775" spans="1:13" ht="25.5">
      <c r="A2775" s="313" t="str">
        <f t="shared" si="43"/>
        <v>DockTypeCode_wetDock</v>
      </c>
      <c r="B2775" s="331"/>
      <c r="C2775" s="335"/>
      <c r="D2775" s="181" t="s">
        <v>20218</v>
      </c>
      <c r="E2775" s="192" t="s">
        <v>20219</v>
      </c>
      <c r="F2775" s="193" t="s">
        <v>20220</v>
      </c>
      <c r="G2775" s="194"/>
      <c r="H2775" s="220"/>
      <c r="I2775" s="169">
        <v>110909</v>
      </c>
      <c r="J2775" s="304" t="str">
        <f>CONCATENATE([2]Cover!$D$6,"fdd/view?i=",I2775)</f>
        <v>https://www.dgiwg.org/FAD/fdd/view?i=110909</v>
      </c>
      <c r="K2775" s="304" t="s">
        <v>36824</v>
      </c>
      <c r="L2775" s="181">
        <v>2</v>
      </c>
      <c r="M2775" s="179" t="s">
        <v>151</v>
      </c>
    </row>
    <row r="2776" spans="1:13" ht="25.5">
      <c r="A2776" s="313" t="str">
        <f t="shared" si="43"/>
        <v>DoorStructureCode_concreteSteelPlating</v>
      </c>
      <c r="B2776" s="332" t="str">
        <f>HYPERLINK("[#]Datatypes!A470:L470","DoorStructureCode")</f>
        <v>DoorStructureCode</v>
      </c>
      <c r="C2776" s="333" t="s">
        <v>12000</v>
      </c>
      <c r="D2776" s="202" t="s">
        <v>20221</v>
      </c>
      <c r="E2776" s="203" t="s">
        <v>20222</v>
      </c>
      <c r="F2776" s="204" t="s">
        <v>20223</v>
      </c>
      <c r="G2776" s="205"/>
      <c r="H2776" s="218"/>
      <c r="I2776" s="169">
        <v>119675</v>
      </c>
      <c r="J2776" s="304" t="str">
        <f>CONCATENATE([2]Cover!$D$6,"fdd/view?i=",I2776)</f>
        <v>https://www.dgiwg.org/FAD/fdd/view?i=119675</v>
      </c>
      <c r="K2776" s="304" t="s">
        <v>36825</v>
      </c>
      <c r="L2776" s="202">
        <v>1</v>
      </c>
      <c r="M2776" s="179" t="s">
        <v>151</v>
      </c>
    </row>
    <row r="2777" spans="1:13" ht="25.5">
      <c r="A2777" s="313" t="str">
        <f t="shared" si="43"/>
        <v>DoorStructureCode_filledSteelShell</v>
      </c>
      <c r="B2777" s="330"/>
      <c r="C2777" s="334"/>
      <c r="D2777" s="188" t="s">
        <v>20224</v>
      </c>
      <c r="E2777" s="189" t="s">
        <v>20225</v>
      </c>
      <c r="F2777" s="162" t="s">
        <v>20226</v>
      </c>
      <c r="G2777" s="162" t="s">
        <v>20227</v>
      </c>
      <c r="H2777" s="219"/>
      <c r="I2777" s="169">
        <v>119676</v>
      </c>
      <c r="J2777" s="304" t="str">
        <f>CONCATENATE([2]Cover!$D$6,"fdd/view?i=",I2777)</f>
        <v>https://www.dgiwg.org/FAD/fdd/view?i=119676</v>
      </c>
      <c r="K2777" s="304" t="s">
        <v>36826</v>
      </c>
      <c r="L2777" s="188">
        <v>2</v>
      </c>
      <c r="M2777" s="179" t="s">
        <v>151</v>
      </c>
    </row>
    <row r="2778" spans="1:13" ht="25.5">
      <c r="A2778" s="313" t="str">
        <f t="shared" si="43"/>
        <v>DoorStructureCode_hollowSteelShell</v>
      </c>
      <c r="B2778" s="330"/>
      <c r="C2778" s="334"/>
      <c r="D2778" s="188" t="s">
        <v>20228</v>
      </c>
      <c r="E2778" s="189" t="s">
        <v>20229</v>
      </c>
      <c r="F2778" s="162" t="s">
        <v>20230</v>
      </c>
      <c r="G2778" s="190"/>
      <c r="H2778" s="219"/>
      <c r="I2778" s="169">
        <v>119677</v>
      </c>
      <c r="J2778" s="304" t="str">
        <f>CONCATENATE([2]Cover!$D$6,"fdd/view?i=",I2778)</f>
        <v>https://www.dgiwg.org/FAD/fdd/view?i=119677</v>
      </c>
      <c r="K2778" s="304" t="s">
        <v>36827</v>
      </c>
      <c r="L2778" s="188">
        <v>3</v>
      </c>
      <c r="M2778" s="179" t="s">
        <v>151</v>
      </c>
    </row>
    <row r="2779" spans="1:13">
      <c r="A2779" s="313" t="str">
        <f t="shared" si="43"/>
        <v>DoorStructureCode_solidSteel</v>
      </c>
      <c r="B2779" s="331"/>
      <c r="C2779" s="335"/>
      <c r="D2779" s="181" t="s">
        <v>20231</v>
      </c>
      <c r="E2779" s="192" t="s">
        <v>20232</v>
      </c>
      <c r="F2779" s="193" t="s">
        <v>20233</v>
      </c>
      <c r="G2779" s="194"/>
      <c r="H2779" s="220"/>
      <c r="I2779" s="169">
        <v>119678</v>
      </c>
      <c r="J2779" s="304" t="str">
        <f>CONCATENATE([2]Cover!$D$6,"fdd/view?i=",I2779)</f>
        <v>https://www.dgiwg.org/FAD/fdd/view?i=119678</v>
      </c>
      <c r="K2779" s="304" t="s">
        <v>36828</v>
      </c>
      <c r="L2779" s="181">
        <v>4</v>
      </c>
      <c r="M2779" s="179" t="s">
        <v>151</v>
      </c>
    </row>
    <row r="2780" spans="1:13" ht="25.5">
      <c r="A2780" s="313" t="str">
        <f t="shared" si="43"/>
        <v>DumpingGroundTypeCode_chemicalWaste</v>
      </c>
      <c r="B2780" s="332" t="str">
        <f>HYPERLINK("[#]Datatypes!A472:L472","DumpingGroundTypeCode")</f>
        <v>DumpingGroundTypeCode</v>
      </c>
      <c r="C2780" s="333" t="s">
        <v>12002</v>
      </c>
      <c r="D2780" s="202" t="s">
        <v>20234</v>
      </c>
      <c r="E2780" s="203" t="s">
        <v>20235</v>
      </c>
      <c r="F2780" s="204" t="s">
        <v>20236</v>
      </c>
      <c r="G2780" s="205"/>
      <c r="H2780" s="218"/>
      <c r="I2780" s="169">
        <v>111144</v>
      </c>
      <c r="J2780" s="304" t="str">
        <f>CONCATENATE([2]Cover!$D$6,"fdd/view?i=",I2780)</f>
        <v>https://www.dgiwg.org/FAD/fdd/view?i=111144</v>
      </c>
      <c r="K2780" s="304" t="s">
        <v>36829</v>
      </c>
      <c r="L2780" s="202">
        <v>2</v>
      </c>
      <c r="M2780" s="179" t="s">
        <v>151</v>
      </c>
    </row>
    <row r="2781" spans="1:13" ht="25.5">
      <c r="A2781" s="313" t="str">
        <f t="shared" si="43"/>
        <v>DumpingGroundTypeCode_explosives</v>
      </c>
      <c r="B2781" s="330"/>
      <c r="C2781" s="334"/>
      <c r="D2781" s="188" t="s">
        <v>20237</v>
      </c>
      <c r="E2781" s="189" t="s">
        <v>20238</v>
      </c>
      <c r="F2781" s="162" t="s">
        <v>20239</v>
      </c>
      <c r="G2781" s="190"/>
      <c r="H2781" s="219"/>
      <c r="I2781" s="169">
        <v>111146</v>
      </c>
      <c r="J2781" s="304" t="str">
        <f>CONCATENATE([2]Cover!$D$6,"fdd/view?i=",I2781)</f>
        <v>https://www.dgiwg.org/FAD/fdd/view?i=111146</v>
      </c>
      <c r="K2781" s="304" t="s">
        <v>36830</v>
      </c>
      <c r="L2781" s="188">
        <v>4</v>
      </c>
      <c r="M2781" s="179" t="s">
        <v>151</v>
      </c>
    </row>
    <row r="2782" spans="1:13" ht="38.25">
      <c r="A2782" s="313" t="str">
        <f t="shared" si="43"/>
        <v>DumpingGroundTypeCode_hazardousMaterial</v>
      </c>
      <c r="B2782" s="330"/>
      <c r="C2782" s="334"/>
      <c r="D2782" s="188" t="s">
        <v>20240</v>
      </c>
      <c r="E2782" s="189" t="s">
        <v>20241</v>
      </c>
      <c r="F2782" s="162" t="s">
        <v>20242</v>
      </c>
      <c r="G2782" s="190"/>
      <c r="H2782" s="219"/>
      <c r="I2782" s="169">
        <v>111143</v>
      </c>
      <c r="J2782" s="304" t="str">
        <f>CONCATENATE([2]Cover!$D$6,"fdd/view?i=",I2782)</f>
        <v>https://www.dgiwg.org/FAD/fdd/view?i=111143</v>
      </c>
      <c r="K2782" s="304" t="s">
        <v>36831</v>
      </c>
      <c r="L2782" s="188">
        <v>1</v>
      </c>
      <c r="M2782" s="179" t="s">
        <v>151</v>
      </c>
    </row>
    <row r="2783" spans="1:13" ht="25.5">
      <c r="A2783" s="313" t="str">
        <f t="shared" si="43"/>
        <v>DumpingGroundTypeCode_nuclearWaste</v>
      </c>
      <c r="B2783" s="330"/>
      <c r="C2783" s="334"/>
      <c r="D2783" s="188" t="s">
        <v>20243</v>
      </c>
      <c r="E2783" s="189" t="s">
        <v>20244</v>
      </c>
      <c r="F2783" s="162" t="s">
        <v>20245</v>
      </c>
      <c r="G2783" s="190"/>
      <c r="H2783" s="219"/>
      <c r="I2783" s="169">
        <v>111145</v>
      </c>
      <c r="J2783" s="304" t="str">
        <f>CONCATENATE([2]Cover!$D$6,"fdd/view?i=",I2783)</f>
        <v>https://www.dgiwg.org/FAD/fdd/view?i=111145</v>
      </c>
      <c r="K2783" s="304" t="s">
        <v>36832</v>
      </c>
      <c r="L2783" s="188">
        <v>3</v>
      </c>
      <c r="M2783" s="179" t="s">
        <v>151</v>
      </c>
    </row>
    <row r="2784" spans="1:13">
      <c r="A2784" s="313" t="str">
        <f t="shared" si="43"/>
        <v>DumpingGroundTypeCode_spoil</v>
      </c>
      <c r="B2784" s="330"/>
      <c r="C2784" s="334"/>
      <c r="D2784" s="188" t="s">
        <v>18848</v>
      </c>
      <c r="E2784" s="189" t="s">
        <v>18849</v>
      </c>
      <c r="F2784" s="162" t="s">
        <v>20246</v>
      </c>
      <c r="G2784" s="190"/>
      <c r="H2784" s="221" t="s">
        <v>18852</v>
      </c>
      <c r="I2784" s="169">
        <v>111147</v>
      </c>
      <c r="J2784" s="304" t="str">
        <f>CONCATENATE([2]Cover!$D$6,"fdd/view?i=",I2784)</f>
        <v>https://www.dgiwg.org/FAD/fdd/view?i=111147</v>
      </c>
      <c r="K2784" s="304" t="s">
        <v>36833</v>
      </c>
      <c r="L2784" s="188">
        <v>5</v>
      </c>
      <c r="M2784" s="179" t="s">
        <v>151</v>
      </c>
    </row>
    <row r="2785" spans="1:13">
      <c r="A2785" s="313" t="str">
        <f t="shared" si="43"/>
        <v>DumpingGroundTypeCode_vessels</v>
      </c>
      <c r="B2785" s="331"/>
      <c r="C2785" s="335"/>
      <c r="D2785" s="181" t="s">
        <v>20247</v>
      </c>
      <c r="E2785" s="192" t="s">
        <v>20248</v>
      </c>
      <c r="F2785" s="193" t="s">
        <v>20249</v>
      </c>
      <c r="G2785" s="194"/>
      <c r="H2785" s="220"/>
      <c r="I2785" s="169">
        <v>111148</v>
      </c>
      <c r="J2785" s="304" t="str">
        <f>CONCATENATE([2]Cover!$D$6,"fdd/view?i=",I2785)</f>
        <v>https://www.dgiwg.org/FAD/fdd/view?i=111148</v>
      </c>
      <c r="K2785" s="304" t="s">
        <v>36834</v>
      </c>
      <c r="L2785" s="181">
        <v>6</v>
      </c>
      <c r="M2785" s="179" t="s">
        <v>151</v>
      </c>
    </row>
    <row r="2786" spans="1:13" ht="38.25">
      <c r="A2786" s="313" t="str">
        <f t="shared" si="43"/>
        <v>EarthquakeMagSourceCode_abe_1981</v>
      </c>
      <c r="B2786" s="332" t="str">
        <f>HYPERLINK("[#]Datatypes!A478:L478","EarthquakeMagSourceCode")</f>
        <v>EarthquakeMagSourceCode</v>
      </c>
      <c r="C2786" s="333" t="s">
        <v>12008</v>
      </c>
      <c r="D2786" s="202" t="s">
        <v>20258</v>
      </c>
      <c r="E2786" s="203" t="s">
        <v>20259</v>
      </c>
      <c r="F2786" s="204" t="s">
        <v>20260</v>
      </c>
      <c r="G2786" s="204" t="s">
        <v>20261</v>
      </c>
      <c r="H2786" s="218"/>
      <c r="I2786" s="169">
        <v>204397</v>
      </c>
      <c r="J2786" s="304" t="str">
        <f>CONCATENATE([2]Cover!$D$6,"fdd/view?i=",I2786)</f>
        <v>https://www.dgiwg.org/FAD/fdd/view?i=204397</v>
      </c>
      <c r="K2786" s="304" t="s">
        <v>36835</v>
      </c>
      <c r="L2786" s="202">
        <v>3</v>
      </c>
      <c r="M2786" s="179" t="s">
        <v>1295</v>
      </c>
    </row>
    <row r="2787" spans="1:13" ht="38.25">
      <c r="A2787" s="313" t="str">
        <f t="shared" si="43"/>
        <v>EarthquakeMagSourceCode_abe_1984</v>
      </c>
      <c r="B2787" s="330"/>
      <c r="C2787" s="334"/>
      <c r="D2787" s="188" t="s">
        <v>20262</v>
      </c>
      <c r="E2787" s="189" t="s">
        <v>20263</v>
      </c>
      <c r="F2787" s="162" t="s">
        <v>20264</v>
      </c>
      <c r="G2787" s="162" t="s">
        <v>20265</v>
      </c>
      <c r="H2787" s="219"/>
      <c r="I2787" s="169">
        <v>204398</v>
      </c>
      <c r="J2787" s="304" t="str">
        <f>CONCATENATE([2]Cover!$D$6,"fdd/view?i=",I2787)</f>
        <v>https://www.dgiwg.org/FAD/fdd/view?i=204398</v>
      </c>
      <c r="K2787" s="304" t="s">
        <v>36836</v>
      </c>
      <c r="L2787" s="188">
        <v>4</v>
      </c>
      <c r="M2787" s="179" t="s">
        <v>1295</v>
      </c>
    </row>
    <row r="2788" spans="1:13" ht="38.25">
      <c r="A2788" s="313" t="str">
        <f t="shared" si="43"/>
        <v>EarthquakeMagSourceCode_abeNoguchi_1983a</v>
      </c>
      <c r="B2788" s="330"/>
      <c r="C2788" s="334"/>
      <c r="D2788" s="188" t="s">
        <v>20250</v>
      </c>
      <c r="E2788" s="189" t="s">
        <v>20251</v>
      </c>
      <c r="F2788" s="162" t="s">
        <v>20252</v>
      </c>
      <c r="G2788" s="162" t="s">
        <v>20253</v>
      </c>
      <c r="H2788" s="219"/>
      <c r="I2788" s="169">
        <v>204395</v>
      </c>
      <c r="J2788" s="304" t="str">
        <f>CONCATENATE([2]Cover!$D$6,"fdd/view?i=",I2788)</f>
        <v>https://www.dgiwg.org/FAD/fdd/view?i=204395</v>
      </c>
      <c r="K2788" s="304" t="s">
        <v>36837</v>
      </c>
      <c r="L2788" s="188">
        <v>1</v>
      </c>
      <c r="M2788" s="179" t="s">
        <v>1295</v>
      </c>
    </row>
    <row r="2789" spans="1:13" ht="38.25">
      <c r="A2789" s="313" t="str">
        <f t="shared" si="43"/>
        <v>EarthquakeMagSourceCode_abeNoguchi_1983b</v>
      </c>
      <c r="B2789" s="330"/>
      <c r="C2789" s="334"/>
      <c r="D2789" s="188" t="s">
        <v>20254</v>
      </c>
      <c r="E2789" s="189" t="s">
        <v>20255</v>
      </c>
      <c r="F2789" s="162" t="s">
        <v>20256</v>
      </c>
      <c r="G2789" s="162" t="s">
        <v>20257</v>
      </c>
      <c r="H2789" s="219"/>
      <c r="I2789" s="169">
        <v>204396</v>
      </c>
      <c r="J2789" s="304" t="str">
        <f>CONCATENATE([2]Cover!$D$6,"fdd/view?i=",I2789)</f>
        <v>https://www.dgiwg.org/FAD/fdd/view?i=204396</v>
      </c>
      <c r="K2789" s="304" t="s">
        <v>36838</v>
      </c>
      <c r="L2789" s="188">
        <v>2</v>
      </c>
      <c r="M2789" s="179" t="s">
        <v>1295</v>
      </c>
    </row>
    <row r="2790" spans="1:13" ht="25.5">
      <c r="A2790" s="313" t="str">
        <f t="shared" si="43"/>
        <v>EarthquakeMagSourceCode_adakObservatory</v>
      </c>
      <c r="B2790" s="330"/>
      <c r="C2790" s="334"/>
      <c r="D2790" s="188" t="s">
        <v>20266</v>
      </c>
      <c r="E2790" s="189" t="s">
        <v>20267</v>
      </c>
      <c r="F2790" s="162" t="s">
        <v>20268</v>
      </c>
      <c r="G2790" s="162" t="s">
        <v>20269</v>
      </c>
      <c r="H2790" s="219"/>
      <c r="I2790" s="169">
        <v>204399</v>
      </c>
      <c r="J2790" s="304" t="str">
        <f>CONCATENATE([2]Cover!$D$6,"fdd/view?i=",I2790)</f>
        <v>https://www.dgiwg.org/FAD/fdd/view?i=204399</v>
      </c>
      <c r="K2790" s="304" t="s">
        <v>36839</v>
      </c>
      <c r="L2790" s="188">
        <v>5</v>
      </c>
      <c r="M2790" s="179" t="s">
        <v>1295</v>
      </c>
    </row>
    <row r="2791" spans="1:13" ht="25.5">
      <c r="A2791" s="313" t="str">
        <f t="shared" si="43"/>
        <v>EarthquakeMagSourceCode_alaskaTsunamiWarning</v>
      </c>
      <c r="B2791" s="330"/>
      <c r="C2791" s="334"/>
      <c r="D2791" s="188" t="s">
        <v>20270</v>
      </c>
      <c r="E2791" s="189" t="s">
        <v>20271</v>
      </c>
      <c r="F2791" s="162" t="s">
        <v>20272</v>
      </c>
      <c r="G2791" s="162" t="s">
        <v>20273</v>
      </c>
      <c r="H2791" s="219"/>
      <c r="I2791" s="169">
        <v>204400</v>
      </c>
      <c r="J2791" s="304" t="str">
        <f>CONCATENATE([2]Cover!$D$6,"fdd/view?i=",I2791)</f>
        <v>https://www.dgiwg.org/FAD/fdd/view?i=204400</v>
      </c>
      <c r="K2791" s="304" t="s">
        <v>36840</v>
      </c>
      <c r="L2791" s="188">
        <v>6</v>
      </c>
      <c r="M2791" s="179" t="s">
        <v>1295</v>
      </c>
    </row>
    <row r="2792" spans="1:13" ht="38.25">
      <c r="A2792" s="313" t="str">
        <f t="shared" si="43"/>
        <v>EarthquakeMagSourceCode_ando_1979</v>
      </c>
      <c r="B2792" s="330"/>
      <c r="C2792" s="334"/>
      <c r="D2792" s="188" t="s">
        <v>20274</v>
      </c>
      <c r="E2792" s="189" t="s">
        <v>20275</v>
      </c>
      <c r="F2792" s="162" t="s">
        <v>20276</v>
      </c>
      <c r="G2792" s="162" t="s">
        <v>20277</v>
      </c>
      <c r="H2792" s="219"/>
      <c r="I2792" s="169">
        <v>204401</v>
      </c>
      <c r="J2792" s="304" t="str">
        <f>CONCATENATE([2]Cover!$D$6,"fdd/view?i=",I2792)</f>
        <v>https://www.dgiwg.org/FAD/fdd/view?i=204401</v>
      </c>
      <c r="K2792" s="304" t="s">
        <v>36841</v>
      </c>
      <c r="L2792" s="188">
        <v>7</v>
      </c>
      <c r="M2792" s="179" t="s">
        <v>1295</v>
      </c>
    </row>
    <row r="2793" spans="1:13" ht="51">
      <c r="A2793" s="313" t="str">
        <f t="shared" si="43"/>
        <v>EarthquakeMagSourceCode_archuletaEtAl_1982</v>
      </c>
      <c r="B2793" s="330"/>
      <c r="C2793" s="334"/>
      <c r="D2793" s="188" t="s">
        <v>20278</v>
      </c>
      <c r="E2793" s="189" t="s">
        <v>20279</v>
      </c>
      <c r="F2793" s="162" t="s">
        <v>20280</v>
      </c>
      <c r="G2793" s="162" t="s">
        <v>20281</v>
      </c>
      <c r="H2793" s="219"/>
      <c r="I2793" s="169">
        <v>204402</v>
      </c>
      <c r="J2793" s="304" t="str">
        <f>CONCATENATE([2]Cover!$D$6,"fdd/view?i=",I2793)</f>
        <v>https://www.dgiwg.org/FAD/fdd/view?i=204402</v>
      </c>
      <c r="K2793" s="304" t="s">
        <v>36842</v>
      </c>
      <c r="L2793" s="188">
        <v>8</v>
      </c>
      <c r="M2793" s="179" t="s">
        <v>1295</v>
      </c>
    </row>
    <row r="2794" spans="1:13" ht="51">
      <c r="A2794" s="313" t="str">
        <f t="shared" si="43"/>
        <v>EarthquakeMagSourceCode_armbrusterSeeber_1987</v>
      </c>
      <c r="B2794" s="330"/>
      <c r="C2794" s="334"/>
      <c r="D2794" s="188" t="s">
        <v>20282</v>
      </c>
      <c r="E2794" s="189" t="s">
        <v>20283</v>
      </c>
      <c r="F2794" s="162" t="s">
        <v>20284</v>
      </c>
      <c r="G2794" s="162" t="s">
        <v>20285</v>
      </c>
      <c r="H2794" s="219"/>
      <c r="I2794" s="169">
        <v>204403</v>
      </c>
      <c r="J2794" s="304" t="str">
        <f>CONCATENATE([2]Cover!$D$6,"fdd/view?i=",I2794)</f>
        <v>https://www.dgiwg.org/FAD/fdd/view?i=204403</v>
      </c>
      <c r="K2794" s="304" t="s">
        <v>36843</v>
      </c>
      <c r="L2794" s="188">
        <v>9</v>
      </c>
      <c r="M2794" s="179" t="s">
        <v>1295</v>
      </c>
    </row>
    <row r="2795" spans="1:13" ht="51">
      <c r="A2795" s="313" t="str">
        <f t="shared" si="43"/>
        <v>EarthquakeMagSourceCode_bakerLangston_1987</v>
      </c>
      <c r="B2795" s="330"/>
      <c r="C2795" s="334"/>
      <c r="D2795" s="188" t="s">
        <v>20286</v>
      </c>
      <c r="E2795" s="189" t="s">
        <v>20287</v>
      </c>
      <c r="F2795" s="162" t="s">
        <v>20288</v>
      </c>
      <c r="G2795" s="162" t="s">
        <v>20289</v>
      </c>
      <c r="H2795" s="219"/>
      <c r="I2795" s="169">
        <v>204404</v>
      </c>
      <c r="J2795" s="304" t="str">
        <f>CONCATENATE([2]Cover!$D$6,"fdd/view?i=",I2795)</f>
        <v>https://www.dgiwg.org/FAD/fdd/view?i=204404</v>
      </c>
      <c r="K2795" s="304" t="s">
        <v>36844</v>
      </c>
      <c r="L2795" s="188">
        <v>10</v>
      </c>
      <c r="M2795" s="179" t="s">
        <v>1295</v>
      </c>
    </row>
    <row r="2796" spans="1:13" ht="38.25">
      <c r="A2796" s="313" t="str">
        <f t="shared" si="43"/>
        <v>EarthquakeMagSourceCode_bakun_1984</v>
      </c>
      <c r="B2796" s="330"/>
      <c r="C2796" s="334"/>
      <c r="D2796" s="188" t="s">
        <v>20290</v>
      </c>
      <c r="E2796" s="189" t="s">
        <v>20291</v>
      </c>
      <c r="F2796" s="162" t="s">
        <v>20292</v>
      </c>
      <c r="G2796" s="162" t="s">
        <v>20293</v>
      </c>
      <c r="H2796" s="219"/>
      <c r="I2796" s="169">
        <v>204405</v>
      </c>
      <c r="J2796" s="304" t="str">
        <f>CONCATENATE([2]Cover!$D$6,"fdd/view?i=",I2796)</f>
        <v>https://www.dgiwg.org/FAD/fdd/view?i=204405</v>
      </c>
      <c r="K2796" s="304" t="s">
        <v>36845</v>
      </c>
      <c r="L2796" s="188">
        <v>11</v>
      </c>
      <c r="M2796" s="179" t="s">
        <v>1295</v>
      </c>
    </row>
    <row r="2797" spans="1:13" ht="63.75">
      <c r="A2797" s="313" t="str">
        <f t="shared" si="43"/>
        <v>EarthquakeMagSourceCode_barstowEtAl_1981</v>
      </c>
      <c r="B2797" s="330"/>
      <c r="C2797" s="334"/>
      <c r="D2797" s="188" t="s">
        <v>20294</v>
      </c>
      <c r="E2797" s="189" t="s">
        <v>20295</v>
      </c>
      <c r="F2797" s="162" t="s">
        <v>20296</v>
      </c>
      <c r="G2797" s="162" t="s">
        <v>20297</v>
      </c>
      <c r="H2797" s="219"/>
      <c r="I2797" s="169">
        <v>204406</v>
      </c>
      <c r="J2797" s="304" t="str">
        <f>CONCATENATE([2]Cover!$D$6,"fdd/view?i=",I2797)</f>
        <v>https://www.dgiwg.org/FAD/fdd/view?i=204406</v>
      </c>
      <c r="K2797" s="304" t="s">
        <v>36846</v>
      </c>
      <c r="L2797" s="188">
        <v>12</v>
      </c>
      <c r="M2797" s="179" t="s">
        <v>1295</v>
      </c>
    </row>
    <row r="2798" spans="1:13" ht="38.25">
      <c r="A2798" s="313" t="str">
        <f t="shared" si="43"/>
        <v>EarthquakeMagSourceCode_bashamEtAl_1979</v>
      </c>
      <c r="B2798" s="330"/>
      <c r="C2798" s="334"/>
      <c r="D2798" s="188" t="s">
        <v>20298</v>
      </c>
      <c r="E2798" s="189" t="s">
        <v>20299</v>
      </c>
      <c r="F2798" s="162" t="s">
        <v>20300</v>
      </c>
      <c r="G2798" s="162" t="s">
        <v>20301</v>
      </c>
      <c r="H2798" s="219"/>
      <c r="I2798" s="169">
        <v>204407</v>
      </c>
      <c r="J2798" s="304" t="str">
        <f>CONCATENATE([2]Cover!$D$6,"fdd/view?i=",I2798)</f>
        <v>https://www.dgiwg.org/FAD/fdd/view?i=204407</v>
      </c>
      <c r="K2798" s="304" t="s">
        <v>36847</v>
      </c>
      <c r="L2798" s="188">
        <v>13</v>
      </c>
      <c r="M2798" s="179" t="s">
        <v>1295</v>
      </c>
    </row>
    <row r="2799" spans="1:13" ht="38.25">
      <c r="A2799" s="313" t="str">
        <f t="shared" si="43"/>
        <v>EarthquakeMagSourceCode_bollinger_1979</v>
      </c>
      <c r="B2799" s="330"/>
      <c r="C2799" s="334"/>
      <c r="D2799" s="188" t="s">
        <v>20302</v>
      </c>
      <c r="E2799" s="189" t="s">
        <v>20303</v>
      </c>
      <c r="F2799" s="162" t="s">
        <v>20304</v>
      </c>
      <c r="G2799" s="162" t="s">
        <v>20305</v>
      </c>
      <c r="H2799" s="219"/>
      <c r="I2799" s="169">
        <v>204408</v>
      </c>
      <c r="J2799" s="304" t="str">
        <f>CONCATENATE([2]Cover!$D$6,"fdd/view?i=",I2799)</f>
        <v>https://www.dgiwg.org/FAD/fdd/view?i=204408</v>
      </c>
      <c r="K2799" s="304" t="s">
        <v>36848</v>
      </c>
      <c r="L2799" s="188">
        <v>14</v>
      </c>
      <c r="M2799" s="179" t="s">
        <v>1295</v>
      </c>
    </row>
    <row r="2800" spans="1:13" ht="38.25">
      <c r="A2800" s="313" t="str">
        <f t="shared" si="43"/>
        <v>EarthquakeMagSourceCode_bollinger_1986</v>
      </c>
      <c r="B2800" s="330"/>
      <c r="C2800" s="334"/>
      <c r="D2800" s="188" t="s">
        <v>20306</v>
      </c>
      <c r="E2800" s="189" t="s">
        <v>20307</v>
      </c>
      <c r="F2800" s="162" t="s">
        <v>20308</v>
      </c>
      <c r="G2800" s="162" t="s">
        <v>20309</v>
      </c>
      <c r="H2800" s="219"/>
      <c r="I2800" s="169">
        <v>204409</v>
      </c>
      <c r="J2800" s="304" t="str">
        <f>CONCATENATE([2]Cover!$D$6,"fdd/view?i=",I2800)</f>
        <v>https://www.dgiwg.org/FAD/fdd/view?i=204409</v>
      </c>
      <c r="K2800" s="304" t="s">
        <v>36849</v>
      </c>
      <c r="L2800" s="188">
        <v>15</v>
      </c>
      <c r="M2800" s="179" t="s">
        <v>1295</v>
      </c>
    </row>
    <row r="2801" spans="1:13" ht="38.25">
      <c r="A2801" s="313" t="str">
        <f t="shared" si="43"/>
        <v>EarthquakeMagSourceCode_bolt_1978</v>
      </c>
      <c r="B2801" s="330"/>
      <c r="C2801" s="334"/>
      <c r="D2801" s="188" t="s">
        <v>20314</v>
      </c>
      <c r="E2801" s="189" t="s">
        <v>20315</v>
      </c>
      <c r="F2801" s="162" t="s">
        <v>20316</v>
      </c>
      <c r="G2801" s="162" t="s">
        <v>20317</v>
      </c>
      <c r="H2801" s="219"/>
      <c r="I2801" s="169">
        <v>204411</v>
      </c>
      <c r="J2801" s="304" t="str">
        <f>CONCATENATE([2]Cover!$D$6,"fdd/view?i=",I2801)</f>
        <v>https://www.dgiwg.org/FAD/fdd/view?i=204411</v>
      </c>
      <c r="K2801" s="304" t="s">
        <v>36850</v>
      </c>
      <c r="L2801" s="188">
        <v>17</v>
      </c>
      <c r="M2801" s="179" t="s">
        <v>1295</v>
      </c>
    </row>
    <row r="2802" spans="1:13" ht="38.25">
      <c r="A2802" s="313" t="str">
        <f t="shared" si="43"/>
        <v>EarthquakeMagSourceCode_bolt_1984</v>
      </c>
      <c r="B2802" s="330"/>
      <c r="C2802" s="334"/>
      <c r="D2802" s="188" t="s">
        <v>20318</v>
      </c>
      <c r="E2802" s="189" t="s">
        <v>20319</v>
      </c>
      <c r="F2802" s="162" t="s">
        <v>20320</v>
      </c>
      <c r="G2802" s="162" t="s">
        <v>20321</v>
      </c>
      <c r="H2802" s="219"/>
      <c r="I2802" s="169">
        <v>204412</v>
      </c>
      <c r="J2802" s="304" t="str">
        <f>CONCATENATE([2]Cover!$D$6,"fdd/view?i=",I2802)</f>
        <v>https://www.dgiwg.org/FAD/fdd/view?i=204412</v>
      </c>
      <c r="K2802" s="304" t="s">
        <v>36851</v>
      </c>
      <c r="L2802" s="188">
        <v>18</v>
      </c>
      <c r="M2802" s="179" t="s">
        <v>1295</v>
      </c>
    </row>
    <row r="2803" spans="1:13" ht="38.25">
      <c r="A2803" s="313" t="str">
        <f t="shared" si="43"/>
        <v>EarthquakeMagSourceCode_boltEtAl_1981</v>
      </c>
      <c r="B2803" s="330"/>
      <c r="C2803" s="334"/>
      <c r="D2803" s="188" t="s">
        <v>20310</v>
      </c>
      <c r="E2803" s="189" t="s">
        <v>20311</v>
      </c>
      <c r="F2803" s="162" t="s">
        <v>20312</v>
      </c>
      <c r="G2803" s="162" t="s">
        <v>20313</v>
      </c>
      <c r="H2803" s="219"/>
      <c r="I2803" s="169">
        <v>204410</v>
      </c>
      <c r="J2803" s="304" t="str">
        <f>CONCATENATE([2]Cover!$D$6,"fdd/view?i=",I2803)</f>
        <v>https://www.dgiwg.org/FAD/fdd/view?i=204410</v>
      </c>
      <c r="K2803" s="304" t="s">
        <v>36852</v>
      </c>
      <c r="L2803" s="188">
        <v>16</v>
      </c>
      <c r="M2803" s="179" t="s">
        <v>1295</v>
      </c>
    </row>
    <row r="2804" spans="1:13" ht="25.5">
      <c r="A2804" s="313" t="str">
        <f t="shared" si="43"/>
        <v>EarthquakeMagSourceCode_bostonCollege</v>
      </c>
      <c r="B2804" s="330"/>
      <c r="C2804" s="334"/>
      <c r="D2804" s="188" t="s">
        <v>20322</v>
      </c>
      <c r="E2804" s="189" t="s">
        <v>20323</v>
      </c>
      <c r="F2804" s="162" t="s">
        <v>20324</v>
      </c>
      <c r="G2804" s="162" t="s">
        <v>20325</v>
      </c>
      <c r="H2804" s="219"/>
      <c r="I2804" s="169">
        <v>204413</v>
      </c>
      <c r="J2804" s="304" t="str">
        <f>CONCATENATE([2]Cover!$D$6,"fdd/view?i=",I2804)</f>
        <v>https://www.dgiwg.org/FAD/fdd/view?i=204413</v>
      </c>
      <c r="K2804" s="304" t="s">
        <v>36853</v>
      </c>
      <c r="L2804" s="188">
        <v>19</v>
      </c>
      <c r="M2804" s="179" t="s">
        <v>1295</v>
      </c>
    </row>
    <row r="2805" spans="1:13" ht="38.25">
      <c r="A2805" s="313" t="str">
        <f t="shared" si="43"/>
        <v>EarthquakeMagSourceCode_burgerLangston_1985</v>
      </c>
      <c r="B2805" s="330"/>
      <c r="C2805" s="334"/>
      <c r="D2805" s="188" t="s">
        <v>20326</v>
      </c>
      <c r="E2805" s="189" t="s">
        <v>20327</v>
      </c>
      <c r="F2805" s="162" t="s">
        <v>20328</v>
      </c>
      <c r="G2805" s="162" t="s">
        <v>20329</v>
      </c>
      <c r="H2805" s="219"/>
      <c r="I2805" s="169">
        <v>204414</v>
      </c>
      <c r="J2805" s="304" t="str">
        <f>CONCATENATE([2]Cover!$D$6,"fdd/view?i=",I2805)</f>
        <v>https://www.dgiwg.org/FAD/fdd/view?i=204414</v>
      </c>
      <c r="K2805" s="304" t="s">
        <v>36854</v>
      </c>
      <c r="L2805" s="188">
        <v>20</v>
      </c>
      <c r="M2805" s="179" t="s">
        <v>1295</v>
      </c>
    </row>
    <row r="2806" spans="1:13" ht="25.5">
      <c r="A2806" s="313" t="str">
        <f t="shared" si="43"/>
        <v>EarthquakeMagSourceCode_califDeptWaterResources</v>
      </c>
      <c r="B2806" s="330"/>
      <c r="C2806" s="334"/>
      <c r="D2806" s="188" t="s">
        <v>20330</v>
      </c>
      <c r="E2806" s="189" t="s">
        <v>20331</v>
      </c>
      <c r="F2806" s="162" t="s">
        <v>20332</v>
      </c>
      <c r="G2806" s="162" t="s">
        <v>20333</v>
      </c>
      <c r="H2806" s="219"/>
      <c r="I2806" s="169">
        <v>204415</v>
      </c>
      <c r="J2806" s="304" t="str">
        <f>CONCATENATE([2]Cover!$D$6,"fdd/view?i=",I2806)</f>
        <v>https://www.dgiwg.org/FAD/fdd/view?i=204415</v>
      </c>
      <c r="K2806" s="304" t="s">
        <v>36855</v>
      </c>
      <c r="L2806" s="188">
        <v>21</v>
      </c>
      <c r="M2806" s="179" t="s">
        <v>1295</v>
      </c>
    </row>
    <row r="2807" spans="1:13" ht="25.5">
      <c r="A2807" s="313" t="str">
        <f t="shared" si="43"/>
        <v>EarthquakeMagSourceCode_califDivisionMinesGeology</v>
      </c>
      <c r="B2807" s="330"/>
      <c r="C2807" s="334"/>
      <c r="D2807" s="188" t="s">
        <v>20334</v>
      </c>
      <c r="E2807" s="189" t="s">
        <v>20335</v>
      </c>
      <c r="F2807" s="162" t="s">
        <v>20336</v>
      </c>
      <c r="G2807" s="162" t="s">
        <v>20337</v>
      </c>
      <c r="H2807" s="219"/>
      <c r="I2807" s="169">
        <v>204416</v>
      </c>
      <c r="J2807" s="304" t="str">
        <f>CONCATENATE([2]Cover!$D$6,"fdd/view?i=",I2807)</f>
        <v>https://www.dgiwg.org/FAD/fdd/view?i=204416</v>
      </c>
      <c r="K2807" s="304" t="s">
        <v>36856</v>
      </c>
      <c r="L2807" s="188">
        <v>22</v>
      </c>
      <c r="M2807" s="179" t="s">
        <v>1295</v>
      </c>
    </row>
    <row r="2808" spans="1:13" ht="25.5">
      <c r="A2808" s="313" t="str">
        <f t="shared" si="43"/>
        <v>EarthquakeMagSourceCode_califInstituteTechnology</v>
      </c>
      <c r="B2808" s="330"/>
      <c r="C2808" s="334"/>
      <c r="D2808" s="188" t="s">
        <v>20338</v>
      </c>
      <c r="E2808" s="189" t="s">
        <v>20339</v>
      </c>
      <c r="F2808" s="162" t="s">
        <v>20340</v>
      </c>
      <c r="G2808" s="162" t="s">
        <v>20341</v>
      </c>
      <c r="H2808" s="219"/>
      <c r="I2808" s="169">
        <v>204417</v>
      </c>
      <c r="J2808" s="304" t="str">
        <f>CONCATENATE([2]Cover!$D$6,"fdd/view?i=",I2808)</f>
        <v>https://www.dgiwg.org/FAD/fdd/view?i=204417</v>
      </c>
      <c r="K2808" s="304" t="s">
        <v>36857</v>
      </c>
      <c r="L2808" s="188">
        <v>23</v>
      </c>
      <c r="M2808" s="179" t="s">
        <v>1295</v>
      </c>
    </row>
    <row r="2809" spans="1:13" ht="38.25">
      <c r="A2809" s="313" t="str">
        <f t="shared" si="43"/>
        <v>EarthquakeMagSourceCode_carlson_1984</v>
      </c>
      <c r="B2809" s="330"/>
      <c r="C2809" s="334"/>
      <c r="D2809" s="188" t="s">
        <v>20342</v>
      </c>
      <c r="E2809" s="189" t="s">
        <v>20343</v>
      </c>
      <c r="F2809" s="162" t="s">
        <v>20344</v>
      </c>
      <c r="G2809" s="162" t="s">
        <v>20345</v>
      </c>
      <c r="H2809" s="219"/>
      <c r="I2809" s="169">
        <v>204418</v>
      </c>
      <c r="J2809" s="304" t="str">
        <f>CONCATENATE([2]Cover!$D$6,"fdd/view?i=",I2809)</f>
        <v>https://www.dgiwg.org/FAD/fdd/view?i=204418</v>
      </c>
      <c r="K2809" s="304" t="s">
        <v>36858</v>
      </c>
      <c r="L2809" s="188">
        <v>24</v>
      </c>
      <c r="M2809" s="179" t="s">
        <v>1295</v>
      </c>
    </row>
    <row r="2810" spans="1:13" ht="51">
      <c r="A2810" s="313" t="str">
        <f t="shared" si="43"/>
        <v>EarthquakeMagSourceCode_carverEtAl_1983</v>
      </c>
      <c r="B2810" s="330"/>
      <c r="C2810" s="334"/>
      <c r="D2810" s="188" t="s">
        <v>20346</v>
      </c>
      <c r="E2810" s="189" t="s">
        <v>20347</v>
      </c>
      <c r="F2810" s="162" t="s">
        <v>20348</v>
      </c>
      <c r="G2810" s="162" t="s">
        <v>20349</v>
      </c>
      <c r="H2810" s="219"/>
      <c r="I2810" s="169">
        <v>204419</v>
      </c>
      <c r="J2810" s="304" t="str">
        <f>CONCATENATE([2]Cover!$D$6,"fdd/view?i=",I2810)</f>
        <v>https://www.dgiwg.org/FAD/fdd/view?i=204419</v>
      </c>
      <c r="K2810" s="304" t="s">
        <v>36859</v>
      </c>
      <c r="L2810" s="188">
        <v>25</v>
      </c>
      <c r="M2810" s="179" t="s">
        <v>1295</v>
      </c>
    </row>
    <row r="2811" spans="1:13" ht="25.5">
      <c r="A2811" s="313" t="str">
        <f t="shared" si="43"/>
        <v>EarthquakeMagSourceCode_coloradoSchoolMines</v>
      </c>
      <c r="B2811" s="330"/>
      <c r="C2811" s="334"/>
      <c r="D2811" s="188" t="s">
        <v>20350</v>
      </c>
      <c r="E2811" s="189" t="s">
        <v>20351</v>
      </c>
      <c r="F2811" s="162" t="s">
        <v>20352</v>
      </c>
      <c r="G2811" s="162" t="s">
        <v>20353</v>
      </c>
      <c r="H2811" s="219"/>
      <c r="I2811" s="169">
        <v>204420</v>
      </c>
      <c r="J2811" s="304" t="str">
        <f>CONCATENATE([2]Cover!$D$6,"fdd/view?i=",I2811)</f>
        <v>https://www.dgiwg.org/FAD/fdd/view?i=204420</v>
      </c>
      <c r="K2811" s="304" t="s">
        <v>36860</v>
      </c>
      <c r="L2811" s="188">
        <v>26</v>
      </c>
      <c r="M2811" s="179" t="s">
        <v>1295</v>
      </c>
    </row>
    <row r="2812" spans="1:13" ht="25.5">
      <c r="A2812" s="313" t="str">
        <f t="shared" si="43"/>
        <v>EarthquakeMagSourceCode_columbiaUniversity</v>
      </c>
      <c r="B2812" s="330"/>
      <c r="C2812" s="334"/>
      <c r="D2812" s="188" t="s">
        <v>20354</v>
      </c>
      <c r="E2812" s="189" t="s">
        <v>20355</v>
      </c>
      <c r="F2812" s="162" t="s">
        <v>20356</v>
      </c>
      <c r="G2812" s="162" t="s">
        <v>20357</v>
      </c>
      <c r="H2812" s="219"/>
      <c r="I2812" s="169">
        <v>204421</v>
      </c>
      <c r="J2812" s="304" t="str">
        <f>CONCATENATE([2]Cover!$D$6,"fdd/view?i=",I2812)</f>
        <v>https://www.dgiwg.org/FAD/fdd/view?i=204421</v>
      </c>
      <c r="K2812" s="304" t="s">
        <v>36861</v>
      </c>
      <c r="L2812" s="188">
        <v>27</v>
      </c>
      <c r="M2812" s="179" t="s">
        <v>1295</v>
      </c>
    </row>
    <row r="2813" spans="1:13" ht="25.5">
      <c r="A2813" s="313" t="str">
        <f t="shared" si="43"/>
        <v>EarthquakeMagSourceCode_cox_1985</v>
      </c>
      <c r="B2813" s="330"/>
      <c r="C2813" s="334"/>
      <c r="D2813" s="188" t="s">
        <v>20358</v>
      </c>
      <c r="E2813" s="189" t="s">
        <v>20359</v>
      </c>
      <c r="F2813" s="162" t="s">
        <v>20360</v>
      </c>
      <c r="G2813" s="162" t="s">
        <v>20361</v>
      </c>
      <c r="H2813" s="219"/>
      <c r="I2813" s="169">
        <v>204422</v>
      </c>
      <c r="J2813" s="304" t="str">
        <f>CONCATENATE([2]Cover!$D$6,"fdd/view?i=",I2813)</f>
        <v>https://www.dgiwg.org/FAD/fdd/view?i=204422</v>
      </c>
      <c r="K2813" s="304" t="s">
        <v>36862</v>
      </c>
      <c r="L2813" s="188">
        <v>28</v>
      </c>
      <c r="M2813" s="179" t="s">
        <v>1295</v>
      </c>
    </row>
    <row r="2814" spans="1:13" ht="25.5">
      <c r="A2814" s="313" t="str">
        <f t="shared" si="43"/>
        <v>EarthquakeMagSourceCode_dewey_1987</v>
      </c>
      <c r="B2814" s="330"/>
      <c r="C2814" s="334"/>
      <c r="D2814" s="188" t="s">
        <v>20366</v>
      </c>
      <c r="E2814" s="189" t="s">
        <v>20367</v>
      </c>
      <c r="F2814" s="162" t="s">
        <v>20368</v>
      </c>
      <c r="G2814" s="162" t="s">
        <v>20369</v>
      </c>
      <c r="H2814" s="219"/>
      <c r="I2814" s="169">
        <v>204424</v>
      </c>
      <c r="J2814" s="304" t="str">
        <f>CONCATENATE([2]Cover!$D$6,"fdd/view?i=",I2814)</f>
        <v>https://www.dgiwg.org/FAD/fdd/view?i=204424</v>
      </c>
      <c r="K2814" s="304" t="s">
        <v>36863</v>
      </c>
      <c r="L2814" s="188">
        <v>30</v>
      </c>
      <c r="M2814" s="179" t="s">
        <v>1295</v>
      </c>
    </row>
    <row r="2815" spans="1:13" ht="51">
      <c r="A2815" s="313" t="str">
        <f t="shared" si="43"/>
        <v>EarthquakeMagSourceCode_deweyGordon_1984</v>
      </c>
      <c r="B2815" s="330"/>
      <c r="C2815" s="334"/>
      <c r="D2815" s="188" t="s">
        <v>20362</v>
      </c>
      <c r="E2815" s="189" t="s">
        <v>20363</v>
      </c>
      <c r="F2815" s="162" t="s">
        <v>20364</v>
      </c>
      <c r="G2815" s="162" t="s">
        <v>20365</v>
      </c>
      <c r="H2815" s="219"/>
      <c r="I2815" s="169">
        <v>204423</v>
      </c>
      <c r="J2815" s="304" t="str">
        <f>CONCATENATE([2]Cover!$D$6,"fdd/view?i=",I2815)</f>
        <v>https://www.dgiwg.org/FAD/fdd/view?i=204423</v>
      </c>
      <c r="K2815" s="304" t="s">
        <v>36864</v>
      </c>
      <c r="L2815" s="188">
        <v>29</v>
      </c>
      <c r="M2815" s="179" t="s">
        <v>1295</v>
      </c>
    </row>
    <row r="2816" spans="1:13" ht="38.25">
      <c r="A2816" s="313" t="str">
        <f t="shared" si="43"/>
        <v>EarthquakeMagSourceCode_doser_1985</v>
      </c>
      <c r="B2816" s="330"/>
      <c r="C2816" s="334"/>
      <c r="D2816" s="188" t="s">
        <v>20370</v>
      </c>
      <c r="E2816" s="189" t="s">
        <v>20371</v>
      </c>
      <c r="F2816" s="162" t="s">
        <v>20372</v>
      </c>
      <c r="G2816" s="162" t="s">
        <v>20373</v>
      </c>
      <c r="H2816" s="219"/>
      <c r="I2816" s="169">
        <v>204425</v>
      </c>
      <c r="J2816" s="304" t="str">
        <f>CONCATENATE([2]Cover!$D$6,"fdd/view?i=",I2816)</f>
        <v>https://www.dgiwg.org/FAD/fdd/view?i=204425</v>
      </c>
      <c r="K2816" s="304" t="s">
        <v>36865</v>
      </c>
      <c r="L2816" s="188">
        <v>31</v>
      </c>
      <c r="M2816" s="179" t="s">
        <v>1295</v>
      </c>
    </row>
    <row r="2817" spans="1:13" ht="38.25">
      <c r="A2817" s="313" t="str">
        <f t="shared" si="43"/>
        <v>EarthquakeMagSourceCode_doser_1989</v>
      </c>
      <c r="B2817" s="330"/>
      <c r="C2817" s="334"/>
      <c r="D2817" s="188" t="s">
        <v>20374</v>
      </c>
      <c r="E2817" s="189" t="s">
        <v>20375</v>
      </c>
      <c r="F2817" s="162" t="s">
        <v>20376</v>
      </c>
      <c r="G2817" s="162" t="s">
        <v>20377</v>
      </c>
      <c r="H2817" s="219"/>
      <c r="I2817" s="169">
        <v>204426</v>
      </c>
      <c r="J2817" s="304" t="str">
        <f>CONCATENATE([2]Cover!$D$6,"fdd/view?i=",I2817)</f>
        <v>https://www.dgiwg.org/FAD/fdd/view?i=204426</v>
      </c>
      <c r="K2817" s="304" t="s">
        <v>36866</v>
      </c>
      <c r="L2817" s="188">
        <v>32</v>
      </c>
      <c r="M2817" s="179" t="s">
        <v>1295</v>
      </c>
    </row>
    <row r="2818" spans="1:13" ht="38.25">
      <c r="A2818" s="313" t="str">
        <f t="shared" si="43"/>
        <v>EarthquakeMagSourceCode_dovserSmith_1982</v>
      </c>
      <c r="B2818" s="330"/>
      <c r="C2818" s="334"/>
      <c r="D2818" s="188" t="s">
        <v>20378</v>
      </c>
      <c r="E2818" s="189" t="s">
        <v>20379</v>
      </c>
      <c r="F2818" s="162" t="s">
        <v>20380</v>
      </c>
      <c r="G2818" s="162" t="s">
        <v>20381</v>
      </c>
      <c r="H2818" s="219"/>
      <c r="I2818" s="169">
        <v>204427</v>
      </c>
      <c r="J2818" s="304" t="str">
        <f>CONCATENATE([2]Cover!$D$6,"fdd/view?i=",I2818)</f>
        <v>https://www.dgiwg.org/FAD/fdd/view?i=204427</v>
      </c>
      <c r="K2818" s="304" t="s">
        <v>36867</v>
      </c>
      <c r="L2818" s="188">
        <v>33</v>
      </c>
      <c r="M2818" s="179" t="s">
        <v>1295</v>
      </c>
    </row>
    <row r="2819" spans="1:13" ht="25.5">
      <c r="A2819" s="313" t="str">
        <f t="shared" ref="A2819:A2882" si="44">HYPERLINK(J2819,K2819)</f>
        <v>EarthquakeMagSourceCode_duda_1965</v>
      </c>
      <c r="B2819" s="330"/>
      <c r="C2819" s="334"/>
      <c r="D2819" s="188" t="s">
        <v>20382</v>
      </c>
      <c r="E2819" s="189" t="s">
        <v>20383</v>
      </c>
      <c r="F2819" s="162" t="s">
        <v>20384</v>
      </c>
      <c r="G2819" s="162" t="s">
        <v>20385</v>
      </c>
      <c r="H2819" s="219"/>
      <c r="I2819" s="169">
        <v>204428</v>
      </c>
      <c r="J2819" s="304" t="str">
        <f>CONCATENATE([2]Cover!$D$6,"fdd/view?i=",I2819)</f>
        <v>https://www.dgiwg.org/FAD/fdd/view?i=204428</v>
      </c>
      <c r="K2819" s="304" t="s">
        <v>36868</v>
      </c>
      <c r="L2819" s="188">
        <v>34</v>
      </c>
      <c r="M2819" s="179" t="s">
        <v>1295</v>
      </c>
    </row>
    <row r="2820" spans="1:13" ht="51">
      <c r="A2820" s="313" t="str">
        <f t="shared" si="44"/>
        <v>EarthquakeMagSourceCode_ebelEtAl_1986</v>
      </c>
      <c r="B2820" s="330"/>
      <c r="C2820" s="334"/>
      <c r="D2820" s="188" t="s">
        <v>20386</v>
      </c>
      <c r="E2820" s="189" t="s">
        <v>20387</v>
      </c>
      <c r="F2820" s="162" t="s">
        <v>20388</v>
      </c>
      <c r="G2820" s="162" t="s">
        <v>20389</v>
      </c>
      <c r="H2820" s="219"/>
      <c r="I2820" s="169">
        <v>204429</v>
      </c>
      <c r="J2820" s="304" t="str">
        <f>CONCATENATE([2]Cover!$D$6,"fdd/view?i=",I2820)</f>
        <v>https://www.dgiwg.org/FAD/fdd/view?i=204429</v>
      </c>
      <c r="K2820" s="304" t="s">
        <v>36869</v>
      </c>
      <c r="L2820" s="188">
        <v>35</v>
      </c>
      <c r="M2820" s="179" t="s">
        <v>1295</v>
      </c>
    </row>
    <row r="2821" spans="1:13" ht="51">
      <c r="A2821" s="313" t="str">
        <f t="shared" si="44"/>
        <v>EarthquakeMagSourceCode_eberhartPhillipsEtAl_1981</v>
      </c>
      <c r="B2821" s="330"/>
      <c r="C2821" s="334"/>
      <c r="D2821" s="188" t="s">
        <v>20390</v>
      </c>
      <c r="E2821" s="189" t="s">
        <v>20391</v>
      </c>
      <c r="F2821" s="162" t="s">
        <v>20392</v>
      </c>
      <c r="G2821" s="162" t="s">
        <v>20393</v>
      </c>
      <c r="H2821" s="219"/>
      <c r="I2821" s="169">
        <v>204430</v>
      </c>
      <c r="J2821" s="304" t="str">
        <f>CONCATENATE([2]Cover!$D$6,"fdd/view?i=",I2821)</f>
        <v>https://www.dgiwg.org/FAD/fdd/view?i=204430</v>
      </c>
      <c r="K2821" s="304" t="s">
        <v>36870</v>
      </c>
      <c r="L2821" s="188">
        <v>36</v>
      </c>
      <c r="M2821" s="179" t="s">
        <v>1295</v>
      </c>
    </row>
    <row r="2822" spans="1:13" ht="38.25">
      <c r="A2822" s="313" t="str">
        <f t="shared" si="44"/>
        <v>EarthquakeMagSourceCode_ekstromDziewonski_1985</v>
      </c>
      <c r="B2822" s="330"/>
      <c r="C2822" s="334"/>
      <c r="D2822" s="188" t="s">
        <v>20394</v>
      </c>
      <c r="E2822" s="189" t="s">
        <v>20395</v>
      </c>
      <c r="F2822" s="162" t="s">
        <v>20396</v>
      </c>
      <c r="G2822" s="162" t="s">
        <v>20397</v>
      </c>
      <c r="H2822" s="219"/>
      <c r="I2822" s="169">
        <v>204431</v>
      </c>
      <c r="J2822" s="304" t="str">
        <f>CONCATENATE([2]Cover!$D$6,"fdd/view?i=",I2822)</f>
        <v>https://www.dgiwg.org/FAD/fdd/view?i=204431</v>
      </c>
      <c r="K2822" s="304" t="s">
        <v>36871</v>
      </c>
      <c r="L2822" s="188">
        <v>37</v>
      </c>
      <c r="M2822" s="179" t="s">
        <v>1295</v>
      </c>
    </row>
    <row r="2823" spans="1:13" ht="38.25">
      <c r="A2823" s="313" t="str">
        <f t="shared" si="44"/>
        <v>EarthquakeMagSourceCode_ellsworth_1990</v>
      </c>
      <c r="B2823" s="330"/>
      <c r="C2823" s="334"/>
      <c r="D2823" s="188" t="s">
        <v>20398</v>
      </c>
      <c r="E2823" s="189" t="s">
        <v>20399</v>
      </c>
      <c r="F2823" s="162" t="s">
        <v>20400</v>
      </c>
      <c r="G2823" s="162" t="s">
        <v>20401</v>
      </c>
      <c r="H2823" s="219"/>
      <c r="I2823" s="169">
        <v>204432</v>
      </c>
      <c r="J2823" s="304" t="str">
        <f>CONCATENATE([2]Cover!$D$6,"fdd/view?i=",I2823)</f>
        <v>https://www.dgiwg.org/FAD/fdd/view?i=204432</v>
      </c>
      <c r="K2823" s="304" t="s">
        <v>36872</v>
      </c>
      <c r="L2823" s="188">
        <v>38</v>
      </c>
      <c r="M2823" s="179" t="s">
        <v>1295</v>
      </c>
    </row>
    <row r="2824" spans="1:13" ht="51">
      <c r="A2824" s="313" t="str">
        <f t="shared" si="44"/>
        <v>EarthquakeMagSourceCode_frankel_1984</v>
      </c>
      <c r="B2824" s="330"/>
      <c r="C2824" s="334"/>
      <c r="D2824" s="188" t="s">
        <v>20402</v>
      </c>
      <c r="E2824" s="189" t="s">
        <v>20403</v>
      </c>
      <c r="F2824" s="162" t="s">
        <v>20404</v>
      </c>
      <c r="G2824" s="162" t="s">
        <v>20405</v>
      </c>
      <c r="H2824" s="219"/>
      <c r="I2824" s="169">
        <v>204433</v>
      </c>
      <c r="J2824" s="304" t="str">
        <f>CONCATENATE([2]Cover!$D$6,"fdd/view?i=",I2824)</f>
        <v>https://www.dgiwg.org/FAD/fdd/view?i=204433</v>
      </c>
      <c r="K2824" s="304" t="s">
        <v>36873</v>
      </c>
      <c r="L2824" s="188">
        <v>39</v>
      </c>
      <c r="M2824" s="179" t="s">
        <v>1295</v>
      </c>
    </row>
    <row r="2825" spans="1:13" ht="25.5">
      <c r="A2825" s="313" t="str">
        <f t="shared" si="44"/>
        <v>EarthquakeMagSourceCode_geologicalSurveyCanada</v>
      </c>
      <c r="B2825" s="330"/>
      <c r="C2825" s="334"/>
      <c r="D2825" s="188" t="s">
        <v>20406</v>
      </c>
      <c r="E2825" s="189" t="s">
        <v>20407</v>
      </c>
      <c r="F2825" s="162" t="s">
        <v>20408</v>
      </c>
      <c r="G2825" s="162" t="s">
        <v>20409</v>
      </c>
      <c r="H2825" s="219"/>
      <c r="I2825" s="169">
        <v>204434</v>
      </c>
      <c r="J2825" s="304" t="str">
        <f>CONCATENATE([2]Cover!$D$6,"fdd/view?i=",I2825)</f>
        <v>https://www.dgiwg.org/FAD/fdd/view?i=204434</v>
      </c>
      <c r="K2825" s="304" t="s">
        <v>36874</v>
      </c>
      <c r="L2825" s="188">
        <v>40</v>
      </c>
      <c r="M2825" s="179" t="s">
        <v>1295</v>
      </c>
    </row>
    <row r="2826" spans="1:13" ht="25.5">
      <c r="A2826" s="313" t="str">
        <f t="shared" si="44"/>
        <v>EarthquakeMagSourceCode_georgiaInstituteTech</v>
      </c>
      <c r="B2826" s="330"/>
      <c r="C2826" s="334"/>
      <c r="D2826" s="188" t="s">
        <v>20410</v>
      </c>
      <c r="E2826" s="189" t="s">
        <v>20411</v>
      </c>
      <c r="F2826" s="162" t="s">
        <v>20412</v>
      </c>
      <c r="G2826" s="162" t="s">
        <v>20413</v>
      </c>
      <c r="H2826" s="219"/>
      <c r="I2826" s="169">
        <v>204435</v>
      </c>
      <c r="J2826" s="304" t="str">
        <f>CONCATENATE([2]Cover!$D$6,"fdd/view?i=",I2826)</f>
        <v>https://www.dgiwg.org/FAD/fdd/view?i=204435</v>
      </c>
      <c r="K2826" s="304" t="s">
        <v>36875</v>
      </c>
      <c r="L2826" s="188">
        <v>41</v>
      </c>
      <c r="M2826" s="179" t="s">
        <v>1295</v>
      </c>
    </row>
    <row r="2827" spans="1:13" ht="25.5">
      <c r="A2827" s="313" t="str">
        <f t="shared" si="44"/>
        <v>EarthquakeMagSourceCode_gordon_1990</v>
      </c>
      <c r="B2827" s="330"/>
      <c r="C2827" s="334"/>
      <c r="D2827" s="188" t="s">
        <v>20414</v>
      </c>
      <c r="E2827" s="189" t="s">
        <v>20415</v>
      </c>
      <c r="F2827" s="162" t="s">
        <v>20416</v>
      </c>
      <c r="G2827" s="162" t="s">
        <v>20417</v>
      </c>
      <c r="H2827" s="219"/>
      <c r="I2827" s="169">
        <v>204436</v>
      </c>
      <c r="J2827" s="304" t="str">
        <f>CONCATENATE([2]Cover!$D$6,"fdd/view?i=",I2827)</f>
        <v>https://www.dgiwg.org/FAD/fdd/view?i=204436</v>
      </c>
      <c r="K2827" s="304" t="s">
        <v>36876</v>
      </c>
      <c r="L2827" s="188">
        <v>42</v>
      </c>
      <c r="M2827" s="179" t="s">
        <v>1295</v>
      </c>
    </row>
    <row r="2828" spans="1:13" ht="25.5">
      <c r="A2828" s="313" t="str">
        <f t="shared" si="44"/>
        <v>EarthquakeMagSourceCode_gutenbergRichter_1954</v>
      </c>
      <c r="B2828" s="330"/>
      <c r="C2828" s="334"/>
      <c r="D2828" s="188" t="s">
        <v>20418</v>
      </c>
      <c r="E2828" s="189" t="s">
        <v>20419</v>
      </c>
      <c r="F2828" s="162" t="s">
        <v>20420</v>
      </c>
      <c r="G2828" s="162" t="s">
        <v>20421</v>
      </c>
      <c r="H2828" s="219"/>
      <c r="I2828" s="169">
        <v>204437</v>
      </c>
      <c r="J2828" s="304" t="str">
        <f>CONCATENATE([2]Cover!$D$6,"fdd/view?i=",I2828)</f>
        <v>https://www.dgiwg.org/FAD/fdd/view?i=204437</v>
      </c>
      <c r="K2828" s="304" t="s">
        <v>36877</v>
      </c>
      <c r="L2828" s="188">
        <v>43</v>
      </c>
      <c r="M2828" s="179" t="s">
        <v>1295</v>
      </c>
    </row>
    <row r="2829" spans="1:13" ht="38.25">
      <c r="A2829" s="313" t="str">
        <f t="shared" si="44"/>
        <v>EarthquakeMagSourceCode_hanksEtAl_1975</v>
      </c>
      <c r="B2829" s="330"/>
      <c r="C2829" s="334"/>
      <c r="D2829" s="188" t="s">
        <v>20426</v>
      </c>
      <c r="E2829" s="189" t="s">
        <v>20427</v>
      </c>
      <c r="F2829" s="162" t="s">
        <v>20428</v>
      </c>
      <c r="G2829" s="162" t="s">
        <v>20429</v>
      </c>
      <c r="H2829" s="219"/>
      <c r="I2829" s="169">
        <v>204439</v>
      </c>
      <c r="J2829" s="304" t="str">
        <f>CONCATENATE([2]Cover!$D$6,"fdd/view?i=",I2829)</f>
        <v>https://www.dgiwg.org/FAD/fdd/view?i=204439</v>
      </c>
      <c r="K2829" s="304" t="s">
        <v>36878</v>
      </c>
      <c r="L2829" s="188">
        <v>45</v>
      </c>
      <c r="M2829" s="179" t="s">
        <v>1295</v>
      </c>
    </row>
    <row r="2830" spans="1:13" ht="25.5">
      <c r="A2830" s="313" t="str">
        <f t="shared" si="44"/>
        <v>EarthquakeMagSourceCode_hanksKanamori_1979</v>
      </c>
      <c r="B2830" s="330"/>
      <c r="C2830" s="334"/>
      <c r="D2830" s="188" t="s">
        <v>20422</v>
      </c>
      <c r="E2830" s="189" t="s">
        <v>20423</v>
      </c>
      <c r="F2830" s="162" t="s">
        <v>20424</v>
      </c>
      <c r="G2830" s="162" t="s">
        <v>20425</v>
      </c>
      <c r="H2830" s="219"/>
      <c r="I2830" s="169">
        <v>204438</v>
      </c>
      <c r="J2830" s="304" t="str">
        <f>CONCATENATE([2]Cover!$D$6,"fdd/view?i=",I2830)</f>
        <v>https://www.dgiwg.org/FAD/fdd/view?i=204438</v>
      </c>
      <c r="K2830" s="304" t="s">
        <v>36879</v>
      </c>
      <c r="L2830" s="188">
        <v>44</v>
      </c>
      <c r="M2830" s="179" t="s">
        <v>1295</v>
      </c>
    </row>
    <row r="2831" spans="1:13" ht="38.25">
      <c r="A2831" s="313" t="str">
        <f t="shared" si="44"/>
        <v>EarthquakeMagSourceCode_hartEtAl_1977</v>
      </c>
      <c r="B2831" s="330"/>
      <c r="C2831" s="334"/>
      <c r="D2831" s="188" t="s">
        <v>20430</v>
      </c>
      <c r="E2831" s="189" t="s">
        <v>20431</v>
      </c>
      <c r="F2831" s="162" t="s">
        <v>20432</v>
      </c>
      <c r="G2831" s="162" t="s">
        <v>20433</v>
      </c>
      <c r="H2831" s="219"/>
      <c r="I2831" s="169">
        <v>204440</v>
      </c>
      <c r="J2831" s="304" t="str">
        <f>CONCATENATE([2]Cover!$D$6,"fdd/view?i=",I2831)</f>
        <v>https://www.dgiwg.org/FAD/fdd/view?i=204440</v>
      </c>
      <c r="K2831" s="304" t="s">
        <v>36880</v>
      </c>
      <c r="L2831" s="188">
        <v>46</v>
      </c>
      <c r="M2831" s="179" t="s">
        <v>1295</v>
      </c>
    </row>
    <row r="2832" spans="1:13" ht="51">
      <c r="A2832" s="313" t="str">
        <f t="shared" si="44"/>
        <v>EarthquakeMagSourceCode_hartzellBrune_1979</v>
      </c>
      <c r="B2832" s="330"/>
      <c r="C2832" s="334"/>
      <c r="D2832" s="188" t="s">
        <v>20434</v>
      </c>
      <c r="E2832" s="189" t="s">
        <v>20435</v>
      </c>
      <c r="F2832" s="162" t="s">
        <v>20436</v>
      </c>
      <c r="G2832" s="162" t="s">
        <v>20437</v>
      </c>
      <c r="H2832" s="219"/>
      <c r="I2832" s="169">
        <v>204441</v>
      </c>
      <c r="J2832" s="304" t="str">
        <f>CONCATENATE([2]Cover!$D$6,"fdd/view?i=",I2832)</f>
        <v>https://www.dgiwg.org/FAD/fdd/view?i=204441</v>
      </c>
      <c r="K2832" s="304" t="s">
        <v>36881</v>
      </c>
      <c r="L2832" s="188">
        <v>47</v>
      </c>
      <c r="M2832" s="179" t="s">
        <v>1295</v>
      </c>
    </row>
    <row r="2833" spans="1:13" ht="25.5">
      <c r="A2833" s="313" t="str">
        <f t="shared" si="44"/>
        <v>EarthquakeMagSourceCode_harvardUniversity</v>
      </c>
      <c r="B2833" s="330"/>
      <c r="C2833" s="334"/>
      <c r="D2833" s="188" t="s">
        <v>20438</v>
      </c>
      <c r="E2833" s="189" t="s">
        <v>20439</v>
      </c>
      <c r="F2833" s="162" t="s">
        <v>20440</v>
      </c>
      <c r="G2833" s="162" t="s">
        <v>20441</v>
      </c>
      <c r="H2833" s="219"/>
      <c r="I2833" s="169">
        <v>204442</v>
      </c>
      <c r="J2833" s="304" t="str">
        <f>CONCATENATE([2]Cover!$D$6,"fdd/view?i=",I2833)</f>
        <v>https://www.dgiwg.org/FAD/fdd/view?i=204442</v>
      </c>
      <c r="K2833" s="304" t="s">
        <v>36882</v>
      </c>
      <c r="L2833" s="188">
        <v>48</v>
      </c>
      <c r="M2833" s="179" t="s">
        <v>1295</v>
      </c>
    </row>
    <row r="2834" spans="1:13" ht="38.25">
      <c r="A2834" s="313" t="str">
        <f t="shared" si="44"/>
        <v>EarthquakeMagSourceCode_hasegawaEtAl_1980</v>
      </c>
      <c r="B2834" s="330"/>
      <c r="C2834" s="334"/>
      <c r="D2834" s="188" t="s">
        <v>20442</v>
      </c>
      <c r="E2834" s="189" t="s">
        <v>20443</v>
      </c>
      <c r="F2834" s="162" t="s">
        <v>20444</v>
      </c>
      <c r="G2834" s="162" t="s">
        <v>20445</v>
      </c>
      <c r="H2834" s="219"/>
      <c r="I2834" s="169">
        <v>204443</v>
      </c>
      <c r="J2834" s="304" t="str">
        <f>CONCATENATE([2]Cover!$D$6,"fdd/view?i=",I2834)</f>
        <v>https://www.dgiwg.org/FAD/fdd/view?i=204443</v>
      </c>
      <c r="K2834" s="304" t="s">
        <v>36883</v>
      </c>
      <c r="L2834" s="188">
        <v>49</v>
      </c>
      <c r="M2834" s="179" t="s">
        <v>1295</v>
      </c>
    </row>
    <row r="2835" spans="1:13" ht="25.5">
      <c r="A2835" s="313" t="str">
        <f t="shared" si="44"/>
        <v>EarthquakeMagSourceCode_hawaiianVolcanoObs</v>
      </c>
      <c r="B2835" s="330"/>
      <c r="C2835" s="334"/>
      <c r="D2835" s="188" t="s">
        <v>20446</v>
      </c>
      <c r="E2835" s="189" t="s">
        <v>20447</v>
      </c>
      <c r="F2835" s="162" t="s">
        <v>20448</v>
      </c>
      <c r="G2835" s="162" t="s">
        <v>20449</v>
      </c>
      <c r="H2835" s="219"/>
      <c r="I2835" s="169">
        <v>204444</v>
      </c>
      <c r="J2835" s="304" t="str">
        <f>CONCATENATE([2]Cover!$D$6,"fdd/view?i=",I2835)</f>
        <v>https://www.dgiwg.org/FAD/fdd/view?i=204444</v>
      </c>
      <c r="K2835" s="304" t="s">
        <v>36884</v>
      </c>
      <c r="L2835" s="188">
        <v>50</v>
      </c>
      <c r="M2835" s="179" t="s">
        <v>1295</v>
      </c>
    </row>
    <row r="2836" spans="1:13" ht="51">
      <c r="A2836" s="313" t="str">
        <f t="shared" si="44"/>
        <v>EarthquakeMagSourceCode_heatonHeimberger_1978</v>
      </c>
      <c r="B2836" s="330"/>
      <c r="C2836" s="334"/>
      <c r="D2836" s="188" t="s">
        <v>20450</v>
      </c>
      <c r="E2836" s="189" t="s">
        <v>20451</v>
      </c>
      <c r="F2836" s="162" t="s">
        <v>20452</v>
      </c>
      <c r="G2836" s="162" t="s">
        <v>20453</v>
      </c>
      <c r="H2836" s="219"/>
      <c r="I2836" s="169">
        <v>204445</v>
      </c>
      <c r="J2836" s="304" t="str">
        <f>CONCATENATE([2]Cover!$D$6,"fdd/view?i=",I2836)</f>
        <v>https://www.dgiwg.org/FAD/fdd/view?i=204445</v>
      </c>
      <c r="K2836" s="304" t="s">
        <v>36885</v>
      </c>
      <c r="L2836" s="188">
        <v>51</v>
      </c>
      <c r="M2836" s="179" t="s">
        <v>1295</v>
      </c>
    </row>
    <row r="2837" spans="1:13" ht="38.25">
      <c r="A2837" s="313" t="str">
        <f t="shared" si="44"/>
        <v>EarthquakeMagSourceCode_hermann_1979</v>
      </c>
      <c r="B2837" s="330"/>
      <c r="C2837" s="334"/>
      <c r="D2837" s="188" t="s">
        <v>20466</v>
      </c>
      <c r="E2837" s="189" t="s">
        <v>20467</v>
      </c>
      <c r="F2837" s="162" t="s">
        <v>20468</v>
      </c>
      <c r="G2837" s="162" t="s">
        <v>20469</v>
      </c>
      <c r="H2837" s="219"/>
      <c r="I2837" s="169">
        <v>204449</v>
      </c>
      <c r="J2837" s="304" t="str">
        <f>CONCATENATE([2]Cover!$D$6,"fdd/view?i=",I2837)</f>
        <v>https://www.dgiwg.org/FAD/fdd/view?i=204449</v>
      </c>
      <c r="K2837" s="304" t="s">
        <v>36886</v>
      </c>
      <c r="L2837" s="188">
        <v>55</v>
      </c>
      <c r="M2837" s="179" t="s">
        <v>1295</v>
      </c>
    </row>
    <row r="2838" spans="1:13" ht="38.25">
      <c r="A2838" s="313" t="str">
        <f t="shared" si="44"/>
        <v>EarthquakeMagSourceCode_hermann_1986</v>
      </c>
      <c r="B2838" s="330"/>
      <c r="C2838" s="334"/>
      <c r="D2838" s="188" t="s">
        <v>20470</v>
      </c>
      <c r="E2838" s="189" t="s">
        <v>20471</v>
      </c>
      <c r="F2838" s="162" t="s">
        <v>20472</v>
      </c>
      <c r="G2838" s="162" t="s">
        <v>20473</v>
      </c>
      <c r="H2838" s="219"/>
      <c r="I2838" s="169">
        <v>204450</v>
      </c>
      <c r="J2838" s="304" t="str">
        <f>CONCATENATE([2]Cover!$D$6,"fdd/view?i=",I2838)</f>
        <v>https://www.dgiwg.org/FAD/fdd/view?i=204450</v>
      </c>
      <c r="K2838" s="304" t="s">
        <v>36887</v>
      </c>
      <c r="L2838" s="188">
        <v>56</v>
      </c>
      <c r="M2838" s="179" t="s">
        <v>1295</v>
      </c>
    </row>
    <row r="2839" spans="1:13" ht="38.25">
      <c r="A2839" s="313" t="str">
        <f t="shared" si="44"/>
        <v>EarthquakeMagSourceCode_hermannEtAl_1980</v>
      </c>
      <c r="B2839" s="330"/>
      <c r="C2839" s="334"/>
      <c r="D2839" s="188" t="s">
        <v>20454</v>
      </c>
      <c r="E2839" s="189" t="s">
        <v>20455</v>
      </c>
      <c r="F2839" s="162" t="s">
        <v>20456</v>
      </c>
      <c r="G2839" s="162" t="s">
        <v>20457</v>
      </c>
      <c r="H2839" s="219"/>
      <c r="I2839" s="169">
        <v>204446</v>
      </c>
      <c r="J2839" s="304" t="str">
        <f>CONCATENATE([2]Cover!$D$6,"fdd/view?i=",I2839)</f>
        <v>https://www.dgiwg.org/FAD/fdd/view?i=204446</v>
      </c>
      <c r="K2839" s="304" t="s">
        <v>36888</v>
      </c>
      <c r="L2839" s="188">
        <v>52</v>
      </c>
      <c r="M2839" s="179" t="s">
        <v>1295</v>
      </c>
    </row>
    <row r="2840" spans="1:13" ht="38.25">
      <c r="A2840" s="313" t="str">
        <f t="shared" si="44"/>
        <v>EarthquakeMagSourceCode_hermannEtAl_1981</v>
      </c>
      <c r="B2840" s="330"/>
      <c r="C2840" s="334"/>
      <c r="D2840" s="188" t="s">
        <v>20458</v>
      </c>
      <c r="E2840" s="189" t="s">
        <v>20459</v>
      </c>
      <c r="F2840" s="162" t="s">
        <v>20460</v>
      </c>
      <c r="G2840" s="162" t="s">
        <v>20461</v>
      </c>
      <c r="H2840" s="219"/>
      <c r="I2840" s="169">
        <v>204447</v>
      </c>
      <c r="J2840" s="304" t="str">
        <f>CONCATENATE([2]Cover!$D$6,"fdd/view?i=",I2840)</f>
        <v>https://www.dgiwg.org/FAD/fdd/view?i=204447</v>
      </c>
      <c r="K2840" s="304" t="s">
        <v>36889</v>
      </c>
      <c r="L2840" s="188">
        <v>53</v>
      </c>
      <c r="M2840" s="179" t="s">
        <v>1295</v>
      </c>
    </row>
    <row r="2841" spans="1:13" ht="38.25">
      <c r="A2841" s="313" t="str">
        <f t="shared" si="44"/>
        <v>EarthquakeMagSourceCode_hermannEtAl_1982</v>
      </c>
      <c r="B2841" s="330"/>
      <c r="C2841" s="334"/>
      <c r="D2841" s="188" t="s">
        <v>20462</v>
      </c>
      <c r="E2841" s="189" t="s">
        <v>20463</v>
      </c>
      <c r="F2841" s="162" t="s">
        <v>20464</v>
      </c>
      <c r="G2841" s="162" t="s">
        <v>20465</v>
      </c>
      <c r="H2841" s="219"/>
      <c r="I2841" s="169">
        <v>204448</v>
      </c>
      <c r="J2841" s="304" t="str">
        <f>CONCATENATE([2]Cover!$D$6,"fdd/view?i=",I2841)</f>
        <v>https://www.dgiwg.org/FAD/fdd/view?i=204448</v>
      </c>
      <c r="K2841" s="304" t="s">
        <v>36890</v>
      </c>
      <c r="L2841" s="188">
        <v>54</v>
      </c>
      <c r="M2841" s="179" t="s">
        <v>1295</v>
      </c>
    </row>
    <row r="2842" spans="1:13" ht="25.5">
      <c r="A2842" s="313" t="str">
        <f t="shared" si="44"/>
        <v>EarthquakeMagSourceCode_institutePhysicsEarth</v>
      </c>
      <c r="B2842" s="330"/>
      <c r="C2842" s="334"/>
      <c r="D2842" s="188" t="s">
        <v>20474</v>
      </c>
      <c r="E2842" s="189" t="s">
        <v>20475</v>
      </c>
      <c r="F2842" s="162" t="s">
        <v>20476</v>
      </c>
      <c r="G2842" s="162" t="s">
        <v>20477</v>
      </c>
      <c r="H2842" s="219"/>
      <c r="I2842" s="169">
        <v>204451</v>
      </c>
      <c r="J2842" s="304" t="str">
        <f>CONCATENATE([2]Cover!$D$6,"fdd/view?i=",I2842)</f>
        <v>https://www.dgiwg.org/FAD/fdd/view?i=204451</v>
      </c>
      <c r="K2842" s="304" t="s">
        <v>36891</v>
      </c>
      <c r="L2842" s="188">
        <v>57</v>
      </c>
      <c r="M2842" s="179" t="s">
        <v>1295</v>
      </c>
    </row>
    <row r="2843" spans="1:13" ht="25.5">
      <c r="A2843" s="313" t="str">
        <f t="shared" si="44"/>
        <v>EarthquakeMagSourceCode_intSeismologicalCentre</v>
      </c>
      <c r="B2843" s="330"/>
      <c r="C2843" s="334"/>
      <c r="D2843" s="188" t="s">
        <v>20478</v>
      </c>
      <c r="E2843" s="189" t="s">
        <v>20479</v>
      </c>
      <c r="F2843" s="162" t="s">
        <v>20480</v>
      </c>
      <c r="G2843" s="162" t="s">
        <v>20481</v>
      </c>
      <c r="H2843" s="219"/>
      <c r="I2843" s="169">
        <v>204452</v>
      </c>
      <c r="J2843" s="304" t="str">
        <f>CONCATENATE([2]Cover!$D$6,"fdd/view?i=",I2843)</f>
        <v>https://www.dgiwg.org/FAD/fdd/view?i=204452</v>
      </c>
      <c r="K2843" s="304" t="s">
        <v>36892</v>
      </c>
      <c r="L2843" s="188">
        <v>58</v>
      </c>
      <c r="M2843" s="179" t="s">
        <v>1295</v>
      </c>
    </row>
    <row r="2844" spans="1:13" ht="51">
      <c r="A2844" s="313" t="str">
        <f t="shared" si="44"/>
        <v>EarthquakeMagSourceCode_johnson_1994</v>
      </c>
      <c r="B2844" s="330"/>
      <c r="C2844" s="334"/>
      <c r="D2844" s="188" t="s">
        <v>20490</v>
      </c>
      <c r="E2844" s="189" t="s">
        <v>20491</v>
      </c>
      <c r="F2844" s="162" t="s">
        <v>20492</v>
      </c>
      <c r="G2844" s="162" t="s">
        <v>20493</v>
      </c>
      <c r="H2844" s="219"/>
      <c r="I2844" s="169">
        <v>204455</v>
      </c>
      <c r="J2844" s="304" t="str">
        <f>CONCATENATE([2]Cover!$D$6,"fdd/view?i=",I2844)</f>
        <v>https://www.dgiwg.org/FAD/fdd/view?i=204455</v>
      </c>
      <c r="K2844" s="304" t="s">
        <v>36893</v>
      </c>
      <c r="L2844" s="188">
        <v>61</v>
      </c>
      <c r="M2844" s="179" t="s">
        <v>1295</v>
      </c>
    </row>
    <row r="2845" spans="1:13" ht="38.25">
      <c r="A2845" s="313" t="str">
        <f t="shared" si="44"/>
        <v>EarthquakeMagSourceCode_johnsonEtAl_1974</v>
      </c>
      <c r="B2845" s="330"/>
      <c r="C2845" s="334"/>
      <c r="D2845" s="188" t="s">
        <v>20482</v>
      </c>
      <c r="E2845" s="189" t="s">
        <v>20483</v>
      </c>
      <c r="F2845" s="162" t="s">
        <v>20484</v>
      </c>
      <c r="G2845" s="162" t="s">
        <v>20485</v>
      </c>
      <c r="H2845" s="219"/>
      <c r="I2845" s="169">
        <v>204453</v>
      </c>
      <c r="J2845" s="304" t="str">
        <f>CONCATENATE([2]Cover!$D$6,"fdd/view?i=",I2845)</f>
        <v>https://www.dgiwg.org/FAD/fdd/view?i=204453</v>
      </c>
      <c r="K2845" s="304" t="s">
        <v>36894</v>
      </c>
      <c r="L2845" s="188">
        <v>59</v>
      </c>
      <c r="M2845" s="179" t="s">
        <v>1295</v>
      </c>
    </row>
    <row r="2846" spans="1:13" ht="25.5">
      <c r="A2846" s="313" t="str">
        <f t="shared" si="44"/>
        <v>EarthquakeMagSourceCode_johnsonEtAl_1992</v>
      </c>
      <c r="B2846" s="330"/>
      <c r="C2846" s="334"/>
      <c r="D2846" s="188" t="s">
        <v>20486</v>
      </c>
      <c r="E2846" s="189" t="s">
        <v>20487</v>
      </c>
      <c r="F2846" s="162" t="s">
        <v>20488</v>
      </c>
      <c r="G2846" s="162" t="s">
        <v>20489</v>
      </c>
      <c r="H2846" s="219"/>
      <c r="I2846" s="169">
        <v>204454</v>
      </c>
      <c r="J2846" s="304" t="str">
        <f>CONCATENATE([2]Cover!$D$6,"fdd/view?i=",I2846)</f>
        <v>https://www.dgiwg.org/FAD/fdd/view?i=204454</v>
      </c>
      <c r="K2846" s="304" t="s">
        <v>36895</v>
      </c>
      <c r="L2846" s="188">
        <v>60</v>
      </c>
      <c r="M2846" s="179" t="s">
        <v>1295</v>
      </c>
    </row>
    <row r="2847" spans="1:13" ht="38.25">
      <c r="A2847" s="313" t="str">
        <f t="shared" si="44"/>
        <v>EarthquakeMagSourceCode_jones_1975</v>
      </c>
      <c r="B2847" s="330"/>
      <c r="C2847" s="334"/>
      <c r="D2847" s="188" t="s">
        <v>20498</v>
      </c>
      <c r="E2847" s="189" t="s">
        <v>20499</v>
      </c>
      <c r="F2847" s="162" t="s">
        <v>20500</v>
      </c>
      <c r="G2847" s="162" t="s">
        <v>20501</v>
      </c>
      <c r="H2847" s="219"/>
      <c r="I2847" s="169">
        <v>204457</v>
      </c>
      <c r="J2847" s="304" t="str">
        <f>CONCATENATE([2]Cover!$D$6,"fdd/view?i=",I2847)</f>
        <v>https://www.dgiwg.org/FAD/fdd/view?i=204457</v>
      </c>
      <c r="K2847" s="304" t="s">
        <v>36896</v>
      </c>
      <c r="L2847" s="188">
        <v>63</v>
      </c>
      <c r="M2847" s="179" t="s">
        <v>1295</v>
      </c>
    </row>
    <row r="2848" spans="1:13" ht="51">
      <c r="A2848" s="313" t="str">
        <f t="shared" si="44"/>
        <v>EarthquakeMagSourceCode_jonesEtAl_1977</v>
      </c>
      <c r="B2848" s="330"/>
      <c r="C2848" s="334"/>
      <c r="D2848" s="188" t="s">
        <v>20494</v>
      </c>
      <c r="E2848" s="189" t="s">
        <v>20495</v>
      </c>
      <c r="F2848" s="162" t="s">
        <v>20496</v>
      </c>
      <c r="G2848" s="162" t="s">
        <v>20497</v>
      </c>
      <c r="H2848" s="219"/>
      <c r="I2848" s="169">
        <v>204456</v>
      </c>
      <c r="J2848" s="304" t="str">
        <f>CONCATENATE([2]Cover!$D$6,"fdd/view?i=",I2848)</f>
        <v>https://www.dgiwg.org/FAD/fdd/view?i=204456</v>
      </c>
      <c r="K2848" s="304" t="s">
        <v>36897</v>
      </c>
      <c r="L2848" s="188">
        <v>62</v>
      </c>
      <c r="M2848" s="179" t="s">
        <v>1295</v>
      </c>
    </row>
    <row r="2849" spans="1:13" ht="38.25">
      <c r="A2849" s="313" t="str">
        <f t="shared" si="44"/>
        <v>EarthquakeMagSourceCode_jordanEtAl_1967</v>
      </c>
      <c r="B2849" s="330"/>
      <c r="C2849" s="334"/>
      <c r="D2849" s="188" t="s">
        <v>20502</v>
      </c>
      <c r="E2849" s="189" t="s">
        <v>20503</v>
      </c>
      <c r="F2849" s="162" t="s">
        <v>20504</v>
      </c>
      <c r="G2849" s="162" t="s">
        <v>20505</v>
      </c>
      <c r="H2849" s="219"/>
      <c r="I2849" s="169">
        <v>204458</v>
      </c>
      <c r="J2849" s="304" t="str">
        <f>CONCATENATE([2]Cover!$D$6,"fdd/view?i=",I2849)</f>
        <v>https://www.dgiwg.org/FAD/fdd/view?i=204458</v>
      </c>
      <c r="K2849" s="304" t="s">
        <v>36898</v>
      </c>
      <c r="L2849" s="188">
        <v>64</v>
      </c>
      <c r="M2849" s="179" t="s">
        <v>1295</v>
      </c>
    </row>
    <row r="2850" spans="1:13" ht="25.5">
      <c r="A2850" s="313" t="str">
        <f t="shared" si="44"/>
        <v>EarthquakeMagSourceCode_kanamori_1977</v>
      </c>
      <c r="B2850" s="330"/>
      <c r="C2850" s="334"/>
      <c r="D2850" s="188" t="s">
        <v>20514</v>
      </c>
      <c r="E2850" s="189" t="s">
        <v>20515</v>
      </c>
      <c r="F2850" s="162" t="s">
        <v>20516</v>
      </c>
      <c r="G2850" s="162" t="s">
        <v>20517</v>
      </c>
      <c r="H2850" s="219"/>
      <c r="I2850" s="169">
        <v>204461</v>
      </c>
      <c r="J2850" s="304" t="str">
        <f>CONCATENATE([2]Cover!$D$6,"fdd/view?i=",I2850)</f>
        <v>https://www.dgiwg.org/FAD/fdd/view?i=204461</v>
      </c>
      <c r="K2850" s="304" t="s">
        <v>36899</v>
      </c>
      <c r="L2850" s="188">
        <v>67</v>
      </c>
      <c r="M2850" s="179" t="s">
        <v>1295</v>
      </c>
    </row>
    <row r="2851" spans="1:13" ht="38.25">
      <c r="A2851" s="313" t="str">
        <f t="shared" si="44"/>
        <v>EarthquakeMagSourceCode_kanamoriAnderson_1975</v>
      </c>
      <c r="B2851" s="330"/>
      <c r="C2851" s="334"/>
      <c r="D2851" s="188" t="s">
        <v>20506</v>
      </c>
      <c r="E2851" s="189" t="s">
        <v>20507</v>
      </c>
      <c r="F2851" s="162" t="s">
        <v>20508</v>
      </c>
      <c r="G2851" s="162" t="s">
        <v>20509</v>
      </c>
      <c r="H2851" s="219"/>
      <c r="I2851" s="169">
        <v>204459</v>
      </c>
      <c r="J2851" s="304" t="str">
        <f>CONCATENATE([2]Cover!$D$6,"fdd/view?i=",I2851)</f>
        <v>https://www.dgiwg.org/FAD/fdd/view?i=204459</v>
      </c>
      <c r="K2851" s="304" t="s">
        <v>36900</v>
      </c>
      <c r="L2851" s="188">
        <v>65</v>
      </c>
      <c r="M2851" s="179" t="s">
        <v>1295</v>
      </c>
    </row>
    <row r="2852" spans="1:13" ht="38.25">
      <c r="A2852" s="313" t="str">
        <f t="shared" si="44"/>
        <v>EarthquakeMagSourceCode_kanamoriJennings_1978</v>
      </c>
      <c r="B2852" s="330"/>
      <c r="C2852" s="334"/>
      <c r="D2852" s="188" t="s">
        <v>20510</v>
      </c>
      <c r="E2852" s="189" t="s">
        <v>20511</v>
      </c>
      <c r="F2852" s="162" t="s">
        <v>20512</v>
      </c>
      <c r="G2852" s="162" t="s">
        <v>20513</v>
      </c>
      <c r="H2852" s="219"/>
      <c r="I2852" s="169">
        <v>204460</v>
      </c>
      <c r="J2852" s="304" t="str">
        <f>CONCATENATE([2]Cover!$D$6,"fdd/view?i=",I2852)</f>
        <v>https://www.dgiwg.org/FAD/fdd/view?i=204460</v>
      </c>
      <c r="K2852" s="304" t="s">
        <v>36901</v>
      </c>
      <c r="L2852" s="188">
        <v>66</v>
      </c>
      <c r="M2852" s="179" t="s">
        <v>1295</v>
      </c>
    </row>
    <row r="2853" spans="1:13" ht="38.25">
      <c r="A2853" s="313" t="str">
        <f t="shared" si="44"/>
        <v>EarthquakeMagSourceCode_kirkhamRogers_1986</v>
      </c>
      <c r="B2853" s="330"/>
      <c r="C2853" s="334"/>
      <c r="D2853" s="188" t="s">
        <v>20518</v>
      </c>
      <c r="E2853" s="189" t="s">
        <v>20519</v>
      </c>
      <c r="F2853" s="162" t="s">
        <v>20520</v>
      </c>
      <c r="G2853" s="162" t="s">
        <v>20521</v>
      </c>
      <c r="H2853" s="219"/>
      <c r="I2853" s="169">
        <v>204462</v>
      </c>
      <c r="J2853" s="304" t="str">
        <f>CONCATENATE([2]Cover!$D$6,"fdd/view?i=",I2853)</f>
        <v>https://www.dgiwg.org/FAD/fdd/view?i=204462</v>
      </c>
      <c r="K2853" s="304" t="s">
        <v>36902</v>
      </c>
      <c r="L2853" s="188">
        <v>68</v>
      </c>
      <c r="M2853" s="179" t="s">
        <v>1295</v>
      </c>
    </row>
    <row r="2854" spans="1:13" ht="25.5">
      <c r="A2854" s="313" t="str">
        <f t="shared" si="44"/>
        <v>EarthquakeMagSourceCode_kirunaSeismographStation</v>
      </c>
      <c r="B2854" s="330"/>
      <c r="C2854" s="334"/>
      <c r="D2854" s="188" t="s">
        <v>20522</v>
      </c>
      <c r="E2854" s="189" t="s">
        <v>20523</v>
      </c>
      <c r="F2854" s="162" t="s">
        <v>20524</v>
      </c>
      <c r="G2854" s="162" t="s">
        <v>20525</v>
      </c>
      <c r="H2854" s="219"/>
      <c r="I2854" s="169">
        <v>204463</v>
      </c>
      <c r="J2854" s="304" t="str">
        <f>CONCATENATE([2]Cover!$D$6,"fdd/view?i=",I2854)</f>
        <v>https://www.dgiwg.org/FAD/fdd/view?i=204463</v>
      </c>
      <c r="K2854" s="304" t="s">
        <v>36903</v>
      </c>
      <c r="L2854" s="188">
        <v>69</v>
      </c>
      <c r="M2854" s="179" t="s">
        <v>1295</v>
      </c>
    </row>
    <row r="2855" spans="1:13" ht="51">
      <c r="A2855" s="313" t="str">
        <f t="shared" si="44"/>
        <v>EarthquakeMagSourceCode_langstonBlum_1977</v>
      </c>
      <c r="B2855" s="330"/>
      <c r="C2855" s="334"/>
      <c r="D2855" s="188" t="s">
        <v>20526</v>
      </c>
      <c r="E2855" s="189" t="s">
        <v>20527</v>
      </c>
      <c r="F2855" s="162" t="s">
        <v>20528</v>
      </c>
      <c r="G2855" s="162" t="s">
        <v>20529</v>
      </c>
      <c r="H2855" s="219"/>
      <c r="I2855" s="169">
        <v>204464</v>
      </c>
      <c r="J2855" s="304" t="str">
        <f>CONCATENATE([2]Cover!$D$6,"fdd/view?i=",I2855)</f>
        <v>https://www.dgiwg.org/FAD/fdd/view?i=204464</v>
      </c>
      <c r="K2855" s="304" t="s">
        <v>36904</v>
      </c>
      <c r="L2855" s="188">
        <v>70</v>
      </c>
      <c r="M2855" s="179" t="s">
        <v>1295</v>
      </c>
    </row>
    <row r="2856" spans="1:13" ht="38.25">
      <c r="A2856" s="313" t="str">
        <f t="shared" si="44"/>
        <v>EarthquakeMagSourceCode_matushiroSeismologicalObs</v>
      </c>
      <c r="B2856" s="330"/>
      <c r="C2856" s="334"/>
      <c r="D2856" s="188" t="s">
        <v>20530</v>
      </c>
      <c r="E2856" s="189" t="s">
        <v>20531</v>
      </c>
      <c r="F2856" s="162" t="s">
        <v>20532</v>
      </c>
      <c r="G2856" s="162" t="s">
        <v>20533</v>
      </c>
      <c r="H2856" s="219"/>
      <c r="I2856" s="169">
        <v>204465</v>
      </c>
      <c r="J2856" s="304" t="str">
        <f>CONCATENATE([2]Cover!$D$6,"fdd/view?i=",I2856)</f>
        <v>https://www.dgiwg.org/FAD/fdd/view?i=204465</v>
      </c>
      <c r="K2856" s="304" t="s">
        <v>36905</v>
      </c>
      <c r="L2856" s="188">
        <v>71</v>
      </c>
      <c r="M2856" s="179" t="s">
        <v>1295</v>
      </c>
    </row>
    <row r="2857" spans="1:13" ht="25.5">
      <c r="A2857" s="313" t="str">
        <f t="shared" si="44"/>
        <v>EarthquakeMagSourceCode_memphisStateUniversity</v>
      </c>
      <c r="B2857" s="330"/>
      <c r="C2857" s="334"/>
      <c r="D2857" s="188" t="s">
        <v>20534</v>
      </c>
      <c r="E2857" s="189" t="s">
        <v>20535</v>
      </c>
      <c r="F2857" s="162" t="s">
        <v>20536</v>
      </c>
      <c r="G2857" s="162" t="s">
        <v>20537</v>
      </c>
      <c r="H2857" s="219"/>
      <c r="I2857" s="169">
        <v>204466</v>
      </c>
      <c r="J2857" s="304" t="str">
        <f>CONCATENATE([2]Cover!$D$6,"fdd/view?i=",I2857)</f>
        <v>https://www.dgiwg.org/FAD/fdd/view?i=204466</v>
      </c>
      <c r="K2857" s="304" t="s">
        <v>36906</v>
      </c>
      <c r="L2857" s="188">
        <v>72</v>
      </c>
      <c r="M2857" s="179" t="s">
        <v>1295</v>
      </c>
    </row>
    <row r="2858" spans="1:13" ht="25.5">
      <c r="A2858" s="313" t="str">
        <f t="shared" si="44"/>
        <v>EarthquakeMagSourceCode_montanaBureauMinesGeology</v>
      </c>
      <c r="B2858" s="330"/>
      <c r="C2858" s="334"/>
      <c r="D2858" s="188" t="s">
        <v>20538</v>
      </c>
      <c r="E2858" s="189" t="s">
        <v>20539</v>
      </c>
      <c r="F2858" s="162" t="s">
        <v>20540</v>
      </c>
      <c r="G2858" s="162" t="s">
        <v>20541</v>
      </c>
      <c r="H2858" s="219"/>
      <c r="I2858" s="169">
        <v>204467</v>
      </c>
      <c r="J2858" s="304" t="str">
        <f>CONCATENATE([2]Cover!$D$6,"fdd/view?i=",I2858)</f>
        <v>https://www.dgiwg.org/FAD/fdd/view?i=204467</v>
      </c>
      <c r="K2858" s="304" t="s">
        <v>36907</v>
      </c>
      <c r="L2858" s="188">
        <v>73</v>
      </c>
      <c r="M2858" s="179" t="s">
        <v>1295</v>
      </c>
    </row>
    <row r="2859" spans="1:13" ht="38.25">
      <c r="A2859" s="313" t="str">
        <f t="shared" si="44"/>
        <v>EarthquakeMagSourceCode_montanaCollegeMineralSci</v>
      </c>
      <c r="B2859" s="330"/>
      <c r="C2859" s="334"/>
      <c r="D2859" s="188" t="s">
        <v>20542</v>
      </c>
      <c r="E2859" s="189" t="s">
        <v>20543</v>
      </c>
      <c r="F2859" s="162" t="s">
        <v>20544</v>
      </c>
      <c r="G2859" s="162" t="s">
        <v>20545</v>
      </c>
      <c r="H2859" s="219"/>
      <c r="I2859" s="169">
        <v>204468</v>
      </c>
      <c r="J2859" s="304" t="str">
        <f>CONCATENATE([2]Cover!$D$6,"fdd/view?i=",I2859)</f>
        <v>https://www.dgiwg.org/FAD/fdd/view?i=204468</v>
      </c>
      <c r="K2859" s="304" t="s">
        <v>36908</v>
      </c>
      <c r="L2859" s="188">
        <v>74</v>
      </c>
      <c r="M2859" s="179" t="s">
        <v>1295</v>
      </c>
    </row>
    <row r="2860" spans="1:13" ht="51">
      <c r="A2860" s="313" t="str">
        <f t="shared" si="44"/>
        <v>EarthquakeMagSourceCode_moriHartzell_1990</v>
      </c>
      <c r="B2860" s="330"/>
      <c r="C2860" s="334"/>
      <c r="D2860" s="188" t="s">
        <v>20546</v>
      </c>
      <c r="E2860" s="189" t="s">
        <v>20547</v>
      </c>
      <c r="F2860" s="162" t="s">
        <v>20548</v>
      </c>
      <c r="G2860" s="162" t="s">
        <v>20549</v>
      </c>
      <c r="H2860" s="219"/>
      <c r="I2860" s="169">
        <v>204469</v>
      </c>
      <c r="J2860" s="304" t="str">
        <f>CONCATENATE([2]Cover!$D$6,"fdd/view?i=",I2860)</f>
        <v>https://www.dgiwg.org/FAD/fdd/view?i=204469</v>
      </c>
      <c r="K2860" s="304" t="s">
        <v>36909</v>
      </c>
      <c r="L2860" s="188">
        <v>75</v>
      </c>
      <c r="M2860" s="179" t="s">
        <v>1295</v>
      </c>
    </row>
    <row r="2861" spans="1:13" ht="38.25">
      <c r="A2861" s="313" t="str">
        <f t="shared" si="44"/>
        <v>EarthquakeMagSourceCode_nataliSbar_1982</v>
      </c>
      <c r="B2861" s="330"/>
      <c r="C2861" s="334"/>
      <c r="D2861" s="188" t="s">
        <v>20550</v>
      </c>
      <c r="E2861" s="189" t="s">
        <v>20551</v>
      </c>
      <c r="F2861" s="162" t="s">
        <v>20552</v>
      </c>
      <c r="G2861" s="162" t="s">
        <v>20553</v>
      </c>
      <c r="H2861" s="219"/>
      <c r="I2861" s="169">
        <v>204470</v>
      </c>
      <c r="J2861" s="304" t="str">
        <f>CONCATENATE([2]Cover!$D$6,"fdd/view?i=",I2861)</f>
        <v>https://www.dgiwg.org/FAD/fdd/view?i=204470</v>
      </c>
      <c r="K2861" s="304" t="s">
        <v>36910</v>
      </c>
      <c r="L2861" s="188">
        <v>76</v>
      </c>
      <c r="M2861" s="179" t="s">
        <v>1295</v>
      </c>
    </row>
    <row r="2862" spans="1:13" ht="25.5">
      <c r="A2862" s="313" t="str">
        <f t="shared" si="44"/>
        <v>EarthquakeMagSourceCode_newMexicoInstMiningTech</v>
      </c>
      <c r="B2862" s="330"/>
      <c r="C2862" s="334"/>
      <c r="D2862" s="188" t="s">
        <v>20554</v>
      </c>
      <c r="E2862" s="189" t="s">
        <v>20555</v>
      </c>
      <c r="F2862" s="162" t="s">
        <v>20556</v>
      </c>
      <c r="G2862" s="162" t="s">
        <v>20557</v>
      </c>
      <c r="H2862" s="219"/>
      <c r="I2862" s="169">
        <v>204471</v>
      </c>
      <c r="J2862" s="304" t="str">
        <f>CONCATENATE([2]Cover!$D$6,"fdd/view?i=",I2862)</f>
        <v>https://www.dgiwg.org/FAD/fdd/view?i=204471</v>
      </c>
      <c r="K2862" s="304" t="s">
        <v>36911</v>
      </c>
      <c r="L2862" s="188">
        <v>77</v>
      </c>
      <c r="M2862" s="179" t="s">
        <v>1295</v>
      </c>
    </row>
    <row r="2863" spans="1:13" ht="38.25">
      <c r="A2863" s="313" t="str">
        <f t="shared" si="44"/>
        <v>EarthquakeMagSourceCode_noson_1988</v>
      </c>
      <c r="B2863" s="330"/>
      <c r="C2863" s="334"/>
      <c r="D2863" s="188" t="s">
        <v>20558</v>
      </c>
      <c r="E2863" s="189" t="s">
        <v>20559</v>
      </c>
      <c r="F2863" s="162" t="s">
        <v>20560</v>
      </c>
      <c r="G2863" s="162" t="s">
        <v>20561</v>
      </c>
      <c r="H2863" s="219"/>
      <c r="I2863" s="169">
        <v>204472</v>
      </c>
      <c r="J2863" s="304" t="str">
        <f>CONCATENATE([2]Cover!$D$6,"fdd/view?i=",I2863)</f>
        <v>https://www.dgiwg.org/FAD/fdd/view?i=204472</v>
      </c>
      <c r="K2863" s="304" t="s">
        <v>36912</v>
      </c>
      <c r="L2863" s="188">
        <v>78</v>
      </c>
      <c r="M2863" s="179" t="s">
        <v>1295</v>
      </c>
    </row>
    <row r="2864" spans="1:13" ht="38.25">
      <c r="A2864" s="313" t="str">
        <f t="shared" si="44"/>
        <v>EarthquakeMagSourceCode_nuttli_1973</v>
      </c>
      <c r="B2864" s="330"/>
      <c r="C2864" s="334"/>
      <c r="D2864" s="188" t="s">
        <v>20566</v>
      </c>
      <c r="E2864" s="189" t="s">
        <v>20567</v>
      </c>
      <c r="F2864" s="162" t="s">
        <v>20568</v>
      </c>
      <c r="G2864" s="162" t="s">
        <v>20569</v>
      </c>
      <c r="H2864" s="219"/>
      <c r="I2864" s="169">
        <v>204474</v>
      </c>
      <c r="J2864" s="304" t="str">
        <f>CONCATENATE([2]Cover!$D$6,"fdd/view?i=",I2864)</f>
        <v>https://www.dgiwg.org/FAD/fdd/view?i=204474</v>
      </c>
      <c r="K2864" s="304" t="s">
        <v>36913</v>
      </c>
      <c r="L2864" s="188">
        <v>80</v>
      </c>
      <c r="M2864" s="179" t="s">
        <v>1295</v>
      </c>
    </row>
    <row r="2865" spans="1:13" ht="38.25">
      <c r="A2865" s="313" t="str">
        <f t="shared" si="44"/>
        <v>EarthquakeMagSourceCode_nuttli_1974</v>
      </c>
      <c r="B2865" s="330"/>
      <c r="C2865" s="334"/>
      <c r="D2865" s="188" t="s">
        <v>20570</v>
      </c>
      <c r="E2865" s="189" t="s">
        <v>20571</v>
      </c>
      <c r="F2865" s="162" t="s">
        <v>20572</v>
      </c>
      <c r="G2865" s="162" t="s">
        <v>20573</v>
      </c>
      <c r="H2865" s="219"/>
      <c r="I2865" s="169">
        <v>204475</v>
      </c>
      <c r="J2865" s="304" t="str">
        <f>CONCATENATE([2]Cover!$D$6,"fdd/view?i=",I2865)</f>
        <v>https://www.dgiwg.org/FAD/fdd/view?i=204475</v>
      </c>
      <c r="K2865" s="304" t="s">
        <v>36914</v>
      </c>
      <c r="L2865" s="188">
        <v>81</v>
      </c>
      <c r="M2865" s="179" t="s">
        <v>1295</v>
      </c>
    </row>
    <row r="2866" spans="1:13" ht="38.25">
      <c r="A2866" s="313" t="str">
        <f t="shared" si="44"/>
        <v>EarthquakeMagSourceCode_nuttli_1979</v>
      </c>
      <c r="B2866" s="330"/>
      <c r="C2866" s="334"/>
      <c r="D2866" s="188" t="s">
        <v>20574</v>
      </c>
      <c r="E2866" s="189" t="s">
        <v>20575</v>
      </c>
      <c r="F2866" s="162" t="s">
        <v>20576</v>
      </c>
      <c r="G2866" s="162" t="s">
        <v>20577</v>
      </c>
      <c r="H2866" s="219"/>
      <c r="I2866" s="169">
        <v>204476</v>
      </c>
      <c r="J2866" s="304" t="str">
        <f>CONCATENATE([2]Cover!$D$6,"fdd/view?i=",I2866)</f>
        <v>https://www.dgiwg.org/FAD/fdd/view?i=204476</v>
      </c>
      <c r="K2866" s="304" t="s">
        <v>36915</v>
      </c>
      <c r="L2866" s="188">
        <v>82</v>
      </c>
      <c r="M2866" s="179" t="s">
        <v>1295</v>
      </c>
    </row>
    <row r="2867" spans="1:13" ht="38.25">
      <c r="A2867" s="313" t="str">
        <f t="shared" si="44"/>
        <v>EarthquakeMagSourceCode_nuttli_1983</v>
      </c>
      <c r="B2867" s="330"/>
      <c r="C2867" s="334"/>
      <c r="D2867" s="188" t="s">
        <v>20578</v>
      </c>
      <c r="E2867" s="189" t="s">
        <v>20579</v>
      </c>
      <c r="F2867" s="162" t="s">
        <v>20580</v>
      </c>
      <c r="G2867" s="162" t="s">
        <v>20581</v>
      </c>
      <c r="H2867" s="219"/>
      <c r="I2867" s="169">
        <v>204477</v>
      </c>
      <c r="J2867" s="304" t="str">
        <f>CONCATENATE([2]Cover!$D$6,"fdd/view?i=",I2867)</f>
        <v>https://www.dgiwg.org/FAD/fdd/view?i=204477</v>
      </c>
      <c r="K2867" s="304" t="s">
        <v>36916</v>
      </c>
      <c r="L2867" s="188">
        <v>83</v>
      </c>
      <c r="M2867" s="179" t="s">
        <v>1295</v>
      </c>
    </row>
    <row r="2868" spans="1:13" ht="38.25">
      <c r="A2868" s="313" t="str">
        <f t="shared" si="44"/>
        <v>EarthquakeMagSourceCode_nuttli_1987</v>
      </c>
      <c r="B2868" s="330"/>
      <c r="C2868" s="334"/>
      <c r="D2868" s="188" t="s">
        <v>20582</v>
      </c>
      <c r="E2868" s="189" t="s">
        <v>20583</v>
      </c>
      <c r="F2868" s="162" t="s">
        <v>20584</v>
      </c>
      <c r="G2868" s="162" t="s">
        <v>20585</v>
      </c>
      <c r="H2868" s="219"/>
      <c r="I2868" s="169">
        <v>204478</v>
      </c>
      <c r="J2868" s="304" t="str">
        <f>CONCATENATE([2]Cover!$D$6,"fdd/view?i=",I2868)</f>
        <v>https://www.dgiwg.org/FAD/fdd/view?i=204478</v>
      </c>
      <c r="K2868" s="304" t="s">
        <v>36917</v>
      </c>
      <c r="L2868" s="188">
        <v>84</v>
      </c>
      <c r="M2868" s="179" t="s">
        <v>1295</v>
      </c>
    </row>
    <row r="2869" spans="1:13" ht="38.25">
      <c r="A2869" s="313" t="str">
        <f t="shared" si="44"/>
        <v>EarthquakeMagSourceCode_nuttliEtAl_1977</v>
      </c>
      <c r="B2869" s="330"/>
      <c r="C2869" s="334"/>
      <c r="D2869" s="188" t="s">
        <v>20562</v>
      </c>
      <c r="E2869" s="189" t="s">
        <v>20563</v>
      </c>
      <c r="F2869" s="162" t="s">
        <v>20564</v>
      </c>
      <c r="G2869" s="162" t="s">
        <v>20565</v>
      </c>
      <c r="H2869" s="219"/>
      <c r="I2869" s="169">
        <v>204473</v>
      </c>
      <c r="J2869" s="304" t="str">
        <f>CONCATENATE([2]Cover!$D$6,"fdd/view?i=",I2869)</f>
        <v>https://www.dgiwg.org/FAD/fdd/view?i=204473</v>
      </c>
      <c r="K2869" s="304" t="s">
        <v>36918</v>
      </c>
      <c r="L2869" s="188">
        <v>79</v>
      </c>
      <c r="M2869" s="179" t="s">
        <v>1295</v>
      </c>
    </row>
    <row r="2870" spans="1:13" ht="25.5">
      <c r="A2870" s="313" t="str">
        <f t="shared" si="44"/>
        <v>EarthquakeMagSourceCode_oklahomaGeologicalSurvey</v>
      </c>
      <c r="B2870" s="330"/>
      <c r="C2870" s="334"/>
      <c r="D2870" s="188" t="s">
        <v>20586</v>
      </c>
      <c r="E2870" s="189" t="s">
        <v>20587</v>
      </c>
      <c r="F2870" s="162" t="s">
        <v>20588</v>
      </c>
      <c r="G2870" s="162" t="s">
        <v>20589</v>
      </c>
      <c r="H2870" s="219"/>
      <c r="I2870" s="169">
        <v>204479</v>
      </c>
      <c r="J2870" s="304" t="str">
        <f>CONCATENATE([2]Cover!$D$6,"fdd/view?i=",I2870)</f>
        <v>https://www.dgiwg.org/FAD/fdd/view?i=204479</v>
      </c>
      <c r="K2870" s="304" t="s">
        <v>36919</v>
      </c>
      <c r="L2870" s="188">
        <v>85</v>
      </c>
      <c r="M2870" s="179" t="s">
        <v>1295</v>
      </c>
    </row>
    <row r="2871" spans="1:13" ht="63.75">
      <c r="A2871" s="313" t="str">
        <f t="shared" si="44"/>
        <v>EarthquakeMagSourceCode_plafkerThatcher_1982</v>
      </c>
      <c r="B2871" s="330"/>
      <c r="C2871" s="334"/>
      <c r="D2871" s="188" t="s">
        <v>20590</v>
      </c>
      <c r="E2871" s="189" t="s">
        <v>20591</v>
      </c>
      <c r="F2871" s="162" t="s">
        <v>20592</v>
      </c>
      <c r="G2871" s="162" t="s">
        <v>20593</v>
      </c>
      <c r="H2871" s="219"/>
      <c r="I2871" s="169">
        <v>204480</v>
      </c>
      <c r="J2871" s="304" t="str">
        <f>CONCATENATE([2]Cover!$D$6,"fdd/view?i=",I2871)</f>
        <v>https://www.dgiwg.org/FAD/fdd/view?i=204480</v>
      </c>
      <c r="K2871" s="304" t="s">
        <v>36920</v>
      </c>
      <c r="L2871" s="188">
        <v>86</v>
      </c>
      <c r="M2871" s="179" t="s">
        <v>1295</v>
      </c>
    </row>
    <row r="2872" spans="1:13" ht="51">
      <c r="A2872" s="313" t="str">
        <f t="shared" si="44"/>
        <v>EarthquakeMagSourceCode_qamarEtAl_1986</v>
      </c>
      <c r="B2872" s="330"/>
      <c r="C2872" s="334"/>
      <c r="D2872" s="188" t="s">
        <v>20594</v>
      </c>
      <c r="E2872" s="189" t="s">
        <v>20595</v>
      </c>
      <c r="F2872" s="162" t="s">
        <v>20596</v>
      </c>
      <c r="G2872" s="162" t="s">
        <v>20597</v>
      </c>
      <c r="H2872" s="219"/>
      <c r="I2872" s="169">
        <v>204481</v>
      </c>
      <c r="J2872" s="304" t="str">
        <f>CONCATENATE([2]Cover!$D$6,"fdd/view?i=",I2872)</f>
        <v>https://www.dgiwg.org/FAD/fdd/view?i=204481</v>
      </c>
      <c r="K2872" s="304" t="s">
        <v>36921</v>
      </c>
      <c r="L2872" s="188">
        <v>87</v>
      </c>
      <c r="M2872" s="179" t="s">
        <v>1295</v>
      </c>
    </row>
    <row r="2873" spans="1:13" ht="25.5">
      <c r="A2873" s="313" t="str">
        <f t="shared" si="44"/>
        <v>EarthquakeMagSourceCode_richter_1935</v>
      </c>
      <c r="B2873" s="330"/>
      <c r="C2873" s="334"/>
      <c r="D2873" s="188" t="s">
        <v>20598</v>
      </c>
      <c r="E2873" s="189" t="s">
        <v>20599</v>
      </c>
      <c r="F2873" s="162" t="s">
        <v>20600</v>
      </c>
      <c r="G2873" s="162" t="s">
        <v>20601</v>
      </c>
      <c r="H2873" s="219"/>
      <c r="I2873" s="169">
        <v>204482</v>
      </c>
      <c r="J2873" s="304" t="str">
        <f>CONCATENATE([2]Cover!$D$6,"fdd/view?i=",I2873)</f>
        <v>https://www.dgiwg.org/FAD/fdd/view?i=204482</v>
      </c>
      <c r="K2873" s="304" t="s">
        <v>36922</v>
      </c>
      <c r="L2873" s="188">
        <v>88</v>
      </c>
      <c r="M2873" s="179" t="s">
        <v>1295</v>
      </c>
    </row>
    <row r="2874" spans="1:13" ht="25.5">
      <c r="A2874" s="313" t="str">
        <f t="shared" si="44"/>
        <v>EarthquakeMagSourceCode_richter_1958</v>
      </c>
      <c r="B2874" s="330"/>
      <c r="C2874" s="334"/>
      <c r="D2874" s="188" t="s">
        <v>20602</v>
      </c>
      <c r="E2874" s="189" t="s">
        <v>20603</v>
      </c>
      <c r="F2874" s="162" t="s">
        <v>20604</v>
      </c>
      <c r="G2874" s="162" t="s">
        <v>20605</v>
      </c>
      <c r="H2874" s="219"/>
      <c r="I2874" s="169">
        <v>204483</v>
      </c>
      <c r="J2874" s="304" t="str">
        <f>CONCATENATE([2]Cover!$D$6,"fdd/view?i=",I2874)</f>
        <v>https://www.dgiwg.org/FAD/fdd/view?i=204483</v>
      </c>
      <c r="K2874" s="304" t="s">
        <v>36923</v>
      </c>
      <c r="L2874" s="188">
        <v>89</v>
      </c>
      <c r="M2874" s="179" t="s">
        <v>1295</v>
      </c>
    </row>
    <row r="2875" spans="1:13" ht="25.5">
      <c r="A2875" s="313" t="str">
        <f t="shared" si="44"/>
        <v>EarthquakeMagSourceCode_rogers_1983</v>
      </c>
      <c r="B2875" s="330"/>
      <c r="C2875" s="334"/>
      <c r="D2875" s="188" t="s">
        <v>20606</v>
      </c>
      <c r="E2875" s="189" t="s">
        <v>20607</v>
      </c>
      <c r="F2875" s="162" t="s">
        <v>20608</v>
      </c>
      <c r="G2875" s="162" t="s">
        <v>20609</v>
      </c>
      <c r="H2875" s="219"/>
      <c r="I2875" s="169">
        <v>204484</v>
      </c>
      <c r="J2875" s="304" t="str">
        <f>CONCATENATE([2]Cover!$D$6,"fdd/view?i=",I2875)</f>
        <v>https://www.dgiwg.org/FAD/fdd/view?i=204484</v>
      </c>
      <c r="K2875" s="304" t="s">
        <v>36924</v>
      </c>
      <c r="L2875" s="188">
        <v>90</v>
      </c>
      <c r="M2875" s="179" t="s">
        <v>1295</v>
      </c>
    </row>
    <row r="2876" spans="1:13" ht="25.5">
      <c r="A2876" s="313" t="str">
        <f t="shared" si="44"/>
        <v>EarthquakeMagSourceCode_rothe_1969</v>
      </c>
      <c r="B2876" s="330"/>
      <c r="C2876" s="334"/>
      <c r="D2876" s="188" t="s">
        <v>20610</v>
      </c>
      <c r="E2876" s="189" t="s">
        <v>20611</v>
      </c>
      <c r="F2876" s="162" t="s">
        <v>20612</v>
      </c>
      <c r="G2876" s="162" t="s">
        <v>20613</v>
      </c>
      <c r="H2876" s="219"/>
      <c r="I2876" s="169">
        <v>204485</v>
      </c>
      <c r="J2876" s="304" t="str">
        <f>CONCATENATE([2]Cover!$D$6,"fdd/view?i=",I2876)</f>
        <v>https://www.dgiwg.org/FAD/fdd/view?i=204485</v>
      </c>
      <c r="K2876" s="304" t="s">
        <v>36925</v>
      </c>
      <c r="L2876" s="188">
        <v>91</v>
      </c>
      <c r="M2876" s="179" t="s">
        <v>1295</v>
      </c>
    </row>
    <row r="2877" spans="1:13" ht="38.25">
      <c r="A2877" s="313" t="str">
        <f t="shared" si="44"/>
        <v>EarthquakeMagSourceCode_ruffEtAl_1985</v>
      </c>
      <c r="B2877" s="330"/>
      <c r="C2877" s="334"/>
      <c r="D2877" s="188" t="s">
        <v>20614</v>
      </c>
      <c r="E2877" s="189" t="s">
        <v>20615</v>
      </c>
      <c r="F2877" s="162" t="s">
        <v>20616</v>
      </c>
      <c r="G2877" s="162" t="s">
        <v>20617</v>
      </c>
      <c r="H2877" s="219"/>
      <c r="I2877" s="169">
        <v>204486</v>
      </c>
      <c r="J2877" s="304" t="str">
        <f>CONCATENATE([2]Cover!$D$6,"fdd/view?i=",I2877)</f>
        <v>https://www.dgiwg.org/FAD/fdd/view?i=204486</v>
      </c>
      <c r="K2877" s="304" t="s">
        <v>36926</v>
      </c>
      <c r="L2877" s="188">
        <v>92</v>
      </c>
      <c r="M2877" s="179" t="s">
        <v>1295</v>
      </c>
    </row>
    <row r="2878" spans="1:13" ht="25.5">
      <c r="A2878" s="313" t="str">
        <f t="shared" si="44"/>
        <v>EarthquakeMagSourceCode_saintLouisUniversity</v>
      </c>
      <c r="B2878" s="330"/>
      <c r="C2878" s="334"/>
      <c r="D2878" s="188" t="s">
        <v>20618</v>
      </c>
      <c r="E2878" s="189" t="s">
        <v>20619</v>
      </c>
      <c r="F2878" s="162" t="s">
        <v>20620</v>
      </c>
      <c r="G2878" s="162" t="s">
        <v>20621</v>
      </c>
      <c r="H2878" s="219"/>
      <c r="I2878" s="169">
        <v>204487</v>
      </c>
      <c r="J2878" s="304" t="str">
        <f>CONCATENATE([2]Cover!$D$6,"fdd/view?i=",I2878)</f>
        <v>https://www.dgiwg.org/FAD/fdd/view?i=204487</v>
      </c>
      <c r="K2878" s="304" t="s">
        <v>36927</v>
      </c>
      <c r="L2878" s="188">
        <v>93</v>
      </c>
      <c r="M2878" s="179" t="s">
        <v>1295</v>
      </c>
    </row>
    <row r="2879" spans="1:13" ht="38.25">
      <c r="A2879" s="313" t="str">
        <f t="shared" si="44"/>
        <v>EarthquakeMagSourceCode_sanfordToppozada_1974</v>
      </c>
      <c r="B2879" s="330"/>
      <c r="C2879" s="334"/>
      <c r="D2879" s="188" t="s">
        <v>20622</v>
      </c>
      <c r="E2879" s="189" t="s">
        <v>20623</v>
      </c>
      <c r="F2879" s="162" t="s">
        <v>20624</v>
      </c>
      <c r="G2879" s="162" t="s">
        <v>20625</v>
      </c>
      <c r="H2879" s="219"/>
      <c r="I2879" s="169">
        <v>204488</v>
      </c>
      <c r="J2879" s="304" t="str">
        <f>CONCATENATE([2]Cover!$D$6,"fdd/view?i=",I2879)</f>
        <v>https://www.dgiwg.org/FAD/fdd/view?i=204488</v>
      </c>
      <c r="K2879" s="304" t="s">
        <v>36928</v>
      </c>
      <c r="L2879" s="188">
        <v>94</v>
      </c>
      <c r="M2879" s="179" t="s">
        <v>1295</v>
      </c>
    </row>
    <row r="2880" spans="1:13" ht="38.25">
      <c r="A2880" s="313" t="str">
        <f t="shared" si="44"/>
        <v>EarthquakeMagSourceCode_schellRuff_1986</v>
      </c>
      <c r="B2880" s="330"/>
      <c r="C2880" s="334"/>
      <c r="D2880" s="188" t="s">
        <v>20626</v>
      </c>
      <c r="E2880" s="189" t="s">
        <v>20627</v>
      </c>
      <c r="F2880" s="162" t="s">
        <v>20628</v>
      </c>
      <c r="G2880" s="162" t="s">
        <v>20629</v>
      </c>
      <c r="H2880" s="219"/>
      <c r="I2880" s="169">
        <v>204489</v>
      </c>
      <c r="J2880" s="304" t="str">
        <f>CONCATENATE([2]Cover!$D$6,"fdd/view?i=",I2880)</f>
        <v>https://www.dgiwg.org/FAD/fdd/view?i=204489</v>
      </c>
      <c r="K2880" s="304" t="s">
        <v>36929</v>
      </c>
      <c r="L2880" s="188">
        <v>95</v>
      </c>
      <c r="M2880" s="179" t="s">
        <v>1295</v>
      </c>
    </row>
    <row r="2881" spans="1:13" ht="38.25">
      <c r="A2881" s="313" t="str">
        <f t="shared" si="44"/>
        <v>EarthquakeMagSourceCode_scholzEtAl_1986</v>
      </c>
      <c r="B2881" s="330"/>
      <c r="C2881" s="334"/>
      <c r="D2881" s="188" t="s">
        <v>20630</v>
      </c>
      <c r="E2881" s="189" t="s">
        <v>20631</v>
      </c>
      <c r="F2881" s="162" t="s">
        <v>20632</v>
      </c>
      <c r="G2881" s="162" t="s">
        <v>20633</v>
      </c>
      <c r="H2881" s="219"/>
      <c r="I2881" s="169">
        <v>204490</v>
      </c>
      <c r="J2881" s="304" t="str">
        <f>CONCATENATE([2]Cover!$D$6,"fdd/view?i=",I2881)</f>
        <v>https://www.dgiwg.org/FAD/fdd/view?i=204490</v>
      </c>
      <c r="K2881" s="304" t="s">
        <v>36930</v>
      </c>
      <c r="L2881" s="188">
        <v>96</v>
      </c>
      <c r="M2881" s="179" t="s">
        <v>1295</v>
      </c>
    </row>
    <row r="2882" spans="1:13" ht="51">
      <c r="A2882" s="313" t="str">
        <f t="shared" si="44"/>
        <v>EarthquakeMagSourceCode_schwartzChristensen_1988</v>
      </c>
      <c r="B2882" s="330"/>
      <c r="C2882" s="334"/>
      <c r="D2882" s="188" t="s">
        <v>20634</v>
      </c>
      <c r="E2882" s="189" t="s">
        <v>20635</v>
      </c>
      <c r="F2882" s="162" t="s">
        <v>20636</v>
      </c>
      <c r="G2882" s="162" t="s">
        <v>20637</v>
      </c>
      <c r="H2882" s="219"/>
      <c r="I2882" s="169">
        <v>204491</v>
      </c>
      <c r="J2882" s="304" t="str">
        <f>CONCATENATE([2]Cover!$D$6,"fdd/view?i=",I2882)</f>
        <v>https://www.dgiwg.org/FAD/fdd/view?i=204491</v>
      </c>
      <c r="K2882" s="304" t="s">
        <v>36931</v>
      </c>
      <c r="L2882" s="188">
        <v>97</v>
      </c>
      <c r="M2882" s="179" t="s">
        <v>1295</v>
      </c>
    </row>
    <row r="2883" spans="1:13" ht="38.25">
      <c r="A2883" s="313" t="str">
        <f t="shared" ref="A2883:A2946" si="45">HYPERLINK(J2883,K2883)</f>
        <v>EarthquakeMagSourceCode_slemmonsEtAl_1965</v>
      </c>
      <c r="B2883" s="330"/>
      <c r="C2883" s="334"/>
      <c r="D2883" s="188" t="s">
        <v>20638</v>
      </c>
      <c r="E2883" s="189" t="s">
        <v>20639</v>
      </c>
      <c r="F2883" s="162" t="s">
        <v>20640</v>
      </c>
      <c r="G2883" s="162" t="s">
        <v>20641</v>
      </c>
      <c r="H2883" s="219"/>
      <c r="I2883" s="169">
        <v>204492</v>
      </c>
      <c r="J2883" s="304" t="str">
        <f>CONCATENATE([2]Cover!$D$6,"fdd/view?i=",I2883)</f>
        <v>https://www.dgiwg.org/FAD/fdd/view?i=204492</v>
      </c>
      <c r="K2883" s="304" t="s">
        <v>36932</v>
      </c>
      <c r="L2883" s="188">
        <v>98</v>
      </c>
      <c r="M2883" s="179" t="s">
        <v>1295</v>
      </c>
    </row>
    <row r="2884" spans="1:13" ht="51">
      <c r="A2884" s="313" t="str">
        <f t="shared" si="45"/>
        <v>EarthquakeMagSourceCode_somervilleEtAl_1987</v>
      </c>
      <c r="B2884" s="330"/>
      <c r="C2884" s="334"/>
      <c r="D2884" s="188" t="s">
        <v>20642</v>
      </c>
      <c r="E2884" s="189" t="s">
        <v>20643</v>
      </c>
      <c r="F2884" s="162" t="s">
        <v>20644</v>
      </c>
      <c r="G2884" s="162" t="s">
        <v>20645</v>
      </c>
      <c r="H2884" s="219"/>
      <c r="I2884" s="169">
        <v>204493</v>
      </c>
      <c r="J2884" s="304" t="str">
        <f>CONCATENATE([2]Cover!$D$6,"fdd/view?i=",I2884)</f>
        <v>https://www.dgiwg.org/FAD/fdd/view?i=204493</v>
      </c>
      <c r="K2884" s="304" t="s">
        <v>36933</v>
      </c>
      <c r="L2884" s="188">
        <v>99</v>
      </c>
      <c r="M2884" s="179" t="s">
        <v>1295</v>
      </c>
    </row>
    <row r="2885" spans="1:13" ht="38.25">
      <c r="A2885" s="313" t="str">
        <f t="shared" si="45"/>
        <v>EarthquakeMagSourceCode_stoverCoffman_1993a</v>
      </c>
      <c r="B2885" s="330"/>
      <c r="C2885" s="334"/>
      <c r="D2885" s="188" t="s">
        <v>20646</v>
      </c>
      <c r="E2885" s="189" t="s">
        <v>20647</v>
      </c>
      <c r="F2885" s="162" t="s">
        <v>20648</v>
      </c>
      <c r="G2885" s="162" t="s">
        <v>20649</v>
      </c>
      <c r="H2885" s="219"/>
      <c r="I2885" s="169">
        <v>204494</v>
      </c>
      <c r="J2885" s="304" t="str">
        <f>CONCATENATE([2]Cover!$D$6,"fdd/view?i=",I2885)</f>
        <v>https://www.dgiwg.org/FAD/fdd/view?i=204494</v>
      </c>
      <c r="K2885" s="304" t="s">
        <v>36934</v>
      </c>
      <c r="L2885" s="188">
        <v>100</v>
      </c>
      <c r="M2885" s="179" t="s">
        <v>1295</v>
      </c>
    </row>
    <row r="2886" spans="1:13" ht="38.25">
      <c r="A2886" s="313" t="str">
        <f t="shared" si="45"/>
        <v>EarthquakeMagSourceCode_street_1967</v>
      </c>
      <c r="B2886" s="330"/>
      <c r="C2886" s="334"/>
      <c r="D2886" s="188" t="s">
        <v>20662</v>
      </c>
      <c r="E2886" s="189" t="s">
        <v>20663</v>
      </c>
      <c r="F2886" s="162" t="s">
        <v>20664</v>
      </c>
      <c r="G2886" s="162" t="s">
        <v>20665</v>
      </c>
      <c r="H2886" s="219"/>
      <c r="I2886" s="169">
        <v>204498</v>
      </c>
      <c r="J2886" s="304" t="str">
        <f>CONCATENATE([2]Cover!$D$6,"fdd/view?i=",I2886)</f>
        <v>https://www.dgiwg.org/FAD/fdd/view?i=204498</v>
      </c>
      <c r="K2886" s="304" t="s">
        <v>36935</v>
      </c>
      <c r="L2886" s="188">
        <v>104</v>
      </c>
      <c r="M2886" s="179" t="s">
        <v>1295</v>
      </c>
    </row>
    <row r="2887" spans="1:13" ht="38.25">
      <c r="A2887" s="313" t="str">
        <f t="shared" si="45"/>
        <v>EarthquakeMagSourceCode_street_1982</v>
      </c>
      <c r="B2887" s="330"/>
      <c r="C2887" s="334"/>
      <c r="D2887" s="188" t="s">
        <v>20666</v>
      </c>
      <c r="E2887" s="189" t="s">
        <v>20667</v>
      </c>
      <c r="F2887" s="162" t="s">
        <v>20668</v>
      </c>
      <c r="G2887" s="162" t="s">
        <v>20669</v>
      </c>
      <c r="H2887" s="219"/>
      <c r="I2887" s="169">
        <v>204499</v>
      </c>
      <c r="J2887" s="304" t="str">
        <f>CONCATENATE([2]Cover!$D$6,"fdd/view?i=",I2887)</f>
        <v>https://www.dgiwg.org/FAD/fdd/view?i=204499</v>
      </c>
      <c r="K2887" s="304" t="s">
        <v>36936</v>
      </c>
      <c r="L2887" s="188">
        <v>105</v>
      </c>
      <c r="M2887" s="179" t="s">
        <v>1295</v>
      </c>
    </row>
    <row r="2888" spans="1:13" ht="51">
      <c r="A2888" s="313" t="str">
        <f t="shared" si="45"/>
        <v>EarthquakeMagSourceCode_street_1984</v>
      </c>
      <c r="B2888" s="330"/>
      <c r="C2888" s="334"/>
      <c r="D2888" s="188" t="s">
        <v>20670</v>
      </c>
      <c r="E2888" s="189" t="s">
        <v>20671</v>
      </c>
      <c r="F2888" s="162" t="s">
        <v>20672</v>
      </c>
      <c r="G2888" s="162" t="s">
        <v>20673</v>
      </c>
      <c r="H2888" s="219"/>
      <c r="I2888" s="169">
        <v>204500</v>
      </c>
      <c r="J2888" s="304" t="str">
        <f>CONCATENATE([2]Cover!$D$6,"fdd/view?i=",I2888)</f>
        <v>https://www.dgiwg.org/FAD/fdd/view?i=204500</v>
      </c>
      <c r="K2888" s="304" t="s">
        <v>36937</v>
      </c>
      <c r="L2888" s="188">
        <v>106</v>
      </c>
      <c r="M2888" s="179" t="s">
        <v>1295</v>
      </c>
    </row>
    <row r="2889" spans="1:13" ht="25.5">
      <c r="A2889" s="313" t="str">
        <f t="shared" si="45"/>
        <v>EarthquakeMagSourceCode_street_1989</v>
      </c>
      <c r="B2889" s="330"/>
      <c r="C2889" s="334"/>
      <c r="D2889" s="188" t="s">
        <v>20674</v>
      </c>
      <c r="E2889" s="189" t="s">
        <v>20675</v>
      </c>
      <c r="F2889" s="162" t="s">
        <v>20676</v>
      </c>
      <c r="G2889" s="162" t="s">
        <v>20677</v>
      </c>
      <c r="H2889" s="219"/>
      <c r="I2889" s="169">
        <v>204501</v>
      </c>
      <c r="J2889" s="304" t="str">
        <f>CONCATENATE([2]Cover!$D$6,"fdd/view?i=",I2889)</f>
        <v>https://www.dgiwg.org/FAD/fdd/view?i=204501</v>
      </c>
      <c r="K2889" s="304" t="s">
        <v>36938</v>
      </c>
      <c r="L2889" s="188">
        <v>107</v>
      </c>
      <c r="M2889" s="179" t="s">
        <v>1295</v>
      </c>
    </row>
    <row r="2890" spans="1:13" ht="51">
      <c r="A2890" s="313" t="str">
        <f t="shared" si="45"/>
        <v>EarthquakeMagSourceCode_streetEtAl_1975</v>
      </c>
      <c r="B2890" s="330"/>
      <c r="C2890" s="334"/>
      <c r="D2890" s="188" t="s">
        <v>20658</v>
      </c>
      <c r="E2890" s="189" t="s">
        <v>20659</v>
      </c>
      <c r="F2890" s="162" t="s">
        <v>20660</v>
      </c>
      <c r="G2890" s="162" t="s">
        <v>20661</v>
      </c>
      <c r="H2890" s="219"/>
      <c r="I2890" s="169">
        <v>204497</v>
      </c>
      <c r="J2890" s="304" t="str">
        <f>CONCATENATE([2]Cover!$D$6,"fdd/view?i=",I2890)</f>
        <v>https://www.dgiwg.org/FAD/fdd/view?i=204497</v>
      </c>
      <c r="K2890" s="304" t="s">
        <v>36939</v>
      </c>
      <c r="L2890" s="188">
        <v>103</v>
      </c>
      <c r="M2890" s="179" t="s">
        <v>1295</v>
      </c>
    </row>
    <row r="2891" spans="1:13" ht="38.25">
      <c r="A2891" s="313" t="str">
        <f t="shared" si="45"/>
        <v>EarthquakeMagSourceCode_streetGreen_1984</v>
      </c>
      <c r="B2891" s="330"/>
      <c r="C2891" s="334"/>
      <c r="D2891" s="188" t="s">
        <v>20650</v>
      </c>
      <c r="E2891" s="189" t="s">
        <v>20651</v>
      </c>
      <c r="F2891" s="162" t="s">
        <v>20652</v>
      </c>
      <c r="G2891" s="162" t="s">
        <v>20653</v>
      </c>
      <c r="H2891" s="219"/>
      <c r="I2891" s="169">
        <v>204495</v>
      </c>
      <c r="J2891" s="304" t="str">
        <f>CONCATENATE([2]Cover!$D$6,"fdd/view?i=",I2891)</f>
        <v>https://www.dgiwg.org/FAD/fdd/view?i=204495</v>
      </c>
      <c r="K2891" s="304" t="s">
        <v>36940</v>
      </c>
      <c r="L2891" s="188">
        <v>101</v>
      </c>
      <c r="M2891" s="179" t="s">
        <v>1295</v>
      </c>
    </row>
    <row r="2892" spans="1:13" ht="38.25">
      <c r="A2892" s="313" t="str">
        <f t="shared" si="45"/>
        <v>EarthquakeMagSourceCode_streetTurcotte_1977</v>
      </c>
      <c r="B2892" s="330"/>
      <c r="C2892" s="334"/>
      <c r="D2892" s="188" t="s">
        <v>20654</v>
      </c>
      <c r="E2892" s="189" t="s">
        <v>20655</v>
      </c>
      <c r="F2892" s="162" t="s">
        <v>20656</v>
      </c>
      <c r="G2892" s="162" t="s">
        <v>20657</v>
      </c>
      <c r="H2892" s="219"/>
      <c r="I2892" s="169">
        <v>204496</v>
      </c>
      <c r="J2892" s="304" t="str">
        <f>CONCATENATE([2]Cover!$D$6,"fdd/view?i=",I2892)</f>
        <v>https://www.dgiwg.org/FAD/fdd/view?i=204496</v>
      </c>
      <c r="K2892" s="304" t="s">
        <v>36941</v>
      </c>
      <c r="L2892" s="188">
        <v>102</v>
      </c>
      <c r="M2892" s="179" t="s">
        <v>1295</v>
      </c>
    </row>
    <row r="2893" spans="1:13" ht="38.25">
      <c r="A2893" s="313" t="str">
        <f t="shared" si="45"/>
        <v>EarthquakeMagSourceCode_taggartBaldwin_1982</v>
      </c>
      <c r="B2893" s="330"/>
      <c r="C2893" s="334"/>
      <c r="D2893" s="188" t="s">
        <v>20678</v>
      </c>
      <c r="E2893" s="189" t="s">
        <v>20679</v>
      </c>
      <c r="F2893" s="162" t="s">
        <v>20680</v>
      </c>
      <c r="G2893" s="162" t="s">
        <v>20681</v>
      </c>
      <c r="H2893" s="219"/>
      <c r="I2893" s="169">
        <v>204502</v>
      </c>
      <c r="J2893" s="304" t="str">
        <f>CONCATENATE([2]Cover!$D$6,"fdd/view?i=",I2893)</f>
        <v>https://www.dgiwg.org/FAD/fdd/view?i=204502</v>
      </c>
      <c r="K2893" s="304" t="s">
        <v>36942</v>
      </c>
      <c r="L2893" s="188">
        <v>108</v>
      </c>
      <c r="M2893" s="179" t="s">
        <v>1295</v>
      </c>
    </row>
    <row r="2894" spans="1:13" ht="38.25">
      <c r="A2894" s="313" t="str">
        <f t="shared" si="45"/>
        <v>EarthquakeMagSourceCode_thatcher_1975</v>
      </c>
      <c r="B2894" s="330"/>
      <c r="C2894" s="334"/>
      <c r="D2894" s="188" t="s">
        <v>20690</v>
      </c>
      <c r="E2894" s="189" t="s">
        <v>20691</v>
      </c>
      <c r="F2894" s="162" t="s">
        <v>20692</v>
      </c>
      <c r="G2894" s="162" t="s">
        <v>20693</v>
      </c>
      <c r="H2894" s="219"/>
      <c r="I2894" s="169">
        <v>204505</v>
      </c>
      <c r="J2894" s="304" t="str">
        <f>CONCATENATE([2]Cover!$D$6,"fdd/view?i=",I2894)</f>
        <v>https://www.dgiwg.org/FAD/fdd/view?i=204505</v>
      </c>
      <c r="K2894" s="304" t="s">
        <v>36943</v>
      </c>
      <c r="L2894" s="188">
        <v>111</v>
      </c>
      <c r="M2894" s="179" t="s">
        <v>1295</v>
      </c>
    </row>
    <row r="2895" spans="1:13" ht="51">
      <c r="A2895" s="313" t="str">
        <f t="shared" si="45"/>
        <v>EarthquakeMagSourceCode_thatcherEtAl_1975</v>
      </c>
      <c r="B2895" s="330"/>
      <c r="C2895" s="334"/>
      <c r="D2895" s="188" t="s">
        <v>20686</v>
      </c>
      <c r="E2895" s="189" t="s">
        <v>20687</v>
      </c>
      <c r="F2895" s="162" t="s">
        <v>20688</v>
      </c>
      <c r="G2895" s="162" t="s">
        <v>20689</v>
      </c>
      <c r="H2895" s="219"/>
      <c r="I2895" s="169">
        <v>204504</v>
      </c>
      <c r="J2895" s="304" t="str">
        <f>CONCATENATE([2]Cover!$D$6,"fdd/view?i=",I2895)</f>
        <v>https://www.dgiwg.org/FAD/fdd/view?i=204504</v>
      </c>
      <c r="K2895" s="304" t="s">
        <v>36944</v>
      </c>
      <c r="L2895" s="188">
        <v>110</v>
      </c>
      <c r="M2895" s="179" t="s">
        <v>1295</v>
      </c>
    </row>
    <row r="2896" spans="1:13" ht="38.25">
      <c r="A2896" s="313" t="str">
        <f t="shared" si="45"/>
        <v>EarthquakeMagSourceCode_thatcherHanks_1973</v>
      </c>
      <c r="B2896" s="330"/>
      <c r="C2896" s="334"/>
      <c r="D2896" s="188" t="s">
        <v>20682</v>
      </c>
      <c r="E2896" s="189" t="s">
        <v>20683</v>
      </c>
      <c r="F2896" s="162" t="s">
        <v>20684</v>
      </c>
      <c r="G2896" s="162" t="s">
        <v>20685</v>
      </c>
      <c r="H2896" s="219"/>
      <c r="I2896" s="169">
        <v>204503</v>
      </c>
      <c r="J2896" s="304" t="str">
        <f>CONCATENATE([2]Cover!$D$6,"fdd/view?i=",I2896)</f>
        <v>https://www.dgiwg.org/FAD/fdd/view?i=204503</v>
      </c>
      <c r="K2896" s="304" t="s">
        <v>36945</v>
      </c>
      <c r="L2896" s="188">
        <v>109</v>
      </c>
      <c r="M2896" s="179" t="s">
        <v>1295</v>
      </c>
    </row>
    <row r="2897" spans="1:13" ht="25.5">
      <c r="A2897" s="313" t="str">
        <f t="shared" si="45"/>
        <v>EarthquakeMagSourceCode_universityCalBerkeley</v>
      </c>
      <c r="B2897" s="330"/>
      <c r="C2897" s="334"/>
      <c r="D2897" s="188" t="s">
        <v>20694</v>
      </c>
      <c r="E2897" s="189" t="s">
        <v>20695</v>
      </c>
      <c r="F2897" s="162" t="s">
        <v>20696</v>
      </c>
      <c r="G2897" s="162" t="s">
        <v>20697</v>
      </c>
      <c r="H2897" s="219"/>
      <c r="I2897" s="169">
        <v>204506</v>
      </c>
      <c r="J2897" s="304" t="str">
        <f>CONCATENATE([2]Cover!$D$6,"fdd/view?i=",I2897)</f>
        <v>https://www.dgiwg.org/FAD/fdd/view?i=204506</v>
      </c>
      <c r="K2897" s="304" t="s">
        <v>36946</v>
      </c>
      <c r="L2897" s="188">
        <v>112</v>
      </c>
      <c r="M2897" s="179" t="s">
        <v>1295</v>
      </c>
    </row>
    <row r="2898" spans="1:13" ht="25.5">
      <c r="A2898" s="313" t="str">
        <f t="shared" si="45"/>
        <v>EarthquakeMagSourceCode_universityConnecticut</v>
      </c>
      <c r="B2898" s="330"/>
      <c r="C2898" s="334"/>
      <c r="D2898" s="188" t="s">
        <v>20698</v>
      </c>
      <c r="E2898" s="189" t="s">
        <v>20699</v>
      </c>
      <c r="F2898" s="162" t="s">
        <v>20700</v>
      </c>
      <c r="G2898" s="162" t="s">
        <v>20701</v>
      </c>
      <c r="H2898" s="219"/>
      <c r="I2898" s="169">
        <v>204507</v>
      </c>
      <c r="J2898" s="304" t="str">
        <f>CONCATENATE([2]Cover!$D$6,"fdd/view?i=",I2898)</f>
        <v>https://www.dgiwg.org/FAD/fdd/view?i=204507</v>
      </c>
      <c r="K2898" s="304" t="s">
        <v>36947</v>
      </c>
      <c r="L2898" s="188">
        <v>113</v>
      </c>
      <c r="M2898" s="179" t="s">
        <v>1295</v>
      </c>
    </row>
    <row r="2899" spans="1:13" ht="25.5">
      <c r="A2899" s="313" t="str">
        <f t="shared" si="45"/>
        <v>EarthquakeMagSourceCode_universityHawaii</v>
      </c>
      <c r="B2899" s="330"/>
      <c r="C2899" s="334"/>
      <c r="D2899" s="188" t="s">
        <v>20702</v>
      </c>
      <c r="E2899" s="189" t="s">
        <v>20703</v>
      </c>
      <c r="F2899" s="162" t="s">
        <v>20704</v>
      </c>
      <c r="G2899" s="162" t="s">
        <v>20705</v>
      </c>
      <c r="H2899" s="219"/>
      <c r="I2899" s="169">
        <v>204508</v>
      </c>
      <c r="J2899" s="304" t="str">
        <f>CONCATENATE([2]Cover!$D$6,"fdd/view?i=",I2899)</f>
        <v>https://www.dgiwg.org/FAD/fdd/view?i=204508</v>
      </c>
      <c r="K2899" s="304" t="s">
        <v>36948</v>
      </c>
      <c r="L2899" s="188">
        <v>114</v>
      </c>
      <c r="M2899" s="179" t="s">
        <v>1295</v>
      </c>
    </row>
    <row r="2900" spans="1:13" ht="25.5">
      <c r="A2900" s="313" t="str">
        <f t="shared" si="45"/>
        <v>EarthquakeMagSourceCode_universityMichigan</v>
      </c>
      <c r="B2900" s="330"/>
      <c r="C2900" s="334"/>
      <c r="D2900" s="188" t="s">
        <v>20706</v>
      </c>
      <c r="E2900" s="189" t="s">
        <v>20707</v>
      </c>
      <c r="F2900" s="162" t="s">
        <v>20708</v>
      </c>
      <c r="G2900" s="162" t="s">
        <v>20709</v>
      </c>
      <c r="H2900" s="219"/>
      <c r="I2900" s="169">
        <v>204509</v>
      </c>
      <c r="J2900" s="304" t="str">
        <f>CONCATENATE([2]Cover!$D$6,"fdd/view?i=",I2900)</f>
        <v>https://www.dgiwg.org/FAD/fdd/view?i=204509</v>
      </c>
      <c r="K2900" s="304" t="s">
        <v>36949</v>
      </c>
      <c r="L2900" s="188">
        <v>115</v>
      </c>
      <c r="M2900" s="179" t="s">
        <v>1295</v>
      </c>
    </row>
    <row r="2901" spans="1:13" ht="25.5">
      <c r="A2901" s="313" t="str">
        <f t="shared" si="45"/>
        <v>EarthquakeMagSourceCode_universityMontana</v>
      </c>
      <c r="B2901" s="330"/>
      <c r="C2901" s="334"/>
      <c r="D2901" s="188" t="s">
        <v>20710</v>
      </c>
      <c r="E2901" s="189" t="s">
        <v>20711</v>
      </c>
      <c r="F2901" s="162" t="s">
        <v>20712</v>
      </c>
      <c r="G2901" s="162" t="s">
        <v>20713</v>
      </c>
      <c r="H2901" s="219"/>
      <c r="I2901" s="169">
        <v>204510</v>
      </c>
      <c r="J2901" s="304" t="str">
        <f>CONCATENATE([2]Cover!$D$6,"fdd/view?i=",I2901)</f>
        <v>https://www.dgiwg.org/FAD/fdd/view?i=204510</v>
      </c>
      <c r="K2901" s="304" t="s">
        <v>36950</v>
      </c>
      <c r="L2901" s="188">
        <v>116</v>
      </c>
      <c r="M2901" s="179" t="s">
        <v>1295</v>
      </c>
    </row>
    <row r="2902" spans="1:13" ht="25.5">
      <c r="A2902" s="313" t="str">
        <f t="shared" si="45"/>
        <v>EarthquakeMagSourceCode_universityNevadaReno</v>
      </c>
      <c r="B2902" s="330"/>
      <c r="C2902" s="334"/>
      <c r="D2902" s="188" t="s">
        <v>20714</v>
      </c>
      <c r="E2902" s="189" t="s">
        <v>20715</v>
      </c>
      <c r="F2902" s="162" t="s">
        <v>20716</v>
      </c>
      <c r="G2902" s="162" t="s">
        <v>20717</v>
      </c>
      <c r="H2902" s="219"/>
      <c r="I2902" s="169">
        <v>204511</v>
      </c>
      <c r="J2902" s="304" t="str">
        <f>CONCATENATE([2]Cover!$D$6,"fdd/view?i=",I2902)</f>
        <v>https://www.dgiwg.org/FAD/fdd/view?i=204511</v>
      </c>
      <c r="K2902" s="304" t="s">
        <v>36951</v>
      </c>
      <c r="L2902" s="188">
        <v>117</v>
      </c>
      <c r="M2902" s="179" t="s">
        <v>1295</v>
      </c>
    </row>
    <row r="2903" spans="1:13" ht="25.5">
      <c r="A2903" s="313" t="str">
        <f t="shared" si="45"/>
        <v>EarthquakeMagSourceCode_universityUppsala</v>
      </c>
      <c r="B2903" s="330"/>
      <c r="C2903" s="334"/>
      <c r="D2903" s="188" t="s">
        <v>20718</v>
      </c>
      <c r="E2903" s="189" t="s">
        <v>20719</v>
      </c>
      <c r="F2903" s="162" t="s">
        <v>20720</v>
      </c>
      <c r="G2903" s="162" t="s">
        <v>20721</v>
      </c>
      <c r="H2903" s="219"/>
      <c r="I2903" s="169">
        <v>204512</v>
      </c>
      <c r="J2903" s="304" t="str">
        <f>CONCATENATE([2]Cover!$D$6,"fdd/view?i=",I2903)</f>
        <v>https://www.dgiwg.org/FAD/fdd/view?i=204512</v>
      </c>
      <c r="K2903" s="304" t="s">
        <v>36952</v>
      </c>
      <c r="L2903" s="188">
        <v>118</v>
      </c>
      <c r="M2903" s="179" t="s">
        <v>1295</v>
      </c>
    </row>
    <row r="2904" spans="1:13" ht="25.5">
      <c r="A2904" s="313" t="str">
        <f t="shared" si="45"/>
        <v>EarthquakeMagSourceCode_universityUtah</v>
      </c>
      <c r="B2904" s="330"/>
      <c r="C2904" s="334"/>
      <c r="D2904" s="188" t="s">
        <v>20722</v>
      </c>
      <c r="E2904" s="189" t="s">
        <v>20723</v>
      </c>
      <c r="F2904" s="162" t="s">
        <v>20724</v>
      </c>
      <c r="G2904" s="162" t="s">
        <v>20725</v>
      </c>
      <c r="H2904" s="219"/>
      <c r="I2904" s="169">
        <v>204513</v>
      </c>
      <c r="J2904" s="304" t="str">
        <f>CONCATENATE([2]Cover!$D$6,"fdd/view?i=",I2904)</f>
        <v>https://www.dgiwg.org/FAD/fdd/view?i=204513</v>
      </c>
      <c r="K2904" s="304" t="s">
        <v>36953</v>
      </c>
      <c r="L2904" s="188">
        <v>119</v>
      </c>
      <c r="M2904" s="179" t="s">
        <v>1295</v>
      </c>
    </row>
    <row r="2905" spans="1:13" ht="25.5">
      <c r="A2905" s="313" t="str">
        <f t="shared" si="45"/>
        <v>EarthquakeMagSourceCode_universityWashington</v>
      </c>
      <c r="B2905" s="330"/>
      <c r="C2905" s="334"/>
      <c r="D2905" s="188" t="s">
        <v>20726</v>
      </c>
      <c r="E2905" s="189" t="s">
        <v>20727</v>
      </c>
      <c r="F2905" s="162" t="s">
        <v>20728</v>
      </c>
      <c r="G2905" s="162" t="s">
        <v>20729</v>
      </c>
      <c r="H2905" s="219"/>
      <c r="I2905" s="169">
        <v>204514</v>
      </c>
      <c r="J2905" s="304" t="str">
        <f>CONCATENATE([2]Cover!$D$6,"fdd/view?i=",I2905)</f>
        <v>https://www.dgiwg.org/FAD/fdd/view?i=204514</v>
      </c>
      <c r="K2905" s="304" t="s">
        <v>36954</v>
      </c>
      <c r="L2905" s="188">
        <v>120</v>
      </c>
      <c r="M2905" s="179" t="s">
        <v>1295</v>
      </c>
    </row>
    <row r="2906" spans="1:13" ht="25.5">
      <c r="A2906" s="313" t="str">
        <f t="shared" si="45"/>
        <v>EarthquakeMagSourceCode_usgsGolden</v>
      </c>
      <c r="B2906" s="330"/>
      <c r="C2906" s="334"/>
      <c r="D2906" s="188" t="s">
        <v>20730</v>
      </c>
      <c r="E2906" s="189" t="s">
        <v>20731</v>
      </c>
      <c r="F2906" s="162" t="s">
        <v>20732</v>
      </c>
      <c r="G2906" s="162" t="s">
        <v>20733</v>
      </c>
      <c r="H2906" s="219"/>
      <c r="I2906" s="169">
        <v>204515</v>
      </c>
      <c r="J2906" s="304" t="str">
        <f>CONCATENATE([2]Cover!$D$6,"fdd/view?i=",I2906)</f>
        <v>https://www.dgiwg.org/FAD/fdd/view?i=204515</v>
      </c>
      <c r="K2906" s="304" t="s">
        <v>36955</v>
      </c>
      <c r="L2906" s="188">
        <v>121</v>
      </c>
      <c r="M2906" s="179" t="s">
        <v>1295</v>
      </c>
    </row>
    <row r="2907" spans="1:13" ht="25.5">
      <c r="A2907" s="313" t="str">
        <f t="shared" si="45"/>
        <v>EarthquakeMagSourceCode_usgsMenloPark</v>
      </c>
      <c r="B2907" s="330"/>
      <c r="C2907" s="334"/>
      <c r="D2907" s="188" t="s">
        <v>20734</v>
      </c>
      <c r="E2907" s="189" t="s">
        <v>20735</v>
      </c>
      <c r="F2907" s="162" t="s">
        <v>20736</v>
      </c>
      <c r="G2907" s="162" t="s">
        <v>20737</v>
      </c>
      <c r="H2907" s="219"/>
      <c r="I2907" s="169">
        <v>204516</v>
      </c>
      <c r="J2907" s="304" t="str">
        <f>CONCATENATE([2]Cover!$D$6,"fdd/view?i=",I2907)</f>
        <v>https://www.dgiwg.org/FAD/fdd/view?i=204516</v>
      </c>
      <c r="K2907" s="304" t="s">
        <v>36956</v>
      </c>
      <c r="L2907" s="188">
        <v>122</v>
      </c>
      <c r="M2907" s="179" t="s">
        <v>1295</v>
      </c>
    </row>
    <row r="2908" spans="1:13" ht="25.5">
      <c r="A2908" s="313" t="str">
        <f t="shared" si="45"/>
        <v>EarthquakeMagSourceCode_usgsPasadena</v>
      </c>
      <c r="B2908" s="330"/>
      <c r="C2908" s="334"/>
      <c r="D2908" s="188" t="s">
        <v>20738</v>
      </c>
      <c r="E2908" s="189" t="s">
        <v>20739</v>
      </c>
      <c r="F2908" s="162" t="s">
        <v>20740</v>
      </c>
      <c r="G2908" s="162" t="s">
        <v>20741</v>
      </c>
      <c r="H2908" s="219"/>
      <c r="I2908" s="169">
        <v>204517</v>
      </c>
      <c r="J2908" s="304" t="str">
        <f>CONCATENATE([2]Cover!$D$6,"fdd/view?i=",I2908)</f>
        <v>https://www.dgiwg.org/FAD/fdd/view?i=204517</v>
      </c>
      <c r="K2908" s="304" t="s">
        <v>36957</v>
      </c>
      <c r="L2908" s="188">
        <v>123</v>
      </c>
      <c r="M2908" s="179" t="s">
        <v>1295</v>
      </c>
    </row>
    <row r="2909" spans="1:13" ht="25.5">
      <c r="A2909" s="313" t="str">
        <f t="shared" si="45"/>
        <v>EarthquakeMagSourceCode_victoriaGeophysicalObs</v>
      </c>
      <c r="B2909" s="330"/>
      <c r="C2909" s="334"/>
      <c r="D2909" s="188" t="s">
        <v>20742</v>
      </c>
      <c r="E2909" s="189" t="s">
        <v>20743</v>
      </c>
      <c r="F2909" s="162" t="s">
        <v>20744</v>
      </c>
      <c r="G2909" s="162" t="s">
        <v>20745</v>
      </c>
      <c r="H2909" s="219"/>
      <c r="I2909" s="169">
        <v>204518</v>
      </c>
      <c r="J2909" s="304" t="str">
        <f>CONCATENATE([2]Cover!$D$6,"fdd/view?i=",I2909)</f>
        <v>https://www.dgiwg.org/FAD/fdd/view?i=204518</v>
      </c>
      <c r="K2909" s="304" t="s">
        <v>36958</v>
      </c>
      <c r="L2909" s="188">
        <v>124</v>
      </c>
      <c r="M2909" s="179" t="s">
        <v>1295</v>
      </c>
    </row>
    <row r="2910" spans="1:13" ht="25.5">
      <c r="A2910" s="313" t="str">
        <f t="shared" si="45"/>
        <v>EarthquakeMagSourceCode_virginiaPolyInstitute</v>
      </c>
      <c r="B2910" s="330"/>
      <c r="C2910" s="334"/>
      <c r="D2910" s="188" t="s">
        <v>20746</v>
      </c>
      <c r="E2910" s="189" t="s">
        <v>20747</v>
      </c>
      <c r="F2910" s="162" t="s">
        <v>20748</v>
      </c>
      <c r="G2910" s="162" t="s">
        <v>20749</v>
      </c>
      <c r="H2910" s="219"/>
      <c r="I2910" s="169">
        <v>204519</v>
      </c>
      <c r="J2910" s="304" t="str">
        <f>CONCATENATE([2]Cover!$D$6,"fdd/view?i=",I2910)</f>
        <v>https://www.dgiwg.org/FAD/fdd/view?i=204519</v>
      </c>
      <c r="K2910" s="304" t="s">
        <v>36959</v>
      </c>
      <c r="L2910" s="188">
        <v>125</v>
      </c>
      <c r="M2910" s="179" t="s">
        <v>1295</v>
      </c>
    </row>
    <row r="2911" spans="1:13" ht="63.75">
      <c r="A2911" s="313" t="str">
        <f t="shared" si="45"/>
        <v>EarthquakeMagSourceCode_wallace_1984</v>
      </c>
      <c r="B2911" s="330"/>
      <c r="C2911" s="334"/>
      <c r="D2911" s="188" t="s">
        <v>20750</v>
      </c>
      <c r="E2911" s="189" t="s">
        <v>20751</v>
      </c>
      <c r="F2911" s="162" t="s">
        <v>20752</v>
      </c>
      <c r="G2911" s="162" t="s">
        <v>20753</v>
      </c>
      <c r="H2911" s="219"/>
      <c r="I2911" s="169">
        <v>204520</v>
      </c>
      <c r="J2911" s="304" t="str">
        <f>CONCATENATE([2]Cover!$D$6,"fdd/view?i=",I2911)</f>
        <v>https://www.dgiwg.org/FAD/fdd/view?i=204520</v>
      </c>
      <c r="K2911" s="304" t="s">
        <v>36960</v>
      </c>
      <c r="L2911" s="188">
        <v>126</v>
      </c>
      <c r="M2911" s="179" t="s">
        <v>1295</v>
      </c>
    </row>
    <row r="2912" spans="1:13" ht="51">
      <c r="A2912" s="313" t="str">
        <f t="shared" si="45"/>
        <v>EarthquakeMagSourceCode_webbKanamori_1985</v>
      </c>
      <c r="B2912" s="330"/>
      <c r="C2912" s="334"/>
      <c r="D2912" s="188" t="s">
        <v>20754</v>
      </c>
      <c r="E2912" s="189" t="s">
        <v>20755</v>
      </c>
      <c r="F2912" s="162" t="s">
        <v>20756</v>
      </c>
      <c r="G2912" s="162" t="s">
        <v>20757</v>
      </c>
      <c r="H2912" s="219"/>
      <c r="I2912" s="169">
        <v>204521</v>
      </c>
      <c r="J2912" s="304" t="str">
        <f>CONCATENATE([2]Cover!$D$6,"fdd/view?i=",I2912)</f>
        <v>https://www.dgiwg.org/FAD/fdd/view?i=204521</v>
      </c>
      <c r="K2912" s="304" t="s">
        <v>36961</v>
      </c>
      <c r="L2912" s="188">
        <v>127</v>
      </c>
      <c r="M2912" s="179" t="s">
        <v>1295</v>
      </c>
    </row>
    <row r="2913" spans="1:13" ht="38.25">
      <c r="A2913" s="313" t="str">
        <f t="shared" si="45"/>
        <v>EarthquakeMagSourceCode_wood_1947</v>
      </c>
      <c r="B2913" s="330"/>
      <c r="C2913" s="334"/>
      <c r="D2913" s="188" t="s">
        <v>20758</v>
      </c>
      <c r="E2913" s="189" t="s">
        <v>20759</v>
      </c>
      <c r="F2913" s="162" t="s">
        <v>20760</v>
      </c>
      <c r="G2913" s="162" t="s">
        <v>20761</v>
      </c>
      <c r="H2913" s="219"/>
      <c r="I2913" s="169">
        <v>204522</v>
      </c>
      <c r="J2913" s="304" t="str">
        <f>CONCATENATE([2]Cover!$D$6,"fdd/view?i=",I2913)</f>
        <v>https://www.dgiwg.org/FAD/fdd/view?i=204522</v>
      </c>
      <c r="K2913" s="304" t="s">
        <v>36962</v>
      </c>
      <c r="L2913" s="188">
        <v>128</v>
      </c>
      <c r="M2913" s="179" t="s">
        <v>1295</v>
      </c>
    </row>
    <row r="2914" spans="1:13" ht="38.25">
      <c r="A2914" s="313" t="str">
        <f t="shared" si="45"/>
        <v>EarthquakeMagSourceCode_wyssBrune_1968</v>
      </c>
      <c r="B2914" s="330"/>
      <c r="C2914" s="334"/>
      <c r="D2914" s="188" t="s">
        <v>20762</v>
      </c>
      <c r="E2914" s="189" t="s">
        <v>20763</v>
      </c>
      <c r="F2914" s="162" t="s">
        <v>20764</v>
      </c>
      <c r="G2914" s="162" t="s">
        <v>20765</v>
      </c>
      <c r="H2914" s="219"/>
      <c r="I2914" s="169">
        <v>204523</v>
      </c>
      <c r="J2914" s="304" t="str">
        <f>CONCATENATE([2]Cover!$D$6,"fdd/view?i=",I2914)</f>
        <v>https://www.dgiwg.org/FAD/fdd/view?i=204523</v>
      </c>
      <c r="K2914" s="304" t="s">
        <v>36963</v>
      </c>
      <c r="L2914" s="188">
        <v>129</v>
      </c>
      <c r="M2914" s="179" t="s">
        <v>1295</v>
      </c>
    </row>
    <row r="2915" spans="1:13" ht="38.25">
      <c r="A2915" s="313" t="str">
        <f t="shared" si="45"/>
        <v>EarthquakeMagSourceCode_wyssKoyanagi_1992</v>
      </c>
      <c r="B2915" s="330"/>
      <c r="C2915" s="334"/>
      <c r="D2915" s="188" t="s">
        <v>20766</v>
      </c>
      <c r="E2915" s="189" t="s">
        <v>20767</v>
      </c>
      <c r="F2915" s="162" t="s">
        <v>20768</v>
      </c>
      <c r="G2915" s="162" t="s">
        <v>20769</v>
      </c>
      <c r="H2915" s="219"/>
      <c r="I2915" s="169">
        <v>204524</v>
      </c>
      <c r="J2915" s="304" t="str">
        <f>CONCATENATE([2]Cover!$D$6,"fdd/view?i=",I2915)</f>
        <v>https://www.dgiwg.org/FAD/fdd/view?i=204524</v>
      </c>
      <c r="K2915" s="304" t="s">
        <v>36964</v>
      </c>
      <c r="L2915" s="188">
        <v>130</v>
      </c>
      <c r="M2915" s="179" t="s">
        <v>1295</v>
      </c>
    </row>
    <row r="2916" spans="1:13" ht="25.5">
      <c r="A2916" s="313" t="str">
        <f t="shared" si="45"/>
        <v>EarthquakeMagSourceCode_yellin_1991</v>
      </c>
      <c r="B2916" s="330"/>
      <c r="C2916" s="334"/>
      <c r="D2916" s="188" t="s">
        <v>20774</v>
      </c>
      <c r="E2916" s="189" t="s">
        <v>20775</v>
      </c>
      <c r="F2916" s="162" t="s">
        <v>20776</v>
      </c>
      <c r="G2916" s="162" t="s">
        <v>20777</v>
      </c>
      <c r="H2916" s="219"/>
      <c r="I2916" s="169">
        <v>204526</v>
      </c>
      <c r="J2916" s="304" t="str">
        <f>CONCATENATE([2]Cover!$D$6,"fdd/view?i=",I2916)</f>
        <v>https://www.dgiwg.org/FAD/fdd/view?i=204526</v>
      </c>
      <c r="K2916" s="304" t="s">
        <v>36965</v>
      </c>
      <c r="L2916" s="188">
        <v>132</v>
      </c>
      <c r="M2916" s="179" t="s">
        <v>1295</v>
      </c>
    </row>
    <row r="2917" spans="1:13" ht="38.25">
      <c r="A2917" s="313" t="str">
        <f t="shared" si="45"/>
        <v>EarthquakeMagSourceCode_yellinPatton_1991</v>
      </c>
      <c r="B2917" s="331"/>
      <c r="C2917" s="335"/>
      <c r="D2917" s="181" t="s">
        <v>20770</v>
      </c>
      <c r="E2917" s="192" t="s">
        <v>20771</v>
      </c>
      <c r="F2917" s="193" t="s">
        <v>20772</v>
      </c>
      <c r="G2917" s="193" t="s">
        <v>20773</v>
      </c>
      <c r="H2917" s="220"/>
      <c r="I2917" s="169">
        <v>204525</v>
      </c>
      <c r="J2917" s="304" t="str">
        <f>CONCATENATE([2]Cover!$D$6,"fdd/view?i=",I2917)</f>
        <v>https://www.dgiwg.org/FAD/fdd/view?i=204525</v>
      </c>
      <c r="K2917" s="304" t="s">
        <v>36966</v>
      </c>
      <c r="L2917" s="181">
        <v>131</v>
      </c>
      <c r="M2917" s="179" t="s">
        <v>1295</v>
      </c>
    </row>
    <row r="2918" spans="1:13" ht="191.25">
      <c r="A2918" s="313" t="str">
        <f t="shared" si="45"/>
        <v>EarthquakeMagTypeCode_bodyWaveMagnitude</v>
      </c>
      <c r="B2918" s="332" t="str">
        <f>HYPERLINK("[#]Datatypes!A480:L480","EarthquakeMagTypeCode")</f>
        <v>EarthquakeMagTypeCode</v>
      </c>
      <c r="C2918" s="333" t="s">
        <v>12010</v>
      </c>
      <c r="D2918" s="202" t="s">
        <v>5688</v>
      </c>
      <c r="E2918" s="203" t="s">
        <v>5689</v>
      </c>
      <c r="F2918" s="204" t="s">
        <v>20778</v>
      </c>
      <c r="G2918" s="204" t="s">
        <v>20779</v>
      </c>
      <c r="H2918" s="218"/>
      <c r="I2918" s="169">
        <v>118675</v>
      </c>
      <c r="J2918" s="304" t="str">
        <f>CONCATENATE([2]Cover!$D$6,"fdd/view?i=",I2918)</f>
        <v>https://www.dgiwg.org/FAD/fdd/view?i=118675</v>
      </c>
      <c r="K2918" s="304" t="s">
        <v>36967</v>
      </c>
      <c r="L2918" s="202">
        <v>2</v>
      </c>
      <c r="M2918" s="179" t="s">
        <v>151</v>
      </c>
    </row>
    <row r="2919" spans="1:13" ht="114.75">
      <c r="A2919" s="313" t="str">
        <f t="shared" si="45"/>
        <v>EarthquakeMagTypeCode_durationMagnitude</v>
      </c>
      <c r="B2919" s="330"/>
      <c r="C2919" s="334"/>
      <c r="D2919" s="188" t="s">
        <v>20780</v>
      </c>
      <c r="E2919" s="189" t="s">
        <v>20781</v>
      </c>
      <c r="F2919" s="162" t="s">
        <v>20782</v>
      </c>
      <c r="G2919" s="162" t="s">
        <v>20783</v>
      </c>
      <c r="H2919" s="219"/>
      <c r="I2919" s="169">
        <v>118680</v>
      </c>
      <c r="J2919" s="304" t="str">
        <f>CONCATENATE([2]Cover!$D$6,"fdd/view?i=",I2919)</f>
        <v>https://www.dgiwg.org/FAD/fdd/view?i=118680</v>
      </c>
      <c r="K2919" s="304" t="s">
        <v>36968</v>
      </c>
      <c r="L2919" s="188">
        <v>7</v>
      </c>
      <c r="M2919" s="179" t="s">
        <v>151</v>
      </c>
    </row>
    <row r="2920" spans="1:13" ht="204">
      <c r="A2920" s="313" t="str">
        <f t="shared" si="45"/>
        <v>EarthquakeMagTypeCode_energyMagnitude</v>
      </c>
      <c r="B2920" s="330"/>
      <c r="C2920" s="334"/>
      <c r="D2920" s="188" t="s">
        <v>20784</v>
      </c>
      <c r="E2920" s="189" t="s">
        <v>20785</v>
      </c>
      <c r="F2920" s="162" t="s">
        <v>20786</v>
      </c>
      <c r="G2920" s="162" t="s">
        <v>20787</v>
      </c>
      <c r="H2920" s="219"/>
      <c r="I2920" s="169">
        <v>118677</v>
      </c>
      <c r="J2920" s="304" t="str">
        <f>CONCATENATE([2]Cover!$D$6,"fdd/view?i=",I2920)</f>
        <v>https://www.dgiwg.org/FAD/fdd/view?i=118677</v>
      </c>
      <c r="K2920" s="304" t="s">
        <v>36969</v>
      </c>
      <c r="L2920" s="188">
        <v>4</v>
      </c>
      <c r="M2920" s="179" t="s">
        <v>151</v>
      </c>
    </row>
    <row r="2921" spans="1:13" ht="114.75">
      <c r="A2921" s="313" t="str">
        <f t="shared" si="45"/>
        <v>EarthquakeMagTypeCode_feltAreaMagnitude</v>
      </c>
      <c r="B2921" s="330"/>
      <c r="C2921" s="334"/>
      <c r="D2921" s="188" t="s">
        <v>20788</v>
      </c>
      <c r="E2921" s="189" t="s">
        <v>20789</v>
      </c>
      <c r="F2921" s="162" t="s">
        <v>20790</v>
      </c>
      <c r="G2921" s="162" t="s">
        <v>20791</v>
      </c>
      <c r="H2921" s="219"/>
      <c r="I2921" s="169">
        <v>118681</v>
      </c>
      <c r="J2921" s="304" t="str">
        <f>CONCATENATE([2]Cover!$D$6,"fdd/view?i=",I2921)</f>
        <v>https://www.dgiwg.org/FAD/fdd/view?i=118681</v>
      </c>
      <c r="K2921" s="304" t="s">
        <v>36970</v>
      </c>
      <c r="L2921" s="188">
        <v>8</v>
      </c>
      <c r="M2921" s="179" t="s">
        <v>151</v>
      </c>
    </row>
    <row r="2922" spans="1:13" ht="191.25">
      <c r="A2922" s="313" t="str">
        <f t="shared" si="45"/>
        <v>EarthquakeMagTypeCode_localMagnitude</v>
      </c>
      <c r="B2922" s="330"/>
      <c r="C2922" s="334"/>
      <c r="D2922" s="188" t="s">
        <v>20792</v>
      </c>
      <c r="E2922" s="189" t="s">
        <v>20793</v>
      </c>
      <c r="F2922" s="162" t="s">
        <v>20794</v>
      </c>
      <c r="G2922" s="162" t="s">
        <v>20795</v>
      </c>
      <c r="H2922" s="221" t="s">
        <v>20796</v>
      </c>
      <c r="I2922" s="169">
        <v>118678</v>
      </c>
      <c r="J2922" s="304" t="str">
        <f>CONCATENATE([2]Cover!$D$6,"fdd/view?i=",I2922)</f>
        <v>https://www.dgiwg.org/FAD/fdd/view?i=118678</v>
      </c>
      <c r="K2922" s="304" t="s">
        <v>36971</v>
      </c>
      <c r="L2922" s="188">
        <v>5</v>
      </c>
      <c r="M2922" s="179" t="s">
        <v>151</v>
      </c>
    </row>
    <row r="2923" spans="1:13" ht="114.75">
      <c r="A2923" s="313" t="str">
        <f t="shared" si="45"/>
        <v>EarthquakeMagTypeCode_localRegionalMagnitude</v>
      </c>
      <c r="B2923" s="330"/>
      <c r="C2923" s="334"/>
      <c r="D2923" s="188" t="s">
        <v>20797</v>
      </c>
      <c r="E2923" s="189" t="s">
        <v>20798</v>
      </c>
      <c r="F2923" s="162" t="s">
        <v>20799</v>
      </c>
      <c r="G2923" s="162" t="s">
        <v>20800</v>
      </c>
      <c r="H2923" s="219"/>
      <c r="I2923" s="169">
        <v>118679</v>
      </c>
      <c r="J2923" s="304" t="str">
        <f>CONCATENATE([2]Cover!$D$6,"fdd/view?i=",I2923)</f>
        <v>https://www.dgiwg.org/FAD/fdd/view?i=118679</v>
      </c>
      <c r="K2923" s="304" t="s">
        <v>36972</v>
      </c>
      <c r="L2923" s="188">
        <v>6</v>
      </c>
      <c r="M2923" s="179" t="s">
        <v>151</v>
      </c>
    </row>
    <row r="2924" spans="1:13" ht="127.5">
      <c r="A2924" s="313" t="str">
        <f t="shared" si="45"/>
        <v>EarthquakeMagTypeCode_momentMagnitude</v>
      </c>
      <c r="B2924" s="330"/>
      <c r="C2924" s="334"/>
      <c r="D2924" s="188" t="s">
        <v>20801</v>
      </c>
      <c r="E2924" s="189" t="s">
        <v>20802</v>
      </c>
      <c r="F2924" s="162" t="s">
        <v>20803</v>
      </c>
      <c r="G2924" s="162" t="s">
        <v>20804</v>
      </c>
      <c r="H2924" s="219"/>
      <c r="I2924" s="169">
        <v>118676</v>
      </c>
      <c r="J2924" s="304" t="str">
        <f>CONCATENATE([2]Cover!$D$6,"fdd/view?i=",I2924)</f>
        <v>https://www.dgiwg.org/FAD/fdd/view?i=118676</v>
      </c>
      <c r="K2924" s="304" t="s">
        <v>36973</v>
      </c>
      <c r="L2924" s="188">
        <v>3</v>
      </c>
      <c r="M2924" s="179" t="s">
        <v>151</v>
      </c>
    </row>
    <row r="2925" spans="1:13" ht="229.5">
      <c r="A2925" s="313" t="str">
        <f t="shared" si="45"/>
        <v>EarthquakeMagTypeCode_surfaceWaveMagnitude</v>
      </c>
      <c r="B2925" s="331"/>
      <c r="C2925" s="335"/>
      <c r="D2925" s="181" t="s">
        <v>10461</v>
      </c>
      <c r="E2925" s="192" t="s">
        <v>10462</v>
      </c>
      <c r="F2925" s="193" t="s">
        <v>20805</v>
      </c>
      <c r="G2925" s="193" t="s">
        <v>20806</v>
      </c>
      <c r="H2925" s="220"/>
      <c r="I2925" s="169">
        <v>118674</v>
      </c>
      <c r="J2925" s="304" t="str">
        <f>CONCATENATE([2]Cover!$D$6,"fdd/view?i=",I2925)</f>
        <v>https://www.dgiwg.org/FAD/fdd/view?i=118674</v>
      </c>
      <c r="K2925" s="304" t="s">
        <v>36974</v>
      </c>
      <c r="L2925" s="181">
        <v>1</v>
      </c>
      <c r="M2925" s="179" t="s">
        <v>151</v>
      </c>
    </row>
    <row r="2926" spans="1:13" ht="25.5">
      <c r="A2926" s="313" t="str">
        <f t="shared" si="45"/>
        <v>EconomicReserveBasisCode_agricultural</v>
      </c>
      <c r="B2926" s="332" t="str">
        <f>HYPERLINK("[#]Datatypes!A482:L482","EconomicReserveBasisCode")</f>
        <v>EconomicReserveBasisCode</v>
      </c>
      <c r="C2926" s="333" t="s">
        <v>12012</v>
      </c>
      <c r="D2926" s="202" t="s">
        <v>20807</v>
      </c>
      <c r="E2926" s="203" t="s">
        <v>20808</v>
      </c>
      <c r="F2926" s="204" t="s">
        <v>20809</v>
      </c>
      <c r="G2926" s="205"/>
      <c r="H2926" s="218"/>
      <c r="I2926" s="169">
        <v>111816</v>
      </c>
      <c r="J2926" s="304" t="str">
        <f>CONCATENATE([2]Cover!$D$6,"fdd/view?i=",I2926)</f>
        <v>https://www.dgiwg.org/FAD/fdd/view?i=111816</v>
      </c>
      <c r="K2926" s="304" t="s">
        <v>36975</v>
      </c>
      <c r="L2926" s="202">
        <v>1</v>
      </c>
      <c r="M2926" s="179" t="s">
        <v>151</v>
      </c>
    </row>
    <row r="2927" spans="1:13" ht="25.5">
      <c r="A2927" s="313" t="str">
        <f t="shared" si="45"/>
        <v>EconomicReserveBasisCode_hunting</v>
      </c>
      <c r="B2927" s="330"/>
      <c r="C2927" s="334"/>
      <c r="D2927" s="188" t="s">
        <v>20810</v>
      </c>
      <c r="E2927" s="189" t="s">
        <v>20811</v>
      </c>
      <c r="F2927" s="162" t="s">
        <v>20812</v>
      </c>
      <c r="G2927" s="190"/>
      <c r="H2927" s="219"/>
      <c r="I2927" s="169">
        <v>111818</v>
      </c>
      <c r="J2927" s="304" t="str">
        <f>CONCATENATE([2]Cover!$D$6,"fdd/view?i=",I2927)</f>
        <v>https://www.dgiwg.org/FAD/fdd/view?i=111818</v>
      </c>
      <c r="K2927" s="304" t="s">
        <v>36976</v>
      </c>
      <c r="L2927" s="188">
        <v>2</v>
      </c>
      <c r="M2927" s="179" t="s">
        <v>151</v>
      </c>
    </row>
    <row r="2928" spans="1:13" ht="25.5">
      <c r="A2928" s="313" t="str">
        <f t="shared" si="45"/>
        <v>EconomicReserveBasisCode_palmTree</v>
      </c>
      <c r="B2928" s="331"/>
      <c r="C2928" s="335"/>
      <c r="D2928" s="181" t="s">
        <v>20813</v>
      </c>
      <c r="E2928" s="192" t="s">
        <v>20814</v>
      </c>
      <c r="F2928" s="193" t="s">
        <v>20815</v>
      </c>
      <c r="G2928" s="194"/>
      <c r="H2928" s="220"/>
      <c r="I2928" s="169">
        <v>111820</v>
      </c>
      <c r="J2928" s="304" t="str">
        <f>CONCATENATE([2]Cover!$D$6,"fdd/view?i=",I2928)</f>
        <v>https://www.dgiwg.org/FAD/fdd/view?i=111820</v>
      </c>
      <c r="K2928" s="304" t="s">
        <v>36977</v>
      </c>
      <c r="L2928" s="181">
        <v>3</v>
      </c>
      <c r="M2928" s="179" t="s">
        <v>151</v>
      </c>
    </row>
    <row r="2929" spans="1:13" ht="38.25">
      <c r="A2929" s="313" t="str">
        <f t="shared" si="45"/>
        <v>ElecPowerManageRegionTypeCode_energyControlRegion</v>
      </c>
      <c r="B2929" s="332" t="str">
        <f>HYPERLINK("[#]Datatypes!A484:L484","ElecPowerManageRegionTypeCode")</f>
        <v>ElecPowerManageRegionTypeCode</v>
      </c>
      <c r="C2929" s="333" t="s">
        <v>12014</v>
      </c>
      <c r="D2929" s="202" t="s">
        <v>20816</v>
      </c>
      <c r="E2929" s="203" t="s">
        <v>20817</v>
      </c>
      <c r="F2929" s="204" t="s">
        <v>20818</v>
      </c>
      <c r="G2929" s="205"/>
      <c r="H2929" s="218"/>
      <c r="I2929" s="169">
        <v>204535</v>
      </c>
      <c r="J2929" s="304" t="str">
        <f>CONCATENATE([2]Cover!$D$6,"fdd/view?i=",I2929)</f>
        <v>https://www.dgiwg.org/FAD/fdd/view?i=204535</v>
      </c>
      <c r="K2929" s="304" t="s">
        <v>36978</v>
      </c>
      <c r="L2929" s="202">
        <v>1</v>
      </c>
      <c r="M2929" s="179" t="s">
        <v>1295</v>
      </c>
    </row>
    <row r="2930" spans="1:13" ht="191.25">
      <c r="A2930" s="313" t="str">
        <f t="shared" si="45"/>
        <v>ElecPowerManageRegionTypeCode_independentSysOpRegion</v>
      </c>
      <c r="B2930" s="330"/>
      <c r="C2930" s="334"/>
      <c r="D2930" s="188" t="s">
        <v>20819</v>
      </c>
      <c r="E2930" s="189" t="s">
        <v>20820</v>
      </c>
      <c r="F2930" s="162" t="s">
        <v>20821</v>
      </c>
      <c r="G2930" s="162" t="s">
        <v>20822</v>
      </c>
      <c r="H2930" s="219"/>
      <c r="I2930" s="169">
        <v>204536</v>
      </c>
      <c r="J2930" s="304" t="str">
        <f>CONCATENATE([2]Cover!$D$6,"fdd/view?i=",I2930)</f>
        <v>https://www.dgiwg.org/FAD/fdd/view?i=204536</v>
      </c>
      <c r="K2930" s="304" t="s">
        <v>36979</v>
      </c>
      <c r="L2930" s="188">
        <v>2</v>
      </c>
      <c r="M2930" s="179" t="s">
        <v>1295</v>
      </c>
    </row>
    <row r="2931" spans="1:13" ht="191.25">
      <c r="A2931" s="313" t="str">
        <f t="shared" si="45"/>
        <v>ElecPowerManageRegionTypeCode_nercRegion</v>
      </c>
      <c r="B2931" s="330"/>
      <c r="C2931" s="334"/>
      <c r="D2931" s="188" t="s">
        <v>20823</v>
      </c>
      <c r="E2931" s="189" t="s">
        <v>20824</v>
      </c>
      <c r="F2931" s="162" t="s">
        <v>20825</v>
      </c>
      <c r="G2931" s="162" t="s">
        <v>20826</v>
      </c>
      <c r="H2931" s="219"/>
      <c r="I2931" s="169">
        <v>204537</v>
      </c>
      <c r="J2931" s="304" t="str">
        <f>CONCATENATE([2]Cover!$D$6,"fdd/view?i=",I2931)</f>
        <v>https://www.dgiwg.org/FAD/fdd/view?i=204537</v>
      </c>
      <c r="K2931" s="304" t="s">
        <v>36980</v>
      </c>
      <c r="L2931" s="188">
        <v>3</v>
      </c>
      <c r="M2931" s="179" t="s">
        <v>1295</v>
      </c>
    </row>
    <row r="2932" spans="1:13" ht="25.5">
      <c r="A2932" s="313" t="str">
        <f t="shared" si="45"/>
        <v>ElecPowerManageRegionTypeCode_nercSubregion</v>
      </c>
      <c r="B2932" s="330"/>
      <c r="C2932" s="334"/>
      <c r="D2932" s="188" t="s">
        <v>20827</v>
      </c>
      <c r="E2932" s="189" t="s">
        <v>20828</v>
      </c>
      <c r="F2932" s="162" t="s">
        <v>20829</v>
      </c>
      <c r="G2932" s="190"/>
      <c r="H2932" s="219"/>
      <c r="I2932" s="169">
        <v>204538</v>
      </c>
      <c r="J2932" s="304" t="str">
        <f>CONCATENATE([2]Cover!$D$6,"fdd/view?i=",I2932)</f>
        <v>https://www.dgiwg.org/FAD/fdd/view?i=204538</v>
      </c>
      <c r="K2932" s="304" t="s">
        <v>36981</v>
      </c>
      <c r="L2932" s="188">
        <v>4</v>
      </c>
      <c r="M2932" s="179" t="s">
        <v>1295</v>
      </c>
    </row>
    <row r="2933" spans="1:13" ht="51">
      <c r="A2933" s="313" t="str">
        <f t="shared" si="45"/>
        <v>ElecPowerManageRegionTypeCode_serviceTerritory</v>
      </c>
      <c r="B2933" s="331"/>
      <c r="C2933" s="335"/>
      <c r="D2933" s="181" t="s">
        <v>20830</v>
      </c>
      <c r="E2933" s="192" t="s">
        <v>20831</v>
      </c>
      <c r="F2933" s="193" t="s">
        <v>20832</v>
      </c>
      <c r="G2933" s="193" t="s">
        <v>20833</v>
      </c>
      <c r="H2933" s="220"/>
      <c r="I2933" s="169">
        <v>204539</v>
      </c>
      <c r="J2933" s="304" t="str">
        <f>CONCATENATE([2]Cover!$D$6,"fdd/view?i=",I2933)</f>
        <v>https://www.dgiwg.org/FAD/fdd/view?i=204539</v>
      </c>
      <c r="K2933" s="304" t="s">
        <v>36982</v>
      </c>
      <c r="L2933" s="181">
        <v>5</v>
      </c>
      <c r="M2933" s="179" t="s">
        <v>1295</v>
      </c>
    </row>
    <row r="2934" spans="1:13" ht="25.5">
      <c r="A2934" s="313" t="str">
        <f t="shared" si="45"/>
        <v>ElevationAccuracyCategoryCode_accurate</v>
      </c>
      <c r="B2934" s="332" t="str">
        <f>HYPERLINK("[#]Datatypes!A486:L486","ElevationAccuracyCategoryCode")</f>
        <v>ElevationAccuracyCategoryCode</v>
      </c>
      <c r="C2934" s="333" t="s">
        <v>12016</v>
      </c>
      <c r="D2934" s="202" t="s">
        <v>20834</v>
      </c>
      <c r="E2934" s="203" t="s">
        <v>20835</v>
      </c>
      <c r="F2934" s="204" t="s">
        <v>20836</v>
      </c>
      <c r="G2934" s="205"/>
      <c r="H2934" s="218"/>
      <c r="I2934" s="169">
        <v>103461</v>
      </c>
      <c r="J2934" s="304" t="str">
        <f>CONCATENATE([2]Cover!$D$6,"fdd/view?i=",I2934)</f>
        <v>https://www.dgiwg.org/FAD/fdd/view?i=103461</v>
      </c>
      <c r="K2934" s="304" t="s">
        <v>36983</v>
      </c>
      <c r="L2934" s="202">
        <v>1</v>
      </c>
      <c r="M2934" s="179" t="s">
        <v>151</v>
      </c>
    </row>
    <row r="2935" spans="1:13" ht="25.5">
      <c r="A2935" s="313" t="str">
        <f t="shared" si="45"/>
        <v>ElevationAccuracyCategoryCode_approximate</v>
      </c>
      <c r="B2935" s="331"/>
      <c r="C2935" s="335"/>
      <c r="D2935" s="181" t="s">
        <v>20837</v>
      </c>
      <c r="E2935" s="192" t="s">
        <v>20838</v>
      </c>
      <c r="F2935" s="193" t="s">
        <v>20839</v>
      </c>
      <c r="G2935" s="194"/>
      <c r="H2935" s="220"/>
      <c r="I2935" s="169">
        <v>103462</v>
      </c>
      <c r="J2935" s="304" t="str">
        <f>CONCATENATE([2]Cover!$D$6,"fdd/view?i=",I2935)</f>
        <v>https://www.dgiwg.org/FAD/fdd/view?i=103462</v>
      </c>
      <c r="K2935" s="304" t="s">
        <v>36984</v>
      </c>
      <c r="L2935" s="181">
        <v>2</v>
      </c>
      <c r="M2935" s="179" t="s">
        <v>151</v>
      </c>
    </row>
    <row r="2936" spans="1:13" ht="25.5">
      <c r="A2936" s="313" t="str">
        <f t="shared" si="45"/>
        <v>ElevationSurfaceCategoryCode_inlandWater</v>
      </c>
      <c r="B2936" s="332" t="str">
        <f>HYPERLINK("[#]Datatypes!A495:L495","ElevationSurfaceCategoryCode")</f>
        <v>ElevationSurfaceCategoryCode</v>
      </c>
      <c r="C2936" s="333" t="s">
        <v>12036</v>
      </c>
      <c r="D2936" s="202" t="s">
        <v>20840</v>
      </c>
      <c r="E2936" s="203" t="s">
        <v>20841</v>
      </c>
      <c r="F2936" s="204" t="s">
        <v>20842</v>
      </c>
      <c r="G2936" s="204" t="s">
        <v>20843</v>
      </c>
      <c r="H2936" s="218"/>
      <c r="I2936" s="169">
        <v>111830</v>
      </c>
      <c r="J2936" s="304" t="str">
        <f>CONCATENATE([2]Cover!$D$6,"fdd/view?i=",I2936)</f>
        <v>https://www.dgiwg.org/FAD/fdd/view?i=111830</v>
      </c>
      <c r="K2936" s="304" t="s">
        <v>36985</v>
      </c>
      <c r="L2936" s="202">
        <v>5</v>
      </c>
      <c r="M2936" s="179" t="s">
        <v>151</v>
      </c>
    </row>
    <row r="2937" spans="1:13" ht="25.5">
      <c r="A2937" s="313" t="str">
        <f t="shared" si="45"/>
        <v>ElevationSurfaceCategoryCode_land</v>
      </c>
      <c r="B2937" s="330"/>
      <c r="C2937" s="334"/>
      <c r="D2937" s="188" t="s">
        <v>20844</v>
      </c>
      <c r="E2937" s="189" t="s">
        <v>20845</v>
      </c>
      <c r="F2937" s="162" t="s">
        <v>20846</v>
      </c>
      <c r="G2937" s="162" t="s">
        <v>20847</v>
      </c>
      <c r="H2937" s="219"/>
      <c r="I2937" s="169">
        <v>111822</v>
      </c>
      <c r="J2937" s="304" t="str">
        <f>CONCATENATE([2]Cover!$D$6,"fdd/view?i=",I2937)</f>
        <v>https://www.dgiwg.org/FAD/fdd/view?i=111822</v>
      </c>
      <c r="K2937" s="304" t="s">
        <v>36986</v>
      </c>
      <c r="L2937" s="188">
        <v>1</v>
      </c>
      <c r="M2937" s="179" t="s">
        <v>151</v>
      </c>
    </row>
    <row r="2938" spans="1:13" ht="25.5">
      <c r="A2938" s="313" t="str">
        <f t="shared" si="45"/>
        <v>ElevationSurfaceCategoryCode_snowIceField</v>
      </c>
      <c r="B2938" s="330"/>
      <c r="C2938" s="334"/>
      <c r="D2938" s="188" t="s">
        <v>20848</v>
      </c>
      <c r="E2938" s="189" t="s">
        <v>3960</v>
      </c>
      <c r="F2938" s="162" t="s">
        <v>20849</v>
      </c>
      <c r="G2938" s="162" t="s">
        <v>20850</v>
      </c>
      <c r="H2938" s="219"/>
      <c r="I2938" s="169">
        <v>111824</v>
      </c>
      <c r="J2938" s="304" t="str">
        <f>CONCATENATE([2]Cover!$D$6,"fdd/view?i=",I2938)</f>
        <v>https://www.dgiwg.org/FAD/fdd/view?i=111824</v>
      </c>
      <c r="K2938" s="304" t="s">
        <v>36987</v>
      </c>
      <c r="L2938" s="188">
        <v>2</v>
      </c>
      <c r="M2938" s="179" t="s">
        <v>151</v>
      </c>
    </row>
    <row r="2939" spans="1:13" ht="25.5">
      <c r="A2939" s="313" t="str">
        <f t="shared" si="45"/>
        <v>ElevationSurfaceCategoryCode_tidalWater</v>
      </c>
      <c r="B2939" s="330"/>
      <c r="C2939" s="334"/>
      <c r="D2939" s="188" t="s">
        <v>20851</v>
      </c>
      <c r="E2939" s="189" t="s">
        <v>4267</v>
      </c>
      <c r="F2939" s="162" t="s">
        <v>20852</v>
      </c>
      <c r="G2939" s="162" t="s">
        <v>20853</v>
      </c>
      <c r="H2939" s="219"/>
      <c r="I2939" s="169">
        <v>207947</v>
      </c>
      <c r="J2939" s="304" t="str">
        <f>CONCATENATE([2]Cover!$D$6,"fdd/view?i=",I2939)</f>
        <v>https://www.dgiwg.org/FAD/fdd/view?i=207947</v>
      </c>
      <c r="K2939" s="304" t="s">
        <v>36988</v>
      </c>
      <c r="L2939" s="188">
        <v>6</v>
      </c>
      <c r="M2939" s="179" t="s">
        <v>1295</v>
      </c>
    </row>
    <row r="2940" spans="1:13" ht="38.25">
      <c r="A2940" s="313" t="str">
        <f t="shared" si="45"/>
        <v>ElevationSurfaceCategoryCode_vegetation</v>
      </c>
      <c r="B2940" s="331"/>
      <c r="C2940" s="335"/>
      <c r="D2940" s="181" t="s">
        <v>20854</v>
      </c>
      <c r="E2940" s="192" t="s">
        <v>20855</v>
      </c>
      <c r="F2940" s="193" t="s">
        <v>20856</v>
      </c>
      <c r="G2940" s="193" t="s">
        <v>20857</v>
      </c>
      <c r="H2940" s="220"/>
      <c r="I2940" s="169">
        <v>111828</v>
      </c>
      <c r="J2940" s="304" t="str">
        <f>CONCATENATE([2]Cover!$D$6,"fdd/view?i=",I2940)</f>
        <v>https://www.dgiwg.org/FAD/fdd/view?i=111828</v>
      </c>
      <c r="K2940" s="304" t="s">
        <v>36989</v>
      </c>
      <c r="L2940" s="181">
        <v>4</v>
      </c>
      <c r="M2940" s="179" t="s">
        <v>151</v>
      </c>
    </row>
    <row r="2941" spans="1:13" ht="25.5">
      <c r="A2941" s="313" t="str">
        <f t="shared" si="45"/>
        <v>EmbankmentTypeCode_divider</v>
      </c>
      <c r="B2941" s="332" t="str">
        <f>HYPERLINK("[#]Datatypes!A502:L502","EmbankmentTypeCode")</f>
        <v>EmbankmentTypeCode</v>
      </c>
      <c r="C2941" s="333" t="s">
        <v>12045</v>
      </c>
      <c r="D2941" s="202" t="s">
        <v>20858</v>
      </c>
      <c r="E2941" s="203" t="s">
        <v>20859</v>
      </c>
      <c r="F2941" s="204" t="s">
        <v>20860</v>
      </c>
      <c r="G2941" s="205"/>
      <c r="H2941" s="218"/>
      <c r="I2941" s="169">
        <v>118038</v>
      </c>
      <c r="J2941" s="304" t="str">
        <f>CONCATENATE([2]Cover!$D$6,"fdd/view?i=",I2941)</f>
        <v>https://www.dgiwg.org/FAD/fdd/view?i=118038</v>
      </c>
      <c r="K2941" s="304" t="s">
        <v>36990</v>
      </c>
      <c r="L2941" s="202">
        <v>6</v>
      </c>
      <c r="M2941" s="179" t="s">
        <v>151</v>
      </c>
    </row>
    <row r="2942" spans="1:13">
      <c r="A2942" s="313" t="str">
        <f t="shared" si="45"/>
        <v>EmbankmentTypeCode_dyke</v>
      </c>
      <c r="B2942" s="330"/>
      <c r="C2942" s="334"/>
      <c r="D2942" s="188" t="s">
        <v>20861</v>
      </c>
      <c r="E2942" s="189" t="s">
        <v>20862</v>
      </c>
      <c r="F2942" s="162" t="s">
        <v>20863</v>
      </c>
      <c r="G2942" s="190"/>
      <c r="H2942" s="221" t="s">
        <v>20864</v>
      </c>
      <c r="I2942" s="169">
        <v>108117</v>
      </c>
      <c r="J2942" s="304" t="str">
        <f>CONCATENATE([2]Cover!$D$6,"fdd/view?i=",I2942)</f>
        <v>https://www.dgiwg.org/FAD/fdd/view?i=108117</v>
      </c>
      <c r="K2942" s="304" t="s">
        <v>36991</v>
      </c>
      <c r="L2942" s="188">
        <v>3</v>
      </c>
      <c r="M2942" s="179" t="s">
        <v>151</v>
      </c>
    </row>
    <row r="2943" spans="1:13" ht="51">
      <c r="A2943" s="313" t="str">
        <f t="shared" si="45"/>
        <v>EmbankmentTypeCode_fill</v>
      </c>
      <c r="B2943" s="330"/>
      <c r="C2943" s="334"/>
      <c r="D2943" s="188" t="s">
        <v>20865</v>
      </c>
      <c r="E2943" s="189" t="s">
        <v>20866</v>
      </c>
      <c r="F2943" s="162" t="s">
        <v>20867</v>
      </c>
      <c r="G2943" s="162" t="s">
        <v>20868</v>
      </c>
      <c r="H2943" s="219"/>
      <c r="I2943" s="169">
        <v>103691</v>
      </c>
      <c r="J2943" s="304" t="str">
        <f>CONCATENATE([2]Cover!$D$6,"fdd/view?i=",I2943)</f>
        <v>https://www.dgiwg.org/FAD/fdd/view?i=103691</v>
      </c>
      <c r="K2943" s="304" t="s">
        <v>36992</v>
      </c>
      <c r="L2943" s="188">
        <v>2</v>
      </c>
      <c r="M2943" s="179" t="s">
        <v>151</v>
      </c>
    </row>
    <row r="2944" spans="1:13" ht="25.5">
      <c r="A2944" s="313" t="str">
        <f t="shared" si="45"/>
        <v>EmbankmentTypeCode_levee</v>
      </c>
      <c r="B2944" s="330"/>
      <c r="C2944" s="334"/>
      <c r="D2944" s="188" t="s">
        <v>20869</v>
      </c>
      <c r="E2944" s="189" t="s">
        <v>20870</v>
      </c>
      <c r="F2944" s="162" t="s">
        <v>20871</v>
      </c>
      <c r="G2944" s="190"/>
      <c r="H2944" s="219"/>
      <c r="I2944" s="169">
        <v>112732</v>
      </c>
      <c r="J2944" s="304" t="str">
        <f>CONCATENATE([2]Cover!$D$6,"fdd/view?i=",I2944)</f>
        <v>https://www.dgiwg.org/FAD/fdd/view?i=112732</v>
      </c>
      <c r="K2944" s="304" t="s">
        <v>36993</v>
      </c>
      <c r="L2944" s="188">
        <v>5</v>
      </c>
      <c r="M2944" s="179" t="s">
        <v>151</v>
      </c>
    </row>
    <row r="2945" spans="1:13" ht="25.5">
      <c r="A2945" s="313" t="str">
        <f t="shared" si="45"/>
        <v>EmbankmentTypeCode_mound</v>
      </c>
      <c r="B2945" s="331"/>
      <c r="C2945" s="335"/>
      <c r="D2945" s="181" t="s">
        <v>20872</v>
      </c>
      <c r="E2945" s="192" t="s">
        <v>20873</v>
      </c>
      <c r="F2945" s="193" t="s">
        <v>20874</v>
      </c>
      <c r="G2945" s="193" t="s">
        <v>20875</v>
      </c>
      <c r="H2945" s="220"/>
      <c r="I2945" s="169">
        <v>103690</v>
      </c>
      <c r="J2945" s="304" t="str">
        <f>CONCATENATE([2]Cover!$D$6,"fdd/view?i=",I2945)</f>
        <v>https://www.dgiwg.org/FAD/fdd/view?i=103690</v>
      </c>
      <c r="K2945" s="304" t="s">
        <v>36994</v>
      </c>
      <c r="L2945" s="181">
        <v>1</v>
      </c>
      <c r="M2945" s="179" t="s">
        <v>151</v>
      </c>
    </row>
    <row r="2946" spans="1:13" ht="63.75">
      <c r="A2946" s="313" t="str">
        <f t="shared" si="45"/>
        <v>EmergencyPlanningZoneTypeCode_radIngestionExposure</v>
      </c>
      <c r="B2946" s="332" t="str">
        <f>HYPERLINK("[#]Datatypes!A504:L504","EmergencyPlanningZoneTypeCode")</f>
        <v>EmergencyPlanningZoneTypeCode</v>
      </c>
      <c r="C2946" s="333" t="s">
        <v>12047</v>
      </c>
      <c r="D2946" s="202" t="s">
        <v>20876</v>
      </c>
      <c r="E2946" s="203" t="s">
        <v>20877</v>
      </c>
      <c r="F2946" s="204" t="s">
        <v>20878</v>
      </c>
      <c r="G2946" s="204" t="s">
        <v>20879</v>
      </c>
      <c r="H2946" s="218"/>
      <c r="I2946" s="169">
        <v>204540</v>
      </c>
      <c r="J2946" s="304" t="str">
        <f>CONCATENATE([2]Cover!$D$6,"fdd/view?i=",I2946)</f>
        <v>https://www.dgiwg.org/FAD/fdd/view?i=204540</v>
      </c>
      <c r="K2946" s="304" t="s">
        <v>36995</v>
      </c>
      <c r="L2946" s="202">
        <v>1</v>
      </c>
      <c r="M2946" s="179" t="s">
        <v>1295</v>
      </c>
    </row>
    <row r="2947" spans="1:13" ht="89.25">
      <c r="A2947" s="313" t="str">
        <f t="shared" ref="A2947:A3010" si="46">HYPERLINK(J2947,K2947)</f>
        <v>EmergencyPlanningZoneTypeCode_radPlumeExposure</v>
      </c>
      <c r="B2947" s="331"/>
      <c r="C2947" s="335"/>
      <c r="D2947" s="181" t="s">
        <v>20880</v>
      </c>
      <c r="E2947" s="192" t="s">
        <v>20881</v>
      </c>
      <c r="F2947" s="193" t="s">
        <v>20882</v>
      </c>
      <c r="G2947" s="193" t="s">
        <v>20883</v>
      </c>
      <c r="H2947" s="220"/>
      <c r="I2947" s="169">
        <v>204541</v>
      </c>
      <c r="J2947" s="304" t="str">
        <f>CONCATENATE([2]Cover!$D$6,"fdd/view?i=",I2947)</f>
        <v>https://www.dgiwg.org/FAD/fdd/view?i=204541</v>
      </c>
      <c r="K2947" s="304" t="s">
        <v>36996</v>
      </c>
      <c r="L2947" s="181">
        <v>2</v>
      </c>
      <c r="M2947" s="179" t="s">
        <v>1295</v>
      </c>
    </row>
    <row r="2948" spans="1:13" ht="38.25">
      <c r="A2948" s="313" t="str">
        <f t="shared" si="46"/>
        <v>EmergResponseVehicleTypeCode_bulldozer</v>
      </c>
      <c r="B2948" s="332" t="str">
        <f>HYPERLINK("[#]Datatypes!A506:L506","EmergResponseVehicleTypeCode")</f>
        <v>EmergResponseVehicleTypeCode</v>
      </c>
      <c r="C2948" s="333" t="s">
        <v>12049</v>
      </c>
      <c r="D2948" s="202" t="s">
        <v>20884</v>
      </c>
      <c r="E2948" s="203" t="s">
        <v>20885</v>
      </c>
      <c r="F2948" s="204" t="s">
        <v>20886</v>
      </c>
      <c r="G2948" s="204" t="s">
        <v>20887</v>
      </c>
      <c r="H2948" s="218"/>
      <c r="I2948" s="169">
        <v>207707</v>
      </c>
      <c r="J2948" s="304" t="str">
        <f>CONCATENATE([2]Cover!$D$6,"fdd/view?i=",I2948)</f>
        <v>https://www.dgiwg.org/FAD/fdd/view?i=207707</v>
      </c>
      <c r="K2948" s="304" t="s">
        <v>36997</v>
      </c>
      <c r="L2948" s="202">
        <v>1</v>
      </c>
      <c r="M2948" s="179" t="s">
        <v>1295</v>
      </c>
    </row>
    <row r="2949" spans="1:13" ht="38.25">
      <c r="A2949" s="313" t="str">
        <f t="shared" si="46"/>
        <v>EmergResponseVehicleTypeCode_crane</v>
      </c>
      <c r="B2949" s="330"/>
      <c r="C2949" s="334"/>
      <c r="D2949" s="188" t="s">
        <v>18141</v>
      </c>
      <c r="E2949" s="189" t="s">
        <v>1942</v>
      </c>
      <c r="F2949" s="162" t="s">
        <v>20888</v>
      </c>
      <c r="G2949" s="190"/>
      <c r="H2949" s="219"/>
      <c r="I2949" s="169">
        <v>207708</v>
      </c>
      <c r="J2949" s="304" t="str">
        <f>CONCATENATE([2]Cover!$D$6,"fdd/view?i=",I2949)</f>
        <v>https://www.dgiwg.org/FAD/fdd/view?i=207708</v>
      </c>
      <c r="K2949" s="304" t="s">
        <v>36998</v>
      </c>
      <c r="L2949" s="188">
        <v>2</v>
      </c>
      <c r="M2949" s="179" t="s">
        <v>1295</v>
      </c>
    </row>
    <row r="2950" spans="1:13" ht="63.75">
      <c r="A2950" s="313" t="str">
        <f t="shared" si="46"/>
        <v>EmergResponseVehicleTypeCode_crashTruck</v>
      </c>
      <c r="B2950" s="330"/>
      <c r="C2950" s="334"/>
      <c r="D2950" s="188" t="s">
        <v>20889</v>
      </c>
      <c r="E2950" s="189" t="s">
        <v>20890</v>
      </c>
      <c r="F2950" s="162" t="s">
        <v>20891</v>
      </c>
      <c r="G2950" s="162" t="s">
        <v>20892</v>
      </c>
      <c r="H2950" s="219"/>
      <c r="I2950" s="169">
        <v>207709</v>
      </c>
      <c r="J2950" s="304" t="str">
        <f>CONCATENATE([2]Cover!$D$6,"fdd/view?i=",I2950)</f>
        <v>https://www.dgiwg.org/FAD/fdd/view?i=207709</v>
      </c>
      <c r="K2950" s="304" t="s">
        <v>36999</v>
      </c>
      <c r="L2950" s="188">
        <v>3</v>
      </c>
      <c r="M2950" s="179" t="s">
        <v>1295</v>
      </c>
    </row>
    <row r="2951" spans="1:13" ht="38.25">
      <c r="A2951" s="313" t="str">
        <f t="shared" si="46"/>
        <v>EmergResponseVehicleTypeCode_demolitionVehicle</v>
      </c>
      <c r="B2951" s="330"/>
      <c r="C2951" s="334"/>
      <c r="D2951" s="188" t="s">
        <v>20893</v>
      </c>
      <c r="E2951" s="189" t="s">
        <v>20894</v>
      </c>
      <c r="F2951" s="162" t="s">
        <v>20895</v>
      </c>
      <c r="G2951" s="190"/>
      <c r="H2951" s="219"/>
      <c r="I2951" s="169">
        <v>207715</v>
      </c>
      <c r="J2951" s="304" t="str">
        <f>CONCATENATE([2]Cover!$D$6,"fdd/view?i=",I2951)</f>
        <v>https://www.dgiwg.org/FAD/fdd/view?i=207715</v>
      </c>
      <c r="K2951" s="304" t="s">
        <v>37000</v>
      </c>
      <c r="L2951" s="188">
        <v>9</v>
      </c>
      <c r="M2951" s="179" t="s">
        <v>1295</v>
      </c>
    </row>
    <row r="2952" spans="1:13" ht="38.25">
      <c r="A2952" s="313" t="str">
        <f t="shared" si="46"/>
        <v>EmergResponseVehicleTypeCode_fireEngine</v>
      </c>
      <c r="B2952" s="330"/>
      <c r="C2952" s="334"/>
      <c r="D2952" s="188" t="s">
        <v>20896</v>
      </c>
      <c r="E2952" s="189" t="s">
        <v>20897</v>
      </c>
      <c r="F2952" s="162" t="s">
        <v>20898</v>
      </c>
      <c r="G2952" s="190"/>
      <c r="H2952" s="221" t="s">
        <v>20899</v>
      </c>
      <c r="I2952" s="169">
        <v>207710</v>
      </c>
      <c r="J2952" s="304" t="str">
        <f>CONCATENATE([2]Cover!$D$6,"fdd/view?i=",I2952)</f>
        <v>https://www.dgiwg.org/FAD/fdd/view?i=207710</v>
      </c>
      <c r="K2952" s="304" t="s">
        <v>37001</v>
      </c>
      <c r="L2952" s="188">
        <v>4</v>
      </c>
      <c r="M2952" s="179" t="s">
        <v>1295</v>
      </c>
    </row>
    <row r="2953" spans="1:13" ht="51">
      <c r="A2953" s="313" t="str">
        <f t="shared" si="46"/>
        <v>EmergResponseVehicleTypeCode_frontEndLoader</v>
      </c>
      <c r="B2953" s="330"/>
      <c r="C2953" s="334"/>
      <c r="D2953" s="188" t="s">
        <v>20900</v>
      </c>
      <c r="E2953" s="189" t="s">
        <v>20901</v>
      </c>
      <c r="F2953" s="162" t="s">
        <v>20902</v>
      </c>
      <c r="G2953" s="162" t="s">
        <v>20903</v>
      </c>
      <c r="H2953" s="219"/>
      <c r="I2953" s="169">
        <v>207711</v>
      </c>
      <c r="J2953" s="304" t="str">
        <f>CONCATENATE([2]Cover!$D$6,"fdd/view?i=",I2953)</f>
        <v>https://www.dgiwg.org/FAD/fdd/view?i=207711</v>
      </c>
      <c r="K2953" s="304" t="s">
        <v>37002</v>
      </c>
      <c r="L2953" s="188">
        <v>5</v>
      </c>
      <c r="M2953" s="179" t="s">
        <v>1295</v>
      </c>
    </row>
    <row r="2954" spans="1:13" ht="25.5">
      <c r="A2954" s="313" t="str">
        <f t="shared" si="46"/>
        <v>EmergResponseVehicleTypeCode_salvageTrailer</v>
      </c>
      <c r="B2954" s="330"/>
      <c r="C2954" s="334"/>
      <c r="D2954" s="188" t="s">
        <v>20904</v>
      </c>
      <c r="E2954" s="189" t="s">
        <v>20905</v>
      </c>
      <c r="F2954" s="162" t="s">
        <v>20906</v>
      </c>
      <c r="G2954" s="162" t="s">
        <v>20907</v>
      </c>
      <c r="H2954" s="219"/>
      <c r="I2954" s="169">
        <v>207712</v>
      </c>
      <c r="J2954" s="304" t="str">
        <f>CONCATENATE([2]Cover!$D$6,"fdd/view?i=",I2954)</f>
        <v>https://www.dgiwg.org/FAD/fdd/view?i=207712</v>
      </c>
      <c r="K2954" s="304" t="s">
        <v>37003</v>
      </c>
      <c r="L2954" s="188">
        <v>6</v>
      </c>
      <c r="M2954" s="179" t="s">
        <v>1295</v>
      </c>
    </row>
    <row r="2955" spans="1:13" ht="51">
      <c r="A2955" s="313" t="str">
        <f t="shared" si="46"/>
        <v>EmergResponseVehicleTypeCode_snowRemovalVehicle</v>
      </c>
      <c r="B2955" s="330"/>
      <c r="C2955" s="334"/>
      <c r="D2955" s="188" t="s">
        <v>20908</v>
      </c>
      <c r="E2955" s="189" t="s">
        <v>20909</v>
      </c>
      <c r="F2955" s="162" t="s">
        <v>20910</v>
      </c>
      <c r="G2955" s="190"/>
      <c r="H2955" s="219"/>
      <c r="I2955" s="169">
        <v>207713</v>
      </c>
      <c r="J2955" s="304" t="str">
        <f>CONCATENATE([2]Cover!$D$6,"fdd/view?i=",I2955)</f>
        <v>https://www.dgiwg.org/FAD/fdd/view?i=207713</v>
      </c>
      <c r="K2955" s="304" t="s">
        <v>37004</v>
      </c>
      <c r="L2955" s="188">
        <v>7</v>
      </c>
      <c r="M2955" s="179" t="s">
        <v>1295</v>
      </c>
    </row>
    <row r="2956" spans="1:13" ht="25.5">
      <c r="A2956" s="313" t="str">
        <f t="shared" si="46"/>
        <v>EmergResponseVehicleTypeCode_towingTractor</v>
      </c>
      <c r="B2956" s="331"/>
      <c r="C2956" s="335"/>
      <c r="D2956" s="181" t="s">
        <v>20911</v>
      </c>
      <c r="E2956" s="192" t="s">
        <v>20912</v>
      </c>
      <c r="F2956" s="193" t="s">
        <v>20913</v>
      </c>
      <c r="G2956" s="194"/>
      <c r="H2956" s="220"/>
      <c r="I2956" s="169">
        <v>207714</v>
      </c>
      <c r="J2956" s="304" t="str">
        <f>CONCATENATE([2]Cover!$D$6,"fdd/view?i=",I2956)</f>
        <v>https://www.dgiwg.org/FAD/fdd/view?i=207714</v>
      </c>
      <c r="K2956" s="304" t="s">
        <v>37005</v>
      </c>
      <c r="L2956" s="181">
        <v>8</v>
      </c>
      <c r="M2956" s="179" t="s">
        <v>1295</v>
      </c>
    </row>
    <row r="2957" spans="1:13" ht="153">
      <c r="A2957" s="313" t="str">
        <f t="shared" si="46"/>
        <v>EngineTestCellTypeCode_jetEngineDismounted</v>
      </c>
      <c r="B2957" s="332" t="str">
        <f>HYPERLINK("[#]Datatypes!A508:L508","EngineTestCellTypeCode")</f>
        <v>EngineTestCellTypeCode</v>
      </c>
      <c r="C2957" s="333" t="s">
        <v>12051</v>
      </c>
      <c r="D2957" s="202" t="s">
        <v>20914</v>
      </c>
      <c r="E2957" s="203" t="s">
        <v>20915</v>
      </c>
      <c r="F2957" s="204" t="s">
        <v>20916</v>
      </c>
      <c r="G2957" s="204" t="s">
        <v>20917</v>
      </c>
      <c r="H2957" s="222" t="s">
        <v>20918</v>
      </c>
      <c r="I2957" s="169">
        <v>117981</v>
      </c>
      <c r="J2957" s="304" t="str">
        <f>CONCATENATE([2]Cover!$D$6,"fdd/view?i=",I2957)</f>
        <v>https://www.dgiwg.org/FAD/fdd/view?i=117981</v>
      </c>
      <c r="K2957" s="304" t="s">
        <v>37006</v>
      </c>
      <c r="L2957" s="202">
        <v>1</v>
      </c>
      <c r="M2957" s="179" t="s">
        <v>151</v>
      </c>
    </row>
    <row r="2958" spans="1:13" ht="153">
      <c r="A2958" s="313" t="str">
        <f t="shared" si="46"/>
        <v>EngineTestCellTypeCode_jetEngineMounted</v>
      </c>
      <c r="B2958" s="330"/>
      <c r="C2958" s="334"/>
      <c r="D2958" s="188" t="s">
        <v>20919</v>
      </c>
      <c r="E2958" s="189" t="s">
        <v>20920</v>
      </c>
      <c r="F2958" s="162" t="s">
        <v>20921</v>
      </c>
      <c r="G2958" s="162" t="s">
        <v>20922</v>
      </c>
      <c r="H2958" s="221" t="s">
        <v>20923</v>
      </c>
      <c r="I2958" s="169">
        <v>117982</v>
      </c>
      <c r="J2958" s="304" t="str">
        <f>CONCATENATE([2]Cover!$D$6,"fdd/view?i=",I2958)</f>
        <v>https://www.dgiwg.org/FAD/fdd/view?i=117982</v>
      </c>
      <c r="K2958" s="304" t="s">
        <v>37007</v>
      </c>
      <c r="L2958" s="188">
        <v>2</v>
      </c>
      <c r="M2958" s="179" t="s">
        <v>151</v>
      </c>
    </row>
    <row r="2959" spans="1:13" ht="127.5">
      <c r="A2959" s="313" t="str">
        <f t="shared" si="46"/>
        <v>EngineTestCellTypeCode_rocketEngineHorizontal</v>
      </c>
      <c r="B2959" s="330"/>
      <c r="C2959" s="334"/>
      <c r="D2959" s="188" t="s">
        <v>20924</v>
      </c>
      <c r="E2959" s="189" t="s">
        <v>20925</v>
      </c>
      <c r="F2959" s="162" t="s">
        <v>20926</v>
      </c>
      <c r="G2959" s="162" t="s">
        <v>20927</v>
      </c>
      <c r="H2959" s="221" t="s">
        <v>20928</v>
      </c>
      <c r="I2959" s="169">
        <v>117984</v>
      </c>
      <c r="J2959" s="304" t="str">
        <f>CONCATENATE([2]Cover!$D$6,"fdd/view?i=",I2959)</f>
        <v>https://www.dgiwg.org/FAD/fdd/view?i=117984</v>
      </c>
      <c r="K2959" s="304" t="s">
        <v>37008</v>
      </c>
      <c r="L2959" s="188">
        <v>4</v>
      </c>
      <c r="M2959" s="179" t="s">
        <v>151</v>
      </c>
    </row>
    <row r="2960" spans="1:13" ht="89.25">
      <c r="A2960" s="313" t="str">
        <f t="shared" si="46"/>
        <v>EngineTestCellTypeCode_rocketEngineUpright</v>
      </c>
      <c r="B2960" s="331"/>
      <c r="C2960" s="335"/>
      <c r="D2960" s="181" t="s">
        <v>20929</v>
      </c>
      <c r="E2960" s="192" t="s">
        <v>20930</v>
      </c>
      <c r="F2960" s="193" t="s">
        <v>20931</v>
      </c>
      <c r="G2960" s="193" t="s">
        <v>20932</v>
      </c>
      <c r="H2960" s="223" t="s">
        <v>20928</v>
      </c>
      <c r="I2960" s="169">
        <v>117983</v>
      </c>
      <c r="J2960" s="304" t="str">
        <f>CONCATENATE([2]Cover!$D$6,"fdd/view?i=",I2960)</f>
        <v>https://www.dgiwg.org/FAD/fdd/view?i=117983</v>
      </c>
      <c r="K2960" s="304" t="s">
        <v>37009</v>
      </c>
      <c r="L2960" s="181">
        <v>3</v>
      </c>
      <c r="M2960" s="179" t="s">
        <v>151</v>
      </c>
    </row>
    <row r="2961" spans="1:13" ht="25.5">
      <c r="A2961" s="313" t="str">
        <f t="shared" si="46"/>
        <v>EngineeredEarthworkTypeCode_battery</v>
      </c>
      <c r="B2961" s="332" t="str">
        <f>HYPERLINK("[#]Datatypes!A510:L510","EngineeredEarthworkTypeCode")</f>
        <v>EngineeredEarthworkTypeCode</v>
      </c>
      <c r="C2961" s="333" t="s">
        <v>12053</v>
      </c>
      <c r="D2961" s="202" t="s">
        <v>20933</v>
      </c>
      <c r="E2961" s="203" t="s">
        <v>20934</v>
      </c>
      <c r="F2961" s="204" t="s">
        <v>20935</v>
      </c>
      <c r="G2961" s="205"/>
      <c r="H2961" s="218"/>
      <c r="I2961" s="169">
        <v>118016</v>
      </c>
      <c r="J2961" s="304" t="str">
        <f>CONCATENATE([2]Cover!$D$6,"fdd/view?i=",I2961)</f>
        <v>https://www.dgiwg.org/FAD/fdd/view?i=118016</v>
      </c>
      <c r="K2961" s="304" t="s">
        <v>37010</v>
      </c>
      <c r="L2961" s="202">
        <v>1</v>
      </c>
      <c r="M2961" s="179" t="s">
        <v>151</v>
      </c>
    </row>
    <row r="2962" spans="1:13" ht="38.25">
      <c r="A2962" s="313" t="str">
        <f t="shared" si="46"/>
        <v>EngineeredEarthworkTypeCode_militaryParapet</v>
      </c>
      <c r="B2962" s="330"/>
      <c r="C2962" s="334"/>
      <c r="D2962" s="188" t="s">
        <v>20936</v>
      </c>
      <c r="E2962" s="189" t="s">
        <v>20937</v>
      </c>
      <c r="F2962" s="162" t="s">
        <v>20938</v>
      </c>
      <c r="G2962" s="190"/>
      <c r="H2962" s="219"/>
      <c r="I2962" s="169">
        <v>118017</v>
      </c>
      <c r="J2962" s="304" t="str">
        <f>CONCATENATE([2]Cover!$D$6,"fdd/view?i=",I2962)</f>
        <v>https://www.dgiwg.org/FAD/fdd/view?i=118017</v>
      </c>
      <c r="K2962" s="304" t="s">
        <v>37011</v>
      </c>
      <c r="L2962" s="188">
        <v>2</v>
      </c>
      <c r="M2962" s="179" t="s">
        <v>151</v>
      </c>
    </row>
    <row r="2963" spans="1:13" ht="51">
      <c r="A2963" s="313" t="str">
        <f t="shared" si="46"/>
        <v>EngineeredEarthworkTypeCode_militaryTrench</v>
      </c>
      <c r="B2963" s="330"/>
      <c r="C2963" s="334"/>
      <c r="D2963" s="188" t="s">
        <v>20939</v>
      </c>
      <c r="E2963" s="189" t="s">
        <v>20940</v>
      </c>
      <c r="F2963" s="162" t="s">
        <v>20941</v>
      </c>
      <c r="G2963" s="162" t="s">
        <v>20942</v>
      </c>
      <c r="H2963" s="219"/>
      <c r="I2963" s="169">
        <v>118018</v>
      </c>
      <c r="J2963" s="304" t="str">
        <f>CONCATENATE([2]Cover!$D$6,"fdd/view?i=",I2963)</f>
        <v>https://www.dgiwg.org/FAD/fdd/view?i=118018</v>
      </c>
      <c r="K2963" s="304" t="s">
        <v>37012</v>
      </c>
      <c r="L2963" s="188">
        <v>3</v>
      </c>
      <c r="M2963" s="179" t="s">
        <v>151</v>
      </c>
    </row>
    <row r="2964" spans="1:13" ht="25.5">
      <c r="A2964" s="313" t="str">
        <f t="shared" si="46"/>
        <v>EngineeredEarthworkTypeCode_rampart</v>
      </c>
      <c r="B2964" s="330"/>
      <c r="C2964" s="334"/>
      <c r="D2964" s="188" t="s">
        <v>20943</v>
      </c>
      <c r="E2964" s="189" t="s">
        <v>20944</v>
      </c>
      <c r="F2964" s="162" t="s">
        <v>20945</v>
      </c>
      <c r="G2964" s="190"/>
      <c r="H2964" s="219"/>
      <c r="I2964" s="169">
        <v>118019</v>
      </c>
      <c r="J2964" s="304" t="str">
        <f>CONCATENATE([2]Cover!$D$6,"fdd/view?i=",I2964)</f>
        <v>https://www.dgiwg.org/FAD/fdd/view?i=118019</v>
      </c>
      <c r="K2964" s="304" t="s">
        <v>37013</v>
      </c>
      <c r="L2964" s="188">
        <v>4</v>
      </c>
      <c r="M2964" s="179" t="s">
        <v>151</v>
      </c>
    </row>
    <row r="2965" spans="1:13" ht="51">
      <c r="A2965" s="313" t="str">
        <f t="shared" si="46"/>
        <v>EngineeredEarthworkTypeCode_redoubt</v>
      </c>
      <c r="B2965" s="331"/>
      <c r="C2965" s="335"/>
      <c r="D2965" s="181" t="s">
        <v>20946</v>
      </c>
      <c r="E2965" s="192" t="s">
        <v>20947</v>
      </c>
      <c r="F2965" s="193" t="s">
        <v>20948</v>
      </c>
      <c r="G2965" s="193" t="s">
        <v>20949</v>
      </c>
      <c r="H2965" s="220"/>
      <c r="I2965" s="169">
        <v>118020</v>
      </c>
      <c r="J2965" s="304" t="str">
        <f>CONCATENATE([2]Cover!$D$6,"fdd/view?i=",I2965)</f>
        <v>https://www.dgiwg.org/FAD/fdd/view?i=118020</v>
      </c>
      <c r="K2965" s="304" t="s">
        <v>37014</v>
      </c>
      <c r="L2965" s="181">
        <v>5</v>
      </c>
      <c r="M2965" s="179" t="s">
        <v>151</v>
      </c>
    </row>
    <row r="2966" spans="1:13" ht="89.25">
      <c r="A2966" s="313" t="str">
        <f t="shared" si="46"/>
        <v>EnhFujitaTornadoScaleCode_considerableDamage_EF2</v>
      </c>
      <c r="B2966" s="332" t="str">
        <f>HYPERLINK("[#]Datatypes!A512:L512","EnhFujitaTornadoScaleCode")</f>
        <v>EnhFujitaTornadoScaleCode</v>
      </c>
      <c r="C2966" s="333" t="s">
        <v>12055</v>
      </c>
      <c r="D2966" s="202" t="s">
        <v>20957</v>
      </c>
      <c r="E2966" s="203" t="s">
        <v>20958</v>
      </c>
      <c r="F2966" s="204" t="s">
        <v>20959</v>
      </c>
      <c r="G2966" s="204" t="s">
        <v>20953</v>
      </c>
      <c r="H2966" s="218"/>
      <c r="I2966" s="169">
        <v>119059</v>
      </c>
      <c r="J2966" s="304" t="str">
        <f>CONCATENATE([2]Cover!$D$6,"fdd/view?i=",I2966)</f>
        <v>https://www.dgiwg.org/FAD/fdd/view?i=119059</v>
      </c>
      <c r="K2966" s="304" t="s">
        <v>37015</v>
      </c>
      <c r="L2966" s="202">
        <v>3</v>
      </c>
      <c r="M2966" s="179" t="s">
        <v>151</v>
      </c>
    </row>
    <row r="2967" spans="1:13" ht="89.25">
      <c r="A2967" s="313" t="str">
        <f t="shared" si="46"/>
        <v>EnhFujitaTornadoScaleCode_devastatingDamage_EF4</v>
      </c>
      <c r="B2967" s="330"/>
      <c r="C2967" s="334"/>
      <c r="D2967" s="188" t="s">
        <v>20963</v>
      </c>
      <c r="E2967" s="189" t="s">
        <v>20964</v>
      </c>
      <c r="F2967" s="162" t="s">
        <v>20965</v>
      </c>
      <c r="G2967" s="162" t="s">
        <v>20953</v>
      </c>
      <c r="H2967" s="219"/>
      <c r="I2967" s="169">
        <v>119061</v>
      </c>
      <c r="J2967" s="304" t="str">
        <f>CONCATENATE([2]Cover!$D$6,"fdd/view?i=",I2967)</f>
        <v>https://www.dgiwg.org/FAD/fdd/view?i=119061</v>
      </c>
      <c r="K2967" s="304" t="s">
        <v>37016</v>
      </c>
      <c r="L2967" s="188">
        <v>5</v>
      </c>
      <c r="M2967" s="179" t="s">
        <v>151</v>
      </c>
    </row>
    <row r="2968" spans="1:13" ht="89.25">
      <c r="A2968" s="313" t="str">
        <f t="shared" si="46"/>
        <v>EnhFujitaTornadoScaleCode_incredibleDamage_EF5</v>
      </c>
      <c r="B2968" s="330"/>
      <c r="C2968" s="334"/>
      <c r="D2968" s="188" t="s">
        <v>20966</v>
      </c>
      <c r="E2968" s="189" t="s">
        <v>20967</v>
      </c>
      <c r="F2968" s="162" t="s">
        <v>20968</v>
      </c>
      <c r="G2968" s="162" t="s">
        <v>20953</v>
      </c>
      <c r="H2968" s="219"/>
      <c r="I2968" s="169">
        <v>119062</v>
      </c>
      <c r="J2968" s="304" t="str">
        <f>CONCATENATE([2]Cover!$D$6,"fdd/view?i=",I2968)</f>
        <v>https://www.dgiwg.org/FAD/fdd/view?i=119062</v>
      </c>
      <c r="K2968" s="304" t="s">
        <v>37017</v>
      </c>
      <c r="L2968" s="188">
        <v>6</v>
      </c>
      <c r="M2968" s="179" t="s">
        <v>151</v>
      </c>
    </row>
    <row r="2969" spans="1:13" ht="89.25">
      <c r="A2969" s="313" t="str">
        <f t="shared" si="46"/>
        <v>EnhFujitaTornadoScaleCode_lightDamage_EF0</v>
      </c>
      <c r="B2969" s="330"/>
      <c r="C2969" s="334"/>
      <c r="D2969" s="188" t="s">
        <v>20950</v>
      </c>
      <c r="E2969" s="189" t="s">
        <v>20951</v>
      </c>
      <c r="F2969" s="162" t="s">
        <v>20952</v>
      </c>
      <c r="G2969" s="162" t="s">
        <v>20953</v>
      </c>
      <c r="H2969" s="219"/>
      <c r="I2969" s="169">
        <v>119057</v>
      </c>
      <c r="J2969" s="304" t="str">
        <f>CONCATENATE([2]Cover!$D$6,"fdd/view?i=",I2969)</f>
        <v>https://www.dgiwg.org/FAD/fdd/view?i=119057</v>
      </c>
      <c r="K2969" s="304" t="s">
        <v>37018</v>
      </c>
      <c r="L2969" s="188">
        <v>1</v>
      </c>
      <c r="M2969" s="179" t="s">
        <v>151</v>
      </c>
    </row>
    <row r="2970" spans="1:13" ht="89.25">
      <c r="A2970" s="313" t="str">
        <f t="shared" si="46"/>
        <v>EnhFujitaTornadoScaleCode_moderateDamage_EF1</v>
      </c>
      <c r="B2970" s="330"/>
      <c r="C2970" s="334"/>
      <c r="D2970" s="188" t="s">
        <v>20954</v>
      </c>
      <c r="E2970" s="189" t="s">
        <v>20955</v>
      </c>
      <c r="F2970" s="162" t="s">
        <v>20956</v>
      </c>
      <c r="G2970" s="162" t="s">
        <v>20953</v>
      </c>
      <c r="H2970" s="219"/>
      <c r="I2970" s="169">
        <v>119058</v>
      </c>
      <c r="J2970" s="304" t="str">
        <f>CONCATENATE([2]Cover!$D$6,"fdd/view?i=",I2970)</f>
        <v>https://www.dgiwg.org/FAD/fdd/view?i=119058</v>
      </c>
      <c r="K2970" s="304" t="s">
        <v>37019</v>
      </c>
      <c r="L2970" s="188">
        <v>2</v>
      </c>
      <c r="M2970" s="179" t="s">
        <v>151</v>
      </c>
    </row>
    <row r="2971" spans="1:13" ht="89.25">
      <c r="A2971" s="313" t="str">
        <f t="shared" si="46"/>
        <v>EnhFujitaTornadoScaleCode_severeDamage_EF3</v>
      </c>
      <c r="B2971" s="331"/>
      <c r="C2971" s="335"/>
      <c r="D2971" s="181" t="s">
        <v>20960</v>
      </c>
      <c r="E2971" s="192" t="s">
        <v>20961</v>
      </c>
      <c r="F2971" s="193" t="s">
        <v>20962</v>
      </c>
      <c r="G2971" s="193" t="s">
        <v>20953</v>
      </c>
      <c r="H2971" s="220"/>
      <c r="I2971" s="169">
        <v>119060</v>
      </c>
      <c r="J2971" s="304" t="str">
        <f>CONCATENATE([2]Cover!$D$6,"fdd/view?i=",I2971)</f>
        <v>https://www.dgiwg.org/FAD/fdd/view?i=119060</v>
      </c>
      <c r="K2971" s="304" t="s">
        <v>37020</v>
      </c>
      <c r="L2971" s="181">
        <v>4</v>
      </c>
      <c r="M2971" s="179" t="s">
        <v>151</v>
      </c>
    </row>
    <row r="2972" spans="1:13" ht="306">
      <c r="A2972" s="313" t="str">
        <f t="shared" si="46"/>
        <v>EntityIdentifierTypeCode_basicEncyclopediaNumber</v>
      </c>
      <c r="B2972" s="332" t="str">
        <f>HYPERLINK("[#]Datatypes!A514:L514","EntityIdentifierTypeCode")</f>
        <v>EntityIdentifierTypeCode</v>
      </c>
      <c r="C2972" s="333" t="s">
        <v>12057</v>
      </c>
      <c r="D2972" s="202" t="s">
        <v>5606</v>
      </c>
      <c r="E2972" s="203" t="s">
        <v>5607</v>
      </c>
      <c r="F2972" s="204" t="s">
        <v>5608</v>
      </c>
      <c r="G2972" s="204" t="s">
        <v>11652</v>
      </c>
      <c r="H2972" s="218"/>
      <c r="I2972" s="169">
        <v>207524</v>
      </c>
      <c r="J2972" s="304" t="str">
        <f>CONCATENATE([2]Cover!$D$6,"fdd/view?i=",I2972)</f>
        <v>https://www.dgiwg.org/FAD/fdd/view?i=207524</v>
      </c>
      <c r="K2972" s="304" t="s">
        <v>37021</v>
      </c>
      <c r="L2972" s="202">
        <v>7</v>
      </c>
      <c r="M2972" s="179" t="s">
        <v>1295</v>
      </c>
    </row>
    <row r="2973" spans="1:13" ht="25.5">
      <c r="A2973" s="313" t="str">
        <f t="shared" si="46"/>
        <v>EntityIdentifierTypeCode_gidiFeatIdentifier</v>
      </c>
      <c r="B2973" s="330"/>
      <c r="C2973" s="334"/>
      <c r="D2973" s="188" t="s">
        <v>20969</v>
      </c>
      <c r="E2973" s="189" t="s">
        <v>7287</v>
      </c>
      <c r="F2973" s="162" t="s">
        <v>7288</v>
      </c>
      <c r="G2973" s="190"/>
      <c r="H2973" s="219"/>
      <c r="J2973" s="304" t="str">
        <f>CONCATENATE([2]Cover!$D$6,"fdd/view?i=",I2973)</f>
        <v>https://www.dgiwg.org/FAD/fdd/view?i=</v>
      </c>
      <c r="K2973" s="304" t="s">
        <v>37022</v>
      </c>
      <c r="L2973" s="188">
        <v>1</v>
      </c>
      <c r="M2973" s="179" t="s">
        <v>1295</v>
      </c>
    </row>
    <row r="2974" spans="1:13" ht="76.5">
      <c r="A2974" s="313" t="str">
        <f t="shared" si="46"/>
        <v>EntityIdentifierTypeCode_marginNumber</v>
      </c>
      <c r="B2974" s="330"/>
      <c r="C2974" s="334"/>
      <c r="D2974" s="188" t="s">
        <v>8119</v>
      </c>
      <c r="E2974" s="189" t="s">
        <v>8120</v>
      </c>
      <c r="F2974" s="162" t="s">
        <v>20970</v>
      </c>
      <c r="G2974" s="162" t="s">
        <v>20971</v>
      </c>
      <c r="H2974" s="219"/>
      <c r="I2974" s="169">
        <v>114263</v>
      </c>
      <c r="J2974" s="304" t="str">
        <f>CONCATENATE([2]Cover!$D$6,"fdd/view?i=",I2974)</f>
        <v>https://www.dgiwg.org/FAD/fdd/view?i=114263</v>
      </c>
      <c r="K2974" s="304" t="s">
        <v>37023</v>
      </c>
      <c r="L2974" s="188">
        <v>2</v>
      </c>
      <c r="M2974" s="179" t="s">
        <v>151</v>
      </c>
    </row>
    <row r="2975" spans="1:13" ht="102">
      <c r="A2975" s="313" t="str">
        <f t="shared" si="46"/>
        <v>EntityIdentifierTypeCode_verticalObstIdentifier</v>
      </c>
      <c r="B2975" s="331"/>
      <c r="C2975" s="335"/>
      <c r="D2975" s="181" t="s">
        <v>20972</v>
      </c>
      <c r="E2975" s="192" t="s">
        <v>11061</v>
      </c>
      <c r="F2975" s="193" t="s">
        <v>11062</v>
      </c>
      <c r="G2975" s="193" t="s">
        <v>13147</v>
      </c>
      <c r="H2975" s="220"/>
      <c r="I2975" s="169">
        <v>114267</v>
      </c>
      <c r="J2975" s="304" t="str">
        <f>CONCATENATE([2]Cover!$D$6,"fdd/view?i=",I2975)</f>
        <v>https://www.dgiwg.org/FAD/fdd/view?i=114267</v>
      </c>
      <c r="K2975" s="304" t="s">
        <v>37024</v>
      </c>
      <c r="L2975" s="181">
        <v>6</v>
      </c>
      <c r="M2975" s="179" t="s">
        <v>151</v>
      </c>
    </row>
    <row r="2976" spans="1:13" ht="38.25">
      <c r="A2976" s="313" t="str">
        <f t="shared" si="46"/>
        <v>EntranceExitClosureMethodCode_curtainVerticalLift</v>
      </c>
      <c r="B2976" s="332" t="str">
        <f>HYPERLINK("[#]Datatypes!A516:L516","EntranceExitClosureMethodCode")</f>
        <v>EntranceExitClosureMethodCode</v>
      </c>
      <c r="C2976" s="333" t="s">
        <v>12059</v>
      </c>
      <c r="D2976" s="202" t="s">
        <v>20973</v>
      </c>
      <c r="E2976" s="203" t="s">
        <v>20974</v>
      </c>
      <c r="F2976" s="204" t="s">
        <v>20975</v>
      </c>
      <c r="G2976" s="204" t="s">
        <v>20976</v>
      </c>
      <c r="H2976" s="218"/>
      <c r="I2976" s="169">
        <v>119671</v>
      </c>
      <c r="J2976" s="304" t="str">
        <f>CONCATENATE([2]Cover!$D$6,"fdd/view?i=",I2976)</f>
        <v>https://www.dgiwg.org/FAD/fdd/view?i=119671</v>
      </c>
      <c r="K2976" s="304" t="s">
        <v>37025</v>
      </c>
      <c r="L2976" s="202">
        <v>4</v>
      </c>
      <c r="M2976" s="179" t="s">
        <v>151</v>
      </c>
    </row>
    <row r="2977" spans="1:13" ht="25.5">
      <c r="A2977" s="313" t="str">
        <f t="shared" si="46"/>
        <v>EntranceExitClosureMethodCode_hinged</v>
      </c>
      <c r="B2977" s="330"/>
      <c r="C2977" s="334"/>
      <c r="D2977" s="188" t="s">
        <v>20977</v>
      </c>
      <c r="E2977" s="189" t="s">
        <v>20978</v>
      </c>
      <c r="F2977" s="162" t="s">
        <v>20979</v>
      </c>
      <c r="G2977" s="190"/>
      <c r="H2977" s="219"/>
      <c r="I2977" s="169">
        <v>119668</v>
      </c>
      <c r="J2977" s="304" t="str">
        <f>CONCATENATE([2]Cover!$D$6,"fdd/view?i=",I2977)</f>
        <v>https://www.dgiwg.org/FAD/fdd/view?i=119668</v>
      </c>
      <c r="K2977" s="304" t="s">
        <v>37026</v>
      </c>
      <c r="L2977" s="188">
        <v>1</v>
      </c>
      <c r="M2977" s="179" t="s">
        <v>151</v>
      </c>
    </row>
    <row r="2978" spans="1:13" ht="25.5">
      <c r="A2978" s="313" t="str">
        <f t="shared" si="46"/>
        <v>EntranceExitClosureMethodCode_sliding</v>
      </c>
      <c r="B2978" s="330"/>
      <c r="C2978" s="334"/>
      <c r="D2978" s="188" t="s">
        <v>20980</v>
      </c>
      <c r="E2978" s="189" t="s">
        <v>20981</v>
      </c>
      <c r="F2978" s="162" t="s">
        <v>20982</v>
      </c>
      <c r="G2978" s="190"/>
      <c r="H2978" s="219"/>
      <c r="I2978" s="169">
        <v>119670</v>
      </c>
      <c r="J2978" s="304" t="str">
        <f>CONCATENATE([2]Cover!$D$6,"fdd/view?i=",I2978)</f>
        <v>https://www.dgiwg.org/FAD/fdd/view?i=119670</v>
      </c>
      <c r="K2978" s="304" t="s">
        <v>37027</v>
      </c>
      <c r="L2978" s="188">
        <v>3</v>
      </c>
      <c r="M2978" s="179" t="s">
        <v>151</v>
      </c>
    </row>
    <row r="2979" spans="1:13" ht="25.5">
      <c r="A2979" s="313" t="str">
        <f t="shared" si="46"/>
        <v>EntranceExitClosureMethodCode_swing</v>
      </c>
      <c r="B2979" s="331"/>
      <c r="C2979" s="335"/>
      <c r="D2979" s="181" t="s">
        <v>20983</v>
      </c>
      <c r="E2979" s="192" t="s">
        <v>20984</v>
      </c>
      <c r="F2979" s="193" t="s">
        <v>20985</v>
      </c>
      <c r="G2979" s="194"/>
      <c r="H2979" s="220"/>
      <c r="I2979" s="169">
        <v>119669</v>
      </c>
      <c r="J2979" s="304" t="str">
        <f>CONCATENATE([2]Cover!$D$6,"fdd/view?i=",I2979)</f>
        <v>https://www.dgiwg.org/FAD/fdd/view?i=119669</v>
      </c>
      <c r="K2979" s="304" t="s">
        <v>37028</v>
      </c>
      <c r="L2979" s="181">
        <v>2</v>
      </c>
      <c r="M2979" s="179" t="s">
        <v>151</v>
      </c>
    </row>
    <row r="2980" spans="1:13" ht="51">
      <c r="A2980" s="313" t="str">
        <f t="shared" si="46"/>
        <v>EntranceExitTypeCode_caveMouth</v>
      </c>
      <c r="B2980" s="332" t="str">
        <f>HYPERLINK("[#]Datatypes!A518:L518","EntranceExitTypeCode")</f>
        <v>EntranceExitTypeCode</v>
      </c>
      <c r="C2980" s="333" t="s">
        <v>12061</v>
      </c>
      <c r="D2980" s="202" t="s">
        <v>20986</v>
      </c>
      <c r="E2980" s="203" t="s">
        <v>1854</v>
      </c>
      <c r="F2980" s="204" t="s">
        <v>20987</v>
      </c>
      <c r="G2980" s="204" t="s">
        <v>20988</v>
      </c>
      <c r="H2980" s="218"/>
      <c r="I2980" s="169">
        <v>111317</v>
      </c>
      <c r="J2980" s="304" t="str">
        <f>CONCATENATE([2]Cover!$D$6,"fdd/view?i=",I2980)</f>
        <v>https://www.dgiwg.org/FAD/fdd/view?i=111317</v>
      </c>
      <c r="K2980" s="304" t="s">
        <v>37029</v>
      </c>
      <c r="L2980" s="202">
        <v>6</v>
      </c>
      <c r="M2980" s="179" t="s">
        <v>151</v>
      </c>
    </row>
    <row r="2981" spans="1:13" ht="76.5">
      <c r="A2981" s="313" t="str">
        <f t="shared" si="46"/>
        <v>EntranceExitTypeCode_tunnelMouth</v>
      </c>
      <c r="B2981" s="331"/>
      <c r="C2981" s="335"/>
      <c r="D2981" s="181" t="s">
        <v>20989</v>
      </c>
      <c r="E2981" s="192" t="s">
        <v>4386</v>
      </c>
      <c r="F2981" s="193" t="s">
        <v>20990</v>
      </c>
      <c r="G2981" s="193" t="s">
        <v>4388</v>
      </c>
      <c r="H2981" s="220"/>
      <c r="I2981" s="169">
        <v>111316</v>
      </c>
      <c r="J2981" s="304" t="str">
        <f>CONCATENATE([2]Cover!$D$6,"fdd/view?i=",I2981)</f>
        <v>https://www.dgiwg.org/FAD/fdd/view?i=111316</v>
      </c>
      <c r="K2981" s="304" t="s">
        <v>37030</v>
      </c>
      <c r="L2981" s="181">
        <v>5</v>
      </c>
      <c r="M2981" s="179" t="s">
        <v>151</v>
      </c>
    </row>
    <row r="2982" spans="1:13" ht="140.25">
      <c r="A2982" s="313" t="str">
        <f t="shared" si="46"/>
        <v>EvacuationRouteUseCode_coastalStorm</v>
      </c>
      <c r="B2982" s="332" t="str">
        <f>HYPERLINK("[#]Datatypes!A524:L524","EvacuationRouteUseCode")</f>
        <v>EvacuationRouteUseCode</v>
      </c>
      <c r="C2982" s="333" t="s">
        <v>12068</v>
      </c>
      <c r="D2982" s="202" t="s">
        <v>20991</v>
      </c>
      <c r="E2982" s="203" t="s">
        <v>20992</v>
      </c>
      <c r="F2982" s="204" t="s">
        <v>20993</v>
      </c>
      <c r="G2982" s="204" t="s">
        <v>20994</v>
      </c>
      <c r="H2982" s="222" t="s">
        <v>20995</v>
      </c>
      <c r="I2982" s="169">
        <v>119150</v>
      </c>
      <c r="J2982" s="304" t="str">
        <f>CONCATENATE([2]Cover!$D$6,"fdd/view?i=",I2982)</f>
        <v>https://www.dgiwg.org/FAD/fdd/view?i=119150</v>
      </c>
      <c r="K2982" s="304" t="s">
        <v>37031</v>
      </c>
      <c r="L2982" s="202">
        <v>3</v>
      </c>
      <c r="M2982" s="179" t="s">
        <v>151</v>
      </c>
    </row>
    <row r="2983" spans="1:13" ht="114.75">
      <c r="A2983" s="313" t="str">
        <f t="shared" si="46"/>
        <v>EvacuationRouteUseCode_fire</v>
      </c>
      <c r="B2983" s="330"/>
      <c r="C2983" s="334"/>
      <c r="D2983" s="188" t="s">
        <v>20996</v>
      </c>
      <c r="E2983" s="189" t="s">
        <v>20997</v>
      </c>
      <c r="F2983" s="162" t="s">
        <v>20998</v>
      </c>
      <c r="G2983" s="162" t="s">
        <v>20999</v>
      </c>
      <c r="H2983" s="219"/>
      <c r="I2983" s="169">
        <v>119149</v>
      </c>
      <c r="J2983" s="304" t="str">
        <f>CONCATENATE([2]Cover!$D$6,"fdd/view?i=",I2983)</f>
        <v>https://www.dgiwg.org/FAD/fdd/view?i=119149</v>
      </c>
      <c r="K2983" s="304" t="s">
        <v>37032</v>
      </c>
      <c r="L2983" s="188">
        <v>2</v>
      </c>
      <c r="M2983" s="179" t="s">
        <v>151</v>
      </c>
    </row>
    <row r="2984" spans="1:13" ht="38.25">
      <c r="A2984" s="313" t="str">
        <f t="shared" si="46"/>
        <v>EvacuationRouteUseCode_flood</v>
      </c>
      <c r="B2984" s="330"/>
      <c r="C2984" s="334"/>
      <c r="D2984" s="188" t="s">
        <v>21000</v>
      </c>
      <c r="E2984" s="189" t="s">
        <v>21001</v>
      </c>
      <c r="F2984" s="162" t="s">
        <v>21002</v>
      </c>
      <c r="G2984" s="162" t="s">
        <v>21003</v>
      </c>
      <c r="H2984" s="219"/>
      <c r="I2984" s="169">
        <v>119148</v>
      </c>
      <c r="J2984" s="304" t="str">
        <f>CONCATENATE([2]Cover!$D$6,"fdd/view?i=",I2984)</f>
        <v>https://www.dgiwg.org/FAD/fdd/view?i=119148</v>
      </c>
      <c r="K2984" s="304" t="s">
        <v>37033</v>
      </c>
      <c r="L2984" s="188">
        <v>1</v>
      </c>
      <c r="M2984" s="179" t="s">
        <v>151</v>
      </c>
    </row>
    <row r="2985" spans="1:13" ht="25.5">
      <c r="A2985" s="313" t="str">
        <f t="shared" si="46"/>
        <v>EvacuationRouteUseCode_nonEmergencyRoute</v>
      </c>
      <c r="B2985" s="330"/>
      <c r="C2985" s="334"/>
      <c r="D2985" s="188" t="s">
        <v>21004</v>
      </c>
      <c r="E2985" s="189" t="s">
        <v>21005</v>
      </c>
      <c r="F2985" s="162" t="s">
        <v>21006</v>
      </c>
      <c r="G2985" s="190"/>
      <c r="H2985" s="219"/>
      <c r="I2985" s="169">
        <v>206180</v>
      </c>
      <c r="J2985" s="304" t="str">
        <f>CONCATENATE([2]Cover!$D$6,"fdd/view?i=",I2985)</f>
        <v>https://www.dgiwg.org/FAD/fdd/view?i=206180</v>
      </c>
      <c r="K2985" s="304" t="s">
        <v>37034</v>
      </c>
      <c r="L2985" s="188">
        <v>5</v>
      </c>
      <c r="M2985" s="179" t="s">
        <v>1295</v>
      </c>
    </row>
    <row r="2986" spans="1:13" ht="63.75">
      <c r="A2986" s="313" t="str">
        <f t="shared" si="46"/>
        <v>EvacuationRouteUseCode_nuclear</v>
      </c>
      <c r="B2986" s="331"/>
      <c r="C2986" s="335"/>
      <c r="D2986" s="181" t="s">
        <v>21007</v>
      </c>
      <c r="E2986" s="192" t="s">
        <v>21008</v>
      </c>
      <c r="F2986" s="193" t="s">
        <v>21009</v>
      </c>
      <c r="G2986" s="193" t="s">
        <v>21010</v>
      </c>
      <c r="H2986" s="223" t="s">
        <v>21011</v>
      </c>
      <c r="I2986" s="169">
        <v>119151</v>
      </c>
      <c r="J2986" s="304" t="str">
        <f>CONCATENATE([2]Cover!$D$6,"fdd/view?i=",I2986)</f>
        <v>https://www.dgiwg.org/FAD/fdd/view?i=119151</v>
      </c>
      <c r="K2986" s="304" t="s">
        <v>37035</v>
      </c>
      <c r="L2986" s="181">
        <v>4</v>
      </c>
      <c r="M2986" s="179" t="s">
        <v>151</v>
      </c>
    </row>
    <row r="2987" spans="1:13" ht="25.5">
      <c r="A2987" s="313" t="str">
        <f t="shared" si="46"/>
        <v>ExistenceCertaintyCatCode_definite</v>
      </c>
      <c r="B2987" s="332" t="str">
        <f>HYPERLINK("[#]Datatypes!A530:L530","ExistenceCertaintyCatCode")</f>
        <v>ExistenceCertaintyCatCode</v>
      </c>
      <c r="C2987" s="333" t="s">
        <v>12074</v>
      </c>
      <c r="D2987" s="202" t="s">
        <v>18269</v>
      </c>
      <c r="E2987" s="203" t="s">
        <v>18270</v>
      </c>
      <c r="F2987" s="204" t="s">
        <v>21012</v>
      </c>
      <c r="G2987" s="205"/>
      <c r="H2987" s="218"/>
      <c r="I2987" s="169">
        <v>103154</v>
      </c>
      <c r="J2987" s="304" t="str">
        <f>CONCATENATE([2]Cover!$D$6,"fdd/view?i=",I2987)</f>
        <v>https://www.dgiwg.org/FAD/fdd/view?i=103154</v>
      </c>
      <c r="K2987" s="304" t="s">
        <v>37036</v>
      </c>
      <c r="L2987" s="202">
        <v>1</v>
      </c>
      <c r="M2987" s="179" t="s">
        <v>151</v>
      </c>
    </row>
    <row r="2988" spans="1:13" ht="25.5">
      <c r="A2988" s="313" t="str">
        <f t="shared" si="46"/>
        <v>ExistenceCertaintyCatCode_doubtful</v>
      </c>
      <c r="B2988" s="330"/>
      <c r="C2988" s="334"/>
      <c r="D2988" s="188" t="s">
        <v>21013</v>
      </c>
      <c r="E2988" s="189" t="s">
        <v>21014</v>
      </c>
      <c r="F2988" s="162" t="s">
        <v>21015</v>
      </c>
      <c r="G2988" s="190"/>
      <c r="H2988" s="219"/>
      <c r="I2988" s="169">
        <v>103155</v>
      </c>
      <c r="J2988" s="304" t="str">
        <f>CONCATENATE([2]Cover!$D$6,"fdd/view?i=",I2988)</f>
        <v>https://www.dgiwg.org/FAD/fdd/view?i=103155</v>
      </c>
      <c r="K2988" s="304" t="s">
        <v>37037</v>
      </c>
      <c r="L2988" s="188">
        <v>2</v>
      </c>
      <c r="M2988" s="179" t="s">
        <v>151</v>
      </c>
    </row>
    <row r="2989" spans="1:13" ht="25.5">
      <c r="A2989" s="313" t="str">
        <f t="shared" si="46"/>
        <v>ExistenceCertaintyCatCode_reported</v>
      </c>
      <c r="B2989" s="331"/>
      <c r="C2989" s="335"/>
      <c r="D2989" s="181" t="s">
        <v>21016</v>
      </c>
      <c r="E2989" s="192" t="s">
        <v>21017</v>
      </c>
      <c r="F2989" s="193" t="s">
        <v>21018</v>
      </c>
      <c r="G2989" s="194"/>
      <c r="H2989" s="220"/>
      <c r="I2989" s="169">
        <v>103156</v>
      </c>
      <c r="J2989" s="304" t="str">
        <f>CONCATENATE([2]Cover!$D$6,"fdd/view?i=",I2989)</f>
        <v>https://www.dgiwg.org/FAD/fdd/view?i=103156</v>
      </c>
      <c r="K2989" s="304" t="s">
        <v>37038</v>
      </c>
      <c r="L2989" s="181">
        <v>3</v>
      </c>
      <c r="M2989" s="179" t="s">
        <v>151</v>
      </c>
    </row>
    <row r="2990" spans="1:13" ht="165.75">
      <c r="A2990" s="313" t="str">
        <f t="shared" si="46"/>
        <v>ExtractionMineTypeCode_areaStripMine</v>
      </c>
      <c r="B2990" s="332" t="str">
        <f>HYPERLINK("[#]Datatypes!A532:L532","ExtractionMineTypeCode")</f>
        <v>ExtractionMineTypeCode</v>
      </c>
      <c r="C2990" s="333" t="s">
        <v>12076</v>
      </c>
      <c r="D2990" s="202" t="s">
        <v>21019</v>
      </c>
      <c r="E2990" s="203" t="s">
        <v>21020</v>
      </c>
      <c r="F2990" s="204" t="s">
        <v>21021</v>
      </c>
      <c r="G2990" s="204" t="s">
        <v>21022</v>
      </c>
      <c r="H2990" s="218"/>
      <c r="I2990" s="169">
        <v>118934</v>
      </c>
      <c r="J2990" s="304" t="str">
        <f>CONCATENATE([2]Cover!$D$6,"fdd/view?i=",I2990)</f>
        <v>https://www.dgiwg.org/FAD/fdd/view?i=118934</v>
      </c>
      <c r="K2990" s="304" t="s">
        <v>37039</v>
      </c>
      <c r="L2990" s="202">
        <v>6</v>
      </c>
      <c r="M2990" s="179" t="s">
        <v>151</v>
      </c>
    </row>
    <row r="2991" spans="1:13" ht="25.5">
      <c r="A2991" s="313" t="str">
        <f t="shared" si="46"/>
        <v>ExtractionMineTypeCode_belowSurface</v>
      </c>
      <c r="B2991" s="330"/>
      <c r="C2991" s="334"/>
      <c r="D2991" s="188" t="s">
        <v>21023</v>
      </c>
      <c r="E2991" s="189" t="s">
        <v>21024</v>
      </c>
      <c r="F2991" s="162" t="s">
        <v>21025</v>
      </c>
      <c r="G2991" s="162" t="s">
        <v>21026</v>
      </c>
      <c r="H2991" s="219"/>
      <c r="I2991" s="169">
        <v>118936</v>
      </c>
      <c r="J2991" s="304" t="str">
        <f>CONCATENATE([2]Cover!$D$6,"fdd/view?i=",I2991)</f>
        <v>https://www.dgiwg.org/FAD/fdd/view?i=118936</v>
      </c>
      <c r="K2991" s="304" t="s">
        <v>37040</v>
      </c>
      <c r="L2991" s="188">
        <v>9</v>
      </c>
      <c r="M2991" s="179" t="s">
        <v>151</v>
      </c>
    </row>
    <row r="2992" spans="1:13" ht="25.5">
      <c r="A2992" s="313" t="str">
        <f t="shared" si="46"/>
        <v>ExtractionMineTypeCode_borrowPit</v>
      </c>
      <c r="B2992" s="330"/>
      <c r="C2992" s="334"/>
      <c r="D2992" s="188" t="s">
        <v>21027</v>
      </c>
      <c r="E2992" s="189" t="s">
        <v>21028</v>
      </c>
      <c r="F2992" s="162" t="s">
        <v>21029</v>
      </c>
      <c r="G2992" s="190"/>
      <c r="H2992" s="219"/>
      <c r="I2992" s="169">
        <v>118930</v>
      </c>
      <c r="J2992" s="304" t="str">
        <f>CONCATENATE([2]Cover!$D$6,"fdd/view?i=",I2992)</f>
        <v>https://www.dgiwg.org/FAD/fdd/view?i=118930</v>
      </c>
      <c r="K2992" s="304" t="s">
        <v>37041</v>
      </c>
      <c r="L2992" s="188">
        <v>1</v>
      </c>
      <c r="M2992" s="179" t="s">
        <v>151</v>
      </c>
    </row>
    <row r="2993" spans="1:13" ht="216.75">
      <c r="A2993" s="313" t="str">
        <f t="shared" si="46"/>
        <v>ExtractionMineTypeCode_contourStripMine</v>
      </c>
      <c r="B2993" s="330"/>
      <c r="C2993" s="334"/>
      <c r="D2993" s="188" t="s">
        <v>21030</v>
      </c>
      <c r="E2993" s="189" t="s">
        <v>21031</v>
      </c>
      <c r="F2993" s="162" t="s">
        <v>21032</v>
      </c>
      <c r="G2993" s="162" t="s">
        <v>21033</v>
      </c>
      <c r="H2993" s="219"/>
      <c r="I2993" s="169">
        <v>118938</v>
      </c>
      <c r="J2993" s="304" t="str">
        <f>CONCATENATE([2]Cover!$D$6,"fdd/view?i=",I2993)</f>
        <v>https://www.dgiwg.org/FAD/fdd/view?i=118938</v>
      </c>
      <c r="K2993" s="304" t="s">
        <v>37042</v>
      </c>
      <c r="L2993" s="188">
        <v>11</v>
      </c>
      <c r="M2993" s="179" t="s">
        <v>151</v>
      </c>
    </row>
    <row r="2994" spans="1:13" ht="51">
      <c r="A2994" s="313" t="str">
        <f t="shared" si="46"/>
        <v>ExtractionMineTypeCode_dredge</v>
      </c>
      <c r="B2994" s="330"/>
      <c r="C2994" s="334"/>
      <c r="D2994" s="188" t="s">
        <v>21034</v>
      </c>
      <c r="E2994" s="189" t="s">
        <v>21035</v>
      </c>
      <c r="F2994" s="162" t="s">
        <v>21036</v>
      </c>
      <c r="G2994" s="162" t="s">
        <v>21037</v>
      </c>
      <c r="H2994" s="219"/>
      <c r="I2994" s="169">
        <v>206017</v>
      </c>
      <c r="J2994" s="304" t="str">
        <f>CONCATENATE([2]Cover!$D$6,"fdd/view?i=",I2994)</f>
        <v>https://www.dgiwg.org/FAD/fdd/view?i=206017</v>
      </c>
      <c r="K2994" s="304" t="s">
        <v>37043</v>
      </c>
      <c r="L2994" s="188">
        <v>13</v>
      </c>
      <c r="M2994" s="179" t="s">
        <v>1295</v>
      </c>
    </row>
    <row r="2995" spans="1:13" ht="25.5">
      <c r="A2995" s="313" t="str">
        <f t="shared" si="46"/>
        <v>ExtractionMineTypeCode_opencast</v>
      </c>
      <c r="B2995" s="330"/>
      <c r="C2995" s="334"/>
      <c r="D2995" s="188" t="s">
        <v>21038</v>
      </c>
      <c r="E2995" s="189" t="s">
        <v>21039</v>
      </c>
      <c r="F2995" s="162" t="s">
        <v>21040</v>
      </c>
      <c r="G2995" s="190"/>
      <c r="H2995" s="221" t="s">
        <v>21041</v>
      </c>
      <c r="I2995" s="169">
        <v>118931</v>
      </c>
      <c r="J2995" s="304" t="str">
        <f>CONCATENATE([2]Cover!$D$6,"fdd/view?i=",I2995)</f>
        <v>https://www.dgiwg.org/FAD/fdd/view?i=118931</v>
      </c>
      <c r="K2995" s="304" t="s">
        <v>37044</v>
      </c>
      <c r="L2995" s="188">
        <v>3</v>
      </c>
      <c r="M2995" s="179" t="s">
        <v>151</v>
      </c>
    </row>
    <row r="2996" spans="1:13">
      <c r="A2996" s="313" t="str">
        <f t="shared" si="46"/>
        <v>ExtractionMineTypeCode_peatery</v>
      </c>
      <c r="B2996" s="330"/>
      <c r="C2996" s="334"/>
      <c r="D2996" s="188" t="s">
        <v>21042</v>
      </c>
      <c r="E2996" s="189" t="s">
        <v>21043</v>
      </c>
      <c r="F2996" s="162" t="s">
        <v>21044</v>
      </c>
      <c r="G2996" s="190"/>
      <c r="H2996" s="219"/>
      <c r="I2996" s="169">
        <v>118935</v>
      </c>
      <c r="J2996" s="304" t="str">
        <f>CONCATENATE([2]Cover!$D$6,"fdd/view?i=",I2996)</f>
        <v>https://www.dgiwg.org/FAD/fdd/view?i=118935</v>
      </c>
      <c r="K2996" s="304" t="s">
        <v>37045</v>
      </c>
      <c r="L2996" s="188">
        <v>8</v>
      </c>
      <c r="M2996" s="179" t="s">
        <v>151</v>
      </c>
    </row>
    <row r="2997" spans="1:13" ht="63.75">
      <c r="A2997" s="313" t="str">
        <f t="shared" si="46"/>
        <v>ExtractionMineTypeCode_placer</v>
      </c>
      <c r="B2997" s="330"/>
      <c r="C2997" s="334"/>
      <c r="D2997" s="188" t="s">
        <v>21045</v>
      </c>
      <c r="E2997" s="189" t="s">
        <v>21046</v>
      </c>
      <c r="F2997" s="162" t="s">
        <v>21047</v>
      </c>
      <c r="G2997" s="162" t="s">
        <v>21048</v>
      </c>
      <c r="H2997" s="219"/>
      <c r="I2997" s="169">
        <v>118932</v>
      </c>
      <c r="J2997" s="304" t="str">
        <f>CONCATENATE([2]Cover!$D$6,"fdd/view?i=",I2997)</f>
        <v>https://www.dgiwg.org/FAD/fdd/view?i=118932</v>
      </c>
      <c r="K2997" s="304" t="s">
        <v>37046</v>
      </c>
      <c r="L2997" s="188">
        <v>4</v>
      </c>
      <c r="M2997" s="179" t="s">
        <v>151</v>
      </c>
    </row>
    <row r="2998" spans="1:13" ht="25.5">
      <c r="A2998" s="313" t="str">
        <f t="shared" si="46"/>
        <v>ExtractionMineTypeCode_prospect</v>
      </c>
      <c r="B2998" s="330"/>
      <c r="C2998" s="334"/>
      <c r="D2998" s="188" t="s">
        <v>21049</v>
      </c>
      <c r="E2998" s="189" t="s">
        <v>21050</v>
      </c>
      <c r="F2998" s="162" t="s">
        <v>21051</v>
      </c>
      <c r="G2998" s="190"/>
      <c r="H2998" s="219"/>
      <c r="I2998" s="169">
        <v>118933</v>
      </c>
      <c r="J2998" s="304" t="str">
        <f>CONCATENATE([2]Cover!$D$6,"fdd/view?i=",I2998)</f>
        <v>https://www.dgiwg.org/FAD/fdd/view?i=118933</v>
      </c>
      <c r="K2998" s="304" t="s">
        <v>37047</v>
      </c>
      <c r="L2998" s="188">
        <v>5</v>
      </c>
      <c r="M2998" s="179" t="s">
        <v>151</v>
      </c>
    </row>
    <row r="2999" spans="1:13" ht="25.5">
      <c r="A2999" s="313" t="str">
        <f t="shared" si="46"/>
        <v>ExtractionMineTypeCode_quarry</v>
      </c>
      <c r="B2999" s="330"/>
      <c r="C2999" s="334"/>
      <c r="D2999" s="188" t="s">
        <v>21052</v>
      </c>
      <c r="E2999" s="189" t="s">
        <v>21053</v>
      </c>
      <c r="F2999" s="162" t="s">
        <v>21054</v>
      </c>
      <c r="G2999" s="190"/>
      <c r="H2999" s="219"/>
      <c r="I2999" s="169">
        <v>118937</v>
      </c>
      <c r="J2999" s="304" t="str">
        <f>CONCATENATE([2]Cover!$D$6,"fdd/view?i=",I2999)</f>
        <v>https://www.dgiwg.org/FAD/fdd/view?i=118937</v>
      </c>
      <c r="K2999" s="304" t="s">
        <v>37048</v>
      </c>
      <c r="L2999" s="188">
        <v>10</v>
      </c>
      <c r="M2999" s="179" t="s">
        <v>151</v>
      </c>
    </row>
    <row r="3000" spans="1:13" ht="25.5">
      <c r="A3000" s="313" t="str">
        <f t="shared" si="46"/>
        <v>ExtractionMineTypeCode_stripMine</v>
      </c>
      <c r="B3000" s="331"/>
      <c r="C3000" s="335"/>
      <c r="D3000" s="181" t="s">
        <v>21055</v>
      </c>
      <c r="E3000" s="192" t="s">
        <v>21056</v>
      </c>
      <c r="F3000" s="193" t="s">
        <v>21057</v>
      </c>
      <c r="G3000" s="193" t="s">
        <v>21058</v>
      </c>
      <c r="H3000" s="220"/>
      <c r="I3000" s="169">
        <v>118939</v>
      </c>
      <c r="J3000" s="304" t="str">
        <f>CONCATENATE([2]Cover!$D$6,"fdd/view?i=",I3000)</f>
        <v>https://www.dgiwg.org/FAD/fdd/view?i=118939</v>
      </c>
      <c r="K3000" s="304" t="s">
        <v>37049</v>
      </c>
      <c r="L3000" s="181">
        <v>12</v>
      </c>
      <c r="M3000" s="179" t="s">
        <v>151</v>
      </c>
    </row>
    <row r="3001" spans="1:13" ht="25.5">
      <c r="A3001" s="313" t="str">
        <f t="shared" si="46"/>
        <v>FabricationFacilityTypeCode_heavy</v>
      </c>
      <c r="B3001" s="332" t="str">
        <f>HYPERLINK("[#]Datatypes!A536:L536","FabricationFacilityTypeCode")</f>
        <v>FabricationFacilityTypeCode</v>
      </c>
      <c r="C3001" s="333" t="s">
        <v>12080</v>
      </c>
      <c r="D3001" s="202" t="s">
        <v>21059</v>
      </c>
      <c r="E3001" s="203" t="s">
        <v>21060</v>
      </c>
      <c r="F3001" s="204" t="s">
        <v>21061</v>
      </c>
      <c r="G3001" s="205"/>
      <c r="H3001" s="218"/>
      <c r="I3001" s="169">
        <v>103753</v>
      </c>
      <c r="J3001" s="304" t="str">
        <f>CONCATENATE([2]Cover!$D$6,"fdd/view?i=",I3001)</f>
        <v>https://www.dgiwg.org/FAD/fdd/view?i=103753</v>
      </c>
      <c r="K3001" s="304" t="s">
        <v>37050</v>
      </c>
      <c r="L3001" s="202">
        <v>2</v>
      </c>
      <c r="M3001" s="179" t="s">
        <v>151</v>
      </c>
    </row>
    <row r="3002" spans="1:13" ht="25.5">
      <c r="A3002" s="313" t="str">
        <f t="shared" si="46"/>
        <v>FabricationFacilityTypeCode_light</v>
      </c>
      <c r="B3002" s="331"/>
      <c r="C3002" s="335"/>
      <c r="D3002" s="181" t="s">
        <v>21062</v>
      </c>
      <c r="E3002" s="192" t="s">
        <v>21063</v>
      </c>
      <c r="F3002" s="193" t="s">
        <v>21064</v>
      </c>
      <c r="G3002" s="194"/>
      <c r="H3002" s="220"/>
      <c r="I3002" s="169">
        <v>103752</v>
      </c>
      <c r="J3002" s="304" t="str">
        <f>CONCATENATE([2]Cover!$D$6,"fdd/view?i=",I3002)</f>
        <v>https://www.dgiwg.org/FAD/fdd/view?i=103752</v>
      </c>
      <c r="K3002" s="304" t="s">
        <v>37051</v>
      </c>
      <c r="L3002" s="181">
        <v>1</v>
      </c>
      <c r="M3002" s="179" t="s">
        <v>151</v>
      </c>
    </row>
    <row r="3003" spans="1:13" ht="25.5">
      <c r="A3003" s="313" t="str">
        <f t="shared" si="46"/>
        <v>FacilityOperationalStatusCode_continuous</v>
      </c>
      <c r="B3003" s="332" t="str">
        <f>HYPERLINK("[#]Datatypes!A538:L538","FacilityOperationalStatusCode")</f>
        <v>FacilityOperationalStatusCode</v>
      </c>
      <c r="C3003" s="333" t="s">
        <v>12082</v>
      </c>
      <c r="D3003" s="202" t="s">
        <v>21065</v>
      </c>
      <c r="E3003" s="203" t="s">
        <v>21066</v>
      </c>
      <c r="F3003" s="204" t="s">
        <v>21067</v>
      </c>
      <c r="G3003" s="205"/>
      <c r="H3003" s="218"/>
      <c r="I3003" s="169">
        <v>103193</v>
      </c>
      <c r="J3003" s="304" t="str">
        <f>CONCATENATE([2]Cover!$D$6,"fdd/view?i=",I3003)</f>
        <v>https://www.dgiwg.org/FAD/fdd/view?i=103193</v>
      </c>
      <c r="K3003" s="304" t="s">
        <v>37052</v>
      </c>
      <c r="L3003" s="202">
        <v>1</v>
      </c>
      <c r="M3003" s="179" t="s">
        <v>151</v>
      </c>
    </row>
    <row r="3004" spans="1:13" ht="25.5">
      <c r="A3004" s="313" t="str">
        <f t="shared" si="46"/>
        <v>FacilityOperationalStatusCode_intermittent</v>
      </c>
      <c r="B3004" s="330"/>
      <c r="C3004" s="334"/>
      <c r="D3004" s="188" t="s">
        <v>15411</v>
      </c>
      <c r="E3004" s="189" t="s">
        <v>15412</v>
      </c>
      <c r="F3004" s="162" t="s">
        <v>21068</v>
      </c>
      <c r="G3004" s="190"/>
      <c r="H3004" s="219"/>
      <c r="I3004" s="169">
        <v>103194</v>
      </c>
      <c r="J3004" s="304" t="str">
        <f>CONCATENATE([2]Cover!$D$6,"fdd/view?i=",I3004)</f>
        <v>https://www.dgiwg.org/FAD/fdd/view?i=103194</v>
      </c>
      <c r="K3004" s="304" t="s">
        <v>37053</v>
      </c>
      <c r="L3004" s="188">
        <v>2</v>
      </c>
      <c r="M3004" s="179" t="s">
        <v>151</v>
      </c>
    </row>
    <row r="3005" spans="1:13" ht="25.5">
      <c r="A3005" s="313" t="str">
        <f t="shared" si="46"/>
        <v>FacilityOperationalStatusCode_nonOperational</v>
      </c>
      <c r="B3005" s="330"/>
      <c r="C3005" s="334"/>
      <c r="D3005" s="188" t="s">
        <v>21069</v>
      </c>
      <c r="E3005" s="189" t="s">
        <v>21070</v>
      </c>
      <c r="F3005" s="162" t="s">
        <v>21071</v>
      </c>
      <c r="G3005" s="190"/>
      <c r="H3005" s="219"/>
      <c r="I3005" s="169">
        <v>107918</v>
      </c>
      <c r="J3005" s="304" t="str">
        <f>CONCATENATE([2]Cover!$D$6,"fdd/view?i=",I3005)</f>
        <v>https://www.dgiwg.org/FAD/fdd/view?i=107918</v>
      </c>
      <c r="K3005" s="304" t="s">
        <v>37054</v>
      </c>
      <c r="L3005" s="188">
        <v>4</v>
      </c>
      <c r="M3005" s="179" t="s">
        <v>151</v>
      </c>
    </row>
    <row r="3006" spans="1:13" ht="76.5">
      <c r="A3006" s="313" t="str">
        <f t="shared" si="46"/>
        <v>FacilityOperationalStatusCode_notInOperation</v>
      </c>
      <c r="B3006" s="330"/>
      <c r="C3006" s="334"/>
      <c r="D3006" s="188" t="s">
        <v>21072</v>
      </c>
      <c r="E3006" s="189" t="s">
        <v>21073</v>
      </c>
      <c r="F3006" s="162" t="s">
        <v>21074</v>
      </c>
      <c r="G3006" s="162" t="s">
        <v>21075</v>
      </c>
      <c r="H3006" s="219"/>
      <c r="I3006" s="169">
        <v>108089</v>
      </c>
      <c r="J3006" s="304" t="str">
        <f>CONCATENATE([2]Cover!$D$6,"fdd/view?i=",I3006)</f>
        <v>https://www.dgiwg.org/FAD/fdd/view?i=108089</v>
      </c>
      <c r="K3006" s="304" t="s">
        <v>37055</v>
      </c>
      <c r="L3006" s="188">
        <v>8</v>
      </c>
      <c r="M3006" s="179" t="s">
        <v>151</v>
      </c>
    </row>
    <row r="3007" spans="1:13" ht="25.5">
      <c r="A3007" s="313" t="str">
        <f t="shared" si="46"/>
        <v>FacilityOperationalStatusCode_operational</v>
      </c>
      <c r="B3007" s="330"/>
      <c r="C3007" s="334"/>
      <c r="D3007" s="188" t="s">
        <v>8967</v>
      </c>
      <c r="E3007" s="189" t="s">
        <v>8968</v>
      </c>
      <c r="F3007" s="162" t="s">
        <v>21076</v>
      </c>
      <c r="G3007" s="162" t="s">
        <v>21077</v>
      </c>
      <c r="H3007" s="219"/>
      <c r="I3007" s="169">
        <v>119385</v>
      </c>
      <c r="J3007" s="304" t="str">
        <f>CONCATENATE([2]Cover!$D$6,"fdd/view?i=",I3007)</f>
        <v>https://www.dgiwg.org/FAD/fdd/view?i=119385</v>
      </c>
      <c r="K3007" s="304" t="s">
        <v>37056</v>
      </c>
      <c r="L3007" s="188">
        <v>13</v>
      </c>
      <c r="M3007" s="179" t="s">
        <v>151</v>
      </c>
    </row>
    <row r="3008" spans="1:13" ht="38.25">
      <c r="A3008" s="313" t="str">
        <f t="shared" si="46"/>
        <v>FacilityOperationalStatusCode_partiallyOperational</v>
      </c>
      <c r="B3008" s="330"/>
      <c r="C3008" s="334"/>
      <c r="D3008" s="188" t="s">
        <v>21078</v>
      </c>
      <c r="E3008" s="189" t="s">
        <v>21079</v>
      </c>
      <c r="F3008" s="162" t="s">
        <v>21080</v>
      </c>
      <c r="G3008" s="162" t="s">
        <v>21081</v>
      </c>
      <c r="H3008" s="219"/>
      <c r="I3008" s="169">
        <v>119386</v>
      </c>
      <c r="J3008" s="304" t="str">
        <f>CONCATENATE([2]Cover!$D$6,"fdd/view?i=",I3008)</f>
        <v>https://www.dgiwg.org/FAD/fdd/view?i=119386</v>
      </c>
      <c r="K3008" s="304" t="s">
        <v>37057</v>
      </c>
      <c r="L3008" s="188">
        <v>14</v>
      </c>
      <c r="M3008" s="179" t="s">
        <v>151</v>
      </c>
    </row>
    <row r="3009" spans="1:13" ht="25.5">
      <c r="A3009" s="313" t="str">
        <f t="shared" si="46"/>
        <v>FacilityOperationalStatusCode_planned</v>
      </c>
      <c r="B3009" s="330"/>
      <c r="C3009" s="334"/>
      <c r="D3009" s="188" t="s">
        <v>21082</v>
      </c>
      <c r="E3009" s="189" t="s">
        <v>21083</v>
      </c>
      <c r="F3009" s="162" t="s">
        <v>21084</v>
      </c>
      <c r="G3009" s="190"/>
      <c r="H3009" s="219"/>
      <c r="I3009" s="169">
        <v>107920</v>
      </c>
      <c r="J3009" s="304" t="str">
        <f>CONCATENATE([2]Cover!$D$6,"fdd/view?i=",I3009)</f>
        <v>https://www.dgiwg.org/FAD/fdd/view?i=107920</v>
      </c>
      <c r="K3009" s="304" t="s">
        <v>37058</v>
      </c>
      <c r="L3009" s="188">
        <v>6</v>
      </c>
      <c r="M3009" s="179" t="s">
        <v>151</v>
      </c>
    </row>
    <row r="3010" spans="1:13" ht="25.5">
      <c r="A3010" s="313" t="str">
        <f t="shared" si="46"/>
        <v>FacilityOperationalStatusCode_scheduled</v>
      </c>
      <c r="B3010" s="330"/>
      <c r="C3010" s="334"/>
      <c r="D3010" s="188" t="s">
        <v>15759</v>
      </c>
      <c r="E3010" s="189" t="s">
        <v>15760</v>
      </c>
      <c r="F3010" s="162" t="s">
        <v>21085</v>
      </c>
      <c r="G3010" s="162" t="s">
        <v>21086</v>
      </c>
      <c r="H3010" s="219"/>
      <c r="I3010" s="169">
        <v>103195</v>
      </c>
      <c r="J3010" s="304" t="str">
        <f>CONCATENATE([2]Cover!$D$6,"fdd/view?i=",I3010)</f>
        <v>https://www.dgiwg.org/FAD/fdd/view?i=103195</v>
      </c>
      <c r="K3010" s="304" t="s">
        <v>37059</v>
      </c>
      <c r="L3010" s="188">
        <v>3</v>
      </c>
      <c r="M3010" s="179" t="s">
        <v>151</v>
      </c>
    </row>
    <row r="3011" spans="1:13" ht="25.5">
      <c r="A3011" s="313" t="str">
        <f t="shared" ref="A3011:A3074" si="47">HYPERLINK(J3011,K3011)</f>
        <v>FacilityOperationalStatusCode_temporarilyNonOperational</v>
      </c>
      <c r="B3011" s="331"/>
      <c r="C3011" s="335"/>
      <c r="D3011" s="181" t="s">
        <v>21087</v>
      </c>
      <c r="E3011" s="192" t="s">
        <v>21088</v>
      </c>
      <c r="F3011" s="193" t="s">
        <v>21089</v>
      </c>
      <c r="G3011" s="193" t="s">
        <v>21090</v>
      </c>
      <c r="H3011" s="223" t="s">
        <v>21091</v>
      </c>
      <c r="I3011" s="169">
        <v>108092</v>
      </c>
      <c r="J3011" s="304" t="str">
        <f>CONCATENATE([2]Cover!$D$6,"fdd/view?i=",I3011)</f>
        <v>https://www.dgiwg.org/FAD/fdd/view?i=108092</v>
      </c>
      <c r="K3011" s="304" t="s">
        <v>37060</v>
      </c>
      <c r="L3011" s="181">
        <v>9</v>
      </c>
      <c r="M3011" s="179" t="s">
        <v>151</v>
      </c>
    </row>
    <row r="3012" spans="1:13" ht="89.25">
      <c r="A3012" s="313" t="str">
        <f t="shared" si="47"/>
        <v>FacilityTypeCode_aerialFarm</v>
      </c>
      <c r="B3012" s="332" t="str">
        <f>HYPERLINK("[#]Datatypes!A540:L540","FacilityTypeCode")</f>
        <v>FacilityTypeCode</v>
      </c>
      <c r="C3012" s="333" t="s">
        <v>12084</v>
      </c>
      <c r="D3012" s="202" t="s">
        <v>21092</v>
      </c>
      <c r="E3012" s="203" t="s">
        <v>1279</v>
      </c>
      <c r="F3012" s="204" t="s">
        <v>1280</v>
      </c>
      <c r="G3012" s="204" t="s">
        <v>1281</v>
      </c>
      <c r="H3012" s="218"/>
      <c r="I3012" s="169">
        <v>204219</v>
      </c>
      <c r="J3012" s="304" t="str">
        <f>CONCATENATE([2]Cover!$D$6,"fdd/view?i=",I3012)</f>
        <v>https://www.dgiwg.org/FAD/fdd/view?i=204219</v>
      </c>
      <c r="K3012" s="304" t="s">
        <v>37061</v>
      </c>
      <c r="L3012" s="202">
        <v>1</v>
      </c>
      <c r="M3012" s="179" t="s">
        <v>1295</v>
      </c>
    </row>
    <row r="3013" spans="1:13">
      <c r="A3013" s="313" t="str">
        <f t="shared" si="47"/>
        <v>FacilityTypeCode_amusementPark</v>
      </c>
      <c r="B3013" s="330"/>
      <c r="C3013" s="334"/>
      <c r="D3013" s="188" t="s">
        <v>21093</v>
      </c>
      <c r="E3013" s="189" t="s">
        <v>1517</v>
      </c>
      <c r="F3013" s="162" t="s">
        <v>1518</v>
      </c>
      <c r="G3013" s="190"/>
      <c r="H3013" s="219"/>
      <c r="I3013" s="169">
        <v>204220</v>
      </c>
      <c r="J3013" s="304" t="str">
        <f>CONCATENATE([2]Cover!$D$6,"fdd/view?i=",I3013)</f>
        <v>https://www.dgiwg.org/FAD/fdd/view?i=204220</v>
      </c>
      <c r="K3013" s="304" t="s">
        <v>37062</v>
      </c>
      <c r="L3013" s="188">
        <v>2</v>
      </c>
      <c r="M3013" s="179" t="s">
        <v>1295</v>
      </c>
    </row>
    <row r="3014" spans="1:13" ht="25.5">
      <c r="A3014" s="313" t="str">
        <f t="shared" si="47"/>
        <v>FacilityTypeCode_antiAircraftArtillerySite</v>
      </c>
      <c r="B3014" s="330"/>
      <c r="C3014" s="334"/>
      <c r="D3014" s="188" t="s">
        <v>21094</v>
      </c>
      <c r="E3014" s="189" t="s">
        <v>1537</v>
      </c>
      <c r="F3014" s="162" t="s">
        <v>1538</v>
      </c>
      <c r="G3014" s="162" t="s">
        <v>1539</v>
      </c>
      <c r="H3014" s="219"/>
      <c r="I3014" s="169">
        <v>204221</v>
      </c>
      <c r="J3014" s="304" t="str">
        <f>CONCATENATE([2]Cover!$D$6,"fdd/view?i=",I3014)</f>
        <v>https://www.dgiwg.org/FAD/fdd/view?i=204221</v>
      </c>
      <c r="K3014" s="304" t="s">
        <v>37063</v>
      </c>
      <c r="L3014" s="188">
        <v>3</v>
      </c>
      <c r="M3014" s="179" t="s">
        <v>1295</v>
      </c>
    </row>
    <row r="3015" spans="1:13" ht="89.25">
      <c r="A3015" s="313" t="str">
        <f t="shared" si="47"/>
        <v>FacilityTypeCode_caravanPark</v>
      </c>
      <c r="B3015" s="330"/>
      <c r="C3015" s="334"/>
      <c r="D3015" s="188" t="s">
        <v>21095</v>
      </c>
      <c r="E3015" s="189" t="s">
        <v>1811</v>
      </c>
      <c r="F3015" s="162" t="s">
        <v>1812</v>
      </c>
      <c r="G3015" s="162" t="s">
        <v>1813</v>
      </c>
      <c r="H3015" s="219"/>
      <c r="I3015" s="169">
        <v>204222</v>
      </c>
      <c r="J3015" s="304" t="str">
        <f>CONCATENATE([2]Cover!$D$6,"fdd/view?i=",I3015)</f>
        <v>https://www.dgiwg.org/FAD/fdd/view?i=204222</v>
      </c>
      <c r="K3015" s="304" t="s">
        <v>37064</v>
      </c>
      <c r="L3015" s="188">
        <v>4</v>
      </c>
      <c r="M3015" s="179" t="s">
        <v>1295</v>
      </c>
    </row>
    <row r="3016" spans="1:13" ht="153">
      <c r="A3016" s="313" t="str">
        <f t="shared" si="47"/>
        <v>FacilityTypeCode_castleComplex</v>
      </c>
      <c r="B3016" s="330"/>
      <c r="C3016" s="334"/>
      <c r="D3016" s="188" t="s">
        <v>21096</v>
      </c>
      <c r="E3016" s="189" t="s">
        <v>1826</v>
      </c>
      <c r="F3016" s="162" t="s">
        <v>1827</v>
      </c>
      <c r="G3016" s="162" t="s">
        <v>1828</v>
      </c>
      <c r="H3016" s="219"/>
      <c r="I3016" s="169">
        <v>204223</v>
      </c>
      <c r="J3016" s="304" t="str">
        <f>CONCATENATE([2]Cover!$D$6,"fdd/view?i=",I3016)</f>
        <v>https://www.dgiwg.org/FAD/fdd/view?i=204223</v>
      </c>
      <c r="K3016" s="304" t="s">
        <v>37065</v>
      </c>
      <c r="L3016" s="188">
        <v>5</v>
      </c>
      <c r="M3016" s="179" t="s">
        <v>1295</v>
      </c>
    </row>
    <row r="3017" spans="1:13">
      <c r="A3017" s="313" t="str">
        <f t="shared" si="47"/>
        <v>FacilityTypeCode_cemetery</v>
      </c>
      <c r="B3017" s="330"/>
      <c r="C3017" s="334"/>
      <c r="D3017" s="188" t="s">
        <v>21097</v>
      </c>
      <c r="E3017" s="189" t="s">
        <v>1858</v>
      </c>
      <c r="F3017" s="162" t="s">
        <v>1859</v>
      </c>
      <c r="G3017" s="190"/>
      <c r="H3017" s="219"/>
      <c r="I3017" s="169">
        <v>204224</v>
      </c>
      <c r="J3017" s="304" t="str">
        <f>CONCATENATE([2]Cover!$D$6,"fdd/view?i=",I3017)</f>
        <v>https://www.dgiwg.org/FAD/fdd/view?i=204224</v>
      </c>
      <c r="K3017" s="304" t="s">
        <v>37066</v>
      </c>
      <c r="L3017" s="188">
        <v>6</v>
      </c>
      <c r="M3017" s="179" t="s">
        <v>1295</v>
      </c>
    </row>
    <row r="3018" spans="1:13" ht="25.5">
      <c r="A3018" s="313" t="str">
        <f t="shared" si="47"/>
        <v>FacilityTypeCode_coolingFacility</v>
      </c>
      <c r="B3018" s="330"/>
      <c r="C3018" s="334"/>
      <c r="D3018" s="188" t="s">
        <v>21098</v>
      </c>
      <c r="E3018" s="189" t="s">
        <v>1920</v>
      </c>
      <c r="F3018" s="162" t="s">
        <v>1921</v>
      </c>
      <c r="G3018" s="190"/>
      <c r="H3018" s="219"/>
      <c r="I3018" s="169">
        <v>204225</v>
      </c>
      <c r="J3018" s="304" t="str">
        <f>CONCATENATE([2]Cover!$D$6,"fdd/view?i=",I3018)</f>
        <v>https://www.dgiwg.org/FAD/fdd/view?i=204225</v>
      </c>
      <c r="K3018" s="304" t="s">
        <v>37067</v>
      </c>
      <c r="L3018" s="188">
        <v>7</v>
      </c>
      <c r="M3018" s="179" t="s">
        <v>1295</v>
      </c>
    </row>
    <row r="3019" spans="1:13" ht="25.5">
      <c r="A3019" s="313" t="str">
        <f t="shared" si="47"/>
        <v>FacilityTypeCode_driveInTheatre</v>
      </c>
      <c r="B3019" s="330"/>
      <c r="C3019" s="334"/>
      <c r="D3019" s="188" t="s">
        <v>21099</v>
      </c>
      <c r="E3019" s="189" t="s">
        <v>2149</v>
      </c>
      <c r="F3019" s="162" t="s">
        <v>2150</v>
      </c>
      <c r="G3019" s="190"/>
      <c r="H3019" s="219"/>
      <c r="I3019" s="169">
        <v>204226</v>
      </c>
      <c r="J3019" s="304" t="str">
        <f>CONCATENATE([2]Cover!$D$6,"fdd/view?i=",I3019)</f>
        <v>https://www.dgiwg.org/FAD/fdd/view?i=204226</v>
      </c>
      <c r="K3019" s="304" t="s">
        <v>37068</v>
      </c>
      <c r="L3019" s="188">
        <v>8</v>
      </c>
      <c r="M3019" s="179" t="s">
        <v>1295</v>
      </c>
    </row>
    <row r="3020" spans="1:13" ht="140.25">
      <c r="A3020" s="313" t="str">
        <f t="shared" si="47"/>
        <v>FacilityTypeCode_electricPowerStation</v>
      </c>
      <c r="B3020" s="330"/>
      <c r="C3020" s="334"/>
      <c r="D3020" s="188" t="s">
        <v>21100</v>
      </c>
      <c r="E3020" s="189" t="s">
        <v>2185</v>
      </c>
      <c r="F3020" s="162" t="s">
        <v>2186</v>
      </c>
      <c r="G3020" s="162" t="s">
        <v>2187</v>
      </c>
      <c r="H3020" s="219"/>
      <c r="I3020" s="169">
        <v>204241</v>
      </c>
      <c r="J3020" s="304" t="str">
        <f>CONCATENATE([2]Cover!$D$6,"fdd/view?i=",I3020)</f>
        <v>https://www.dgiwg.org/FAD/fdd/view?i=204241</v>
      </c>
      <c r="K3020" s="304" t="s">
        <v>37069</v>
      </c>
      <c r="L3020" s="188">
        <v>23</v>
      </c>
      <c r="M3020" s="179" t="s">
        <v>1295</v>
      </c>
    </row>
    <row r="3021" spans="1:13" ht="25.5">
      <c r="A3021" s="313" t="str">
        <f t="shared" si="47"/>
        <v>FacilityTypeCode_fairground</v>
      </c>
      <c r="B3021" s="330"/>
      <c r="C3021" s="334"/>
      <c r="D3021" s="188" t="s">
        <v>21101</v>
      </c>
      <c r="E3021" s="189" t="s">
        <v>2294</v>
      </c>
      <c r="F3021" s="162" t="s">
        <v>2295</v>
      </c>
      <c r="G3021" s="190"/>
      <c r="H3021" s="219"/>
      <c r="I3021" s="169">
        <v>204227</v>
      </c>
      <c r="J3021" s="304" t="str">
        <f>CONCATENATE([2]Cover!$D$6,"fdd/view?i=",I3021)</f>
        <v>https://www.dgiwg.org/FAD/fdd/view?i=204227</v>
      </c>
      <c r="K3021" s="304" t="s">
        <v>37070</v>
      </c>
      <c r="L3021" s="188">
        <v>9</v>
      </c>
      <c r="M3021" s="179" t="s">
        <v>1295</v>
      </c>
    </row>
    <row r="3022" spans="1:13" ht="140.25">
      <c r="A3022" s="313" t="str">
        <f t="shared" si="47"/>
        <v>FacilityTypeCode_farm</v>
      </c>
      <c r="B3022" s="330"/>
      <c r="C3022" s="334"/>
      <c r="D3022" s="188" t="s">
        <v>21102</v>
      </c>
      <c r="E3022" s="189" t="s">
        <v>2298</v>
      </c>
      <c r="F3022" s="162" t="s">
        <v>2299</v>
      </c>
      <c r="G3022" s="162" t="s">
        <v>2300</v>
      </c>
      <c r="H3022" s="219"/>
      <c r="I3022" s="169">
        <v>204228</v>
      </c>
      <c r="J3022" s="304" t="str">
        <f>CONCATENATE([2]Cover!$D$6,"fdd/view?i=",I3022)</f>
        <v>https://www.dgiwg.org/FAD/fdd/view?i=204228</v>
      </c>
      <c r="K3022" s="304" t="s">
        <v>37071</v>
      </c>
      <c r="L3022" s="188">
        <v>10</v>
      </c>
      <c r="M3022" s="179" t="s">
        <v>1295</v>
      </c>
    </row>
    <row r="3023" spans="1:13" ht="38.25">
      <c r="A3023" s="313" t="str">
        <f t="shared" si="47"/>
        <v>FacilityTypeCode_fishFarmFacility</v>
      </c>
      <c r="B3023" s="330"/>
      <c r="C3023" s="334"/>
      <c r="D3023" s="188" t="s">
        <v>21103</v>
      </c>
      <c r="E3023" s="189" t="s">
        <v>2381</v>
      </c>
      <c r="F3023" s="162" t="s">
        <v>2382</v>
      </c>
      <c r="G3023" s="162" t="s">
        <v>2383</v>
      </c>
      <c r="H3023" s="219"/>
      <c r="I3023" s="169">
        <v>204229</v>
      </c>
      <c r="J3023" s="304" t="str">
        <f>CONCATENATE([2]Cover!$D$6,"fdd/view?i=",I3023)</f>
        <v>https://www.dgiwg.org/FAD/fdd/view?i=204229</v>
      </c>
      <c r="K3023" s="304" t="s">
        <v>37072</v>
      </c>
      <c r="L3023" s="188">
        <v>11</v>
      </c>
      <c r="M3023" s="179" t="s">
        <v>1295</v>
      </c>
    </row>
    <row r="3024" spans="1:13" ht="114.75">
      <c r="A3024" s="313" t="str">
        <f t="shared" si="47"/>
        <v>FacilityTypeCode_fuelStorageFacility</v>
      </c>
      <c r="B3024" s="330"/>
      <c r="C3024" s="334"/>
      <c r="D3024" s="188" t="s">
        <v>21104</v>
      </c>
      <c r="E3024" s="189" t="s">
        <v>2472</v>
      </c>
      <c r="F3024" s="162" t="s">
        <v>2473</v>
      </c>
      <c r="G3024" s="162" t="s">
        <v>2474</v>
      </c>
      <c r="H3024" s="219"/>
      <c r="I3024" s="169">
        <v>204230</v>
      </c>
      <c r="J3024" s="304" t="str">
        <f>CONCATENATE([2]Cover!$D$6,"fdd/view?i=",I3024)</f>
        <v>https://www.dgiwg.org/FAD/fdd/view?i=204230</v>
      </c>
      <c r="K3024" s="304" t="s">
        <v>37073</v>
      </c>
      <c r="L3024" s="188">
        <v>12</v>
      </c>
      <c r="M3024" s="179" t="s">
        <v>1295</v>
      </c>
    </row>
    <row r="3025" spans="1:13">
      <c r="A3025" s="313" t="str">
        <f t="shared" si="47"/>
        <v>FacilityTypeCode_golfCourse</v>
      </c>
      <c r="B3025" s="330"/>
      <c r="C3025" s="334"/>
      <c r="D3025" s="188" t="s">
        <v>21105</v>
      </c>
      <c r="E3025" s="189" t="s">
        <v>2607</v>
      </c>
      <c r="F3025" s="162" t="s">
        <v>2608</v>
      </c>
      <c r="G3025" s="190"/>
      <c r="H3025" s="219"/>
      <c r="I3025" s="169">
        <v>204231</v>
      </c>
      <c r="J3025" s="304" t="str">
        <f>CONCATENATE([2]Cover!$D$6,"fdd/view?i=",I3025)</f>
        <v>https://www.dgiwg.org/FAD/fdd/view?i=204231</v>
      </c>
      <c r="K3025" s="304" t="s">
        <v>37074</v>
      </c>
      <c r="L3025" s="188">
        <v>13</v>
      </c>
      <c r="M3025" s="179" t="s">
        <v>1295</v>
      </c>
    </row>
    <row r="3026" spans="1:13">
      <c r="A3026" s="313" t="str">
        <f t="shared" si="47"/>
        <v>FacilityTypeCode_heatingFacility</v>
      </c>
      <c r="B3026" s="330"/>
      <c r="C3026" s="334"/>
      <c r="D3026" s="188" t="s">
        <v>21106</v>
      </c>
      <c r="E3026" s="189" t="s">
        <v>2680</v>
      </c>
      <c r="F3026" s="162" t="s">
        <v>2681</v>
      </c>
      <c r="G3026" s="190"/>
      <c r="H3026" s="219"/>
      <c r="I3026" s="169">
        <v>204232</v>
      </c>
      <c r="J3026" s="304" t="str">
        <f>CONCATENATE([2]Cover!$D$6,"fdd/view?i=",I3026)</f>
        <v>https://www.dgiwg.org/FAD/fdd/view?i=204232</v>
      </c>
      <c r="K3026" s="304" t="s">
        <v>37075</v>
      </c>
      <c r="L3026" s="188">
        <v>14</v>
      </c>
      <c r="M3026" s="179" t="s">
        <v>1295</v>
      </c>
    </row>
    <row r="3027" spans="1:13" ht="25.5">
      <c r="A3027" s="313" t="str">
        <f t="shared" si="47"/>
        <v>FacilityTypeCode_hydrocarbonProdFacility</v>
      </c>
      <c r="B3027" s="330"/>
      <c r="C3027" s="334"/>
      <c r="D3027" s="188" t="s">
        <v>21107</v>
      </c>
      <c r="E3027" s="189" t="s">
        <v>2752</v>
      </c>
      <c r="F3027" s="162" t="s">
        <v>2753</v>
      </c>
      <c r="G3027" s="190"/>
      <c r="H3027" s="219"/>
      <c r="I3027" s="169">
        <v>204233</v>
      </c>
      <c r="J3027" s="304" t="str">
        <f>CONCATENATE([2]Cover!$D$6,"fdd/view?i=",I3027)</f>
        <v>https://www.dgiwg.org/FAD/fdd/view?i=204233</v>
      </c>
      <c r="K3027" s="304" t="s">
        <v>37076</v>
      </c>
      <c r="L3027" s="188">
        <v>15</v>
      </c>
      <c r="M3027" s="179" t="s">
        <v>1295</v>
      </c>
    </row>
    <row r="3028" spans="1:13" ht="76.5">
      <c r="A3028" s="313" t="str">
        <f t="shared" si="47"/>
        <v>FacilityTypeCode_industrialFarm</v>
      </c>
      <c r="B3028" s="330"/>
      <c r="C3028" s="334"/>
      <c r="D3028" s="188" t="s">
        <v>21108</v>
      </c>
      <c r="E3028" s="189" t="s">
        <v>2807</v>
      </c>
      <c r="F3028" s="162" t="s">
        <v>2808</v>
      </c>
      <c r="G3028" s="162" t="s">
        <v>2809</v>
      </c>
      <c r="H3028" s="219"/>
      <c r="I3028" s="169">
        <v>204234</v>
      </c>
      <c r="J3028" s="304" t="str">
        <f>CONCATENATE([2]Cover!$D$6,"fdd/view?i=",I3028)</f>
        <v>https://www.dgiwg.org/FAD/fdd/view?i=204234</v>
      </c>
      <c r="K3028" s="304" t="s">
        <v>37077</v>
      </c>
      <c r="L3028" s="188">
        <v>16</v>
      </c>
      <c r="M3028" s="179" t="s">
        <v>1295</v>
      </c>
    </row>
    <row r="3029" spans="1:13" ht="127.5">
      <c r="A3029" s="313" t="str">
        <f t="shared" si="47"/>
        <v>FacilityTypeCode_industrialPark</v>
      </c>
      <c r="B3029" s="330"/>
      <c r="C3029" s="334"/>
      <c r="D3029" s="188" t="s">
        <v>21109</v>
      </c>
      <c r="E3029" s="189" t="s">
        <v>2818</v>
      </c>
      <c r="F3029" s="162" t="s">
        <v>2819</v>
      </c>
      <c r="G3029" s="162" t="s">
        <v>2820</v>
      </c>
      <c r="H3029" s="219"/>
      <c r="I3029" s="169">
        <v>204235</v>
      </c>
      <c r="J3029" s="304" t="str">
        <f>CONCATENATE([2]Cover!$D$6,"fdd/view?i=",I3029)</f>
        <v>https://www.dgiwg.org/FAD/fdd/view?i=204235</v>
      </c>
      <c r="K3029" s="304" t="s">
        <v>37078</v>
      </c>
      <c r="L3029" s="188">
        <v>17</v>
      </c>
      <c r="M3029" s="179" t="s">
        <v>1295</v>
      </c>
    </row>
    <row r="3030" spans="1:13">
      <c r="A3030" s="313" t="str">
        <f t="shared" si="47"/>
        <v>FacilityTypeCode_missileSite</v>
      </c>
      <c r="B3030" s="330"/>
      <c r="C3030" s="334"/>
      <c r="D3030" s="188" t="s">
        <v>21110</v>
      </c>
      <c r="E3030" s="189" t="s">
        <v>3217</v>
      </c>
      <c r="F3030" s="162" t="s">
        <v>3218</v>
      </c>
      <c r="G3030" s="190"/>
      <c r="H3030" s="219"/>
      <c r="I3030" s="169">
        <v>204236</v>
      </c>
      <c r="J3030" s="304" t="str">
        <f>CONCATENATE([2]Cover!$D$6,"fdd/view?i=",I3030)</f>
        <v>https://www.dgiwg.org/FAD/fdd/view?i=204236</v>
      </c>
      <c r="K3030" s="304" t="s">
        <v>37079</v>
      </c>
      <c r="L3030" s="188">
        <v>18</v>
      </c>
      <c r="M3030" s="179" t="s">
        <v>1295</v>
      </c>
    </row>
    <row r="3031" spans="1:13" ht="165.75">
      <c r="A3031" s="313" t="str">
        <f t="shared" si="47"/>
        <v>FacilityTypeCode_mobileHomePark</v>
      </c>
      <c r="B3031" s="330"/>
      <c r="C3031" s="334"/>
      <c r="D3031" s="188" t="s">
        <v>21111</v>
      </c>
      <c r="E3031" s="189" t="s">
        <v>1814</v>
      </c>
      <c r="F3031" s="162" t="s">
        <v>21112</v>
      </c>
      <c r="G3031" s="162" t="s">
        <v>21113</v>
      </c>
      <c r="H3031" s="219"/>
      <c r="I3031" s="169">
        <v>204237</v>
      </c>
      <c r="J3031" s="304" t="str">
        <f>CONCATENATE([2]Cover!$D$6,"fdd/view?i=",I3031)</f>
        <v>https://www.dgiwg.org/FAD/fdd/view?i=204237</v>
      </c>
      <c r="K3031" s="304" t="s">
        <v>37080</v>
      </c>
      <c r="L3031" s="188">
        <v>19</v>
      </c>
      <c r="M3031" s="179" t="s">
        <v>1295</v>
      </c>
    </row>
    <row r="3032" spans="1:13" ht="140.25">
      <c r="A3032" s="313" t="str">
        <f t="shared" si="47"/>
        <v>FacilityTypeCode_munitionStorageFacility</v>
      </c>
      <c r="B3032" s="330"/>
      <c r="C3032" s="334"/>
      <c r="D3032" s="188" t="s">
        <v>21114</v>
      </c>
      <c r="E3032" s="189" t="s">
        <v>3256</v>
      </c>
      <c r="F3032" s="162" t="s">
        <v>3257</v>
      </c>
      <c r="G3032" s="162" t="s">
        <v>3258</v>
      </c>
      <c r="H3032" s="219"/>
      <c r="I3032" s="169">
        <v>204238</v>
      </c>
      <c r="J3032" s="304" t="str">
        <f>CONCATENATE([2]Cover!$D$6,"fdd/view?i=",I3032)</f>
        <v>https://www.dgiwg.org/FAD/fdd/view?i=204238</v>
      </c>
      <c r="K3032" s="304" t="s">
        <v>37081</v>
      </c>
      <c r="L3032" s="188">
        <v>20</v>
      </c>
      <c r="M3032" s="179" t="s">
        <v>1295</v>
      </c>
    </row>
    <row r="3033" spans="1:13" ht="89.25">
      <c r="A3033" s="313" t="str">
        <f t="shared" si="47"/>
        <v>FacilityTypeCode_officePark</v>
      </c>
      <c r="B3033" s="330"/>
      <c r="C3033" s="334"/>
      <c r="D3033" s="188" t="s">
        <v>21115</v>
      </c>
      <c r="E3033" s="189" t="s">
        <v>3330</v>
      </c>
      <c r="F3033" s="162" t="s">
        <v>3331</v>
      </c>
      <c r="G3033" s="162" t="s">
        <v>3332</v>
      </c>
      <c r="H3033" s="219"/>
      <c r="I3033" s="169">
        <v>204239</v>
      </c>
      <c r="J3033" s="304" t="str">
        <f>CONCATENATE([2]Cover!$D$6,"fdd/view?i=",I3033)</f>
        <v>https://www.dgiwg.org/FAD/fdd/view?i=204239</v>
      </c>
      <c r="K3033" s="304" t="s">
        <v>37082</v>
      </c>
      <c r="L3033" s="188">
        <v>21</v>
      </c>
      <c r="M3033" s="179" t="s">
        <v>1295</v>
      </c>
    </row>
    <row r="3034" spans="1:13" ht="25.5">
      <c r="A3034" s="313" t="str">
        <f t="shared" si="47"/>
        <v>FacilityTypeCode_port</v>
      </c>
      <c r="B3034" s="330"/>
      <c r="C3034" s="334"/>
      <c r="D3034" s="188" t="s">
        <v>21116</v>
      </c>
      <c r="E3034" s="189" t="s">
        <v>3452</v>
      </c>
      <c r="F3034" s="162" t="s">
        <v>3453</v>
      </c>
      <c r="G3034" s="162" t="s">
        <v>3454</v>
      </c>
      <c r="H3034" s="219"/>
      <c r="I3034" s="169">
        <v>204240</v>
      </c>
      <c r="J3034" s="304" t="str">
        <f>CONCATENATE([2]Cover!$D$6,"fdd/view?i=",I3034)</f>
        <v>https://www.dgiwg.org/FAD/fdd/view?i=204240</v>
      </c>
      <c r="K3034" s="304" t="s">
        <v>37083</v>
      </c>
      <c r="L3034" s="188">
        <v>22</v>
      </c>
      <c r="M3034" s="179" t="s">
        <v>1295</v>
      </c>
    </row>
    <row r="3035" spans="1:13" ht="25.5">
      <c r="A3035" s="313" t="str">
        <f t="shared" si="47"/>
        <v>FacilityTypeCode_powerSubstation</v>
      </c>
      <c r="B3035" s="330"/>
      <c r="C3035" s="334"/>
      <c r="D3035" s="188" t="s">
        <v>21117</v>
      </c>
      <c r="E3035" s="189" t="s">
        <v>3467</v>
      </c>
      <c r="F3035" s="162" t="s">
        <v>3468</v>
      </c>
      <c r="G3035" s="190"/>
      <c r="H3035" s="219"/>
      <c r="I3035" s="169">
        <v>204242</v>
      </c>
      <c r="J3035" s="304" t="str">
        <f>CONCATENATE([2]Cover!$D$6,"fdd/view?i=",I3035)</f>
        <v>https://www.dgiwg.org/FAD/fdd/view?i=204242</v>
      </c>
      <c r="K3035" s="304" t="s">
        <v>37084</v>
      </c>
      <c r="L3035" s="188">
        <v>24</v>
      </c>
      <c r="M3035" s="179" t="s">
        <v>1295</v>
      </c>
    </row>
    <row r="3036" spans="1:13" ht="25.5">
      <c r="A3036" s="313" t="str">
        <f t="shared" si="47"/>
        <v>FacilityTypeCode_pumpingStation</v>
      </c>
      <c r="B3036" s="330"/>
      <c r="C3036" s="334"/>
      <c r="D3036" s="188" t="s">
        <v>21118</v>
      </c>
      <c r="E3036" s="189" t="s">
        <v>3506</v>
      </c>
      <c r="F3036" s="162" t="s">
        <v>3507</v>
      </c>
      <c r="G3036" s="190"/>
      <c r="H3036" s="219"/>
      <c r="I3036" s="169">
        <v>204243</v>
      </c>
      <c r="J3036" s="304" t="str">
        <f>CONCATENATE([2]Cover!$D$6,"fdd/view?i=",I3036)</f>
        <v>https://www.dgiwg.org/FAD/fdd/view?i=204243</v>
      </c>
      <c r="K3036" s="304" t="s">
        <v>37085</v>
      </c>
      <c r="L3036" s="188">
        <v>25</v>
      </c>
      <c r="M3036" s="179" t="s">
        <v>1295</v>
      </c>
    </row>
    <row r="3037" spans="1:13" ht="38.25">
      <c r="A3037" s="313" t="str">
        <f t="shared" si="47"/>
        <v>FacilityTypeCode_radarStation</v>
      </c>
      <c r="B3037" s="330"/>
      <c r="C3037" s="334"/>
      <c r="D3037" s="188" t="s">
        <v>21119</v>
      </c>
      <c r="E3037" s="189" t="s">
        <v>3532</v>
      </c>
      <c r="F3037" s="162" t="s">
        <v>3533</v>
      </c>
      <c r="G3037" s="162" t="s">
        <v>3534</v>
      </c>
      <c r="H3037" s="219"/>
      <c r="I3037" s="169">
        <v>204244</v>
      </c>
      <c r="J3037" s="304" t="str">
        <f>CONCATENATE([2]Cover!$D$6,"fdd/view?i=",I3037)</f>
        <v>https://www.dgiwg.org/FAD/fdd/view?i=204244</v>
      </c>
      <c r="K3037" s="304" t="s">
        <v>37086</v>
      </c>
      <c r="L3037" s="188">
        <v>26</v>
      </c>
      <c r="M3037" s="179" t="s">
        <v>1295</v>
      </c>
    </row>
    <row r="3038" spans="1:13" ht="38.25">
      <c r="A3038" s="313" t="str">
        <f t="shared" si="47"/>
        <v>FacilityTypeCode_railwaard</v>
      </c>
      <c r="B3038" s="330"/>
      <c r="C3038" s="334"/>
      <c r="D3038" s="188" t="s">
        <v>21120</v>
      </c>
      <c r="E3038" s="189" t="s">
        <v>3578</v>
      </c>
      <c r="F3038" s="162" t="s">
        <v>3579</v>
      </c>
      <c r="G3038" s="190"/>
      <c r="H3038" s="219"/>
      <c r="I3038" s="169">
        <v>204245</v>
      </c>
      <c r="J3038" s="304" t="str">
        <f>CONCATENATE([2]Cover!$D$6,"fdd/view?i=",I3038)</f>
        <v>https://www.dgiwg.org/FAD/fdd/view?i=204245</v>
      </c>
      <c r="K3038" s="304" t="s">
        <v>37087</v>
      </c>
      <c r="L3038" s="188">
        <v>27</v>
      </c>
      <c r="M3038" s="179" t="s">
        <v>1295</v>
      </c>
    </row>
    <row r="3039" spans="1:13" ht="114.75">
      <c r="A3039" s="313" t="str">
        <f t="shared" si="47"/>
        <v>FacilityTypeCode_ranch</v>
      </c>
      <c r="B3039" s="330"/>
      <c r="C3039" s="334"/>
      <c r="D3039" s="188" t="s">
        <v>21121</v>
      </c>
      <c r="E3039" s="189" t="s">
        <v>3585</v>
      </c>
      <c r="F3039" s="162" t="s">
        <v>3586</v>
      </c>
      <c r="G3039" s="162" t="s">
        <v>3587</v>
      </c>
      <c r="H3039" s="219"/>
      <c r="I3039" s="169">
        <v>204246</v>
      </c>
      <c r="J3039" s="304" t="str">
        <f>CONCATENATE([2]Cover!$D$6,"fdd/view?i=",I3039)</f>
        <v>https://www.dgiwg.org/FAD/fdd/view?i=204246</v>
      </c>
      <c r="K3039" s="304" t="s">
        <v>37088</v>
      </c>
      <c r="L3039" s="188">
        <v>28</v>
      </c>
      <c r="M3039" s="179" t="s">
        <v>1295</v>
      </c>
    </row>
    <row r="3040" spans="1:13" ht="25.5">
      <c r="A3040" s="313" t="str">
        <f t="shared" si="47"/>
        <v>FacilityTypeCode_roadsideRestArea</v>
      </c>
      <c r="B3040" s="330"/>
      <c r="C3040" s="334"/>
      <c r="D3040" s="188" t="s">
        <v>21122</v>
      </c>
      <c r="E3040" s="189" t="s">
        <v>3665</v>
      </c>
      <c r="F3040" s="162" t="s">
        <v>3666</v>
      </c>
      <c r="G3040" s="190"/>
      <c r="H3040" s="219"/>
      <c r="I3040" s="169">
        <v>204247</v>
      </c>
      <c r="J3040" s="304" t="str">
        <f>CONCATENATE([2]Cover!$D$6,"fdd/view?i=",I3040)</f>
        <v>https://www.dgiwg.org/FAD/fdd/view?i=204247</v>
      </c>
      <c r="K3040" s="304" t="s">
        <v>37089</v>
      </c>
      <c r="L3040" s="188">
        <v>29</v>
      </c>
      <c r="M3040" s="179" t="s">
        <v>1295</v>
      </c>
    </row>
    <row r="3041" spans="1:13" ht="25.5">
      <c r="A3041" s="313" t="str">
        <f t="shared" si="47"/>
        <v>FacilityTypeCode_sewageTreatmentPlant</v>
      </c>
      <c r="B3041" s="330"/>
      <c r="C3041" s="334"/>
      <c r="D3041" s="188" t="s">
        <v>21123</v>
      </c>
      <c r="E3041" s="189" t="s">
        <v>3833</v>
      </c>
      <c r="F3041" s="162" t="s">
        <v>3834</v>
      </c>
      <c r="G3041" s="190"/>
      <c r="H3041" s="219"/>
      <c r="I3041" s="169">
        <v>204248</v>
      </c>
      <c r="J3041" s="304" t="str">
        <f>CONCATENATE([2]Cover!$D$6,"fdd/view?i=",I3041)</f>
        <v>https://www.dgiwg.org/FAD/fdd/view?i=204248</v>
      </c>
      <c r="K3041" s="304" t="s">
        <v>37090</v>
      </c>
      <c r="L3041" s="188">
        <v>30</v>
      </c>
      <c r="M3041" s="179" t="s">
        <v>1295</v>
      </c>
    </row>
    <row r="3042" spans="1:13" ht="25.5">
      <c r="A3042" s="313" t="str">
        <f t="shared" si="47"/>
        <v>FacilityTypeCode_shipyard</v>
      </c>
      <c r="B3042" s="330"/>
      <c r="C3042" s="334"/>
      <c r="D3042" s="188" t="s">
        <v>21124</v>
      </c>
      <c r="E3042" s="189" t="s">
        <v>3869</v>
      </c>
      <c r="F3042" s="162" t="s">
        <v>3870</v>
      </c>
      <c r="G3042" s="190"/>
      <c r="H3042" s="219"/>
      <c r="I3042" s="169">
        <v>204249</v>
      </c>
      <c r="J3042" s="304" t="str">
        <f>CONCATENATE([2]Cover!$D$6,"fdd/view?i=",I3042)</f>
        <v>https://www.dgiwg.org/FAD/fdd/view?i=204249</v>
      </c>
      <c r="K3042" s="304" t="s">
        <v>37091</v>
      </c>
      <c r="L3042" s="188">
        <v>31</v>
      </c>
      <c r="M3042" s="179" t="s">
        <v>1295</v>
      </c>
    </row>
    <row r="3043" spans="1:13" ht="140.25">
      <c r="A3043" s="313" t="str">
        <f t="shared" si="47"/>
        <v>FacilityTypeCode_shoppingComplex</v>
      </c>
      <c r="B3043" s="330"/>
      <c r="C3043" s="334"/>
      <c r="D3043" s="188" t="s">
        <v>21125</v>
      </c>
      <c r="E3043" s="189" t="s">
        <v>3873</v>
      </c>
      <c r="F3043" s="162" t="s">
        <v>3874</v>
      </c>
      <c r="G3043" s="162" t="s">
        <v>3875</v>
      </c>
      <c r="H3043" s="219"/>
      <c r="I3043" s="169">
        <v>204250</v>
      </c>
      <c r="J3043" s="304" t="str">
        <f>CONCATENATE([2]Cover!$D$6,"fdd/view?i=",I3043)</f>
        <v>https://www.dgiwg.org/FAD/fdd/view?i=204250</v>
      </c>
      <c r="K3043" s="304" t="s">
        <v>37092</v>
      </c>
      <c r="L3043" s="188">
        <v>32</v>
      </c>
      <c r="M3043" s="179" t="s">
        <v>1295</v>
      </c>
    </row>
    <row r="3044" spans="1:13" ht="25.5">
      <c r="A3044" s="313" t="str">
        <f t="shared" si="47"/>
        <v>FacilityTypeCode_smallCraftFacility</v>
      </c>
      <c r="B3044" s="330"/>
      <c r="C3044" s="334"/>
      <c r="D3044" s="188" t="s">
        <v>21126</v>
      </c>
      <c r="E3044" s="189" t="s">
        <v>3948</v>
      </c>
      <c r="F3044" s="162" t="s">
        <v>3949</v>
      </c>
      <c r="G3044" s="190"/>
      <c r="H3044" s="219"/>
      <c r="I3044" s="169">
        <v>204251</v>
      </c>
      <c r="J3044" s="304" t="str">
        <f>CONCATENATE([2]Cover!$D$6,"fdd/view?i=",I3044)</f>
        <v>https://www.dgiwg.org/FAD/fdd/view?i=204251</v>
      </c>
      <c r="K3044" s="304" t="s">
        <v>37093</v>
      </c>
      <c r="L3044" s="188">
        <v>33</v>
      </c>
      <c r="M3044" s="179" t="s">
        <v>1295</v>
      </c>
    </row>
    <row r="3045" spans="1:13" ht="51">
      <c r="A3045" s="313" t="str">
        <f t="shared" si="47"/>
        <v>FacilityTypeCode_solarFarm</v>
      </c>
      <c r="B3045" s="330"/>
      <c r="C3045" s="334"/>
      <c r="D3045" s="188" t="s">
        <v>21127</v>
      </c>
      <c r="E3045" s="189" t="s">
        <v>3974</v>
      </c>
      <c r="F3045" s="162" t="s">
        <v>3975</v>
      </c>
      <c r="G3045" s="162" t="s">
        <v>3976</v>
      </c>
      <c r="H3045" s="219"/>
      <c r="I3045" s="169">
        <v>204252</v>
      </c>
      <c r="J3045" s="304" t="str">
        <f>CONCATENATE([2]Cover!$D$6,"fdd/view?i=",I3045)</f>
        <v>https://www.dgiwg.org/FAD/fdd/view?i=204252</v>
      </c>
      <c r="K3045" s="304" t="s">
        <v>37094</v>
      </c>
      <c r="L3045" s="188">
        <v>34</v>
      </c>
      <c r="M3045" s="179" t="s">
        <v>1295</v>
      </c>
    </row>
    <row r="3046" spans="1:13" ht="89.25">
      <c r="A3046" s="313" t="str">
        <f t="shared" si="47"/>
        <v>FacilityTypeCode_spa</v>
      </c>
      <c r="B3046" s="330"/>
      <c r="C3046" s="334"/>
      <c r="D3046" s="188" t="s">
        <v>21128</v>
      </c>
      <c r="E3046" s="189" t="s">
        <v>3999</v>
      </c>
      <c r="F3046" s="162" t="s">
        <v>4000</v>
      </c>
      <c r="G3046" s="162" t="s">
        <v>4001</v>
      </c>
      <c r="H3046" s="219"/>
      <c r="I3046" s="169">
        <v>204253</v>
      </c>
      <c r="J3046" s="304" t="str">
        <f>CONCATENATE([2]Cover!$D$6,"fdd/view?i=",I3046)</f>
        <v>https://www.dgiwg.org/FAD/fdd/view?i=204253</v>
      </c>
      <c r="K3046" s="304" t="s">
        <v>37095</v>
      </c>
      <c r="L3046" s="188">
        <v>35</v>
      </c>
      <c r="M3046" s="179" t="s">
        <v>1295</v>
      </c>
    </row>
    <row r="3047" spans="1:13" ht="38.25">
      <c r="A3047" s="313" t="str">
        <f t="shared" si="47"/>
        <v>FacilityTypeCode_spaceFacility</v>
      </c>
      <c r="B3047" s="330"/>
      <c r="C3047" s="334"/>
      <c r="D3047" s="188" t="s">
        <v>21129</v>
      </c>
      <c r="E3047" s="189" t="s">
        <v>4004</v>
      </c>
      <c r="F3047" s="162" t="s">
        <v>4005</v>
      </c>
      <c r="G3047" s="190"/>
      <c r="H3047" s="219"/>
      <c r="I3047" s="169">
        <v>204254</v>
      </c>
      <c r="J3047" s="304" t="str">
        <f>CONCATENATE([2]Cover!$D$6,"fdd/view?i=",I3047)</f>
        <v>https://www.dgiwg.org/FAD/fdd/view?i=204254</v>
      </c>
      <c r="K3047" s="304" t="s">
        <v>37096</v>
      </c>
      <c r="L3047" s="188">
        <v>36</v>
      </c>
      <c r="M3047" s="179" t="s">
        <v>1295</v>
      </c>
    </row>
    <row r="3048" spans="1:13">
      <c r="A3048" s="313" t="str">
        <f t="shared" si="47"/>
        <v>FacilityTypeCode_storageDepot</v>
      </c>
      <c r="B3048" s="330"/>
      <c r="C3048" s="334"/>
      <c r="D3048" s="188" t="s">
        <v>21130</v>
      </c>
      <c r="E3048" s="189" t="s">
        <v>4114</v>
      </c>
      <c r="F3048" s="162" t="s">
        <v>4115</v>
      </c>
      <c r="G3048" s="190"/>
      <c r="H3048" s="219"/>
      <c r="I3048" s="169">
        <v>204255</v>
      </c>
      <c r="J3048" s="304" t="str">
        <f>CONCATENATE([2]Cover!$D$6,"fdd/view?i=",I3048)</f>
        <v>https://www.dgiwg.org/FAD/fdd/view?i=204255</v>
      </c>
      <c r="K3048" s="304" t="s">
        <v>37097</v>
      </c>
      <c r="L3048" s="188">
        <v>37</v>
      </c>
      <c r="M3048" s="179" t="s">
        <v>1295</v>
      </c>
    </row>
    <row r="3049" spans="1:13" ht="38.25">
      <c r="A3049" s="313" t="str">
        <f t="shared" si="47"/>
        <v>FacilityTypeCode_tankFarm</v>
      </c>
      <c r="B3049" s="330"/>
      <c r="C3049" s="334"/>
      <c r="D3049" s="188" t="s">
        <v>21131</v>
      </c>
      <c r="E3049" s="189" t="s">
        <v>4184</v>
      </c>
      <c r="F3049" s="162" t="s">
        <v>4185</v>
      </c>
      <c r="G3049" s="162" t="s">
        <v>4186</v>
      </c>
      <c r="H3049" s="219"/>
      <c r="I3049" s="169">
        <v>204256</v>
      </c>
      <c r="J3049" s="304" t="str">
        <f>CONCATENATE([2]Cover!$D$6,"fdd/view?i=",I3049)</f>
        <v>https://www.dgiwg.org/FAD/fdd/view?i=204256</v>
      </c>
      <c r="K3049" s="304" t="s">
        <v>37098</v>
      </c>
      <c r="L3049" s="188">
        <v>38</v>
      </c>
      <c r="M3049" s="179" t="s">
        <v>1295</v>
      </c>
    </row>
    <row r="3050" spans="1:13">
      <c r="A3050" s="313" t="str">
        <f t="shared" si="47"/>
        <v>FacilityTypeCode_trainingSite</v>
      </c>
      <c r="B3050" s="330"/>
      <c r="C3050" s="334"/>
      <c r="D3050" s="188" t="s">
        <v>21132</v>
      </c>
      <c r="E3050" s="189" t="s">
        <v>4331</v>
      </c>
      <c r="F3050" s="162" t="s">
        <v>4332</v>
      </c>
      <c r="G3050" s="190"/>
      <c r="H3050" s="219"/>
      <c r="I3050" s="169">
        <v>204257</v>
      </c>
      <c r="J3050" s="304" t="str">
        <f>CONCATENATE([2]Cover!$D$6,"fdd/view?i=",I3050)</f>
        <v>https://www.dgiwg.org/FAD/fdd/view?i=204257</v>
      </c>
      <c r="K3050" s="304" t="s">
        <v>37099</v>
      </c>
      <c r="L3050" s="188">
        <v>39</v>
      </c>
      <c r="M3050" s="179" t="s">
        <v>1295</v>
      </c>
    </row>
    <row r="3051" spans="1:13" ht="25.5">
      <c r="A3051" s="313" t="str">
        <f t="shared" si="47"/>
        <v>FacilityTypeCode_waterwork</v>
      </c>
      <c r="B3051" s="330"/>
      <c r="C3051" s="334"/>
      <c r="D3051" s="188" t="s">
        <v>21133</v>
      </c>
      <c r="E3051" s="189" t="s">
        <v>4577</v>
      </c>
      <c r="F3051" s="162" t="s">
        <v>4578</v>
      </c>
      <c r="G3051" s="190"/>
      <c r="H3051" s="219"/>
      <c r="I3051" s="169">
        <v>204258</v>
      </c>
      <c r="J3051" s="304" t="str">
        <f>CONCATENATE([2]Cover!$D$6,"fdd/view?i=",I3051)</f>
        <v>https://www.dgiwg.org/FAD/fdd/view?i=204258</v>
      </c>
      <c r="K3051" s="304" t="s">
        <v>37100</v>
      </c>
      <c r="L3051" s="188">
        <v>40</v>
      </c>
      <c r="M3051" s="179" t="s">
        <v>1295</v>
      </c>
    </row>
    <row r="3052" spans="1:13" ht="25.5">
      <c r="A3052" s="313" t="str">
        <f t="shared" si="47"/>
        <v>FacilityTypeCode_windFarm</v>
      </c>
      <c r="B3052" s="330"/>
      <c r="C3052" s="334"/>
      <c r="D3052" s="188" t="s">
        <v>21134</v>
      </c>
      <c r="E3052" s="189" t="s">
        <v>4613</v>
      </c>
      <c r="F3052" s="162" t="s">
        <v>4614</v>
      </c>
      <c r="G3052" s="190"/>
      <c r="H3052" s="219"/>
      <c r="I3052" s="169">
        <v>204259</v>
      </c>
      <c r="J3052" s="304" t="str">
        <f>CONCATENATE([2]Cover!$D$6,"fdd/view?i=",I3052)</f>
        <v>https://www.dgiwg.org/FAD/fdd/view?i=204259</v>
      </c>
      <c r="K3052" s="304" t="s">
        <v>37101</v>
      </c>
      <c r="L3052" s="188">
        <v>41</v>
      </c>
      <c r="M3052" s="179" t="s">
        <v>1295</v>
      </c>
    </row>
    <row r="3053" spans="1:13" ht="25.5">
      <c r="A3053" s="313" t="str">
        <f t="shared" si="47"/>
        <v>FacilityTypeCode_zoo</v>
      </c>
      <c r="B3053" s="331"/>
      <c r="C3053" s="335"/>
      <c r="D3053" s="181" t="s">
        <v>21135</v>
      </c>
      <c r="E3053" s="192" t="s">
        <v>4635</v>
      </c>
      <c r="F3053" s="193" t="s">
        <v>4636</v>
      </c>
      <c r="G3053" s="194"/>
      <c r="H3053" s="220"/>
      <c r="I3053" s="169">
        <v>204260</v>
      </c>
      <c r="J3053" s="304" t="str">
        <f>CONCATENATE([2]Cover!$D$6,"fdd/view?i=",I3053)</f>
        <v>https://www.dgiwg.org/FAD/fdd/view?i=204260</v>
      </c>
      <c r="K3053" s="304" t="s">
        <v>37102</v>
      </c>
      <c r="L3053" s="181">
        <v>42</v>
      </c>
      <c r="M3053" s="179" t="s">
        <v>1295</v>
      </c>
    </row>
    <row r="3054" spans="1:13" ht="38.25">
      <c r="A3054" s="313" t="str">
        <f t="shared" si="47"/>
        <v>FarmingMethodCode_fallow</v>
      </c>
      <c r="B3054" s="332" t="str">
        <f>HYPERLINK("[#]Datatypes!A542:L542","FarmingMethodCode")</f>
        <v>FarmingMethodCode</v>
      </c>
      <c r="C3054" s="333" t="s">
        <v>12086</v>
      </c>
      <c r="D3054" s="202" t="s">
        <v>21136</v>
      </c>
      <c r="E3054" s="203" t="s">
        <v>21137</v>
      </c>
      <c r="F3054" s="204" t="s">
        <v>21138</v>
      </c>
      <c r="G3054" s="204" t="s">
        <v>21139</v>
      </c>
      <c r="H3054" s="222" t="s">
        <v>21140</v>
      </c>
      <c r="I3054" s="169">
        <v>103703</v>
      </c>
      <c r="J3054" s="304" t="str">
        <f>CONCATENATE([2]Cover!$D$6,"fdd/view?i=",I3054)</f>
        <v>https://www.dgiwg.org/FAD/fdd/view?i=103703</v>
      </c>
      <c r="K3054" s="304" t="s">
        <v>37103</v>
      </c>
      <c r="L3054" s="202">
        <v>1</v>
      </c>
      <c r="M3054" s="179" t="s">
        <v>151</v>
      </c>
    </row>
    <row r="3055" spans="1:13" ht="25.5">
      <c r="A3055" s="313" t="str">
        <f t="shared" si="47"/>
        <v>FarmingMethodCode_grazing</v>
      </c>
      <c r="B3055" s="330"/>
      <c r="C3055" s="334"/>
      <c r="D3055" s="188" t="s">
        <v>21141</v>
      </c>
      <c r="E3055" s="189" t="s">
        <v>21142</v>
      </c>
      <c r="F3055" s="162" t="s">
        <v>21143</v>
      </c>
      <c r="G3055" s="190"/>
      <c r="H3055" s="219"/>
      <c r="I3055" s="169">
        <v>103704</v>
      </c>
      <c r="J3055" s="304" t="str">
        <f>CONCATENATE([2]Cover!$D$6,"fdd/view?i=",I3055)</f>
        <v>https://www.dgiwg.org/FAD/fdd/view?i=103704</v>
      </c>
      <c r="K3055" s="304" t="s">
        <v>37104</v>
      </c>
      <c r="L3055" s="188">
        <v>2</v>
      </c>
      <c r="M3055" s="179" t="s">
        <v>151</v>
      </c>
    </row>
    <row r="3056" spans="1:13" ht="38.25">
      <c r="A3056" s="313" t="str">
        <f t="shared" si="47"/>
        <v>FarmingMethodCode_permanent</v>
      </c>
      <c r="B3056" s="330"/>
      <c r="C3056" s="334"/>
      <c r="D3056" s="188" t="s">
        <v>9093</v>
      </c>
      <c r="E3056" s="189" t="s">
        <v>9094</v>
      </c>
      <c r="F3056" s="162" t="s">
        <v>21144</v>
      </c>
      <c r="G3056" s="162" t="s">
        <v>21145</v>
      </c>
      <c r="H3056" s="219"/>
      <c r="I3056" s="169">
        <v>103705</v>
      </c>
      <c r="J3056" s="304" t="str">
        <f>CONCATENATE([2]Cover!$D$6,"fdd/view?i=",I3056)</f>
        <v>https://www.dgiwg.org/FAD/fdd/view?i=103705</v>
      </c>
      <c r="K3056" s="304" t="s">
        <v>37105</v>
      </c>
      <c r="L3056" s="188">
        <v>3</v>
      </c>
      <c r="M3056" s="179" t="s">
        <v>151</v>
      </c>
    </row>
    <row r="3057" spans="1:13" ht="25.5">
      <c r="A3057" s="313" t="str">
        <f t="shared" si="47"/>
        <v>FarmingMethodCode_permanentIrrigation</v>
      </c>
      <c r="B3057" s="330"/>
      <c r="C3057" s="334"/>
      <c r="D3057" s="188" t="s">
        <v>21146</v>
      </c>
      <c r="E3057" s="189" t="s">
        <v>21147</v>
      </c>
      <c r="F3057" s="162" t="s">
        <v>21148</v>
      </c>
      <c r="G3057" s="190"/>
      <c r="H3057" s="219"/>
      <c r="I3057" s="169">
        <v>110176</v>
      </c>
      <c r="J3057" s="304" t="str">
        <f>CONCATENATE([2]Cover!$D$6,"fdd/view?i=",I3057)</f>
        <v>https://www.dgiwg.org/FAD/fdd/view?i=110176</v>
      </c>
      <c r="K3057" s="304" t="s">
        <v>37106</v>
      </c>
      <c r="L3057" s="188">
        <v>5</v>
      </c>
      <c r="M3057" s="179" t="s">
        <v>151</v>
      </c>
    </row>
    <row r="3058" spans="1:13" ht="25.5">
      <c r="A3058" s="313" t="str">
        <f t="shared" si="47"/>
        <v>FarmingMethodCode_slashAndBurn</v>
      </c>
      <c r="B3058" s="331"/>
      <c r="C3058" s="335"/>
      <c r="D3058" s="181" t="s">
        <v>21149</v>
      </c>
      <c r="E3058" s="192" t="s">
        <v>21150</v>
      </c>
      <c r="F3058" s="193" t="s">
        <v>21151</v>
      </c>
      <c r="G3058" s="193" t="s">
        <v>21152</v>
      </c>
      <c r="H3058" s="220"/>
      <c r="I3058" s="169">
        <v>103706</v>
      </c>
      <c r="J3058" s="304" t="str">
        <f>CONCATENATE([2]Cover!$D$6,"fdd/view?i=",I3058)</f>
        <v>https://www.dgiwg.org/FAD/fdd/view?i=103706</v>
      </c>
      <c r="K3058" s="304" t="s">
        <v>37107</v>
      </c>
      <c r="L3058" s="181">
        <v>4</v>
      </c>
      <c r="M3058" s="179" t="s">
        <v>151</v>
      </c>
    </row>
    <row r="3059" spans="1:13" ht="25.5">
      <c r="A3059" s="313" t="str">
        <f t="shared" si="47"/>
        <v>FarmingPatternCode_intermingledTrees</v>
      </c>
      <c r="B3059" s="332" t="str">
        <f>HYPERLINK("[#]Datatypes!A544:L544","FarmingPatternCode")</f>
        <v>FarmingPatternCode</v>
      </c>
      <c r="C3059" s="333" t="s">
        <v>12088</v>
      </c>
      <c r="D3059" s="202" t="s">
        <v>21153</v>
      </c>
      <c r="E3059" s="203" t="s">
        <v>21154</v>
      </c>
      <c r="F3059" s="204" t="s">
        <v>21155</v>
      </c>
      <c r="G3059" s="205"/>
      <c r="H3059" s="218"/>
      <c r="I3059" s="169">
        <v>110172</v>
      </c>
      <c r="J3059" s="304" t="str">
        <f>CONCATENATE([2]Cover!$D$6,"fdd/view?i=",I3059)</f>
        <v>https://www.dgiwg.org/FAD/fdd/view?i=110172</v>
      </c>
      <c r="K3059" s="304" t="s">
        <v>37108</v>
      </c>
      <c r="L3059" s="202">
        <v>5</v>
      </c>
      <c r="M3059" s="179" t="s">
        <v>151</v>
      </c>
    </row>
    <row r="3060" spans="1:13" ht="25.5">
      <c r="A3060" s="313" t="str">
        <f t="shared" si="47"/>
        <v>FarmingPatternCode_intermingledWoods</v>
      </c>
      <c r="B3060" s="330"/>
      <c r="C3060" s="334"/>
      <c r="D3060" s="188" t="s">
        <v>21156</v>
      </c>
      <c r="E3060" s="189" t="s">
        <v>21157</v>
      </c>
      <c r="F3060" s="162" t="s">
        <v>21158</v>
      </c>
      <c r="G3060" s="190"/>
      <c r="H3060" s="219"/>
      <c r="I3060" s="169">
        <v>110171</v>
      </c>
      <c r="J3060" s="304" t="str">
        <f>CONCATENATE([2]Cover!$D$6,"fdd/view?i=",I3060)</f>
        <v>https://www.dgiwg.org/FAD/fdd/view?i=110171</v>
      </c>
      <c r="K3060" s="304" t="s">
        <v>37109</v>
      </c>
      <c r="L3060" s="188">
        <v>4</v>
      </c>
      <c r="M3060" s="179" t="s">
        <v>151</v>
      </c>
    </row>
    <row r="3061" spans="1:13">
      <c r="A3061" s="313" t="str">
        <f t="shared" si="47"/>
        <v>FarmingPatternCode_irregular</v>
      </c>
      <c r="B3061" s="330"/>
      <c r="C3061" s="334"/>
      <c r="D3061" s="188" t="s">
        <v>15417</v>
      </c>
      <c r="E3061" s="189" t="s">
        <v>15418</v>
      </c>
      <c r="F3061" s="162" t="s">
        <v>21159</v>
      </c>
      <c r="G3061" s="190"/>
      <c r="H3061" s="219"/>
      <c r="I3061" s="169">
        <v>110175</v>
      </c>
      <c r="J3061" s="304" t="str">
        <f>CONCATENATE([2]Cover!$D$6,"fdd/view?i=",I3061)</f>
        <v>https://www.dgiwg.org/FAD/fdd/view?i=110175</v>
      </c>
      <c r="K3061" s="304" t="s">
        <v>37110</v>
      </c>
      <c r="L3061" s="188">
        <v>8</v>
      </c>
      <c r="M3061" s="179" t="s">
        <v>151</v>
      </c>
    </row>
    <row r="3062" spans="1:13" ht="25.5">
      <c r="A3062" s="313" t="str">
        <f t="shared" si="47"/>
        <v>FarmingPatternCode_linear</v>
      </c>
      <c r="B3062" s="330"/>
      <c r="C3062" s="334"/>
      <c r="D3062" s="188" t="s">
        <v>21160</v>
      </c>
      <c r="E3062" s="189" t="s">
        <v>21161</v>
      </c>
      <c r="F3062" s="162" t="s">
        <v>21162</v>
      </c>
      <c r="G3062" s="162" t="s">
        <v>21163</v>
      </c>
      <c r="H3062" s="219"/>
      <c r="I3062" s="169">
        <v>103668</v>
      </c>
      <c r="J3062" s="304" t="str">
        <f>CONCATENATE([2]Cover!$D$6,"fdd/view?i=",I3062)</f>
        <v>https://www.dgiwg.org/FAD/fdd/view?i=103668</v>
      </c>
      <c r="K3062" s="304" t="s">
        <v>37111</v>
      </c>
      <c r="L3062" s="188">
        <v>1</v>
      </c>
      <c r="M3062" s="179" t="s">
        <v>151</v>
      </c>
    </row>
    <row r="3063" spans="1:13" ht="25.5">
      <c r="A3063" s="313" t="str">
        <f t="shared" si="47"/>
        <v>FarmingPatternCode_regular</v>
      </c>
      <c r="B3063" s="330"/>
      <c r="C3063" s="334"/>
      <c r="D3063" s="188" t="s">
        <v>21164</v>
      </c>
      <c r="E3063" s="189" t="s">
        <v>21165</v>
      </c>
      <c r="F3063" s="162" t="s">
        <v>21166</v>
      </c>
      <c r="G3063" s="162" t="s">
        <v>21167</v>
      </c>
      <c r="H3063" s="219"/>
      <c r="I3063" s="169">
        <v>103669</v>
      </c>
      <c r="J3063" s="304" t="str">
        <f>CONCATENATE([2]Cover!$D$6,"fdd/view?i=",I3063)</f>
        <v>https://www.dgiwg.org/FAD/fdd/view?i=103669</v>
      </c>
      <c r="K3063" s="304" t="s">
        <v>37112</v>
      </c>
      <c r="L3063" s="188">
        <v>2</v>
      </c>
      <c r="M3063" s="179" t="s">
        <v>151</v>
      </c>
    </row>
    <row r="3064" spans="1:13" ht="38.25">
      <c r="A3064" s="313" t="str">
        <f t="shared" si="47"/>
        <v>FarmingPatternCode_terraced</v>
      </c>
      <c r="B3064" s="330"/>
      <c r="C3064" s="334"/>
      <c r="D3064" s="188" t="s">
        <v>21168</v>
      </c>
      <c r="E3064" s="189" t="s">
        <v>21169</v>
      </c>
      <c r="F3064" s="162" t="s">
        <v>21170</v>
      </c>
      <c r="G3064" s="162" t="s">
        <v>21171</v>
      </c>
      <c r="H3064" s="219"/>
      <c r="I3064" s="169">
        <v>103670</v>
      </c>
      <c r="J3064" s="304" t="str">
        <f>CONCATENATE([2]Cover!$D$6,"fdd/view?i=",I3064)</f>
        <v>https://www.dgiwg.org/FAD/fdd/view?i=103670</v>
      </c>
      <c r="K3064" s="304" t="s">
        <v>37113</v>
      </c>
      <c r="L3064" s="188">
        <v>3</v>
      </c>
      <c r="M3064" s="179" t="s">
        <v>151</v>
      </c>
    </row>
    <row r="3065" spans="1:13">
      <c r="A3065" s="313" t="str">
        <f t="shared" si="47"/>
        <v>FarmingPatternCode_treeless</v>
      </c>
      <c r="B3065" s="330"/>
      <c r="C3065" s="334"/>
      <c r="D3065" s="188" t="s">
        <v>21172</v>
      </c>
      <c r="E3065" s="189" t="s">
        <v>21173</v>
      </c>
      <c r="F3065" s="162" t="s">
        <v>21174</v>
      </c>
      <c r="G3065" s="190"/>
      <c r="H3065" s="219"/>
      <c r="I3065" s="169">
        <v>110173</v>
      </c>
      <c r="J3065" s="304" t="str">
        <f>CONCATENATE([2]Cover!$D$6,"fdd/view?i=",I3065)</f>
        <v>https://www.dgiwg.org/FAD/fdd/view?i=110173</v>
      </c>
      <c r="K3065" s="304" t="s">
        <v>37114</v>
      </c>
      <c r="L3065" s="188">
        <v>6</v>
      </c>
      <c r="M3065" s="179" t="s">
        <v>151</v>
      </c>
    </row>
    <row r="3066" spans="1:13" ht="38.25">
      <c r="A3066" s="313" t="str">
        <f t="shared" si="47"/>
        <v>FarmingPatternCode_trellised</v>
      </c>
      <c r="B3066" s="331"/>
      <c r="C3066" s="335"/>
      <c r="D3066" s="181" t="s">
        <v>21175</v>
      </c>
      <c r="E3066" s="192" t="s">
        <v>21176</v>
      </c>
      <c r="F3066" s="193" t="s">
        <v>21177</v>
      </c>
      <c r="G3066" s="194"/>
      <c r="H3066" s="220"/>
      <c r="I3066" s="169">
        <v>110174</v>
      </c>
      <c r="J3066" s="304" t="str">
        <f>CONCATENATE([2]Cover!$D$6,"fdd/view?i=",I3066)</f>
        <v>https://www.dgiwg.org/FAD/fdd/view?i=110174</v>
      </c>
      <c r="K3066" s="304" t="s">
        <v>37115</v>
      </c>
      <c r="L3066" s="181">
        <v>7</v>
      </c>
      <c r="M3066" s="179" t="s">
        <v>151</v>
      </c>
    </row>
    <row r="3067" spans="1:13" ht="25.5">
      <c r="A3067" s="313" t="str">
        <f t="shared" si="47"/>
        <v>FeatureConfigurationCode_dividedDifferent</v>
      </c>
      <c r="B3067" s="332" t="str">
        <f>HYPERLINK("[#]Datatypes!A546:L546","FeatureConfigurationCode")</f>
        <v>FeatureConfigurationCode</v>
      </c>
      <c r="C3067" s="333" t="s">
        <v>12090</v>
      </c>
      <c r="D3067" s="202" t="s">
        <v>21178</v>
      </c>
      <c r="E3067" s="203" t="s">
        <v>21179</v>
      </c>
      <c r="F3067" s="204" t="s">
        <v>21180</v>
      </c>
      <c r="G3067" s="205"/>
      <c r="H3067" s="218"/>
      <c r="I3067" s="169">
        <v>103592</v>
      </c>
      <c r="J3067" s="304" t="str">
        <f>CONCATENATE([2]Cover!$D$6,"fdd/view?i=",I3067)</f>
        <v>https://www.dgiwg.org/FAD/fdd/view?i=103592</v>
      </c>
      <c r="K3067" s="304" t="s">
        <v>37116</v>
      </c>
      <c r="L3067" s="202">
        <v>6</v>
      </c>
      <c r="M3067" s="179" t="s">
        <v>151</v>
      </c>
    </row>
    <row r="3068" spans="1:13" ht="25.5">
      <c r="A3068" s="313" t="str">
        <f t="shared" si="47"/>
        <v>FeatureConfigurationCode_dividedSame</v>
      </c>
      <c r="B3068" s="330"/>
      <c r="C3068" s="334"/>
      <c r="D3068" s="188" t="s">
        <v>21181</v>
      </c>
      <c r="E3068" s="189" t="s">
        <v>21182</v>
      </c>
      <c r="F3068" s="162" t="s">
        <v>21183</v>
      </c>
      <c r="G3068" s="162" t="s">
        <v>21184</v>
      </c>
      <c r="H3068" s="219"/>
      <c r="I3068" s="169">
        <v>103591</v>
      </c>
      <c r="J3068" s="304" t="str">
        <f>CONCATENATE([2]Cover!$D$6,"fdd/view?i=",I3068)</f>
        <v>https://www.dgiwg.org/FAD/fdd/view?i=103591</v>
      </c>
      <c r="K3068" s="304" t="s">
        <v>37117</v>
      </c>
      <c r="L3068" s="188">
        <v>5</v>
      </c>
      <c r="M3068" s="179" t="s">
        <v>151</v>
      </c>
    </row>
    <row r="3069" spans="1:13" ht="25.5">
      <c r="A3069" s="313" t="str">
        <f t="shared" si="47"/>
        <v>FeatureConfigurationCode_nonDivided</v>
      </c>
      <c r="B3069" s="331"/>
      <c r="C3069" s="335"/>
      <c r="D3069" s="181" t="s">
        <v>21185</v>
      </c>
      <c r="E3069" s="192" t="s">
        <v>21186</v>
      </c>
      <c r="F3069" s="193" t="s">
        <v>21187</v>
      </c>
      <c r="G3069" s="194"/>
      <c r="H3069" s="220"/>
      <c r="I3069" s="169">
        <v>103593</v>
      </c>
      <c r="J3069" s="304" t="str">
        <f>CONCATENATE([2]Cover!$D$6,"fdd/view?i=",I3069)</f>
        <v>https://www.dgiwg.org/FAD/fdd/view?i=103593</v>
      </c>
      <c r="K3069" s="304" t="s">
        <v>37118</v>
      </c>
      <c r="L3069" s="181">
        <v>7</v>
      </c>
      <c r="M3069" s="179" t="s">
        <v>151</v>
      </c>
    </row>
    <row r="3070" spans="1:13" ht="25.5">
      <c r="A3070" s="313" t="str">
        <f t="shared" si="47"/>
        <v>FeatureExtractProcessTypeCode_arcGIS</v>
      </c>
      <c r="B3070" s="332" t="str">
        <f>HYPERLINK("[#]Datatypes!A548:L548","FeatureExtractProcessTypeCode")</f>
        <v>FeatureExtractProcessTypeCode</v>
      </c>
      <c r="C3070" s="333" t="s">
        <v>12092</v>
      </c>
      <c r="D3070" s="202" t="s">
        <v>21188</v>
      </c>
      <c r="E3070" s="203" t="s">
        <v>21189</v>
      </c>
      <c r="F3070" s="204" t="s">
        <v>21190</v>
      </c>
      <c r="G3070" s="205"/>
      <c r="H3070" s="218"/>
      <c r="I3070" s="169">
        <v>206280</v>
      </c>
      <c r="J3070" s="304" t="str">
        <f>CONCATENATE([2]Cover!$D$6,"fdd/view?i=",I3070)</f>
        <v>https://www.dgiwg.org/FAD/fdd/view?i=206280</v>
      </c>
      <c r="K3070" s="304" t="s">
        <v>37119</v>
      </c>
      <c r="L3070" s="202">
        <v>1</v>
      </c>
      <c r="M3070" s="179" t="s">
        <v>1295</v>
      </c>
    </row>
    <row r="3071" spans="1:13" ht="25.5">
      <c r="A3071" s="313" t="str">
        <f t="shared" si="47"/>
        <v>FeatureExtractProcessTypeCode_erdas</v>
      </c>
      <c r="B3071" s="330"/>
      <c r="C3071" s="334"/>
      <c r="D3071" s="188" t="s">
        <v>21191</v>
      </c>
      <c r="E3071" s="189" t="s">
        <v>21192</v>
      </c>
      <c r="F3071" s="162" t="s">
        <v>21193</v>
      </c>
      <c r="G3071" s="190"/>
      <c r="H3071" s="219"/>
      <c r="I3071" s="169">
        <v>206281</v>
      </c>
      <c r="J3071" s="304" t="str">
        <f>CONCATENATE([2]Cover!$D$6,"fdd/view?i=",I3071)</f>
        <v>https://www.dgiwg.org/FAD/fdd/view?i=206281</v>
      </c>
      <c r="K3071" s="304" t="s">
        <v>37120</v>
      </c>
      <c r="L3071" s="188">
        <v>2</v>
      </c>
      <c r="M3071" s="179" t="s">
        <v>1295</v>
      </c>
    </row>
    <row r="3072" spans="1:13" ht="25.5">
      <c r="A3072" s="313" t="str">
        <f t="shared" si="47"/>
        <v>FeatureExtractProcessTypeCode_remoteView</v>
      </c>
      <c r="B3072" s="330"/>
      <c r="C3072" s="334"/>
      <c r="D3072" s="188" t="s">
        <v>21194</v>
      </c>
      <c r="E3072" s="189" t="s">
        <v>21195</v>
      </c>
      <c r="F3072" s="162" t="s">
        <v>21196</v>
      </c>
      <c r="G3072" s="190"/>
      <c r="H3072" s="219"/>
      <c r="I3072" s="169">
        <v>206282</v>
      </c>
      <c r="J3072" s="304" t="str">
        <f>CONCATENATE([2]Cover!$D$6,"fdd/view?i=",I3072)</f>
        <v>https://www.dgiwg.org/FAD/fdd/view?i=206282</v>
      </c>
      <c r="K3072" s="304" t="s">
        <v>37121</v>
      </c>
      <c r="L3072" s="188">
        <v>3</v>
      </c>
      <c r="M3072" s="179" t="s">
        <v>1295</v>
      </c>
    </row>
    <row r="3073" spans="1:13" ht="25.5">
      <c r="A3073" s="313" t="str">
        <f t="shared" si="47"/>
        <v>FeatureExtractProcessTypeCode_socetGxp</v>
      </c>
      <c r="B3073" s="330"/>
      <c r="C3073" s="334"/>
      <c r="D3073" s="188" t="s">
        <v>21197</v>
      </c>
      <c r="E3073" s="189" t="s">
        <v>21198</v>
      </c>
      <c r="F3073" s="162" t="s">
        <v>21199</v>
      </c>
      <c r="G3073" s="190"/>
      <c r="H3073" s="219"/>
      <c r="I3073" s="169">
        <v>206283</v>
      </c>
      <c r="J3073" s="304" t="str">
        <f>CONCATENATE([2]Cover!$D$6,"fdd/view?i=",I3073)</f>
        <v>https://www.dgiwg.org/FAD/fdd/view?i=206283</v>
      </c>
      <c r="K3073" s="304" t="s">
        <v>37122</v>
      </c>
      <c r="L3073" s="188">
        <v>4</v>
      </c>
      <c r="M3073" s="179" t="s">
        <v>1295</v>
      </c>
    </row>
    <row r="3074" spans="1:13" ht="25.5">
      <c r="A3074" s="313" t="str">
        <f t="shared" si="47"/>
        <v>FeatureExtractProcessTypeCode_socetSet</v>
      </c>
      <c r="B3074" s="331"/>
      <c r="C3074" s="335"/>
      <c r="D3074" s="181" t="s">
        <v>21200</v>
      </c>
      <c r="E3074" s="192" t="s">
        <v>21201</v>
      </c>
      <c r="F3074" s="193" t="s">
        <v>21202</v>
      </c>
      <c r="G3074" s="194"/>
      <c r="H3074" s="220"/>
      <c r="I3074" s="169">
        <v>206284</v>
      </c>
      <c r="J3074" s="304" t="str">
        <f>CONCATENATE([2]Cover!$D$6,"fdd/view?i=",I3074)</f>
        <v>https://www.dgiwg.org/FAD/fdd/view?i=206284</v>
      </c>
      <c r="K3074" s="304" t="s">
        <v>37123</v>
      </c>
      <c r="L3074" s="181">
        <v>5</v>
      </c>
      <c r="M3074" s="179" t="s">
        <v>1295</v>
      </c>
    </row>
    <row r="3075" spans="1:13" ht="51">
      <c r="A3075" s="313" t="str">
        <f t="shared" ref="A3075:A3138" si="48">HYPERLINK(J3075,K3075)</f>
        <v>FeatureFunctionCode_accommodation</v>
      </c>
      <c r="B3075" s="332" t="str">
        <f>HYPERLINK("[#]Datatypes!A550:L550","FeatureFunctionCode")</f>
        <v>FeatureFunctionCode</v>
      </c>
      <c r="C3075" s="333" t="s">
        <v>12094</v>
      </c>
      <c r="D3075" s="202" t="s">
        <v>21203</v>
      </c>
      <c r="E3075" s="203" t="s">
        <v>21204</v>
      </c>
      <c r="F3075" s="204" t="s">
        <v>21205</v>
      </c>
      <c r="G3075" s="204" t="s">
        <v>21206</v>
      </c>
      <c r="H3075" s="218"/>
      <c r="I3075" s="169">
        <v>112124</v>
      </c>
      <c r="J3075" s="304" t="str">
        <f>CONCATENATE([2]Cover!$D$6,"fdd/view?i=",I3075)</f>
        <v>https://www.dgiwg.org/FAD/fdd/view?i=112124</v>
      </c>
      <c r="K3075" s="304" t="s">
        <v>37124</v>
      </c>
      <c r="L3075" s="202">
        <v>550</v>
      </c>
      <c r="M3075" s="179" t="s">
        <v>151</v>
      </c>
    </row>
    <row r="3076" spans="1:13" ht="114.75">
      <c r="A3076" s="313" t="str">
        <f t="shared" si="48"/>
        <v>FeatureFunctionCode_accounting</v>
      </c>
      <c r="B3076" s="330"/>
      <c r="C3076" s="334"/>
      <c r="D3076" s="188" t="s">
        <v>21207</v>
      </c>
      <c r="E3076" s="189" t="s">
        <v>21208</v>
      </c>
      <c r="F3076" s="162" t="s">
        <v>21209</v>
      </c>
      <c r="G3076" s="162" t="s">
        <v>21210</v>
      </c>
      <c r="H3076" s="219"/>
      <c r="I3076" s="169">
        <v>112198</v>
      </c>
      <c r="J3076" s="304" t="str">
        <f>CONCATENATE([2]Cover!$D$6,"fdd/view?i=",I3076)</f>
        <v>https://www.dgiwg.org/FAD/fdd/view?i=112198</v>
      </c>
      <c r="K3076" s="304" t="s">
        <v>37125</v>
      </c>
      <c r="L3076" s="188">
        <v>696</v>
      </c>
      <c r="M3076" s="179" t="s">
        <v>151</v>
      </c>
    </row>
    <row r="3077" spans="1:13" ht="25.5">
      <c r="A3077" s="313" t="str">
        <f t="shared" si="48"/>
        <v>FeatureFunctionCode_administration</v>
      </c>
      <c r="B3077" s="330"/>
      <c r="C3077" s="334"/>
      <c r="D3077" s="188" t="s">
        <v>21211</v>
      </c>
      <c r="E3077" s="189" t="s">
        <v>21212</v>
      </c>
      <c r="F3077" s="162" t="s">
        <v>21213</v>
      </c>
      <c r="G3077" s="190"/>
      <c r="H3077" s="219"/>
      <c r="I3077" s="169">
        <v>112246</v>
      </c>
      <c r="J3077" s="304" t="str">
        <f>CONCATENATE([2]Cover!$D$6,"fdd/view?i=",I3077)</f>
        <v>https://www.dgiwg.org/FAD/fdd/view?i=112246</v>
      </c>
      <c r="K3077" s="304" t="s">
        <v>37126</v>
      </c>
      <c r="L3077" s="188">
        <v>810</v>
      </c>
      <c r="M3077" s="179" t="s">
        <v>151</v>
      </c>
    </row>
    <row r="3078" spans="1:13" ht="76.5">
      <c r="A3078" s="313" t="str">
        <f t="shared" si="48"/>
        <v>FeatureFunctionCode_adultEntertainment</v>
      </c>
      <c r="B3078" s="330"/>
      <c r="C3078" s="334"/>
      <c r="D3078" s="188" t="s">
        <v>21214</v>
      </c>
      <c r="E3078" s="189" t="s">
        <v>21215</v>
      </c>
      <c r="F3078" s="162" t="s">
        <v>21216</v>
      </c>
      <c r="G3078" s="162" t="s">
        <v>21217</v>
      </c>
      <c r="H3078" s="219"/>
      <c r="I3078" s="169">
        <v>112398</v>
      </c>
      <c r="J3078" s="304" t="str">
        <f>CONCATENATE([2]Cover!$D$6,"fdd/view?i=",I3078)</f>
        <v>https://www.dgiwg.org/FAD/fdd/view?i=112398</v>
      </c>
      <c r="K3078" s="304" t="s">
        <v>37127</v>
      </c>
      <c r="L3078" s="188">
        <v>966</v>
      </c>
      <c r="M3078" s="179" t="s">
        <v>151</v>
      </c>
    </row>
    <row r="3079" spans="1:13" ht="114.75">
      <c r="A3079" s="313" t="str">
        <f t="shared" si="48"/>
        <v>FeatureFunctionCode_advertising</v>
      </c>
      <c r="B3079" s="330"/>
      <c r="C3079" s="334"/>
      <c r="D3079" s="188" t="s">
        <v>21218</v>
      </c>
      <c r="E3079" s="189" t="s">
        <v>21219</v>
      </c>
      <c r="F3079" s="162" t="s">
        <v>21220</v>
      </c>
      <c r="G3079" s="162" t="s">
        <v>21221</v>
      </c>
      <c r="H3079" s="219"/>
      <c r="I3079" s="169">
        <v>112220</v>
      </c>
      <c r="J3079" s="304" t="str">
        <f>CONCATENATE([2]Cover!$D$6,"fdd/view?i=",I3079)</f>
        <v>https://www.dgiwg.org/FAD/fdd/view?i=112220</v>
      </c>
      <c r="K3079" s="304" t="s">
        <v>37128</v>
      </c>
      <c r="L3079" s="188">
        <v>741</v>
      </c>
      <c r="M3079" s="179" t="s">
        <v>151</v>
      </c>
    </row>
    <row r="3080" spans="1:13">
      <c r="A3080" s="313" t="str">
        <f t="shared" si="48"/>
        <v>FeatureFunctionCode_agriculture</v>
      </c>
      <c r="B3080" s="330"/>
      <c r="C3080" s="334"/>
      <c r="D3080" s="188" t="s">
        <v>21222</v>
      </c>
      <c r="E3080" s="189" t="s">
        <v>21223</v>
      </c>
      <c r="F3080" s="162" t="s">
        <v>21224</v>
      </c>
      <c r="G3080" s="190"/>
      <c r="H3080" s="219"/>
      <c r="I3080" s="169">
        <v>111832</v>
      </c>
      <c r="J3080" s="304" t="str">
        <f>CONCATENATE([2]Cover!$D$6,"fdd/view?i=",I3080)</f>
        <v>https://www.dgiwg.org/FAD/fdd/view?i=111832</v>
      </c>
      <c r="K3080" s="304" t="s">
        <v>37129</v>
      </c>
      <c r="L3080" s="188">
        <v>2</v>
      </c>
      <c r="M3080" s="179" t="s">
        <v>151</v>
      </c>
    </row>
    <row r="3081" spans="1:13" ht="216.75">
      <c r="A3081" s="313" t="str">
        <f t="shared" si="48"/>
        <v>FeatureFunctionCode_aircraftManufac</v>
      </c>
      <c r="B3081" s="330"/>
      <c r="C3081" s="334"/>
      <c r="D3081" s="188" t="s">
        <v>21232</v>
      </c>
      <c r="E3081" s="189" t="s">
        <v>21233</v>
      </c>
      <c r="F3081" s="162" t="s">
        <v>21234</v>
      </c>
      <c r="G3081" s="162" t="s">
        <v>21235</v>
      </c>
      <c r="H3081" s="219"/>
      <c r="I3081" s="169">
        <v>112006</v>
      </c>
      <c r="J3081" s="304" t="str">
        <f>CONCATENATE([2]Cover!$D$6,"fdd/view?i=",I3081)</f>
        <v>https://www.dgiwg.org/FAD/fdd/view?i=112006</v>
      </c>
      <c r="K3081" s="304" t="s">
        <v>37130</v>
      </c>
      <c r="L3081" s="188">
        <v>305</v>
      </c>
      <c r="M3081" s="179" t="s">
        <v>151</v>
      </c>
    </row>
    <row r="3082" spans="1:13" ht="25.5">
      <c r="A3082" s="313" t="str">
        <f t="shared" si="48"/>
        <v>FeatureFunctionCode_aircraftRepair</v>
      </c>
      <c r="B3082" s="330"/>
      <c r="C3082" s="334"/>
      <c r="D3082" s="188" t="s">
        <v>15933</v>
      </c>
      <c r="E3082" s="189" t="s">
        <v>15934</v>
      </c>
      <c r="F3082" s="162" t="s">
        <v>21236</v>
      </c>
      <c r="G3082" s="190"/>
      <c r="H3082" s="219"/>
      <c r="I3082" s="169">
        <v>112034</v>
      </c>
      <c r="J3082" s="304" t="str">
        <f>CONCATENATE([2]Cover!$D$6,"fdd/view?i=",I3082)</f>
        <v>https://www.dgiwg.org/FAD/fdd/view?i=112034</v>
      </c>
      <c r="K3082" s="304" t="s">
        <v>37131</v>
      </c>
      <c r="L3082" s="188">
        <v>341</v>
      </c>
      <c r="M3082" s="179" t="s">
        <v>151</v>
      </c>
    </row>
    <row r="3083" spans="1:13" ht="51">
      <c r="A3083" s="313" t="str">
        <f t="shared" si="48"/>
        <v>FeatureFunctionCode_airTrafficControl</v>
      </c>
      <c r="B3083" s="330"/>
      <c r="C3083" s="334"/>
      <c r="D3083" s="188" t="s">
        <v>21225</v>
      </c>
      <c r="E3083" s="189" t="s">
        <v>21226</v>
      </c>
      <c r="F3083" s="162" t="s">
        <v>21227</v>
      </c>
      <c r="G3083" s="190"/>
      <c r="H3083" s="219"/>
      <c r="I3083" s="169">
        <v>118553</v>
      </c>
      <c r="J3083" s="304" t="str">
        <f>CONCATENATE([2]Cover!$D$6,"fdd/view?i=",I3083)</f>
        <v>https://www.dgiwg.org/FAD/fdd/view?i=118553</v>
      </c>
      <c r="K3083" s="304" t="s">
        <v>37132</v>
      </c>
      <c r="L3083" s="188">
        <v>525</v>
      </c>
      <c r="M3083" s="179" t="s">
        <v>151</v>
      </c>
    </row>
    <row r="3084" spans="1:13" ht="63.75">
      <c r="A3084" s="313" t="str">
        <f t="shared" si="48"/>
        <v>FeatureFunctionCode_airTransport</v>
      </c>
      <c r="B3084" s="330"/>
      <c r="C3084" s="334"/>
      <c r="D3084" s="188" t="s">
        <v>21228</v>
      </c>
      <c r="E3084" s="189" t="s">
        <v>21229</v>
      </c>
      <c r="F3084" s="162" t="s">
        <v>21230</v>
      </c>
      <c r="G3084" s="162" t="s">
        <v>21231</v>
      </c>
      <c r="H3084" s="219"/>
      <c r="I3084" s="169">
        <v>112110</v>
      </c>
      <c r="J3084" s="304" t="str">
        <f>CONCATENATE([2]Cover!$D$6,"fdd/view?i=",I3084)</f>
        <v>https://www.dgiwg.org/FAD/fdd/view?i=112110</v>
      </c>
      <c r="K3084" s="304" t="s">
        <v>37133</v>
      </c>
      <c r="L3084" s="188">
        <v>520</v>
      </c>
      <c r="M3084" s="179" t="s">
        <v>151</v>
      </c>
    </row>
    <row r="3085" spans="1:13" ht="63.75">
      <c r="A3085" s="313" t="str">
        <f t="shared" si="48"/>
        <v>FeatureFunctionCode_amusement</v>
      </c>
      <c r="B3085" s="330"/>
      <c r="C3085" s="334"/>
      <c r="D3085" s="188" t="s">
        <v>21237</v>
      </c>
      <c r="E3085" s="189" t="s">
        <v>21238</v>
      </c>
      <c r="F3085" s="162" t="s">
        <v>21239</v>
      </c>
      <c r="G3085" s="162" t="s">
        <v>21240</v>
      </c>
      <c r="H3085" s="219"/>
      <c r="I3085" s="169">
        <v>112342</v>
      </c>
      <c r="J3085" s="304" t="str">
        <f>CONCATENATE([2]Cover!$D$6,"fdd/view?i=",I3085)</f>
        <v>https://www.dgiwg.org/FAD/fdd/view?i=112342</v>
      </c>
      <c r="K3085" s="304" t="s">
        <v>37134</v>
      </c>
      <c r="L3085" s="188">
        <v>922</v>
      </c>
      <c r="M3085" s="179" t="s">
        <v>151</v>
      </c>
    </row>
    <row r="3086" spans="1:13" ht="38.25">
      <c r="A3086" s="313" t="str">
        <f t="shared" si="48"/>
        <v>FeatureFunctionCode_animalBoarding</v>
      </c>
      <c r="B3086" s="330"/>
      <c r="C3086" s="334"/>
      <c r="D3086" s="188" t="s">
        <v>21241</v>
      </c>
      <c r="E3086" s="189" t="s">
        <v>21242</v>
      </c>
      <c r="F3086" s="162" t="s">
        <v>21243</v>
      </c>
      <c r="G3086" s="162" t="s">
        <v>21244</v>
      </c>
      <c r="H3086" s="219"/>
      <c r="I3086" s="169">
        <v>112338</v>
      </c>
      <c r="J3086" s="304" t="str">
        <f>CONCATENATE([2]Cover!$D$6,"fdd/view?i=",I3086)</f>
        <v>https://www.dgiwg.org/FAD/fdd/view?i=112338</v>
      </c>
      <c r="K3086" s="304" t="s">
        <v>37135</v>
      </c>
      <c r="L3086" s="188">
        <v>919</v>
      </c>
      <c r="M3086" s="179" t="s">
        <v>151</v>
      </c>
    </row>
    <row r="3087" spans="1:13" ht="89.25">
      <c r="A3087" s="313" t="str">
        <f t="shared" si="48"/>
        <v>FeatureFunctionCode_animalFeedManufac</v>
      </c>
      <c r="B3087" s="330"/>
      <c r="C3087" s="334"/>
      <c r="D3087" s="188" t="s">
        <v>21245</v>
      </c>
      <c r="E3087" s="189" t="s">
        <v>21246</v>
      </c>
      <c r="F3087" s="162" t="s">
        <v>21247</v>
      </c>
      <c r="G3087" s="162" t="s">
        <v>21248</v>
      </c>
      <c r="H3087" s="219"/>
      <c r="I3087" s="169">
        <v>111928</v>
      </c>
      <c r="J3087" s="304" t="str">
        <f>CONCATENATE([2]Cover!$D$6,"fdd/view?i=",I3087)</f>
        <v>https://www.dgiwg.org/FAD/fdd/view?i=111928</v>
      </c>
      <c r="K3087" s="304" t="s">
        <v>37136</v>
      </c>
      <c r="L3087" s="188">
        <v>119</v>
      </c>
      <c r="M3087" s="179" t="s">
        <v>151</v>
      </c>
    </row>
    <row r="3088" spans="1:13" ht="51">
      <c r="A3088" s="313" t="str">
        <f t="shared" si="48"/>
        <v>FeatureFunctionCode_apparelManufac</v>
      </c>
      <c r="B3088" s="330"/>
      <c r="C3088" s="334"/>
      <c r="D3088" s="188" t="s">
        <v>21249</v>
      </c>
      <c r="E3088" s="189" t="s">
        <v>21250</v>
      </c>
      <c r="F3088" s="162" t="s">
        <v>21251</v>
      </c>
      <c r="G3088" s="162" t="s">
        <v>21252</v>
      </c>
      <c r="H3088" s="219"/>
      <c r="I3088" s="169">
        <v>111942</v>
      </c>
      <c r="J3088" s="304" t="str">
        <f>CONCATENATE([2]Cover!$D$6,"fdd/view?i=",I3088)</f>
        <v>https://www.dgiwg.org/FAD/fdd/view?i=111942</v>
      </c>
      <c r="K3088" s="304" t="s">
        <v>37137</v>
      </c>
      <c r="L3088" s="188">
        <v>140</v>
      </c>
      <c r="M3088" s="179" t="s">
        <v>151</v>
      </c>
    </row>
    <row r="3089" spans="1:13" ht="89.25">
      <c r="A3089" s="313" t="str">
        <f t="shared" si="48"/>
        <v>FeatureFunctionCode_aquaculture</v>
      </c>
      <c r="B3089" s="330"/>
      <c r="C3089" s="334"/>
      <c r="D3089" s="188" t="s">
        <v>21253</v>
      </c>
      <c r="E3089" s="189" t="s">
        <v>21254</v>
      </c>
      <c r="F3089" s="162" t="s">
        <v>21255</v>
      </c>
      <c r="G3089" s="162" t="s">
        <v>21256</v>
      </c>
      <c r="H3089" s="219"/>
      <c r="I3089" s="169">
        <v>111856</v>
      </c>
      <c r="J3089" s="304" t="str">
        <f>CONCATENATE([2]Cover!$D$6,"fdd/view?i=",I3089)</f>
        <v>https://www.dgiwg.org/FAD/fdd/view?i=111856</v>
      </c>
      <c r="K3089" s="304" t="s">
        <v>37138</v>
      </c>
      <c r="L3089" s="188">
        <v>35</v>
      </c>
      <c r="M3089" s="179" t="s">
        <v>151</v>
      </c>
    </row>
    <row r="3090" spans="1:13" ht="63.75">
      <c r="A3090" s="313" t="str">
        <f t="shared" si="48"/>
        <v>FeatureFunctionCode_aquarium</v>
      </c>
      <c r="B3090" s="330"/>
      <c r="C3090" s="334"/>
      <c r="D3090" s="188" t="s">
        <v>21257</v>
      </c>
      <c r="E3090" s="189" t="s">
        <v>21258</v>
      </c>
      <c r="F3090" s="162" t="s">
        <v>21259</v>
      </c>
      <c r="G3090" s="190"/>
      <c r="H3090" s="219"/>
      <c r="I3090" s="169">
        <v>112390</v>
      </c>
      <c r="J3090" s="304" t="str">
        <f>CONCATENATE([2]Cover!$D$6,"fdd/view?i=",I3090)</f>
        <v>https://www.dgiwg.org/FAD/fdd/view?i=112390</v>
      </c>
      <c r="K3090" s="304" t="s">
        <v>37139</v>
      </c>
      <c r="L3090" s="188">
        <v>906</v>
      </c>
      <c r="M3090" s="179" t="s">
        <v>151</v>
      </c>
    </row>
    <row r="3091" spans="1:13" ht="25.5">
      <c r="A3091" s="313" t="str">
        <f t="shared" si="48"/>
        <v>FeatureFunctionCode_architectureConsulting</v>
      </c>
      <c r="B3091" s="330"/>
      <c r="C3091" s="334"/>
      <c r="D3091" s="188" t="s">
        <v>21260</v>
      </c>
      <c r="E3091" s="189" t="s">
        <v>21261</v>
      </c>
      <c r="F3091" s="162" t="s">
        <v>21262</v>
      </c>
      <c r="G3091" s="190"/>
      <c r="H3091" s="219"/>
      <c r="I3091" s="169">
        <v>112204</v>
      </c>
      <c r="J3091" s="304" t="str">
        <f>CONCATENATE([2]Cover!$D$6,"fdd/view?i=",I3091)</f>
        <v>https://www.dgiwg.org/FAD/fdd/view?i=112204</v>
      </c>
      <c r="K3091" s="304" t="s">
        <v>37140</v>
      </c>
      <c r="L3091" s="188">
        <v>711</v>
      </c>
      <c r="M3091" s="179" t="s">
        <v>151</v>
      </c>
    </row>
    <row r="3092" spans="1:13" ht="51">
      <c r="A3092" s="313" t="str">
        <f t="shared" si="48"/>
        <v>FeatureFunctionCode_armory</v>
      </c>
      <c r="B3092" s="330"/>
      <c r="C3092" s="334"/>
      <c r="D3092" s="188" t="s">
        <v>21263</v>
      </c>
      <c r="E3092" s="189" t="s">
        <v>21264</v>
      </c>
      <c r="F3092" s="162" t="s">
        <v>21265</v>
      </c>
      <c r="G3092" s="162" t="s">
        <v>21266</v>
      </c>
      <c r="H3092" s="219"/>
      <c r="I3092" s="169">
        <v>112268</v>
      </c>
      <c r="J3092" s="304" t="str">
        <f>CONCATENATE([2]Cover!$D$6,"fdd/view?i=",I3092)</f>
        <v>https://www.dgiwg.org/FAD/fdd/view?i=112268</v>
      </c>
      <c r="K3092" s="304" t="s">
        <v>37141</v>
      </c>
      <c r="L3092" s="188">
        <v>836</v>
      </c>
      <c r="M3092" s="179" t="s">
        <v>151</v>
      </c>
    </row>
    <row r="3093" spans="1:13" ht="38.25">
      <c r="A3093" s="313" t="str">
        <f t="shared" si="48"/>
        <v>FeatureFunctionCode_auditorium</v>
      </c>
      <c r="B3093" s="330"/>
      <c r="C3093" s="334"/>
      <c r="D3093" s="188" t="s">
        <v>21267</v>
      </c>
      <c r="E3093" s="189" t="s">
        <v>21268</v>
      </c>
      <c r="F3093" s="162" t="s">
        <v>21269</v>
      </c>
      <c r="G3093" s="162" t="s">
        <v>21270</v>
      </c>
      <c r="H3093" s="219"/>
      <c r="I3093" s="169">
        <v>112318</v>
      </c>
      <c r="J3093" s="304" t="str">
        <f>CONCATENATE([2]Cover!$D$6,"fdd/view?i=",I3093)</f>
        <v>https://www.dgiwg.org/FAD/fdd/view?i=112318</v>
      </c>
      <c r="K3093" s="304" t="s">
        <v>37142</v>
      </c>
      <c r="L3093" s="188">
        <v>892</v>
      </c>
      <c r="M3093" s="179" t="s">
        <v>151</v>
      </c>
    </row>
    <row r="3094" spans="1:13" ht="102">
      <c r="A3094" s="313" t="str">
        <f t="shared" si="48"/>
        <v>FeatureFunctionCode_baking</v>
      </c>
      <c r="B3094" s="330"/>
      <c r="C3094" s="334"/>
      <c r="D3094" s="188" t="s">
        <v>21271</v>
      </c>
      <c r="E3094" s="189" t="s">
        <v>21272</v>
      </c>
      <c r="F3094" s="162" t="s">
        <v>21273</v>
      </c>
      <c r="G3094" s="162" t="s">
        <v>21274</v>
      </c>
      <c r="H3094" s="219"/>
      <c r="I3094" s="169">
        <v>111914</v>
      </c>
      <c r="J3094" s="304" t="str">
        <f>CONCATENATE([2]Cover!$D$6,"fdd/view?i=",I3094)</f>
        <v>https://www.dgiwg.org/FAD/fdd/view?i=111914</v>
      </c>
      <c r="K3094" s="304" t="s">
        <v>37143</v>
      </c>
      <c r="L3094" s="188">
        <v>110</v>
      </c>
      <c r="M3094" s="179" t="s">
        <v>151</v>
      </c>
    </row>
    <row r="3095" spans="1:13" ht="51">
      <c r="A3095" s="313" t="str">
        <f t="shared" si="48"/>
        <v>FeatureFunctionCode_banquetHall</v>
      </c>
      <c r="B3095" s="330"/>
      <c r="C3095" s="334"/>
      <c r="D3095" s="188" t="s">
        <v>21275</v>
      </c>
      <c r="E3095" s="189" t="s">
        <v>21276</v>
      </c>
      <c r="F3095" s="162" t="s">
        <v>21277</v>
      </c>
      <c r="G3095" s="162" t="s">
        <v>21278</v>
      </c>
      <c r="H3095" s="219"/>
      <c r="I3095" s="169">
        <v>112382</v>
      </c>
      <c r="J3095" s="304" t="str">
        <f>CONCATENATE([2]Cover!$D$6,"fdd/view?i=",I3095)</f>
        <v>https://www.dgiwg.org/FAD/fdd/view?i=112382</v>
      </c>
      <c r="K3095" s="304" t="s">
        <v>37144</v>
      </c>
      <c r="L3095" s="188">
        <v>578</v>
      </c>
      <c r="M3095" s="179" t="s">
        <v>151</v>
      </c>
    </row>
    <row r="3096" spans="1:13" ht="51">
      <c r="A3096" s="313" t="str">
        <f t="shared" si="48"/>
        <v>FeatureFunctionCode_bar</v>
      </c>
      <c r="B3096" s="330"/>
      <c r="C3096" s="334"/>
      <c r="D3096" s="188" t="s">
        <v>963</v>
      </c>
      <c r="E3096" s="189" t="s">
        <v>964</v>
      </c>
      <c r="F3096" s="162" t="s">
        <v>21279</v>
      </c>
      <c r="G3096" s="162" t="s">
        <v>21280</v>
      </c>
      <c r="H3096" s="221" t="s">
        <v>21281</v>
      </c>
      <c r="I3096" s="169">
        <v>112378</v>
      </c>
      <c r="J3096" s="304" t="str">
        <f>CONCATENATE([2]Cover!$D$6,"fdd/view?i=",I3096)</f>
        <v>https://www.dgiwg.org/FAD/fdd/view?i=112378</v>
      </c>
      <c r="K3096" s="304" t="s">
        <v>37145</v>
      </c>
      <c r="L3096" s="188">
        <v>573</v>
      </c>
      <c r="M3096" s="179" t="s">
        <v>151</v>
      </c>
    </row>
    <row r="3097" spans="1:13" ht="63.75">
      <c r="A3097" s="313" t="str">
        <f t="shared" si="48"/>
        <v>FeatureFunctionCode_beautyTreatment</v>
      </c>
      <c r="B3097" s="330"/>
      <c r="C3097" s="334"/>
      <c r="D3097" s="188" t="s">
        <v>21282</v>
      </c>
      <c r="E3097" s="189" t="s">
        <v>21283</v>
      </c>
      <c r="F3097" s="162" t="s">
        <v>21284</v>
      </c>
      <c r="G3097" s="162" t="s">
        <v>21285</v>
      </c>
      <c r="H3097" s="219"/>
      <c r="I3097" s="169">
        <v>112352</v>
      </c>
      <c r="J3097" s="304" t="str">
        <f>CONCATENATE([2]Cover!$D$6,"fdd/view?i=",I3097)</f>
        <v>https://www.dgiwg.org/FAD/fdd/view?i=112352</v>
      </c>
      <c r="K3097" s="304" t="s">
        <v>37146</v>
      </c>
      <c r="L3097" s="188">
        <v>962</v>
      </c>
      <c r="M3097" s="179" t="s">
        <v>151</v>
      </c>
    </row>
    <row r="3098" spans="1:13" ht="38.25">
      <c r="A3098" s="313" t="str">
        <f t="shared" si="48"/>
        <v>FeatureFunctionCode_beverageManufac</v>
      </c>
      <c r="B3098" s="330"/>
      <c r="C3098" s="334"/>
      <c r="D3098" s="188" t="s">
        <v>21286</v>
      </c>
      <c r="E3098" s="189" t="s">
        <v>21287</v>
      </c>
      <c r="F3098" s="162" t="s">
        <v>21288</v>
      </c>
      <c r="G3098" s="190"/>
      <c r="H3098" s="219"/>
      <c r="I3098" s="169">
        <v>206568</v>
      </c>
      <c r="J3098" s="304" t="str">
        <f>CONCATENATE([2]Cover!$D$6,"fdd/view?i=",I3098)</f>
        <v>https://www.dgiwg.org/FAD/fdd/view?i=206568</v>
      </c>
      <c r="K3098" s="304" t="s">
        <v>37147</v>
      </c>
      <c r="L3098" s="188">
        <v>118</v>
      </c>
      <c r="M3098" s="179" t="s">
        <v>1295</v>
      </c>
    </row>
    <row r="3099" spans="1:13" ht="51">
      <c r="A3099" s="313" t="str">
        <f t="shared" si="48"/>
        <v>FeatureFunctionCode_botanZooReserveActivities</v>
      </c>
      <c r="B3099" s="330"/>
      <c r="C3099" s="334"/>
      <c r="D3099" s="188" t="s">
        <v>21289</v>
      </c>
      <c r="E3099" s="189" t="s">
        <v>21290</v>
      </c>
      <c r="F3099" s="162" t="s">
        <v>21291</v>
      </c>
      <c r="G3099" s="190"/>
      <c r="H3099" s="219"/>
      <c r="I3099" s="169">
        <v>112328</v>
      </c>
      <c r="J3099" s="304" t="str">
        <f>CONCATENATE([2]Cover!$D$6,"fdd/view?i=",I3099)</f>
        <v>https://www.dgiwg.org/FAD/fdd/view?i=112328</v>
      </c>
      <c r="K3099" s="304" t="s">
        <v>37148</v>
      </c>
      <c r="L3099" s="188">
        <v>907</v>
      </c>
      <c r="M3099" s="179" t="s">
        <v>151</v>
      </c>
    </row>
    <row r="3100" spans="1:13" ht="140.25">
      <c r="A3100" s="313" t="str">
        <f t="shared" si="48"/>
        <v>FeatureFunctionCode_branchTelephoneExchange</v>
      </c>
      <c r="B3100" s="330"/>
      <c r="C3100" s="334"/>
      <c r="D3100" s="188" t="s">
        <v>21292</v>
      </c>
      <c r="E3100" s="189" t="s">
        <v>21293</v>
      </c>
      <c r="F3100" s="162" t="s">
        <v>21294</v>
      </c>
      <c r="G3100" s="162" t="s">
        <v>21295</v>
      </c>
      <c r="H3100" s="219"/>
      <c r="I3100" s="169">
        <v>112170</v>
      </c>
      <c r="J3100" s="304" t="str">
        <f>CONCATENATE([2]Cover!$D$6,"fdd/view?i=",I3100)</f>
        <v>https://www.dgiwg.org/FAD/fdd/view?i=112170</v>
      </c>
      <c r="K3100" s="304" t="s">
        <v>37149</v>
      </c>
      <c r="L3100" s="188">
        <v>616</v>
      </c>
      <c r="M3100" s="179" t="s">
        <v>151</v>
      </c>
    </row>
    <row r="3101" spans="1:13" ht="51">
      <c r="A3101" s="313" t="str">
        <f t="shared" si="48"/>
        <v>FeatureFunctionCode_brewing</v>
      </c>
      <c r="B3101" s="330"/>
      <c r="C3101" s="334"/>
      <c r="D3101" s="188" t="s">
        <v>21296</v>
      </c>
      <c r="E3101" s="189" t="s">
        <v>21297</v>
      </c>
      <c r="F3101" s="162" t="s">
        <v>21298</v>
      </c>
      <c r="G3101" s="162" t="s">
        <v>21299</v>
      </c>
      <c r="H3101" s="219"/>
      <c r="I3101" s="169">
        <v>111934</v>
      </c>
      <c r="J3101" s="304" t="str">
        <f>CONCATENATE([2]Cover!$D$6,"fdd/view?i=",I3101)</f>
        <v>https://www.dgiwg.org/FAD/fdd/view?i=111934</v>
      </c>
      <c r="K3101" s="304" t="s">
        <v>37150</v>
      </c>
      <c r="L3101" s="188">
        <v>123</v>
      </c>
      <c r="M3101" s="179" t="s">
        <v>151</v>
      </c>
    </row>
    <row r="3102" spans="1:13" ht="114.75">
      <c r="A3102" s="313" t="str">
        <f t="shared" si="48"/>
        <v>FeatureFunctionCode_businessManagement</v>
      </c>
      <c r="B3102" s="330"/>
      <c r="C3102" s="334"/>
      <c r="D3102" s="188" t="s">
        <v>21303</v>
      </c>
      <c r="E3102" s="189" t="s">
        <v>21304</v>
      </c>
      <c r="F3102" s="162" t="s">
        <v>21305</v>
      </c>
      <c r="G3102" s="162" t="s">
        <v>21306</v>
      </c>
      <c r="H3102" s="219"/>
      <c r="I3102" s="169">
        <v>112202</v>
      </c>
      <c r="J3102" s="304" t="str">
        <f>CONCATENATE([2]Cover!$D$6,"fdd/view?i=",I3102)</f>
        <v>https://www.dgiwg.org/FAD/fdd/view?i=112202</v>
      </c>
      <c r="K3102" s="304" t="s">
        <v>37151</v>
      </c>
      <c r="L3102" s="188">
        <v>706</v>
      </c>
      <c r="M3102" s="179" t="s">
        <v>151</v>
      </c>
    </row>
    <row r="3103" spans="1:13" ht="38.25">
      <c r="A3103" s="313" t="str">
        <f t="shared" si="48"/>
        <v>FeatureFunctionCode_businessPersonalSupport</v>
      </c>
      <c r="B3103" s="330"/>
      <c r="C3103" s="334"/>
      <c r="D3103" s="188" t="s">
        <v>21300</v>
      </c>
      <c r="E3103" s="189" t="s">
        <v>21301</v>
      </c>
      <c r="F3103" s="162" t="s">
        <v>21302</v>
      </c>
      <c r="G3103" s="190"/>
      <c r="H3103" s="219"/>
      <c r="I3103" s="169">
        <v>206590</v>
      </c>
      <c r="J3103" s="304" t="str">
        <f>CONCATENATE([2]Cover!$D$6,"fdd/view?i=",I3103)</f>
        <v>https://www.dgiwg.org/FAD/fdd/view?i=206590</v>
      </c>
      <c r="K3103" s="304" t="s">
        <v>37152</v>
      </c>
      <c r="L3103" s="188">
        <v>760</v>
      </c>
      <c r="M3103" s="179" t="s">
        <v>1295</v>
      </c>
    </row>
    <row r="3104" spans="1:13" ht="165.75">
      <c r="A3104" s="313" t="str">
        <f t="shared" si="48"/>
        <v>FeatureFunctionCode_callCentre</v>
      </c>
      <c r="B3104" s="330"/>
      <c r="C3104" s="334"/>
      <c r="D3104" s="188" t="s">
        <v>21307</v>
      </c>
      <c r="E3104" s="189" t="s">
        <v>21308</v>
      </c>
      <c r="F3104" s="162" t="s">
        <v>21309</v>
      </c>
      <c r="G3104" s="162" t="s">
        <v>21310</v>
      </c>
      <c r="H3104" s="219"/>
      <c r="I3104" s="169">
        <v>112242</v>
      </c>
      <c r="J3104" s="304" t="str">
        <f>CONCATENATE([2]Cover!$D$6,"fdd/view?i=",I3104)</f>
        <v>https://www.dgiwg.org/FAD/fdd/view?i=112242</v>
      </c>
      <c r="K3104" s="304" t="s">
        <v>37153</v>
      </c>
      <c r="L3104" s="188">
        <v>807</v>
      </c>
      <c r="M3104" s="179" t="s">
        <v>151</v>
      </c>
    </row>
    <row r="3105" spans="1:13" ht="25.5">
      <c r="A3105" s="313" t="str">
        <f t="shared" si="48"/>
        <v>FeatureFunctionCode_canalTransport</v>
      </c>
      <c r="B3105" s="330"/>
      <c r="C3105" s="334"/>
      <c r="D3105" s="188" t="s">
        <v>21311</v>
      </c>
      <c r="E3105" s="189" t="s">
        <v>21312</v>
      </c>
      <c r="F3105" s="162" t="s">
        <v>21313</v>
      </c>
      <c r="G3105" s="190"/>
      <c r="H3105" s="219"/>
      <c r="I3105" s="169">
        <v>112098</v>
      </c>
      <c r="J3105" s="304" t="str">
        <f>CONCATENATE([2]Cover!$D$6,"fdd/view?i=",I3105)</f>
        <v>https://www.dgiwg.org/FAD/fdd/view?i=112098</v>
      </c>
      <c r="K3105" s="304" t="s">
        <v>37154</v>
      </c>
      <c r="L3105" s="188">
        <v>508</v>
      </c>
      <c r="M3105" s="179" t="s">
        <v>151</v>
      </c>
    </row>
    <row r="3106" spans="1:13" ht="25.5">
      <c r="A3106" s="313" t="str">
        <f t="shared" si="48"/>
        <v>FeatureFunctionCode_capitol</v>
      </c>
      <c r="B3106" s="330"/>
      <c r="C3106" s="334"/>
      <c r="D3106" s="188" t="s">
        <v>21314</v>
      </c>
      <c r="E3106" s="189" t="s">
        <v>21315</v>
      </c>
      <c r="F3106" s="162" t="s">
        <v>21316</v>
      </c>
      <c r="G3106" s="190"/>
      <c r="H3106" s="219"/>
      <c r="I3106" s="169">
        <v>112254</v>
      </c>
      <c r="J3106" s="304" t="str">
        <f>CONCATENATE([2]Cover!$D$6,"fdd/view?i=",I3106)</f>
        <v>https://www.dgiwg.org/FAD/fdd/view?i=112254</v>
      </c>
      <c r="K3106" s="304" t="s">
        <v>37155</v>
      </c>
      <c r="L3106" s="188">
        <v>817</v>
      </c>
      <c r="M3106" s="179" t="s">
        <v>151</v>
      </c>
    </row>
    <row r="3107" spans="1:13" ht="51">
      <c r="A3107" s="313" t="str">
        <f t="shared" si="48"/>
        <v>FeatureFunctionCode_cargoHandling</v>
      </c>
      <c r="B3107" s="330"/>
      <c r="C3107" s="334"/>
      <c r="D3107" s="188" t="s">
        <v>15936</v>
      </c>
      <c r="E3107" s="189" t="s">
        <v>15937</v>
      </c>
      <c r="F3107" s="162" t="s">
        <v>21317</v>
      </c>
      <c r="G3107" s="162" t="s">
        <v>21318</v>
      </c>
      <c r="H3107" s="219"/>
      <c r="I3107" s="169">
        <v>112116</v>
      </c>
      <c r="J3107" s="304" t="str">
        <f>CONCATENATE([2]Cover!$D$6,"fdd/view?i=",I3107)</f>
        <v>https://www.dgiwg.org/FAD/fdd/view?i=112116</v>
      </c>
      <c r="K3107" s="304" t="s">
        <v>37156</v>
      </c>
      <c r="L3107" s="188">
        <v>536</v>
      </c>
      <c r="M3107" s="179" t="s">
        <v>151</v>
      </c>
    </row>
    <row r="3108" spans="1:13" ht="76.5">
      <c r="A3108" s="313" t="str">
        <f t="shared" si="48"/>
        <v>FeatureFunctionCode_cbrneCivilianSupport</v>
      </c>
      <c r="B3108" s="330"/>
      <c r="C3108" s="334"/>
      <c r="D3108" s="188" t="s">
        <v>21319</v>
      </c>
      <c r="E3108" s="189" t="s">
        <v>21320</v>
      </c>
      <c r="F3108" s="162" t="s">
        <v>21321</v>
      </c>
      <c r="G3108" s="162" t="s">
        <v>21322</v>
      </c>
      <c r="H3108" s="219"/>
      <c r="I3108" s="169">
        <v>118559</v>
      </c>
      <c r="J3108" s="304" t="str">
        <f>CONCATENATE([2]Cover!$D$6,"fdd/view?i=",I3108)</f>
        <v>https://www.dgiwg.org/FAD/fdd/view?i=118559</v>
      </c>
      <c r="K3108" s="304" t="s">
        <v>37157</v>
      </c>
      <c r="L3108" s="188">
        <v>839</v>
      </c>
      <c r="M3108" s="179" t="s">
        <v>151</v>
      </c>
    </row>
    <row r="3109" spans="1:13" ht="89.25">
      <c r="A3109" s="313" t="str">
        <f t="shared" si="48"/>
        <v>FeatureFunctionCode_cementMill</v>
      </c>
      <c r="B3109" s="330"/>
      <c r="C3109" s="334"/>
      <c r="D3109" s="188" t="s">
        <v>21323</v>
      </c>
      <c r="E3109" s="189" t="s">
        <v>21324</v>
      </c>
      <c r="F3109" s="162" t="s">
        <v>21325</v>
      </c>
      <c r="G3109" s="162" t="s">
        <v>21326</v>
      </c>
      <c r="H3109" s="219"/>
      <c r="I3109" s="169">
        <v>111976</v>
      </c>
      <c r="J3109" s="304" t="str">
        <f>CONCATENATE([2]Cover!$D$6,"fdd/view?i=",I3109)</f>
        <v>https://www.dgiwg.org/FAD/fdd/view?i=111976</v>
      </c>
      <c r="K3109" s="304" t="s">
        <v>37158</v>
      </c>
      <c r="L3109" s="188">
        <v>235</v>
      </c>
      <c r="M3109" s="179" t="s">
        <v>151</v>
      </c>
    </row>
    <row r="3110" spans="1:13" ht="280.5">
      <c r="A3110" s="313" t="str">
        <f t="shared" si="48"/>
        <v>FeatureFunctionCode_cementProdManufac</v>
      </c>
      <c r="B3110" s="330"/>
      <c r="C3110" s="334"/>
      <c r="D3110" s="188" t="s">
        <v>21327</v>
      </c>
      <c r="E3110" s="189" t="s">
        <v>21328</v>
      </c>
      <c r="F3110" s="162" t="s">
        <v>21329</v>
      </c>
      <c r="G3110" s="162" t="s">
        <v>21330</v>
      </c>
      <c r="H3110" s="219"/>
      <c r="I3110" s="169">
        <v>111978</v>
      </c>
      <c r="J3110" s="304" t="str">
        <f>CONCATENATE([2]Cover!$D$6,"fdd/view?i=",I3110)</f>
        <v>https://www.dgiwg.org/FAD/fdd/view?i=111978</v>
      </c>
      <c r="K3110" s="304" t="s">
        <v>37159</v>
      </c>
      <c r="L3110" s="188">
        <v>236</v>
      </c>
      <c r="M3110" s="179" t="s">
        <v>151</v>
      </c>
    </row>
    <row r="3111" spans="1:13" ht="127.5">
      <c r="A3111" s="313" t="str">
        <f t="shared" si="48"/>
        <v>FeatureFunctionCode_centralBanking</v>
      </c>
      <c r="B3111" s="330"/>
      <c r="C3111" s="334"/>
      <c r="D3111" s="188" t="s">
        <v>21331</v>
      </c>
      <c r="E3111" s="189" t="s">
        <v>21332</v>
      </c>
      <c r="F3111" s="162" t="s">
        <v>21333</v>
      </c>
      <c r="G3111" s="162" t="s">
        <v>21334</v>
      </c>
      <c r="H3111" s="219"/>
      <c r="I3111" s="169">
        <v>112182</v>
      </c>
      <c r="J3111" s="304" t="str">
        <f>CONCATENATE([2]Cover!$D$6,"fdd/view?i=",I3111)</f>
        <v>https://www.dgiwg.org/FAD/fdd/view?i=112182</v>
      </c>
      <c r="K3111" s="304" t="s">
        <v>37160</v>
      </c>
      <c r="L3111" s="188">
        <v>642</v>
      </c>
      <c r="M3111" s="179" t="s">
        <v>151</v>
      </c>
    </row>
    <row r="3112" spans="1:13" ht="114.75">
      <c r="A3112" s="313" t="str">
        <f t="shared" si="48"/>
        <v>FeatureFunctionCode_ceramicProdManufac</v>
      </c>
      <c r="B3112" s="330"/>
      <c r="C3112" s="334"/>
      <c r="D3112" s="188" t="s">
        <v>21335</v>
      </c>
      <c r="E3112" s="189" t="s">
        <v>21336</v>
      </c>
      <c r="F3112" s="162" t="s">
        <v>21337</v>
      </c>
      <c r="G3112" s="162" t="s">
        <v>21338</v>
      </c>
      <c r="H3112" s="219"/>
      <c r="I3112" s="169">
        <v>111974</v>
      </c>
      <c r="J3112" s="304" t="str">
        <f>CONCATENATE([2]Cover!$D$6,"fdd/view?i=",I3112)</f>
        <v>https://www.dgiwg.org/FAD/fdd/view?i=111974</v>
      </c>
      <c r="K3112" s="304" t="s">
        <v>37161</v>
      </c>
      <c r="L3112" s="188">
        <v>234</v>
      </c>
      <c r="M3112" s="179" t="s">
        <v>151</v>
      </c>
    </row>
    <row r="3113" spans="1:13" ht="76.5">
      <c r="A3113" s="313" t="str">
        <f t="shared" si="48"/>
        <v>FeatureFunctionCode_chemicalManufac</v>
      </c>
      <c r="B3113" s="330"/>
      <c r="C3113" s="334"/>
      <c r="D3113" s="188" t="s">
        <v>21339</v>
      </c>
      <c r="E3113" s="189" t="s">
        <v>21340</v>
      </c>
      <c r="F3113" s="162" t="s">
        <v>21341</v>
      </c>
      <c r="G3113" s="162" t="s">
        <v>21342</v>
      </c>
      <c r="H3113" s="219"/>
      <c r="I3113" s="169">
        <v>111960</v>
      </c>
      <c r="J3113" s="304" t="str">
        <f>CONCATENATE([2]Cover!$D$6,"fdd/view?i=",I3113)</f>
        <v>https://www.dgiwg.org/FAD/fdd/view?i=111960</v>
      </c>
      <c r="K3113" s="304" t="s">
        <v>37162</v>
      </c>
      <c r="L3113" s="188">
        <v>195</v>
      </c>
      <c r="M3113" s="179" t="s">
        <v>151</v>
      </c>
    </row>
    <row r="3114" spans="1:13" ht="127.5">
      <c r="A3114" s="313" t="str">
        <f t="shared" si="48"/>
        <v>FeatureFunctionCode_chemicalMining</v>
      </c>
      <c r="B3114" s="330"/>
      <c r="C3114" s="334"/>
      <c r="D3114" s="188" t="s">
        <v>21343</v>
      </c>
      <c r="E3114" s="189" t="s">
        <v>21344</v>
      </c>
      <c r="F3114" s="162" t="s">
        <v>21345</v>
      </c>
      <c r="G3114" s="162" t="s">
        <v>21346</v>
      </c>
      <c r="H3114" s="219"/>
      <c r="I3114" s="169">
        <v>111868</v>
      </c>
      <c r="J3114" s="304" t="str">
        <f>CONCATENATE([2]Cover!$D$6,"fdd/view?i=",I3114)</f>
        <v>https://www.dgiwg.org/FAD/fdd/view?i=111868</v>
      </c>
      <c r="K3114" s="304" t="s">
        <v>37163</v>
      </c>
      <c r="L3114" s="188">
        <v>83</v>
      </c>
      <c r="M3114" s="179" t="s">
        <v>151</v>
      </c>
    </row>
    <row r="3115" spans="1:13">
      <c r="A3115" s="313" t="str">
        <f t="shared" si="48"/>
        <v>FeatureFunctionCode_cinema</v>
      </c>
      <c r="B3115" s="330"/>
      <c r="C3115" s="334"/>
      <c r="D3115" s="188" t="s">
        <v>21347</v>
      </c>
      <c r="E3115" s="189" t="s">
        <v>21348</v>
      </c>
      <c r="F3115" s="162" t="s">
        <v>21349</v>
      </c>
      <c r="G3115" s="190"/>
      <c r="H3115" s="219"/>
      <c r="I3115" s="169">
        <v>112156</v>
      </c>
      <c r="J3115" s="304" t="str">
        <f>CONCATENATE([2]Cover!$D$6,"fdd/view?i=",I3115)</f>
        <v>https://www.dgiwg.org/FAD/fdd/view?i=112156</v>
      </c>
      <c r="K3115" s="304" t="s">
        <v>37164</v>
      </c>
      <c r="L3115" s="188">
        <v>594</v>
      </c>
      <c r="M3115" s="179" t="s">
        <v>151</v>
      </c>
    </row>
    <row r="3116" spans="1:13" ht="25.5">
      <c r="A3116" s="313" t="str">
        <f t="shared" si="48"/>
        <v>FeatureFunctionCode_civilActivities</v>
      </c>
      <c r="B3116" s="330"/>
      <c r="C3116" s="334"/>
      <c r="D3116" s="188" t="s">
        <v>21350</v>
      </c>
      <c r="E3116" s="189" t="s">
        <v>21351</v>
      </c>
      <c r="F3116" s="162" t="s">
        <v>21352</v>
      </c>
      <c r="G3116" s="190"/>
      <c r="H3116" s="219"/>
      <c r="I3116" s="169">
        <v>112256</v>
      </c>
      <c r="J3116" s="304" t="str">
        <f>CONCATENATE([2]Cover!$D$6,"fdd/view?i=",I3116)</f>
        <v>https://www.dgiwg.org/FAD/fdd/view?i=112256</v>
      </c>
      <c r="K3116" s="304" t="s">
        <v>37165</v>
      </c>
      <c r="L3116" s="188">
        <v>822</v>
      </c>
      <c r="M3116" s="179" t="s">
        <v>151</v>
      </c>
    </row>
    <row r="3117" spans="1:13" ht="153">
      <c r="A3117" s="313" t="str">
        <f t="shared" si="48"/>
        <v>FeatureFunctionCode_civilIntelligence</v>
      </c>
      <c r="B3117" s="330"/>
      <c r="C3117" s="334"/>
      <c r="D3117" s="188" t="s">
        <v>21353</v>
      </c>
      <c r="E3117" s="189" t="s">
        <v>21354</v>
      </c>
      <c r="F3117" s="162" t="s">
        <v>21355</v>
      </c>
      <c r="G3117" s="162" t="s">
        <v>21356</v>
      </c>
      <c r="H3117" s="219"/>
      <c r="I3117" s="169">
        <v>118560</v>
      </c>
      <c r="J3117" s="304" t="str">
        <f>CONCATENATE([2]Cover!$D$6,"fdd/view?i=",I3117)</f>
        <v>https://www.dgiwg.org/FAD/fdd/view?i=118560</v>
      </c>
      <c r="K3117" s="304" t="s">
        <v>37166</v>
      </c>
      <c r="L3117" s="188">
        <v>848</v>
      </c>
      <c r="M3117" s="179" t="s">
        <v>151</v>
      </c>
    </row>
    <row r="3118" spans="1:13" ht="89.25">
      <c r="A3118" s="313" t="str">
        <f t="shared" si="48"/>
        <v>FeatureFunctionCode_clayProdManufac</v>
      </c>
      <c r="B3118" s="330"/>
      <c r="C3118" s="334"/>
      <c r="D3118" s="188" t="s">
        <v>21357</v>
      </c>
      <c r="E3118" s="189" t="s">
        <v>21358</v>
      </c>
      <c r="F3118" s="162" t="s">
        <v>21359</v>
      </c>
      <c r="G3118" s="162" t="s">
        <v>21360</v>
      </c>
      <c r="H3118" s="219"/>
      <c r="I3118" s="169">
        <v>111972</v>
      </c>
      <c r="J3118" s="304" t="str">
        <f>CONCATENATE([2]Cover!$D$6,"fdd/view?i=",I3118)</f>
        <v>https://www.dgiwg.org/FAD/fdd/view?i=111972</v>
      </c>
      <c r="K3118" s="304" t="s">
        <v>37167</v>
      </c>
      <c r="L3118" s="188">
        <v>233</v>
      </c>
      <c r="M3118" s="179" t="s">
        <v>151</v>
      </c>
    </row>
    <row r="3119" spans="1:13" ht="38.25">
      <c r="A3119" s="313" t="str">
        <f t="shared" si="48"/>
        <v>FeatureFunctionCode_climateControl</v>
      </c>
      <c r="B3119" s="330"/>
      <c r="C3119" s="334"/>
      <c r="D3119" s="188" t="s">
        <v>21361</v>
      </c>
      <c r="E3119" s="189" t="s">
        <v>21362</v>
      </c>
      <c r="F3119" s="162" t="s">
        <v>21363</v>
      </c>
      <c r="G3119" s="190"/>
      <c r="H3119" s="219"/>
      <c r="I3119" s="169">
        <v>206577</v>
      </c>
      <c r="J3119" s="304" t="str">
        <f>CONCATENATE([2]Cover!$D$6,"fdd/view?i=",I3119)</f>
        <v>https://www.dgiwg.org/FAD/fdd/view?i=206577</v>
      </c>
      <c r="K3119" s="304" t="s">
        <v>37168</v>
      </c>
      <c r="L3119" s="188">
        <v>352</v>
      </c>
      <c r="M3119" s="179" t="s">
        <v>1295</v>
      </c>
    </row>
    <row r="3120" spans="1:13" ht="38.25">
      <c r="A3120" s="313" t="str">
        <f t="shared" si="48"/>
        <v>FeatureFunctionCode_club</v>
      </c>
      <c r="B3120" s="330"/>
      <c r="C3120" s="334"/>
      <c r="D3120" s="188" t="s">
        <v>21364</v>
      </c>
      <c r="E3120" s="189" t="s">
        <v>21365</v>
      </c>
      <c r="F3120" s="162" t="s">
        <v>21366</v>
      </c>
      <c r="G3120" s="190"/>
      <c r="H3120" s="219"/>
      <c r="I3120" s="169">
        <v>112394</v>
      </c>
      <c r="J3120" s="304" t="str">
        <f>CONCATENATE([2]Cover!$D$6,"fdd/view?i=",I3120)</f>
        <v>https://www.dgiwg.org/FAD/fdd/view?i=112394</v>
      </c>
      <c r="K3120" s="304" t="s">
        <v>37169</v>
      </c>
      <c r="L3120" s="188">
        <v>954</v>
      </c>
      <c r="M3120" s="179" t="s">
        <v>151</v>
      </c>
    </row>
    <row r="3121" spans="1:13" ht="38.25">
      <c r="A3121" s="313" t="str">
        <f t="shared" si="48"/>
        <v>FeatureFunctionCode_cokeManufac</v>
      </c>
      <c r="B3121" s="330"/>
      <c r="C3121" s="334"/>
      <c r="D3121" s="188" t="s">
        <v>21367</v>
      </c>
      <c r="E3121" s="189" t="s">
        <v>21368</v>
      </c>
      <c r="F3121" s="162" t="s">
        <v>21369</v>
      </c>
      <c r="G3121" s="162" t="s">
        <v>21370</v>
      </c>
      <c r="H3121" s="219"/>
      <c r="I3121" s="169">
        <v>111956</v>
      </c>
      <c r="J3121" s="304" t="str">
        <f>CONCATENATE([2]Cover!$D$6,"fdd/view?i=",I3121)</f>
        <v>https://www.dgiwg.org/FAD/fdd/view?i=111956</v>
      </c>
      <c r="K3121" s="304" t="s">
        <v>37170</v>
      </c>
      <c r="L3121" s="188">
        <v>191</v>
      </c>
      <c r="M3121" s="179" t="s">
        <v>151</v>
      </c>
    </row>
    <row r="3122" spans="1:13" ht="51">
      <c r="A3122" s="313" t="str">
        <f t="shared" si="48"/>
        <v>FeatureFunctionCode_commerce</v>
      </c>
      <c r="B3122" s="330"/>
      <c r="C3122" s="334"/>
      <c r="D3122" s="188" t="s">
        <v>21371</v>
      </c>
      <c r="E3122" s="189" t="s">
        <v>21372</v>
      </c>
      <c r="F3122" s="162" t="s">
        <v>21373</v>
      </c>
      <c r="G3122" s="190"/>
      <c r="H3122" s="219"/>
      <c r="I3122" s="169">
        <v>112054</v>
      </c>
      <c r="J3122" s="304" t="str">
        <f>CONCATENATE([2]Cover!$D$6,"fdd/view?i=",I3122)</f>
        <v>https://www.dgiwg.org/FAD/fdd/view?i=112054</v>
      </c>
      <c r="K3122" s="304" t="s">
        <v>37171</v>
      </c>
      <c r="L3122" s="188">
        <v>440</v>
      </c>
      <c r="M3122" s="179" t="s">
        <v>151</v>
      </c>
    </row>
    <row r="3123" spans="1:13" ht="38.25">
      <c r="A3123" s="313" t="str">
        <f t="shared" si="48"/>
        <v>FeatureFunctionCode_communityCentre</v>
      </c>
      <c r="B3123" s="330"/>
      <c r="C3123" s="334"/>
      <c r="D3123" s="188" t="s">
        <v>21374</v>
      </c>
      <c r="E3123" s="189" t="s">
        <v>21375</v>
      </c>
      <c r="F3123" s="162" t="s">
        <v>21376</v>
      </c>
      <c r="G3123" s="190"/>
      <c r="H3123" s="219"/>
      <c r="I3123" s="169">
        <v>112320</v>
      </c>
      <c r="J3123" s="304" t="str">
        <f>CONCATENATE([2]Cover!$D$6,"fdd/view?i=",I3123)</f>
        <v>https://www.dgiwg.org/FAD/fdd/view?i=112320</v>
      </c>
      <c r="K3123" s="304" t="s">
        <v>37172</v>
      </c>
      <c r="L3123" s="188">
        <v>893</v>
      </c>
      <c r="M3123" s="179" t="s">
        <v>151</v>
      </c>
    </row>
    <row r="3124" spans="1:13" ht="114.75">
      <c r="A3124" s="313" t="str">
        <f t="shared" si="48"/>
        <v>FeatureFunctionCode_confectionManufac</v>
      </c>
      <c r="B3124" s="330"/>
      <c r="C3124" s="334"/>
      <c r="D3124" s="188" t="s">
        <v>21377</v>
      </c>
      <c r="E3124" s="189" t="s">
        <v>21378</v>
      </c>
      <c r="F3124" s="162" t="s">
        <v>21379</v>
      </c>
      <c r="G3124" s="162" t="s">
        <v>21380</v>
      </c>
      <c r="H3124" s="219"/>
      <c r="I3124" s="169">
        <v>111922</v>
      </c>
      <c r="J3124" s="304" t="str">
        <f>CONCATENATE([2]Cover!$D$6,"fdd/view?i=",I3124)</f>
        <v>https://www.dgiwg.org/FAD/fdd/view?i=111922</v>
      </c>
      <c r="K3124" s="304" t="s">
        <v>37173</v>
      </c>
      <c r="L3124" s="188">
        <v>114</v>
      </c>
      <c r="M3124" s="179" t="s">
        <v>151</v>
      </c>
    </row>
    <row r="3125" spans="1:13" ht="127.5">
      <c r="A3125" s="313" t="str">
        <f t="shared" si="48"/>
        <v>FeatureFunctionCode_consul</v>
      </c>
      <c r="B3125" s="330"/>
      <c r="C3125" s="334"/>
      <c r="D3125" s="188" t="s">
        <v>21381</v>
      </c>
      <c r="E3125" s="189" t="s">
        <v>21382</v>
      </c>
      <c r="F3125" s="162" t="s">
        <v>21383</v>
      </c>
      <c r="G3125" s="162" t="s">
        <v>21384</v>
      </c>
      <c r="H3125" s="219"/>
      <c r="I3125" s="169">
        <v>112264</v>
      </c>
      <c r="J3125" s="304" t="str">
        <f>CONCATENATE([2]Cover!$D$6,"fdd/view?i=",I3125)</f>
        <v>https://www.dgiwg.org/FAD/fdd/view?i=112264</v>
      </c>
      <c r="K3125" s="304" t="s">
        <v>37174</v>
      </c>
      <c r="L3125" s="188">
        <v>828</v>
      </c>
      <c r="M3125" s="179" t="s">
        <v>151</v>
      </c>
    </row>
    <row r="3126" spans="1:13" ht="25.5">
      <c r="A3126" s="313" t="str">
        <f t="shared" si="48"/>
        <v>FeatureFunctionCode_convenienceStore</v>
      </c>
      <c r="B3126" s="330"/>
      <c r="C3126" s="334"/>
      <c r="D3126" s="188" t="s">
        <v>21385</v>
      </c>
      <c r="E3126" s="189" t="s">
        <v>21386</v>
      </c>
      <c r="F3126" s="162" t="s">
        <v>21387</v>
      </c>
      <c r="G3126" s="190"/>
      <c r="H3126" s="219"/>
      <c r="I3126" s="169">
        <v>112058</v>
      </c>
      <c r="J3126" s="304" t="str">
        <f>CONCATENATE([2]Cover!$D$6,"fdd/view?i=",I3126)</f>
        <v>https://www.dgiwg.org/FAD/fdd/view?i=112058</v>
      </c>
      <c r="K3126" s="304" t="s">
        <v>37175</v>
      </c>
      <c r="L3126" s="188">
        <v>466</v>
      </c>
      <c r="M3126" s="179" t="s">
        <v>151</v>
      </c>
    </row>
    <row r="3127" spans="1:13" ht="76.5">
      <c r="A3127" s="313" t="str">
        <f t="shared" si="48"/>
        <v>FeatureFunctionCode_conventionCentre</v>
      </c>
      <c r="B3127" s="330"/>
      <c r="C3127" s="334"/>
      <c r="D3127" s="188" t="s">
        <v>21388</v>
      </c>
      <c r="E3127" s="189" t="s">
        <v>21389</v>
      </c>
      <c r="F3127" s="162" t="s">
        <v>21390</v>
      </c>
      <c r="G3127" s="162" t="s">
        <v>21391</v>
      </c>
      <c r="H3127" s="219"/>
      <c r="I3127" s="169">
        <v>112384</v>
      </c>
      <c r="J3127" s="304" t="str">
        <f>CONCATENATE([2]Cover!$D$6,"fdd/view?i=",I3127)</f>
        <v>https://www.dgiwg.org/FAD/fdd/view?i=112384</v>
      </c>
      <c r="K3127" s="304" t="s">
        <v>37176</v>
      </c>
      <c r="L3127" s="188">
        <v>579</v>
      </c>
      <c r="M3127" s="179" t="s">
        <v>151</v>
      </c>
    </row>
    <row r="3128" spans="1:13">
      <c r="A3128" s="313" t="str">
        <f t="shared" si="48"/>
        <v>FeatureFunctionCode_cooling</v>
      </c>
      <c r="B3128" s="330"/>
      <c r="C3128" s="334"/>
      <c r="D3128" s="188" t="s">
        <v>21392</v>
      </c>
      <c r="E3128" s="189" t="s">
        <v>21393</v>
      </c>
      <c r="F3128" s="162" t="s">
        <v>21394</v>
      </c>
      <c r="G3128" s="190"/>
      <c r="H3128" s="219"/>
      <c r="I3128" s="169">
        <v>112044</v>
      </c>
      <c r="J3128" s="304" t="str">
        <f>CONCATENATE([2]Cover!$D$6,"fdd/view?i=",I3128)</f>
        <v>https://www.dgiwg.org/FAD/fdd/view?i=112044</v>
      </c>
      <c r="K3128" s="304" t="s">
        <v>37177</v>
      </c>
      <c r="L3128" s="188">
        <v>355</v>
      </c>
      <c r="M3128" s="179" t="s">
        <v>151</v>
      </c>
    </row>
    <row r="3129" spans="1:13" ht="51">
      <c r="A3129" s="313" t="str">
        <f t="shared" si="48"/>
        <v>FeatureFunctionCode_courierActivities</v>
      </c>
      <c r="B3129" s="330"/>
      <c r="C3129" s="334"/>
      <c r="D3129" s="188" t="s">
        <v>21395</v>
      </c>
      <c r="E3129" s="189" t="s">
        <v>21396</v>
      </c>
      <c r="F3129" s="162" t="s">
        <v>21397</v>
      </c>
      <c r="G3129" s="162" t="s">
        <v>21398</v>
      </c>
      <c r="H3129" s="219"/>
      <c r="I3129" s="169">
        <v>118554</v>
      </c>
      <c r="J3129" s="304" t="str">
        <f>CONCATENATE([2]Cover!$D$6,"fdd/view?i=",I3129)</f>
        <v>https://www.dgiwg.org/FAD/fdd/view?i=118554</v>
      </c>
      <c r="K3129" s="304" t="s">
        <v>37178</v>
      </c>
      <c r="L3129" s="188">
        <v>545</v>
      </c>
      <c r="M3129" s="179" t="s">
        <v>151</v>
      </c>
    </row>
    <row r="3130" spans="1:13" ht="51">
      <c r="A3130" s="313" t="str">
        <f t="shared" si="48"/>
        <v>FeatureFunctionCode_cremation</v>
      </c>
      <c r="B3130" s="330"/>
      <c r="C3130" s="334"/>
      <c r="D3130" s="188" t="s">
        <v>21399</v>
      </c>
      <c r="E3130" s="189" t="s">
        <v>21400</v>
      </c>
      <c r="F3130" s="162" t="s">
        <v>21401</v>
      </c>
      <c r="G3130" s="162" t="s">
        <v>21402</v>
      </c>
      <c r="H3130" s="219"/>
      <c r="I3130" s="169">
        <v>112356</v>
      </c>
      <c r="J3130" s="304" t="str">
        <f>CONCATENATE([2]Cover!$D$6,"fdd/view?i=",I3130)</f>
        <v>https://www.dgiwg.org/FAD/fdd/view?i=112356</v>
      </c>
      <c r="K3130" s="304" t="s">
        <v>37179</v>
      </c>
      <c r="L3130" s="188">
        <v>964</v>
      </c>
      <c r="M3130" s="179" t="s">
        <v>151</v>
      </c>
    </row>
    <row r="3131" spans="1:13" ht="51">
      <c r="A3131" s="313" t="str">
        <f t="shared" si="48"/>
        <v>FeatureFunctionCode_culturalArtsEntertainment</v>
      </c>
      <c r="B3131" s="330"/>
      <c r="C3131" s="334"/>
      <c r="D3131" s="188" t="s">
        <v>21403</v>
      </c>
      <c r="E3131" s="189" t="s">
        <v>21404</v>
      </c>
      <c r="F3131" s="162" t="s">
        <v>21405</v>
      </c>
      <c r="G3131" s="162" t="s">
        <v>21406</v>
      </c>
      <c r="H3131" s="219"/>
      <c r="I3131" s="169">
        <v>206596</v>
      </c>
      <c r="J3131" s="304" t="str">
        <f>CONCATENATE([2]Cover!$D$6,"fdd/view?i=",I3131)</f>
        <v>https://www.dgiwg.org/FAD/fdd/view?i=206596</v>
      </c>
      <c r="K3131" s="304" t="s">
        <v>37180</v>
      </c>
      <c r="L3131" s="188">
        <v>890</v>
      </c>
      <c r="M3131" s="179" t="s">
        <v>1295</v>
      </c>
    </row>
    <row r="3132" spans="1:13" ht="51">
      <c r="A3132" s="313" t="str">
        <f t="shared" si="48"/>
        <v>FeatureFunctionCode_custodialService</v>
      </c>
      <c r="B3132" s="330"/>
      <c r="C3132" s="334"/>
      <c r="D3132" s="188" t="s">
        <v>21407</v>
      </c>
      <c r="E3132" s="189" t="s">
        <v>21408</v>
      </c>
      <c r="F3132" s="162" t="s">
        <v>21409</v>
      </c>
      <c r="G3132" s="162" t="s">
        <v>21410</v>
      </c>
      <c r="H3132" s="219"/>
      <c r="I3132" s="169">
        <v>112236</v>
      </c>
      <c r="J3132" s="304" t="str">
        <f>CONCATENATE([2]Cover!$D$6,"fdd/view?i=",I3132)</f>
        <v>https://www.dgiwg.org/FAD/fdd/view?i=112236</v>
      </c>
      <c r="K3132" s="304" t="s">
        <v>37181</v>
      </c>
      <c r="L3132" s="188">
        <v>791</v>
      </c>
      <c r="M3132" s="179" t="s">
        <v>151</v>
      </c>
    </row>
    <row r="3133" spans="1:13" ht="38.25">
      <c r="A3133" s="313" t="str">
        <f t="shared" si="48"/>
        <v>FeatureFunctionCode_customsCheckpoint</v>
      </c>
      <c r="B3133" s="330"/>
      <c r="C3133" s="334"/>
      <c r="D3133" s="188" t="s">
        <v>21411</v>
      </c>
      <c r="E3133" s="189" t="s">
        <v>21412</v>
      </c>
      <c r="F3133" s="162" t="s">
        <v>21413</v>
      </c>
      <c r="G3133" s="190"/>
      <c r="H3133" s="219"/>
      <c r="I3133" s="169">
        <v>112118</v>
      </c>
      <c r="J3133" s="304" t="str">
        <f>CONCATENATE([2]Cover!$D$6,"fdd/view?i=",I3133)</f>
        <v>https://www.dgiwg.org/FAD/fdd/view?i=112118</v>
      </c>
      <c r="K3133" s="304" t="s">
        <v>37182</v>
      </c>
      <c r="L3133" s="188">
        <v>537</v>
      </c>
      <c r="M3133" s="179" t="s">
        <v>151</v>
      </c>
    </row>
    <row r="3134" spans="1:13" ht="127.5">
      <c r="A3134" s="313" t="str">
        <f t="shared" si="48"/>
        <v>FeatureFunctionCode_dairying</v>
      </c>
      <c r="B3134" s="330"/>
      <c r="C3134" s="334"/>
      <c r="D3134" s="188" t="s">
        <v>21414</v>
      </c>
      <c r="E3134" s="189" t="s">
        <v>21415</v>
      </c>
      <c r="F3134" s="162" t="s">
        <v>21416</v>
      </c>
      <c r="G3134" s="162" t="s">
        <v>21417</v>
      </c>
      <c r="H3134" s="219"/>
      <c r="I3134" s="169">
        <v>111910</v>
      </c>
      <c r="J3134" s="304" t="str">
        <f>CONCATENATE([2]Cover!$D$6,"fdd/view?i=",I3134)</f>
        <v>https://www.dgiwg.org/FAD/fdd/view?i=111910</v>
      </c>
      <c r="K3134" s="304" t="s">
        <v>37183</v>
      </c>
      <c r="L3134" s="188">
        <v>106</v>
      </c>
      <c r="M3134" s="179" t="s">
        <v>151</v>
      </c>
    </row>
    <row r="3135" spans="1:13" ht="51">
      <c r="A3135" s="313" t="str">
        <f t="shared" si="48"/>
        <v>FeatureFunctionCode_dayCare</v>
      </c>
      <c r="B3135" s="330"/>
      <c r="C3135" s="334"/>
      <c r="D3135" s="188" t="s">
        <v>21418</v>
      </c>
      <c r="E3135" s="189" t="s">
        <v>21419</v>
      </c>
      <c r="F3135" s="162" t="s">
        <v>21420</v>
      </c>
      <c r="G3135" s="190"/>
      <c r="H3135" s="221" t="s">
        <v>21421</v>
      </c>
      <c r="I3135" s="169">
        <v>112386</v>
      </c>
      <c r="J3135" s="304" t="str">
        <f>CONCATENATE([2]Cover!$D$6,"fdd/view?i=",I3135)</f>
        <v>https://www.dgiwg.org/FAD/fdd/view?i=112386</v>
      </c>
      <c r="K3135" s="304" t="s">
        <v>37184</v>
      </c>
      <c r="L3135" s="188">
        <v>885</v>
      </c>
      <c r="M3135" s="179" t="s">
        <v>151</v>
      </c>
    </row>
    <row r="3136" spans="1:13" ht="25.5">
      <c r="A3136" s="313" t="str">
        <f t="shared" si="48"/>
        <v>FeatureFunctionCode_deathCareServices</v>
      </c>
      <c r="B3136" s="330"/>
      <c r="C3136" s="334"/>
      <c r="D3136" s="188" t="s">
        <v>21422</v>
      </c>
      <c r="E3136" s="189" t="s">
        <v>21423</v>
      </c>
      <c r="F3136" s="162" t="s">
        <v>21424</v>
      </c>
      <c r="G3136" s="190"/>
      <c r="H3136" s="219"/>
      <c r="I3136" s="169">
        <v>206599</v>
      </c>
      <c r="J3136" s="304" t="str">
        <f>CONCATENATE([2]Cover!$D$6,"fdd/view?i=",I3136)</f>
        <v>https://www.dgiwg.org/FAD/fdd/view?i=206599</v>
      </c>
      <c r="K3136" s="304" t="s">
        <v>37185</v>
      </c>
      <c r="L3136" s="188">
        <v>980</v>
      </c>
      <c r="M3136" s="179" t="s">
        <v>1295</v>
      </c>
    </row>
    <row r="3137" spans="1:13" ht="25.5">
      <c r="A3137" s="313" t="str">
        <f t="shared" si="48"/>
        <v>FeatureFunctionCode_defenceActivities</v>
      </c>
      <c r="B3137" s="330"/>
      <c r="C3137" s="334"/>
      <c r="D3137" s="188" t="s">
        <v>21425</v>
      </c>
      <c r="E3137" s="189" t="s">
        <v>21426</v>
      </c>
      <c r="F3137" s="162" t="s">
        <v>21427</v>
      </c>
      <c r="G3137" s="190"/>
      <c r="H3137" s="219"/>
      <c r="I3137" s="169">
        <v>112266</v>
      </c>
      <c r="J3137" s="304" t="str">
        <f>CONCATENATE([2]Cover!$D$6,"fdd/view?i=",I3137)</f>
        <v>https://www.dgiwg.org/FAD/fdd/view?i=112266</v>
      </c>
      <c r="K3137" s="304" t="s">
        <v>37186</v>
      </c>
      <c r="L3137" s="188">
        <v>835</v>
      </c>
      <c r="M3137" s="179" t="s">
        <v>151</v>
      </c>
    </row>
    <row r="3138" spans="1:13" ht="76.5">
      <c r="A3138" s="313" t="str">
        <f t="shared" si="48"/>
        <v>FeatureFunctionCode_dependentsHousing</v>
      </c>
      <c r="B3138" s="330"/>
      <c r="C3138" s="334"/>
      <c r="D3138" s="188" t="s">
        <v>21428</v>
      </c>
      <c r="E3138" s="189" t="s">
        <v>21429</v>
      </c>
      <c r="F3138" s="162" t="s">
        <v>21430</v>
      </c>
      <c r="G3138" s="162" t="s">
        <v>21431</v>
      </c>
      <c r="H3138" s="219"/>
      <c r="I3138" s="169">
        <v>112140</v>
      </c>
      <c r="J3138" s="304" t="str">
        <f>CONCATENATE([2]Cover!$D$6,"fdd/view?i=",I3138)</f>
        <v>https://www.dgiwg.org/FAD/fdd/view?i=112140</v>
      </c>
      <c r="K3138" s="304" t="s">
        <v>37187</v>
      </c>
      <c r="L3138" s="188">
        <v>558</v>
      </c>
      <c r="M3138" s="179" t="s">
        <v>151</v>
      </c>
    </row>
    <row r="3139" spans="1:13" ht="89.25">
      <c r="A3139" s="313" t="str">
        <f t="shared" ref="A3139:A3202" si="49">HYPERLINK(J3139,K3139)</f>
        <v>FeatureFunctionCode_diningHall</v>
      </c>
      <c r="B3139" s="330"/>
      <c r="C3139" s="334"/>
      <c r="D3139" s="188" t="s">
        <v>21432</v>
      </c>
      <c r="E3139" s="189" t="s">
        <v>21433</v>
      </c>
      <c r="F3139" s="162" t="s">
        <v>21434</v>
      </c>
      <c r="G3139" s="162" t="s">
        <v>21435</v>
      </c>
      <c r="H3139" s="221" t="s">
        <v>21436</v>
      </c>
      <c r="I3139" s="169">
        <v>112380</v>
      </c>
      <c r="J3139" s="304" t="str">
        <f>CONCATENATE([2]Cover!$D$6,"fdd/view?i=",I3139)</f>
        <v>https://www.dgiwg.org/FAD/fdd/view?i=112380</v>
      </c>
      <c r="K3139" s="304" t="s">
        <v>37188</v>
      </c>
      <c r="L3139" s="188">
        <v>574</v>
      </c>
      <c r="M3139" s="179" t="s">
        <v>151</v>
      </c>
    </row>
    <row r="3140" spans="1:13" ht="89.25">
      <c r="A3140" s="313" t="str">
        <f t="shared" si="49"/>
        <v>FeatureFunctionCode_diplomacy</v>
      </c>
      <c r="B3140" s="330"/>
      <c r="C3140" s="334"/>
      <c r="D3140" s="188" t="s">
        <v>21437</v>
      </c>
      <c r="E3140" s="189" t="s">
        <v>21438</v>
      </c>
      <c r="F3140" s="162" t="s">
        <v>21439</v>
      </c>
      <c r="G3140" s="162" t="s">
        <v>21440</v>
      </c>
      <c r="H3140" s="219"/>
      <c r="I3140" s="169">
        <v>112258</v>
      </c>
      <c r="J3140" s="304" t="str">
        <f>CONCATENATE([2]Cover!$D$6,"fdd/view?i=",I3140)</f>
        <v>https://www.dgiwg.org/FAD/fdd/view?i=112258</v>
      </c>
      <c r="K3140" s="304" t="s">
        <v>37189</v>
      </c>
      <c r="L3140" s="188">
        <v>825</v>
      </c>
      <c r="M3140" s="179" t="s">
        <v>151</v>
      </c>
    </row>
    <row r="3141" spans="1:13" ht="140.25">
      <c r="A3141" s="313" t="str">
        <f t="shared" si="49"/>
        <v>FeatureFunctionCode_diplomaticMission</v>
      </c>
      <c r="B3141" s="330"/>
      <c r="C3141" s="334"/>
      <c r="D3141" s="188" t="s">
        <v>21441</v>
      </c>
      <c r="E3141" s="189" t="s">
        <v>21442</v>
      </c>
      <c r="F3141" s="162" t="s">
        <v>21443</v>
      </c>
      <c r="G3141" s="162" t="s">
        <v>21444</v>
      </c>
      <c r="H3141" s="219"/>
      <c r="I3141" s="169">
        <v>112260</v>
      </c>
      <c r="J3141" s="304" t="str">
        <f>CONCATENATE([2]Cover!$D$6,"fdd/view?i=",I3141)</f>
        <v>https://www.dgiwg.org/FAD/fdd/view?i=112260</v>
      </c>
      <c r="K3141" s="304" t="s">
        <v>37190</v>
      </c>
      <c r="L3141" s="188">
        <v>826</v>
      </c>
      <c r="M3141" s="179" t="s">
        <v>151</v>
      </c>
    </row>
    <row r="3142" spans="1:13" ht="140.25">
      <c r="A3142" s="313" t="str">
        <f t="shared" si="49"/>
        <v>FeatureFunctionCode_dormitory</v>
      </c>
      <c r="B3142" s="330"/>
      <c r="C3142" s="334"/>
      <c r="D3142" s="188" t="s">
        <v>21445</v>
      </c>
      <c r="E3142" s="189" t="s">
        <v>21446</v>
      </c>
      <c r="F3142" s="162" t="s">
        <v>21447</v>
      </c>
      <c r="G3142" s="162" t="s">
        <v>21448</v>
      </c>
      <c r="H3142" s="219"/>
      <c r="I3142" s="169">
        <v>112136</v>
      </c>
      <c r="J3142" s="304" t="str">
        <f>CONCATENATE([2]Cover!$D$6,"fdd/view?i=",I3142)</f>
        <v>https://www.dgiwg.org/FAD/fdd/view?i=112136</v>
      </c>
      <c r="K3142" s="304" t="s">
        <v>37191</v>
      </c>
      <c r="L3142" s="188">
        <v>556</v>
      </c>
      <c r="M3142" s="179" t="s">
        <v>151</v>
      </c>
    </row>
    <row r="3143" spans="1:13" ht="38.25">
      <c r="A3143" s="313" t="str">
        <f t="shared" si="49"/>
        <v>FeatureFunctionCode_drilling</v>
      </c>
      <c r="B3143" s="330"/>
      <c r="C3143" s="334"/>
      <c r="D3143" s="188" t="s">
        <v>21449</v>
      </c>
      <c r="E3143" s="189" t="s">
        <v>21450</v>
      </c>
      <c r="F3143" s="162" t="s">
        <v>21451</v>
      </c>
      <c r="G3143" s="190"/>
      <c r="H3143" s="219"/>
      <c r="I3143" s="169">
        <v>111892</v>
      </c>
      <c r="J3143" s="304" t="str">
        <f>CONCATENATE([2]Cover!$D$6,"fdd/view?i=",I3143)</f>
        <v>https://www.dgiwg.org/FAD/fdd/view?i=111892</v>
      </c>
      <c r="K3143" s="304" t="s">
        <v>37192</v>
      </c>
      <c r="L3143" s="188">
        <v>92</v>
      </c>
      <c r="M3143" s="179" t="s">
        <v>151</v>
      </c>
    </row>
    <row r="3144" spans="1:13" ht="76.5">
      <c r="A3144" s="313" t="str">
        <f t="shared" si="49"/>
        <v>FeatureFunctionCode_education</v>
      </c>
      <c r="B3144" s="330"/>
      <c r="C3144" s="334"/>
      <c r="D3144" s="188" t="s">
        <v>21452</v>
      </c>
      <c r="E3144" s="189" t="s">
        <v>21453</v>
      </c>
      <c r="F3144" s="162" t="s">
        <v>21454</v>
      </c>
      <c r="G3144" s="162" t="s">
        <v>21455</v>
      </c>
      <c r="H3144" s="219"/>
      <c r="I3144" s="169">
        <v>112284</v>
      </c>
      <c r="J3144" s="304" t="str">
        <f>CONCATENATE([2]Cover!$D$6,"fdd/view?i=",I3144)</f>
        <v>https://www.dgiwg.org/FAD/fdd/view?i=112284</v>
      </c>
      <c r="K3144" s="304" t="s">
        <v>37193</v>
      </c>
      <c r="L3144" s="188">
        <v>850</v>
      </c>
      <c r="M3144" s="179" t="s">
        <v>151</v>
      </c>
    </row>
    <row r="3145" spans="1:13" ht="51">
      <c r="A3145" s="313" t="str">
        <f t="shared" si="49"/>
        <v>FeatureFunctionCode_electricalEquipManufac</v>
      </c>
      <c r="B3145" s="330"/>
      <c r="C3145" s="334"/>
      <c r="D3145" s="188" t="s">
        <v>21456</v>
      </c>
      <c r="E3145" s="189" t="s">
        <v>21457</v>
      </c>
      <c r="F3145" s="162" t="s">
        <v>21458</v>
      </c>
      <c r="G3145" s="162" t="s">
        <v>21459</v>
      </c>
      <c r="H3145" s="219"/>
      <c r="I3145" s="169">
        <v>111996</v>
      </c>
      <c r="J3145" s="304" t="str">
        <f>CONCATENATE([2]Cover!$D$6,"fdd/view?i=",I3145)</f>
        <v>https://www.dgiwg.org/FAD/fdd/view?i=111996</v>
      </c>
      <c r="K3145" s="304" t="s">
        <v>37194</v>
      </c>
      <c r="L3145" s="188">
        <v>270</v>
      </c>
      <c r="M3145" s="179" t="s">
        <v>151</v>
      </c>
    </row>
    <row r="3146" spans="1:13" ht="165.75">
      <c r="A3146" s="313" t="str">
        <f t="shared" si="49"/>
        <v>FeatureFunctionCode_electricalEquipRepair</v>
      </c>
      <c r="B3146" s="330"/>
      <c r="C3146" s="334"/>
      <c r="D3146" s="188" t="s">
        <v>21460</v>
      </c>
      <c r="E3146" s="189" t="s">
        <v>21461</v>
      </c>
      <c r="F3146" s="162" t="s">
        <v>21462</v>
      </c>
      <c r="G3146" s="162" t="s">
        <v>21463</v>
      </c>
      <c r="H3146" s="219"/>
      <c r="I3146" s="169">
        <v>112028</v>
      </c>
      <c r="J3146" s="304" t="str">
        <f>CONCATENATE([2]Cover!$D$6,"fdd/view?i=",I3146)</f>
        <v>https://www.dgiwg.org/FAD/fdd/view?i=112028</v>
      </c>
      <c r="K3146" s="304" t="s">
        <v>37195</v>
      </c>
      <c r="L3146" s="188">
        <v>333</v>
      </c>
      <c r="M3146" s="179" t="s">
        <v>151</v>
      </c>
    </row>
    <row r="3147" spans="1:13" ht="127.5">
      <c r="A3147" s="313" t="str">
        <f t="shared" si="49"/>
        <v>FeatureFunctionCode_electronicEquipManufac</v>
      </c>
      <c r="B3147" s="330"/>
      <c r="C3147" s="334"/>
      <c r="D3147" s="188" t="s">
        <v>21464</v>
      </c>
      <c r="E3147" s="189" t="s">
        <v>21465</v>
      </c>
      <c r="F3147" s="162" t="s">
        <v>21466</v>
      </c>
      <c r="G3147" s="162" t="s">
        <v>21467</v>
      </c>
      <c r="H3147" s="219"/>
      <c r="I3147" s="169">
        <v>111994</v>
      </c>
      <c r="J3147" s="304" t="str">
        <f>CONCATENATE([2]Cover!$D$6,"fdd/view?i=",I3147)</f>
        <v>https://www.dgiwg.org/FAD/fdd/view?i=111994</v>
      </c>
      <c r="K3147" s="304" t="s">
        <v>37196</v>
      </c>
      <c r="L3147" s="188">
        <v>260</v>
      </c>
      <c r="M3147" s="179" t="s">
        <v>151</v>
      </c>
    </row>
    <row r="3148" spans="1:13" ht="114.75">
      <c r="A3148" s="313" t="str">
        <f t="shared" si="49"/>
        <v>FeatureFunctionCode_electronicEquipRepair</v>
      </c>
      <c r="B3148" s="330"/>
      <c r="C3148" s="334"/>
      <c r="D3148" s="188" t="s">
        <v>21468</v>
      </c>
      <c r="E3148" s="189" t="s">
        <v>21469</v>
      </c>
      <c r="F3148" s="162" t="s">
        <v>21470</v>
      </c>
      <c r="G3148" s="162" t="s">
        <v>21471</v>
      </c>
      <c r="H3148" s="219"/>
      <c r="I3148" s="169">
        <v>112026</v>
      </c>
      <c r="J3148" s="304" t="str">
        <f>CONCATENATE([2]Cover!$D$6,"fdd/view?i=",I3148)</f>
        <v>https://www.dgiwg.org/FAD/fdd/view?i=112026</v>
      </c>
      <c r="K3148" s="304" t="s">
        <v>37197</v>
      </c>
      <c r="L3148" s="188">
        <v>332</v>
      </c>
      <c r="M3148" s="179" t="s">
        <v>151</v>
      </c>
    </row>
    <row r="3149" spans="1:13" ht="89.25">
      <c r="A3149" s="313" t="str">
        <f t="shared" si="49"/>
        <v>FeatureFunctionCode_embassy</v>
      </c>
      <c r="B3149" s="330"/>
      <c r="C3149" s="334"/>
      <c r="D3149" s="188" t="s">
        <v>21472</v>
      </c>
      <c r="E3149" s="189" t="s">
        <v>21473</v>
      </c>
      <c r="F3149" s="162" t="s">
        <v>21474</v>
      </c>
      <c r="G3149" s="162" t="s">
        <v>21475</v>
      </c>
      <c r="H3149" s="219"/>
      <c r="I3149" s="169">
        <v>112262</v>
      </c>
      <c r="J3149" s="304" t="str">
        <f>CONCATENATE([2]Cover!$D$6,"fdd/view?i=",I3149)</f>
        <v>https://www.dgiwg.org/FAD/fdd/view?i=112262</v>
      </c>
      <c r="K3149" s="304" t="s">
        <v>37198</v>
      </c>
      <c r="L3149" s="188">
        <v>827</v>
      </c>
      <c r="M3149" s="179" t="s">
        <v>151</v>
      </c>
    </row>
    <row r="3150" spans="1:13" ht="127.5">
      <c r="A3150" s="313" t="str">
        <f t="shared" si="49"/>
        <v>FeatureFunctionCode_emergencyOperations</v>
      </c>
      <c r="B3150" s="330"/>
      <c r="C3150" s="334"/>
      <c r="D3150" s="188" t="s">
        <v>21476</v>
      </c>
      <c r="E3150" s="189" t="s">
        <v>21477</v>
      </c>
      <c r="F3150" s="162" t="s">
        <v>21478</v>
      </c>
      <c r="G3150" s="162" t="s">
        <v>21479</v>
      </c>
      <c r="H3150" s="219"/>
      <c r="I3150" s="169">
        <v>118561</v>
      </c>
      <c r="J3150" s="304" t="str">
        <f>CONCATENATE([2]Cover!$D$6,"fdd/view?i=",I3150)</f>
        <v>https://www.dgiwg.org/FAD/fdd/view?i=118561</v>
      </c>
      <c r="K3150" s="304" t="s">
        <v>37199</v>
      </c>
      <c r="L3150" s="188">
        <v>847</v>
      </c>
      <c r="M3150" s="179" t="s">
        <v>151</v>
      </c>
    </row>
    <row r="3151" spans="1:13" ht="51">
      <c r="A3151" s="313" t="str">
        <f t="shared" si="49"/>
        <v>FeatureFunctionCode_emergencyReliefServices</v>
      </c>
      <c r="B3151" s="330"/>
      <c r="C3151" s="334"/>
      <c r="D3151" s="188" t="s">
        <v>21480</v>
      </c>
      <c r="E3151" s="189" t="s">
        <v>21481</v>
      </c>
      <c r="F3151" s="162" t="s">
        <v>21482</v>
      </c>
      <c r="G3151" s="162" t="s">
        <v>21483</v>
      </c>
      <c r="H3151" s="219"/>
      <c r="I3151" s="169">
        <v>118563</v>
      </c>
      <c r="J3151" s="304" t="str">
        <f>CONCATENATE([2]Cover!$D$6,"fdd/view?i=",I3151)</f>
        <v>https://www.dgiwg.org/FAD/fdd/view?i=118563</v>
      </c>
      <c r="K3151" s="304" t="s">
        <v>37200</v>
      </c>
      <c r="L3151" s="188">
        <v>888</v>
      </c>
      <c r="M3151" s="179" t="s">
        <v>151</v>
      </c>
    </row>
    <row r="3152" spans="1:13" ht="191.25">
      <c r="A3152" s="313" t="str">
        <f t="shared" si="49"/>
        <v>FeatureFunctionCode_emergencyShelter</v>
      </c>
      <c r="B3152" s="330"/>
      <c r="C3152" s="334"/>
      <c r="D3152" s="188" t="s">
        <v>21484</v>
      </c>
      <c r="E3152" s="189" t="s">
        <v>21485</v>
      </c>
      <c r="F3152" s="162" t="s">
        <v>21486</v>
      </c>
      <c r="G3152" s="162" t="s">
        <v>21487</v>
      </c>
      <c r="H3152" s="219"/>
      <c r="I3152" s="169">
        <v>112308</v>
      </c>
      <c r="J3152" s="304" t="str">
        <f>CONCATENATE([2]Cover!$D$6,"fdd/view?i=",I3152)</f>
        <v>https://www.dgiwg.org/FAD/fdd/view?i=112308</v>
      </c>
      <c r="K3152" s="304" t="s">
        <v>37201</v>
      </c>
      <c r="L3152" s="188">
        <v>881</v>
      </c>
      <c r="M3152" s="179" t="s">
        <v>151</v>
      </c>
    </row>
    <row r="3153" spans="1:13" ht="127.5">
      <c r="A3153" s="313" t="str">
        <f t="shared" si="49"/>
        <v>FeatureFunctionCode_emergencyYouthShelter</v>
      </c>
      <c r="B3153" s="330"/>
      <c r="C3153" s="334"/>
      <c r="D3153" s="188" t="s">
        <v>21488</v>
      </c>
      <c r="E3153" s="189" t="s">
        <v>21489</v>
      </c>
      <c r="F3153" s="162" t="s">
        <v>21490</v>
      </c>
      <c r="G3153" s="162" t="s">
        <v>21491</v>
      </c>
      <c r="H3153" s="219"/>
      <c r="I3153" s="169">
        <v>118567</v>
      </c>
      <c r="J3153" s="304" t="str">
        <f>CONCATENATE([2]Cover!$D$6,"fdd/view?i=",I3153)</f>
        <v>https://www.dgiwg.org/FAD/fdd/view?i=118567</v>
      </c>
      <c r="K3153" s="304" t="s">
        <v>37202</v>
      </c>
      <c r="L3153" s="188">
        <v>884</v>
      </c>
      <c r="M3153" s="179" t="s">
        <v>151</v>
      </c>
    </row>
    <row r="3154" spans="1:13" ht="89.25">
      <c r="A3154" s="313" t="str">
        <f t="shared" si="49"/>
        <v>FeatureFunctionCode_employmentAgency</v>
      </c>
      <c r="B3154" s="330"/>
      <c r="C3154" s="334"/>
      <c r="D3154" s="188" t="s">
        <v>21492</v>
      </c>
      <c r="E3154" s="189" t="s">
        <v>21493</v>
      </c>
      <c r="F3154" s="162" t="s">
        <v>21494</v>
      </c>
      <c r="G3154" s="190"/>
      <c r="H3154" s="219"/>
      <c r="I3154" s="169">
        <v>112228</v>
      </c>
      <c r="J3154" s="304" t="str">
        <f>CONCATENATE([2]Cover!$D$6,"fdd/view?i=",I3154)</f>
        <v>https://www.dgiwg.org/FAD/fdd/view?i=112228</v>
      </c>
      <c r="K3154" s="304" t="s">
        <v>37203</v>
      </c>
      <c r="L3154" s="188">
        <v>770</v>
      </c>
      <c r="M3154" s="179" t="s">
        <v>151</v>
      </c>
    </row>
    <row r="3155" spans="1:13" ht="89.25">
      <c r="A3155" s="313" t="str">
        <f t="shared" si="49"/>
        <v>FeatureFunctionCode_engineeringDesign</v>
      </c>
      <c r="B3155" s="330"/>
      <c r="C3155" s="334"/>
      <c r="D3155" s="188" t="s">
        <v>21495</v>
      </c>
      <c r="E3155" s="189" t="s">
        <v>21496</v>
      </c>
      <c r="F3155" s="162" t="s">
        <v>21497</v>
      </c>
      <c r="G3155" s="162" t="s">
        <v>21498</v>
      </c>
      <c r="H3155" s="219"/>
      <c r="I3155" s="169">
        <v>112206</v>
      </c>
      <c r="J3155" s="304" t="str">
        <f>CONCATENATE([2]Cover!$D$6,"fdd/view?i=",I3155)</f>
        <v>https://www.dgiwg.org/FAD/fdd/view?i=112206</v>
      </c>
      <c r="K3155" s="304" t="s">
        <v>37204</v>
      </c>
      <c r="L3155" s="188">
        <v>714</v>
      </c>
      <c r="M3155" s="179" t="s">
        <v>151</v>
      </c>
    </row>
    <row r="3156" spans="1:13" ht="51">
      <c r="A3156" s="313" t="str">
        <f t="shared" si="49"/>
        <v>FeatureFunctionCode_executiveActivities</v>
      </c>
      <c r="B3156" s="330"/>
      <c r="C3156" s="334"/>
      <c r="D3156" s="188" t="s">
        <v>21499</v>
      </c>
      <c r="E3156" s="189" t="s">
        <v>21500</v>
      </c>
      <c r="F3156" s="162" t="s">
        <v>21501</v>
      </c>
      <c r="G3156" s="190"/>
      <c r="H3156" s="219"/>
      <c r="I3156" s="169">
        <v>119268</v>
      </c>
      <c r="J3156" s="304" t="str">
        <f>CONCATENATE([2]Cover!$D$6,"fdd/view?i=",I3156)</f>
        <v>https://www.dgiwg.org/FAD/fdd/view?i=119268</v>
      </c>
      <c r="K3156" s="304" t="s">
        <v>37205</v>
      </c>
      <c r="L3156" s="188">
        <v>818</v>
      </c>
      <c r="M3156" s="179" t="s">
        <v>151</v>
      </c>
    </row>
    <row r="3157" spans="1:13" ht="140.25">
      <c r="A3157" s="313" t="str">
        <f t="shared" si="49"/>
        <v>FeatureFunctionCode_fabricMetalProdManufac</v>
      </c>
      <c r="B3157" s="330"/>
      <c r="C3157" s="334"/>
      <c r="D3157" s="188" t="s">
        <v>21502</v>
      </c>
      <c r="E3157" s="189" t="s">
        <v>21503</v>
      </c>
      <c r="F3157" s="162" t="s">
        <v>21504</v>
      </c>
      <c r="G3157" s="162" t="s">
        <v>21505</v>
      </c>
      <c r="H3157" s="219"/>
      <c r="I3157" s="169">
        <v>111992</v>
      </c>
      <c r="J3157" s="304" t="str">
        <f>CONCATENATE([2]Cover!$D$6,"fdd/view?i=",I3157)</f>
        <v>https://www.dgiwg.org/FAD/fdd/view?i=111992</v>
      </c>
      <c r="K3157" s="304" t="s">
        <v>37206</v>
      </c>
      <c r="L3157" s="188">
        <v>257</v>
      </c>
      <c r="M3157" s="179" t="s">
        <v>151</v>
      </c>
    </row>
    <row r="3158" spans="1:13" ht="293.25">
      <c r="A3158" s="313" t="str">
        <f t="shared" si="49"/>
        <v>FeatureFunctionCode_fabricMetalProdRepair</v>
      </c>
      <c r="B3158" s="330"/>
      <c r="C3158" s="334"/>
      <c r="D3158" s="188" t="s">
        <v>21506</v>
      </c>
      <c r="E3158" s="189" t="s">
        <v>21507</v>
      </c>
      <c r="F3158" s="162" t="s">
        <v>21508</v>
      </c>
      <c r="G3158" s="162" t="s">
        <v>21509</v>
      </c>
      <c r="H3158" s="219"/>
      <c r="I3158" s="169">
        <v>112024</v>
      </c>
      <c r="J3158" s="304" t="str">
        <f>CONCATENATE([2]Cover!$D$6,"fdd/view?i=",I3158)</f>
        <v>https://www.dgiwg.org/FAD/fdd/view?i=112024</v>
      </c>
      <c r="K3158" s="304" t="s">
        <v>37207</v>
      </c>
      <c r="L3158" s="188">
        <v>331</v>
      </c>
      <c r="M3158" s="179" t="s">
        <v>151</v>
      </c>
    </row>
    <row r="3159" spans="1:13" ht="51">
      <c r="A3159" s="313" t="str">
        <f t="shared" si="49"/>
        <v>FeatureFunctionCode_financialMarketAdmin</v>
      </c>
      <c r="B3159" s="330"/>
      <c r="C3159" s="334"/>
      <c r="D3159" s="188" t="s">
        <v>21510</v>
      </c>
      <c r="E3159" s="189" t="s">
        <v>21511</v>
      </c>
      <c r="F3159" s="162" t="s">
        <v>21512</v>
      </c>
      <c r="G3159" s="190"/>
      <c r="H3159" s="219"/>
      <c r="I3159" s="169">
        <v>112188</v>
      </c>
      <c r="J3159" s="304" t="str">
        <f>CONCATENATE([2]Cover!$D$6,"fdd/view?i=",I3159)</f>
        <v>https://www.dgiwg.org/FAD/fdd/view?i=112188</v>
      </c>
      <c r="K3159" s="304" t="s">
        <v>37208</v>
      </c>
      <c r="L3159" s="188">
        <v>662</v>
      </c>
      <c r="M3159" s="179" t="s">
        <v>151</v>
      </c>
    </row>
    <row r="3160" spans="1:13" ht="51">
      <c r="A3160" s="313" t="str">
        <f t="shared" si="49"/>
        <v>FeatureFunctionCode_financialServices</v>
      </c>
      <c r="B3160" s="330"/>
      <c r="C3160" s="334"/>
      <c r="D3160" s="188" t="s">
        <v>21513</v>
      </c>
      <c r="E3160" s="189" t="s">
        <v>21514</v>
      </c>
      <c r="F3160" s="162" t="s">
        <v>21515</v>
      </c>
      <c r="G3160" s="162" t="s">
        <v>21516</v>
      </c>
      <c r="H3160" s="219"/>
      <c r="I3160" s="169">
        <v>118555</v>
      </c>
      <c r="J3160" s="304" t="str">
        <f>CONCATENATE([2]Cover!$D$6,"fdd/view?i=",I3160)</f>
        <v>https://www.dgiwg.org/FAD/fdd/view?i=118555</v>
      </c>
      <c r="K3160" s="304" t="s">
        <v>37209</v>
      </c>
      <c r="L3160" s="188">
        <v>640</v>
      </c>
      <c r="M3160" s="179" t="s">
        <v>151</v>
      </c>
    </row>
    <row r="3161" spans="1:13" ht="38.25">
      <c r="A3161" s="313" t="str">
        <f t="shared" si="49"/>
        <v>FeatureFunctionCode_firefighting</v>
      </c>
      <c r="B3161" s="330"/>
      <c r="C3161" s="334"/>
      <c r="D3161" s="188" t="s">
        <v>21517</v>
      </c>
      <c r="E3161" s="189" t="s">
        <v>21518</v>
      </c>
      <c r="F3161" s="162" t="s">
        <v>21519</v>
      </c>
      <c r="G3161" s="162" t="s">
        <v>21520</v>
      </c>
      <c r="H3161" s="219"/>
      <c r="I3161" s="169">
        <v>112280</v>
      </c>
      <c r="J3161" s="304" t="str">
        <f>CONCATENATE([2]Cover!$D$6,"fdd/view?i=",I3161)</f>
        <v>https://www.dgiwg.org/FAD/fdd/view?i=112280</v>
      </c>
      <c r="K3161" s="304" t="s">
        <v>37210</v>
      </c>
      <c r="L3161" s="188">
        <v>845</v>
      </c>
      <c r="M3161" s="179" t="s">
        <v>151</v>
      </c>
    </row>
    <row r="3162" spans="1:13" ht="153">
      <c r="A3162" s="313" t="str">
        <f t="shared" si="49"/>
        <v>FeatureFunctionCode_fishing</v>
      </c>
      <c r="B3162" s="330"/>
      <c r="C3162" s="334"/>
      <c r="D3162" s="188" t="s">
        <v>21521</v>
      </c>
      <c r="E3162" s="189" t="s">
        <v>21522</v>
      </c>
      <c r="F3162" s="162" t="s">
        <v>21523</v>
      </c>
      <c r="G3162" s="162" t="s">
        <v>21524</v>
      </c>
      <c r="H3162" s="219"/>
      <c r="I3162" s="169">
        <v>111854</v>
      </c>
      <c r="J3162" s="304" t="str">
        <f>CONCATENATE([2]Cover!$D$6,"fdd/view?i=",I3162)</f>
        <v>https://www.dgiwg.org/FAD/fdd/view?i=111854</v>
      </c>
      <c r="K3162" s="304" t="s">
        <v>37211</v>
      </c>
      <c r="L3162" s="188">
        <v>30</v>
      </c>
      <c r="M3162" s="179" t="s">
        <v>151</v>
      </c>
    </row>
    <row r="3163" spans="1:13" ht="76.5">
      <c r="A3163" s="313" t="str">
        <f t="shared" si="49"/>
        <v>FeatureFunctionCode_fitnessCentre</v>
      </c>
      <c r="B3163" s="330"/>
      <c r="C3163" s="334"/>
      <c r="D3163" s="188" t="s">
        <v>21525</v>
      </c>
      <c r="E3163" s="189" t="s">
        <v>21526</v>
      </c>
      <c r="F3163" s="162" t="s">
        <v>21527</v>
      </c>
      <c r="G3163" s="162" t="s">
        <v>21528</v>
      </c>
      <c r="H3163" s="219"/>
      <c r="I3163" s="169">
        <v>112334</v>
      </c>
      <c r="J3163" s="304" t="str">
        <f>CONCATENATE([2]Cover!$D$6,"fdd/view?i=",I3163)</f>
        <v>https://www.dgiwg.org/FAD/fdd/view?i=112334</v>
      </c>
      <c r="K3163" s="304" t="s">
        <v>37212</v>
      </c>
      <c r="L3163" s="188">
        <v>913</v>
      </c>
      <c r="M3163" s="179" t="s">
        <v>151</v>
      </c>
    </row>
    <row r="3164" spans="1:13" ht="25.5">
      <c r="A3164" s="313" t="str">
        <f t="shared" si="49"/>
        <v>FeatureFunctionCode_foodProcessing</v>
      </c>
      <c r="B3164" s="330"/>
      <c r="C3164" s="334"/>
      <c r="D3164" s="188" t="s">
        <v>21529</v>
      </c>
      <c r="E3164" s="189" t="s">
        <v>21530</v>
      </c>
      <c r="F3164" s="162" t="s">
        <v>21531</v>
      </c>
      <c r="G3164" s="190"/>
      <c r="H3164" s="219"/>
      <c r="I3164" s="169">
        <v>111900</v>
      </c>
      <c r="J3164" s="304" t="str">
        <f>CONCATENATE([2]Cover!$D$6,"fdd/view?i=",I3164)</f>
        <v>https://www.dgiwg.org/FAD/fdd/view?i=111900</v>
      </c>
      <c r="K3164" s="304" t="s">
        <v>37213</v>
      </c>
      <c r="L3164" s="188">
        <v>101</v>
      </c>
      <c r="M3164" s="179" t="s">
        <v>151</v>
      </c>
    </row>
    <row r="3165" spans="1:13" ht="51">
      <c r="A3165" s="313" t="str">
        <f t="shared" si="49"/>
        <v>FeatureFunctionCode_foodProductManufac</v>
      </c>
      <c r="B3165" s="330"/>
      <c r="C3165" s="334"/>
      <c r="D3165" s="188" t="s">
        <v>21532</v>
      </c>
      <c r="E3165" s="189" t="s">
        <v>21533</v>
      </c>
      <c r="F3165" s="162" t="s">
        <v>21534</v>
      </c>
      <c r="G3165" s="162" t="s">
        <v>21535</v>
      </c>
      <c r="H3165" s="219"/>
      <c r="I3165" s="169">
        <v>111898</v>
      </c>
      <c r="J3165" s="304" t="str">
        <f>CONCATENATE([2]Cover!$D$6,"fdd/view?i=",I3165)</f>
        <v>https://www.dgiwg.org/FAD/fdd/view?i=111898</v>
      </c>
      <c r="K3165" s="304" t="s">
        <v>37214</v>
      </c>
      <c r="L3165" s="188">
        <v>100</v>
      </c>
      <c r="M3165" s="179" t="s">
        <v>151</v>
      </c>
    </row>
    <row r="3166" spans="1:13" ht="25.5">
      <c r="A3166" s="313" t="str">
        <f t="shared" si="49"/>
        <v>FeatureFunctionCode_foodService</v>
      </c>
      <c r="B3166" s="330"/>
      <c r="C3166" s="334"/>
      <c r="D3166" s="188" t="s">
        <v>21536</v>
      </c>
      <c r="E3166" s="189" t="s">
        <v>21537</v>
      </c>
      <c r="F3166" s="162" t="s">
        <v>21538</v>
      </c>
      <c r="G3166" s="190"/>
      <c r="H3166" s="219"/>
      <c r="I3166" s="169">
        <v>206586</v>
      </c>
      <c r="J3166" s="304" t="str">
        <f>CONCATENATE([2]Cover!$D$6,"fdd/view?i=",I3166)</f>
        <v>https://www.dgiwg.org/FAD/fdd/view?i=206586</v>
      </c>
      <c r="K3166" s="304" t="s">
        <v>37215</v>
      </c>
      <c r="L3166" s="188">
        <v>570</v>
      </c>
      <c r="M3166" s="179" t="s">
        <v>1295</v>
      </c>
    </row>
    <row r="3167" spans="1:13" ht="63.75">
      <c r="A3167" s="313" t="str">
        <f t="shared" si="49"/>
        <v>FeatureFunctionCode_footwearManufac</v>
      </c>
      <c r="B3167" s="330"/>
      <c r="C3167" s="334"/>
      <c r="D3167" s="188" t="s">
        <v>21539</v>
      </c>
      <c r="E3167" s="189" t="s">
        <v>21540</v>
      </c>
      <c r="F3167" s="162" t="s">
        <v>21541</v>
      </c>
      <c r="G3167" s="162" t="s">
        <v>21542</v>
      </c>
      <c r="H3167" s="219"/>
      <c r="I3167" s="169">
        <v>111946</v>
      </c>
      <c r="J3167" s="304" t="str">
        <f>CONCATENATE([2]Cover!$D$6,"fdd/view?i=",I3167)</f>
        <v>https://www.dgiwg.org/FAD/fdd/view?i=111946</v>
      </c>
      <c r="K3167" s="304" t="s">
        <v>37216</v>
      </c>
      <c r="L3167" s="188">
        <v>155</v>
      </c>
      <c r="M3167" s="179" t="s">
        <v>151</v>
      </c>
    </row>
    <row r="3168" spans="1:13" ht="89.25">
      <c r="A3168" s="313" t="str">
        <f t="shared" si="49"/>
        <v>FeatureFunctionCode_forestryLogging</v>
      </c>
      <c r="B3168" s="330"/>
      <c r="C3168" s="334"/>
      <c r="D3168" s="188" t="s">
        <v>21546</v>
      </c>
      <c r="E3168" s="189" t="s">
        <v>21547</v>
      </c>
      <c r="F3168" s="162" t="s">
        <v>21548</v>
      </c>
      <c r="G3168" s="162" t="s">
        <v>21549</v>
      </c>
      <c r="H3168" s="219"/>
      <c r="I3168" s="169">
        <v>111848</v>
      </c>
      <c r="J3168" s="304" t="str">
        <f>CONCATENATE([2]Cover!$D$6,"fdd/view?i=",I3168)</f>
        <v>https://www.dgiwg.org/FAD/fdd/view?i=111848</v>
      </c>
      <c r="K3168" s="304" t="s">
        <v>37217</v>
      </c>
      <c r="L3168" s="188">
        <v>20</v>
      </c>
      <c r="M3168" s="179" t="s">
        <v>151</v>
      </c>
    </row>
    <row r="3169" spans="1:13" ht="25.5">
      <c r="A3169" s="313" t="str">
        <f t="shared" si="49"/>
        <v>FeatureFunctionCode_forestWarden</v>
      </c>
      <c r="B3169" s="330"/>
      <c r="C3169" s="334"/>
      <c r="D3169" s="188" t="s">
        <v>21543</v>
      </c>
      <c r="E3169" s="189" t="s">
        <v>21544</v>
      </c>
      <c r="F3169" s="162" t="s">
        <v>21545</v>
      </c>
      <c r="G3169" s="190"/>
      <c r="H3169" s="219"/>
      <c r="I3169" s="169">
        <v>111852</v>
      </c>
      <c r="J3169" s="304" t="str">
        <f>CONCATENATE([2]Cover!$D$6,"fdd/view?i=",I3169)</f>
        <v>https://www.dgiwg.org/FAD/fdd/view?i=111852</v>
      </c>
      <c r="K3169" s="304" t="s">
        <v>37218</v>
      </c>
      <c r="L3169" s="188">
        <v>27</v>
      </c>
      <c r="M3169" s="179" t="s">
        <v>151</v>
      </c>
    </row>
    <row r="3170" spans="1:13" ht="38.25">
      <c r="A3170" s="313" t="str">
        <f t="shared" si="49"/>
        <v>FeatureFunctionCode_foundry</v>
      </c>
      <c r="B3170" s="330"/>
      <c r="C3170" s="334"/>
      <c r="D3170" s="188" t="s">
        <v>21550</v>
      </c>
      <c r="E3170" s="189" t="s">
        <v>21551</v>
      </c>
      <c r="F3170" s="162" t="s">
        <v>21552</v>
      </c>
      <c r="G3170" s="190"/>
      <c r="H3170" s="219"/>
      <c r="I3170" s="169">
        <v>111986</v>
      </c>
      <c r="J3170" s="304" t="str">
        <f>CONCATENATE([2]Cover!$D$6,"fdd/view?i=",I3170)</f>
        <v>https://www.dgiwg.org/FAD/fdd/view?i=111986</v>
      </c>
      <c r="K3170" s="304" t="s">
        <v>37219</v>
      </c>
      <c r="L3170" s="188">
        <v>243</v>
      </c>
      <c r="M3170" s="179" t="s">
        <v>151</v>
      </c>
    </row>
    <row r="3171" spans="1:13" ht="255">
      <c r="A3171" s="313" t="str">
        <f t="shared" si="49"/>
        <v>FeatureFunctionCode_fruitVegProcessing</v>
      </c>
      <c r="B3171" s="330"/>
      <c r="C3171" s="334"/>
      <c r="D3171" s="188" t="s">
        <v>21553</v>
      </c>
      <c r="E3171" s="189" t="s">
        <v>21554</v>
      </c>
      <c r="F3171" s="162" t="s">
        <v>21555</v>
      </c>
      <c r="G3171" s="162" t="s">
        <v>21556</v>
      </c>
      <c r="H3171" s="219"/>
      <c r="I3171" s="169">
        <v>111906</v>
      </c>
      <c r="J3171" s="304" t="str">
        <f>CONCATENATE([2]Cover!$D$6,"fdd/view?i=",I3171)</f>
        <v>https://www.dgiwg.org/FAD/fdd/view?i=111906</v>
      </c>
      <c r="K3171" s="304" t="s">
        <v>37220</v>
      </c>
      <c r="L3171" s="188">
        <v>104</v>
      </c>
      <c r="M3171" s="179" t="s">
        <v>151</v>
      </c>
    </row>
    <row r="3172" spans="1:13" ht="38.25">
      <c r="A3172" s="313" t="str">
        <f t="shared" si="49"/>
        <v>FeatureFunctionCode_fundManagement</v>
      </c>
      <c r="B3172" s="330"/>
      <c r="C3172" s="334"/>
      <c r="D3172" s="188" t="s">
        <v>21557</v>
      </c>
      <c r="E3172" s="189" t="s">
        <v>21558</v>
      </c>
      <c r="F3172" s="162" t="s">
        <v>21559</v>
      </c>
      <c r="G3172" s="190"/>
      <c r="H3172" s="219"/>
      <c r="I3172" s="169">
        <v>112192</v>
      </c>
      <c r="J3172" s="304" t="str">
        <f>CONCATENATE([2]Cover!$D$6,"fdd/view?i=",I3172)</f>
        <v>https://www.dgiwg.org/FAD/fdd/view?i=112192</v>
      </c>
      <c r="K3172" s="304" t="s">
        <v>37221</v>
      </c>
      <c r="L3172" s="188">
        <v>671</v>
      </c>
      <c r="M3172" s="179" t="s">
        <v>151</v>
      </c>
    </row>
    <row r="3173" spans="1:13" ht="76.5">
      <c r="A3173" s="313" t="str">
        <f t="shared" si="49"/>
        <v>FeatureFunctionCode_funeralServices</v>
      </c>
      <c r="B3173" s="330"/>
      <c r="C3173" s="334"/>
      <c r="D3173" s="188" t="s">
        <v>21560</v>
      </c>
      <c r="E3173" s="189" t="s">
        <v>21561</v>
      </c>
      <c r="F3173" s="162" t="s">
        <v>21562</v>
      </c>
      <c r="G3173" s="162" t="s">
        <v>21563</v>
      </c>
      <c r="H3173" s="219"/>
      <c r="I3173" s="169">
        <v>112354</v>
      </c>
      <c r="J3173" s="304" t="str">
        <f>CONCATENATE([2]Cover!$D$6,"fdd/view?i=",I3173)</f>
        <v>https://www.dgiwg.org/FAD/fdd/view?i=112354</v>
      </c>
      <c r="K3173" s="304" t="s">
        <v>37222</v>
      </c>
      <c r="L3173" s="188">
        <v>963</v>
      </c>
      <c r="M3173" s="179" t="s">
        <v>151</v>
      </c>
    </row>
    <row r="3174" spans="1:13" ht="127.5">
      <c r="A3174" s="313" t="str">
        <f t="shared" si="49"/>
        <v>FeatureFunctionCode_furnitureManufac</v>
      </c>
      <c r="B3174" s="330"/>
      <c r="C3174" s="334"/>
      <c r="D3174" s="188" t="s">
        <v>21564</v>
      </c>
      <c r="E3174" s="189" t="s">
        <v>21565</v>
      </c>
      <c r="F3174" s="162" t="s">
        <v>21566</v>
      </c>
      <c r="G3174" s="162" t="s">
        <v>21567</v>
      </c>
      <c r="H3174" s="219"/>
      <c r="I3174" s="169">
        <v>112010</v>
      </c>
      <c r="J3174" s="304" t="str">
        <f>CONCATENATE([2]Cover!$D$6,"fdd/view?i=",I3174)</f>
        <v>https://www.dgiwg.org/FAD/fdd/view?i=112010</v>
      </c>
      <c r="K3174" s="304" t="s">
        <v>37223</v>
      </c>
      <c r="L3174" s="188">
        <v>310</v>
      </c>
      <c r="M3174" s="179" t="s">
        <v>151</v>
      </c>
    </row>
    <row r="3175" spans="1:13" ht="51">
      <c r="A3175" s="313" t="str">
        <f t="shared" si="49"/>
        <v>FeatureFunctionCode_gambling</v>
      </c>
      <c r="B3175" s="330"/>
      <c r="C3175" s="334"/>
      <c r="D3175" s="188" t="s">
        <v>21568</v>
      </c>
      <c r="E3175" s="189" t="s">
        <v>21569</v>
      </c>
      <c r="F3175" s="162" t="s">
        <v>21570</v>
      </c>
      <c r="G3175" s="162" t="s">
        <v>21571</v>
      </c>
      <c r="H3175" s="219"/>
      <c r="I3175" s="169">
        <v>112330</v>
      </c>
      <c r="J3175" s="304" t="str">
        <f>CONCATENATE([2]Cover!$D$6,"fdd/view?i=",I3175)</f>
        <v>https://www.dgiwg.org/FAD/fdd/view?i=112330</v>
      </c>
      <c r="K3175" s="304" t="s">
        <v>37224</v>
      </c>
      <c r="L3175" s="188">
        <v>909</v>
      </c>
      <c r="M3175" s="179" t="s">
        <v>151</v>
      </c>
    </row>
    <row r="3176" spans="1:13" ht="51">
      <c r="A3176" s="313" t="str">
        <f t="shared" si="49"/>
        <v>FeatureFunctionCode_gameToyManufac</v>
      </c>
      <c r="B3176" s="330"/>
      <c r="C3176" s="334"/>
      <c r="D3176" s="188" t="s">
        <v>21572</v>
      </c>
      <c r="E3176" s="189" t="s">
        <v>21573</v>
      </c>
      <c r="F3176" s="162" t="s">
        <v>21574</v>
      </c>
      <c r="G3176" s="190"/>
      <c r="H3176" s="219"/>
      <c r="I3176" s="169">
        <v>112018</v>
      </c>
      <c r="J3176" s="304" t="str">
        <f>CONCATENATE([2]Cover!$D$6,"fdd/view?i=",I3176)</f>
        <v>https://www.dgiwg.org/FAD/fdd/view?i=112018</v>
      </c>
      <c r="K3176" s="304" t="s">
        <v>37225</v>
      </c>
      <c r="L3176" s="188">
        <v>324</v>
      </c>
      <c r="M3176" s="179" t="s">
        <v>151</v>
      </c>
    </row>
    <row r="3177" spans="1:13" ht="38.25">
      <c r="A3177" s="313" t="str">
        <f t="shared" si="49"/>
        <v>FeatureFunctionCode_gasOilSeparation</v>
      </c>
      <c r="B3177" s="330"/>
      <c r="C3177" s="334"/>
      <c r="D3177" s="188" t="s">
        <v>21575</v>
      </c>
      <c r="E3177" s="189" t="s">
        <v>21576</v>
      </c>
      <c r="F3177" s="162" t="s">
        <v>21577</v>
      </c>
      <c r="G3177" s="190"/>
      <c r="H3177" s="219"/>
      <c r="I3177" s="169">
        <v>111890</v>
      </c>
      <c r="J3177" s="304" t="str">
        <f>CONCATENATE([2]Cover!$D$6,"fdd/view?i=",I3177)</f>
        <v>https://www.dgiwg.org/FAD/fdd/view?i=111890</v>
      </c>
      <c r="K3177" s="304" t="s">
        <v>37226</v>
      </c>
      <c r="L3177" s="188">
        <v>91</v>
      </c>
      <c r="M3177" s="179" t="s">
        <v>151</v>
      </c>
    </row>
    <row r="3178" spans="1:13" ht="140.25">
      <c r="A3178" s="313" t="str">
        <f t="shared" si="49"/>
        <v>FeatureFunctionCode_generalRepair</v>
      </c>
      <c r="B3178" s="330"/>
      <c r="C3178" s="334"/>
      <c r="D3178" s="188" t="s">
        <v>21578</v>
      </c>
      <c r="E3178" s="189" t="s">
        <v>21579</v>
      </c>
      <c r="F3178" s="162" t="s">
        <v>21580</v>
      </c>
      <c r="G3178" s="162" t="s">
        <v>21581</v>
      </c>
      <c r="H3178" s="219"/>
      <c r="I3178" s="169">
        <v>112022</v>
      </c>
      <c r="J3178" s="304" t="str">
        <f>CONCATENATE([2]Cover!$D$6,"fdd/view?i=",I3178)</f>
        <v>https://www.dgiwg.org/FAD/fdd/view?i=112022</v>
      </c>
      <c r="K3178" s="304" t="s">
        <v>37227</v>
      </c>
      <c r="L3178" s="188">
        <v>330</v>
      </c>
      <c r="M3178" s="179" t="s">
        <v>151</v>
      </c>
    </row>
    <row r="3179" spans="1:13" ht="191.25">
      <c r="A3179" s="313" t="str">
        <f t="shared" si="49"/>
        <v>FeatureFunctionCode_glassProdManufac</v>
      </c>
      <c r="B3179" s="330"/>
      <c r="C3179" s="334"/>
      <c r="D3179" s="188" t="s">
        <v>21582</v>
      </c>
      <c r="E3179" s="189" t="s">
        <v>21583</v>
      </c>
      <c r="F3179" s="162" t="s">
        <v>21584</v>
      </c>
      <c r="G3179" s="162" t="s">
        <v>21585</v>
      </c>
      <c r="H3179" s="219"/>
      <c r="I3179" s="169">
        <v>111968</v>
      </c>
      <c r="J3179" s="304" t="str">
        <f>CONCATENATE([2]Cover!$D$6,"fdd/view?i=",I3179)</f>
        <v>https://www.dgiwg.org/FAD/fdd/view?i=111968</v>
      </c>
      <c r="K3179" s="304" t="s">
        <v>37228</v>
      </c>
      <c r="L3179" s="188">
        <v>231</v>
      </c>
      <c r="M3179" s="179" t="s">
        <v>151</v>
      </c>
    </row>
    <row r="3180" spans="1:13" ht="25.5">
      <c r="A3180" s="313" t="str">
        <f t="shared" si="49"/>
        <v>FeatureFunctionCode_government</v>
      </c>
      <c r="B3180" s="330"/>
      <c r="C3180" s="334"/>
      <c r="D3180" s="188" t="s">
        <v>21586</v>
      </c>
      <c r="E3180" s="189" t="s">
        <v>21587</v>
      </c>
      <c r="F3180" s="162" t="s">
        <v>21588</v>
      </c>
      <c r="G3180" s="190"/>
      <c r="H3180" s="219"/>
      <c r="I3180" s="169">
        <v>112248</v>
      </c>
      <c r="J3180" s="304" t="str">
        <f>CONCATENATE([2]Cover!$D$6,"fdd/view?i=",I3180)</f>
        <v>https://www.dgiwg.org/FAD/fdd/view?i=112248</v>
      </c>
      <c r="K3180" s="304" t="s">
        <v>37229</v>
      </c>
      <c r="L3180" s="188">
        <v>811</v>
      </c>
      <c r="M3180" s="179" t="s">
        <v>151</v>
      </c>
    </row>
    <row r="3181" spans="1:13" ht="140.25">
      <c r="A3181" s="313" t="str">
        <f t="shared" si="49"/>
        <v>FeatureFunctionCode_grainMilling</v>
      </c>
      <c r="B3181" s="330"/>
      <c r="C3181" s="334"/>
      <c r="D3181" s="188" t="s">
        <v>21589</v>
      </c>
      <c r="E3181" s="189" t="s">
        <v>21590</v>
      </c>
      <c r="F3181" s="162" t="s">
        <v>21591</v>
      </c>
      <c r="G3181" s="162" t="s">
        <v>21592</v>
      </c>
      <c r="H3181" s="219"/>
      <c r="I3181" s="169">
        <v>111912</v>
      </c>
      <c r="J3181" s="304" t="str">
        <f>CONCATENATE([2]Cover!$D$6,"fdd/view?i=",I3181)</f>
        <v>https://www.dgiwg.org/FAD/fdd/view?i=111912</v>
      </c>
      <c r="K3181" s="304" t="s">
        <v>37230</v>
      </c>
      <c r="L3181" s="188">
        <v>107</v>
      </c>
      <c r="M3181" s="179" t="s">
        <v>151</v>
      </c>
    </row>
    <row r="3182" spans="1:13" ht="63.75">
      <c r="A3182" s="313" t="str">
        <f t="shared" si="49"/>
        <v>FeatureFunctionCode_grazing</v>
      </c>
      <c r="B3182" s="330"/>
      <c r="C3182" s="334"/>
      <c r="D3182" s="188" t="s">
        <v>21141</v>
      </c>
      <c r="E3182" s="189" t="s">
        <v>21142</v>
      </c>
      <c r="F3182" s="162" t="s">
        <v>21593</v>
      </c>
      <c r="G3182" s="162" t="s">
        <v>21594</v>
      </c>
      <c r="H3182" s="219"/>
      <c r="I3182" s="169">
        <v>111838</v>
      </c>
      <c r="J3182" s="304" t="str">
        <f>CONCATENATE([2]Cover!$D$6,"fdd/view?i=",I3182)</f>
        <v>https://www.dgiwg.org/FAD/fdd/view?i=111838</v>
      </c>
      <c r="K3182" s="304" t="s">
        <v>37231</v>
      </c>
      <c r="L3182" s="188">
        <v>14</v>
      </c>
      <c r="M3182" s="179" t="s">
        <v>151</v>
      </c>
    </row>
    <row r="3183" spans="1:13" ht="38.25">
      <c r="A3183" s="313" t="str">
        <f t="shared" si="49"/>
        <v>FeatureFunctionCode_grocery</v>
      </c>
      <c r="B3183" s="330"/>
      <c r="C3183" s="334"/>
      <c r="D3183" s="188" t="s">
        <v>21595</v>
      </c>
      <c r="E3183" s="189" t="s">
        <v>21596</v>
      </c>
      <c r="F3183" s="162" t="s">
        <v>21597</v>
      </c>
      <c r="G3183" s="190"/>
      <c r="H3183" s="219"/>
      <c r="I3183" s="169">
        <v>112372</v>
      </c>
      <c r="J3183" s="304" t="str">
        <f>CONCATENATE([2]Cover!$D$6,"fdd/view?i=",I3183)</f>
        <v>https://www.dgiwg.org/FAD/fdd/view?i=112372</v>
      </c>
      <c r="K3183" s="304" t="s">
        <v>37232</v>
      </c>
      <c r="L3183" s="188">
        <v>476</v>
      </c>
      <c r="M3183" s="179" t="s">
        <v>151</v>
      </c>
    </row>
    <row r="3184" spans="1:13" ht="102">
      <c r="A3184" s="313" t="str">
        <f t="shared" si="49"/>
        <v>FeatureFunctionCode_growingOfCrops</v>
      </c>
      <c r="B3184" s="330"/>
      <c r="C3184" s="334"/>
      <c r="D3184" s="188" t="s">
        <v>21598</v>
      </c>
      <c r="E3184" s="189" t="s">
        <v>21599</v>
      </c>
      <c r="F3184" s="162" t="s">
        <v>21600</v>
      </c>
      <c r="G3184" s="162" t="s">
        <v>21601</v>
      </c>
      <c r="H3184" s="219"/>
      <c r="I3184" s="169">
        <v>111834</v>
      </c>
      <c r="J3184" s="304" t="str">
        <f>CONCATENATE([2]Cover!$D$6,"fdd/view?i=",I3184)</f>
        <v>https://www.dgiwg.org/FAD/fdd/view?i=111834</v>
      </c>
      <c r="K3184" s="304" t="s">
        <v>37233</v>
      </c>
      <c r="L3184" s="188">
        <v>3</v>
      </c>
      <c r="M3184" s="179" t="s">
        <v>151</v>
      </c>
    </row>
    <row r="3185" spans="1:13">
      <c r="A3185" s="313" t="str">
        <f t="shared" si="49"/>
        <v>FeatureFunctionCode_guard</v>
      </c>
      <c r="B3185" s="330"/>
      <c r="C3185" s="334"/>
      <c r="D3185" s="188" t="s">
        <v>21602</v>
      </c>
      <c r="E3185" s="189" t="s">
        <v>21603</v>
      </c>
      <c r="F3185" s="162" t="s">
        <v>21604</v>
      </c>
      <c r="G3185" s="162" t="s">
        <v>21605</v>
      </c>
      <c r="H3185" s="219"/>
      <c r="I3185" s="169">
        <v>112234</v>
      </c>
      <c r="J3185" s="304" t="str">
        <f>CONCATENATE([2]Cover!$D$6,"fdd/view?i=",I3185)</f>
        <v>https://www.dgiwg.org/FAD/fdd/view?i=112234</v>
      </c>
      <c r="K3185" s="304" t="s">
        <v>37234</v>
      </c>
      <c r="L3185" s="188">
        <v>781</v>
      </c>
      <c r="M3185" s="179" t="s">
        <v>151</v>
      </c>
    </row>
    <row r="3186" spans="1:13" ht="51">
      <c r="A3186" s="313" t="str">
        <f t="shared" si="49"/>
        <v>FeatureFunctionCode_guestHouse</v>
      </c>
      <c r="B3186" s="330"/>
      <c r="C3186" s="334"/>
      <c r="D3186" s="188" t="s">
        <v>21606</v>
      </c>
      <c r="E3186" s="189" t="s">
        <v>21607</v>
      </c>
      <c r="F3186" s="162" t="s">
        <v>21608</v>
      </c>
      <c r="G3186" s="162" t="s">
        <v>21609</v>
      </c>
      <c r="H3186" s="219"/>
      <c r="I3186" s="169">
        <v>112132</v>
      </c>
      <c r="J3186" s="304" t="str">
        <f>CONCATENATE([2]Cover!$D$6,"fdd/view?i=",I3186)</f>
        <v>https://www.dgiwg.org/FAD/fdd/view?i=112132</v>
      </c>
      <c r="K3186" s="304" t="s">
        <v>37235</v>
      </c>
      <c r="L3186" s="188">
        <v>554</v>
      </c>
      <c r="M3186" s="179" t="s">
        <v>151</v>
      </c>
    </row>
    <row r="3187" spans="1:13" ht="38.25">
      <c r="A3187" s="313" t="str">
        <f t="shared" si="49"/>
        <v>FeatureFunctionCode_harbourControl</v>
      </c>
      <c r="B3187" s="330"/>
      <c r="C3187" s="334"/>
      <c r="D3187" s="188" t="s">
        <v>21610</v>
      </c>
      <c r="E3187" s="189" t="s">
        <v>21611</v>
      </c>
      <c r="F3187" s="162" t="s">
        <v>21612</v>
      </c>
      <c r="G3187" s="190"/>
      <c r="H3187" s="219"/>
      <c r="I3187" s="169">
        <v>112106</v>
      </c>
      <c r="J3187" s="304" t="str">
        <f>CONCATENATE([2]Cover!$D$6,"fdd/view?i=",I3187)</f>
        <v>https://www.dgiwg.org/FAD/fdd/view?i=112106</v>
      </c>
      <c r="K3187" s="304" t="s">
        <v>37236</v>
      </c>
      <c r="L3187" s="188">
        <v>513</v>
      </c>
      <c r="M3187" s="179" t="s">
        <v>151</v>
      </c>
    </row>
    <row r="3188" spans="1:13" ht="76.5">
      <c r="A3188" s="313" t="str">
        <f t="shared" si="49"/>
        <v>FeatureFunctionCode_headOffice</v>
      </c>
      <c r="B3188" s="330"/>
      <c r="C3188" s="334"/>
      <c r="D3188" s="188" t="s">
        <v>21613</v>
      </c>
      <c r="E3188" s="189" t="s">
        <v>21614</v>
      </c>
      <c r="F3188" s="162" t="s">
        <v>21615</v>
      </c>
      <c r="G3188" s="162" t="s">
        <v>21616</v>
      </c>
      <c r="H3188" s="219"/>
      <c r="I3188" s="169">
        <v>112200</v>
      </c>
      <c r="J3188" s="304" t="str">
        <f>CONCATENATE([2]Cover!$D$6,"fdd/view?i=",I3188)</f>
        <v>https://www.dgiwg.org/FAD/fdd/view?i=112200</v>
      </c>
      <c r="K3188" s="304" t="s">
        <v>37237</v>
      </c>
      <c r="L3188" s="188">
        <v>701</v>
      </c>
      <c r="M3188" s="179" t="s">
        <v>151</v>
      </c>
    </row>
    <row r="3189" spans="1:13" ht="25.5">
      <c r="A3189" s="313" t="str">
        <f t="shared" si="49"/>
        <v>FeatureFunctionCode_headquarters</v>
      </c>
      <c r="B3189" s="330"/>
      <c r="C3189" s="334"/>
      <c r="D3189" s="188" t="s">
        <v>21617</v>
      </c>
      <c r="E3189" s="189" t="s">
        <v>21618</v>
      </c>
      <c r="F3189" s="162" t="s">
        <v>21619</v>
      </c>
      <c r="G3189" s="190"/>
      <c r="H3189" s="219"/>
      <c r="I3189" s="169">
        <v>112244</v>
      </c>
      <c r="J3189" s="304" t="str">
        <f>CONCATENATE([2]Cover!$D$6,"fdd/view?i=",I3189)</f>
        <v>https://www.dgiwg.org/FAD/fdd/view?i=112244</v>
      </c>
      <c r="K3189" s="304" t="s">
        <v>37238</v>
      </c>
      <c r="L3189" s="188">
        <v>809</v>
      </c>
      <c r="M3189" s="179" t="s">
        <v>151</v>
      </c>
    </row>
    <row r="3190" spans="1:13">
      <c r="A3190" s="313" t="str">
        <f t="shared" si="49"/>
        <v>FeatureFunctionCode_heating</v>
      </c>
      <c r="B3190" s="330"/>
      <c r="C3190" s="334"/>
      <c r="D3190" s="188" t="s">
        <v>21620</v>
      </c>
      <c r="E3190" s="189" t="s">
        <v>21621</v>
      </c>
      <c r="F3190" s="162" t="s">
        <v>21622</v>
      </c>
      <c r="G3190" s="190"/>
      <c r="H3190" s="219"/>
      <c r="I3190" s="169">
        <v>112360</v>
      </c>
      <c r="J3190" s="304" t="str">
        <f>CONCATENATE([2]Cover!$D$6,"fdd/view?i=",I3190)</f>
        <v>https://www.dgiwg.org/FAD/fdd/view?i=112360</v>
      </c>
      <c r="K3190" s="304" t="s">
        <v>37239</v>
      </c>
      <c r="L3190" s="188">
        <v>356</v>
      </c>
      <c r="M3190" s="179" t="s">
        <v>151</v>
      </c>
    </row>
    <row r="3191" spans="1:13" ht="89.25">
      <c r="A3191" s="313" t="str">
        <f t="shared" si="49"/>
        <v>FeatureFunctionCode_higherEducation</v>
      </c>
      <c r="B3191" s="330"/>
      <c r="C3191" s="334"/>
      <c r="D3191" s="188" t="s">
        <v>21623</v>
      </c>
      <c r="E3191" s="189" t="s">
        <v>21624</v>
      </c>
      <c r="F3191" s="162" t="s">
        <v>21625</v>
      </c>
      <c r="G3191" s="162" t="s">
        <v>21626</v>
      </c>
      <c r="H3191" s="219"/>
      <c r="I3191" s="169">
        <v>112290</v>
      </c>
      <c r="J3191" s="304" t="str">
        <f>CONCATENATE([2]Cover!$D$6,"fdd/view?i=",I3191)</f>
        <v>https://www.dgiwg.org/FAD/fdd/view?i=112290</v>
      </c>
      <c r="K3191" s="304" t="s">
        <v>37240</v>
      </c>
      <c r="L3191" s="188">
        <v>855</v>
      </c>
      <c r="M3191" s="179" t="s">
        <v>151</v>
      </c>
    </row>
    <row r="3192" spans="1:13" ht="38.25">
      <c r="A3192" s="313" t="str">
        <f t="shared" si="49"/>
        <v>FeatureFunctionCode_hobbyLeisureActivities</v>
      </c>
      <c r="B3192" s="330"/>
      <c r="C3192" s="334"/>
      <c r="D3192" s="188" t="s">
        <v>21627</v>
      </c>
      <c r="E3192" s="189" t="s">
        <v>21628</v>
      </c>
      <c r="F3192" s="162" t="s">
        <v>21629</v>
      </c>
      <c r="G3192" s="162" t="s">
        <v>21630</v>
      </c>
      <c r="H3192" s="219"/>
      <c r="I3192" s="169">
        <v>112392</v>
      </c>
      <c r="J3192" s="304" t="str">
        <f>CONCATENATE([2]Cover!$D$6,"fdd/view?i=",I3192)</f>
        <v>https://www.dgiwg.org/FAD/fdd/view?i=112392</v>
      </c>
      <c r="K3192" s="304" t="s">
        <v>37241</v>
      </c>
      <c r="L3192" s="188">
        <v>923</v>
      </c>
      <c r="M3192" s="179" t="s">
        <v>151</v>
      </c>
    </row>
    <row r="3193" spans="1:13" ht="114.75">
      <c r="A3193" s="313" t="str">
        <f t="shared" si="49"/>
        <v>FeatureFunctionCode_homelessShelter</v>
      </c>
      <c r="B3193" s="330"/>
      <c r="C3193" s="334"/>
      <c r="D3193" s="188" t="s">
        <v>21631</v>
      </c>
      <c r="E3193" s="189" t="s">
        <v>21632</v>
      </c>
      <c r="F3193" s="162" t="s">
        <v>21633</v>
      </c>
      <c r="G3193" s="162" t="s">
        <v>21634</v>
      </c>
      <c r="H3193" s="219"/>
      <c r="I3193" s="169">
        <v>112310</v>
      </c>
      <c r="J3193" s="304" t="str">
        <f>CONCATENATE([2]Cover!$D$6,"fdd/view?i=",I3193)</f>
        <v>https://www.dgiwg.org/FAD/fdd/view?i=112310</v>
      </c>
      <c r="K3193" s="304" t="s">
        <v>37242</v>
      </c>
      <c r="L3193" s="188">
        <v>882</v>
      </c>
      <c r="M3193" s="179" t="s">
        <v>151</v>
      </c>
    </row>
    <row r="3194" spans="1:13" ht="38.25">
      <c r="A3194" s="313" t="str">
        <f t="shared" si="49"/>
        <v>FeatureFunctionCode_hostel</v>
      </c>
      <c r="B3194" s="330"/>
      <c r="C3194" s="334"/>
      <c r="D3194" s="188" t="s">
        <v>21635</v>
      </c>
      <c r="E3194" s="189" t="s">
        <v>21636</v>
      </c>
      <c r="F3194" s="162" t="s">
        <v>21637</v>
      </c>
      <c r="G3194" s="162" t="s">
        <v>21638</v>
      </c>
      <c r="H3194" s="219"/>
      <c r="I3194" s="169">
        <v>112134</v>
      </c>
      <c r="J3194" s="304" t="str">
        <f>CONCATENATE([2]Cover!$D$6,"fdd/view?i=",I3194)</f>
        <v>https://www.dgiwg.org/FAD/fdd/view?i=112134</v>
      </c>
      <c r="K3194" s="304" t="s">
        <v>37243</v>
      </c>
      <c r="L3194" s="188">
        <v>555</v>
      </c>
      <c r="M3194" s="179" t="s">
        <v>151</v>
      </c>
    </row>
    <row r="3195" spans="1:13" ht="102">
      <c r="A3195" s="313" t="str">
        <f t="shared" si="49"/>
        <v>FeatureFunctionCode_hotel</v>
      </c>
      <c r="B3195" s="330"/>
      <c r="C3195" s="334"/>
      <c r="D3195" s="188" t="s">
        <v>17436</v>
      </c>
      <c r="E3195" s="189" t="s">
        <v>17437</v>
      </c>
      <c r="F3195" s="162" t="s">
        <v>21639</v>
      </c>
      <c r="G3195" s="162" t="s">
        <v>21640</v>
      </c>
      <c r="H3195" s="219"/>
      <c r="I3195" s="169">
        <v>112126</v>
      </c>
      <c r="J3195" s="304" t="str">
        <f>CONCATENATE([2]Cover!$D$6,"fdd/view?i=",I3195)</f>
        <v>https://www.dgiwg.org/FAD/fdd/view?i=112126</v>
      </c>
      <c r="K3195" s="304" t="s">
        <v>37244</v>
      </c>
      <c r="L3195" s="188">
        <v>551</v>
      </c>
      <c r="M3195" s="179" t="s">
        <v>151</v>
      </c>
    </row>
    <row r="3196" spans="1:13" ht="153">
      <c r="A3196" s="313" t="str">
        <f t="shared" si="49"/>
        <v>FeatureFunctionCode_humanHealthActivities</v>
      </c>
      <c r="B3196" s="330"/>
      <c r="C3196" s="334"/>
      <c r="D3196" s="188" t="s">
        <v>21641</v>
      </c>
      <c r="E3196" s="189" t="s">
        <v>21642</v>
      </c>
      <c r="F3196" s="162" t="s">
        <v>21643</v>
      </c>
      <c r="G3196" s="162" t="s">
        <v>21644</v>
      </c>
      <c r="H3196" s="219"/>
      <c r="I3196" s="169">
        <v>112294</v>
      </c>
      <c r="J3196" s="304" t="str">
        <f>CONCATENATE([2]Cover!$D$6,"fdd/view?i=",I3196)</f>
        <v>https://www.dgiwg.org/FAD/fdd/view?i=112294</v>
      </c>
      <c r="K3196" s="304" t="s">
        <v>37245</v>
      </c>
      <c r="L3196" s="188">
        <v>860</v>
      </c>
      <c r="M3196" s="179" t="s">
        <v>151</v>
      </c>
    </row>
    <row r="3197" spans="1:13" ht="63.75">
      <c r="A3197" s="313" t="str">
        <f t="shared" si="49"/>
        <v>FeatureFunctionCode_humanTissueRepository</v>
      </c>
      <c r="B3197" s="330"/>
      <c r="C3197" s="334"/>
      <c r="D3197" s="188" t="s">
        <v>21645</v>
      </c>
      <c r="E3197" s="189" t="s">
        <v>21646</v>
      </c>
      <c r="F3197" s="162" t="s">
        <v>21647</v>
      </c>
      <c r="G3197" s="162" t="s">
        <v>21648</v>
      </c>
      <c r="H3197" s="219"/>
      <c r="I3197" s="169">
        <v>118565</v>
      </c>
      <c r="J3197" s="304" t="str">
        <f>CONCATENATE([2]Cover!$D$6,"fdd/view?i=",I3197)</f>
        <v>https://www.dgiwg.org/FAD/fdd/view?i=118565</v>
      </c>
      <c r="K3197" s="304" t="s">
        <v>37246</v>
      </c>
      <c r="L3197" s="188">
        <v>864</v>
      </c>
      <c r="M3197" s="179" t="s">
        <v>151</v>
      </c>
    </row>
    <row r="3198" spans="1:13" ht="89.25">
      <c r="A3198" s="313" t="str">
        <f t="shared" si="49"/>
        <v>FeatureFunctionCode_hunting</v>
      </c>
      <c r="B3198" s="330"/>
      <c r="C3198" s="334"/>
      <c r="D3198" s="188" t="s">
        <v>20810</v>
      </c>
      <c r="E3198" s="189" t="s">
        <v>20811</v>
      </c>
      <c r="F3198" s="162" t="s">
        <v>21649</v>
      </c>
      <c r="G3198" s="162" t="s">
        <v>21650</v>
      </c>
      <c r="H3198" s="219"/>
      <c r="I3198" s="169">
        <v>111846</v>
      </c>
      <c r="J3198" s="304" t="str">
        <f>CONCATENATE([2]Cover!$D$6,"fdd/view?i=",I3198)</f>
        <v>https://www.dgiwg.org/FAD/fdd/view?i=111846</v>
      </c>
      <c r="K3198" s="304" t="s">
        <v>37247</v>
      </c>
      <c r="L3198" s="188">
        <v>19</v>
      </c>
      <c r="M3198" s="179" t="s">
        <v>151</v>
      </c>
    </row>
    <row r="3199" spans="1:13" ht="38.25">
      <c r="A3199" s="313" t="str">
        <f t="shared" si="49"/>
        <v>FeatureFunctionCode_iceManufacture</v>
      </c>
      <c r="B3199" s="330"/>
      <c r="C3199" s="334"/>
      <c r="D3199" s="188" t="s">
        <v>21651</v>
      </c>
      <c r="E3199" s="189" t="s">
        <v>21652</v>
      </c>
      <c r="F3199" s="162" t="s">
        <v>21653</v>
      </c>
      <c r="G3199" s="162" t="s">
        <v>21654</v>
      </c>
      <c r="H3199" s="219"/>
      <c r="I3199" s="169">
        <v>118547</v>
      </c>
      <c r="J3199" s="304" t="str">
        <f>CONCATENATE([2]Cover!$D$6,"fdd/view?i=",I3199)</f>
        <v>https://www.dgiwg.org/FAD/fdd/view?i=118547</v>
      </c>
      <c r="K3199" s="304" t="s">
        <v>37248</v>
      </c>
      <c r="L3199" s="188">
        <v>120</v>
      </c>
      <c r="M3199" s="179" t="s">
        <v>151</v>
      </c>
    </row>
    <row r="3200" spans="1:13" ht="25.5">
      <c r="A3200" s="313" t="str">
        <f t="shared" si="49"/>
        <v>FeatureFunctionCode_immigrationControl</v>
      </c>
      <c r="B3200" s="330"/>
      <c r="C3200" s="334"/>
      <c r="D3200" s="188" t="s">
        <v>21655</v>
      </c>
      <c r="E3200" s="189" t="s">
        <v>21656</v>
      </c>
      <c r="F3200" s="162" t="s">
        <v>21657</v>
      </c>
      <c r="G3200" s="162" t="s">
        <v>21658</v>
      </c>
      <c r="H3200" s="219"/>
      <c r="I3200" s="169">
        <v>112274</v>
      </c>
      <c r="J3200" s="304" t="str">
        <f>CONCATENATE([2]Cover!$D$6,"fdd/view?i=",I3200)</f>
        <v>https://www.dgiwg.org/FAD/fdd/view?i=112274</v>
      </c>
      <c r="K3200" s="304" t="s">
        <v>37249</v>
      </c>
      <c r="L3200" s="188">
        <v>842</v>
      </c>
      <c r="M3200" s="179" t="s">
        <v>151</v>
      </c>
    </row>
    <row r="3201" spans="1:13" ht="38.25">
      <c r="A3201" s="313" t="str">
        <f t="shared" si="49"/>
        <v>FeatureFunctionCode_imprisonment</v>
      </c>
      <c r="B3201" s="330"/>
      <c r="C3201" s="334"/>
      <c r="D3201" s="188" t="s">
        <v>21659</v>
      </c>
      <c r="E3201" s="189" t="s">
        <v>21660</v>
      </c>
      <c r="F3201" s="162" t="s">
        <v>21661</v>
      </c>
      <c r="G3201" s="162" t="s">
        <v>21662</v>
      </c>
      <c r="H3201" s="219"/>
      <c r="I3201" s="169">
        <v>112276</v>
      </c>
      <c r="J3201" s="304" t="str">
        <f>CONCATENATE([2]Cover!$D$6,"fdd/view?i=",I3201)</f>
        <v>https://www.dgiwg.org/FAD/fdd/view?i=112276</v>
      </c>
      <c r="K3201" s="304" t="s">
        <v>37250</v>
      </c>
      <c r="L3201" s="188">
        <v>843</v>
      </c>
      <c r="M3201" s="179" t="s">
        <v>151</v>
      </c>
    </row>
    <row r="3202" spans="1:13" ht="25.5">
      <c r="A3202" s="313" t="str">
        <f t="shared" si="49"/>
        <v>FeatureFunctionCode_InformationService</v>
      </c>
      <c r="B3202" s="330"/>
      <c r="C3202" s="334"/>
      <c r="D3202" s="188" t="s">
        <v>21663</v>
      </c>
      <c r="E3202" s="189" t="s">
        <v>21664</v>
      </c>
      <c r="F3202" s="162" t="s">
        <v>21665</v>
      </c>
      <c r="G3202" s="190"/>
      <c r="H3202" s="219"/>
      <c r="I3202" s="169">
        <v>206588</v>
      </c>
      <c r="J3202" s="304" t="str">
        <f>CONCATENATE([2]Cover!$D$6,"fdd/view?i=",I3202)</f>
        <v>https://www.dgiwg.org/FAD/fdd/view?i=206588</v>
      </c>
      <c r="K3202" s="304" t="s">
        <v>37251</v>
      </c>
      <c r="L3202" s="188">
        <v>632</v>
      </c>
      <c r="M3202" s="179" t="s">
        <v>1295</v>
      </c>
    </row>
    <row r="3203" spans="1:13" ht="38.25">
      <c r="A3203" s="313" t="str">
        <f t="shared" ref="A3203:A3266" si="50">HYPERLINK(J3203,K3203)</f>
        <v>FeatureFunctionCode_inlandWatersTransport</v>
      </c>
      <c r="B3203" s="330"/>
      <c r="C3203" s="334"/>
      <c r="D3203" s="188" t="s">
        <v>21666</v>
      </c>
      <c r="E3203" s="189" t="s">
        <v>21667</v>
      </c>
      <c r="F3203" s="162" t="s">
        <v>21668</v>
      </c>
      <c r="G3203" s="162" t="s">
        <v>21669</v>
      </c>
      <c r="H3203" s="219"/>
      <c r="I3203" s="169">
        <v>112096</v>
      </c>
      <c r="J3203" s="304" t="str">
        <f>CONCATENATE([2]Cover!$D$6,"fdd/view?i=",I3203)</f>
        <v>https://www.dgiwg.org/FAD/fdd/view?i=112096</v>
      </c>
      <c r="K3203" s="304" t="s">
        <v>37252</v>
      </c>
      <c r="L3203" s="188">
        <v>507</v>
      </c>
      <c r="M3203" s="179" t="s">
        <v>151</v>
      </c>
    </row>
    <row r="3204" spans="1:13" ht="38.25">
      <c r="A3204" s="313" t="str">
        <f t="shared" si="50"/>
        <v>FeatureFunctionCode_inPatientCare</v>
      </c>
      <c r="B3204" s="330"/>
      <c r="C3204" s="334"/>
      <c r="D3204" s="188" t="s">
        <v>21670</v>
      </c>
      <c r="E3204" s="189" t="s">
        <v>21671</v>
      </c>
      <c r="F3204" s="162" t="s">
        <v>21672</v>
      </c>
      <c r="G3204" s="162" t="s">
        <v>21673</v>
      </c>
      <c r="H3204" s="219"/>
      <c r="I3204" s="169">
        <v>112296</v>
      </c>
      <c r="J3204" s="304" t="str">
        <f>CONCATENATE([2]Cover!$D$6,"fdd/view?i=",I3204)</f>
        <v>https://www.dgiwg.org/FAD/fdd/view?i=112296</v>
      </c>
      <c r="K3204" s="304" t="s">
        <v>37253</v>
      </c>
      <c r="L3204" s="188">
        <v>861</v>
      </c>
      <c r="M3204" s="179" t="s">
        <v>151</v>
      </c>
    </row>
    <row r="3205" spans="1:13" ht="25.5">
      <c r="A3205" s="313" t="str">
        <f t="shared" si="50"/>
        <v>FeatureFunctionCode_inspection</v>
      </c>
      <c r="B3205" s="330"/>
      <c r="C3205" s="334"/>
      <c r="D3205" s="188" t="s">
        <v>21674</v>
      </c>
      <c r="E3205" s="189" t="s">
        <v>21675</v>
      </c>
      <c r="F3205" s="162" t="s">
        <v>21676</v>
      </c>
      <c r="G3205" s="190"/>
      <c r="H3205" s="219"/>
      <c r="I3205" s="169">
        <v>206583</v>
      </c>
      <c r="J3205" s="304" t="str">
        <f>CONCATENATE([2]Cover!$D$6,"fdd/view?i=",I3205)</f>
        <v>https://www.dgiwg.org/FAD/fdd/view?i=206583</v>
      </c>
      <c r="K3205" s="304" t="s">
        <v>37254</v>
      </c>
      <c r="L3205" s="188">
        <v>539</v>
      </c>
      <c r="M3205" s="179" t="s">
        <v>1295</v>
      </c>
    </row>
    <row r="3206" spans="1:13" ht="25.5">
      <c r="A3206" s="313" t="str">
        <f t="shared" si="50"/>
        <v>FeatureFunctionCode_inspectionStation</v>
      </c>
      <c r="B3206" s="330"/>
      <c r="C3206" s="334"/>
      <c r="D3206" s="188" t="s">
        <v>21677</v>
      </c>
      <c r="E3206" s="189" t="s">
        <v>21678</v>
      </c>
      <c r="F3206" s="162" t="s">
        <v>21679</v>
      </c>
      <c r="G3206" s="190"/>
      <c r="H3206" s="219"/>
      <c r="I3206" s="169">
        <v>112120</v>
      </c>
      <c r="J3206" s="304" t="str">
        <f>CONCATENATE([2]Cover!$D$6,"fdd/view?i=",I3206)</f>
        <v>https://www.dgiwg.org/FAD/fdd/view?i=112120</v>
      </c>
      <c r="K3206" s="304" t="s">
        <v>37255</v>
      </c>
      <c r="L3206" s="188">
        <v>538</v>
      </c>
      <c r="M3206" s="179" t="s">
        <v>151</v>
      </c>
    </row>
    <row r="3207" spans="1:13" ht="89.25">
      <c r="A3207" s="313" t="str">
        <f t="shared" si="50"/>
        <v>FeatureFunctionCode_insurance</v>
      </c>
      <c r="B3207" s="330"/>
      <c r="C3207" s="334"/>
      <c r="D3207" s="188" t="s">
        <v>21680</v>
      </c>
      <c r="E3207" s="189" t="s">
        <v>21681</v>
      </c>
      <c r="F3207" s="162" t="s">
        <v>21682</v>
      </c>
      <c r="G3207" s="162" t="s">
        <v>21683</v>
      </c>
      <c r="H3207" s="219"/>
      <c r="I3207" s="169">
        <v>112186</v>
      </c>
      <c r="J3207" s="304" t="str">
        <f>CONCATENATE([2]Cover!$D$6,"fdd/view?i=",I3207)</f>
        <v>https://www.dgiwg.org/FAD/fdd/view?i=112186</v>
      </c>
      <c r="K3207" s="304" t="s">
        <v>37256</v>
      </c>
      <c r="L3207" s="188">
        <v>651</v>
      </c>
      <c r="M3207" s="179" t="s">
        <v>151</v>
      </c>
    </row>
    <row r="3208" spans="1:13" ht="38.25">
      <c r="A3208" s="313" t="str">
        <f t="shared" si="50"/>
        <v>FeatureFunctionCode_intermediateCare</v>
      </c>
      <c r="B3208" s="330"/>
      <c r="C3208" s="334"/>
      <c r="D3208" s="188" t="s">
        <v>21684</v>
      </c>
      <c r="E3208" s="189" t="s">
        <v>21685</v>
      </c>
      <c r="F3208" s="162" t="s">
        <v>21686</v>
      </c>
      <c r="G3208" s="190"/>
      <c r="H3208" s="219"/>
      <c r="I3208" s="169">
        <v>112302</v>
      </c>
      <c r="J3208" s="304" t="str">
        <f>CONCATENATE([2]Cover!$D$6,"fdd/view?i=",I3208)</f>
        <v>https://www.dgiwg.org/FAD/fdd/view?i=112302</v>
      </c>
      <c r="K3208" s="304" t="s">
        <v>37257</v>
      </c>
      <c r="L3208" s="188">
        <v>871</v>
      </c>
      <c r="M3208" s="179" t="s">
        <v>151</v>
      </c>
    </row>
    <row r="3209" spans="1:13" ht="76.5">
      <c r="A3209" s="313" t="str">
        <f t="shared" si="50"/>
        <v>FeatureFunctionCode_islamicPrayerHall</v>
      </c>
      <c r="B3209" s="330"/>
      <c r="C3209" s="334"/>
      <c r="D3209" s="188" t="s">
        <v>21687</v>
      </c>
      <c r="E3209" s="189" t="s">
        <v>21688</v>
      </c>
      <c r="F3209" s="162" t="s">
        <v>21689</v>
      </c>
      <c r="G3209" s="162" t="s">
        <v>21690</v>
      </c>
      <c r="H3209" s="221" t="s">
        <v>21691</v>
      </c>
      <c r="I3209" s="169">
        <v>117908</v>
      </c>
      <c r="J3209" s="304" t="str">
        <f>CONCATENATE([2]Cover!$D$6,"fdd/view?i=",I3209)</f>
        <v>https://www.dgiwg.org/FAD/fdd/view?i=117908</v>
      </c>
      <c r="K3209" s="304" t="s">
        <v>37258</v>
      </c>
      <c r="L3209" s="188">
        <v>932</v>
      </c>
      <c r="M3209" s="179" t="s">
        <v>151</v>
      </c>
    </row>
    <row r="3210" spans="1:13" ht="306">
      <c r="A3210" s="313" t="str">
        <f t="shared" si="50"/>
        <v>FeatureFunctionCode_jewelleryManufac</v>
      </c>
      <c r="B3210" s="330"/>
      <c r="C3210" s="334"/>
      <c r="D3210" s="188" t="s">
        <v>21692</v>
      </c>
      <c r="E3210" s="189" t="s">
        <v>21693</v>
      </c>
      <c r="F3210" s="162" t="s">
        <v>21694</v>
      </c>
      <c r="G3210" s="162" t="s">
        <v>21695</v>
      </c>
      <c r="H3210" s="219"/>
      <c r="I3210" s="169">
        <v>112012</v>
      </c>
      <c r="J3210" s="304" t="str">
        <f>CONCATENATE([2]Cover!$D$6,"fdd/view?i=",I3210)</f>
        <v>https://www.dgiwg.org/FAD/fdd/view?i=112012</v>
      </c>
      <c r="K3210" s="304" t="s">
        <v>37259</v>
      </c>
      <c r="L3210" s="188">
        <v>321</v>
      </c>
      <c r="M3210" s="179" t="s">
        <v>151</v>
      </c>
    </row>
    <row r="3211" spans="1:13" ht="51">
      <c r="A3211" s="313" t="str">
        <f t="shared" si="50"/>
        <v>FeatureFunctionCode_judicialActivities</v>
      </c>
      <c r="B3211" s="330"/>
      <c r="C3211" s="334"/>
      <c r="D3211" s="188" t="s">
        <v>21696</v>
      </c>
      <c r="E3211" s="189" t="s">
        <v>21697</v>
      </c>
      <c r="F3211" s="162" t="s">
        <v>21698</v>
      </c>
      <c r="G3211" s="162" t="s">
        <v>21699</v>
      </c>
      <c r="H3211" s="219"/>
      <c r="I3211" s="169">
        <v>112270</v>
      </c>
      <c r="J3211" s="304" t="str">
        <f>CONCATENATE([2]Cover!$D$6,"fdd/view?i=",I3211)</f>
        <v>https://www.dgiwg.org/FAD/fdd/view?i=112270</v>
      </c>
      <c r="K3211" s="304" t="s">
        <v>37260</v>
      </c>
      <c r="L3211" s="188">
        <v>840</v>
      </c>
      <c r="M3211" s="179" t="s">
        <v>151</v>
      </c>
    </row>
    <row r="3212" spans="1:13" ht="102">
      <c r="A3212" s="313" t="str">
        <f t="shared" si="50"/>
        <v>FeatureFunctionCode_juvenileCorrections</v>
      </c>
      <c r="B3212" s="330"/>
      <c r="C3212" s="334"/>
      <c r="D3212" s="188" t="s">
        <v>21700</v>
      </c>
      <c r="E3212" s="189" t="s">
        <v>21701</v>
      </c>
      <c r="F3212" s="162" t="s">
        <v>21702</v>
      </c>
      <c r="G3212" s="162" t="s">
        <v>21703</v>
      </c>
      <c r="H3212" s="219"/>
      <c r="I3212" s="169">
        <v>112278</v>
      </c>
      <c r="J3212" s="304" t="str">
        <f>CONCATENATE([2]Cover!$D$6,"fdd/view?i=",I3212)</f>
        <v>https://www.dgiwg.org/FAD/fdd/view?i=112278</v>
      </c>
      <c r="K3212" s="304" t="s">
        <v>37261</v>
      </c>
      <c r="L3212" s="188">
        <v>844</v>
      </c>
      <c r="M3212" s="179" t="s">
        <v>151</v>
      </c>
    </row>
    <row r="3213" spans="1:13" ht="89.25">
      <c r="A3213" s="313" t="str">
        <f t="shared" si="50"/>
        <v>FeatureFunctionCode_landscapingService</v>
      </c>
      <c r="B3213" s="330"/>
      <c r="C3213" s="334"/>
      <c r="D3213" s="188" t="s">
        <v>21704</v>
      </c>
      <c r="E3213" s="189" t="s">
        <v>21705</v>
      </c>
      <c r="F3213" s="162" t="s">
        <v>21706</v>
      </c>
      <c r="G3213" s="162" t="s">
        <v>21707</v>
      </c>
      <c r="H3213" s="219"/>
      <c r="I3213" s="169">
        <v>112238</v>
      </c>
      <c r="J3213" s="304" t="str">
        <f>CONCATENATE([2]Cover!$D$6,"fdd/view?i=",I3213)</f>
        <v>https://www.dgiwg.org/FAD/fdd/view?i=112238</v>
      </c>
      <c r="K3213" s="304" t="s">
        <v>37262</v>
      </c>
      <c r="L3213" s="188">
        <v>795</v>
      </c>
      <c r="M3213" s="179" t="s">
        <v>151</v>
      </c>
    </row>
    <row r="3214" spans="1:13" ht="102">
      <c r="A3214" s="313" t="str">
        <f t="shared" si="50"/>
        <v>FeatureFunctionCode_laundry</v>
      </c>
      <c r="B3214" s="330"/>
      <c r="C3214" s="334"/>
      <c r="D3214" s="188" t="s">
        <v>21708</v>
      </c>
      <c r="E3214" s="189" t="s">
        <v>21709</v>
      </c>
      <c r="F3214" s="162" t="s">
        <v>21710</v>
      </c>
      <c r="G3214" s="162" t="s">
        <v>21711</v>
      </c>
      <c r="H3214" s="219"/>
      <c r="I3214" s="169">
        <v>112350</v>
      </c>
      <c r="J3214" s="304" t="str">
        <f>CONCATENATE([2]Cover!$D$6,"fdd/view?i=",I3214)</f>
        <v>https://www.dgiwg.org/FAD/fdd/view?i=112350</v>
      </c>
      <c r="K3214" s="304" t="s">
        <v>37263</v>
      </c>
      <c r="L3214" s="188">
        <v>961</v>
      </c>
      <c r="M3214" s="179" t="s">
        <v>151</v>
      </c>
    </row>
    <row r="3215" spans="1:13" ht="51">
      <c r="A3215" s="313" t="str">
        <f t="shared" si="50"/>
        <v>FeatureFunctionCode_lawEnforcement</v>
      </c>
      <c r="B3215" s="330"/>
      <c r="C3215" s="334"/>
      <c r="D3215" s="188" t="s">
        <v>21712</v>
      </c>
      <c r="E3215" s="189" t="s">
        <v>21713</v>
      </c>
      <c r="F3215" s="162" t="s">
        <v>21714</v>
      </c>
      <c r="G3215" s="162" t="s">
        <v>21715</v>
      </c>
      <c r="H3215" s="219"/>
      <c r="I3215" s="169">
        <v>112272</v>
      </c>
      <c r="J3215" s="304" t="str">
        <f>CONCATENATE([2]Cover!$D$6,"fdd/view?i=",I3215)</f>
        <v>https://www.dgiwg.org/FAD/fdd/view?i=112272</v>
      </c>
      <c r="K3215" s="304" t="s">
        <v>37264</v>
      </c>
      <c r="L3215" s="188">
        <v>841</v>
      </c>
      <c r="M3215" s="179" t="s">
        <v>151</v>
      </c>
    </row>
    <row r="3216" spans="1:13" ht="76.5">
      <c r="A3216" s="313" t="str">
        <f t="shared" si="50"/>
        <v>FeatureFunctionCode_leatherProdManufac</v>
      </c>
      <c r="B3216" s="330"/>
      <c r="C3216" s="334"/>
      <c r="D3216" s="188" t="s">
        <v>21716</v>
      </c>
      <c r="E3216" s="189" t="s">
        <v>21717</v>
      </c>
      <c r="F3216" s="162" t="s">
        <v>21718</v>
      </c>
      <c r="G3216" s="162" t="s">
        <v>21719</v>
      </c>
      <c r="H3216" s="219"/>
      <c r="I3216" s="169">
        <v>111944</v>
      </c>
      <c r="J3216" s="304" t="str">
        <f>CONCATENATE([2]Cover!$D$6,"fdd/view?i=",I3216)</f>
        <v>https://www.dgiwg.org/FAD/fdd/view?i=111944</v>
      </c>
      <c r="K3216" s="304" t="s">
        <v>37265</v>
      </c>
      <c r="L3216" s="188">
        <v>150</v>
      </c>
      <c r="M3216" s="179" t="s">
        <v>151</v>
      </c>
    </row>
    <row r="3217" spans="1:13" ht="127.5">
      <c r="A3217" s="313" t="str">
        <f t="shared" si="50"/>
        <v>FeatureFunctionCode_legalActivities</v>
      </c>
      <c r="B3217" s="330"/>
      <c r="C3217" s="334"/>
      <c r="D3217" s="188" t="s">
        <v>21720</v>
      </c>
      <c r="E3217" s="189" t="s">
        <v>21721</v>
      </c>
      <c r="F3217" s="162" t="s">
        <v>21722</v>
      </c>
      <c r="G3217" s="162" t="s">
        <v>21723</v>
      </c>
      <c r="H3217" s="219"/>
      <c r="I3217" s="169">
        <v>112196</v>
      </c>
      <c r="J3217" s="304" t="str">
        <f>CONCATENATE([2]Cover!$D$6,"fdd/view?i=",I3217)</f>
        <v>https://www.dgiwg.org/FAD/fdd/view?i=112196</v>
      </c>
      <c r="K3217" s="304" t="s">
        <v>37266</v>
      </c>
      <c r="L3217" s="188">
        <v>691</v>
      </c>
      <c r="M3217" s="179" t="s">
        <v>151</v>
      </c>
    </row>
    <row r="3218" spans="1:13" ht="38.25">
      <c r="A3218" s="313" t="str">
        <f t="shared" si="50"/>
        <v>FeatureFunctionCode_legislativeActivities</v>
      </c>
      <c r="B3218" s="330"/>
      <c r="C3218" s="334"/>
      <c r="D3218" s="188" t="s">
        <v>21724</v>
      </c>
      <c r="E3218" s="189" t="s">
        <v>21725</v>
      </c>
      <c r="F3218" s="162" t="s">
        <v>21726</v>
      </c>
      <c r="G3218" s="190"/>
      <c r="H3218" s="219"/>
      <c r="I3218" s="169">
        <v>119373</v>
      </c>
      <c r="J3218" s="304" t="str">
        <f>CONCATENATE([2]Cover!$D$6,"fdd/view?i=",I3218)</f>
        <v>https://www.dgiwg.org/FAD/fdd/view?i=119373</v>
      </c>
      <c r="K3218" s="304" t="s">
        <v>37267</v>
      </c>
      <c r="L3218" s="188">
        <v>819</v>
      </c>
      <c r="M3218" s="179" t="s">
        <v>151</v>
      </c>
    </row>
    <row r="3219" spans="1:13" ht="63.75">
      <c r="A3219" s="313" t="str">
        <f t="shared" si="50"/>
        <v>FeatureFunctionCode_leprosyCare</v>
      </c>
      <c r="B3219" s="330"/>
      <c r="C3219" s="334"/>
      <c r="D3219" s="188" t="s">
        <v>21727</v>
      </c>
      <c r="E3219" s="189" t="s">
        <v>21728</v>
      </c>
      <c r="F3219" s="162" t="s">
        <v>21729</v>
      </c>
      <c r="G3219" s="162" t="s">
        <v>21730</v>
      </c>
      <c r="H3219" s="219"/>
      <c r="I3219" s="169">
        <v>112300</v>
      </c>
      <c r="J3219" s="304" t="str">
        <f>CONCATENATE([2]Cover!$D$6,"fdd/view?i=",I3219)</f>
        <v>https://www.dgiwg.org/FAD/fdd/view?i=112300</v>
      </c>
      <c r="K3219" s="304" t="s">
        <v>37268</v>
      </c>
      <c r="L3219" s="188">
        <v>866</v>
      </c>
      <c r="M3219" s="179" t="s">
        <v>151</v>
      </c>
    </row>
    <row r="3220" spans="1:13" ht="63.75">
      <c r="A3220" s="313" t="str">
        <f t="shared" si="50"/>
        <v>FeatureFunctionCode_library</v>
      </c>
      <c r="B3220" s="330"/>
      <c r="C3220" s="334"/>
      <c r="D3220" s="188" t="s">
        <v>21731</v>
      </c>
      <c r="E3220" s="189" t="s">
        <v>21732</v>
      </c>
      <c r="F3220" s="162" t="s">
        <v>21733</v>
      </c>
      <c r="G3220" s="162" t="s">
        <v>21734</v>
      </c>
      <c r="H3220" s="219"/>
      <c r="I3220" s="169">
        <v>112324</v>
      </c>
      <c r="J3220" s="304" t="str">
        <f>CONCATENATE([2]Cover!$D$6,"fdd/view?i=",I3220)</f>
        <v>https://www.dgiwg.org/FAD/fdd/view?i=112324</v>
      </c>
      <c r="K3220" s="304" t="s">
        <v>37269</v>
      </c>
      <c r="L3220" s="188">
        <v>902</v>
      </c>
      <c r="M3220" s="179" t="s">
        <v>151</v>
      </c>
    </row>
    <row r="3221" spans="1:13" ht="38.25">
      <c r="A3221" s="313" t="str">
        <f t="shared" si="50"/>
        <v>FeatureFunctionCode_localGovernment</v>
      </c>
      <c r="B3221" s="330"/>
      <c r="C3221" s="334"/>
      <c r="D3221" s="188" t="s">
        <v>21735</v>
      </c>
      <c r="E3221" s="189" t="s">
        <v>21736</v>
      </c>
      <c r="F3221" s="162" t="s">
        <v>21737</v>
      </c>
      <c r="G3221" s="162" t="s">
        <v>21738</v>
      </c>
      <c r="H3221" s="219"/>
      <c r="I3221" s="169">
        <v>112250</v>
      </c>
      <c r="J3221" s="304" t="str">
        <f>CONCATENATE([2]Cover!$D$6,"fdd/view?i=",I3221)</f>
        <v>https://www.dgiwg.org/FAD/fdd/view?i=112250</v>
      </c>
      <c r="K3221" s="304" t="s">
        <v>37270</v>
      </c>
      <c r="L3221" s="188">
        <v>812</v>
      </c>
      <c r="M3221" s="179" t="s">
        <v>151</v>
      </c>
    </row>
    <row r="3222" spans="1:13" ht="25.5">
      <c r="A3222" s="313" t="str">
        <f t="shared" si="50"/>
        <v>FeatureFunctionCode_longTermAccommodation</v>
      </c>
      <c r="B3222" s="330"/>
      <c r="C3222" s="334"/>
      <c r="D3222" s="188" t="s">
        <v>21739</v>
      </c>
      <c r="E3222" s="189" t="s">
        <v>21740</v>
      </c>
      <c r="F3222" s="162" t="s">
        <v>21741</v>
      </c>
      <c r="G3222" s="190"/>
      <c r="H3222" s="219"/>
      <c r="I3222" s="169">
        <v>206585</v>
      </c>
      <c r="J3222" s="304" t="str">
        <f>CONCATENATE([2]Cover!$D$6,"fdd/view?i=",I3222)</f>
        <v>https://www.dgiwg.org/FAD/fdd/view?i=206585</v>
      </c>
      <c r="K3222" s="304" t="s">
        <v>37271</v>
      </c>
      <c r="L3222" s="188">
        <v>549</v>
      </c>
      <c r="M3222" s="179" t="s">
        <v>1295</v>
      </c>
    </row>
    <row r="3223" spans="1:13" ht="267.75">
      <c r="A3223" s="313" t="str">
        <f t="shared" si="50"/>
        <v>FeatureFunctionCode_machineryManufac</v>
      </c>
      <c r="B3223" s="330"/>
      <c r="C3223" s="334"/>
      <c r="D3223" s="188" t="s">
        <v>21742</v>
      </c>
      <c r="E3223" s="189" t="s">
        <v>21743</v>
      </c>
      <c r="F3223" s="162" t="s">
        <v>21744</v>
      </c>
      <c r="G3223" s="162" t="s">
        <v>21745</v>
      </c>
      <c r="H3223" s="219"/>
      <c r="I3223" s="169">
        <v>111998</v>
      </c>
      <c r="J3223" s="304" t="str">
        <f>CONCATENATE([2]Cover!$D$6,"fdd/view?i=",I3223)</f>
        <v>https://www.dgiwg.org/FAD/fdd/view?i=111998</v>
      </c>
      <c r="K3223" s="304" t="s">
        <v>37272</v>
      </c>
      <c r="L3223" s="188">
        <v>280</v>
      </c>
      <c r="M3223" s="179" t="s">
        <v>151</v>
      </c>
    </row>
    <row r="3224" spans="1:13" ht="191.25">
      <c r="A3224" s="313" t="str">
        <f t="shared" si="50"/>
        <v>FeatureFunctionCode_machineryRepair</v>
      </c>
      <c r="B3224" s="330"/>
      <c r="C3224" s="334"/>
      <c r="D3224" s="188" t="s">
        <v>21746</v>
      </c>
      <c r="E3224" s="189" t="s">
        <v>21747</v>
      </c>
      <c r="F3224" s="162" t="s">
        <v>21748</v>
      </c>
      <c r="G3224" s="162" t="s">
        <v>21749</v>
      </c>
      <c r="H3224" s="219"/>
      <c r="I3224" s="169">
        <v>112030</v>
      </c>
      <c r="J3224" s="304" t="str">
        <f>CONCATENATE([2]Cover!$D$6,"fdd/view?i=",I3224)</f>
        <v>https://www.dgiwg.org/FAD/fdd/view?i=112030</v>
      </c>
      <c r="K3224" s="304" t="s">
        <v>37273</v>
      </c>
      <c r="L3224" s="188">
        <v>334</v>
      </c>
      <c r="M3224" s="179" t="s">
        <v>151</v>
      </c>
    </row>
    <row r="3225" spans="1:13" ht="38.25">
      <c r="A3225" s="313" t="str">
        <f t="shared" si="50"/>
        <v>FeatureFunctionCode_mailPackagetransport</v>
      </c>
      <c r="B3225" s="330"/>
      <c r="C3225" s="334"/>
      <c r="D3225" s="188" t="s">
        <v>21750</v>
      </c>
      <c r="E3225" s="189" t="s">
        <v>21751</v>
      </c>
      <c r="F3225" s="162" t="s">
        <v>21752</v>
      </c>
      <c r="G3225" s="162" t="s">
        <v>21753</v>
      </c>
      <c r="H3225" s="219"/>
      <c r="I3225" s="169">
        <v>206581</v>
      </c>
      <c r="J3225" s="304" t="str">
        <f>CONCATENATE([2]Cover!$D$6,"fdd/view?i=",I3225)</f>
        <v>https://www.dgiwg.org/FAD/fdd/view?i=206581</v>
      </c>
      <c r="K3225" s="304" t="s">
        <v>37274</v>
      </c>
      <c r="L3225" s="188">
        <v>541</v>
      </c>
      <c r="M3225" s="179" t="s">
        <v>1295</v>
      </c>
    </row>
    <row r="3226" spans="1:13" ht="76.5">
      <c r="A3226" s="313" t="str">
        <f t="shared" si="50"/>
        <v>FeatureFunctionCode_mainTelephoneExchange</v>
      </c>
      <c r="B3226" s="330"/>
      <c r="C3226" s="334"/>
      <c r="D3226" s="188" t="s">
        <v>21754</v>
      </c>
      <c r="E3226" s="189" t="s">
        <v>21755</v>
      </c>
      <c r="F3226" s="162" t="s">
        <v>21756</v>
      </c>
      <c r="G3226" s="162" t="s">
        <v>21757</v>
      </c>
      <c r="H3226" s="219"/>
      <c r="I3226" s="169">
        <v>112168</v>
      </c>
      <c r="J3226" s="304" t="str">
        <f>CONCATENATE([2]Cover!$D$6,"fdd/view?i=",I3226)</f>
        <v>https://www.dgiwg.org/FAD/fdd/view?i=112168</v>
      </c>
      <c r="K3226" s="304" t="s">
        <v>37275</v>
      </c>
      <c r="L3226" s="188">
        <v>615</v>
      </c>
      <c r="M3226" s="179" t="s">
        <v>151</v>
      </c>
    </row>
    <row r="3227" spans="1:13" ht="89.25">
      <c r="A3227" s="313" t="str">
        <f t="shared" si="50"/>
        <v>FeatureFunctionCode_manufacturing</v>
      </c>
      <c r="B3227" s="330"/>
      <c r="C3227" s="334"/>
      <c r="D3227" s="188" t="s">
        <v>21758</v>
      </c>
      <c r="E3227" s="189" t="s">
        <v>21759</v>
      </c>
      <c r="F3227" s="162" t="s">
        <v>21760</v>
      </c>
      <c r="G3227" s="162" t="s">
        <v>3075</v>
      </c>
      <c r="H3227" s="219"/>
      <c r="I3227" s="169">
        <v>111896</v>
      </c>
      <c r="J3227" s="304" t="str">
        <f>CONCATENATE([2]Cover!$D$6,"fdd/view?i=",I3227)</f>
        <v>https://www.dgiwg.org/FAD/fdd/view?i=111896</v>
      </c>
      <c r="K3227" s="304" t="s">
        <v>37276</v>
      </c>
      <c r="L3227" s="188">
        <v>99</v>
      </c>
      <c r="M3227" s="179" t="s">
        <v>151</v>
      </c>
    </row>
    <row r="3228" spans="1:13" ht="255">
      <c r="A3228" s="313" t="str">
        <f t="shared" si="50"/>
        <v>FeatureFunctionCode_maritimeDefense</v>
      </c>
      <c r="B3228" s="330"/>
      <c r="C3228" s="334"/>
      <c r="D3228" s="188" t="s">
        <v>21761</v>
      </c>
      <c r="E3228" s="189" t="s">
        <v>21762</v>
      </c>
      <c r="F3228" s="162" t="s">
        <v>21763</v>
      </c>
      <c r="G3228" s="162" t="s">
        <v>21764</v>
      </c>
      <c r="H3228" s="219"/>
      <c r="I3228" s="169">
        <v>118557</v>
      </c>
      <c r="J3228" s="304" t="str">
        <f>CONCATENATE([2]Cover!$D$6,"fdd/view?i=",I3228)</f>
        <v>https://www.dgiwg.org/FAD/fdd/view?i=118557</v>
      </c>
      <c r="K3228" s="304" t="s">
        <v>37277</v>
      </c>
      <c r="L3228" s="188">
        <v>829</v>
      </c>
      <c r="M3228" s="179" t="s">
        <v>151</v>
      </c>
    </row>
    <row r="3229" spans="1:13" ht="51">
      <c r="A3229" s="313" t="str">
        <f t="shared" si="50"/>
        <v>FeatureFunctionCode_maritimePilotage</v>
      </c>
      <c r="B3229" s="330"/>
      <c r="C3229" s="334"/>
      <c r="D3229" s="188" t="s">
        <v>21765</v>
      </c>
      <c r="E3229" s="189" t="s">
        <v>21766</v>
      </c>
      <c r="F3229" s="162" t="s">
        <v>21767</v>
      </c>
      <c r="G3229" s="162" t="s">
        <v>21768</v>
      </c>
      <c r="H3229" s="219"/>
      <c r="I3229" s="169">
        <v>112102</v>
      </c>
      <c r="J3229" s="304" t="str">
        <f>CONCATENATE([2]Cover!$D$6,"fdd/view?i=",I3229)</f>
        <v>https://www.dgiwg.org/FAD/fdd/view?i=112102</v>
      </c>
      <c r="K3229" s="304" t="s">
        <v>37278</v>
      </c>
      <c r="L3229" s="188">
        <v>511</v>
      </c>
      <c r="M3229" s="179" t="s">
        <v>151</v>
      </c>
    </row>
    <row r="3230" spans="1:13" ht="76.5">
      <c r="A3230" s="313" t="str">
        <f t="shared" si="50"/>
        <v>FeatureFunctionCode_market</v>
      </c>
      <c r="B3230" s="330"/>
      <c r="C3230" s="334"/>
      <c r="D3230" s="188" t="s">
        <v>21769</v>
      </c>
      <c r="E3230" s="189" t="s">
        <v>21770</v>
      </c>
      <c r="F3230" s="162" t="s">
        <v>21771</v>
      </c>
      <c r="G3230" s="162" t="s">
        <v>21772</v>
      </c>
      <c r="H3230" s="219"/>
      <c r="I3230" s="169">
        <v>112062</v>
      </c>
      <c r="J3230" s="304" t="str">
        <f>CONCATENATE([2]Cover!$D$6,"fdd/view?i=",I3230)</f>
        <v>https://www.dgiwg.org/FAD/fdd/view?i=112062</v>
      </c>
      <c r="K3230" s="304" t="s">
        <v>37279</v>
      </c>
      <c r="L3230" s="188">
        <v>475</v>
      </c>
      <c r="M3230" s="179" t="s">
        <v>151</v>
      </c>
    </row>
    <row r="3231" spans="1:13" ht="89.25">
      <c r="A3231" s="313" t="str">
        <f t="shared" si="50"/>
        <v>FeatureFunctionCode_materialsRecovery</v>
      </c>
      <c r="B3231" s="330"/>
      <c r="C3231" s="334"/>
      <c r="D3231" s="188" t="s">
        <v>21773</v>
      </c>
      <c r="E3231" s="189" t="s">
        <v>21774</v>
      </c>
      <c r="F3231" s="162" t="s">
        <v>21775</v>
      </c>
      <c r="G3231" s="162" t="s">
        <v>21776</v>
      </c>
      <c r="H3231" s="219"/>
      <c r="I3231" s="169">
        <v>112052</v>
      </c>
      <c r="J3231" s="304" t="str">
        <f>CONCATENATE([2]Cover!$D$6,"fdd/view?i=",I3231)</f>
        <v>https://www.dgiwg.org/FAD/fdd/view?i=112052</v>
      </c>
      <c r="K3231" s="304" t="s">
        <v>37280</v>
      </c>
      <c r="L3231" s="188">
        <v>385</v>
      </c>
      <c r="M3231" s="179" t="s">
        <v>151</v>
      </c>
    </row>
    <row r="3232" spans="1:13" ht="229.5">
      <c r="A3232" s="313" t="str">
        <f t="shared" si="50"/>
        <v>FeatureFunctionCode_meatProcessing</v>
      </c>
      <c r="B3232" s="330"/>
      <c r="C3232" s="334"/>
      <c r="D3232" s="188" t="s">
        <v>21777</v>
      </c>
      <c r="E3232" s="189" t="s">
        <v>21778</v>
      </c>
      <c r="F3232" s="162" t="s">
        <v>21779</v>
      </c>
      <c r="G3232" s="162" t="s">
        <v>21780</v>
      </c>
      <c r="H3232" s="219"/>
      <c r="I3232" s="169">
        <v>111902</v>
      </c>
      <c r="J3232" s="304" t="str">
        <f>CONCATENATE([2]Cover!$D$6,"fdd/view?i=",I3232)</f>
        <v>https://www.dgiwg.org/FAD/fdd/view?i=111902</v>
      </c>
      <c r="K3232" s="304" t="s">
        <v>37281</v>
      </c>
      <c r="L3232" s="188">
        <v>102</v>
      </c>
      <c r="M3232" s="179" t="s">
        <v>151</v>
      </c>
    </row>
    <row r="3233" spans="1:13" ht="229.5">
      <c r="A3233" s="313" t="str">
        <f t="shared" si="50"/>
        <v>FeatureFunctionCode_medDentalEquipManufac</v>
      </c>
      <c r="B3233" s="330"/>
      <c r="C3233" s="334"/>
      <c r="D3233" s="188" t="s">
        <v>21781</v>
      </c>
      <c r="E3233" s="189" t="s">
        <v>21782</v>
      </c>
      <c r="F3233" s="162" t="s">
        <v>21783</v>
      </c>
      <c r="G3233" s="162" t="s">
        <v>21784</v>
      </c>
      <c r="H3233" s="219"/>
      <c r="I3233" s="169">
        <v>112020</v>
      </c>
      <c r="J3233" s="304" t="str">
        <f>CONCATENATE([2]Cover!$D$6,"fdd/view?i=",I3233)</f>
        <v>https://www.dgiwg.org/FAD/fdd/view?i=112020</v>
      </c>
      <c r="K3233" s="304" t="s">
        <v>37282</v>
      </c>
      <c r="L3233" s="188">
        <v>325</v>
      </c>
      <c r="M3233" s="179" t="s">
        <v>151</v>
      </c>
    </row>
    <row r="3234" spans="1:13" ht="280.5">
      <c r="A3234" s="313" t="str">
        <f t="shared" si="50"/>
        <v>FeatureFunctionCode_medicinalProdManufac</v>
      </c>
      <c r="B3234" s="330"/>
      <c r="C3234" s="334"/>
      <c r="D3234" s="188" t="s">
        <v>21785</v>
      </c>
      <c r="E3234" s="189" t="s">
        <v>21786</v>
      </c>
      <c r="F3234" s="162" t="s">
        <v>21787</v>
      </c>
      <c r="G3234" s="162" t="s">
        <v>21788</v>
      </c>
      <c r="H3234" s="219"/>
      <c r="I3234" s="169">
        <v>111962</v>
      </c>
      <c r="J3234" s="304" t="str">
        <f>CONCATENATE([2]Cover!$D$6,"fdd/view?i=",I3234)</f>
        <v>https://www.dgiwg.org/FAD/fdd/view?i=111962</v>
      </c>
      <c r="K3234" s="304" t="s">
        <v>37283</v>
      </c>
      <c r="L3234" s="188">
        <v>210</v>
      </c>
      <c r="M3234" s="179" t="s">
        <v>151</v>
      </c>
    </row>
    <row r="3235" spans="1:13" ht="51">
      <c r="A3235" s="313" t="str">
        <f t="shared" si="50"/>
        <v>FeatureFunctionCode_meetingPlace</v>
      </c>
      <c r="B3235" s="330"/>
      <c r="C3235" s="334"/>
      <c r="D3235" s="188" t="s">
        <v>21789</v>
      </c>
      <c r="E3235" s="189" t="s">
        <v>21790</v>
      </c>
      <c r="F3235" s="162" t="s">
        <v>21791</v>
      </c>
      <c r="G3235" s="162" t="s">
        <v>21792</v>
      </c>
      <c r="H3235" s="219"/>
      <c r="I3235" s="169">
        <v>118992</v>
      </c>
      <c r="J3235" s="304" t="str">
        <f>CONCATENATE([2]Cover!$D$6,"fdd/view?i=",I3235)</f>
        <v>https://www.dgiwg.org/FAD/fdd/view?i=118992</v>
      </c>
      <c r="K3235" s="304" t="s">
        <v>37284</v>
      </c>
      <c r="L3235" s="188">
        <v>970</v>
      </c>
      <c r="M3235" s="179" t="s">
        <v>151</v>
      </c>
    </row>
    <row r="3236" spans="1:13" ht="25.5">
      <c r="A3236" s="313" t="str">
        <f t="shared" si="50"/>
        <v>FeatureFunctionCode_membershipOrganization</v>
      </c>
      <c r="B3236" s="330"/>
      <c r="C3236" s="334"/>
      <c r="D3236" s="188" t="s">
        <v>21793</v>
      </c>
      <c r="E3236" s="189" t="s">
        <v>21794</v>
      </c>
      <c r="F3236" s="162" t="s">
        <v>21795</v>
      </c>
      <c r="G3236" s="190"/>
      <c r="H3236" s="219"/>
      <c r="I3236" s="169">
        <v>206598</v>
      </c>
      <c r="J3236" s="304" t="str">
        <f>CONCATENATE([2]Cover!$D$6,"fdd/view?i=",I3236)</f>
        <v>https://www.dgiwg.org/FAD/fdd/view?i=206598</v>
      </c>
      <c r="K3236" s="304" t="s">
        <v>37285</v>
      </c>
      <c r="L3236" s="188">
        <v>950</v>
      </c>
      <c r="M3236" s="179" t="s">
        <v>1295</v>
      </c>
    </row>
    <row r="3237" spans="1:13" ht="89.25">
      <c r="A3237" s="313" t="str">
        <f t="shared" si="50"/>
        <v>FeatureFunctionCode_metalOreMining</v>
      </c>
      <c r="B3237" s="330"/>
      <c r="C3237" s="334"/>
      <c r="D3237" s="188" t="s">
        <v>21796</v>
      </c>
      <c r="E3237" s="189" t="s">
        <v>21797</v>
      </c>
      <c r="F3237" s="162" t="s">
        <v>21798</v>
      </c>
      <c r="G3237" s="162" t="s">
        <v>21799</v>
      </c>
      <c r="H3237" s="219"/>
      <c r="I3237" s="169">
        <v>111864</v>
      </c>
      <c r="J3237" s="304" t="str">
        <f>CONCATENATE([2]Cover!$D$6,"fdd/view?i=",I3237)</f>
        <v>https://www.dgiwg.org/FAD/fdd/view?i=111864</v>
      </c>
      <c r="K3237" s="304" t="s">
        <v>37286</v>
      </c>
      <c r="L3237" s="188">
        <v>70</v>
      </c>
      <c r="M3237" s="179" t="s">
        <v>151</v>
      </c>
    </row>
    <row r="3238" spans="1:13" ht="63.75">
      <c r="A3238" s="313" t="str">
        <f t="shared" si="50"/>
        <v>FeatureFunctionCode_metalProdManufac</v>
      </c>
      <c r="B3238" s="330"/>
      <c r="C3238" s="334"/>
      <c r="D3238" s="188" t="s">
        <v>21800</v>
      </c>
      <c r="E3238" s="189" t="s">
        <v>21801</v>
      </c>
      <c r="F3238" s="162" t="s">
        <v>21802</v>
      </c>
      <c r="G3238" s="162" t="s">
        <v>21803</v>
      </c>
      <c r="H3238" s="219"/>
      <c r="I3238" s="169">
        <v>206574</v>
      </c>
      <c r="J3238" s="304" t="str">
        <f>CONCATENATE([2]Cover!$D$6,"fdd/view?i=",I3238)</f>
        <v>https://www.dgiwg.org/FAD/fdd/view?i=206574</v>
      </c>
      <c r="K3238" s="304" t="s">
        <v>37287</v>
      </c>
      <c r="L3238" s="188">
        <v>250</v>
      </c>
      <c r="M3238" s="179" t="s">
        <v>1295</v>
      </c>
    </row>
    <row r="3239" spans="1:13" ht="242.25">
      <c r="A3239" s="313" t="str">
        <f t="shared" si="50"/>
        <v>FeatureFunctionCode_metalRefining</v>
      </c>
      <c r="B3239" s="330"/>
      <c r="C3239" s="334"/>
      <c r="D3239" s="188" t="s">
        <v>21804</v>
      </c>
      <c r="E3239" s="189" t="s">
        <v>21805</v>
      </c>
      <c r="F3239" s="162" t="s">
        <v>21806</v>
      </c>
      <c r="G3239" s="162" t="s">
        <v>21807</v>
      </c>
      <c r="H3239" s="219"/>
      <c r="I3239" s="169">
        <v>111984</v>
      </c>
      <c r="J3239" s="304" t="str">
        <f>CONCATENATE([2]Cover!$D$6,"fdd/view?i=",I3239)</f>
        <v>https://www.dgiwg.org/FAD/fdd/view?i=111984</v>
      </c>
      <c r="K3239" s="304" t="s">
        <v>37288</v>
      </c>
      <c r="L3239" s="188">
        <v>242</v>
      </c>
      <c r="M3239" s="179" t="s">
        <v>151</v>
      </c>
    </row>
    <row r="3240" spans="1:13" ht="76.5">
      <c r="A3240" s="313" t="str">
        <f t="shared" si="50"/>
        <v>FeatureFunctionCode_migrantLabour</v>
      </c>
      <c r="B3240" s="330"/>
      <c r="C3240" s="334"/>
      <c r="D3240" s="188" t="s">
        <v>21808</v>
      </c>
      <c r="E3240" s="189" t="s">
        <v>21809</v>
      </c>
      <c r="F3240" s="162" t="s">
        <v>21810</v>
      </c>
      <c r="G3240" s="162" t="s">
        <v>21811</v>
      </c>
      <c r="H3240" s="219"/>
      <c r="I3240" s="169">
        <v>111842</v>
      </c>
      <c r="J3240" s="304" t="str">
        <f>CONCATENATE([2]Cover!$D$6,"fdd/view?i=",I3240)</f>
        <v>https://www.dgiwg.org/FAD/fdd/view?i=111842</v>
      </c>
      <c r="K3240" s="304" t="s">
        <v>37289</v>
      </c>
      <c r="L3240" s="188">
        <v>16</v>
      </c>
      <c r="M3240" s="179" t="s">
        <v>151</v>
      </c>
    </row>
    <row r="3241" spans="1:13" ht="25.5">
      <c r="A3241" s="313" t="str">
        <f t="shared" si="50"/>
        <v>FeatureFunctionCode_militaryRecruitment</v>
      </c>
      <c r="B3241" s="330"/>
      <c r="C3241" s="334"/>
      <c r="D3241" s="188" t="s">
        <v>21812</v>
      </c>
      <c r="E3241" s="189" t="s">
        <v>21813</v>
      </c>
      <c r="F3241" s="162" t="s">
        <v>21814</v>
      </c>
      <c r="G3241" s="162" t="s">
        <v>21815</v>
      </c>
      <c r="H3241" s="219"/>
      <c r="I3241" s="169">
        <v>118558</v>
      </c>
      <c r="J3241" s="304" t="str">
        <f>CONCATENATE([2]Cover!$D$6,"fdd/view?i=",I3241)</f>
        <v>https://www.dgiwg.org/FAD/fdd/view?i=118558</v>
      </c>
      <c r="K3241" s="304" t="s">
        <v>37290</v>
      </c>
      <c r="L3241" s="188">
        <v>838</v>
      </c>
      <c r="M3241" s="179" t="s">
        <v>151</v>
      </c>
    </row>
    <row r="3242" spans="1:13" ht="76.5">
      <c r="A3242" s="313" t="str">
        <f t="shared" si="50"/>
        <v>FeatureFunctionCode_militaryReserveActivities</v>
      </c>
      <c r="B3242" s="330"/>
      <c r="C3242" s="334"/>
      <c r="D3242" s="188" t="s">
        <v>21816</v>
      </c>
      <c r="E3242" s="189" t="s">
        <v>21817</v>
      </c>
      <c r="F3242" s="162" t="s">
        <v>21818</v>
      </c>
      <c r="G3242" s="162" t="s">
        <v>21819</v>
      </c>
      <c r="H3242" s="219"/>
      <c r="I3242" s="169">
        <v>118037</v>
      </c>
      <c r="J3242" s="304" t="str">
        <f>CONCATENATE([2]Cover!$D$6,"fdd/view?i=",I3242)</f>
        <v>https://www.dgiwg.org/FAD/fdd/view?i=118037</v>
      </c>
      <c r="K3242" s="304" t="s">
        <v>37291</v>
      </c>
      <c r="L3242" s="188">
        <v>837</v>
      </c>
      <c r="M3242" s="179" t="s">
        <v>151</v>
      </c>
    </row>
    <row r="3243" spans="1:13" ht="25.5">
      <c r="A3243" s="313" t="str">
        <f t="shared" si="50"/>
        <v>FeatureFunctionCode_militaryVehicleManufac</v>
      </c>
      <c r="B3243" s="330"/>
      <c r="C3243" s="334"/>
      <c r="D3243" s="188" t="s">
        <v>21820</v>
      </c>
      <c r="E3243" s="189" t="s">
        <v>21821</v>
      </c>
      <c r="F3243" s="162" t="s">
        <v>21822</v>
      </c>
      <c r="G3243" s="190"/>
      <c r="H3243" s="219"/>
      <c r="I3243" s="169">
        <v>112008</v>
      </c>
      <c r="J3243" s="304" t="str">
        <f>CONCATENATE([2]Cover!$D$6,"fdd/view?i=",I3243)</f>
        <v>https://www.dgiwg.org/FAD/fdd/view?i=112008</v>
      </c>
      <c r="K3243" s="304" t="s">
        <v>37292</v>
      </c>
      <c r="L3243" s="188">
        <v>306</v>
      </c>
      <c r="M3243" s="179" t="s">
        <v>151</v>
      </c>
    </row>
    <row r="3244" spans="1:13" ht="102">
      <c r="A3244" s="313" t="str">
        <f t="shared" si="50"/>
        <v>FeatureFunctionCode_mineralMining</v>
      </c>
      <c r="B3244" s="330"/>
      <c r="C3244" s="334"/>
      <c r="D3244" s="188" t="s">
        <v>21823</v>
      </c>
      <c r="E3244" s="189" t="s">
        <v>21824</v>
      </c>
      <c r="F3244" s="162" t="s">
        <v>21825</v>
      </c>
      <c r="G3244" s="190"/>
      <c r="H3244" s="219"/>
      <c r="I3244" s="169">
        <v>111888</v>
      </c>
      <c r="J3244" s="304" t="str">
        <f>CONCATENATE([2]Cover!$D$6,"fdd/view?i=",I3244)</f>
        <v>https://www.dgiwg.org/FAD/fdd/view?i=111888</v>
      </c>
      <c r="K3244" s="304" t="s">
        <v>37293</v>
      </c>
      <c r="L3244" s="188">
        <v>87</v>
      </c>
      <c r="M3244" s="179" t="s">
        <v>151</v>
      </c>
    </row>
    <row r="3245" spans="1:13" ht="140.25">
      <c r="A3245" s="313" t="str">
        <f t="shared" si="50"/>
        <v>FeatureFunctionCode_miningQuarrying</v>
      </c>
      <c r="B3245" s="330"/>
      <c r="C3245" s="334"/>
      <c r="D3245" s="188" t="s">
        <v>21826</v>
      </c>
      <c r="E3245" s="189" t="s">
        <v>21827</v>
      </c>
      <c r="F3245" s="162" t="s">
        <v>21828</v>
      </c>
      <c r="G3245" s="162" t="s">
        <v>21829</v>
      </c>
      <c r="H3245" s="219"/>
      <c r="I3245" s="169">
        <v>111858</v>
      </c>
      <c r="J3245" s="304" t="str">
        <f>CONCATENATE([2]Cover!$D$6,"fdd/view?i=",I3245)</f>
        <v>https://www.dgiwg.org/FAD/fdd/view?i=111858</v>
      </c>
      <c r="K3245" s="304" t="s">
        <v>37294</v>
      </c>
      <c r="L3245" s="188">
        <v>40</v>
      </c>
      <c r="M3245" s="179" t="s">
        <v>151</v>
      </c>
    </row>
    <row r="3246" spans="1:13" ht="51">
      <c r="A3246" s="313" t="str">
        <f t="shared" si="50"/>
        <v>FeatureFunctionCode_miscellaneousManufac</v>
      </c>
      <c r="B3246" s="330"/>
      <c r="C3246" s="334"/>
      <c r="D3246" s="188" t="s">
        <v>21830</v>
      </c>
      <c r="E3246" s="189" t="s">
        <v>21831</v>
      </c>
      <c r="F3246" s="162" t="s">
        <v>21832</v>
      </c>
      <c r="G3246" s="162" t="s">
        <v>21833</v>
      </c>
      <c r="H3246" s="219"/>
      <c r="I3246" s="169">
        <v>206576</v>
      </c>
      <c r="J3246" s="304" t="str">
        <f>CONCATENATE([2]Cover!$D$6,"fdd/view?i=",I3246)</f>
        <v>https://www.dgiwg.org/FAD/fdd/view?i=206576</v>
      </c>
      <c r="K3246" s="304" t="s">
        <v>37295</v>
      </c>
      <c r="L3246" s="188">
        <v>320</v>
      </c>
      <c r="M3246" s="179" t="s">
        <v>1295</v>
      </c>
    </row>
    <row r="3247" spans="1:13" ht="76.5">
      <c r="A3247" s="313" t="str">
        <f t="shared" si="50"/>
        <v>FeatureFunctionCode_mixedFarming</v>
      </c>
      <c r="B3247" s="330"/>
      <c r="C3247" s="334"/>
      <c r="D3247" s="188" t="s">
        <v>21834</v>
      </c>
      <c r="E3247" s="189" t="s">
        <v>21835</v>
      </c>
      <c r="F3247" s="162" t="s">
        <v>21836</v>
      </c>
      <c r="G3247" s="162" t="s">
        <v>21837</v>
      </c>
      <c r="H3247" s="219"/>
      <c r="I3247" s="169">
        <v>111840</v>
      </c>
      <c r="J3247" s="304" t="str">
        <f>CONCATENATE([2]Cover!$D$6,"fdd/view?i=",I3247)</f>
        <v>https://www.dgiwg.org/FAD/fdd/view?i=111840</v>
      </c>
      <c r="K3247" s="304" t="s">
        <v>37296</v>
      </c>
      <c r="L3247" s="188">
        <v>15</v>
      </c>
      <c r="M3247" s="179" t="s">
        <v>151</v>
      </c>
    </row>
    <row r="3248" spans="1:13" ht="76.5">
      <c r="A3248" s="313" t="str">
        <f t="shared" si="50"/>
        <v>FeatureFunctionCode_mobilePhoneService</v>
      </c>
      <c r="B3248" s="330"/>
      <c r="C3248" s="334"/>
      <c r="D3248" s="188" t="s">
        <v>21838</v>
      </c>
      <c r="E3248" s="189" t="s">
        <v>21839</v>
      </c>
      <c r="F3248" s="162" t="s">
        <v>21840</v>
      </c>
      <c r="G3248" s="162" t="s">
        <v>21841</v>
      </c>
      <c r="H3248" s="219"/>
      <c r="I3248" s="169">
        <v>112176</v>
      </c>
      <c r="J3248" s="304" t="str">
        <f>CONCATENATE([2]Cover!$D$6,"fdd/view?i=",I3248)</f>
        <v>https://www.dgiwg.org/FAD/fdd/view?i=112176</v>
      </c>
      <c r="K3248" s="304" t="s">
        <v>37297</v>
      </c>
      <c r="L3248" s="188">
        <v>621</v>
      </c>
      <c r="M3248" s="179" t="s">
        <v>151</v>
      </c>
    </row>
    <row r="3249" spans="1:13" ht="25.5">
      <c r="A3249" s="313" t="str">
        <f t="shared" si="50"/>
        <v>FeatureFunctionCode_mooring</v>
      </c>
      <c r="B3249" s="330"/>
      <c r="C3249" s="334"/>
      <c r="D3249" s="188" t="s">
        <v>18008</v>
      </c>
      <c r="E3249" s="189" t="s">
        <v>18009</v>
      </c>
      <c r="F3249" s="162" t="s">
        <v>21842</v>
      </c>
      <c r="G3249" s="190"/>
      <c r="H3249" s="219"/>
      <c r="I3249" s="169">
        <v>112108</v>
      </c>
      <c r="J3249" s="304" t="str">
        <f>CONCATENATE([2]Cover!$D$6,"fdd/view?i=",I3249)</f>
        <v>https://www.dgiwg.org/FAD/fdd/view?i=112108</v>
      </c>
      <c r="K3249" s="304" t="s">
        <v>37298</v>
      </c>
      <c r="L3249" s="188">
        <v>514</v>
      </c>
      <c r="M3249" s="179" t="s">
        <v>151</v>
      </c>
    </row>
    <row r="3250" spans="1:13" ht="51">
      <c r="A3250" s="313" t="str">
        <f t="shared" si="50"/>
        <v>FeatureFunctionCode_mortuaryServices</v>
      </c>
      <c r="B3250" s="330"/>
      <c r="C3250" s="334"/>
      <c r="D3250" s="188" t="s">
        <v>21843</v>
      </c>
      <c r="E3250" s="189" t="s">
        <v>21844</v>
      </c>
      <c r="F3250" s="162" t="s">
        <v>21845</v>
      </c>
      <c r="G3250" s="162" t="s">
        <v>21846</v>
      </c>
      <c r="H3250" s="219"/>
      <c r="I3250" s="169">
        <v>112358</v>
      </c>
      <c r="J3250" s="304" t="str">
        <f>CONCATENATE([2]Cover!$D$6,"fdd/view?i=",I3250)</f>
        <v>https://www.dgiwg.org/FAD/fdd/view?i=112358</v>
      </c>
      <c r="K3250" s="304" t="s">
        <v>37299</v>
      </c>
      <c r="L3250" s="188">
        <v>965</v>
      </c>
      <c r="M3250" s="179" t="s">
        <v>151</v>
      </c>
    </row>
    <row r="3251" spans="1:13" ht="25.5">
      <c r="A3251" s="313" t="str">
        <f t="shared" si="50"/>
        <v>FeatureFunctionCode_motel</v>
      </c>
      <c r="B3251" s="330"/>
      <c r="C3251" s="334"/>
      <c r="D3251" s="188" t="s">
        <v>21847</v>
      </c>
      <c r="E3251" s="189" t="s">
        <v>21848</v>
      </c>
      <c r="F3251" s="162" t="s">
        <v>21849</v>
      </c>
      <c r="G3251" s="162" t="s">
        <v>21850</v>
      </c>
      <c r="H3251" s="219"/>
      <c r="I3251" s="169">
        <v>112130</v>
      </c>
      <c r="J3251" s="304" t="str">
        <f>CONCATENATE([2]Cover!$D$6,"fdd/view?i=",I3251)</f>
        <v>https://www.dgiwg.org/FAD/fdd/view?i=112130</v>
      </c>
      <c r="K3251" s="304" t="s">
        <v>37300</v>
      </c>
      <c r="L3251" s="188">
        <v>553</v>
      </c>
      <c r="M3251" s="179" t="s">
        <v>151</v>
      </c>
    </row>
    <row r="3252" spans="1:13" ht="25.5">
      <c r="A3252" s="313" t="str">
        <f t="shared" si="50"/>
        <v>FeatureFunctionCode_motorVehicleManufac</v>
      </c>
      <c r="B3252" s="330"/>
      <c r="C3252" s="334"/>
      <c r="D3252" s="188" t="s">
        <v>21851</v>
      </c>
      <c r="E3252" s="189" t="s">
        <v>21852</v>
      </c>
      <c r="F3252" s="162" t="s">
        <v>21853</v>
      </c>
      <c r="G3252" s="190"/>
      <c r="H3252" s="219"/>
      <c r="I3252" s="169">
        <v>112000</v>
      </c>
      <c r="J3252" s="304" t="str">
        <f>CONCATENATE([2]Cover!$D$6,"fdd/view?i=",I3252)</f>
        <v>https://www.dgiwg.org/FAD/fdd/view?i=112000</v>
      </c>
      <c r="K3252" s="304" t="s">
        <v>37301</v>
      </c>
      <c r="L3252" s="188">
        <v>290</v>
      </c>
      <c r="M3252" s="179" t="s">
        <v>151</v>
      </c>
    </row>
    <row r="3253" spans="1:13" ht="51">
      <c r="A3253" s="313" t="str">
        <f t="shared" si="50"/>
        <v>FeatureFunctionCode_motorVehicleParking</v>
      </c>
      <c r="B3253" s="330"/>
      <c r="C3253" s="334"/>
      <c r="D3253" s="188" t="s">
        <v>21854</v>
      </c>
      <c r="E3253" s="189" t="s">
        <v>21855</v>
      </c>
      <c r="F3253" s="162" t="s">
        <v>21856</v>
      </c>
      <c r="G3253" s="162" t="s">
        <v>21857</v>
      </c>
      <c r="H3253" s="219"/>
      <c r="I3253" s="169">
        <v>112114</v>
      </c>
      <c r="J3253" s="304" t="str">
        <f>CONCATENATE([2]Cover!$D$6,"fdd/view?i=",I3253)</f>
        <v>https://www.dgiwg.org/FAD/fdd/view?i=112114</v>
      </c>
      <c r="K3253" s="304" t="s">
        <v>37302</v>
      </c>
      <c r="L3253" s="188">
        <v>535</v>
      </c>
      <c r="M3253" s="179" t="s">
        <v>151</v>
      </c>
    </row>
    <row r="3254" spans="1:13" ht="38.25">
      <c r="A3254" s="313" t="str">
        <f t="shared" si="50"/>
        <v>FeatureFunctionCode_motorVehicleRental</v>
      </c>
      <c r="B3254" s="330"/>
      <c r="C3254" s="334"/>
      <c r="D3254" s="188" t="s">
        <v>21858</v>
      </c>
      <c r="E3254" s="189" t="s">
        <v>21859</v>
      </c>
      <c r="F3254" s="162" t="s">
        <v>21860</v>
      </c>
      <c r="G3254" s="190"/>
      <c r="H3254" s="219"/>
      <c r="I3254" s="169">
        <v>112226</v>
      </c>
      <c r="J3254" s="304" t="str">
        <f>CONCATENATE([2]Cover!$D$6,"fdd/view?i=",I3254)</f>
        <v>https://www.dgiwg.org/FAD/fdd/view?i=112226</v>
      </c>
      <c r="K3254" s="304" t="s">
        <v>37303</v>
      </c>
      <c r="L3254" s="188">
        <v>761</v>
      </c>
      <c r="M3254" s="179" t="s">
        <v>151</v>
      </c>
    </row>
    <row r="3255" spans="1:13" ht="25.5">
      <c r="A3255" s="313" t="str">
        <f t="shared" si="50"/>
        <v>FeatureFunctionCode_motorVehicleRepair</v>
      </c>
      <c r="B3255" s="330"/>
      <c r="C3255" s="334"/>
      <c r="D3255" s="188" t="s">
        <v>21861</v>
      </c>
      <c r="E3255" s="189" t="s">
        <v>21862</v>
      </c>
      <c r="F3255" s="162" t="s">
        <v>21863</v>
      </c>
      <c r="G3255" s="190"/>
      <c r="H3255" s="219"/>
      <c r="I3255" s="169">
        <v>112038</v>
      </c>
      <c r="J3255" s="304" t="str">
        <f>CONCATENATE([2]Cover!$D$6,"fdd/view?i=",I3255)</f>
        <v>https://www.dgiwg.org/FAD/fdd/view?i=112038</v>
      </c>
      <c r="K3255" s="304" t="s">
        <v>37304</v>
      </c>
      <c r="L3255" s="188">
        <v>343</v>
      </c>
      <c r="M3255" s="179" t="s">
        <v>151</v>
      </c>
    </row>
    <row r="3256" spans="1:13" ht="127.5">
      <c r="A3256" s="313" t="str">
        <f t="shared" si="50"/>
        <v>FeatureFunctionCode_munitionsManufac</v>
      </c>
      <c r="B3256" s="330"/>
      <c r="C3256" s="334"/>
      <c r="D3256" s="188" t="s">
        <v>21864</v>
      </c>
      <c r="E3256" s="189" t="s">
        <v>21865</v>
      </c>
      <c r="F3256" s="162" t="s">
        <v>21866</v>
      </c>
      <c r="G3256" s="162" t="s">
        <v>21867</v>
      </c>
      <c r="H3256" s="219"/>
      <c r="I3256" s="169">
        <v>111990</v>
      </c>
      <c r="J3256" s="304" t="str">
        <f>CONCATENATE([2]Cover!$D$6,"fdd/view?i=",I3256)</f>
        <v>https://www.dgiwg.org/FAD/fdd/view?i=111990</v>
      </c>
      <c r="K3256" s="304" t="s">
        <v>37305</v>
      </c>
      <c r="L3256" s="188">
        <v>255</v>
      </c>
      <c r="M3256" s="179" t="s">
        <v>151</v>
      </c>
    </row>
    <row r="3257" spans="1:13" ht="63.75">
      <c r="A3257" s="313" t="str">
        <f t="shared" si="50"/>
        <v>FeatureFunctionCode_museum</v>
      </c>
      <c r="B3257" s="330"/>
      <c r="C3257" s="334"/>
      <c r="D3257" s="188" t="s">
        <v>21868</v>
      </c>
      <c r="E3257" s="189" t="s">
        <v>21869</v>
      </c>
      <c r="F3257" s="162" t="s">
        <v>21870</v>
      </c>
      <c r="G3257" s="190"/>
      <c r="H3257" s="219"/>
      <c r="I3257" s="169">
        <v>112326</v>
      </c>
      <c r="J3257" s="304" t="str">
        <f>CONCATENATE([2]Cover!$D$6,"fdd/view?i=",I3257)</f>
        <v>https://www.dgiwg.org/FAD/fdd/view?i=112326</v>
      </c>
      <c r="K3257" s="304" t="s">
        <v>37306</v>
      </c>
      <c r="L3257" s="188">
        <v>905</v>
      </c>
      <c r="M3257" s="179" t="s">
        <v>151</v>
      </c>
    </row>
    <row r="3258" spans="1:13" ht="216.75">
      <c r="A3258" s="313" t="str">
        <f t="shared" si="50"/>
        <v>FeatureFunctionCode_musicalInstManufac</v>
      </c>
      <c r="B3258" s="330"/>
      <c r="C3258" s="334"/>
      <c r="D3258" s="188" t="s">
        <v>21871</v>
      </c>
      <c r="E3258" s="189" t="s">
        <v>21872</v>
      </c>
      <c r="F3258" s="162" t="s">
        <v>21873</v>
      </c>
      <c r="G3258" s="162" t="s">
        <v>21874</v>
      </c>
      <c r="H3258" s="219"/>
      <c r="I3258" s="169">
        <v>112014</v>
      </c>
      <c r="J3258" s="304" t="str">
        <f>CONCATENATE([2]Cover!$D$6,"fdd/view?i=",I3258)</f>
        <v>https://www.dgiwg.org/FAD/fdd/view?i=112014</v>
      </c>
      <c r="K3258" s="304" t="s">
        <v>37307</v>
      </c>
      <c r="L3258" s="188">
        <v>322</v>
      </c>
      <c r="M3258" s="179" t="s">
        <v>151</v>
      </c>
    </row>
    <row r="3259" spans="1:13" ht="25.5">
      <c r="A3259" s="313" t="str">
        <f t="shared" si="50"/>
        <v>FeatureFunctionCode_nationalGovernment</v>
      </c>
      <c r="B3259" s="330"/>
      <c r="C3259" s="334"/>
      <c r="D3259" s="188" t="s">
        <v>21875</v>
      </c>
      <c r="E3259" s="189" t="s">
        <v>21876</v>
      </c>
      <c r="F3259" s="162" t="s">
        <v>21877</v>
      </c>
      <c r="G3259" s="190"/>
      <c r="H3259" s="219"/>
      <c r="I3259" s="169">
        <v>119267</v>
      </c>
      <c r="J3259" s="304" t="str">
        <f>CONCATENATE([2]Cover!$D$6,"fdd/view?i=",I3259)</f>
        <v>https://www.dgiwg.org/FAD/fdd/view?i=119267</v>
      </c>
      <c r="K3259" s="304" t="s">
        <v>37308</v>
      </c>
      <c r="L3259" s="188">
        <v>814</v>
      </c>
      <c r="M3259" s="179" t="s">
        <v>151</v>
      </c>
    </row>
    <row r="3260" spans="1:13" ht="51">
      <c r="A3260" s="313" t="str">
        <f t="shared" si="50"/>
        <v>FeatureFunctionCode_navigation</v>
      </c>
      <c r="B3260" s="330"/>
      <c r="C3260" s="334"/>
      <c r="D3260" s="188" t="s">
        <v>19756</v>
      </c>
      <c r="E3260" s="189" t="s">
        <v>19757</v>
      </c>
      <c r="F3260" s="162" t="s">
        <v>21878</v>
      </c>
      <c r="G3260" s="162" t="s">
        <v>21879</v>
      </c>
      <c r="H3260" s="219"/>
      <c r="I3260" s="169">
        <v>112078</v>
      </c>
      <c r="J3260" s="304" t="str">
        <f>CONCATENATE([2]Cover!$D$6,"fdd/view?i=",I3260)</f>
        <v>https://www.dgiwg.org/FAD/fdd/view?i=112078</v>
      </c>
      <c r="K3260" s="304" t="s">
        <v>37309</v>
      </c>
      <c r="L3260" s="188">
        <v>488</v>
      </c>
      <c r="M3260" s="179" t="s">
        <v>151</v>
      </c>
    </row>
    <row r="3261" spans="1:13" ht="38.25">
      <c r="A3261" s="313" t="str">
        <f t="shared" si="50"/>
        <v>FeatureFunctionCode_nightClub</v>
      </c>
      <c r="B3261" s="330"/>
      <c r="C3261" s="334"/>
      <c r="D3261" s="188" t="s">
        <v>21880</v>
      </c>
      <c r="E3261" s="189" t="s">
        <v>21881</v>
      </c>
      <c r="F3261" s="162" t="s">
        <v>21882</v>
      </c>
      <c r="G3261" s="190"/>
      <c r="H3261" s="221" t="s">
        <v>21883</v>
      </c>
      <c r="I3261" s="169">
        <v>112388</v>
      </c>
      <c r="J3261" s="304" t="str">
        <f>CONCATENATE([2]Cover!$D$6,"fdd/view?i=",I3261)</f>
        <v>https://www.dgiwg.org/FAD/fdd/view?i=112388</v>
      </c>
      <c r="K3261" s="304" t="s">
        <v>37310</v>
      </c>
      <c r="L3261" s="188">
        <v>895</v>
      </c>
      <c r="M3261" s="179" t="s">
        <v>151</v>
      </c>
    </row>
    <row r="3262" spans="1:13" ht="127.5">
      <c r="A3262" s="313" t="str">
        <f t="shared" si="50"/>
        <v>FeatureFunctionCode_nonMetalMineralManufac</v>
      </c>
      <c r="B3262" s="330"/>
      <c r="C3262" s="334"/>
      <c r="D3262" s="188" t="s">
        <v>21884</v>
      </c>
      <c r="E3262" s="189" t="s">
        <v>21885</v>
      </c>
      <c r="F3262" s="162" t="s">
        <v>21886</v>
      </c>
      <c r="G3262" s="162" t="s">
        <v>21887</v>
      </c>
      <c r="H3262" s="219"/>
      <c r="I3262" s="169">
        <v>206572</v>
      </c>
      <c r="J3262" s="304" t="str">
        <f>CONCATENATE([2]Cover!$D$6,"fdd/view?i=",I3262)</f>
        <v>https://www.dgiwg.org/FAD/fdd/view?i=206572</v>
      </c>
      <c r="K3262" s="304" t="s">
        <v>37311</v>
      </c>
      <c r="L3262" s="188">
        <v>230</v>
      </c>
      <c r="M3262" s="179" t="s">
        <v>1295</v>
      </c>
    </row>
    <row r="3263" spans="1:13" ht="25.5">
      <c r="A3263" s="313" t="str">
        <f t="shared" si="50"/>
        <v>FeatureFunctionCode_nonSpecializedStore</v>
      </c>
      <c r="B3263" s="330"/>
      <c r="C3263" s="334"/>
      <c r="D3263" s="188" t="s">
        <v>21888</v>
      </c>
      <c r="E3263" s="189" t="s">
        <v>21889</v>
      </c>
      <c r="F3263" s="162" t="s">
        <v>21890</v>
      </c>
      <c r="G3263" s="162" t="s">
        <v>21891</v>
      </c>
      <c r="H3263" s="219"/>
      <c r="I3263" s="169">
        <v>112056</v>
      </c>
      <c r="J3263" s="304" t="str">
        <f>CONCATENATE([2]Cover!$D$6,"fdd/view?i=",I3263)</f>
        <v>https://www.dgiwg.org/FAD/fdd/view?i=112056</v>
      </c>
      <c r="K3263" s="304" t="s">
        <v>37312</v>
      </c>
      <c r="L3263" s="188">
        <v>465</v>
      </c>
      <c r="M3263" s="179" t="s">
        <v>151</v>
      </c>
    </row>
    <row r="3264" spans="1:13" ht="38.25">
      <c r="A3264" s="313" t="str">
        <f t="shared" si="50"/>
        <v>FeatureFunctionCode_nuclearResearchCentre</v>
      </c>
      <c r="B3264" s="330"/>
      <c r="C3264" s="334"/>
      <c r="D3264" s="188" t="s">
        <v>21892</v>
      </c>
      <c r="E3264" s="189" t="s">
        <v>21893</v>
      </c>
      <c r="F3264" s="162" t="s">
        <v>21894</v>
      </c>
      <c r="G3264" s="162" t="s">
        <v>21895</v>
      </c>
      <c r="H3264" s="219"/>
      <c r="I3264" s="169">
        <v>112216</v>
      </c>
      <c r="J3264" s="304" t="str">
        <f>CONCATENATE([2]Cover!$D$6,"fdd/view?i=",I3264)</f>
        <v>https://www.dgiwg.org/FAD/fdd/view?i=112216</v>
      </c>
      <c r="K3264" s="304" t="s">
        <v>37313</v>
      </c>
      <c r="L3264" s="188">
        <v>725</v>
      </c>
      <c r="M3264" s="179" t="s">
        <v>151</v>
      </c>
    </row>
    <row r="3265" spans="1:13" ht="25.5">
      <c r="A3265" s="313" t="str">
        <f t="shared" si="50"/>
        <v>FeatureFunctionCode_observationStation</v>
      </c>
      <c r="B3265" s="330"/>
      <c r="C3265" s="334"/>
      <c r="D3265" s="188" t="s">
        <v>21896</v>
      </c>
      <c r="E3265" s="189" t="s">
        <v>21897</v>
      </c>
      <c r="F3265" s="162" t="s">
        <v>21898</v>
      </c>
      <c r="G3265" s="190"/>
      <c r="H3265" s="219"/>
      <c r="I3265" s="169">
        <v>112212</v>
      </c>
      <c r="J3265" s="304" t="str">
        <f>CONCATENATE([2]Cover!$D$6,"fdd/view?i=",I3265)</f>
        <v>https://www.dgiwg.org/FAD/fdd/view?i=112212</v>
      </c>
      <c r="K3265" s="304" t="s">
        <v>37314</v>
      </c>
      <c r="L3265" s="188">
        <v>721</v>
      </c>
      <c r="M3265" s="179" t="s">
        <v>151</v>
      </c>
    </row>
    <row r="3266" spans="1:13" ht="89.25">
      <c r="A3266" s="313" t="str">
        <f t="shared" si="50"/>
        <v>FeatureFunctionCode_officeAdministration</v>
      </c>
      <c r="B3266" s="330"/>
      <c r="C3266" s="334"/>
      <c r="D3266" s="188" t="s">
        <v>21899</v>
      </c>
      <c r="E3266" s="189" t="s">
        <v>21900</v>
      </c>
      <c r="F3266" s="162" t="s">
        <v>21901</v>
      </c>
      <c r="G3266" s="162" t="s">
        <v>21902</v>
      </c>
      <c r="H3266" s="219"/>
      <c r="I3266" s="169">
        <v>112240</v>
      </c>
      <c r="J3266" s="304" t="str">
        <f>CONCATENATE([2]Cover!$D$6,"fdd/view?i=",I3266)</f>
        <v>https://www.dgiwg.org/FAD/fdd/view?i=112240</v>
      </c>
      <c r="K3266" s="304" t="s">
        <v>37315</v>
      </c>
      <c r="L3266" s="188">
        <v>801</v>
      </c>
      <c r="M3266" s="179" t="s">
        <v>151</v>
      </c>
    </row>
    <row r="3267" spans="1:13" ht="204">
      <c r="A3267" s="313" t="str">
        <f t="shared" ref="A3267:A3330" si="51">HYPERLINK(J3267,K3267)</f>
        <v>FeatureFunctionCode_oilMill</v>
      </c>
      <c r="B3267" s="330"/>
      <c r="C3267" s="334"/>
      <c r="D3267" s="188" t="s">
        <v>21903</v>
      </c>
      <c r="E3267" s="189" t="s">
        <v>21904</v>
      </c>
      <c r="F3267" s="162" t="s">
        <v>21905</v>
      </c>
      <c r="G3267" s="162" t="s">
        <v>21906</v>
      </c>
      <c r="H3267" s="219"/>
      <c r="I3267" s="169">
        <v>111908</v>
      </c>
      <c r="J3267" s="304" t="str">
        <f>CONCATENATE([2]Cover!$D$6,"fdd/view?i=",I3267)</f>
        <v>https://www.dgiwg.org/FAD/fdd/view?i=111908</v>
      </c>
      <c r="K3267" s="304" t="s">
        <v>37316</v>
      </c>
      <c r="L3267" s="188">
        <v>105</v>
      </c>
      <c r="M3267" s="179" t="s">
        <v>151</v>
      </c>
    </row>
    <row r="3268" spans="1:13" ht="38.25">
      <c r="A3268" s="313" t="str">
        <f t="shared" si="51"/>
        <v>FeatureFunctionCode_operaHouse</v>
      </c>
      <c r="B3268" s="330"/>
      <c r="C3268" s="334"/>
      <c r="D3268" s="188" t="s">
        <v>21907</v>
      </c>
      <c r="E3268" s="189" t="s">
        <v>21908</v>
      </c>
      <c r="F3268" s="162" t="s">
        <v>21909</v>
      </c>
      <c r="G3268" s="162" t="s">
        <v>21910</v>
      </c>
      <c r="H3268" s="219"/>
      <c r="I3268" s="169">
        <v>112322</v>
      </c>
      <c r="J3268" s="304" t="str">
        <f>CONCATENATE([2]Cover!$D$6,"fdd/view?i=",I3268)</f>
        <v>https://www.dgiwg.org/FAD/fdd/view?i=112322</v>
      </c>
      <c r="K3268" s="304" t="s">
        <v>37317</v>
      </c>
      <c r="L3268" s="188">
        <v>894</v>
      </c>
      <c r="M3268" s="179" t="s">
        <v>151</v>
      </c>
    </row>
    <row r="3269" spans="1:13" ht="114.75">
      <c r="A3269" s="313" t="str">
        <f t="shared" si="51"/>
        <v>FeatureFunctionCode_oreDressing</v>
      </c>
      <c r="B3269" s="330"/>
      <c r="C3269" s="334"/>
      <c r="D3269" s="188" t="s">
        <v>21911</v>
      </c>
      <c r="E3269" s="189" t="s">
        <v>21912</v>
      </c>
      <c r="F3269" s="162" t="s">
        <v>21913</v>
      </c>
      <c r="G3269" s="162" t="s">
        <v>21914</v>
      </c>
      <c r="H3269" s="219"/>
      <c r="I3269" s="169">
        <v>111894</v>
      </c>
      <c r="J3269" s="304" t="str">
        <f>CONCATENATE([2]Cover!$D$6,"fdd/view?i=",I3269)</f>
        <v>https://www.dgiwg.org/FAD/fdd/view?i=111894</v>
      </c>
      <c r="K3269" s="304" t="s">
        <v>37318</v>
      </c>
      <c r="L3269" s="188">
        <v>95</v>
      </c>
      <c r="M3269" s="179" t="s">
        <v>151</v>
      </c>
    </row>
    <row r="3270" spans="1:13" ht="51">
      <c r="A3270" s="313" t="str">
        <f t="shared" si="51"/>
        <v>FeatureFunctionCode_outPatientCare</v>
      </c>
      <c r="B3270" s="330"/>
      <c r="C3270" s="334"/>
      <c r="D3270" s="188" t="s">
        <v>21915</v>
      </c>
      <c r="E3270" s="189" t="s">
        <v>21916</v>
      </c>
      <c r="F3270" s="162" t="s">
        <v>21917</v>
      </c>
      <c r="G3270" s="162" t="s">
        <v>21918</v>
      </c>
      <c r="H3270" s="219"/>
      <c r="I3270" s="169">
        <v>112298</v>
      </c>
      <c r="J3270" s="304" t="str">
        <f>CONCATENATE([2]Cover!$D$6,"fdd/view?i=",I3270)</f>
        <v>https://www.dgiwg.org/FAD/fdd/view?i=112298</v>
      </c>
      <c r="K3270" s="304" t="s">
        <v>37319</v>
      </c>
      <c r="L3270" s="188">
        <v>862</v>
      </c>
      <c r="M3270" s="179" t="s">
        <v>151</v>
      </c>
    </row>
    <row r="3271" spans="1:13" ht="38.25">
      <c r="A3271" s="313" t="str">
        <f t="shared" si="51"/>
        <v>FeatureFunctionCode_palace</v>
      </c>
      <c r="B3271" s="330"/>
      <c r="C3271" s="334"/>
      <c r="D3271" s="188" t="s">
        <v>21919</v>
      </c>
      <c r="E3271" s="189" t="s">
        <v>21920</v>
      </c>
      <c r="F3271" s="162" t="s">
        <v>21921</v>
      </c>
      <c r="G3271" s="162" t="s">
        <v>21922</v>
      </c>
      <c r="H3271" s="219"/>
      <c r="I3271" s="169">
        <v>112252</v>
      </c>
      <c r="J3271" s="304" t="str">
        <f>CONCATENATE([2]Cover!$D$6,"fdd/view?i=",I3271)</f>
        <v>https://www.dgiwg.org/FAD/fdd/view?i=112252</v>
      </c>
      <c r="K3271" s="304" t="s">
        <v>37320</v>
      </c>
      <c r="L3271" s="188">
        <v>815</v>
      </c>
      <c r="M3271" s="179" t="s">
        <v>151</v>
      </c>
    </row>
    <row r="3272" spans="1:13" ht="229.5">
      <c r="A3272" s="313" t="str">
        <f t="shared" si="51"/>
        <v>FeatureFunctionCode_paperMill</v>
      </c>
      <c r="B3272" s="330"/>
      <c r="C3272" s="334"/>
      <c r="D3272" s="188" t="s">
        <v>21923</v>
      </c>
      <c r="E3272" s="189" t="s">
        <v>21924</v>
      </c>
      <c r="F3272" s="162" t="s">
        <v>21925</v>
      </c>
      <c r="G3272" s="162" t="s">
        <v>21926</v>
      </c>
      <c r="H3272" s="221" t="s">
        <v>21927</v>
      </c>
      <c r="I3272" s="169">
        <v>111952</v>
      </c>
      <c r="J3272" s="304" t="str">
        <f>CONCATENATE([2]Cover!$D$6,"fdd/view?i=",I3272)</f>
        <v>https://www.dgiwg.org/FAD/fdd/view?i=111952</v>
      </c>
      <c r="K3272" s="304" t="s">
        <v>37321</v>
      </c>
      <c r="L3272" s="188">
        <v>171</v>
      </c>
      <c r="M3272" s="179" t="s">
        <v>151</v>
      </c>
    </row>
    <row r="3273" spans="1:13" ht="51">
      <c r="A3273" s="313" t="str">
        <f t="shared" si="51"/>
        <v>FeatureFunctionCode_pastaManufac</v>
      </c>
      <c r="B3273" s="330"/>
      <c r="C3273" s="334"/>
      <c r="D3273" s="188" t="s">
        <v>21928</v>
      </c>
      <c r="E3273" s="189" t="s">
        <v>21929</v>
      </c>
      <c r="F3273" s="162" t="s">
        <v>21930</v>
      </c>
      <c r="G3273" s="162" t="s">
        <v>21931</v>
      </c>
      <c r="H3273" s="219"/>
      <c r="I3273" s="169">
        <v>111924</v>
      </c>
      <c r="J3273" s="304" t="str">
        <f>CONCATENATE([2]Cover!$D$6,"fdd/view?i=",I3273)</f>
        <v>https://www.dgiwg.org/FAD/fdd/view?i=111924</v>
      </c>
      <c r="K3273" s="304" t="s">
        <v>37322</v>
      </c>
      <c r="L3273" s="188">
        <v>115</v>
      </c>
      <c r="M3273" s="179" t="s">
        <v>151</v>
      </c>
    </row>
    <row r="3274" spans="1:13" ht="25.5">
      <c r="A3274" s="313" t="str">
        <f t="shared" si="51"/>
        <v>FeatureFunctionCode_peatExtraction</v>
      </c>
      <c r="B3274" s="330"/>
      <c r="C3274" s="334"/>
      <c r="D3274" s="188" t="s">
        <v>21932</v>
      </c>
      <c r="E3274" s="189" t="s">
        <v>21933</v>
      </c>
      <c r="F3274" s="162" t="s">
        <v>21934</v>
      </c>
      <c r="G3274" s="190"/>
      <c r="H3274" s="219"/>
      <c r="I3274" s="169">
        <v>111870</v>
      </c>
      <c r="J3274" s="304" t="str">
        <f>CONCATENATE([2]Cover!$D$6,"fdd/view?i=",I3274)</f>
        <v>https://www.dgiwg.org/FAD/fdd/view?i=111870</v>
      </c>
      <c r="K3274" s="304" t="s">
        <v>37323</v>
      </c>
      <c r="L3274" s="188">
        <v>84</v>
      </c>
      <c r="M3274" s="179" t="s">
        <v>151</v>
      </c>
    </row>
    <row r="3275" spans="1:13" ht="63.75">
      <c r="A3275" s="313" t="str">
        <f t="shared" si="51"/>
        <v>FeatureFunctionCode_pedestrianTransport</v>
      </c>
      <c r="B3275" s="330"/>
      <c r="C3275" s="334"/>
      <c r="D3275" s="188" t="s">
        <v>21935</v>
      </c>
      <c r="E3275" s="189" t="s">
        <v>21936</v>
      </c>
      <c r="F3275" s="162" t="s">
        <v>21937</v>
      </c>
      <c r="G3275" s="162" t="s">
        <v>21938</v>
      </c>
      <c r="H3275" s="219"/>
      <c r="I3275" s="169">
        <v>112082</v>
      </c>
      <c r="J3275" s="304" t="str">
        <f>CONCATENATE([2]Cover!$D$6,"fdd/view?i=",I3275)</f>
        <v>https://www.dgiwg.org/FAD/fdd/view?i=112082</v>
      </c>
      <c r="K3275" s="304" t="s">
        <v>37324</v>
      </c>
      <c r="L3275" s="188">
        <v>494</v>
      </c>
      <c r="M3275" s="179" t="s">
        <v>151</v>
      </c>
    </row>
    <row r="3276" spans="1:13" ht="25.5">
      <c r="A3276" s="313" t="str">
        <f t="shared" si="51"/>
        <v>FeatureFunctionCode_petroleumCoalProdManufac</v>
      </c>
      <c r="B3276" s="330"/>
      <c r="C3276" s="334"/>
      <c r="D3276" s="188" t="s">
        <v>21943</v>
      </c>
      <c r="E3276" s="189" t="s">
        <v>21944</v>
      </c>
      <c r="F3276" s="162" t="s">
        <v>21945</v>
      </c>
      <c r="G3276" s="190"/>
      <c r="H3276" s="219"/>
      <c r="I3276" s="169">
        <v>206571</v>
      </c>
      <c r="J3276" s="304" t="str">
        <f>CONCATENATE([2]Cover!$D$6,"fdd/view?i=",I3276)</f>
        <v>https://www.dgiwg.org/FAD/fdd/view?i=206571</v>
      </c>
      <c r="K3276" s="304" t="s">
        <v>37325</v>
      </c>
      <c r="L3276" s="188">
        <v>190</v>
      </c>
      <c r="M3276" s="179" t="s">
        <v>1295</v>
      </c>
    </row>
    <row r="3277" spans="1:13" ht="165.75">
      <c r="A3277" s="313" t="str">
        <f t="shared" si="51"/>
        <v>FeatureFunctionCode_petroleumGasExtract</v>
      </c>
      <c r="B3277" s="330"/>
      <c r="C3277" s="334"/>
      <c r="D3277" s="188" t="s">
        <v>21946</v>
      </c>
      <c r="E3277" s="189" t="s">
        <v>21947</v>
      </c>
      <c r="F3277" s="162" t="s">
        <v>21948</v>
      </c>
      <c r="G3277" s="162" t="s">
        <v>21949</v>
      </c>
      <c r="H3277" s="219"/>
      <c r="I3277" s="169">
        <v>111862</v>
      </c>
      <c r="J3277" s="304" t="str">
        <f>CONCATENATE([2]Cover!$D$6,"fdd/view?i=",I3277)</f>
        <v>https://www.dgiwg.org/FAD/fdd/view?i=111862</v>
      </c>
      <c r="K3277" s="304" t="s">
        <v>37326</v>
      </c>
      <c r="L3277" s="188">
        <v>60</v>
      </c>
      <c r="M3277" s="179" t="s">
        <v>151</v>
      </c>
    </row>
    <row r="3278" spans="1:13" ht="229.5">
      <c r="A3278" s="313" t="str">
        <f t="shared" si="51"/>
        <v>FeatureFunctionCode_petroleumRefining</v>
      </c>
      <c r="B3278" s="330"/>
      <c r="C3278" s="334"/>
      <c r="D3278" s="188" t="s">
        <v>21950</v>
      </c>
      <c r="E3278" s="189" t="s">
        <v>21951</v>
      </c>
      <c r="F3278" s="162" t="s">
        <v>21952</v>
      </c>
      <c r="G3278" s="162" t="s">
        <v>21953</v>
      </c>
      <c r="H3278" s="219"/>
      <c r="I3278" s="169">
        <v>111958</v>
      </c>
      <c r="J3278" s="304" t="str">
        <f>CONCATENATE([2]Cover!$D$6,"fdd/view?i=",I3278)</f>
        <v>https://www.dgiwg.org/FAD/fdd/view?i=111958</v>
      </c>
      <c r="K3278" s="304" t="s">
        <v>37327</v>
      </c>
      <c r="L3278" s="188">
        <v>192</v>
      </c>
      <c r="M3278" s="179" t="s">
        <v>151</v>
      </c>
    </row>
    <row r="3279" spans="1:13" ht="25.5">
      <c r="A3279" s="313" t="str">
        <f t="shared" si="51"/>
        <v>FeatureFunctionCode_petrolSale</v>
      </c>
      <c r="B3279" s="330"/>
      <c r="C3279" s="334"/>
      <c r="D3279" s="188" t="s">
        <v>21939</v>
      </c>
      <c r="E3279" s="189" t="s">
        <v>21940</v>
      </c>
      <c r="F3279" s="162" t="s">
        <v>21941</v>
      </c>
      <c r="G3279" s="162" t="s">
        <v>21942</v>
      </c>
      <c r="H3279" s="219"/>
      <c r="I3279" s="169">
        <v>112060</v>
      </c>
      <c r="J3279" s="304" t="str">
        <f>CONCATENATE([2]Cover!$D$6,"fdd/view?i=",I3279)</f>
        <v>https://www.dgiwg.org/FAD/fdd/view?i=112060</v>
      </c>
      <c r="K3279" s="304" t="s">
        <v>37328</v>
      </c>
      <c r="L3279" s="188">
        <v>470</v>
      </c>
      <c r="M3279" s="179" t="s">
        <v>151</v>
      </c>
    </row>
    <row r="3280" spans="1:13" ht="38.25">
      <c r="A3280" s="313" t="str">
        <f t="shared" si="51"/>
        <v>FeatureFunctionCode_petShop</v>
      </c>
      <c r="B3280" s="330"/>
      <c r="C3280" s="334"/>
      <c r="D3280" s="188" t="s">
        <v>21954</v>
      </c>
      <c r="E3280" s="189" t="s">
        <v>21955</v>
      </c>
      <c r="F3280" s="162" t="s">
        <v>21956</v>
      </c>
      <c r="G3280" s="162" t="s">
        <v>21957</v>
      </c>
      <c r="H3280" s="221" t="s">
        <v>21958</v>
      </c>
      <c r="I3280" s="169">
        <v>112376</v>
      </c>
      <c r="J3280" s="304" t="str">
        <f>CONCATENATE([2]Cover!$D$6,"fdd/view?i=",I3280)</f>
        <v>https://www.dgiwg.org/FAD/fdd/view?i=112376</v>
      </c>
      <c r="K3280" s="304" t="s">
        <v>37329</v>
      </c>
      <c r="L3280" s="188">
        <v>478</v>
      </c>
      <c r="M3280" s="179" t="s">
        <v>151</v>
      </c>
    </row>
    <row r="3281" spans="1:13" ht="38.25">
      <c r="A3281" s="313" t="str">
        <f t="shared" si="51"/>
        <v>FeatureFunctionCode_pharmacy</v>
      </c>
      <c r="B3281" s="330"/>
      <c r="C3281" s="334"/>
      <c r="D3281" s="188" t="s">
        <v>17448</v>
      </c>
      <c r="E3281" s="189" t="s">
        <v>17449</v>
      </c>
      <c r="F3281" s="162" t="s">
        <v>21959</v>
      </c>
      <c r="G3281" s="190"/>
      <c r="H3281" s="221" t="s">
        <v>21960</v>
      </c>
      <c r="I3281" s="169">
        <v>112374</v>
      </c>
      <c r="J3281" s="304" t="str">
        <f>CONCATENATE([2]Cover!$D$6,"fdd/view?i=",I3281)</f>
        <v>https://www.dgiwg.org/FAD/fdd/view?i=112374</v>
      </c>
      <c r="K3281" s="304" t="s">
        <v>37330</v>
      </c>
      <c r="L3281" s="188">
        <v>477</v>
      </c>
      <c r="M3281" s="179" t="s">
        <v>151</v>
      </c>
    </row>
    <row r="3282" spans="1:13" ht="51">
      <c r="A3282" s="313" t="str">
        <f t="shared" si="51"/>
        <v>FeatureFunctionCode_photography</v>
      </c>
      <c r="B3282" s="330"/>
      <c r="C3282" s="334"/>
      <c r="D3282" s="188" t="s">
        <v>21961</v>
      </c>
      <c r="E3282" s="189" t="s">
        <v>21962</v>
      </c>
      <c r="F3282" s="162" t="s">
        <v>21963</v>
      </c>
      <c r="G3282" s="190"/>
      <c r="H3282" s="219"/>
      <c r="I3282" s="169">
        <v>112222</v>
      </c>
      <c r="J3282" s="304" t="str">
        <f>CONCATENATE([2]Cover!$D$6,"fdd/view?i=",I3282)</f>
        <v>https://www.dgiwg.org/FAD/fdd/view?i=112222</v>
      </c>
      <c r="K3282" s="304" t="s">
        <v>37331</v>
      </c>
      <c r="L3282" s="188">
        <v>752</v>
      </c>
      <c r="M3282" s="179" t="s">
        <v>151</v>
      </c>
    </row>
    <row r="3283" spans="1:13" ht="51">
      <c r="A3283" s="313" t="str">
        <f t="shared" si="51"/>
        <v>FeatureFunctionCode_pilotStation</v>
      </c>
      <c r="B3283" s="330"/>
      <c r="C3283" s="334"/>
      <c r="D3283" s="188" t="s">
        <v>21964</v>
      </c>
      <c r="E3283" s="189" t="s">
        <v>21965</v>
      </c>
      <c r="F3283" s="162" t="s">
        <v>21966</v>
      </c>
      <c r="G3283" s="162" t="s">
        <v>21768</v>
      </c>
      <c r="H3283" s="219"/>
      <c r="I3283" s="169">
        <v>112104</v>
      </c>
      <c r="J3283" s="304" t="str">
        <f>CONCATENATE([2]Cover!$D$6,"fdd/view?i=",I3283)</f>
        <v>https://www.dgiwg.org/FAD/fdd/view?i=112104</v>
      </c>
      <c r="K3283" s="304" t="s">
        <v>37332</v>
      </c>
      <c r="L3283" s="188">
        <v>512</v>
      </c>
      <c r="M3283" s="179" t="s">
        <v>151</v>
      </c>
    </row>
    <row r="3284" spans="1:13" ht="25.5">
      <c r="A3284" s="313" t="str">
        <f t="shared" si="51"/>
        <v>FeatureFunctionCode_pipelineTransport</v>
      </c>
      <c r="B3284" s="330"/>
      <c r="C3284" s="334"/>
      <c r="D3284" s="188" t="s">
        <v>21967</v>
      </c>
      <c r="E3284" s="189" t="s">
        <v>21968</v>
      </c>
      <c r="F3284" s="162" t="s">
        <v>21969</v>
      </c>
      <c r="G3284" s="190"/>
      <c r="H3284" s="219"/>
      <c r="I3284" s="169">
        <v>112090</v>
      </c>
      <c r="J3284" s="304" t="str">
        <f>CONCATENATE([2]Cover!$D$6,"fdd/view?i=",I3284)</f>
        <v>https://www.dgiwg.org/FAD/fdd/view?i=112090</v>
      </c>
      <c r="K3284" s="304" t="s">
        <v>37333</v>
      </c>
      <c r="L3284" s="188">
        <v>500</v>
      </c>
      <c r="M3284" s="179" t="s">
        <v>151</v>
      </c>
    </row>
    <row r="3285" spans="1:13" ht="25.5">
      <c r="A3285" s="313" t="str">
        <f t="shared" si="51"/>
        <v>FeatureFunctionCode_placeOfWorship</v>
      </c>
      <c r="B3285" s="330"/>
      <c r="C3285" s="334"/>
      <c r="D3285" s="188" t="s">
        <v>21970</v>
      </c>
      <c r="E3285" s="189" t="s">
        <v>21971</v>
      </c>
      <c r="F3285" s="162" t="s">
        <v>21972</v>
      </c>
      <c r="G3285" s="162" t="s">
        <v>21973</v>
      </c>
      <c r="H3285" s="219"/>
      <c r="I3285" s="169">
        <v>112346</v>
      </c>
      <c r="J3285" s="304" t="str">
        <f>CONCATENATE([2]Cover!$D$6,"fdd/view?i=",I3285)</f>
        <v>https://www.dgiwg.org/FAD/fdd/view?i=112346</v>
      </c>
      <c r="K3285" s="304" t="s">
        <v>37334</v>
      </c>
      <c r="L3285" s="188">
        <v>931</v>
      </c>
      <c r="M3285" s="179" t="s">
        <v>151</v>
      </c>
    </row>
    <row r="3286" spans="1:13" ht="306">
      <c r="A3286" s="313" t="str">
        <f t="shared" si="51"/>
        <v>FeatureFunctionCode_plasticProdManufac</v>
      </c>
      <c r="B3286" s="330"/>
      <c r="C3286" s="334"/>
      <c r="D3286" s="188" t="s">
        <v>21974</v>
      </c>
      <c r="E3286" s="189" t="s">
        <v>21975</v>
      </c>
      <c r="F3286" s="162" t="s">
        <v>21976</v>
      </c>
      <c r="G3286" s="162" t="s">
        <v>21977</v>
      </c>
      <c r="H3286" s="219"/>
      <c r="I3286" s="169">
        <v>111966</v>
      </c>
      <c r="J3286" s="304" t="str">
        <f>CONCATENATE([2]Cover!$D$6,"fdd/view?i=",I3286)</f>
        <v>https://www.dgiwg.org/FAD/fdd/view?i=111966</v>
      </c>
      <c r="K3286" s="304" t="s">
        <v>37335</v>
      </c>
      <c r="L3286" s="188">
        <v>225</v>
      </c>
      <c r="M3286" s="179" t="s">
        <v>151</v>
      </c>
    </row>
    <row r="3287" spans="1:13" ht="63.75">
      <c r="A3287" s="313" t="str">
        <f t="shared" si="51"/>
        <v>FeatureFunctionCode_pollingStation</v>
      </c>
      <c r="B3287" s="330"/>
      <c r="C3287" s="334"/>
      <c r="D3287" s="188" t="s">
        <v>21978</v>
      </c>
      <c r="E3287" s="189" t="s">
        <v>21979</v>
      </c>
      <c r="F3287" s="162" t="s">
        <v>21980</v>
      </c>
      <c r="G3287" s="162" t="s">
        <v>21981</v>
      </c>
      <c r="H3287" s="219"/>
      <c r="I3287" s="169">
        <v>119121</v>
      </c>
      <c r="J3287" s="304" t="str">
        <f>CONCATENATE([2]Cover!$D$6,"fdd/view?i=",I3287)</f>
        <v>https://www.dgiwg.org/FAD/fdd/view?i=119121</v>
      </c>
      <c r="K3287" s="304" t="s">
        <v>37336</v>
      </c>
      <c r="L3287" s="188">
        <v>821</v>
      </c>
      <c r="M3287" s="179" t="s">
        <v>151</v>
      </c>
    </row>
    <row r="3288" spans="1:13" ht="25.5">
      <c r="A3288" s="313" t="str">
        <f t="shared" si="51"/>
        <v>FeatureFunctionCode_portControl</v>
      </c>
      <c r="B3288" s="330"/>
      <c r="C3288" s="334"/>
      <c r="D3288" s="188" t="s">
        <v>21982</v>
      </c>
      <c r="E3288" s="189" t="s">
        <v>21983</v>
      </c>
      <c r="F3288" s="162" t="s">
        <v>21984</v>
      </c>
      <c r="G3288" s="190"/>
      <c r="H3288" s="219"/>
      <c r="I3288" s="169">
        <v>112100</v>
      </c>
      <c r="J3288" s="304" t="str">
        <f>CONCATENATE([2]Cover!$D$6,"fdd/view?i=",I3288)</f>
        <v>https://www.dgiwg.org/FAD/fdd/view?i=112100</v>
      </c>
      <c r="K3288" s="304" t="s">
        <v>37337</v>
      </c>
      <c r="L3288" s="188">
        <v>510</v>
      </c>
      <c r="M3288" s="179" t="s">
        <v>151</v>
      </c>
    </row>
    <row r="3289" spans="1:13" ht="38.25">
      <c r="A3289" s="313" t="str">
        <f t="shared" si="51"/>
        <v>FeatureFunctionCode_postalActivities</v>
      </c>
      <c r="B3289" s="330"/>
      <c r="C3289" s="334"/>
      <c r="D3289" s="188" t="s">
        <v>21985</v>
      </c>
      <c r="E3289" s="189" t="s">
        <v>21986</v>
      </c>
      <c r="F3289" s="162" t="s">
        <v>21987</v>
      </c>
      <c r="G3289" s="162" t="s">
        <v>21988</v>
      </c>
      <c r="H3289" s="219"/>
      <c r="I3289" s="169">
        <v>112122</v>
      </c>
      <c r="J3289" s="304" t="str">
        <f>CONCATENATE([2]Cover!$D$6,"fdd/view?i=",I3289)</f>
        <v>https://www.dgiwg.org/FAD/fdd/view?i=112122</v>
      </c>
      <c r="K3289" s="304" t="s">
        <v>37338</v>
      </c>
      <c r="L3289" s="188">
        <v>540</v>
      </c>
      <c r="M3289" s="179" t="s">
        <v>151</v>
      </c>
    </row>
    <row r="3290" spans="1:13" ht="25.5">
      <c r="A3290" s="313" t="str">
        <f t="shared" si="51"/>
        <v>FeatureFunctionCode_powerGeneration</v>
      </c>
      <c r="B3290" s="330"/>
      <c r="C3290" s="334"/>
      <c r="D3290" s="188" t="s">
        <v>21989</v>
      </c>
      <c r="E3290" s="189" t="s">
        <v>21990</v>
      </c>
      <c r="F3290" s="162" t="s">
        <v>21991</v>
      </c>
      <c r="G3290" s="190"/>
      <c r="H3290" s="219"/>
      <c r="I3290" s="169">
        <v>112042</v>
      </c>
      <c r="J3290" s="304" t="str">
        <f>CONCATENATE([2]Cover!$D$6,"fdd/view?i=",I3290)</f>
        <v>https://www.dgiwg.org/FAD/fdd/view?i=112042</v>
      </c>
      <c r="K3290" s="304" t="s">
        <v>37339</v>
      </c>
      <c r="L3290" s="188">
        <v>351</v>
      </c>
      <c r="M3290" s="179" t="s">
        <v>151</v>
      </c>
    </row>
    <row r="3291" spans="1:13" ht="51">
      <c r="A3291" s="313" t="str">
        <f t="shared" si="51"/>
        <v>FeatureFunctionCode_preciousMetalMerchant</v>
      </c>
      <c r="B3291" s="330"/>
      <c r="C3291" s="334"/>
      <c r="D3291" s="188" t="s">
        <v>21992</v>
      </c>
      <c r="E3291" s="189" t="s">
        <v>21993</v>
      </c>
      <c r="F3291" s="162" t="s">
        <v>21994</v>
      </c>
      <c r="G3291" s="162" t="s">
        <v>21995</v>
      </c>
      <c r="H3291" s="219"/>
      <c r="I3291" s="169">
        <v>118551</v>
      </c>
      <c r="J3291" s="304" t="str">
        <f>CONCATENATE([2]Cover!$D$6,"fdd/view?i=",I3291)</f>
        <v>https://www.dgiwg.org/FAD/fdd/view?i=118551</v>
      </c>
      <c r="K3291" s="304" t="s">
        <v>37340</v>
      </c>
      <c r="L3291" s="188">
        <v>474</v>
      </c>
      <c r="M3291" s="179" t="s">
        <v>151</v>
      </c>
    </row>
    <row r="3292" spans="1:13" ht="102">
      <c r="A3292" s="313" t="str">
        <f t="shared" si="51"/>
        <v>FeatureFunctionCode_preparedMealManufac</v>
      </c>
      <c r="B3292" s="330"/>
      <c r="C3292" s="334"/>
      <c r="D3292" s="188" t="s">
        <v>21996</v>
      </c>
      <c r="E3292" s="189" t="s">
        <v>21997</v>
      </c>
      <c r="F3292" s="162" t="s">
        <v>21998</v>
      </c>
      <c r="G3292" s="162" t="s">
        <v>21999</v>
      </c>
      <c r="H3292" s="219"/>
      <c r="I3292" s="169">
        <v>111926</v>
      </c>
      <c r="J3292" s="304" t="str">
        <f>CONCATENATE([2]Cover!$D$6,"fdd/view?i=",I3292)</f>
        <v>https://www.dgiwg.org/FAD/fdd/view?i=111926</v>
      </c>
      <c r="K3292" s="304" t="s">
        <v>37341</v>
      </c>
      <c r="L3292" s="188">
        <v>116</v>
      </c>
      <c r="M3292" s="179" t="s">
        <v>151</v>
      </c>
    </row>
    <row r="3293" spans="1:13" ht="153">
      <c r="A3293" s="313" t="str">
        <f t="shared" si="51"/>
        <v>FeatureFunctionCode_primaryEducation</v>
      </c>
      <c r="B3293" s="330"/>
      <c r="C3293" s="334"/>
      <c r="D3293" s="188" t="s">
        <v>22000</v>
      </c>
      <c r="E3293" s="189" t="s">
        <v>22001</v>
      </c>
      <c r="F3293" s="162" t="s">
        <v>22002</v>
      </c>
      <c r="G3293" s="162" t="s">
        <v>22003</v>
      </c>
      <c r="H3293" s="219"/>
      <c r="I3293" s="169">
        <v>112286</v>
      </c>
      <c r="J3293" s="304" t="str">
        <f>CONCATENATE([2]Cover!$D$6,"fdd/view?i=",I3293)</f>
        <v>https://www.dgiwg.org/FAD/fdd/view?i=112286</v>
      </c>
      <c r="K3293" s="304" t="s">
        <v>37342</v>
      </c>
      <c r="L3293" s="188">
        <v>851</v>
      </c>
      <c r="M3293" s="179" t="s">
        <v>151</v>
      </c>
    </row>
    <row r="3294" spans="1:13" ht="63.75">
      <c r="A3294" s="313" t="str">
        <f t="shared" si="51"/>
        <v>FeatureFunctionCode_primaryMetalManufac</v>
      </c>
      <c r="B3294" s="330"/>
      <c r="C3294" s="334"/>
      <c r="D3294" s="188" t="s">
        <v>22004</v>
      </c>
      <c r="E3294" s="189" t="s">
        <v>22005</v>
      </c>
      <c r="F3294" s="162" t="s">
        <v>22006</v>
      </c>
      <c r="G3294" s="162" t="s">
        <v>22007</v>
      </c>
      <c r="H3294" s="219"/>
      <c r="I3294" s="169">
        <v>206573</v>
      </c>
      <c r="J3294" s="304" t="str">
        <f>CONCATENATE([2]Cover!$D$6,"fdd/view?i=",I3294)</f>
        <v>https://www.dgiwg.org/FAD/fdd/view?i=206573</v>
      </c>
      <c r="K3294" s="304" t="s">
        <v>37343</v>
      </c>
      <c r="L3294" s="188">
        <v>240</v>
      </c>
      <c r="M3294" s="179" t="s">
        <v>1295</v>
      </c>
    </row>
    <row r="3295" spans="1:13" ht="204">
      <c r="A3295" s="313" t="str">
        <f t="shared" si="51"/>
        <v>FeatureFunctionCode_printing</v>
      </c>
      <c r="B3295" s="330"/>
      <c r="C3295" s="334"/>
      <c r="D3295" s="188" t="s">
        <v>22012</v>
      </c>
      <c r="E3295" s="189" t="s">
        <v>22013</v>
      </c>
      <c r="F3295" s="162" t="s">
        <v>22014</v>
      </c>
      <c r="G3295" s="162" t="s">
        <v>22015</v>
      </c>
      <c r="H3295" s="219"/>
      <c r="I3295" s="169">
        <v>111954</v>
      </c>
      <c r="J3295" s="304" t="str">
        <f>CONCATENATE([2]Cover!$D$6,"fdd/view?i=",I3295)</f>
        <v>https://www.dgiwg.org/FAD/fdd/view?i=111954</v>
      </c>
      <c r="K3295" s="304" t="s">
        <v>37344</v>
      </c>
      <c r="L3295" s="188">
        <v>181</v>
      </c>
      <c r="M3295" s="179" t="s">
        <v>151</v>
      </c>
    </row>
    <row r="3296" spans="1:13" ht="51">
      <c r="A3296" s="313" t="str">
        <f t="shared" si="51"/>
        <v>FeatureFunctionCode_printPublishing</v>
      </c>
      <c r="B3296" s="330"/>
      <c r="C3296" s="334"/>
      <c r="D3296" s="188" t="s">
        <v>22008</v>
      </c>
      <c r="E3296" s="189" t="s">
        <v>22009</v>
      </c>
      <c r="F3296" s="162" t="s">
        <v>22010</v>
      </c>
      <c r="G3296" s="162" t="s">
        <v>22011</v>
      </c>
      <c r="H3296" s="219"/>
      <c r="I3296" s="169">
        <v>112154</v>
      </c>
      <c r="J3296" s="304" t="str">
        <f>CONCATENATE([2]Cover!$D$6,"fdd/view?i=",I3296)</f>
        <v>https://www.dgiwg.org/FAD/fdd/view?i=112154</v>
      </c>
      <c r="K3296" s="304" t="s">
        <v>37345</v>
      </c>
      <c r="L3296" s="188">
        <v>582</v>
      </c>
      <c r="M3296" s="179" t="s">
        <v>151</v>
      </c>
    </row>
    <row r="3297" spans="1:13" ht="38.25">
      <c r="A3297" s="313" t="str">
        <f t="shared" si="51"/>
        <v>FeatureFunctionCode_professionalScientificTech</v>
      </c>
      <c r="B3297" s="330"/>
      <c r="C3297" s="334"/>
      <c r="D3297" s="188" t="s">
        <v>22016</v>
      </c>
      <c r="E3297" s="189" t="s">
        <v>22017</v>
      </c>
      <c r="F3297" s="162" t="s">
        <v>22018</v>
      </c>
      <c r="G3297" s="162" t="s">
        <v>22019</v>
      </c>
      <c r="H3297" s="219"/>
      <c r="I3297" s="169">
        <v>206589</v>
      </c>
      <c r="J3297" s="304" t="str">
        <f>CONCATENATE([2]Cover!$D$6,"fdd/view?i=",I3297)</f>
        <v>https://www.dgiwg.org/FAD/fdd/view?i=206589</v>
      </c>
      <c r="K3297" s="304" t="s">
        <v>37346</v>
      </c>
      <c r="L3297" s="188">
        <v>681</v>
      </c>
      <c r="M3297" s="179" t="s">
        <v>1295</v>
      </c>
    </row>
    <row r="3298" spans="1:13" ht="76.5">
      <c r="A3298" s="313" t="str">
        <f t="shared" si="51"/>
        <v>FeatureFunctionCode_propaneSale</v>
      </c>
      <c r="B3298" s="330"/>
      <c r="C3298" s="334"/>
      <c r="D3298" s="188" t="s">
        <v>22020</v>
      </c>
      <c r="E3298" s="189" t="s">
        <v>22021</v>
      </c>
      <c r="F3298" s="162" t="s">
        <v>22022</v>
      </c>
      <c r="G3298" s="162" t="s">
        <v>22023</v>
      </c>
      <c r="H3298" s="219"/>
      <c r="I3298" s="169">
        <v>118549</v>
      </c>
      <c r="J3298" s="304" t="str">
        <f>CONCATENATE([2]Cover!$D$6,"fdd/view?i=",I3298)</f>
        <v>https://www.dgiwg.org/FAD/fdd/view?i=118549</v>
      </c>
      <c r="K3298" s="304" t="s">
        <v>37347</v>
      </c>
      <c r="L3298" s="188">
        <v>272</v>
      </c>
      <c r="M3298" s="179" t="s">
        <v>151</v>
      </c>
    </row>
    <row r="3299" spans="1:13" ht="25.5">
      <c r="A3299" s="313" t="str">
        <f t="shared" si="51"/>
        <v>FeatureFunctionCode_psychiatricInPatientCare</v>
      </c>
      <c r="B3299" s="330"/>
      <c r="C3299" s="334"/>
      <c r="D3299" s="188" t="s">
        <v>22024</v>
      </c>
      <c r="E3299" s="189" t="s">
        <v>22025</v>
      </c>
      <c r="F3299" s="162" t="s">
        <v>22026</v>
      </c>
      <c r="G3299" s="162" t="s">
        <v>22027</v>
      </c>
      <c r="H3299" s="219"/>
      <c r="I3299" s="169">
        <v>112304</v>
      </c>
      <c r="J3299" s="304" t="str">
        <f>CONCATENATE([2]Cover!$D$6,"fdd/view?i=",I3299)</f>
        <v>https://www.dgiwg.org/FAD/fdd/view?i=112304</v>
      </c>
      <c r="K3299" s="304" t="s">
        <v>37348</v>
      </c>
      <c r="L3299" s="188">
        <v>873</v>
      </c>
      <c r="M3299" s="179" t="s">
        <v>151</v>
      </c>
    </row>
    <row r="3300" spans="1:13" ht="38.25">
      <c r="A3300" s="313" t="str">
        <f t="shared" si="51"/>
        <v>FeatureFunctionCode_publicAdministration</v>
      </c>
      <c r="B3300" s="330"/>
      <c r="C3300" s="334"/>
      <c r="D3300" s="188" t="s">
        <v>22028</v>
      </c>
      <c r="E3300" s="189" t="s">
        <v>22029</v>
      </c>
      <c r="F3300" s="162" t="s">
        <v>22030</v>
      </c>
      <c r="G3300" s="190"/>
      <c r="H3300" s="219"/>
      <c r="I3300" s="169">
        <v>206591</v>
      </c>
      <c r="J3300" s="304" t="str">
        <f>CONCATENATE([2]Cover!$D$6,"fdd/view?i=",I3300)</f>
        <v>https://www.dgiwg.org/FAD/fdd/view?i=206591</v>
      </c>
      <c r="K3300" s="304" t="s">
        <v>37349</v>
      </c>
      <c r="L3300" s="188">
        <v>808</v>
      </c>
      <c r="M3300" s="179" t="s">
        <v>1295</v>
      </c>
    </row>
    <row r="3301" spans="1:13" ht="89.25">
      <c r="A3301" s="313" t="str">
        <f t="shared" si="51"/>
        <v>FeatureFunctionCode_publicHealthActivities</v>
      </c>
      <c r="B3301" s="330"/>
      <c r="C3301" s="334"/>
      <c r="D3301" s="188" t="s">
        <v>22031</v>
      </c>
      <c r="E3301" s="189" t="s">
        <v>22032</v>
      </c>
      <c r="F3301" s="162" t="s">
        <v>22033</v>
      </c>
      <c r="G3301" s="162" t="s">
        <v>22034</v>
      </c>
      <c r="H3301" s="219"/>
      <c r="I3301" s="169">
        <v>118566</v>
      </c>
      <c r="J3301" s="304" t="str">
        <f>CONCATENATE([2]Cover!$D$6,"fdd/view?i=",I3301)</f>
        <v>https://www.dgiwg.org/FAD/fdd/view?i=118566</v>
      </c>
      <c r="K3301" s="304" t="s">
        <v>37350</v>
      </c>
      <c r="L3301" s="188">
        <v>865</v>
      </c>
      <c r="M3301" s="179" t="s">
        <v>151</v>
      </c>
    </row>
    <row r="3302" spans="1:13" ht="63.75">
      <c r="A3302" s="313" t="str">
        <f t="shared" si="51"/>
        <v>FeatureFunctionCode_publicOrder</v>
      </c>
      <c r="B3302" s="330"/>
      <c r="C3302" s="334"/>
      <c r="D3302" s="188" t="s">
        <v>22035</v>
      </c>
      <c r="E3302" s="189" t="s">
        <v>22036</v>
      </c>
      <c r="F3302" s="162" t="s">
        <v>22037</v>
      </c>
      <c r="G3302" s="190"/>
      <c r="H3302" s="219"/>
      <c r="I3302" s="169">
        <v>206593</v>
      </c>
      <c r="J3302" s="304" t="str">
        <f>CONCATENATE([2]Cover!$D$6,"fdd/view?i=",I3302)</f>
        <v>https://www.dgiwg.org/FAD/fdd/view?i=206593</v>
      </c>
      <c r="K3302" s="304" t="s">
        <v>37351</v>
      </c>
      <c r="L3302" s="188">
        <v>831</v>
      </c>
      <c r="M3302" s="179" t="s">
        <v>1295</v>
      </c>
    </row>
    <row r="3303" spans="1:13" ht="25.5">
      <c r="A3303" s="313" t="str">
        <f t="shared" si="51"/>
        <v>FeatureFunctionCode_publicOrderSafetySecurity</v>
      </c>
      <c r="B3303" s="330"/>
      <c r="C3303" s="334"/>
      <c r="D3303" s="188" t="s">
        <v>22038</v>
      </c>
      <c r="E3303" s="189" t="s">
        <v>22039</v>
      </c>
      <c r="F3303" s="162" t="s">
        <v>22040</v>
      </c>
      <c r="G3303" s="190"/>
      <c r="H3303" s="219"/>
      <c r="I3303" s="169">
        <v>206592</v>
      </c>
      <c r="J3303" s="304" t="str">
        <f>CONCATENATE([2]Cover!$D$6,"fdd/view?i=",I3303)</f>
        <v>https://www.dgiwg.org/FAD/fdd/view?i=206592</v>
      </c>
      <c r="K3303" s="304" t="s">
        <v>37352</v>
      </c>
      <c r="L3303" s="188">
        <v>830</v>
      </c>
      <c r="M3303" s="179" t="s">
        <v>1295</v>
      </c>
    </row>
    <row r="3304" spans="1:13" ht="102">
      <c r="A3304" s="313" t="str">
        <f t="shared" si="51"/>
        <v>FeatureFunctionCode_publicRecords</v>
      </c>
      <c r="B3304" s="330"/>
      <c r="C3304" s="334"/>
      <c r="D3304" s="188" t="s">
        <v>22041</v>
      </c>
      <c r="E3304" s="189" t="s">
        <v>22042</v>
      </c>
      <c r="F3304" s="162" t="s">
        <v>22043</v>
      </c>
      <c r="G3304" s="162" t="s">
        <v>22044</v>
      </c>
      <c r="H3304" s="221" t="s">
        <v>22045</v>
      </c>
      <c r="I3304" s="169">
        <v>117907</v>
      </c>
      <c r="J3304" s="304" t="str">
        <f>CONCATENATE([2]Cover!$D$6,"fdd/view?i=",I3304)</f>
        <v>https://www.dgiwg.org/FAD/fdd/view?i=117907</v>
      </c>
      <c r="K3304" s="304" t="s">
        <v>37353</v>
      </c>
      <c r="L3304" s="188">
        <v>633</v>
      </c>
      <c r="M3304" s="179" t="s">
        <v>151</v>
      </c>
    </row>
    <row r="3305" spans="1:13" ht="114.75">
      <c r="A3305" s="313" t="str">
        <f t="shared" si="51"/>
        <v>FeatureFunctionCode_publishingBroadcasting</v>
      </c>
      <c r="B3305" s="330"/>
      <c r="C3305" s="334"/>
      <c r="D3305" s="188" t="s">
        <v>22046</v>
      </c>
      <c r="E3305" s="189" t="s">
        <v>22047</v>
      </c>
      <c r="F3305" s="162" t="s">
        <v>22048</v>
      </c>
      <c r="G3305" s="162" t="s">
        <v>22049</v>
      </c>
      <c r="H3305" s="219"/>
      <c r="I3305" s="169">
        <v>206587</v>
      </c>
      <c r="J3305" s="304" t="str">
        <f>CONCATENATE([2]Cover!$D$6,"fdd/view?i=",I3305)</f>
        <v>https://www.dgiwg.org/FAD/fdd/view?i=206587</v>
      </c>
      <c r="K3305" s="304" t="s">
        <v>37354</v>
      </c>
      <c r="L3305" s="188">
        <v>580</v>
      </c>
      <c r="M3305" s="179" t="s">
        <v>1295</v>
      </c>
    </row>
    <row r="3306" spans="1:13">
      <c r="A3306" s="313" t="str">
        <f t="shared" si="51"/>
        <v>FeatureFunctionCode_pumping</v>
      </c>
      <c r="B3306" s="330"/>
      <c r="C3306" s="334"/>
      <c r="D3306" s="188" t="s">
        <v>22050</v>
      </c>
      <c r="E3306" s="189" t="s">
        <v>22051</v>
      </c>
      <c r="F3306" s="162" t="s">
        <v>22052</v>
      </c>
      <c r="G3306" s="190"/>
      <c r="H3306" s="219"/>
      <c r="I3306" s="169">
        <v>112092</v>
      </c>
      <c r="J3306" s="304" t="str">
        <f>CONCATENATE([2]Cover!$D$6,"fdd/view?i=",I3306)</f>
        <v>https://www.dgiwg.org/FAD/fdd/view?i=112092</v>
      </c>
      <c r="K3306" s="304" t="s">
        <v>37355</v>
      </c>
      <c r="L3306" s="188">
        <v>501</v>
      </c>
      <c r="M3306" s="179" t="s">
        <v>151</v>
      </c>
    </row>
    <row r="3307" spans="1:13" ht="63.75">
      <c r="A3307" s="313" t="str">
        <f t="shared" si="51"/>
        <v>FeatureFunctionCode_radioBroadcasting</v>
      </c>
      <c r="B3307" s="330"/>
      <c r="C3307" s="334"/>
      <c r="D3307" s="188" t="s">
        <v>22053</v>
      </c>
      <c r="E3307" s="189" t="s">
        <v>22054</v>
      </c>
      <c r="F3307" s="162" t="s">
        <v>22055</v>
      </c>
      <c r="G3307" s="162" t="s">
        <v>22056</v>
      </c>
      <c r="H3307" s="219"/>
      <c r="I3307" s="169">
        <v>112158</v>
      </c>
      <c r="J3307" s="304" t="str">
        <f>CONCATENATE([2]Cover!$D$6,"fdd/view?i=",I3307)</f>
        <v>https://www.dgiwg.org/FAD/fdd/view?i=112158</v>
      </c>
      <c r="K3307" s="304" t="s">
        <v>37356</v>
      </c>
      <c r="L3307" s="188">
        <v>601</v>
      </c>
      <c r="M3307" s="179" t="s">
        <v>151</v>
      </c>
    </row>
    <row r="3308" spans="1:13" ht="38.25">
      <c r="A3308" s="313" t="str">
        <f t="shared" si="51"/>
        <v>FeatureFunctionCode_railwayPassengerTransport</v>
      </c>
      <c r="B3308" s="330"/>
      <c r="C3308" s="334"/>
      <c r="D3308" s="188" t="s">
        <v>22057</v>
      </c>
      <c r="E3308" s="189" t="s">
        <v>22058</v>
      </c>
      <c r="F3308" s="162" t="s">
        <v>22059</v>
      </c>
      <c r="G3308" s="162" t="s">
        <v>22060</v>
      </c>
      <c r="H3308" s="219"/>
      <c r="I3308" s="169">
        <v>118552</v>
      </c>
      <c r="J3308" s="304" t="str">
        <f>CONCATENATE([2]Cover!$D$6,"fdd/view?i=",I3308)</f>
        <v>https://www.dgiwg.org/FAD/fdd/view?i=118552</v>
      </c>
      <c r="K3308" s="304" t="s">
        <v>37357</v>
      </c>
      <c r="L3308" s="188">
        <v>491</v>
      </c>
      <c r="M3308" s="179" t="s">
        <v>151</v>
      </c>
    </row>
    <row r="3309" spans="1:13" ht="38.25">
      <c r="A3309" s="313" t="str">
        <f t="shared" si="51"/>
        <v>FeatureFunctionCode_railwayTransport</v>
      </c>
      <c r="B3309" s="330"/>
      <c r="C3309" s="334"/>
      <c r="D3309" s="188" t="s">
        <v>22061</v>
      </c>
      <c r="E3309" s="189" t="s">
        <v>22062</v>
      </c>
      <c r="F3309" s="162" t="s">
        <v>22063</v>
      </c>
      <c r="G3309" s="162" t="s">
        <v>22060</v>
      </c>
      <c r="H3309" s="219"/>
      <c r="I3309" s="169">
        <v>112080</v>
      </c>
      <c r="J3309" s="304" t="str">
        <f>CONCATENATE([2]Cover!$D$6,"fdd/view?i=",I3309)</f>
        <v>https://www.dgiwg.org/FAD/fdd/view?i=112080</v>
      </c>
      <c r="K3309" s="304" t="s">
        <v>37358</v>
      </c>
      <c r="L3309" s="188">
        <v>490</v>
      </c>
      <c r="M3309" s="179" t="s">
        <v>151</v>
      </c>
    </row>
    <row r="3310" spans="1:13" ht="267.75">
      <c r="A3310" s="313" t="str">
        <f t="shared" si="51"/>
        <v>FeatureFunctionCode_railwayVehicleManufac</v>
      </c>
      <c r="B3310" s="330"/>
      <c r="C3310" s="334"/>
      <c r="D3310" s="188" t="s">
        <v>22064</v>
      </c>
      <c r="E3310" s="189" t="s">
        <v>22065</v>
      </c>
      <c r="F3310" s="162" t="s">
        <v>22066</v>
      </c>
      <c r="G3310" s="162" t="s">
        <v>22067</v>
      </c>
      <c r="H3310" s="219"/>
      <c r="I3310" s="169">
        <v>112004</v>
      </c>
      <c r="J3310" s="304" t="str">
        <f>CONCATENATE([2]Cover!$D$6,"fdd/view?i=",I3310)</f>
        <v>https://www.dgiwg.org/FAD/fdd/view?i=112004</v>
      </c>
      <c r="K3310" s="304" t="s">
        <v>37359</v>
      </c>
      <c r="L3310" s="188">
        <v>304</v>
      </c>
      <c r="M3310" s="179" t="s">
        <v>151</v>
      </c>
    </row>
    <row r="3311" spans="1:13" ht="25.5">
      <c r="A3311" s="313" t="str">
        <f t="shared" si="51"/>
        <v>FeatureFunctionCode_railwayVehicleRepair</v>
      </c>
      <c r="B3311" s="330"/>
      <c r="C3311" s="334"/>
      <c r="D3311" s="188" t="s">
        <v>22068</v>
      </c>
      <c r="E3311" s="189" t="s">
        <v>22069</v>
      </c>
      <c r="F3311" s="162" t="s">
        <v>22070</v>
      </c>
      <c r="G3311" s="190"/>
      <c r="H3311" s="219"/>
      <c r="I3311" s="169">
        <v>112036</v>
      </c>
      <c r="J3311" s="304" t="str">
        <f>CONCATENATE([2]Cover!$D$6,"fdd/view?i=",I3311)</f>
        <v>https://www.dgiwg.org/FAD/fdd/view?i=112036</v>
      </c>
      <c r="K3311" s="304" t="s">
        <v>37360</v>
      </c>
      <c r="L3311" s="188">
        <v>342</v>
      </c>
      <c r="M3311" s="179" t="s">
        <v>151</v>
      </c>
    </row>
    <row r="3312" spans="1:13" ht="25.5">
      <c r="A3312" s="313" t="str">
        <f t="shared" si="51"/>
        <v>FeatureFunctionCode_raisingOfAnimals</v>
      </c>
      <c r="B3312" s="330"/>
      <c r="C3312" s="334"/>
      <c r="D3312" s="188" t="s">
        <v>22071</v>
      </c>
      <c r="E3312" s="189" t="s">
        <v>22072</v>
      </c>
      <c r="F3312" s="162" t="s">
        <v>22073</v>
      </c>
      <c r="G3312" s="190"/>
      <c r="H3312" s="219"/>
      <c r="I3312" s="169">
        <v>111836</v>
      </c>
      <c r="J3312" s="304" t="str">
        <f>CONCATENATE([2]Cover!$D$6,"fdd/view?i=",I3312)</f>
        <v>https://www.dgiwg.org/FAD/fdd/view?i=111836</v>
      </c>
      <c r="K3312" s="304" t="s">
        <v>37361</v>
      </c>
      <c r="L3312" s="188">
        <v>9</v>
      </c>
      <c r="M3312" s="179" t="s">
        <v>151</v>
      </c>
    </row>
    <row r="3313" spans="1:13" ht="51">
      <c r="A3313" s="313" t="str">
        <f t="shared" si="51"/>
        <v>FeatureFunctionCode_realEstateActivities</v>
      </c>
      <c r="B3313" s="330"/>
      <c r="C3313" s="334"/>
      <c r="D3313" s="188" t="s">
        <v>22074</v>
      </c>
      <c r="E3313" s="189" t="s">
        <v>22075</v>
      </c>
      <c r="F3313" s="162" t="s">
        <v>22076</v>
      </c>
      <c r="G3313" s="162" t="s">
        <v>22077</v>
      </c>
      <c r="H3313" s="219"/>
      <c r="I3313" s="169">
        <v>112194</v>
      </c>
      <c r="J3313" s="304" t="str">
        <f>CONCATENATE([2]Cover!$D$6,"fdd/view?i=",I3313)</f>
        <v>https://www.dgiwg.org/FAD/fdd/view?i=112194</v>
      </c>
      <c r="K3313" s="304" t="s">
        <v>37362</v>
      </c>
      <c r="L3313" s="188">
        <v>680</v>
      </c>
      <c r="M3313" s="179" t="s">
        <v>151</v>
      </c>
    </row>
    <row r="3314" spans="1:13" ht="63.75">
      <c r="A3314" s="313" t="str">
        <f t="shared" si="51"/>
        <v>FeatureFunctionCode_recreation</v>
      </c>
      <c r="B3314" s="330"/>
      <c r="C3314" s="334"/>
      <c r="D3314" s="188" t="s">
        <v>22078</v>
      </c>
      <c r="E3314" s="189" t="s">
        <v>22079</v>
      </c>
      <c r="F3314" s="162" t="s">
        <v>22080</v>
      </c>
      <c r="G3314" s="162" t="s">
        <v>22081</v>
      </c>
      <c r="H3314" s="219"/>
      <c r="I3314" s="169">
        <v>112340</v>
      </c>
      <c r="J3314" s="304" t="str">
        <f>CONCATENATE([2]Cover!$D$6,"fdd/view?i=",I3314)</f>
        <v>https://www.dgiwg.org/FAD/fdd/view?i=112340</v>
      </c>
      <c r="K3314" s="304" t="s">
        <v>37363</v>
      </c>
      <c r="L3314" s="188">
        <v>921</v>
      </c>
      <c r="M3314" s="179" t="s">
        <v>151</v>
      </c>
    </row>
    <row r="3315" spans="1:13" ht="114.75">
      <c r="A3315" s="313" t="str">
        <f t="shared" si="51"/>
        <v>FeatureFunctionCode_refractoryProdManufac</v>
      </c>
      <c r="B3315" s="330"/>
      <c r="C3315" s="334"/>
      <c r="D3315" s="188" t="s">
        <v>22082</v>
      </c>
      <c r="E3315" s="189" t="s">
        <v>22083</v>
      </c>
      <c r="F3315" s="162" t="s">
        <v>22084</v>
      </c>
      <c r="G3315" s="162" t="s">
        <v>22085</v>
      </c>
      <c r="H3315" s="219"/>
      <c r="I3315" s="169">
        <v>111970</v>
      </c>
      <c r="J3315" s="304" t="str">
        <f>CONCATENATE([2]Cover!$D$6,"fdd/view?i=",I3315)</f>
        <v>https://www.dgiwg.org/FAD/fdd/view?i=111970</v>
      </c>
      <c r="K3315" s="304" t="s">
        <v>37364</v>
      </c>
      <c r="L3315" s="188">
        <v>232</v>
      </c>
      <c r="M3315" s="179" t="s">
        <v>151</v>
      </c>
    </row>
    <row r="3316" spans="1:13" ht="140.25">
      <c r="A3316" s="313" t="str">
        <f t="shared" si="51"/>
        <v>FeatureFunctionCode_refugeeShelter</v>
      </c>
      <c r="B3316" s="330"/>
      <c r="C3316" s="334"/>
      <c r="D3316" s="188" t="s">
        <v>22086</v>
      </c>
      <c r="E3316" s="189" t="s">
        <v>22087</v>
      </c>
      <c r="F3316" s="162" t="s">
        <v>22088</v>
      </c>
      <c r="G3316" s="162" t="s">
        <v>22089</v>
      </c>
      <c r="H3316" s="219"/>
      <c r="I3316" s="169">
        <v>112312</v>
      </c>
      <c r="J3316" s="304" t="str">
        <f>CONCATENATE([2]Cover!$D$6,"fdd/view?i=",I3316)</f>
        <v>https://www.dgiwg.org/FAD/fdd/view?i=112312</v>
      </c>
      <c r="K3316" s="304" t="s">
        <v>37365</v>
      </c>
      <c r="L3316" s="188">
        <v>883</v>
      </c>
      <c r="M3316" s="179" t="s">
        <v>151</v>
      </c>
    </row>
    <row r="3317" spans="1:13" ht="51">
      <c r="A3317" s="313" t="str">
        <f t="shared" si="51"/>
        <v>FeatureFunctionCode_religiousActivities</v>
      </c>
      <c r="B3317" s="330"/>
      <c r="C3317" s="334"/>
      <c r="D3317" s="188" t="s">
        <v>22090</v>
      </c>
      <c r="E3317" s="189" t="s">
        <v>22091</v>
      </c>
      <c r="F3317" s="162" t="s">
        <v>22092</v>
      </c>
      <c r="G3317" s="162" t="s">
        <v>22093</v>
      </c>
      <c r="H3317" s="219"/>
      <c r="I3317" s="169">
        <v>112344</v>
      </c>
      <c r="J3317" s="304" t="str">
        <f>CONCATENATE([2]Cover!$D$6,"fdd/view?i=",I3317)</f>
        <v>https://www.dgiwg.org/FAD/fdd/view?i=112344</v>
      </c>
      <c r="K3317" s="304" t="s">
        <v>37366</v>
      </c>
      <c r="L3317" s="188">
        <v>930</v>
      </c>
      <c r="M3317" s="179" t="s">
        <v>151</v>
      </c>
    </row>
    <row r="3318" spans="1:13" ht="38.25">
      <c r="A3318" s="313" t="str">
        <f t="shared" si="51"/>
        <v>FeatureFunctionCode_rescueParamedical</v>
      </c>
      <c r="B3318" s="330"/>
      <c r="C3318" s="334"/>
      <c r="D3318" s="188" t="s">
        <v>22094</v>
      </c>
      <c r="E3318" s="189" t="s">
        <v>22095</v>
      </c>
      <c r="F3318" s="162" t="s">
        <v>22096</v>
      </c>
      <c r="G3318" s="190"/>
      <c r="H3318" s="219"/>
      <c r="I3318" s="169">
        <v>112282</v>
      </c>
      <c r="J3318" s="304" t="str">
        <f>CONCATENATE([2]Cover!$D$6,"fdd/view?i=",I3318)</f>
        <v>https://www.dgiwg.org/FAD/fdd/view?i=112282</v>
      </c>
      <c r="K3318" s="304" t="s">
        <v>37367</v>
      </c>
      <c r="L3318" s="188">
        <v>846</v>
      </c>
      <c r="M3318" s="179" t="s">
        <v>151</v>
      </c>
    </row>
    <row r="3319" spans="1:13" ht="76.5">
      <c r="A3319" s="313" t="str">
        <f t="shared" si="51"/>
        <v>FeatureFunctionCode_residence</v>
      </c>
      <c r="B3319" s="330"/>
      <c r="C3319" s="334"/>
      <c r="D3319" s="188" t="s">
        <v>22097</v>
      </c>
      <c r="E3319" s="189" t="s">
        <v>22098</v>
      </c>
      <c r="F3319" s="162" t="s">
        <v>22099</v>
      </c>
      <c r="G3319" s="162" t="s">
        <v>22100</v>
      </c>
      <c r="H3319" s="219"/>
      <c r="I3319" s="169">
        <v>112150</v>
      </c>
      <c r="J3319" s="304" t="str">
        <f>CONCATENATE([2]Cover!$D$6,"fdd/view?i=",I3319)</f>
        <v>https://www.dgiwg.org/FAD/fdd/view?i=112150</v>
      </c>
      <c r="K3319" s="304" t="s">
        <v>37368</v>
      </c>
      <c r="L3319" s="188">
        <v>563</v>
      </c>
      <c r="M3319" s="179" t="s">
        <v>151</v>
      </c>
    </row>
    <row r="3320" spans="1:13" ht="76.5">
      <c r="A3320" s="313" t="str">
        <f t="shared" si="51"/>
        <v>FeatureFunctionCode_residentialCare</v>
      </c>
      <c r="B3320" s="330"/>
      <c r="C3320" s="334"/>
      <c r="D3320" s="188" t="s">
        <v>22101</v>
      </c>
      <c r="E3320" s="189" t="s">
        <v>22102</v>
      </c>
      <c r="F3320" s="162" t="s">
        <v>22103</v>
      </c>
      <c r="G3320" s="162" t="s">
        <v>22104</v>
      </c>
      <c r="H3320" s="219"/>
      <c r="I3320" s="169">
        <v>112306</v>
      </c>
      <c r="J3320" s="304" t="str">
        <f>CONCATENATE([2]Cover!$D$6,"fdd/view?i=",I3320)</f>
        <v>https://www.dgiwg.org/FAD/fdd/view?i=112306</v>
      </c>
      <c r="K3320" s="304" t="s">
        <v>37369</v>
      </c>
      <c r="L3320" s="188">
        <v>875</v>
      </c>
      <c r="M3320" s="179" t="s">
        <v>151</v>
      </c>
    </row>
    <row r="3321" spans="1:13" ht="38.25">
      <c r="A3321" s="313" t="str">
        <f t="shared" si="51"/>
        <v>FeatureFunctionCode_resort</v>
      </c>
      <c r="B3321" s="330"/>
      <c r="C3321" s="334"/>
      <c r="D3321" s="188" t="s">
        <v>22105</v>
      </c>
      <c r="E3321" s="189" t="s">
        <v>22106</v>
      </c>
      <c r="F3321" s="162" t="s">
        <v>22107</v>
      </c>
      <c r="G3321" s="190"/>
      <c r="H3321" s="219"/>
      <c r="J3321" s="304" t="str">
        <f>CONCATENATE([2]Cover!$D$6,"fdd/view?i=",I3321)</f>
        <v>https://www.dgiwg.org/FAD/fdd/view?i=</v>
      </c>
      <c r="K3321" s="304" t="s">
        <v>37370</v>
      </c>
      <c r="L3321" s="188">
        <v>552</v>
      </c>
      <c r="M3321" s="179" t="s">
        <v>151</v>
      </c>
    </row>
    <row r="3322" spans="1:13" ht="63.75">
      <c r="A3322" s="313" t="str">
        <f t="shared" si="51"/>
        <v>FeatureFunctionCode_restaurant</v>
      </c>
      <c r="B3322" s="330"/>
      <c r="C3322" s="334"/>
      <c r="D3322" s="188" t="s">
        <v>17476</v>
      </c>
      <c r="E3322" s="189" t="s">
        <v>17477</v>
      </c>
      <c r="F3322" s="162" t="s">
        <v>22108</v>
      </c>
      <c r="G3322" s="162" t="s">
        <v>22109</v>
      </c>
      <c r="H3322" s="219"/>
      <c r="I3322" s="169">
        <v>112152</v>
      </c>
      <c r="J3322" s="304" t="str">
        <f>CONCATENATE([2]Cover!$D$6,"fdd/view?i=",I3322)</f>
        <v>https://www.dgiwg.org/FAD/fdd/view?i=112152</v>
      </c>
      <c r="K3322" s="304" t="s">
        <v>37371</v>
      </c>
      <c r="L3322" s="188">
        <v>572</v>
      </c>
      <c r="M3322" s="179" t="s">
        <v>151</v>
      </c>
    </row>
    <row r="3323" spans="1:13" ht="63.75">
      <c r="A3323" s="313" t="str">
        <f t="shared" si="51"/>
        <v>FeatureFunctionCode_restroom</v>
      </c>
      <c r="B3323" s="330"/>
      <c r="C3323" s="334"/>
      <c r="D3323" s="188" t="s">
        <v>22110</v>
      </c>
      <c r="E3323" s="189" t="s">
        <v>22111</v>
      </c>
      <c r="F3323" s="162" t="s">
        <v>22112</v>
      </c>
      <c r="G3323" s="162" t="s">
        <v>22113</v>
      </c>
      <c r="H3323" s="219"/>
      <c r="I3323" s="169">
        <v>112048</v>
      </c>
      <c r="J3323" s="304" t="str">
        <f>CONCATENATE([2]Cover!$D$6,"fdd/view?i=",I3323)</f>
        <v>https://www.dgiwg.org/FAD/fdd/view?i=112048</v>
      </c>
      <c r="K3323" s="304" t="s">
        <v>37372</v>
      </c>
      <c r="L3323" s="188">
        <v>382</v>
      </c>
      <c r="M3323" s="179" t="s">
        <v>151</v>
      </c>
    </row>
    <row r="3324" spans="1:13" ht="25.5">
      <c r="A3324" s="313" t="str">
        <f t="shared" si="51"/>
        <v>FeatureFunctionCode_retailBanking</v>
      </c>
      <c r="B3324" s="330"/>
      <c r="C3324" s="334"/>
      <c r="D3324" s="188" t="s">
        <v>22114</v>
      </c>
      <c r="E3324" s="189" t="s">
        <v>22115</v>
      </c>
      <c r="F3324" s="162" t="s">
        <v>22116</v>
      </c>
      <c r="G3324" s="190"/>
      <c r="H3324" s="219"/>
      <c r="I3324" s="169">
        <v>112184</v>
      </c>
      <c r="J3324" s="304" t="str">
        <f>CONCATENATE([2]Cover!$D$6,"fdd/view?i=",I3324)</f>
        <v>https://www.dgiwg.org/FAD/fdd/view?i=112184</v>
      </c>
      <c r="K3324" s="304" t="s">
        <v>37373</v>
      </c>
      <c r="L3324" s="188">
        <v>643</v>
      </c>
      <c r="M3324" s="179" t="s">
        <v>151</v>
      </c>
    </row>
    <row r="3325" spans="1:13" ht="38.25">
      <c r="A3325" s="313" t="str">
        <f t="shared" si="51"/>
        <v>FeatureFunctionCode_retailSale</v>
      </c>
      <c r="B3325" s="330"/>
      <c r="C3325" s="334"/>
      <c r="D3325" s="188" t="s">
        <v>22117</v>
      </c>
      <c r="E3325" s="189" t="s">
        <v>22118</v>
      </c>
      <c r="F3325" s="162" t="s">
        <v>22119</v>
      </c>
      <c r="G3325" s="190"/>
      <c r="H3325" s="219"/>
      <c r="I3325" s="169">
        <v>206579</v>
      </c>
      <c r="J3325" s="304" t="str">
        <f>CONCATENATE([2]Cover!$D$6,"fdd/view?i=",I3325)</f>
        <v>https://www.dgiwg.org/FAD/fdd/view?i=206579</v>
      </c>
      <c r="K3325" s="304" t="s">
        <v>37374</v>
      </c>
      <c r="L3325" s="188">
        <v>460</v>
      </c>
      <c r="M3325" s="179" t="s">
        <v>1295</v>
      </c>
    </row>
    <row r="3326" spans="1:13" ht="25.5">
      <c r="A3326" s="313" t="str">
        <f t="shared" si="51"/>
        <v>FeatureFunctionCode_retailTelecom</v>
      </c>
      <c r="B3326" s="330"/>
      <c r="C3326" s="334"/>
      <c r="D3326" s="188" t="s">
        <v>22120</v>
      </c>
      <c r="E3326" s="189" t="s">
        <v>22121</v>
      </c>
      <c r="F3326" s="162" t="s">
        <v>22122</v>
      </c>
      <c r="G3326" s="162" t="s">
        <v>22123</v>
      </c>
      <c r="H3326" s="219"/>
      <c r="I3326" s="169">
        <v>112164</v>
      </c>
      <c r="J3326" s="304" t="str">
        <f>CONCATENATE([2]Cover!$D$6,"fdd/view?i=",I3326)</f>
        <v>https://www.dgiwg.org/FAD/fdd/view?i=112164</v>
      </c>
      <c r="K3326" s="304" t="s">
        <v>37375</v>
      </c>
      <c r="L3326" s="188">
        <v>612</v>
      </c>
      <c r="M3326" s="179" t="s">
        <v>151</v>
      </c>
    </row>
    <row r="3327" spans="1:13" ht="25.5">
      <c r="A3327" s="313" t="str">
        <f t="shared" si="51"/>
        <v>FeatureFunctionCode_roadFreightTransport</v>
      </c>
      <c r="B3327" s="330"/>
      <c r="C3327" s="334"/>
      <c r="D3327" s="188" t="s">
        <v>22124</v>
      </c>
      <c r="E3327" s="189" t="s">
        <v>22125</v>
      </c>
      <c r="F3327" s="162" t="s">
        <v>22126</v>
      </c>
      <c r="G3327" s="190"/>
      <c r="H3327" s="219"/>
      <c r="I3327" s="169">
        <v>112088</v>
      </c>
      <c r="J3327" s="304" t="str">
        <f>CONCATENATE([2]Cover!$D$6,"fdd/view?i=",I3327)</f>
        <v>https://www.dgiwg.org/FAD/fdd/view?i=112088</v>
      </c>
      <c r="K3327" s="304" t="s">
        <v>37376</v>
      </c>
      <c r="L3327" s="188">
        <v>497</v>
      </c>
      <c r="M3327" s="179" t="s">
        <v>151</v>
      </c>
    </row>
    <row r="3328" spans="1:13" ht="25.5">
      <c r="A3328" s="313" t="str">
        <f t="shared" si="51"/>
        <v>FeatureFunctionCode_roadPassengerTransport</v>
      </c>
      <c r="B3328" s="330"/>
      <c r="C3328" s="334"/>
      <c r="D3328" s="188" t="s">
        <v>22127</v>
      </c>
      <c r="E3328" s="189" t="s">
        <v>22128</v>
      </c>
      <c r="F3328" s="162" t="s">
        <v>22129</v>
      </c>
      <c r="G3328" s="190"/>
      <c r="H3328" s="219"/>
      <c r="I3328" s="169">
        <v>112086</v>
      </c>
      <c r="J3328" s="304" t="str">
        <f>CONCATENATE([2]Cover!$D$6,"fdd/view?i=",I3328)</f>
        <v>https://www.dgiwg.org/FAD/fdd/view?i=112086</v>
      </c>
      <c r="K3328" s="304" t="s">
        <v>37377</v>
      </c>
      <c r="L3328" s="188">
        <v>496</v>
      </c>
      <c r="M3328" s="179" t="s">
        <v>151</v>
      </c>
    </row>
    <row r="3329" spans="1:13" ht="76.5">
      <c r="A3329" s="313" t="str">
        <f t="shared" si="51"/>
        <v>FeatureFunctionCode_roadTransport</v>
      </c>
      <c r="B3329" s="330"/>
      <c r="C3329" s="334"/>
      <c r="D3329" s="188" t="s">
        <v>22130</v>
      </c>
      <c r="E3329" s="189" t="s">
        <v>22131</v>
      </c>
      <c r="F3329" s="162" t="s">
        <v>22132</v>
      </c>
      <c r="G3329" s="162" t="s">
        <v>22133</v>
      </c>
      <c r="H3329" s="219"/>
      <c r="I3329" s="169">
        <v>112084</v>
      </c>
      <c r="J3329" s="304" t="str">
        <f>CONCATENATE([2]Cover!$D$6,"fdd/view?i=",I3329)</f>
        <v>https://www.dgiwg.org/FAD/fdd/view?i=112084</v>
      </c>
      <c r="K3329" s="304" t="s">
        <v>37378</v>
      </c>
      <c r="L3329" s="188">
        <v>495</v>
      </c>
      <c r="M3329" s="179" t="s">
        <v>151</v>
      </c>
    </row>
    <row r="3330" spans="1:13" ht="242.25">
      <c r="A3330" s="313" t="str">
        <f t="shared" si="51"/>
        <v>FeatureFunctionCode_rubberProdManufac</v>
      </c>
      <c r="B3330" s="330"/>
      <c r="C3330" s="334"/>
      <c r="D3330" s="188" t="s">
        <v>22134</v>
      </c>
      <c r="E3330" s="189" t="s">
        <v>22135</v>
      </c>
      <c r="F3330" s="162" t="s">
        <v>22136</v>
      </c>
      <c r="G3330" s="162" t="s">
        <v>22137</v>
      </c>
      <c r="H3330" s="219"/>
      <c r="I3330" s="169">
        <v>111964</v>
      </c>
      <c r="J3330" s="304" t="str">
        <f>CONCATENATE([2]Cover!$D$6,"fdd/view?i=",I3330)</f>
        <v>https://www.dgiwg.org/FAD/fdd/view?i=111964</v>
      </c>
      <c r="K3330" s="304" t="s">
        <v>37379</v>
      </c>
      <c r="L3330" s="188">
        <v>221</v>
      </c>
      <c r="M3330" s="179" t="s">
        <v>151</v>
      </c>
    </row>
    <row r="3331" spans="1:13" ht="38.25">
      <c r="A3331" s="313" t="str">
        <f t="shared" ref="A3331:A3394" si="52">HYPERLINK(J3331,K3331)</f>
        <v>FeatureFunctionCode_safety</v>
      </c>
      <c r="B3331" s="330"/>
      <c r="C3331" s="334"/>
      <c r="D3331" s="188" t="s">
        <v>22138</v>
      </c>
      <c r="E3331" s="189" t="s">
        <v>22139</v>
      </c>
      <c r="F3331" s="162" t="s">
        <v>22140</v>
      </c>
      <c r="G3331" s="190"/>
      <c r="H3331" s="219"/>
      <c r="I3331" s="169">
        <v>206594</v>
      </c>
      <c r="J3331" s="304" t="str">
        <f>CONCATENATE([2]Cover!$D$6,"fdd/view?i=",I3331)</f>
        <v>https://www.dgiwg.org/FAD/fdd/view?i=206594</v>
      </c>
      <c r="K3331" s="304" t="s">
        <v>37380</v>
      </c>
      <c r="L3331" s="188">
        <v>832</v>
      </c>
      <c r="M3331" s="179" t="s">
        <v>1295</v>
      </c>
    </row>
    <row r="3332" spans="1:13" ht="38.25">
      <c r="A3332" s="313" t="str">
        <f t="shared" si="52"/>
        <v>FeatureFunctionCode_salesYard</v>
      </c>
      <c r="B3332" s="330"/>
      <c r="C3332" s="334"/>
      <c r="D3332" s="188" t="s">
        <v>22141</v>
      </c>
      <c r="E3332" s="189" t="s">
        <v>22142</v>
      </c>
      <c r="F3332" s="162" t="s">
        <v>22143</v>
      </c>
      <c r="G3332" s="162" t="s">
        <v>22144</v>
      </c>
      <c r="H3332" s="219"/>
      <c r="I3332" s="169">
        <v>118550</v>
      </c>
      <c r="J3332" s="304" t="str">
        <f>CONCATENATE([2]Cover!$D$6,"fdd/view?i=",I3332)</f>
        <v>https://www.dgiwg.org/FAD/fdd/view?i=118550</v>
      </c>
      <c r="K3332" s="304" t="s">
        <v>37381</v>
      </c>
      <c r="L3332" s="188">
        <v>473</v>
      </c>
      <c r="M3332" s="179" t="s">
        <v>151</v>
      </c>
    </row>
    <row r="3333" spans="1:13" ht="38.25">
      <c r="A3333" s="313" t="str">
        <f t="shared" si="52"/>
        <v>FeatureFunctionCode_saltExtraction</v>
      </c>
      <c r="B3333" s="330"/>
      <c r="C3333" s="334"/>
      <c r="D3333" s="188" t="s">
        <v>22145</v>
      </c>
      <c r="E3333" s="189" t="s">
        <v>22146</v>
      </c>
      <c r="F3333" s="162" t="s">
        <v>22147</v>
      </c>
      <c r="G3333" s="162" t="s">
        <v>22148</v>
      </c>
      <c r="H3333" s="219"/>
      <c r="I3333" s="169">
        <v>111886</v>
      </c>
      <c r="J3333" s="304" t="str">
        <f>CONCATENATE([2]Cover!$D$6,"fdd/view?i=",I3333)</f>
        <v>https://www.dgiwg.org/FAD/fdd/view?i=111886</v>
      </c>
      <c r="K3333" s="304" t="s">
        <v>37382</v>
      </c>
      <c r="L3333" s="188">
        <v>85</v>
      </c>
      <c r="M3333" s="179" t="s">
        <v>151</v>
      </c>
    </row>
    <row r="3334" spans="1:13" ht="51">
      <c r="A3334" s="313" t="str">
        <f t="shared" si="52"/>
        <v>FeatureFunctionCode_satelliteGroundControl</v>
      </c>
      <c r="B3334" s="330"/>
      <c r="C3334" s="334"/>
      <c r="D3334" s="188" t="s">
        <v>22149</v>
      </c>
      <c r="E3334" s="189" t="s">
        <v>22150</v>
      </c>
      <c r="F3334" s="162" t="s">
        <v>22151</v>
      </c>
      <c r="G3334" s="162" t="s">
        <v>22152</v>
      </c>
      <c r="H3334" s="219"/>
      <c r="I3334" s="169">
        <v>117906</v>
      </c>
      <c r="J3334" s="304" t="str">
        <f>CONCATENATE([2]Cover!$D$6,"fdd/view?i=",I3334)</f>
        <v>https://www.dgiwg.org/FAD/fdd/view?i=117906</v>
      </c>
      <c r="K3334" s="304" t="s">
        <v>37383</v>
      </c>
      <c r="L3334" s="188">
        <v>626</v>
      </c>
      <c r="M3334" s="179" t="s">
        <v>151</v>
      </c>
    </row>
    <row r="3335" spans="1:13" ht="89.25">
      <c r="A3335" s="313" t="str">
        <f t="shared" si="52"/>
        <v>FeatureFunctionCode_satelliteTelecom</v>
      </c>
      <c r="B3335" s="330"/>
      <c r="C3335" s="334"/>
      <c r="D3335" s="188" t="s">
        <v>22153</v>
      </c>
      <c r="E3335" s="189" t="s">
        <v>22154</v>
      </c>
      <c r="F3335" s="162" t="s">
        <v>22155</v>
      </c>
      <c r="G3335" s="162" t="s">
        <v>22156</v>
      </c>
      <c r="H3335" s="219"/>
      <c r="I3335" s="169">
        <v>112180</v>
      </c>
      <c r="J3335" s="304" t="str">
        <f>CONCATENATE([2]Cover!$D$6,"fdd/view?i=",I3335)</f>
        <v>https://www.dgiwg.org/FAD/fdd/view?i=112180</v>
      </c>
      <c r="K3335" s="304" t="s">
        <v>37384</v>
      </c>
      <c r="L3335" s="188">
        <v>625</v>
      </c>
      <c r="M3335" s="179" t="s">
        <v>151</v>
      </c>
    </row>
    <row r="3336" spans="1:13" ht="114.75">
      <c r="A3336" s="313" t="str">
        <f t="shared" si="52"/>
        <v>FeatureFunctionCode_sawmilling</v>
      </c>
      <c r="B3336" s="330"/>
      <c r="C3336" s="334"/>
      <c r="D3336" s="188" t="s">
        <v>22157</v>
      </c>
      <c r="E3336" s="189" t="s">
        <v>22158</v>
      </c>
      <c r="F3336" s="162" t="s">
        <v>22159</v>
      </c>
      <c r="G3336" s="162" t="s">
        <v>22160</v>
      </c>
      <c r="H3336" s="219"/>
      <c r="I3336" s="169">
        <v>111948</v>
      </c>
      <c r="J3336" s="304" t="str">
        <f>CONCATENATE([2]Cover!$D$6,"fdd/view?i=",I3336)</f>
        <v>https://www.dgiwg.org/FAD/fdd/view?i=111948</v>
      </c>
      <c r="K3336" s="304" t="s">
        <v>37385</v>
      </c>
      <c r="L3336" s="188">
        <v>161</v>
      </c>
      <c r="M3336" s="179" t="s">
        <v>151</v>
      </c>
    </row>
    <row r="3337" spans="1:13" ht="216.75">
      <c r="A3337" s="313" t="str">
        <f t="shared" si="52"/>
        <v>FeatureFunctionCode_scientificResearchDevel</v>
      </c>
      <c r="B3337" s="330"/>
      <c r="C3337" s="334"/>
      <c r="D3337" s="188" t="s">
        <v>22161</v>
      </c>
      <c r="E3337" s="189" t="s">
        <v>22162</v>
      </c>
      <c r="F3337" s="162" t="s">
        <v>22163</v>
      </c>
      <c r="G3337" s="162" t="s">
        <v>22164</v>
      </c>
      <c r="H3337" s="219"/>
      <c r="I3337" s="169">
        <v>112210</v>
      </c>
      <c r="J3337" s="304" t="str">
        <f>CONCATENATE([2]Cover!$D$6,"fdd/view?i=",I3337)</f>
        <v>https://www.dgiwg.org/FAD/fdd/view?i=112210</v>
      </c>
      <c r="K3337" s="304" t="s">
        <v>37386</v>
      </c>
      <c r="L3337" s="188">
        <v>720</v>
      </c>
      <c r="M3337" s="179" t="s">
        <v>151</v>
      </c>
    </row>
    <row r="3338" spans="1:13" ht="178.5">
      <c r="A3338" s="313" t="str">
        <f t="shared" si="52"/>
        <v>FeatureFunctionCode_seafoodProcessing</v>
      </c>
      <c r="B3338" s="330"/>
      <c r="C3338" s="334"/>
      <c r="D3338" s="188" t="s">
        <v>22165</v>
      </c>
      <c r="E3338" s="189" t="s">
        <v>22166</v>
      </c>
      <c r="F3338" s="162" t="s">
        <v>22167</v>
      </c>
      <c r="G3338" s="162" t="s">
        <v>22168</v>
      </c>
      <c r="H3338" s="219"/>
      <c r="I3338" s="169">
        <v>111904</v>
      </c>
      <c r="J3338" s="304" t="str">
        <f>CONCATENATE([2]Cover!$D$6,"fdd/view?i=",I3338)</f>
        <v>https://www.dgiwg.org/FAD/fdd/view?i=111904</v>
      </c>
      <c r="K3338" s="304" t="s">
        <v>37387</v>
      </c>
      <c r="L3338" s="188">
        <v>103</v>
      </c>
      <c r="M3338" s="179" t="s">
        <v>151</v>
      </c>
    </row>
    <row r="3339" spans="1:13" ht="114.75">
      <c r="A3339" s="313" t="str">
        <f t="shared" si="52"/>
        <v>FeatureFunctionCode_secondaryEducation</v>
      </c>
      <c r="B3339" s="330"/>
      <c r="C3339" s="334"/>
      <c r="D3339" s="188" t="s">
        <v>22169</v>
      </c>
      <c r="E3339" s="189" t="s">
        <v>22170</v>
      </c>
      <c r="F3339" s="162" t="s">
        <v>22171</v>
      </c>
      <c r="G3339" s="162" t="s">
        <v>22172</v>
      </c>
      <c r="H3339" s="219"/>
      <c r="I3339" s="169">
        <v>112288</v>
      </c>
      <c r="J3339" s="304" t="str">
        <f>CONCATENATE([2]Cover!$D$6,"fdd/view?i=",I3339)</f>
        <v>https://www.dgiwg.org/FAD/fdd/view?i=112288</v>
      </c>
      <c r="K3339" s="304" t="s">
        <v>37388</v>
      </c>
      <c r="L3339" s="188">
        <v>852</v>
      </c>
      <c r="M3339" s="179" t="s">
        <v>151</v>
      </c>
    </row>
    <row r="3340" spans="1:13" ht="38.25">
      <c r="A3340" s="313" t="str">
        <f t="shared" si="52"/>
        <v>FeatureFunctionCode_securityBrokerage</v>
      </c>
      <c r="B3340" s="330"/>
      <c r="C3340" s="334"/>
      <c r="D3340" s="188" t="s">
        <v>22173</v>
      </c>
      <c r="E3340" s="189" t="s">
        <v>22174</v>
      </c>
      <c r="F3340" s="162" t="s">
        <v>22175</v>
      </c>
      <c r="G3340" s="190"/>
      <c r="H3340" s="219"/>
      <c r="I3340" s="169">
        <v>112190</v>
      </c>
      <c r="J3340" s="304" t="str">
        <f>CONCATENATE([2]Cover!$D$6,"fdd/view?i=",I3340)</f>
        <v>https://www.dgiwg.org/FAD/fdd/view?i=112190</v>
      </c>
      <c r="K3340" s="304" t="s">
        <v>37389</v>
      </c>
      <c r="L3340" s="188">
        <v>663</v>
      </c>
      <c r="M3340" s="179" t="s">
        <v>151</v>
      </c>
    </row>
    <row r="3341" spans="1:13" ht="63.75">
      <c r="A3341" s="313" t="str">
        <f t="shared" si="52"/>
        <v>FeatureFunctionCode_securityEnforcement</v>
      </c>
      <c r="B3341" s="330"/>
      <c r="C3341" s="334"/>
      <c r="D3341" s="188" t="s">
        <v>22176</v>
      </c>
      <c r="E3341" s="189" t="s">
        <v>22177</v>
      </c>
      <c r="F3341" s="162" t="s">
        <v>22178</v>
      </c>
      <c r="G3341" s="162" t="s">
        <v>22179</v>
      </c>
      <c r="H3341" s="219"/>
      <c r="I3341" s="169">
        <v>112232</v>
      </c>
      <c r="J3341" s="304" t="str">
        <f>CONCATENATE([2]Cover!$D$6,"fdd/view?i=",I3341)</f>
        <v>https://www.dgiwg.org/FAD/fdd/view?i=112232</v>
      </c>
      <c r="K3341" s="304" t="s">
        <v>37390</v>
      </c>
      <c r="L3341" s="188">
        <v>780</v>
      </c>
      <c r="M3341" s="179" t="s">
        <v>151</v>
      </c>
    </row>
    <row r="3342" spans="1:13" ht="25.5">
      <c r="A3342" s="313" t="str">
        <f t="shared" si="52"/>
        <v>FeatureFunctionCode_securityServices</v>
      </c>
      <c r="B3342" s="330"/>
      <c r="C3342" s="334"/>
      <c r="D3342" s="188" t="s">
        <v>22180</v>
      </c>
      <c r="E3342" s="189" t="s">
        <v>22181</v>
      </c>
      <c r="F3342" s="162" t="s">
        <v>22182</v>
      </c>
      <c r="G3342" s="190"/>
      <c r="H3342" s="219"/>
      <c r="I3342" s="169">
        <v>206595</v>
      </c>
      <c r="J3342" s="304" t="str">
        <f>CONCATENATE([2]Cover!$D$6,"fdd/view?i=",I3342)</f>
        <v>https://www.dgiwg.org/FAD/fdd/view?i=206595</v>
      </c>
      <c r="K3342" s="304" t="s">
        <v>37391</v>
      </c>
      <c r="L3342" s="188">
        <v>833</v>
      </c>
      <c r="M3342" s="179" t="s">
        <v>1295</v>
      </c>
    </row>
    <row r="3343" spans="1:13" ht="165.75">
      <c r="A3343" s="313" t="str">
        <f t="shared" si="52"/>
        <v>FeatureFunctionCode_sewerage</v>
      </c>
      <c r="B3343" s="330"/>
      <c r="C3343" s="334"/>
      <c r="D3343" s="188" t="s">
        <v>22183</v>
      </c>
      <c r="E3343" s="189" t="s">
        <v>22184</v>
      </c>
      <c r="F3343" s="162" t="s">
        <v>22185</v>
      </c>
      <c r="G3343" s="162" t="s">
        <v>22186</v>
      </c>
      <c r="H3343" s="219"/>
      <c r="I3343" s="169">
        <v>118548</v>
      </c>
      <c r="J3343" s="304" t="str">
        <f>CONCATENATE([2]Cover!$D$6,"fdd/view?i=",I3343)</f>
        <v>https://www.dgiwg.org/FAD/fdd/view?i=118548</v>
      </c>
      <c r="K3343" s="304" t="s">
        <v>37392</v>
      </c>
      <c r="L3343" s="188">
        <v>370</v>
      </c>
      <c r="M3343" s="179" t="s">
        <v>151</v>
      </c>
    </row>
    <row r="3344" spans="1:13" ht="38.25">
      <c r="A3344" s="313" t="str">
        <f t="shared" si="52"/>
        <v>FeatureFunctionCode_sewerageScreening</v>
      </c>
      <c r="B3344" s="330"/>
      <c r="C3344" s="334"/>
      <c r="D3344" s="188" t="s">
        <v>22187</v>
      </c>
      <c r="E3344" s="189" t="s">
        <v>22188</v>
      </c>
      <c r="F3344" s="162" t="s">
        <v>22189</v>
      </c>
      <c r="G3344" s="190"/>
      <c r="H3344" s="219"/>
      <c r="I3344" s="169">
        <v>112046</v>
      </c>
      <c r="J3344" s="304" t="str">
        <f>CONCATENATE([2]Cover!$D$6,"fdd/view?i=",I3344)</f>
        <v>https://www.dgiwg.org/FAD/fdd/view?i=112046</v>
      </c>
      <c r="K3344" s="304" t="s">
        <v>37393</v>
      </c>
      <c r="L3344" s="188">
        <v>372</v>
      </c>
      <c r="M3344" s="179" t="s">
        <v>151</v>
      </c>
    </row>
    <row r="3345" spans="1:13" ht="38.25">
      <c r="A3345" s="313" t="str">
        <f t="shared" si="52"/>
        <v>FeatureFunctionCode_shipConstruction</v>
      </c>
      <c r="B3345" s="330"/>
      <c r="C3345" s="334"/>
      <c r="D3345" s="188" t="s">
        <v>22190</v>
      </c>
      <c r="E3345" s="189" t="s">
        <v>22191</v>
      </c>
      <c r="F3345" s="162" t="s">
        <v>22192</v>
      </c>
      <c r="G3345" s="190"/>
      <c r="H3345" s="219"/>
      <c r="I3345" s="169">
        <v>112002</v>
      </c>
      <c r="J3345" s="304" t="str">
        <f>CONCATENATE([2]Cover!$D$6,"fdd/view?i=",I3345)</f>
        <v>https://www.dgiwg.org/FAD/fdd/view?i=112002</v>
      </c>
      <c r="K3345" s="304" t="s">
        <v>37394</v>
      </c>
      <c r="L3345" s="188">
        <v>301</v>
      </c>
      <c r="M3345" s="179" t="s">
        <v>151</v>
      </c>
    </row>
    <row r="3346" spans="1:13">
      <c r="A3346" s="313" t="str">
        <f t="shared" si="52"/>
        <v>FeatureFunctionCode_shipRepair</v>
      </c>
      <c r="B3346" s="330"/>
      <c r="C3346" s="334"/>
      <c r="D3346" s="188" t="s">
        <v>22193</v>
      </c>
      <c r="E3346" s="189" t="s">
        <v>22194</v>
      </c>
      <c r="F3346" s="162" t="s">
        <v>22195</v>
      </c>
      <c r="G3346" s="190"/>
      <c r="H3346" s="219"/>
      <c r="I3346" s="169">
        <v>112032</v>
      </c>
      <c r="J3346" s="304" t="str">
        <f>CONCATENATE([2]Cover!$D$6,"fdd/view?i=",I3346)</f>
        <v>https://www.dgiwg.org/FAD/fdd/view?i=112032</v>
      </c>
      <c r="K3346" s="304" t="s">
        <v>37395</v>
      </c>
      <c r="L3346" s="188">
        <v>340</v>
      </c>
      <c r="M3346" s="179" t="s">
        <v>151</v>
      </c>
    </row>
    <row r="3347" spans="1:13" ht="102">
      <c r="A3347" s="313" t="str">
        <f t="shared" si="52"/>
        <v>FeatureFunctionCode_shootingRange</v>
      </c>
      <c r="B3347" s="330"/>
      <c r="C3347" s="334"/>
      <c r="D3347" s="188" t="s">
        <v>22196</v>
      </c>
      <c r="E3347" s="189" t="s">
        <v>22197</v>
      </c>
      <c r="F3347" s="162" t="s">
        <v>22198</v>
      </c>
      <c r="G3347" s="162" t="s">
        <v>22199</v>
      </c>
      <c r="H3347" s="219"/>
      <c r="I3347" s="169">
        <v>112336</v>
      </c>
      <c r="J3347" s="304" t="str">
        <f>CONCATENATE([2]Cover!$D$6,"fdd/view?i=",I3347)</f>
        <v>https://www.dgiwg.org/FAD/fdd/view?i=112336</v>
      </c>
      <c r="K3347" s="304" t="s">
        <v>37396</v>
      </c>
      <c r="L3347" s="188">
        <v>914</v>
      </c>
      <c r="M3347" s="179" t="s">
        <v>151</v>
      </c>
    </row>
    <row r="3348" spans="1:13" ht="102">
      <c r="A3348" s="313" t="str">
        <f t="shared" si="52"/>
        <v>FeatureFunctionCode_shortTermAccommodation</v>
      </c>
      <c r="B3348" s="330"/>
      <c r="C3348" s="334"/>
      <c r="D3348" s="188" t="s">
        <v>22200</v>
      </c>
      <c r="E3348" s="189" t="s">
        <v>22201</v>
      </c>
      <c r="F3348" s="162" t="s">
        <v>22202</v>
      </c>
      <c r="G3348" s="162" t="s">
        <v>22203</v>
      </c>
      <c r="H3348" s="219"/>
      <c r="I3348" s="169">
        <v>206584</v>
      </c>
      <c r="J3348" s="304" t="str">
        <f>CONCATENATE([2]Cover!$D$6,"fdd/view?i=",I3348)</f>
        <v>https://www.dgiwg.org/FAD/fdd/view?i=206584</v>
      </c>
      <c r="K3348" s="304" t="s">
        <v>37397</v>
      </c>
      <c r="L3348" s="188">
        <v>548</v>
      </c>
      <c r="M3348" s="179" t="s">
        <v>1295</v>
      </c>
    </row>
    <row r="3349" spans="1:13" ht="76.5">
      <c r="A3349" s="313" t="str">
        <f t="shared" si="52"/>
        <v>FeatureFunctionCode_signalling</v>
      </c>
      <c r="B3349" s="330"/>
      <c r="C3349" s="334"/>
      <c r="D3349" s="188" t="s">
        <v>22204</v>
      </c>
      <c r="E3349" s="189" t="s">
        <v>22205</v>
      </c>
      <c r="F3349" s="162" t="s">
        <v>22206</v>
      </c>
      <c r="G3349" s="162" t="s">
        <v>22207</v>
      </c>
      <c r="H3349" s="219"/>
      <c r="I3349" s="169">
        <v>112074</v>
      </c>
      <c r="J3349" s="304" t="str">
        <f>CONCATENATE([2]Cover!$D$6,"fdd/view?i=",I3349)</f>
        <v>https://www.dgiwg.org/FAD/fdd/view?i=112074</v>
      </c>
      <c r="K3349" s="304" t="s">
        <v>37398</v>
      </c>
      <c r="L3349" s="188">
        <v>486</v>
      </c>
      <c r="M3349" s="179" t="s">
        <v>151</v>
      </c>
    </row>
    <row r="3350" spans="1:13" ht="89.25">
      <c r="A3350" s="313" t="str">
        <f t="shared" si="52"/>
        <v>FeatureFunctionCode_silviculture</v>
      </c>
      <c r="B3350" s="330"/>
      <c r="C3350" s="334"/>
      <c r="D3350" s="188" t="s">
        <v>22208</v>
      </c>
      <c r="E3350" s="189" t="s">
        <v>22209</v>
      </c>
      <c r="F3350" s="162" t="s">
        <v>22210</v>
      </c>
      <c r="G3350" s="162" t="s">
        <v>22211</v>
      </c>
      <c r="H3350" s="219"/>
      <c r="I3350" s="169">
        <v>111850</v>
      </c>
      <c r="J3350" s="304" t="str">
        <f>CONCATENATE([2]Cover!$D$6,"fdd/view?i=",I3350)</f>
        <v>https://www.dgiwg.org/FAD/fdd/view?i=111850</v>
      </c>
      <c r="K3350" s="304" t="s">
        <v>37399</v>
      </c>
      <c r="L3350" s="188">
        <v>21</v>
      </c>
      <c r="M3350" s="179" t="s">
        <v>151</v>
      </c>
    </row>
    <row r="3351" spans="1:13" ht="153">
      <c r="A3351" s="313" t="str">
        <f t="shared" si="52"/>
        <v>FeatureFunctionCode_socialWork</v>
      </c>
      <c r="B3351" s="330"/>
      <c r="C3351" s="334"/>
      <c r="D3351" s="188" t="s">
        <v>22212</v>
      </c>
      <c r="E3351" s="189" t="s">
        <v>22213</v>
      </c>
      <c r="F3351" s="162" t="s">
        <v>22214</v>
      </c>
      <c r="G3351" s="162" t="s">
        <v>22215</v>
      </c>
      <c r="H3351" s="219"/>
      <c r="I3351" s="169">
        <v>112314</v>
      </c>
      <c r="J3351" s="304" t="str">
        <f>CONCATENATE([2]Cover!$D$6,"fdd/view?i=",I3351)</f>
        <v>https://www.dgiwg.org/FAD/fdd/view?i=112314</v>
      </c>
      <c r="K3351" s="304" t="s">
        <v>37400</v>
      </c>
      <c r="L3351" s="188">
        <v>887</v>
      </c>
      <c r="M3351" s="179" t="s">
        <v>151</v>
      </c>
    </row>
    <row r="3352" spans="1:13" ht="76.5">
      <c r="A3352" s="313" t="str">
        <f t="shared" si="52"/>
        <v>FeatureFunctionCode_softDrinkManufac</v>
      </c>
      <c r="B3352" s="330"/>
      <c r="C3352" s="334"/>
      <c r="D3352" s="188" t="s">
        <v>22216</v>
      </c>
      <c r="E3352" s="189" t="s">
        <v>22217</v>
      </c>
      <c r="F3352" s="162" t="s">
        <v>22218</v>
      </c>
      <c r="G3352" s="162" t="s">
        <v>22219</v>
      </c>
      <c r="H3352" s="219"/>
      <c r="I3352" s="169">
        <v>111936</v>
      </c>
      <c r="J3352" s="304" t="str">
        <f>CONCATENATE([2]Cover!$D$6,"fdd/view?i=",I3352)</f>
        <v>https://www.dgiwg.org/FAD/fdd/view?i=111936</v>
      </c>
      <c r="K3352" s="304" t="s">
        <v>37401</v>
      </c>
      <c r="L3352" s="188">
        <v>124</v>
      </c>
      <c r="M3352" s="179" t="s">
        <v>151</v>
      </c>
    </row>
    <row r="3353" spans="1:13" ht="51">
      <c r="A3353" s="313" t="str">
        <f t="shared" si="52"/>
        <v>FeatureFunctionCode_solidMineralFuelMining</v>
      </c>
      <c r="B3353" s="330"/>
      <c r="C3353" s="334"/>
      <c r="D3353" s="188" t="s">
        <v>22220</v>
      </c>
      <c r="E3353" s="189" t="s">
        <v>22221</v>
      </c>
      <c r="F3353" s="162" t="s">
        <v>22222</v>
      </c>
      <c r="G3353" s="190"/>
      <c r="H3353" s="219"/>
      <c r="I3353" s="169">
        <v>111860</v>
      </c>
      <c r="J3353" s="304" t="str">
        <f>CONCATENATE([2]Cover!$D$6,"fdd/view?i=",I3353)</f>
        <v>https://www.dgiwg.org/FAD/fdd/view?i=111860</v>
      </c>
      <c r="K3353" s="304" t="s">
        <v>37402</v>
      </c>
      <c r="L3353" s="188">
        <v>50</v>
      </c>
      <c r="M3353" s="179" t="s">
        <v>151</v>
      </c>
    </row>
    <row r="3354" spans="1:13" ht="38.25">
      <c r="A3354" s="313" t="str">
        <f t="shared" si="52"/>
        <v>FeatureFunctionCode_specializedStore</v>
      </c>
      <c r="B3354" s="330"/>
      <c r="C3354" s="334"/>
      <c r="D3354" s="188" t="s">
        <v>22223</v>
      </c>
      <c r="E3354" s="189" t="s">
        <v>22224</v>
      </c>
      <c r="F3354" s="162" t="s">
        <v>22225</v>
      </c>
      <c r="G3354" s="162" t="s">
        <v>22226</v>
      </c>
      <c r="H3354" s="219"/>
      <c r="I3354" s="169">
        <v>112370</v>
      </c>
      <c r="J3354" s="304" t="str">
        <f>CONCATENATE([2]Cover!$D$6,"fdd/view?i=",I3354)</f>
        <v>https://www.dgiwg.org/FAD/fdd/view?i=112370</v>
      </c>
      <c r="K3354" s="304" t="s">
        <v>37403</v>
      </c>
      <c r="L3354" s="188">
        <v>464</v>
      </c>
      <c r="M3354" s="179" t="s">
        <v>151</v>
      </c>
    </row>
    <row r="3355" spans="1:13" ht="63.75">
      <c r="A3355" s="313" t="str">
        <f t="shared" si="52"/>
        <v>FeatureFunctionCode_spiritDistillery</v>
      </c>
      <c r="B3355" s="330"/>
      <c r="C3355" s="334"/>
      <c r="D3355" s="188" t="s">
        <v>22227</v>
      </c>
      <c r="E3355" s="189" t="s">
        <v>22228</v>
      </c>
      <c r="F3355" s="162" t="s">
        <v>22229</v>
      </c>
      <c r="G3355" s="162" t="s">
        <v>22230</v>
      </c>
      <c r="H3355" s="219"/>
      <c r="I3355" s="169">
        <v>111930</v>
      </c>
      <c r="J3355" s="304" t="str">
        <f>CONCATENATE([2]Cover!$D$6,"fdd/view?i=",I3355)</f>
        <v>https://www.dgiwg.org/FAD/fdd/view?i=111930</v>
      </c>
      <c r="K3355" s="304" t="s">
        <v>37404</v>
      </c>
      <c r="L3355" s="188">
        <v>121</v>
      </c>
      <c r="M3355" s="179" t="s">
        <v>151</v>
      </c>
    </row>
    <row r="3356" spans="1:13" ht="38.25">
      <c r="A3356" s="313" t="str">
        <f t="shared" si="52"/>
        <v>FeatureFunctionCode_sportsAmusementRecreation</v>
      </c>
      <c r="B3356" s="330"/>
      <c r="C3356" s="334"/>
      <c r="D3356" s="188" t="s">
        <v>22239</v>
      </c>
      <c r="E3356" s="189" t="s">
        <v>22240</v>
      </c>
      <c r="F3356" s="162" t="s">
        <v>22241</v>
      </c>
      <c r="G3356" s="162" t="s">
        <v>22242</v>
      </c>
      <c r="H3356" s="219"/>
      <c r="I3356" s="169">
        <v>206597</v>
      </c>
      <c r="J3356" s="304" t="str">
        <f>CONCATENATE([2]Cover!$D$6,"fdd/view?i=",I3356)</f>
        <v>https://www.dgiwg.org/FAD/fdd/view?i=206597</v>
      </c>
      <c r="K3356" s="304" t="s">
        <v>37405</v>
      </c>
      <c r="L3356" s="188">
        <v>900</v>
      </c>
      <c r="M3356" s="179" t="s">
        <v>1295</v>
      </c>
    </row>
    <row r="3357" spans="1:13" ht="38.25">
      <c r="A3357" s="313" t="str">
        <f t="shared" si="52"/>
        <v>FeatureFunctionCode_sportsCentre</v>
      </c>
      <c r="B3357" s="330"/>
      <c r="C3357" s="334"/>
      <c r="D3357" s="188" t="s">
        <v>22231</v>
      </c>
      <c r="E3357" s="189" t="s">
        <v>22232</v>
      </c>
      <c r="F3357" s="162" t="s">
        <v>22233</v>
      </c>
      <c r="G3357" s="162" t="s">
        <v>22234</v>
      </c>
      <c r="H3357" s="219"/>
      <c r="I3357" s="169">
        <v>112332</v>
      </c>
      <c r="J3357" s="304" t="str">
        <f>CONCATENATE([2]Cover!$D$6,"fdd/view?i=",I3357)</f>
        <v>https://www.dgiwg.org/FAD/fdd/view?i=112332</v>
      </c>
      <c r="K3357" s="304" t="s">
        <v>37406</v>
      </c>
      <c r="L3357" s="188">
        <v>912</v>
      </c>
      <c r="M3357" s="179" t="s">
        <v>151</v>
      </c>
    </row>
    <row r="3358" spans="1:13" ht="127.5">
      <c r="A3358" s="313" t="str">
        <f t="shared" si="52"/>
        <v>FeatureFunctionCode_sportsGoodsManufac</v>
      </c>
      <c r="B3358" s="330"/>
      <c r="C3358" s="334"/>
      <c r="D3358" s="188" t="s">
        <v>22235</v>
      </c>
      <c r="E3358" s="189" t="s">
        <v>22236</v>
      </c>
      <c r="F3358" s="162" t="s">
        <v>22237</v>
      </c>
      <c r="G3358" s="162" t="s">
        <v>22238</v>
      </c>
      <c r="H3358" s="219"/>
      <c r="I3358" s="169">
        <v>112016</v>
      </c>
      <c r="J3358" s="304" t="str">
        <f>CONCATENATE([2]Cover!$D$6,"fdd/view?i=",I3358)</f>
        <v>https://www.dgiwg.org/FAD/fdd/view?i=112016</v>
      </c>
      <c r="K3358" s="304" t="s">
        <v>37407</v>
      </c>
      <c r="L3358" s="188">
        <v>323</v>
      </c>
      <c r="M3358" s="179" t="s">
        <v>151</v>
      </c>
    </row>
    <row r="3359" spans="1:13" ht="38.25">
      <c r="A3359" s="313" t="str">
        <f t="shared" si="52"/>
        <v>FeatureFunctionCode_station</v>
      </c>
      <c r="B3359" s="330"/>
      <c r="C3359" s="334"/>
      <c r="D3359" s="188" t="s">
        <v>22243</v>
      </c>
      <c r="E3359" s="189" t="s">
        <v>22244</v>
      </c>
      <c r="F3359" s="162" t="s">
        <v>22245</v>
      </c>
      <c r="G3359" s="190"/>
      <c r="H3359" s="219"/>
      <c r="I3359" s="169">
        <v>112068</v>
      </c>
      <c r="J3359" s="304" t="str">
        <f>CONCATENATE([2]Cover!$D$6,"fdd/view?i=",I3359)</f>
        <v>https://www.dgiwg.org/FAD/fdd/view?i=112068</v>
      </c>
      <c r="K3359" s="304" t="s">
        <v>37408</v>
      </c>
      <c r="L3359" s="188">
        <v>482</v>
      </c>
      <c r="M3359" s="179" t="s">
        <v>151</v>
      </c>
    </row>
    <row r="3360" spans="1:13" ht="63.75">
      <c r="A3360" s="313" t="str">
        <f t="shared" si="52"/>
        <v>FeatureFunctionCode_steelMill</v>
      </c>
      <c r="B3360" s="330"/>
      <c r="C3360" s="334"/>
      <c r="D3360" s="188" t="s">
        <v>22246</v>
      </c>
      <c r="E3360" s="189" t="s">
        <v>22247</v>
      </c>
      <c r="F3360" s="162" t="s">
        <v>22248</v>
      </c>
      <c r="G3360" s="162" t="s">
        <v>22249</v>
      </c>
      <c r="H3360" s="219"/>
      <c r="I3360" s="169">
        <v>111982</v>
      </c>
      <c r="J3360" s="304" t="str">
        <f>CONCATENATE([2]Cover!$D$6,"fdd/view?i=",I3360)</f>
        <v>https://www.dgiwg.org/FAD/fdd/view?i=111982</v>
      </c>
      <c r="K3360" s="304" t="s">
        <v>37409</v>
      </c>
      <c r="L3360" s="188">
        <v>241</v>
      </c>
      <c r="M3360" s="179" t="s">
        <v>151</v>
      </c>
    </row>
    <row r="3361" spans="1:13" ht="38.25">
      <c r="A3361" s="313" t="str">
        <f t="shared" si="52"/>
        <v>FeatureFunctionCode_stoneProdManufac</v>
      </c>
      <c r="B3361" s="330"/>
      <c r="C3361" s="334"/>
      <c r="D3361" s="188" t="s">
        <v>22250</v>
      </c>
      <c r="E3361" s="189" t="s">
        <v>22251</v>
      </c>
      <c r="F3361" s="162" t="s">
        <v>22252</v>
      </c>
      <c r="G3361" s="162" t="s">
        <v>22253</v>
      </c>
      <c r="H3361" s="219"/>
      <c r="I3361" s="169">
        <v>111980</v>
      </c>
      <c r="J3361" s="304" t="str">
        <f>CONCATENATE([2]Cover!$D$6,"fdd/view?i=",I3361)</f>
        <v>https://www.dgiwg.org/FAD/fdd/view?i=111980</v>
      </c>
      <c r="K3361" s="304" t="s">
        <v>37410</v>
      </c>
      <c r="L3361" s="188">
        <v>237</v>
      </c>
      <c r="M3361" s="179" t="s">
        <v>151</v>
      </c>
    </row>
    <row r="3362" spans="1:13" ht="38.25">
      <c r="A3362" s="313" t="str">
        <f t="shared" si="52"/>
        <v>FeatureFunctionCode_stop</v>
      </c>
      <c r="B3362" s="330"/>
      <c r="C3362" s="334"/>
      <c r="D3362" s="188" t="s">
        <v>18751</v>
      </c>
      <c r="E3362" s="189" t="s">
        <v>18752</v>
      </c>
      <c r="F3362" s="162" t="s">
        <v>22254</v>
      </c>
      <c r="G3362" s="162" t="s">
        <v>22255</v>
      </c>
      <c r="H3362" s="219"/>
      <c r="I3362" s="169">
        <v>112070</v>
      </c>
      <c r="J3362" s="304" t="str">
        <f>CONCATENATE([2]Cover!$D$6,"fdd/view?i=",I3362)</f>
        <v>https://www.dgiwg.org/FAD/fdd/view?i=112070</v>
      </c>
      <c r="K3362" s="304" t="s">
        <v>37411</v>
      </c>
      <c r="L3362" s="188">
        <v>483</v>
      </c>
      <c r="M3362" s="179" t="s">
        <v>151</v>
      </c>
    </row>
    <row r="3363" spans="1:13" ht="25.5">
      <c r="A3363" s="313" t="str">
        <f t="shared" si="52"/>
        <v>FeatureFunctionCode_storageHumanRemains</v>
      </c>
      <c r="B3363" s="330"/>
      <c r="C3363" s="334"/>
      <c r="D3363" s="188" t="s">
        <v>22256</v>
      </c>
      <c r="E3363" s="189" t="s">
        <v>22257</v>
      </c>
      <c r="F3363" s="162" t="s">
        <v>22258</v>
      </c>
      <c r="G3363" s="162" t="s">
        <v>22259</v>
      </c>
      <c r="H3363" s="219"/>
      <c r="I3363" s="169">
        <v>206600</v>
      </c>
      <c r="J3363" s="304" t="str">
        <f>CONCATENATE([2]Cover!$D$6,"fdd/view?i=",I3363)</f>
        <v>https://www.dgiwg.org/FAD/fdd/view?i=206600</v>
      </c>
      <c r="K3363" s="304" t="s">
        <v>37412</v>
      </c>
      <c r="L3363" s="188">
        <v>967</v>
      </c>
      <c r="M3363" s="179" t="s">
        <v>1295</v>
      </c>
    </row>
    <row r="3364" spans="1:13" ht="280.5">
      <c r="A3364" s="313" t="str">
        <f t="shared" si="52"/>
        <v>FeatureFunctionCode_structMetalProdManufac</v>
      </c>
      <c r="B3364" s="330"/>
      <c r="C3364" s="334"/>
      <c r="D3364" s="188" t="s">
        <v>22260</v>
      </c>
      <c r="E3364" s="189" t="s">
        <v>22261</v>
      </c>
      <c r="F3364" s="162" t="s">
        <v>22262</v>
      </c>
      <c r="G3364" s="162" t="s">
        <v>22263</v>
      </c>
      <c r="H3364" s="219"/>
      <c r="I3364" s="169">
        <v>111988</v>
      </c>
      <c r="J3364" s="304" t="str">
        <f>CONCATENATE([2]Cover!$D$6,"fdd/view?i=",I3364)</f>
        <v>https://www.dgiwg.org/FAD/fdd/view?i=111988</v>
      </c>
      <c r="K3364" s="304" t="s">
        <v>37413</v>
      </c>
      <c r="L3364" s="188">
        <v>251</v>
      </c>
      <c r="M3364" s="179" t="s">
        <v>151</v>
      </c>
    </row>
    <row r="3365" spans="1:13" ht="76.5">
      <c r="A3365" s="313" t="str">
        <f t="shared" si="52"/>
        <v>FeatureFunctionCode_subnationalGovernment</v>
      </c>
      <c r="B3365" s="330"/>
      <c r="C3365" s="334"/>
      <c r="D3365" s="188" t="s">
        <v>22264</v>
      </c>
      <c r="E3365" s="189" t="s">
        <v>22265</v>
      </c>
      <c r="F3365" s="162" t="s">
        <v>22266</v>
      </c>
      <c r="G3365" s="162" t="s">
        <v>22267</v>
      </c>
      <c r="H3365" s="219"/>
      <c r="I3365" s="169">
        <v>118556</v>
      </c>
      <c r="J3365" s="304" t="str">
        <f>CONCATENATE([2]Cover!$D$6,"fdd/view?i=",I3365)</f>
        <v>https://www.dgiwg.org/FAD/fdd/view?i=118556</v>
      </c>
      <c r="K3365" s="304" t="s">
        <v>37414</v>
      </c>
      <c r="L3365" s="188">
        <v>813</v>
      </c>
      <c r="M3365" s="179" t="s">
        <v>151</v>
      </c>
    </row>
    <row r="3366" spans="1:13" ht="76.5">
      <c r="A3366" s="313" t="str">
        <f t="shared" si="52"/>
        <v>FeatureFunctionCode_sugarManufac</v>
      </c>
      <c r="B3366" s="330"/>
      <c r="C3366" s="334"/>
      <c r="D3366" s="188" t="s">
        <v>22268</v>
      </c>
      <c r="E3366" s="189" t="s">
        <v>22269</v>
      </c>
      <c r="F3366" s="162" t="s">
        <v>22270</v>
      </c>
      <c r="G3366" s="162" t="s">
        <v>22271</v>
      </c>
      <c r="H3366" s="219"/>
      <c r="I3366" s="169">
        <v>111916</v>
      </c>
      <c r="J3366" s="304" t="str">
        <f>CONCATENATE([2]Cover!$D$6,"fdd/view?i=",I3366)</f>
        <v>https://www.dgiwg.org/FAD/fdd/view?i=111916</v>
      </c>
      <c r="K3366" s="304" t="s">
        <v>37415</v>
      </c>
      <c r="L3366" s="188">
        <v>111</v>
      </c>
      <c r="M3366" s="179" t="s">
        <v>151</v>
      </c>
    </row>
    <row r="3367" spans="1:13" ht="114.75">
      <c r="A3367" s="313" t="str">
        <f t="shared" si="52"/>
        <v>FeatureFunctionCode_sugarMilling</v>
      </c>
      <c r="B3367" s="330"/>
      <c r="C3367" s="334"/>
      <c r="D3367" s="188" t="s">
        <v>22272</v>
      </c>
      <c r="E3367" s="189" t="s">
        <v>22273</v>
      </c>
      <c r="F3367" s="162" t="s">
        <v>22274</v>
      </c>
      <c r="G3367" s="162" t="s">
        <v>22275</v>
      </c>
      <c r="H3367" s="219"/>
      <c r="I3367" s="169">
        <v>111918</v>
      </c>
      <c r="J3367" s="304" t="str">
        <f>CONCATENATE([2]Cover!$D$6,"fdd/view?i=",I3367)</f>
        <v>https://www.dgiwg.org/FAD/fdd/view?i=111918</v>
      </c>
      <c r="K3367" s="304" t="s">
        <v>37416</v>
      </c>
      <c r="L3367" s="188">
        <v>112</v>
      </c>
      <c r="M3367" s="179" t="s">
        <v>151</v>
      </c>
    </row>
    <row r="3368" spans="1:13" ht="140.25">
      <c r="A3368" s="313" t="str">
        <f t="shared" si="52"/>
        <v>FeatureFunctionCode_sugarRefining</v>
      </c>
      <c r="B3368" s="330"/>
      <c r="C3368" s="334"/>
      <c r="D3368" s="188" t="s">
        <v>22276</v>
      </c>
      <c r="E3368" s="189" t="s">
        <v>22277</v>
      </c>
      <c r="F3368" s="162" t="s">
        <v>22278</v>
      </c>
      <c r="G3368" s="162" t="s">
        <v>22279</v>
      </c>
      <c r="H3368" s="219"/>
      <c r="I3368" s="169">
        <v>111920</v>
      </c>
      <c r="J3368" s="304" t="str">
        <f>CONCATENATE([2]Cover!$D$6,"fdd/view?i=",I3368)</f>
        <v>https://www.dgiwg.org/FAD/fdd/view?i=111920</v>
      </c>
      <c r="K3368" s="304" t="s">
        <v>37417</v>
      </c>
      <c r="L3368" s="188">
        <v>113</v>
      </c>
      <c r="M3368" s="179" t="s">
        <v>151</v>
      </c>
    </row>
    <row r="3369" spans="1:13" ht="51">
      <c r="A3369" s="313" t="str">
        <f t="shared" si="52"/>
        <v>FeatureFunctionCode_surveying</v>
      </c>
      <c r="B3369" s="330"/>
      <c r="C3369" s="334"/>
      <c r="D3369" s="188" t="s">
        <v>22280</v>
      </c>
      <c r="E3369" s="189" t="s">
        <v>22281</v>
      </c>
      <c r="F3369" s="162" t="s">
        <v>22282</v>
      </c>
      <c r="G3369" s="162" t="s">
        <v>22283</v>
      </c>
      <c r="H3369" s="219"/>
      <c r="I3369" s="169">
        <v>112208</v>
      </c>
      <c r="J3369" s="304" t="str">
        <f>CONCATENATE([2]Cover!$D$6,"fdd/view?i=",I3369)</f>
        <v>https://www.dgiwg.org/FAD/fdd/view?i=112208</v>
      </c>
      <c r="K3369" s="304" t="s">
        <v>37418</v>
      </c>
      <c r="L3369" s="188">
        <v>717</v>
      </c>
      <c r="M3369" s="179" t="s">
        <v>151</v>
      </c>
    </row>
    <row r="3370" spans="1:13" ht="38.25">
      <c r="A3370" s="313" t="str">
        <f t="shared" si="52"/>
        <v>FeatureFunctionCode_telecommunications</v>
      </c>
      <c r="B3370" s="330"/>
      <c r="C3370" s="334"/>
      <c r="D3370" s="188" t="s">
        <v>22284</v>
      </c>
      <c r="E3370" s="189" t="s">
        <v>22285</v>
      </c>
      <c r="F3370" s="162" t="s">
        <v>22286</v>
      </c>
      <c r="G3370" s="162" t="s">
        <v>22287</v>
      </c>
      <c r="H3370" s="219"/>
      <c r="I3370" s="169">
        <v>112162</v>
      </c>
      <c r="J3370" s="304" t="str">
        <f>CONCATENATE([2]Cover!$D$6,"fdd/view?i=",I3370)</f>
        <v>https://www.dgiwg.org/FAD/fdd/view?i=112162</v>
      </c>
      <c r="K3370" s="304" t="s">
        <v>37419</v>
      </c>
      <c r="L3370" s="188">
        <v>610</v>
      </c>
      <c r="M3370" s="179" t="s">
        <v>151</v>
      </c>
    </row>
    <row r="3371" spans="1:13" ht="102">
      <c r="A3371" s="313" t="str">
        <f t="shared" si="52"/>
        <v>FeatureFunctionCode_televisionBroadcasting</v>
      </c>
      <c r="B3371" s="330"/>
      <c r="C3371" s="334"/>
      <c r="D3371" s="188" t="s">
        <v>22288</v>
      </c>
      <c r="E3371" s="189" t="s">
        <v>22289</v>
      </c>
      <c r="F3371" s="162" t="s">
        <v>22290</v>
      </c>
      <c r="G3371" s="162" t="s">
        <v>22291</v>
      </c>
      <c r="H3371" s="219"/>
      <c r="I3371" s="169">
        <v>112160</v>
      </c>
      <c r="J3371" s="304" t="str">
        <f>CONCATENATE([2]Cover!$D$6,"fdd/view?i=",I3371)</f>
        <v>https://www.dgiwg.org/FAD/fdd/view?i=112160</v>
      </c>
      <c r="K3371" s="304" t="s">
        <v>37420</v>
      </c>
      <c r="L3371" s="188">
        <v>604</v>
      </c>
      <c r="M3371" s="179" t="s">
        <v>151</v>
      </c>
    </row>
    <row r="3372" spans="1:13" ht="114.75">
      <c r="A3372" s="313" t="str">
        <f t="shared" si="52"/>
        <v>FeatureFunctionCode_terminal</v>
      </c>
      <c r="B3372" s="330"/>
      <c r="C3372" s="334"/>
      <c r="D3372" s="188" t="s">
        <v>22292</v>
      </c>
      <c r="E3372" s="189" t="s">
        <v>22293</v>
      </c>
      <c r="F3372" s="162" t="s">
        <v>22294</v>
      </c>
      <c r="G3372" s="162" t="s">
        <v>22295</v>
      </c>
      <c r="H3372" s="219"/>
      <c r="I3372" s="169">
        <v>112066</v>
      </c>
      <c r="J3372" s="304" t="str">
        <f>CONCATENATE([2]Cover!$D$6,"fdd/view?i=",I3372)</f>
        <v>https://www.dgiwg.org/FAD/fdd/view?i=112066</v>
      </c>
      <c r="K3372" s="304" t="s">
        <v>37421</v>
      </c>
      <c r="L3372" s="188">
        <v>481</v>
      </c>
      <c r="M3372" s="179" t="s">
        <v>151</v>
      </c>
    </row>
    <row r="3373" spans="1:13" ht="38.25">
      <c r="A3373" s="313" t="str">
        <f t="shared" si="52"/>
        <v>FeatureFunctionCode_textileAppLeatherManufac</v>
      </c>
      <c r="B3373" s="330"/>
      <c r="C3373" s="334"/>
      <c r="D3373" s="188" t="s">
        <v>22299</v>
      </c>
      <c r="E3373" s="189" t="s">
        <v>22300</v>
      </c>
      <c r="F3373" s="162" t="s">
        <v>22301</v>
      </c>
      <c r="G3373" s="162" t="s">
        <v>22302</v>
      </c>
      <c r="H3373" s="219"/>
      <c r="I3373" s="169">
        <v>206569</v>
      </c>
      <c r="J3373" s="304" t="str">
        <f>CONCATENATE([2]Cover!$D$6,"fdd/view?i=",I3373)</f>
        <v>https://www.dgiwg.org/FAD/fdd/view?i=206569</v>
      </c>
      <c r="K3373" s="304" t="s">
        <v>37422</v>
      </c>
      <c r="L3373" s="188">
        <v>129</v>
      </c>
      <c r="M3373" s="179" t="s">
        <v>1295</v>
      </c>
    </row>
    <row r="3374" spans="1:13" ht="51">
      <c r="A3374" s="313" t="str">
        <f t="shared" si="52"/>
        <v>FeatureFunctionCode_textileManufac</v>
      </c>
      <c r="B3374" s="330"/>
      <c r="C3374" s="334"/>
      <c r="D3374" s="188" t="s">
        <v>22296</v>
      </c>
      <c r="E3374" s="189" t="s">
        <v>22297</v>
      </c>
      <c r="F3374" s="162" t="s">
        <v>22298</v>
      </c>
      <c r="G3374" s="190"/>
      <c r="H3374" s="219"/>
      <c r="I3374" s="169">
        <v>111940</v>
      </c>
      <c r="J3374" s="304" t="str">
        <f>CONCATENATE([2]Cover!$D$6,"fdd/view?i=",I3374)</f>
        <v>https://www.dgiwg.org/FAD/fdd/view?i=111940</v>
      </c>
      <c r="K3374" s="304" t="s">
        <v>37423</v>
      </c>
      <c r="L3374" s="188">
        <v>130</v>
      </c>
      <c r="M3374" s="179" t="s">
        <v>151</v>
      </c>
    </row>
    <row r="3375" spans="1:13" ht="38.25">
      <c r="A3375" s="313" t="str">
        <f t="shared" si="52"/>
        <v>FeatureFunctionCode_theatre</v>
      </c>
      <c r="B3375" s="330"/>
      <c r="C3375" s="334"/>
      <c r="D3375" s="188" t="s">
        <v>22303</v>
      </c>
      <c r="E3375" s="189" t="s">
        <v>22304</v>
      </c>
      <c r="F3375" s="162" t="s">
        <v>22305</v>
      </c>
      <c r="G3375" s="162" t="s">
        <v>22306</v>
      </c>
      <c r="H3375" s="219"/>
      <c r="I3375" s="169">
        <v>112316</v>
      </c>
      <c r="J3375" s="304" t="str">
        <f>CONCATENATE([2]Cover!$D$6,"fdd/view?i=",I3375)</f>
        <v>https://www.dgiwg.org/FAD/fdd/view?i=112316</v>
      </c>
      <c r="K3375" s="304" t="s">
        <v>37424</v>
      </c>
      <c r="L3375" s="188">
        <v>891</v>
      </c>
      <c r="M3375" s="179" t="s">
        <v>151</v>
      </c>
    </row>
    <row r="3376" spans="1:13" ht="102">
      <c r="A3376" s="313" t="str">
        <f t="shared" si="52"/>
        <v>FeatureFunctionCode_tobaccoProdManufac</v>
      </c>
      <c r="B3376" s="330"/>
      <c r="C3376" s="334"/>
      <c r="D3376" s="188" t="s">
        <v>22307</v>
      </c>
      <c r="E3376" s="189" t="s">
        <v>22308</v>
      </c>
      <c r="F3376" s="162" t="s">
        <v>22309</v>
      </c>
      <c r="G3376" s="162" t="s">
        <v>22310</v>
      </c>
      <c r="H3376" s="219"/>
      <c r="I3376" s="169">
        <v>111938</v>
      </c>
      <c r="J3376" s="304" t="str">
        <f>CONCATENATE([2]Cover!$D$6,"fdd/view?i=",I3376)</f>
        <v>https://www.dgiwg.org/FAD/fdd/view?i=111938</v>
      </c>
      <c r="K3376" s="304" t="s">
        <v>37425</v>
      </c>
      <c r="L3376" s="188">
        <v>125</v>
      </c>
      <c r="M3376" s="179" t="s">
        <v>151</v>
      </c>
    </row>
    <row r="3377" spans="1:13" ht="114.75">
      <c r="A3377" s="313" t="str">
        <f t="shared" si="52"/>
        <v>FeatureFunctionCode_transferHub</v>
      </c>
      <c r="B3377" s="330"/>
      <c r="C3377" s="334"/>
      <c r="D3377" s="188" t="s">
        <v>22311</v>
      </c>
      <c r="E3377" s="189" t="s">
        <v>22312</v>
      </c>
      <c r="F3377" s="162" t="s">
        <v>22313</v>
      </c>
      <c r="G3377" s="162" t="s">
        <v>22314</v>
      </c>
      <c r="H3377" s="219"/>
      <c r="I3377" s="169">
        <v>112072</v>
      </c>
      <c r="J3377" s="304" t="str">
        <f>CONCATENATE([2]Cover!$D$6,"fdd/view?i=",I3377)</f>
        <v>https://www.dgiwg.org/FAD/fdd/view?i=112072</v>
      </c>
      <c r="K3377" s="304" t="s">
        <v>37426</v>
      </c>
      <c r="L3377" s="188">
        <v>484</v>
      </c>
      <c r="M3377" s="179" t="s">
        <v>151</v>
      </c>
    </row>
    <row r="3378" spans="1:13" ht="38.25">
      <c r="A3378" s="313" t="str">
        <f t="shared" si="52"/>
        <v>FeatureFunctionCode_transport</v>
      </c>
      <c r="B3378" s="330"/>
      <c r="C3378" s="334"/>
      <c r="D3378" s="188" t="s">
        <v>22315</v>
      </c>
      <c r="E3378" s="189" t="s">
        <v>22316</v>
      </c>
      <c r="F3378" s="162" t="s">
        <v>22317</v>
      </c>
      <c r="G3378" s="190"/>
      <c r="H3378" s="219"/>
      <c r="I3378" s="169">
        <v>112064</v>
      </c>
      <c r="J3378" s="304" t="str">
        <f>CONCATENATE([2]Cover!$D$6,"fdd/view?i=",I3378)</f>
        <v>https://www.dgiwg.org/FAD/fdd/view?i=112064</v>
      </c>
      <c r="K3378" s="304" t="s">
        <v>37427</v>
      </c>
      <c r="L3378" s="188">
        <v>480</v>
      </c>
      <c r="M3378" s="179" t="s">
        <v>151</v>
      </c>
    </row>
    <row r="3379" spans="1:13" ht="38.25">
      <c r="A3379" s="313" t="str">
        <f t="shared" si="52"/>
        <v>FeatureFunctionCode_transportationHub</v>
      </c>
      <c r="B3379" s="330"/>
      <c r="C3379" s="334"/>
      <c r="D3379" s="188" t="s">
        <v>22325</v>
      </c>
      <c r="E3379" s="189" t="s">
        <v>22326</v>
      </c>
      <c r="F3379" s="162" t="s">
        <v>22327</v>
      </c>
      <c r="G3379" s="190"/>
      <c r="H3379" s="219"/>
      <c r="I3379" s="169">
        <v>206580</v>
      </c>
      <c r="J3379" s="304" t="str">
        <f>CONCATENATE([2]Cover!$D$6,"fdd/view?i=",I3379)</f>
        <v>https://www.dgiwg.org/FAD/fdd/view?i=206580</v>
      </c>
      <c r="K3379" s="304" t="s">
        <v>37428</v>
      </c>
      <c r="L3379" s="188">
        <v>489</v>
      </c>
      <c r="M3379" s="179" t="s">
        <v>1295</v>
      </c>
    </row>
    <row r="3380" spans="1:13" ht="25.5">
      <c r="A3380" s="313" t="str">
        <f t="shared" si="52"/>
        <v>FeatureFunctionCode_transportationSupport</v>
      </c>
      <c r="B3380" s="330"/>
      <c r="C3380" s="334"/>
      <c r="D3380" s="188" t="s">
        <v>22328</v>
      </c>
      <c r="E3380" s="189" t="s">
        <v>22329</v>
      </c>
      <c r="F3380" s="162" t="s">
        <v>22330</v>
      </c>
      <c r="G3380" s="190"/>
      <c r="H3380" s="219"/>
      <c r="I3380" s="169">
        <v>206582</v>
      </c>
      <c r="J3380" s="304" t="str">
        <f>CONCATENATE([2]Cover!$D$6,"fdd/view?i=",I3380)</f>
        <v>https://www.dgiwg.org/FAD/fdd/view?i=206582</v>
      </c>
      <c r="K3380" s="304" t="s">
        <v>37429</v>
      </c>
      <c r="L3380" s="188">
        <v>529</v>
      </c>
      <c r="M3380" s="179" t="s">
        <v>1295</v>
      </c>
    </row>
    <row r="3381" spans="1:13" ht="38.25">
      <c r="A3381" s="313" t="str">
        <f t="shared" si="52"/>
        <v>FeatureFunctionCode_transportEquipManufac</v>
      </c>
      <c r="B3381" s="330"/>
      <c r="C3381" s="334"/>
      <c r="D3381" s="188" t="s">
        <v>22321</v>
      </c>
      <c r="E3381" s="189" t="s">
        <v>22322</v>
      </c>
      <c r="F3381" s="162" t="s">
        <v>22323</v>
      </c>
      <c r="G3381" s="162" t="s">
        <v>22324</v>
      </c>
      <c r="H3381" s="219"/>
      <c r="I3381" s="169">
        <v>206575</v>
      </c>
      <c r="J3381" s="304" t="str">
        <f>CONCATENATE([2]Cover!$D$6,"fdd/view?i=",I3381)</f>
        <v>https://www.dgiwg.org/FAD/fdd/view?i=206575</v>
      </c>
      <c r="K3381" s="304" t="s">
        <v>37430</v>
      </c>
      <c r="L3381" s="188">
        <v>289</v>
      </c>
      <c r="M3381" s="179" t="s">
        <v>1295</v>
      </c>
    </row>
    <row r="3382" spans="1:13" ht="38.25">
      <c r="A3382" s="313" t="str">
        <f t="shared" si="52"/>
        <v>FeatureFunctionCode_transportSystemMaint</v>
      </c>
      <c r="B3382" s="330"/>
      <c r="C3382" s="334"/>
      <c r="D3382" s="188" t="s">
        <v>22318</v>
      </c>
      <c r="E3382" s="189" t="s">
        <v>22319</v>
      </c>
      <c r="F3382" s="162" t="s">
        <v>22320</v>
      </c>
      <c r="G3382" s="190"/>
      <c r="H3382" s="219"/>
      <c r="I3382" s="169">
        <v>112076</v>
      </c>
      <c r="J3382" s="304" t="str">
        <f>CONCATENATE([2]Cover!$D$6,"fdd/view?i=",I3382)</f>
        <v>https://www.dgiwg.org/FAD/fdd/view?i=112076</v>
      </c>
      <c r="K3382" s="304" t="s">
        <v>37431</v>
      </c>
      <c r="L3382" s="188">
        <v>487</v>
      </c>
      <c r="M3382" s="179" t="s">
        <v>151</v>
      </c>
    </row>
    <row r="3383" spans="1:13" ht="38.25">
      <c r="A3383" s="313" t="str">
        <f t="shared" si="52"/>
        <v>FeatureFunctionCode_travelAgency</v>
      </c>
      <c r="B3383" s="330"/>
      <c r="C3383" s="334"/>
      <c r="D3383" s="188" t="s">
        <v>22331</v>
      </c>
      <c r="E3383" s="189" t="s">
        <v>22332</v>
      </c>
      <c r="F3383" s="162" t="s">
        <v>22333</v>
      </c>
      <c r="G3383" s="190"/>
      <c r="H3383" s="219"/>
      <c r="I3383" s="169">
        <v>112230</v>
      </c>
      <c r="J3383" s="304" t="str">
        <f>CONCATENATE([2]Cover!$D$6,"fdd/view?i=",I3383)</f>
        <v>https://www.dgiwg.org/FAD/fdd/view?i=112230</v>
      </c>
      <c r="K3383" s="304" t="s">
        <v>37432</v>
      </c>
      <c r="L3383" s="188">
        <v>775</v>
      </c>
      <c r="M3383" s="179" t="s">
        <v>151</v>
      </c>
    </row>
    <row r="3384" spans="1:13" ht="114.75">
      <c r="A3384" s="313" t="str">
        <f t="shared" si="52"/>
        <v>FeatureFunctionCode_urgentMedicalCare</v>
      </c>
      <c r="B3384" s="330"/>
      <c r="C3384" s="334"/>
      <c r="D3384" s="188" t="s">
        <v>22334</v>
      </c>
      <c r="E3384" s="189" t="s">
        <v>22335</v>
      </c>
      <c r="F3384" s="162" t="s">
        <v>22336</v>
      </c>
      <c r="G3384" s="162" t="s">
        <v>22337</v>
      </c>
      <c r="H3384" s="219"/>
      <c r="I3384" s="169">
        <v>118564</v>
      </c>
      <c r="J3384" s="304" t="str">
        <f>CONCATENATE([2]Cover!$D$6,"fdd/view?i=",I3384)</f>
        <v>https://www.dgiwg.org/FAD/fdd/view?i=118564</v>
      </c>
      <c r="K3384" s="304" t="s">
        <v>37433</v>
      </c>
      <c r="L3384" s="188">
        <v>863</v>
      </c>
      <c r="M3384" s="179" t="s">
        <v>151</v>
      </c>
    </row>
    <row r="3385" spans="1:13" ht="63.75">
      <c r="A3385" s="313" t="str">
        <f t="shared" si="52"/>
        <v>FeatureFunctionCode_utilities</v>
      </c>
      <c r="B3385" s="330"/>
      <c r="C3385" s="334"/>
      <c r="D3385" s="188" t="s">
        <v>22338</v>
      </c>
      <c r="E3385" s="189" t="s">
        <v>22339</v>
      </c>
      <c r="F3385" s="162" t="s">
        <v>22340</v>
      </c>
      <c r="G3385" s="162" t="s">
        <v>22341</v>
      </c>
      <c r="H3385" s="219"/>
      <c r="I3385" s="169">
        <v>112040</v>
      </c>
      <c r="J3385" s="304" t="str">
        <f>CONCATENATE([2]Cover!$D$6,"fdd/view?i=",I3385)</f>
        <v>https://www.dgiwg.org/FAD/fdd/view?i=112040</v>
      </c>
      <c r="K3385" s="304" t="s">
        <v>37434</v>
      </c>
      <c r="L3385" s="188">
        <v>350</v>
      </c>
      <c r="M3385" s="179" t="s">
        <v>151</v>
      </c>
    </row>
    <row r="3386" spans="1:13" ht="89.25">
      <c r="A3386" s="313" t="str">
        <f t="shared" si="52"/>
        <v>FeatureFunctionCode_vacationCottage</v>
      </c>
      <c r="B3386" s="330"/>
      <c r="C3386" s="334"/>
      <c r="D3386" s="188" t="s">
        <v>22342</v>
      </c>
      <c r="E3386" s="189" t="s">
        <v>22343</v>
      </c>
      <c r="F3386" s="162" t="s">
        <v>22344</v>
      </c>
      <c r="G3386" s="162" t="s">
        <v>22345</v>
      </c>
      <c r="H3386" s="219"/>
      <c r="I3386" s="169">
        <v>112138</v>
      </c>
      <c r="J3386" s="304" t="str">
        <f>CONCATENATE([2]Cover!$D$6,"fdd/view?i=",I3386)</f>
        <v>https://www.dgiwg.org/FAD/fdd/view?i=112138</v>
      </c>
      <c r="K3386" s="304" t="s">
        <v>37435</v>
      </c>
      <c r="L3386" s="188">
        <v>557</v>
      </c>
      <c r="M3386" s="179" t="s">
        <v>151</v>
      </c>
    </row>
    <row r="3387" spans="1:13" ht="25.5">
      <c r="A3387" s="313" t="str">
        <f t="shared" si="52"/>
        <v>FeatureFunctionCode_veterinary</v>
      </c>
      <c r="B3387" s="330"/>
      <c r="C3387" s="334"/>
      <c r="D3387" s="188" t="s">
        <v>22346</v>
      </c>
      <c r="E3387" s="189" t="s">
        <v>22347</v>
      </c>
      <c r="F3387" s="162" t="s">
        <v>22348</v>
      </c>
      <c r="G3387" s="190"/>
      <c r="H3387" s="219"/>
      <c r="I3387" s="169">
        <v>112224</v>
      </c>
      <c r="J3387" s="304" t="str">
        <f>CONCATENATE([2]Cover!$D$6,"fdd/view?i=",I3387)</f>
        <v>https://www.dgiwg.org/FAD/fdd/view?i=112224</v>
      </c>
      <c r="K3387" s="304" t="s">
        <v>37436</v>
      </c>
      <c r="L3387" s="188">
        <v>757</v>
      </c>
      <c r="M3387" s="179" t="s">
        <v>151</v>
      </c>
    </row>
    <row r="3388" spans="1:13" ht="51">
      <c r="A3388" s="313" t="str">
        <f t="shared" si="52"/>
        <v>FeatureFunctionCode_vocationalEducation</v>
      </c>
      <c r="B3388" s="330"/>
      <c r="C3388" s="334"/>
      <c r="D3388" s="188" t="s">
        <v>22349</v>
      </c>
      <c r="E3388" s="189" t="s">
        <v>22350</v>
      </c>
      <c r="F3388" s="162" t="s">
        <v>22351</v>
      </c>
      <c r="G3388" s="162" t="s">
        <v>22352</v>
      </c>
      <c r="H3388" s="219"/>
      <c r="I3388" s="169">
        <v>118562</v>
      </c>
      <c r="J3388" s="304" t="str">
        <f>CONCATENATE([2]Cover!$D$6,"fdd/view?i=",I3388)</f>
        <v>https://www.dgiwg.org/FAD/fdd/view?i=118562</v>
      </c>
      <c r="K3388" s="304" t="s">
        <v>37437</v>
      </c>
      <c r="L3388" s="188">
        <v>857</v>
      </c>
      <c r="M3388" s="179" t="s">
        <v>151</v>
      </c>
    </row>
    <row r="3389" spans="1:13" ht="38.25">
      <c r="A3389" s="313" t="str">
        <f t="shared" si="52"/>
        <v>FeatureFunctionCode_warehousingStorage</v>
      </c>
      <c r="B3389" s="330"/>
      <c r="C3389" s="334"/>
      <c r="D3389" s="188" t="s">
        <v>22353</v>
      </c>
      <c r="E3389" s="189" t="s">
        <v>22354</v>
      </c>
      <c r="F3389" s="162" t="s">
        <v>22355</v>
      </c>
      <c r="G3389" s="190"/>
      <c r="H3389" s="219"/>
      <c r="I3389" s="169">
        <v>112112</v>
      </c>
      <c r="J3389" s="304" t="str">
        <f>CONCATENATE([2]Cover!$D$6,"fdd/view?i=",I3389)</f>
        <v>https://www.dgiwg.org/FAD/fdd/view?i=112112</v>
      </c>
      <c r="K3389" s="304" t="s">
        <v>37438</v>
      </c>
      <c r="L3389" s="188">
        <v>530</v>
      </c>
      <c r="M3389" s="179" t="s">
        <v>151</v>
      </c>
    </row>
    <row r="3390" spans="1:13" ht="89.25">
      <c r="A3390" s="313" t="str">
        <f t="shared" si="52"/>
        <v>FeatureFunctionCode_wasteTreatmentDisposal</v>
      </c>
      <c r="B3390" s="330"/>
      <c r="C3390" s="334"/>
      <c r="D3390" s="188" t="s">
        <v>22356</v>
      </c>
      <c r="E3390" s="189" t="s">
        <v>22357</v>
      </c>
      <c r="F3390" s="162" t="s">
        <v>22358</v>
      </c>
      <c r="G3390" s="162" t="s">
        <v>22359</v>
      </c>
      <c r="H3390" s="219"/>
      <c r="I3390" s="169">
        <v>112050</v>
      </c>
      <c r="J3390" s="304" t="str">
        <f>CONCATENATE([2]Cover!$D$6,"fdd/view?i=",I3390)</f>
        <v>https://www.dgiwg.org/FAD/fdd/view?i=112050</v>
      </c>
      <c r="K3390" s="304" t="s">
        <v>37439</v>
      </c>
      <c r="L3390" s="188">
        <v>383</v>
      </c>
      <c r="M3390" s="179" t="s">
        <v>151</v>
      </c>
    </row>
    <row r="3391" spans="1:13" ht="51">
      <c r="A3391" s="313" t="str">
        <f t="shared" si="52"/>
        <v>FeatureFunctionCode_waterCollection</v>
      </c>
      <c r="B3391" s="330"/>
      <c r="C3391" s="334"/>
      <c r="D3391" s="188" t="s">
        <v>22360</v>
      </c>
      <c r="E3391" s="189" t="s">
        <v>22361</v>
      </c>
      <c r="F3391" s="162" t="s">
        <v>22362</v>
      </c>
      <c r="G3391" s="162" t="s">
        <v>22363</v>
      </c>
      <c r="H3391" s="219"/>
      <c r="I3391" s="169">
        <v>112362</v>
      </c>
      <c r="J3391" s="304" t="str">
        <f>CONCATENATE([2]Cover!$D$6,"fdd/view?i=",I3391)</f>
        <v>https://www.dgiwg.org/FAD/fdd/view?i=112362</v>
      </c>
      <c r="K3391" s="304" t="s">
        <v>37440</v>
      </c>
      <c r="L3391" s="188">
        <v>361</v>
      </c>
      <c r="M3391" s="179" t="s">
        <v>151</v>
      </c>
    </row>
    <row r="3392" spans="1:13" ht="76.5">
      <c r="A3392" s="313" t="str">
        <f t="shared" si="52"/>
        <v>FeatureFunctionCode_waterDistribution</v>
      </c>
      <c r="B3392" s="330"/>
      <c r="C3392" s="334"/>
      <c r="D3392" s="188" t="s">
        <v>13376</v>
      </c>
      <c r="E3392" s="189" t="s">
        <v>13377</v>
      </c>
      <c r="F3392" s="162" t="s">
        <v>22364</v>
      </c>
      <c r="G3392" s="162" t="s">
        <v>22365</v>
      </c>
      <c r="H3392" s="219"/>
      <c r="I3392" s="169">
        <v>112366</v>
      </c>
      <c r="J3392" s="304" t="str">
        <f>CONCATENATE([2]Cover!$D$6,"fdd/view?i=",I3392)</f>
        <v>https://www.dgiwg.org/FAD/fdd/view?i=112366</v>
      </c>
      <c r="K3392" s="304" t="s">
        <v>37441</v>
      </c>
      <c r="L3392" s="188">
        <v>363</v>
      </c>
      <c r="M3392" s="179" t="s">
        <v>151</v>
      </c>
    </row>
    <row r="3393" spans="1:13" ht="51">
      <c r="A3393" s="313" t="str">
        <f t="shared" si="52"/>
        <v>FeatureFunctionCode_waterSupply</v>
      </c>
      <c r="B3393" s="330"/>
      <c r="C3393" s="334"/>
      <c r="D3393" s="188" t="s">
        <v>22366</v>
      </c>
      <c r="E3393" s="189" t="s">
        <v>22367</v>
      </c>
      <c r="F3393" s="162" t="s">
        <v>22368</v>
      </c>
      <c r="G3393" s="162" t="s">
        <v>22369</v>
      </c>
      <c r="H3393" s="219"/>
      <c r="I3393" s="169">
        <v>206578</v>
      </c>
      <c r="J3393" s="304" t="str">
        <f>CONCATENATE([2]Cover!$D$6,"fdd/view?i=",I3393)</f>
        <v>https://www.dgiwg.org/FAD/fdd/view?i=206578</v>
      </c>
      <c r="K3393" s="304" t="s">
        <v>37442</v>
      </c>
      <c r="L3393" s="188">
        <v>360</v>
      </c>
      <c r="M3393" s="179" t="s">
        <v>1295</v>
      </c>
    </row>
    <row r="3394" spans="1:13" ht="38.25">
      <c r="A3394" s="313" t="str">
        <f t="shared" si="52"/>
        <v>FeatureFunctionCode_waterTransport</v>
      </c>
      <c r="B3394" s="330"/>
      <c r="C3394" s="334"/>
      <c r="D3394" s="188" t="s">
        <v>22370</v>
      </c>
      <c r="E3394" s="189" t="s">
        <v>22371</v>
      </c>
      <c r="F3394" s="162" t="s">
        <v>22372</v>
      </c>
      <c r="G3394" s="162" t="s">
        <v>22373</v>
      </c>
      <c r="H3394" s="219"/>
      <c r="I3394" s="169">
        <v>112094</v>
      </c>
      <c r="J3394" s="304" t="str">
        <f>CONCATENATE([2]Cover!$D$6,"fdd/view?i=",I3394)</f>
        <v>https://www.dgiwg.org/FAD/fdd/view?i=112094</v>
      </c>
      <c r="K3394" s="304" t="s">
        <v>37443</v>
      </c>
      <c r="L3394" s="188">
        <v>505</v>
      </c>
      <c r="M3394" s="179" t="s">
        <v>151</v>
      </c>
    </row>
    <row r="3395" spans="1:13" ht="63.75">
      <c r="A3395" s="313" t="str">
        <f t="shared" ref="A3395:A3458" si="53">HYPERLINK(J3395,K3395)</f>
        <v>FeatureFunctionCode_waterTreatment</v>
      </c>
      <c r="B3395" s="330"/>
      <c r="C3395" s="334"/>
      <c r="D3395" s="188" t="s">
        <v>22374</v>
      </c>
      <c r="E3395" s="189" t="s">
        <v>22375</v>
      </c>
      <c r="F3395" s="162" t="s">
        <v>22376</v>
      </c>
      <c r="G3395" s="162" t="s">
        <v>22377</v>
      </c>
      <c r="H3395" s="219"/>
      <c r="I3395" s="169">
        <v>112364</v>
      </c>
      <c r="J3395" s="304" t="str">
        <f>CONCATENATE([2]Cover!$D$6,"fdd/view?i=",I3395)</f>
        <v>https://www.dgiwg.org/FAD/fdd/view?i=112364</v>
      </c>
      <c r="K3395" s="304" t="s">
        <v>37444</v>
      </c>
      <c r="L3395" s="188">
        <v>362</v>
      </c>
      <c r="M3395" s="179" t="s">
        <v>151</v>
      </c>
    </row>
    <row r="3396" spans="1:13" ht="25.5">
      <c r="A3396" s="313" t="str">
        <f t="shared" si="53"/>
        <v>FeatureFunctionCode_weatherStation</v>
      </c>
      <c r="B3396" s="330"/>
      <c r="C3396" s="334"/>
      <c r="D3396" s="188" t="s">
        <v>22378</v>
      </c>
      <c r="E3396" s="189" t="s">
        <v>22379</v>
      </c>
      <c r="F3396" s="162" t="s">
        <v>22380</v>
      </c>
      <c r="G3396" s="190"/>
      <c r="H3396" s="219"/>
      <c r="I3396" s="169">
        <v>112214</v>
      </c>
      <c r="J3396" s="304" t="str">
        <f>CONCATENATE([2]Cover!$D$6,"fdd/view?i=",I3396)</f>
        <v>https://www.dgiwg.org/FAD/fdd/view?i=112214</v>
      </c>
      <c r="K3396" s="304" t="s">
        <v>37445</v>
      </c>
      <c r="L3396" s="188">
        <v>722</v>
      </c>
      <c r="M3396" s="179" t="s">
        <v>151</v>
      </c>
    </row>
    <row r="3397" spans="1:13" ht="140.25">
      <c r="A3397" s="313" t="str">
        <f t="shared" si="53"/>
        <v>FeatureFunctionCode_wholesaleMerchant</v>
      </c>
      <c r="B3397" s="330"/>
      <c r="C3397" s="334"/>
      <c r="D3397" s="188" t="s">
        <v>22381</v>
      </c>
      <c r="E3397" s="189" t="s">
        <v>22382</v>
      </c>
      <c r="F3397" s="162" t="s">
        <v>22383</v>
      </c>
      <c r="G3397" s="162" t="s">
        <v>22384</v>
      </c>
      <c r="H3397" s="221" t="s">
        <v>22385</v>
      </c>
      <c r="I3397" s="169">
        <v>112368</v>
      </c>
      <c r="J3397" s="304" t="str">
        <f>CONCATENATE([2]Cover!$D$6,"fdd/view?i=",I3397)</f>
        <v>https://www.dgiwg.org/FAD/fdd/view?i=112368</v>
      </c>
      <c r="K3397" s="304" t="s">
        <v>37446</v>
      </c>
      <c r="L3397" s="188">
        <v>459</v>
      </c>
      <c r="M3397" s="179" t="s">
        <v>151</v>
      </c>
    </row>
    <row r="3398" spans="1:13" ht="38.25">
      <c r="A3398" s="313" t="str">
        <f t="shared" si="53"/>
        <v>FeatureFunctionCode_windTunnel</v>
      </c>
      <c r="B3398" s="330"/>
      <c r="C3398" s="334"/>
      <c r="D3398" s="188" t="s">
        <v>22386</v>
      </c>
      <c r="E3398" s="189" t="s">
        <v>22387</v>
      </c>
      <c r="F3398" s="162" t="s">
        <v>22388</v>
      </c>
      <c r="G3398" s="190"/>
      <c r="H3398" s="219"/>
      <c r="I3398" s="169">
        <v>112218</v>
      </c>
      <c r="J3398" s="304" t="str">
        <f>CONCATENATE([2]Cover!$D$6,"fdd/view?i=",I3398)</f>
        <v>https://www.dgiwg.org/FAD/fdd/view?i=112218</v>
      </c>
      <c r="K3398" s="304" t="s">
        <v>37447</v>
      </c>
      <c r="L3398" s="188">
        <v>730</v>
      </c>
      <c r="M3398" s="179" t="s">
        <v>151</v>
      </c>
    </row>
    <row r="3399" spans="1:13" ht="114.75">
      <c r="A3399" s="313" t="str">
        <f t="shared" si="53"/>
        <v>FeatureFunctionCode_winery</v>
      </c>
      <c r="B3399" s="330"/>
      <c r="C3399" s="334"/>
      <c r="D3399" s="188" t="s">
        <v>22389</v>
      </c>
      <c r="E3399" s="189" t="s">
        <v>22390</v>
      </c>
      <c r="F3399" s="162" t="s">
        <v>22391</v>
      </c>
      <c r="G3399" s="162" t="s">
        <v>22392</v>
      </c>
      <c r="H3399" s="219"/>
      <c r="I3399" s="169">
        <v>111932</v>
      </c>
      <c r="J3399" s="304" t="str">
        <f>CONCATENATE([2]Cover!$D$6,"fdd/view?i=",I3399)</f>
        <v>https://www.dgiwg.org/FAD/fdd/view?i=111932</v>
      </c>
      <c r="K3399" s="304" t="s">
        <v>37448</v>
      </c>
      <c r="L3399" s="188">
        <v>122</v>
      </c>
      <c r="M3399" s="179" t="s">
        <v>151</v>
      </c>
    </row>
    <row r="3400" spans="1:13" ht="127.5">
      <c r="A3400" s="313" t="str">
        <f t="shared" si="53"/>
        <v>FeatureFunctionCode_wiredRepeater</v>
      </c>
      <c r="B3400" s="330"/>
      <c r="C3400" s="334"/>
      <c r="D3400" s="188" t="s">
        <v>22393</v>
      </c>
      <c r="E3400" s="189" t="s">
        <v>22394</v>
      </c>
      <c r="F3400" s="162" t="s">
        <v>22395</v>
      </c>
      <c r="G3400" s="162" t="s">
        <v>22396</v>
      </c>
      <c r="H3400" s="219"/>
      <c r="I3400" s="169">
        <v>112172</v>
      </c>
      <c r="J3400" s="304" t="str">
        <f>CONCATENATE([2]Cover!$D$6,"fdd/view?i=",I3400)</f>
        <v>https://www.dgiwg.org/FAD/fdd/view?i=112172</v>
      </c>
      <c r="K3400" s="304" t="s">
        <v>37449</v>
      </c>
      <c r="L3400" s="188">
        <v>617</v>
      </c>
      <c r="M3400" s="179" t="s">
        <v>151</v>
      </c>
    </row>
    <row r="3401" spans="1:13" ht="165.75">
      <c r="A3401" s="313" t="str">
        <f t="shared" si="53"/>
        <v>FeatureFunctionCode_wiredTelecom</v>
      </c>
      <c r="B3401" s="330"/>
      <c r="C3401" s="334"/>
      <c r="D3401" s="188" t="s">
        <v>22397</v>
      </c>
      <c r="E3401" s="189" t="s">
        <v>22398</v>
      </c>
      <c r="F3401" s="162" t="s">
        <v>22399</v>
      </c>
      <c r="G3401" s="162" t="s">
        <v>22400</v>
      </c>
      <c r="H3401" s="219"/>
      <c r="I3401" s="169">
        <v>112166</v>
      </c>
      <c r="J3401" s="304" t="str">
        <f>CONCATENATE([2]Cover!$D$6,"fdd/view?i=",I3401)</f>
        <v>https://www.dgiwg.org/FAD/fdd/view?i=112166</v>
      </c>
      <c r="K3401" s="304" t="s">
        <v>37450</v>
      </c>
      <c r="L3401" s="188">
        <v>614</v>
      </c>
      <c r="M3401" s="179" t="s">
        <v>151</v>
      </c>
    </row>
    <row r="3402" spans="1:13" ht="216.75">
      <c r="A3402" s="313" t="str">
        <f t="shared" si="53"/>
        <v>FeatureFunctionCode_wirelessRepeater</v>
      </c>
      <c r="B3402" s="330"/>
      <c r="C3402" s="334"/>
      <c r="D3402" s="188" t="s">
        <v>22401</v>
      </c>
      <c r="E3402" s="189" t="s">
        <v>22402</v>
      </c>
      <c r="F3402" s="162" t="s">
        <v>22403</v>
      </c>
      <c r="G3402" s="162" t="s">
        <v>22404</v>
      </c>
      <c r="H3402" s="219"/>
      <c r="I3402" s="169">
        <v>112178</v>
      </c>
      <c r="J3402" s="304" t="str">
        <f>CONCATENATE([2]Cover!$D$6,"fdd/view?i=",I3402)</f>
        <v>https://www.dgiwg.org/FAD/fdd/view?i=112178</v>
      </c>
      <c r="K3402" s="304" t="s">
        <v>37451</v>
      </c>
      <c r="L3402" s="188">
        <v>622</v>
      </c>
      <c r="M3402" s="179" t="s">
        <v>151</v>
      </c>
    </row>
    <row r="3403" spans="1:13" ht="102">
      <c r="A3403" s="313" t="str">
        <f t="shared" si="53"/>
        <v>FeatureFunctionCode_wirelessTelecom</v>
      </c>
      <c r="B3403" s="330"/>
      <c r="C3403" s="334"/>
      <c r="D3403" s="188" t="s">
        <v>22405</v>
      </c>
      <c r="E3403" s="189" t="s">
        <v>22406</v>
      </c>
      <c r="F3403" s="162" t="s">
        <v>22407</v>
      </c>
      <c r="G3403" s="162" t="s">
        <v>22408</v>
      </c>
      <c r="H3403" s="219"/>
      <c r="I3403" s="169">
        <v>112174</v>
      </c>
      <c r="J3403" s="304" t="str">
        <f>CONCATENATE([2]Cover!$D$6,"fdd/view?i=",I3403)</f>
        <v>https://www.dgiwg.org/FAD/fdd/view?i=112174</v>
      </c>
      <c r="K3403" s="304" t="s">
        <v>37452</v>
      </c>
      <c r="L3403" s="188">
        <v>620</v>
      </c>
      <c r="M3403" s="179" t="s">
        <v>151</v>
      </c>
    </row>
    <row r="3404" spans="1:13" ht="25.5">
      <c r="A3404" s="313" t="str">
        <f t="shared" si="53"/>
        <v>FeatureFunctionCode_woodBasedManufac</v>
      </c>
      <c r="B3404" s="330"/>
      <c r="C3404" s="334"/>
      <c r="D3404" s="188" t="s">
        <v>22409</v>
      </c>
      <c r="E3404" s="189" t="s">
        <v>22410</v>
      </c>
      <c r="F3404" s="162" t="s">
        <v>22411</v>
      </c>
      <c r="G3404" s="190"/>
      <c r="H3404" s="219"/>
      <c r="I3404" s="169">
        <v>206570</v>
      </c>
      <c r="J3404" s="304" t="str">
        <f>CONCATENATE([2]Cover!$D$6,"fdd/view?i=",I3404)</f>
        <v>https://www.dgiwg.org/FAD/fdd/view?i=206570</v>
      </c>
      <c r="K3404" s="304" t="s">
        <v>37453</v>
      </c>
      <c r="L3404" s="188">
        <v>160</v>
      </c>
      <c r="M3404" s="179" t="s">
        <v>1295</v>
      </c>
    </row>
    <row r="3405" spans="1:13" ht="191.25">
      <c r="A3405" s="313" t="str">
        <f t="shared" si="53"/>
        <v>FeatureFunctionCode_woodConstructProdManufac</v>
      </c>
      <c r="B3405" s="330"/>
      <c r="C3405" s="334"/>
      <c r="D3405" s="188" t="s">
        <v>22412</v>
      </c>
      <c r="E3405" s="189" t="s">
        <v>22413</v>
      </c>
      <c r="F3405" s="162" t="s">
        <v>22414</v>
      </c>
      <c r="G3405" s="162" t="s">
        <v>22415</v>
      </c>
      <c r="H3405" s="219"/>
      <c r="I3405" s="169">
        <v>111950</v>
      </c>
      <c r="J3405" s="304" t="str">
        <f>CONCATENATE([2]Cover!$D$6,"fdd/view?i=",I3405)</f>
        <v>https://www.dgiwg.org/FAD/fdd/view?i=111950</v>
      </c>
      <c r="K3405" s="304" t="s">
        <v>37454</v>
      </c>
      <c r="L3405" s="188">
        <v>165</v>
      </c>
      <c r="M3405" s="179" t="s">
        <v>151</v>
      </c>
    </row>
    <row r="3406" spans="1:13" ht="51">
      <c r="A3406" s="313" t="str">
        <f t="shared" si="53"/>
        <v>FeatureFunctionCode_yachtClub</v>
      </c>
      <c r="B3406" s="331"/>
      <c r="C3406" s="335"/>
      <c r="D3406" s="181" t="s">
        <v>17500</v>
      </c>
      <c r="E3406" s="192" t="s">
        <v>17501</v>
      </c>
      <c r="F3406" s="193" t="s">
        <v>22416</v>
      </c>
      <c r="G3406" s="193" t="s">
        <v>22417</v>
      </c>
      <c r="H3406" s="223" t="s">
        <v>22418</v>
      </c>
      <c r="I3406" s="169">
        <v>112348</v>
      </c>
      <c r="J3406" s="304" t="str">
        <f>CONCATENATE([2]Cover!$D$6,"fdd/view?i=",I3406)</f>
        <v>https://www.dgiwg.org/FAD/fdd/view?i=112348</v>
      </c>
      <c r="K3406" s="304" t="s">
        <v>37455</v>
      </c>
      <c r="L3406" s="181">
        <v>955</v>
      </c>
      <c r="M3406" s="179" t="s">
        <v>151</v>
      </c>
    </row>
    <row r="3407" spans="1:13" ht="63.75">
      <c r="A3407" s="313" t="str">
        <f t="shared" si="53"/>
        <v>FenceFunctionCode_animalContainment</v>
      </c>
      <c r="B3407" s="332" t="str">
        <f>HYPERLINK("[#]Datatypes!A552:L552","FenceFunctionCode")</f>
        <v>FenceFunctionCode</v>
      </c>
      <c r="C3407" s="333" t="s">
        <v>12096</v>
      </c>
      <c r="D3407" s="202" t="s">
        <v>22419</v>
      </c>
      <c r="E3407" s="203" t="s">
        <v>22420</v>
      </c>
      <c r="F3407" s="204" t="s">
        <v>22421</v>
      </c>
      <c r="G3407" s="204" t="s">
        <v>22422</v>
      </c>
      <c r="H3407" s="218"/>
      <c r="I3407" s="169">
        <v>118883</v>
      </c>
      <c r="J3407" s="304" t="str">
        <f>CONCATENATE([2]Cover!$D$6,"fdd/view?i=",I3407)</f>
        <v>https://www.dgiwg.org/FAD/fdd/view?i=118883</v>
      </c>
      <c r="K3407" s="304" t="s">
        <v>37456</v>
      </c>
      <c r="L3407" s="202">
        <v>1</v>
      </c>
      <c r="M3407" s="179" t="s">
        <v>151</v>
      </c>
    </row>
    <row r="3408" spans="1:13" ht="89.25">
      <c r="A3408" s="313" t="str">
        <f t="shared" si="53"/>
        <v>FenceFunctionCode_erosionControl</v>
      </c>
      <c r="B3408" s="330"/>
      <c r="C3408" s="334"/>
      <c r="D3408" s="188" t="s">
        <v>22423</v>
      </c>
      <c r="E3408" s="189" t="s">
        <v>22424</v>
      </c>
      <c r="F3408" s="162" t="s">
        <v>22425</v>
      </c>
      <c r="G3408" s="162" t="s">
        <v>22426</v>
      </c>
      <c r="H3408" s="219"/>
      <c r="I3408" s="169">
        <v>118884</v>
      </c>
      <c r="J3408" s="304" t="str">
        <f>CONCATENATE([2]Cover!$D$6,"fdd/view?i=",I3408)</f>
        <v>https://www.dgiwg.org/FAD/fdd/view?i=118884</v>
      </c>
      <c r="K3408" s="304" t="s">
        <v>37457</v>
      </c>
      <c r="L3408" s="188">
        <v>2</v>
      </c>
      <c r="M3408" s="179" t="s">
        <v>151</v>
      </c>
    </row>
    <row r="3409" spans="1:13" ht="102">
      <c r="A3409" s="313" t="str">
        <f t="shared" si="53"/>
        <v>FenceFunctionCode_exclusion</v>
      </c>
      <c r="B3409" s="330"/>
      <c r="C3409" s="334"/>
      <c r="D3409" s="188" t="s">
        <v>22427</v>
      </c>
      <c r="E3409" s="189" t="s">
        <v>22428</v>
      </c>
      <c r="F3409" s="162" t="s">
        <v>22429</v>
      </c>
      <c r="G3409" s="162" t="s">
        <v>22430</v>
      </c>
      <c r="H3409" s="221" t="s">
        <v>22431</v>
      </c>
      <c r="I3409" s="169">
        <v>118885</v>
      </c>
      <c r="J3409" s="304" t="str">
        <f>CONCATENATE([2]Cover!$D$6,"fdd/view?i=",I3409)</f>
        <v>https://www.dgiwg.org/FAD/fdd/view?i=118885</v>
      </c>
      <c r="K3409" s="304" t="s">
        <v>37458</v>
      </c>
      <c r="L3409" s="188">
        <v>3</v>
      </c>
      <c r="M3409" s="179" t="s">
        <v>151</v>
      </c>
    </row>
    <row r="3410" spans="1:13" ht="63.75">
      <c r="A3410" s="313" t="str">
        <f t="shared" si="53"/>
        <v>FenceFunctionCode_security</v>
      </c>
      <c r="B3410" s="330"/>
      <c r="C3410" s="334"/>
      <c r="D3410" s="188" t="s">
        <v>15939</v>
      </c>
      <c r="E3410" s="189" t="s">
        <v>15940</v>
      </c>
      <c r="F3410" s="162" t="s">
        <v>22432</v>
      </c>
      <c r="G3410" s="162" t="s">
        <v>22433</v>
      </c>
      <c r="H3410" s="219"/>
      <c r="I3410" s="169">
        <v>118886</v>
      </c>
      <c r="J3410" s="304" t="str">
        <f>CONCATENATE([2]Cover!$D$6,"fdd/view?i=",I3410)</f>
        <v>https://www.dgiwg.org/FAD/fdd/view?i=118886</v>
      </c>
      <c r="K3410" s="304" t="s">
        <v>37459</v>
      </c>
      <c r="L3410" s="188">
        <v>4</v>
      </c>
      <c r="M3410" s="179" t="s">
        <v>151</v>
      </c>
    </row>
    <row r="3411" spans="1:13" ht="114.75">
      <c r="A3411" s="313" t="str">
        <f t="shared" si="53"/>
        <v>FenceFunctionCode_wind</v>
      </c>
      <c r="B3411" s="331"/>
      <c r="C3411" s="335"/>
      <c r="D3411" s="181" t="s">
        <v>22434</v>
      </c>
      <c r="E3411" s="192" t="s">
        <v>22435</v>
      </c>
      <c r="F3411" s="193" t="s">
        <v>22436</v>
      </c>
      <c r="G3411" s="193" t="s">
        <v>22437</v>
      </c>
      <c r="H3411" s="223" t="s">
        <v>22438</v>
      </c>
      <c r="I3411" s="169">
        <v>118887</v>
      </c>
      <c r="J3411" s="304" t="str">
        <f>CONCATENATE([2]Cover!$D$6,"fdd/view?i=",I3411)</f>
        <v>https://www.dgiwg.org/FAD/fdd/view?i=118887</v>
      </c>
      <c r="K3411" s="304" t="s">
        <v>37460</v>
      </c>
      <c r="L3411" s="181">
        <v>5</v>
      </c>
      <c r="M3411" s="179" t="s">
        <v>151</v>
      </c>
    </row>
    <row r="3412" spans="1:13" ht="25.5">
      <c r="A3412" s="313" t="str">
        <f t="shared" si="53"/>
        <v>FenceTypeCode_barbedWire</v>
      </c>
      <c r="B3412" s="332" t="str">
        <f>HYPERLINK("[#]Datatypes!A554:L554","FenceTypeCode")</f>
        <v>FenceTypeCode</v>
      </c>
      <c r="C3412" s="333" t="s">
        <v>12098</v>
      </c>
      <c r="D3412" s="202" t="s">
        <v>17789</v>
      </c>
      <c r="E3412" s="203" t="s">
        <v>17790</v>
      </c>
      <c r="F3412" s="204" t="s">
        <v>17791</v>
      </c>
      <c r="G3412" s="204" t="s">
        <v>22439</v>
      </c>
      <c r="H3412" s="218"/>
      <c r="I3412" s="169">
        <v>103746</v>
      </c>
      <c r="J3412" s="304" t="str">
        <f>CONCATENATE([2]Cover!$D$6,"fdd/view?i=",I3412)</f>
        <v>https://www.dgiwg.org/FAD/fdd/view?i=103746</v>
      </c>
      <c r="K3412" s="304" t="s">
        <v>37461</v>
      </c>
      <c r="L3412" s="202">
        <v>5</v>
      </c>
      <c r="M3412" s="179" t="s">
        <v>151</v>
      </c>
    </row>
    <row r="3413" spans="1:13">
      <c r="A3413" s="313" t="str">
        <f t="shared" si="53"/>
        <v>FenceTypeCode_chainLink</v>
      </c>
      <c r="B3413" s="330"/>
      <c r="C3413" s="334"/>
      <c r="D3413" s="188" t="s">
        <v>17792</v>
      </c>
      <c r="E3413" s="189" t="s">
        <v>17793</v>
      </c>
      <c r="F3413" s="162" t="s">
        <v>17794</v>
      </c>
      <c r="G3413" s="190"/>
      <c r="H3413" s="219"/>
      <c r="I3413" s="169">
        <v>103747</v>
      </c>
      <c r="J3413" s="304" t="str">
        <f>CONCATENATE([2]Cover!$D$6,"fdd/view?i=",I3413)</f>
        <v>https://www.dgiwg.org/FAD/fdd/view?i=103747</v>
      </c>
      <c r="K3413" s="304" t="s">
        <v>37462</v>
      </c>
      <c r="L3413" s="188">
        <v>6</v>
      </c>
      <c r="M3413" s="179" t="s">
        <v>151</v>
      </c>
    </row>
    <row r="3414" spans="1:13" ht="25.5">
      <c r="A3414" s="313" t="str">
        <f t="shared" si="53"/>
        <v>FenceTypeCode_electricWire</v>
      </c>
      <c r="B3414" s="330"/>
      <c r="C3414" s="334"/>
      <c r="D3414" s="188" t="s">
        <v>17799</v>
      </c>
      <c r="E3414" s="189" t="s">
        <v>17800</v>
      </c>
      <c r="F3414" s="162" t="s">
        <v>17801</v>
      </c>
      <c r="G3414" s="162" t="s">
        <v>17802</v>
      </c>
      <c r="H3414" s="219"/>
      <c r="I3414" s="169">
        <v>112735</v>
      </c>
      <c r="J3414" s="304" t="str">
        <f>CONCATENATE([2]Cover!$D$6,"fdd/view?i=",I3414)</f>
        <v>https://www.dgiwg.org/FAD/fdd/view?i=112735</v>
      </c>
      <c r="K3414" s="304" t="s">
        <v>37463</v>
      </c>
      <c r="L3414" s="188">
        <v>7</v>
      </c>
      <c r="M3414" s="179" t="s">
        <v>151</v>
      </c>
    </row>
    <row r="3415" spans="1:13" ht="89.25">
      <c r="A3415" s="313" t="str">
        <f t="shared" si="53"/>
        <v>FenceTypeCode_geotextile</v>
      </c>
      <c r="B3415" s="330"/>
      <c r="C3415" s="334"/>
      <c r="D3415" s="188" t="s">
        <v>22440</v>
      </c>
      <c r="E3415" s="189" t="s">
        <v>22441</v>
      </c>
      <c r="F3415" s="162" t="s">
        <v>22442</v>
      </c>
      <c r="G3415" s="162" t="s">
        <v>22443</v>
      </c>
      <c r="H3415" s="219"/>
      <c r="I3415" s="169">
        <v>118545</v>
      </c>
      <c r="J3415" s="304" t="str">
        <f>CONCATENATE([2]Cover!$D$6,"fdd/view?i=",I3415)</f>
        <v>https://www.dgiwg.org/FAD/fdd/view?i=118545</v>
      </c>
      <c r="K3415" s="304" t="s">
        <v>37464</v>
      </c>
      <c r="L3415" s="188">
        <v>8</v>
      </c>
      <c r="M3415" s="179" t="s">
        <v>151</v>
      </c>
    </row>
    <row r="3416" spans="1:13" ht="25.5">
      <c r="A3416" s="313" t="str">
        <f t="shared" si="53"/>
        <v>FenceTypeCode_metal</v>
      </c>
      <c r="B3416" s="330"/>
      <c r="C3416" s="334"/>
      <c r="D3416" s="188" t="s">
        <v>22444</v>
      </c>
      <c r="E3416" s="189" t="s">
        <v>22445</v>
      </c>
      <c r="F3416" s="162" t="s">
        <v>22446</v>
      </c>
      <c r="G3416" s="190"/>
      <c r="H3416" s="219"/>
      <c r="I3416" s="169">
        <v>103742</v>
      </c>
      <c r="J3416" s="304" t="str">
        <f>CONCATENATE([2]Cover!$D$6,"fdd/view?i=",I3416)</f>
        <v>https://www.dgiwg.org/FAD/fdd/view?i=103742</v>
      </c>
      <c r="K3416" s="304" t="s">
        <v>37465</v>
      </c>
      <c r="L3416" s="188">
        <v>1</v>
      </c>
      <c r="M3416" s="179" t="s">
        <v>151</v>
      </c>
    </row>
    <row r="3417" spans="1:13" ht="25.5">
      <c r="A3417" s="313" t="str">
        <f t="shared" si="53"/>
        <v>FenceTypeCode_netting</v>
      </c>
      <c r="B3417" s="330"/>
      <c r="C3417" s="334"/>
      <c r="D3417" s="188" t="s">
        <v>22447</v>
      </c>
      <c r="E3417" s="189" t="s">
        <v>22448</v>
      </c>
      <c r="F3417" s="162" t="s">
        <v>22449</v>
      </c>
      <c r="G3417" s="162" t="s">
        <v>22450</v>
      </c>
      <c r="H3417" s="219"/>
      <c r="I3417" s="169">
        <v>118546</v>
      </c>
      <c r="J3417" s="304" t="str">
        <f>CONCATENATE([2]Cover!$D$6,"fdd/view?i=",I3417)</f>
        <v>https://www.dgiwg.org/FAD/fdd/view?i=118546</v>
      </c>
      <c r="K3417" s="304" t="s">
        <v>37466</v>
      </c>
      <c r="L3417" s="188">
        <v>9</v>
      </c>
      <c r="M3417" s="179" t="s">
        <v>151</v>
      </c>
    </row>
    <row r="3418" spans="1:13" ht="25.5">
      <c r="A3418" s="313" t="str">
        <f t="shared" si="53"/>
        <v>FenceTypeCode_wood</v>
      </c>
      <c r="B3418" s="331"/>
      <c r="C3418" s="335"/>
      <c r="D3418" s="181" t="s">
        <v>15149</v>
      </c>
      <c r="E3418" s="192" t="s">
        <v>15150</v>
      </c>
      <c r="F3418" s="193" t="s">
        <v>22451</v>
      </c>
      <c r="G3418" s="194"/>
      <c r="H3418" s="220"/>
      <c r="I3418" s="169">
        <v>103743</v>
      </c>
      <c r="J3418" s="304" t="str">
        <f>CONCATENATE([2]Cover!$D$6,"fdd/view?i=",I3418)</f>
        <v>https://www.dgiwg.org/FAD/fdd/view?i=103743</v>
      </c>
      <c r="K3418" s="304" t="s">
        <v>37467</v>
      </c>
      <c r="L3418" s="181">
        <v>2</v>
      </c>
      <c r="M3418" s="179" t="s">
        <v>151</v>
      </c>
    </row>
    <row r="3419" spans="1:13">
      <c r="A3419" s="313" t="str">
        <f t="shared" si="53"/>
        <v>FerryCrossingTypeCode_cable</v>
      </c>
      <c r="B3419" s="332" t="str">
        <f>HYPERLINK("[#]Datatypes!A556:L556","FerryCrossingTypeCode")</f>
        <v>FerryCrossingTypeCode</v>
      </c>
      <c r="C3419" s="333" t="s">
        <v>12100</v>
      </c>
      <c r="D3419" s="202" t="s">
        <v>18136</v>
      </c>
      <c r="E3419" s="203" t="s">
        <v>1774</v>
      </c>
      <c r="F3419" s="204" t="s">
        <v>22452</v>
      </c>
      <c r="G3419" s="205"/>
      <c r="H3419" s="218"/>
      <c r="I3419" s="169">
        <v>103626</v>
      </c>
      <c r="J3419" s="304" t="str">
        <f>CONCATENATE([2]Cover!$D$6,"fdd/view?i=",I3419)</f>
        <v>https://www.dgiwg.org/FAD/fdd/view?i=103626</v>
      </c>
      <c r="K3419" s="304" t="s">
        <v>37468</v>
      </c>
      <c r="L3419" s="202">
        <v>1</v>
      </c>
      <c r="M3419" s="179" t="s">
        <v>151</v>
      </c>
    </row>
    <row r="3420" spans="1:13" ht="25.5">
      <c r="A3420" s="313" t="str">
        <f t="shared" si="53"/>
        <v>FerryCrossingTypeCode_freeMoving</v>
      </c>
      <c r="B3420" s="330"/>
      <c r="C3420" s="334"/>
      <c r="D3420" s="188" t="s">
        <v>22453</v>
      </c>
      <c r="E3420" s="189" t="s">
        <v>22454</v>
      </c>
      <c r="F3420" s="162" t="s">
        <v>22455</v>
      </c>
      <c r="G3420" s="190"/>
      <c r="H3420" s="219"/>
      <c r="I3420" s="169">
        <v>103627</v>
      </c>
      <c r="J3420" s="304" t="str">
        <f>CONCATENATE([2]Cover!$D$6,"fdd/view?i=",I3420)</f>
        <v>https://www.dgiwg.org/FAD/fdd/view?i=103627</v>
      </c>
      <c r="K3420" s="304" t="s">
        <v>37469</v>
      </c>
      <c r="L3420" s="188">
        <v>2</v>
      </c>
      <c r="M3420" s="179" t="s">
        <v>151</v>
      </c>
    </row>
    <row r="3421" spans="1:13">
      <c r="A3421" s="313" t="str">
        <f t="shared" si="53"/>
        <v>FerryCrossingTypeCode_ice</v>
      </c>
      <c r="B3421" s="331"/>
      <c r="C3421" s="335"/>
      <c r="D3421" s="181" t="s">
        <v>15108</v>
      </c>
      <c r="E3421" s="192" t="s">
        <v>15109</v>
      </c>
      <c r="F3421" s="193" t="s">
        <v>22456</v>
      </c>
      <c r="G3421" s="194"/>
      <c r="H3421" s="220"/>
      <c r="I3421" s="169">
        <v>103628</v>
      </c>
      <c r="J3421" s="304" t="str">
        <f>CONCATENATE([2]Cover!$D$6,"fdd/view?i=",I3421)</f>
        <v>https://www.dgiwg.org/FAD/fdd/view?i=103628</v>
      </c>
      <c r="K3421" s="304" t="s">
        <v>37470</v>
      </c>
      <c r="L3421" s="181">
        <v>3</v>
      </c>
      <c r="M3421" s="179" t="s">
        <v>151</v>
      </c>
    </row>
    <row r="3422" spans="1:13" ht="25.5">
      <c r="A3422" s="313" t="str">
        <f t="shared" si="53"/>
        <v>FinalApproachAlignmentCode_circling</v>
      </c>
      <c r="B3422" s="332" t="str">
        <f>HYPERLINK("[#]Datatypes!A558:L558","FinalApproachAlignmentCode")</f>
        <v>FinalApproachAlignmentCode</v>
      </c>
      <c r="C3422" s="333" t="s">
        <v>12102</v>
      </c>
      <c r="D3422" s="202" t="s">
        <v>22457</v>
      </c>
      <c r="E3422" s="203" t="s">
        <v>22458</v>
      </c>
      <c r="F3422" s="204" t="s">
        <v>22459</v>
      </c>
      <c r="G3422" s="205"/>
      <c r="H3422" s="218"/>
      <c r="I3422" s="169">
        <v>116118</v>
      </c>
      <c r="J3422" s="304" t="str">
        <f>CONCATENATE([2]Cover!$D$6,"fdd/view?i=",I3422)</f>
        <v>https://www.dgiwg.org/FAD/fdd/view?i=116118</v>
      </c>
      <c r="K3422" s="304" t="s">
        <v>37471</v>
      </c>
      <c r="L3422" s="202">
        <v>2</v>
      </c>
      <c r="M3422" s="179" t="s">
        <v>151</v>
      </c>
    </row>
    <row r="3423" spans="1:13" ht="25.5">
      <c r="A3423" s="313" t="str">
        <f t="shared" si="53"/>
        <v>FinalApproachAlignmentCode_sidestep</v>
      </c>
      <c r="B3423" s="330"/>
      <c r="C3423" s="334"/>
      <c r="D3423" s="188" t="s">
        <v>22460</v>
      </c>
      <c r="E3423" s="189" t="s">
        <v>22461</v>
      </c>
      <c r="F3423" s="162" t="s">
        <v>22462</v>
      </c>
      <c r="G3423" s="190"/>
      <c r="H3423" s="219"/>
      <c r="I3423" s="169">
        <v>116119</v>
      </c>
      <c r="J3423" s="304" t="str">
        <f>CONCATENATE([2]Cover!$D$6,"fdd/view?i=",I3423)</f>
        <v>https://www.dgiwg.org/FAD/fdd/view?i=116119</v>
      </c>
      <c r="K3423" s="304" t="s">
        <v>37472</v>
      </c>
      <c r="L3423" s="188">
        <v>3</v>
      </c>
      <c r="M3423" s="179" t="s">
        <v>151</v>
      </c>
    </row>
    <row r="3424" spans="1:13" ht="38.25">
      <c r="A3424" s="313" t="str">
        <f t="shared" si="53"/>
        <v>FinalApproachAlignmentCode_straightIn</v>
      </c>
      <c r="B3424" s="331"/>
      <c r="C3424" s="335"/>
      <c r="D3424" s="181" t="s">
        <v>22463</v>
      </c>
      <c r="E3424" s="192" t="s">
        <v>22464</v>
      </c>
      <c r="F3424" s="193" t="s">
        <v>22465</v>
      </c>
      <c r="G3424" s="193" t="s">
        <v>22466</v>
      </c>
      <c r="H3424" s="220"/>
      <c r="I3424" s="169">
        <v>116117</v>
      </c>
      <c r="J3424" s="304" t="str">
        <f>CONCATENATE([2]Cover!$D$6,"fdd/view?i=",I3424)</f>
        <v>https://www.dgiwg.org/FAD/fdd/view?i=116117</v>
      </c>
      <c r="K3424" s="304" t="s">
        <v>37473</v>
      </c>
      <c r="L3424" s="181">
        <v>1</v>
      </c>
      <c r="M3424" s="179" t="s">
        <v>151</v>
      </c>
    </row>
    <row r="3425" spans="1:13" ht="25.5">
      <c r="A3425" s="313" t="str">
        <f t="shared" si="53"/>
        <v>finalApproachGuideSystemCode_airborneRadarApproach</v>
      </c>
      <c r="B3425" s="332" t="str">
        <f>HYPERLINK("[#]Datatypes!A560:L560","finalApproachGuideSystemCode")</f>
        <v>finalApproachGuideSystemCode</v>
      </c>
      <c r="C3425" s="333" t="s">
        <v>12104</v>
      </c>
      <c r="D3425" s="202" t="s">
        <v>16568</v>
      </c>
      <c r="E3425" s="203" t="s">
        <v>16569</v>
      </c>
      <c r="F3425" s="204" t="s">
        <v>22468</v>
      </c>
      <c r="G3425" s="205"/>
      <c r="H3425" s="218"/>
      <c r="I3425" s="169">
        <v>207085</v>
      </c>
      <c r="J3425" s="304" t="str">
        <f>CONCATENATE([2]Cover!$D$6,"fdd/view?i=",I3425)</f>
        <v>https://www.dgiwg.org/FAD/fdd/view?i=207085</v>
      </c>
      <c r="K3425" s="304" t="s">
        <v>37474</v>
      </c>
      <c r="L3425" s="202">
        <v>2</v>
      </c>
      <c r="M3425" s="179" t="s">
        <v>1295</v>
      </c>
    </row>
    <row r="3426" spans="1:13" ht="25.5">
      <c r="A3426" s="313" t="str">
        <f t="shared" si="53"/>
        <v>finalApproachGuideSystemCode_airportSurveillanceRadar</v>
      </c>
      <c r="B3426" s="330"/>
      <c r="C3426" s="334"/>
      <c r="D3426" s="188" t="s">
        <v>16571</v>
      </c>
      <c r="E3426" s="189" t="s">
        <v>16572</v>
      </c>
      <c r="F3426" s="162" t="s">
        <v>22469</v>
      </c>
      <c r="G3426" s="190"/>
      <c r="H3426" s="219"/>
      <c r="I3426" s="169">
        <v>207086</v>
      </c>
      <c r="J3426" s="304" t="str">
        <f>CONCATENATE([2]Cover!$D$6,"fdd/view?i=",I3426)</f>
        <v>https://www.dgiwg.org/FAD/fdd/view?i=207086</v>
      </c>
      <c r="K3426" s="304" t="s">
        <v>37475</v>
      </c>
      <c r="L3426" s="188">
        <v>3</v>
      </c>
      <c r="M3426" s="179" t="s">
        <v>1295</v>
      </c>
    </row>
    <row r="3427" spans="1:13" ht="25.5">
      <c r="A3427" s="313" t="str">
        <f t="shared" si="53"/>
        <v>finalApproachGuideSystemCode_airRouteSurveillanceRadar</v>
      </c>
      <c r="B3427" s="330"/>
      <c r="C3427" s="334"/>
      <c r="D3427" s="188" t="s">
        <v>16565</v>
      </c>
      <c r="E3427" s="189" t="s">
        <v>16566</v>
      </c>
      <c r="F3427" s="162" t="s">
        <v>22467</v>
      </c>
      <c r="G3427" s="190"/>
      <c r="H3427" s="219"/>
      <c r="I3427" s="169">
        <v>207084</v>
      </c>
      <c r="J3427" s="304" t="str">
        <f>CONCATENATE([2]Cover!$D$6,"fdd/view?i=",I3427)</f>
        <v>https://www.dgiwg.org/FAD/fdd/view?i=207084</v>
      </c>
      <c r="K3427" s="304" t="s">
        <v>37476</v>
      </c>
      <c r="L3427" s="188">
        <v>1</v>
      </c>
      <c r="M3427" s="179" t="s">
        <v>1295</v>
      </c>
    </row>
    <row r="3428" spans="1:13" ht="25.5">
      <c r="A3428" s="313" t="str">
        <f t="shared" si="53"/>
        <v>finalApproachGuideSystemCode_areaNavigation</v>
      </c>
      <c r="B3428" s="330"/>
      <c r="C3428" s="334"/>
      <c r="D3428" s="188" t="s">
        <v>16574</v>
      </c>
      <c r="E3428" s="189" t="s">
        <v>16575</v>
      </c>
      <c r="F3428" s="162" t="s">
        <v>22470</v>
      </c>
      <c r="G3428" s="190"/>
      <c r="H3428" s="219"/>
      <c r="I3428" s="169">
        <v>207087</v>
      </c>
      <c r="J3428" s="304" t="str">
        <f>CONCATENATE([2]Cover!$D$6,"fdd/view?i=",I3428)</f>
        <v>https://www.dgiwg.org/FAD/fdd/view?i=207087</v>
      </c>
      <c r="K3428" s="304" t="s">
        <v>37477</v>
      </c>
      <c r="L3428" s="188">
        <v>4</v>
      </c>
      <c r="M3428" s="179" t="s">
        <v>1295</v>
      </c>
    </row>
    <row r="3429" spans="1:13" ht="25.5">
      <c r="A3429" s="313" t="str">
        <f t="shared" si="53"/>
        <v>finalApproachGuideSystemCode_distanceMeasuringEquipment</v>
      </c>
      <c r="B3429" s="330"/>
      <c r="C3429" s="334"/>
      <c r="D3429" s="188" t="s">
        <v>16580</v>
      </c>
      <c r="E3429" s="189" t="s">
        <v>2116</v>
      </c>
      <c r="F3429" s="162" t="s">
        <v>22472</v>
      </c>
      <c r="G3429" s="190"/>
      <c r="H3429" s="219"/>
      <c r="I3429" s="169">
        <v>207089</v>
      </c>
      <c r="J3429" s="304" t="str">
        <f>CONCATENATE([2]Cover!$D$6,"fdd/view?i=",I3429)</f>
        <v>https://www.dgiwg.org/FAD/fdd/view?i=207089</v>
      </c>
      <c r="K3429" s="304" t="s">
        <v>37478</v>
      </c>
      <c r="L3429" s="188">
        <v>6</v>
      </c>
      <c r="M3429" s="179" t="s">
        <v>1295</v>
      </c>
    </row>
    <row r="3430" spans="1:13" ht="51">
      <c r="A3430" s="313" t="str">
        <f t="shared" si="53"/>
        <v>finalApproachGuideSystemCode_dmeWithDistMeasuringEquip</v>
      </c>
      <c r="B3430" s="330"/>
      <c r="C3430" s="334"/>
      <c r="D3430" s="188" t="s">
        <v>16582</v>
      </c>
      <c r="E3430" s="189" t="s">
        <v>16583</v>
      </c>
      <c r="F3430" s="162" t="s">
        <v>22473</v>
      </c>
      <c r="G3430" s="190"/>
      <c r="H3430" s="219"/>
      <c r="I3430" s="169">
        <v>207090</v>
      </c>
      <c r="J3430" s="304" t="str">
        <f>CONCATENATE([2]Cover!$D$6,"fdd/view?i=",I3430)</f>
        <v>https://www.dgiwg.org/FAD/fdd/view?i=207090</v>
      </c>
      <c r="K3430" s="304" t="s">
        <v>37479</v>
      </c>
      <c r="L3430" s="188">
        <v>7</v>
      </c>
      <c r="M3430" s="179" t="s">
        <v>1295</v>
      </c>
    </row>
    <row r="3431" spans="1:13" ht="38.25">
      <c r="A3431" s="313" t="str">
        <f t="shared" si="53"/>
        <v>finalApproachGuideSystemCode_globalNavSatelliteSystem</v>
      </c>
      <c r="B3431" s="330"/>
      <c r="C3431" s="334"/>
      <c r="D3431" s="188" t="s">
        <v>16585</v>
      </c>
      <c r="E3431" s="189" t="s">
        <v>2601</v>
      </c>
      <c r="F3431" s="162" t="s">
        <v>22474</v>
      </c>
      <c r="G3431" s="190"/>
      <c r="H3431" s="219"/>
      <c r="I3431" s="169">
        <v>207091</v>
      </c>
      <c r="J3431" s="304" t="str">
        <f>CONCATENATE([2]Cover!$D$6,"fdd/view?i=",I3431)</f>
        <v>https://www.dgiwg.org/FAD/fdd/view?i=207091</v>
      </c>
      <c r="K3431" s="304" t="s">
        <v>37480</v>
      </c>
      <c r="L3431" s="188">
        <v>8</v>
      </c>
      <c r="M3431" s="179" t="s">
        <v>1295</v>
      </c>
    </row>
    <row r="3432" spans="1:13" ht="38.25">
      <c r="A3432" s="313" t="str">
        <f t="shared" si="53"/>
        <v>finalApproachGuideSystemCode_globalPositioningSystem</v>
      </c>
      <c r="B3432" s="330"/>
      <c r="C3432" s="334"/>
      <c r="D3432" s="188" t="s">
        <v>16587</v>
      </c>
      <c r="E3432" s="189" t="s">
        <v>16588</v>
      </c>
      <c r="F3432" s="162" t="s">
        <v>22475</v>
      </c>
      <c r="G3432" s="190"/>
      <c r="H3432" s="219"/>
      <c r="I3432" s="169">
        <v>207092</v>
      </c>
      <c r="J3432" s="304" t="str">
        <f>CONCATENATE([2]Cover!$D$6,"fdd/view?i=",I3432)</f>
        <v>https://www.dgiwg.org/FAD/fdd/view?i=207092</v>
      </c>
      <c r="K3432" s="304" t="s">
        <v>37481</v>
      </c>
      <c r="L3432" s="188">
        <v>9</v>
      </c>
      <c r="M3432" s="179" t="s">
        <v>1295</v>
      </c>
    </row>
    <row r="3433" spans="1:13" ht="51">
      <c r="A3433" s="313" t="str">
        <f t="shared" si="53"/>
        <v>finalApproachGuideSystemCode_ilsUsingPrecRunwayMonitor</v>
      </c>
      <c r="B3433" s="330"/>
      <c r="C3433" s="334"/>
      <c r="D3433" s="188" t="s">
        <v>16595</v>
      </c>
      <c r="E3433" s="189" t="s">
        <v>16596</v>
      </c>
      <c r="F3433" s="162" t="s">
        <v>22478</v>
      </c>
      <c r="G3433" s="190"/>
      <c r="H3433" s="219"/>
      <c r="I3433" s="169">
        <v>207095</v>
      </c>
      <c r="J3433" s="304" t="str">
        <f>CONCATENATE([2]Cover!$D$6,"fdd/view?i=",I3433)</f>
        <v>https://www.dgiwg.org/FAD/fdd/view?i=207095</v>
      </c>
      <c r="K3433" s="304" t="s">
        <v>37482</v>
      </c>
      <c r="L3433" s="188">
        <v>12</v>
      </c>
      <c r="M3433" s="179" t="s">
        <v>1295</v>
      </c>
    </row>
    <row r="3434" spans="1:13" ht="51">
      <c r="A3434" s="313" t="str">
        <f t="shared" si="53"/>
        <v>finalApproachGuideSystemCode_ilsWithDistMeasuringEquip</v>
      </c>
      <c r="B3434" s="330"/>
      <c r="C3434" s="334"/>
      <c r="D3434" s="188" t="s">
        <v>16598</v>
      </c>
      <c r="E3434" s="189" t="s">
        <v>16599</v>
      </c>
      <c r="F3434" s="162" t="s">
        <v>22479</v>
      </c>
      <c r="G3434" s="190"/>
      <c r="H3434" s="219"/>
      <c r="I3434" s="169">
        <v>207096</v>
      </c>
      <c r="J3434" s="304" t="str">
        <f>CONCATENATE([2]Cover!$D$6,"fdd/view?i=",I3434)</f>
        <v>https://www.dgiwg.org/FAD/fdd/view?i=207096</v>
      </c>
      <c r="K3434" s="304" t="s">
        <v>37483</v>
      </c>
      <c r="L3434" s="188">
        <v>13</v>
      </c>
      <c r="M3434" s="179" t="s">
        <v>1295</v>
      </c>
    </row>
    <row r="3435" spans="1:13" ht="25.5">
      <c r="A3435" s="313" t="str">
        <f t="shared" si="53"/>
        <v>finalApproachGuideSystemCode_instrumentGuidanceSystem</v>
      </c>
      <c r="B3435" s="330"/>
      <c r="C3435" s="334"/>
      <c r="D3435" s="188" t="s">
        <v>16590</v>
      </c>
      <c r="E3435" s="189" t="s">
        <v>16591</v>
      </c>
      <c r="F3435" s="162" t="s">
        <v>22476</v>
      </c>
      <c r="G3435" s="190"/>
      <c r="H3435" s="219"/>
      <c r="I3435" s="169">
        <v>207093</v>
      </c>
      <c r="J3435" s="304" t="str">
        <f>CONCATENATE([2]Cover!$D$6,"fdd/view?i=",I3435)</f>
        <v>https://www.dgiwg.org/FAD/fdd/view?i=207093</v>
      </c>
      <c r="K3435" s="304" t="s">
        <v>37484</v>
      </c>
      <c r="L3435" s="188">
        <v>10</v>
      </c>
      <c r="M3435" s="179" t="s">
        <v>1295</v>
      </c>
    </row>
    <row r="3436" spans="1:13" ht="25.5">
      <c r="A3436" s="313" t="str">
        <f t="shared" si="53"/>
        <v>finalApproachGuideSystemCode_instrumentLandingSystem</v>
      </c>
      <c r="B3436" s="330"/>
      <c r="C3436" s="334"/>
      <c r="D3436" s="188" t="s">
        <v>16593</v>
      </c>
      <c r="E3436" s="189" t="s">
        <v>2866</v>
      </c>
      <c r="F3436" s="162" t="s">
        <v>22477</v>
      </c>
      <c r="G3436" s="190"/>
      <c r="H3436" s="219"/>
      <c r="I3436" s="169">
        <v>207094</v>
      </c>
      <c r="J3436" s="304" t="str">
        <f>CONCATENATE([2]Cover!$D$6,"fdd/view?i=",I3436)</f>
        <v>https://www.dgiwg.org/FAD/fdd/view?i=207094</v>
      </c>
      <c r="K3436" s="304" t="s">
        <v>37485</v>
      </c>
      <c r="L3436" s="188">
        <v>11</v>
      </c>
      <c r="M3436" s="179" t="s">
        <v>1295</v>
      </c>
    </row>
    <row r="3437" spans="1:13" ht="25.5">
      <c r="A3437" s="313" t="str">
        <f t="shared" si="53"/>
        <v>finalApproachGuideSystemCode_lateralNavigation</v>
      </c>
      <c r="B3437" s="330"/>
      <c r="C3437" s="334"/>
      <c r="D3437" s="188" t="s">
        <v>22480</v>
      </c>
      <c r="E3437" s="189" t="s">
        <v>22481</v>
      </c>
      <c r="F3437" s="162" t="s">
        <v>22482</v>
      </c>
      <c r="G3437" s="190"/>
      <c r="H3437" s="219"/>
      <c r="I3437" s="169">
        <v>207097</v>
      </c>
      <c r="J3437" s="304" t="str">
        <f>CONCATENATE([2]Cover!$D$6,"fdd/view?i=",I3437)</f>
        <v>https://www.dgiwg.org/FAD/fdd/view?i=207097</v>
      </c>
      <c r="K3437" s="304" t="s">
        <v>37486</v>
      </c>
      <c r="L3437" s="188">
        <v>14</v>
      </c>
      <c r="M3437" s="179" t="s">
        <v>1295</v>
      </c>
    </row>
    <row r="3438" spans="1:13" ht="38.25">
      <c r="A3438" s="313" t="str">
        <f t="shared" si="53"/>
        <v>finalApproachGuideSystemCode_lateralNavigationVerticalNav</v>
      </c>
      <c r="B3438" s="330"/>
      <c r="C3438" s="334"/>
      <c r="D3438" s="188" t="s">
        <v>22483</v>
      </c>
      <c r="E3438" s="189" t="s">
        <v>22484</v>
      </c>
      <c r="F3438" s="162" t="s">
        <v>22485</v>
      </c>
      <c r="G3438" s="190"/>
      <c r="H3438" s="219"/>
      <c r="I3438" s="169">
        <v>207098</v>
      </c>
      <c r="J3438" s="304" t="str">
        <f>CONCATENATE([2]Cover!$D$6,"fdd/view?i=",I3438)</f>
        <v>https://www.dgiwg.org/FAD/fdd/view?i=207098</v>
      </c>
      <c r="K3438" s="304" t="s">
        <v>37487</v>
      </c>
      <c r="L3438" s="188">
        <v>15</v>
      </c>
      <c r="M3438" s="179" t="s">
        <v>1295</v>
      </c>
    </row>
    <row r="3439" spans="1:13" ht="63.75">
      <c r="A3439" s="313" t="str">
        <f t="shared" si="53"/>
        <v>finalApproachGuideSystemCode_ldaWithDistMeasuringEquip</v>
      </c>
      <c r="B3439" s="330"/>
      <c r="C3439" s="334"/>
      <c r="D3439" s="188" t="s">
        <v>16615</v>
      </c>
      <c r="E3439" s="189" t="s">
        <v>16616</v>
      </c>
      <c r="F3439" s="162" t="s">
        <v>22499</v>
      </c>
      <c r="G3439" s="190"/>
      <c r="H3439" s="219"/>
      <c r="I3439" s="169">
        <v>207104</v>
      </c>
      <c r="J3439" s="304" t="str">
        <f>CONCATENATE([2]Cover!$D$6,"fdd/view?i=",I3439)</f>
        <v>https://www.dgiwg.org/FAD/fdd/view?i=207104</v>
      </c>
      <c r="K3439" s="304" t="s">
        <v>37488</v>
      </c>
      <c r="L3439" s="188">
        <v>21</v>
      </c>
      <c r="M3439" s="179" t="s">
        <v>1295</v>
      </c>
    </row>
    <row r="3440" spans="1:13" ht="25.5">
      <c r="A3440" s="313" t="str">
        <f t="shared" si="53"/>
        <v>finalApproachGuideSystemCode_localizer</v>
      </c>
      <c r="B3440" s="330"/>
      <c r="C3440" s="334"/>
      <c r="D3440" s="188" t="s">
        <v>16601</v>
      </c>
      <c r="E3440" s="189" t="s">
        <v>16602</v>
      </c>
      <c r="F3440" s="162" t="s">
        <v>22486</v>
      </c>
      <c r="G3440" s="190"/>
      <c r="H3440" s="219"/>
      <c r="I3440" s="169">
        <v>207099</v>
      </c>
      <c r="J3440" s="304" t="str">
        <f>CONCATENATE([2]Cover!$D$6,"fdd/view?i=",I3440)</f>
        <v>https://www.dgiwg.org/FAD/fdd/view?i=207099</v>
      </c>
      <c r="K3440" s="304" t="s">
        <v>37489</v>
      </c>
      <c r="L3440" s="188">
        <v>16</v>
      </c>
      <c r="M3440" s="179" t="s">
        <v>1295</v>
      </c>
    </row>
    <row r="3441" spans="1:13" ht="25.5">
      <c r="A3441" s="313" t="str">
        <f t="shared" si="53"/>
        <v>finalApproachGuideSystemCode_localizerBackCourse</v>
      </c>
      <c r="B3441" s="330"/>
      <c r="C3441" s="334"/>
      <c r="D3441" s="188" t="s">
        <v>16604</v>
      </c>
      <c r="E3441" s="189" t="s">
        <v>16605</v>
      </c>
      <c r="F3441" s="162" t="s">
        <v>22487</v>
      </c>
      <c r="G3441" s="190"/>
      <c r="H3441" s="219"/>
      <c r="I3441" s="169">
        <v>207100</v>
      </c>
      <c r="J3441" s="304" t="str">
        <f>CONCATENATE([2]Cover!$D$6,"fdd/view?i=",I3441)</f>
        <v>https://www.dgiwg.org/FAD/fdd/view?i=207100</v>
      </c>
      <c r="K3441" s="304" t="s">
        <v>37490</v>
      </c>
      <c r="L3441" s="188">
        <v>17</v>
      </c>
      <c r="M3441" s="179" t="s">
        <v>1295</v>
      </c>
    </row>
    <row r="3442" spans="1:13" ht="76.5">
      <c r="A3442" s="313" t="str">
        <f t="shared" si="53"/>
        <v>finalApproachGuideSystemCode_localizerPerformance</v>
      </c>
      <c r="B3442" s="330"/>
      <c r="C3442" s="334"/>
      <c r="D3442" s="188" t="s">
        <v>22488</v>
      </c>
      <c r="E3442" s="189" t="s">
        <v>22489</v>
      </c>
      <c r="F3442" s="162" t="s">
        <v>22490</v>
      </c>
      <c r="G3442" s="162" t="s">
        <v>22491</v>
      </c>
      <c r="H3442" s="219"/>
      <c r="I3442" s="169">
        <v>207101</v>
      </c>
      <c r="J3442" s="304" t="str">
        <f>CONCATENATE([2]Cover!$D$6,"fdd/view?i=",I3442)</f>
        <v>https://www.dgiwg.org/FAD/fdd/view?i=207101</v>
      </c>
      <c r="K3442" s="304" t="s">
        <v>37491</v>
      </c>
      <c r="L3442" s="188">
        <v>18</v>
      </c>
      <c r="M3442" s="179" t="s">
        <v>1295</v>
      </c>
    </row>
    <row r="3443" spans="1:13" ht="76.5">
      <c r="A3443" s="313" t="str">
        <f t="shared" si="53"/>
        <v>finalApproachGuideSystemCode_localizerPerfVertGuidance</v>
      </c>
      <c r="B3443" s="330"/>
      <c r="C3443" s="334"/>
      <c r="D3443" s="188" t="s">
        <v>22492</v>
      </c>
      <c r="E3443" s="189" t="s">
        <v>22493</v>
      </c>
      <c r="F3443" s="162" t="s">
        <v>22494</v>
      </c>
      <c r="G3443" s="162" t="s">
        <v>22495</v>
      </c>
      <c r="H3443" s="219"/>
      <c r="I3443" s="169">
        <v>207102</v>
      </c>
      <c r="J3443" s="304" t="str">
        <f>CONCATENATE([2]Cover!$D$6,"fdd/view?i=",I3443)</f>
        <v>https://www.dgiwg.org/FAD/fdd/view?i=207102</v>
      </c>
      <c r="K3443" s="304" t="s">
        <v>37492</v>
      </c>
      <c r="L3443" s="188">
        <v>19</v>
      </c>
      <c r="M3443" s="179" t="s">
        <v>1295</v>
      </c>
    </row>
    <row r="3444" spans="1:13" ht="25.5">
      <c r="A3444" s="313" t="str">
        <f t="shared" si="53"/>
        <v>finalApproachGuideSystemCode_localizerTypeDirectionAid</v>
      </c>
      <c r="B3444" s="330"/>
      <c r="C3444" s="334"/>
      <c r="D3444" s="188" t="s">
        <v>16613</v>
      </c>
      <c r="E3444" s="189" t="s">
        <v>3033</v>
      </c>
      <c r="F3444" s="162" t="s">
        <v>22498</v>
      </c>
      <c r="G3444" s="190"/>
      <c r="H3444" s="219"/>
      <c r="I3444" s="169">
        <v>207103</v>
      </c>
      <c r="J3444" s="304" t="str">
        <f>CONCATENATE([2]Cover!$D$6,"fdd/view?i=",I3444)</f>
        <v>https://www.dgiwg.org/FAD/fdd/view?i=207103</v>
      </c>
      <c r="K3444" s="304" t="s">
        <v>37493</v>
      </c>
      <c r="L3444" s="188">
        <v>20</v>
      </c>
      <c r="M3444" s="179" t="s">
        <v>1295</v>
      </c>
    </row>
    <row r="3445" spans="1:13" ht="38.25">
      <c r="A3445" s="313" t="str">
        <f t="shared" si="53"/>
        <v>finalApproachGuideSystemCode_localizerWithDme</v>
      </c>
      <c r="B3445" s="330"/>
      <c r="C3445" s="334"/>
      <c r="D3445" s="188" t="s">
        <v>16607</v>
      </c>
      <c r="E3445" s="189" t="s">
        <v>16608</v>
      </c>
      <c r="F3445" s="162" t="s">
        <v>22496</v>
      </c>
      <c r="G3445" s="190"/>
      <c r="H3445" s="219"/>
      <c r="I3445" s="169">
        <v>207105</v>
      </c>
      <c r="J3445" s="304" t="str">
        <f>CONCATENATE([2]Cover!$D$6,"fdd/view?i=",I3445)</f>
        <v>https://www.dgiwg.org/FAD/fdd/view?i=207105</v>
      </c>
      <c r="K3445" s="304" t="s">
        <v>37494</v>
      </c>
      <c r="L3445" s="188">
        <v>22</v>
      </c>
      <c r="M3445" s="179" t="s">
        <v>1295</v>
      </c>
    </row>
    <row r="3446" spans="1:13" ht="38.25">
      <c r="A3446" s="313" t="str">
        <f t="shared" si="53"/>
        <v>finalApproachGuideSystemCode_localizerWithDmeBackCourse</v>
      </c>
      <c r="B3446" s="330"/>
      <c r="C3446" s="334"/>
      <c r="D3446" s="188" t="s">
        <v>16610</v>
      </c>
      <c r="E3446" s="189" t="s">
        <v>16611</v>
      </c>
      <c r="F3446" s="162" t="s">
        <v>22497</v>
      </c>
      <c r="G3446" s="190"/>
      <c r="H3446" s="219"/>
      <c r="I3446" s="169">
        <v>207106</v>
      </c>
      <c r="J3446" s="304" t="str">
        <f>CONCATENATE([2]Cover!$D$6,"fdd/view?i=",I3446)</f>
        <v>https://www.dgiwg.org/FAD/fdd/view?i=207106</v>
      </c>
      <c r="K3446" s="304" t="s">
        <v>37495</v>
      </c>
      <c r="L3446" s="188">
        <v>23</v>
      </c>
      <c r="M3446" s="179" t="s">
        <v>1295</v>
      </c>
    </row>
    <row r="3447" spans="1:13" ht="25.5">
      <c r="A3447" s="313" t="str">
        <f t="shared" si="53"/>
        <v>finalApproachGuideSystemCode_microwaveLandingSystem</v>
      </c>
      <c r="B3447" s="330"/>
      <c r="C3447" s="334"/>
      <c r="D3447" s="188" t="s">
        <v>16618</v>
      </c>
      <c r="E3447" s="189" t="s">
        <v>3170</v>
      </c>
      <c r="F3447" s="162" t="s">
        <v>22500</v>
      </c>
      <c r="G3447" s="190"/>
      <c r="H3447" s="219"/>
      <c r="I3447" s="169">
        <v>207107</v>
      </c>
      <c r="J3447" s="304" t="str">
        <f>CONCATENATE([2]Cover!$D$6,"fdd/view?i=",I3447)</f>
        <v>https://www.dgiwg.org/FAD/fdd/view?i=207107</v>
      </c>
      <c r="K3447" s="304" t="s">
        <v>37496</v>
      </c>
      <c r="L3447" s="188">
        <v>24</v>
      </c>
      <c r="M3447" s="179" t="s">
        <v>1295</v>
      </c>
    </row>
    <row r="3448" spans="1:13" ht="51">
      <c r="A3448" s="313" t="str">
        <f t="shared" si="53"/>
        <v>finalApproachGuideSystemCode_mlsWithDistMeasuringEquip</v>
      </c>
      <c r="B3448" s="330"/>
      <c r="C3448" s="334"/>
      <c r="D3448" s="188" t="s">
        <v>16620</v>
      </c>
      <c r="E3448" s="189" t="s">
        <v>16621</v>
      </c>
      <c r="F3448" s="162" t="s">
        <v>22501</v>
      </c>
      <c r="G3448" s="190"/>
      <c r="H3448" s="219"/>
      <c r="I3448" s="169">
        <v>207108</v>
      </c>
      <c r="J3448" s="304" t="str">
        <f>CONCATENATE([2]Cover!$D$6,"fdd/view?i=",I3448)</f>
        <v>https://www.dgiwg.org/FAD/fdd/view?i=207108</v>
      </c>
      <c r="K3448" s="304" t="s">
        <v>37497</v>
      </c>
      <c r="L3448" s="188">
        <v>25</v>
      </c>
      <c r="M3448" s="179" t="s">
        <v>1295</v>
      </c>
    </row>
    <row r="3449" spans="1:13" ht="51">
      <c r="A3449" s="313" t="str">
        <f t="shared" si="53"/>
        <v>finalApproachGuideSystemCode_ndbWithDistMeasuringEquip</v>
      </c>
      <c r="B3449" s="330"/>
      <c r="C3449" s="334"/>
      <c r="D3449" s="188" t="s">
        <v>16626</v>
      </c>
      <c r="E3449" s="189" t="s">
        <v>16627</v>
      </c>
      <c r="F3449" s="162" t="s">
        <v>22503</v>
      </c>
      <c r="G3449" s="190"/>
      <c r="H3449" s="219"/>
      <c r="I3449" s="169">
        <v>207110</v>
      </c>
      <c r="J3449" s="304" t="str">
        <f>CONCATENATE([2]Cover!$D$6,"fdd/view?i=",I3449)</f>
        <v>https://www.dgiwg.org/FAD/fdd/view?i=207110</v>
      </c>
      <c r="K3449" s="304" t="s">
        <v>37498</v>
      </c>
      <c r="L3449" s="188">
        <v>27</v>
      </c>
      <c r="M3449" s="179" t="s">
        <v>1295</v>
      </c>
    </row>
    <row r="3450" spans="1:13" ht="25.5">
      <c r="A3450" s="313" t="str">
        <f t="shared" si="53"/>
        <v>finalApproachGuideSystemCode_nonDirectionalBeacon</v>
      </c>
      <c r="B3450" s="330"/>
      <c r="C3450" s="334"/>
      <c r="D3450" s="188" t="s">
        <v>16623</v>
      </c>
      <c r="E3450" s="189" t="s">
        <v>16624</v>
      </c>
      <c r="F3450" s="162" t="s">
        <v>22502</v>
      </c>
      <c r="G3450" s="190"/>
      <c r="H3450" s="219"/>
      <c r="I3450" s="169">
        <v>207109</v>
      </c>
      <c r="J3450" s="304" t="str">
        <f>CONCATENATE([2]Cover!$D$6,"fdd/view?i=",I3450)</f>
        <v>https://www.dgiwg.org/FAD/fdd/view?i=207109</v>
      </c>
      <c r="K3450" s="304" t="s">
        <v>37499</v>
      </c>
      <c r="L3450" s="188">
        <v>26</v>
      </c>
      <c r="M3450" s="179" t="s">
        <v>1295</v>
      </c>
    </row>
    <row r="3451" spans="1:13" ht="25.5">
      <c r="A3451" s="313" t="str">
        <f t="shared" si="53"/>
        <v>finalApproachGuideSystemCode_precisionApproachRadar</v>
      </c>
      <c r="B3451" s="330"/>
      <c r="C3451" s="334"/>
      <c r="D3451" s="188" t="s">
        <v>16629</v>
      </c>
      <c r="E3451" s="189" t="s">
        <v>3472</v>
      </c>
      <c r="F3451" s="162" t="s">
        <v>22504</v>
      </c>
      <c r="G3451" s="190"/>
      <c r="H3451" s="219"/>
      <c r="I3451" s="169">
        <v>207111</v>
      </c>
      <c r="J3451" s="304" t="str">
        <f>CONCATENATE([2]Cover!$D$6,"fdd/view?i=",I3451)</f>
        <v>https://www.dgiwg.org/FAD/fdd/view?i=207111</v>
      </c>
      <c r="K3451" s="304" t="s">
        <v>37500</v>
      </c>
      <c r="L3451" s="188">
        <v>28</v>
      </c>
      <c r="M3451" s="179" t="s">
        <v>1295</v>
      </c>
    </row>
    <row r="3452" spans="1:13" ht="25.5">
      <c r="A3452" s="313" t="str">
        <f t="shared" si="53"/>
        <v>finalApproachGuideSystemCode_requiredNavPerformance</v>
      </c>
      <c r="B3452" s="330"/>
      <c r="C3452" s="334"/>
      <c r="D3452" s="188" t="s">
        <v>16631</v>
      </c>
      <c r="E3452" s="189" t="s">
        <v>16632</v>
      </c>
      <c r="F3452" s="162" t="s">
        <v>22505</v>
      </c>
      <c r="G3452" s="190"/>
      <c r="H3452" s="219"/>
      <c r="I3452" s="169">
        <v>207112</v>
      </c>
      <c r="J3452" s="304" t="str">
        <f>CONCATENATE([2]Cover!$D$6,"fdd/view?i=",I3452)</f>
        <v>https://www.dgiwg.org/FAD/fdd/view?i=207112</v>
      </c>
      <c r="K3452" s="304" t="s">
        <v>37501</v>
      </c>
      <c r="L3452" s="188">
        <v>29</v>
      </c>
      <c r="M3452" s="179" t="s">
        <v>1295</v>
      </c>
    </row>
    <row r="3453" spans="1:13" ht="38.25">
      <c r="A3453" s="313" t="str">
        <f t="shared" si="53"/>
        <v>finalApproachGuideSystemCode_rnavToInstLandingSys</v>
      </c>
      <c r="B3453" s="330"/>
      <c r="C3453" s="334"/>
      <c r="D3453" s="188" t="s">
        <v>16577</v>
      </c>
      <c r="E3453" s="189" t="s">
        <v>16578</v>
      </c>
      <c r="F3453" s="162" t="s">
        <v>22471</v>
      </c>
      <c r="G3453" s="190"/>
      <c r="H3453" s="219"/>
      <c r="I3453" s="169">
        <v>207088</v>
      </c>
      <c r="J3453" s="304" t="str">
        <f>CONCATENATE([2]Cover!$D$6,"fdd/view?i=",I3453)</f>
        <v>https://www.dgiwg.org/FAD/fdd/view?i=207088</v>
      </c>
      <c r="K3453" s="304" t="s">
        <v>37502</v>
      </c>
      <c r="L3453" s="188">
        <v>5</v>
      </c>
      <c r="M3453" s="179" t="s">
        <v>1295</v>
      </c>
    </row>
    <row r="3454" spans="1:13" ht="38.25">
      <c r="A3454" s="313" t="str">
        <f t="shared" si="53"/>
        <v>finalApproachGuideSystemCode_satelliteBasedAugSystem</v>
      </c>
      <c r="B3454" s="330"/>
      <c r="C3454" s="334"/>
      <c r="D3454" s="188" t="s">
        <v>9979</v>
      </c>
      <c r="E3454" s="189" t="s">
        <v>3775</v>
      </c>
      <c r="F3454" s="162" t="s">
        <v>22506</v>
      </c>
      <c r="G3454" s="190"/>
      <c r="H3454" s="219"/>
      <c r="I3454" s="169">
        <v>207113</v>
      </c>
      <c r="J3454" s="304" t="str">
        <f>CONCATENATE([2]Cover!$D$6,"fdd/view?i=",I3454)</f>
        <v>https://www.dgiwg.org/FAD/fdd/view?i=207113</v>
      </c>
      <c r="K3454" s="304" t="s">
        <v>37503</v>
      </c>
      <c r="L3454" s="188">
        <v>30</v>
      </c>
      <c r="M3454" s="179" t="s">
        <v>1295</v>
      </c>
    </row>
    <row r="3455" spans="1:13" ht="25.5">
      <c r="A3455" s="313" t="str">
        <f t="shared" si="53"/>
        <v>finalApproachGuideSystemCode_simplifiedDirectionalFac</v>
      </c>
      <c r="B3455" s="330"/>
      <c r="C3455" s="334"/>
      <c r="D3455" s="188" t="s">
        <v>16635</v>
      </c>
      <c r="E3455" s="189" t="s">
        <v>3914</v>
      </c>
      <c r="F3455" s="162" t="s">
        <v>22507</v>
      </c>
      <c r="G3455" s="190"/>
      <c r="H3455" s="219"/>
      <c r="I3455" s="169">
        <v>207114</v>
      </c>
      <c r="J3455" s="304" t="str">
        <f>CONCATENATE([2]Cover!$D$6,"fdd/view?i=",I3455)</f>
        <v>https://www.dgiwg.org/FAD/fdd/view?i=207114</v>
      </c>
      <c r="K3455" s="304" t="s">
        <v>37504</v>
      </c>
      <c r="L3455" s="188">
        <v>31</v>
      </c>
      <c r="M3455" s="179" t="s">
        <v>1295</v>
      </c>
    </row>
    <row r="3456" spans="1:13" ht="38.25">
      <c r="A3456" s="313" t="str">
        <f t="shared" si="53"/>
        <v>finalApproachGuideSystemCode_specAircraftCrewApproval</v>
      </c>
      <c r="B3456" s="330"/>
      <c r="C3456" s="334"/>
      <c r="D3456" s="188" t="s">
        <v>16637</v>
      </c>
      <c r="E3456" s="189" t="s">
        <v>16638</v>
      </c>
      <c r="F3456" s="162" t="s">
        <v>22508</v>
      </c>
      <c r="G3456" s="190"/>
      <c r="H3456" s="219"/>
      <c r="I3456" s="169">
        <v>207115</v>
      </c>
      <c r="J3456" s="304" t="str">
        <f>CONCATENATE([2]Cover!$D$6,"fdd/view?i=",I3456)</f>
        <v>https://www.dgiwg.org/FAD/fdd/view?i=207115</v>
      </c>
      <c r="K3456" s="304" t="s">
        <v>37505</v>
      </c>
      <c r="L3456" s="188">
        <v>32</v>
      </c>
      <c r="M3456" s="179" t="s">
        <v>1295</v>
      </c>
    </row>
    <row r="3457" spans="1:13" ht="25.5">
      <c r="A3457" s="313" t="str">
        <f t="shared" si="53"/>
        <v>finalApproachGuideSystemCode_transponderLandingSystem</v>
      </c>
      <c r="B3457" s="330"/>
      <c r="C3457" s="334"/>
      <c r="D3457" s="188" t="s">
        <v>16640</v>
      </c>
      <c r="E3457" s="189" t="s">
        <v>16641</v>
      </c>
      <c r="F3457" s="162" t="s">
        <v>22509</v>
      </c>
      <c r="G3457" s="190"/>
      <c r="H3457" s="219"/>
      <c r="I3457" s="169">
        <v>207116</v>
      </c>
      <c r="J3457" s="304" t="str">
        <f>CONCATENATE([2]Cover!$D$6,"fdd/view?i=",I3457)</f>
        <v>https://www.dgiwg.org/FAD/fdd/view?i=207116</v>
      </c>
      <c r="K3457" s="304" t="s">
        <v>37506</v>
      </c>
      <c r="L3457" s="188">
        <v>33</v>
      </c>
      <c r="M3457" s="179" t="s">
        <v>1295</v>
      </c>
    </row>
    <row r="3458" spans="1:13" ht="38.25">
      <c r="A3458" s="313" t="str">
        <f t="shared" si="53"/>
        <v>finalApproachGuideSystemCode_uhfTacticalAirNavBeacon</v>
      </c>
      <c r="B3458" s="330"/>
      <c r="C3458" s="334"/>
      <c r="D3458" s="188" t="s">
        <v>16643</v>
      </c>
      <c r="E3458" s="189" t="s">
        <v>16644</v>
      </c>
      <c r="F3458" s="162" t="s">
        <v>22510</v>
      </c>
      <c r="G3458" s="190"/>
      <c r="H3458" s="219"/>
      <c r="I3458" s="169">
        <v>207117</v>
      </c>
      <c r="J3458" s="304" t="str">
        <f>CONCATENATE([2]Cover!$D$6,"fdd/view?i=",I3458)</f>
        <v>https://www.dgiwg.org/FAD/fdd/view?i=207117</v>
      </c>
      <c r="K3458" s="304" t="s">
        <v>37507</v>
      </c>
      <c r="L3458" s="188">
        <v>34</v>
      </c>
      <c r="M3458" s="179" t="s">
        <v>1295</v>
      </c>
    </row>
    <row r="3459" spans="1:13" ht="51">
      <c r="A3459" s="313" t="str">
        <f t="shared" ref="A3459:A3522" si="54">HYPERLINK(J3459,K3459)</f>
        <v>finalApproachGuideSystemCode_verticalNavigation</v>
      </c>
      <c r="B3459" s="330"/>
      <c r="C3459" s="334"/>
      <c r="D3459" s="188" t="s">
        <v>22511</v>
      </c>
      <c r="E3459" s="189" t="s">
        <v>22512</v>
      </c>
      <c r="F3459" s="162" t="s">
        <v>22513</v>
      </c>
      <c r="G3459" s="190"/>
      <c r="H3459" s="219"/>
      <c r="I3459" s="169">
        <v>207118</v>
      </c>
      <c r="J3459" s="304" t="str">
        <f>CONCATENATE([2]Cover!$D$6,"fdd/view?i=",I3459)</f>
        <v>https://www.dgiwg.org/FAD/fdd/view?i=207118</v>
      </c>
      <c r="K3459" s="304" t="s">
        <v>37508</v>
      </c>
      <c r="L3459" s="188">
        <v>35</v>
      </c>
      <c r="M3459" s="179" t="s">
        <v>1295</v>
      </c>
    </row>
    <row r="3460" spans="1:13" ht="25.5">
      <c r="A3460" s="313" t="str">
        <f t="shared" si="54"/>
        <v>finalApproachGuideSystemCode_vhfOmnidirectionalRadio</v>
      </c>
      <c r="B3460" s="330"/>
      <c r="C3460" s="334"/>
      <c r="D3460" s="188" t="s">
        <v>16646</v>
      </c>
      <c r="E3460" s="189" t="s">
        <v>16647</v>
      </c>
      <c r="F3460" s="162" t="s">
        <v>22514</v>
      </c>
      <c r="G3460" s="190"/>
      <c r="H3460" s="219"/>
      <c r="I3460" s="169">
        <v>207119</v>
      </c>
      <c r="J3460" s="304" t="str">
        <f>CONCATENATE([2]Cover!$D$6,"fdd/view?i=",I3460)</f>
        <v>https://www.dgiwg.org/FAD/fdd/view?i=207119</v>
      </c>
      <c r="K3460" s="304" t="s">
        <v>37509</v>
      </c>
      <c r="L3460" s="188">
        <v>36</v>
      </c>
      <c r="M3460" s="179" t="s">
        <v>1295</v>
      </c>
    </row>
    <row r="3461" spans="1:13" ht="25.5">
      <c r="A3461" s="313" t="str">
        <f t="shared" si="54"/>
        <v>finalApproachGuideSystemCode_visual</v>
      </c>
      <c r="B3461" s="330"/>
      <c r="C3461" s="334"/>
      <c r="D3461" s="188" t="s">
        <v>16551</v>
      </c>
      <c r="E3461" s="189" t="s">
        <v>16552</v>
      </c>
      <c r="F3461" s="162" t="s">
        <v>22517</v>
      </c>
      <c r="G3461" s="190"/>
      <c r="H3461" s="219"/>
      <c r="I3461" s="169">
        <v>207122</v>
      </c>
      <c r="J3461" s="304" t="str">
        <f>CONCATENATE([2]Cover!$D$6,"fdd/view?i=",I3461)</f>
        <v>https://www.dgiwg.org/FAD/fdd/view?i=207122</v>
      </c>
      <c r="K3461" s="304" t="s">
        <v>37510</v>
      </c>
      <c r="L3461" s="188">
        <v>39</v>
      </c>
      <c r="M3461" s="179" t="s">
        <v>1295</v>
      </c>
    </row>
    <row r="3462" spans="1:13" ht="51">
      <c r="A3462" s="313" t="str">
        <f t="shared" si="54"/>
        <v>finalApproachGuideSystemCode_vorWithDistMeasuringEquip</v>
      </c>
      <c r="B3462" s="330"/>
      <c r="C3462" s="334"/>
      <c r="D3462" s="188" t="s">
        <v>16649</v>
      </c>
      <c r="E3462" s="189" t="s">
        <v>16650</v>
      </c>
      <c r="F3462" s="162" t="s">
        <v>22515</v>
      </c>
      <c r="G3462" s="190"/>
      <c r="H3462" s="219"/>
      <c r="I3462" s="169">
        <v>207120</v>
      </c>
      <c r="J3462" s="304" t="str">
        <f>CONCATENATE([2]Cover!$D$6,"fdd/view?i=",I3462)</f>
        <v>https://www.dgiwg.org/FAD/fdd/view?i=207120</v>
      </c>
      <c r="K3462" s="304" t="s">
        <v>37511</v>
      </c>
      <c r="L3462" s="188">
        <v>37</v>
      </c>
      <c r="M3462" s="179" t="s">
        <v>1295</v>
      </c>
    </row>
    <row r="3463" spans="1:13" ht="51">
      <c r="A3463" s="313" t="str">
        <f t="shared" si="54"/>
        <v>finalApproachGuideSystemCode_vorWithTacanBeacon</v>
      </c>
      <c r="B3463" s="331"/>
      <c r="C3463" s="335"/>
      <c r="D3463" s="181" t="s">
        <v>16652</v>
      </c>
      <c r="E3463" s="192" t="s">
        <v>16653</v>
      </c>
      <c r="F3463" s="193" t="s">
        <v>22516</v>
      </c>
      <c r="G3463" s="194"/>
      <c r="H3463" s="220"/>
      <c r="I3463" s="169">
        <v>207121</v>
      </c>
      <c r="J3463" s="304" t="str">
        <f>CONCATENATE([2]Cover!$D$6,"fdd/view?i=",I3463)</f>
        <v>https://www.dgiwg.org/FAD/fdd/view?i=207121</v>
      </c>
      <c r="K3463" s="304" t="s">
        <v>37512</v>
      </c>
      <c r="L3463" s="181">
        <v>38</v>
      </c>
      <c r="M3463" s="179" t="s">
        <v>1295</v>
      </c>
    </row>
    <row r="3464" spans="1:13" ht="76.5">
      <c r="A3464" s="313" t="str">
        <f t="shared" si="54"/>
        <v>FireExtinguishAgentTypeCode_airPressurizedWater</v>
      </c>
      <c r="B3464" s="332" t="str">
        <f>HYPERLINK("[#]Datatypes!A568:L568","FireExtinguishAgentTypeCode")</f>
        <v>FireExtinguishAgentTypeCode</v>
      </c>
      <c r="C3464" s="333" t="s">
        <v>12115</v>
      </c>
      <c r="D3464" s="202" t="s">
        <v>22518</v>
      </c>
      <c r="E3464" s="203" t="s">
        <v>22519</v>
      </c>
      <c r="F3464" s="204" t="s">
        <v>22520</v>
      </c>
      <c r="G3464" s="204" t="s">
        <v>22521</v>
      </c>
      <c r="H3464" s="222" t="s">
        <v>22522</v>
      </c>
      <c r="I3464" s="169">
        <v>207734</v>
      </c>
      <c r="J3464" s="304" t="str">
        <f>CONCATENATE([2]Cover!$D$6,"fdd/view?i=",I3464)</f>
        <v>https://www.dgiwg.org/FAD/fdd/view?i=207734</v>
      </c>
      <c r="K3464" s="304" t="s">
        <v>37513</v>
      </c>
      <c r="L3464" s="202">
        <v>14</v>
      </c>
      <c r="M3464" s="179" t="s">
        <v>1295</v>
      </c>
    </row>
    <row r="3465" spans="1:13" ht="38.25">
      <c r="A3465" s="313" t="str">
        <f t="shared" si="54"/>
        <v>FireExtinguishAgentTypeCode_alcoholResistAqFilmFoam</v>
      </c>
      <c r="B3465" s="330"/>
      <c r="C3465" s="334"/>
      <c r="D3465" s="188" t="s">
        <v>22523</v>
      </c>
      <c r="E3465" s="189" t="s">
        <v>22524</v>
      </c>
      <c r="F3465" s="162" t="s">
        <v>22525</v>
      </c>
      <c r="G3465" s="162" t="s">
        <v>22526</v>
      </c>
      <c r="H3465" s="221" t="s">
        <v>22527</v>
      </c>
      <c r="I3465" s="169">
        <v>207729</v>
      </c>
      <c r="J3465" s="304" t="str">
        <f>CONCATENATE([2]Cover!$D$6,"fdd/view?i=",I3465)</f>
        <v>https://www.dgiwg.org/FAD/fdd/view?i=207729</v>
      </c>
      <c r="K3465" s="304" t="s">
        <v>37514</v>
      </c>
      <c r="L3465" s="188">
        <v>9</v>
      </c>
      <c r="M3465" s="179" t="s">
        <v>1295</v>
      </c>
    </row>
    <row r="3466" spans="1:13" ht="76.5">
      <c r="A3466" s="313" t="str">
        <f t="shared" si="54"/>
        <v>FireExtinguishAgentTypeCode_ammoniumPhosphate</v>
      </c>
      <c r="B3466" s="330"/>
      <c r="C3466" s="334"/>
      <c r="D3466" s="188" t="s">
        <v>22528</v>
      </c>
      <c r="E3466" s="189" t="s">
        <v>22529</v>
      </c>
      <c r="F3466" s="162" t="s">
        <v>22530</v>
      </c>
      <c r="G3466" s="162" t="s">
        <v>22531</v>
      </c>
      <c r="H3466" s="221" t="s">
        <v>22532</v>
      </c>
      <c r="I3466" s="169">
        <v>207721</v>
      </c>
      <c r="J3466" s="304" t="str">
        <f>CONCATENATE([2]Cover!$D$6,"fdd/view?i=",I3466)</f>
        <v>https://www.dgiwg.org/FAD/fdd/view?i=207721</v>
      </c>
      <c r="K3466" s="304" t="s">
        <v>37515</v>
      </c>
      <c r="L3466" s="188">
        <v>1</v>
      </c>
      <c r="M3466" s="179" t="s">
        <v>1295</v>
      </c>
    </row>
    <row r="3467" spans="1:13" ht="63.75">
      <c r="A3467" s="313" t="str">
        <f t="shared" si="54"/>
        <v>FireExtinguishAgentTypeCode_aqueousFilmFormingFoam</v>
      </c>
      <c r="B3467" s="330"/>
      <c r="C3467" s="334"/>
      <c r="D3467" s="188" t="s">
        <v>22533</v>
      </c>
      <c r="E3467" s="189" t="s">
        <v>22534</v>
      </c>
      <c r="F3467" s="162" t="s">
        <v>22535</v>
      </c>
      <c r="G3467" s="162" t="s">
        <v>22536</v>
      </c>
      <c r="H3467" s="221" t="s">
        <v>22537</v>
      </c>
      <c r="I3467" s="169">
        <v>207728</v>
      </c>
      <c r="J3467" s="304" t="str">
        <f>CONCATENATE([2]Cover!$D$6,"fdd/view?i=",I3467)</f>
        <v>https://www.dgiwg.org/FAD/fdd/view?i=207728</v>
      </c>
      <c r="K3467" s="304" t="s">
        <v>37516</v>
      </c>
      <c r="L3467" s="188">
        <v>8</v>
      </c>
      <c r="M3467" s="179" t="s">
        <v>1295</v>
      </c>
    </row>
    <row r="3468" spans="1:13" ht="25.5">
      <c r="A3468" s="313" t="str">
        <f t="shared" si="54"/>
        <v>FireExtinguishAgentTypeCode_arcticFire</v>
      </c>
      <c r="B3468" s="330"/>
      <c r="C3468" s="334"/>
      <c r="D3468" s="188" t="s">
        <v>22538</v>
      </c>
      <c r="E3468" s="189" t="s">
        <v>22539</v>
      </c>
      <c r="F3468" s="162" t="s">
        <v>22540</v>
      </c>
      <c r="G3468" s="162" t="s">
        <v>22541</v>
      </c>
      <c r="H3468" s="219"/>
      <c r="I3468" s="169">
        <v>207732</v>
      </c>
      <c r="J3468" s="304" t="str">
        <f>CONCATENATE([2]Cover!$D$6,"fdd/view?i=",I3468)</f>
        <v>https://www.dgiwg.org/FAD/fdd/view?i=207732</v>
      </c>
      <c r="K3468" s="304" t="s">
        <v>37517</v>
      </c>
      <c r="L3468" s="188">
        <v>12</v>
      </c>
      <c r="M3468" s="179" t="s">
        <v>1295</v>
      </c>
    </row>
    <row r="3469" spans="1:13" ht="76.5">
      <c r="A3469" s="313" t="str">
        <f t="shared" si="54"/>
        <v>FireExtinguishAgentTypeCode_carbonDioxide</v>
      </c>
      <c r="B3469" s="330"/>
      <c r="C3469" s="334"/>
      <c r="D3469" s="188" t="s">
        <v>22542</v>
      </c>
      <c r="E3469" s="189" t="s">
        <v>22543</v>
      </c>
      <c r="F3469" s="162" t="s">
        <v>22544</v>
      </c>
      <c r="G3469" s="162" t="s">
        <v>22545</v>
      </c>
      <c r="H3469" s="221" t="s">
        <v>22546</v>
      </c>
      <c r="I3469" s="169">
        <v>207738</v>
      </c>
      <c r="J3469" s="304" t="str">
        <f>CONCATENATE([2]Cover!$D$6,"fdd/view?i=",I3469)</f>
        <v>https://www.dgiwg.org/FAD/fdd/view?i=207738</v>
      </c>
      <c r="K3469" s="304" t="s">
        <v>37518</v>
      </c>
      <c r="L3469" s="188">
        <v>18</v>
      </c>
      <c r="M3469" s="179" t="s">
        <v>1295</v>
      </c>
    </row>
    <row r="3470" spans="1:13" ht="51">
      <c r="A3470" s="313" t="str">
        <f t="shared" si="54"/>
        <v>FireExtinguishAgentTypeCode_compressedAirFoamSystem</v>
      </c>
      <c r="B3470" s="330"/>
      <c r="C3470" s="334"/>
      <c r="D3470" s="188" t="s">
        <v>22547</v>
      </c>
      <c r="E3470" s="189" t="s">
        <v>22548</v>
      </c>
      <c r="F3470" s="162" t="s">
        <v>22549</v>
      </c>
      <c r="G3470" s="162" t="s">
        <v>22550</v>
      </c>
      <c r="H3470" s="221" t="s">
        <v>22551</v>
      </c>
      <c r="I3470" s="169">
        <v>207731</v>
      </c>
      <c r="J3470" s="304" t="str">
        <f>CONCATENATE([2]Cover!$D$6,"fdd/view?i=",I3470)</f>
        <v>https://www.dgiwg.org/FAD/fdd/view?i=207731</v>
      </c>
      <c r="K3470" s="304" t="s">
        <v>37519</v>
      </c>
      <c r="L3470" s="188">
        <v>11</v>
      </c>
      <c r="M3470" s="179" t="s">
        <v>1295</v>
      </c>
    </row>
    <row r="3471" spans="1:13" ht="63.75">
      <c r="A3471" s="313" t="str">
        <f t="shared" si="54"/>
        <v>FireExtinguishAgentTypeCode_copperPowderNavy125S</v>
      </c>
      <c r="B3471" s="330"/>
      <c r="C3471" s="334"/>
      <c r="D3471" s="188" t="s">
        <v>22552</v>
      </c>
      <c r="E3471" s="189" t="s">
        <v>22553</v>
      </c>
      <c r="F3471" s="162" t="s">
        <v>22554</v>
      </c>
      <c r="G3471" s="162" t="s">
        <v>22555</v>
      </c>
      <c r="H3471" s="219"/>
      <c r="I3471" s="169">
        <v>207739</v>
      </c>
      <c r="J3471" s="304" t="str">
        <f>CONCATENATE([2]Cover!$D$6,"fdd/view?i=",I3471)</f>
        <v>https://www.dgiwg.org/FAD/fdd/view?i=207739</v>
      </c>
      <c r="K3471" s="304" t="s">
        <v>37520</v>
      </c>
      <c r="L3471" s="188">
        <v>19</v>
      </c>
      <c r="M3471" s="179" t="s">
        <v>1295</v>
      </c>
    </row>
    <row r="3472" spans="1:13" ht="51">
      <c r="A3472" s="313" t="str">
        <f t="shared" si="54"/>
        <v>FireExtinguishAgentTypeCode_filmFormingFluoroprotein</v>
      </c>
      <c r="B3472" s="330"/>
      <c r="C3472" s="334"/>
      <c r="D3472" s="188" t="s">
        <v>22556</v>
      </c>
      <c r="E3472" s="189" t="s">
        <v>22557</v>
      </c>
      <c r="F3472" s="162" t="s">
        <v>22558</v>
      </c>
      <c r="G3472" s="162" t="s">
        <v>22559</v>
      </c>
      <c r="H3472" s="221" t="s">
        <v>22560</v>
      </c>
      <c r="I3472" s="169">
        <v>207730</v>
      </c>
      <c r="J3472" s="304" t="str">
        <f>CONCATENATE([2]Cover!$D$6,"fdd/view?i=",I3472)</f>
        <v>https://www.dgiwg.org/FAD/fdd/view?i=207730</v>
      </c>
      <c r="K3472" s="304" t="s">
        <v>37521</v>
      </c>
      <c r="L3472" s="188">
        <v>10</v>
      </c>
      <c r="M3472" s="179" t="s">
        <v>1295</v>
      </c>
    </row>
    <row r="3473" spans="1:13" ht="76.5">
      <c r="A3473" s="313" t="str">
        <f t="shared" si="54"/>
        <v>FireExtinguishAgentTypeCode_fireAde</v>
      </c>
      <c r="B3473" s="330"/>
      <c r="C3473" s="334"/>
      <c r="D3473" s="188" t="s">
        <v>22561</v>
      </c>
      <c r="E3473" s="189" t="s">
        <v>22562</v>
      </c>
      <c r="F3473" s="162" t="s">
        <v>22563</v>
      </c>
      <c r="G3473" s="162" t="s">
        <v>22564</v>
      </c>
      <c r="H3473" s="219"/>
      <c r="I3473" s="169">
        <v>207733</v>
      </c>
      <c r="J3473" s="304" t="str">
        <f>CONCATENATE([2]Cover!$D$6,"fdd/view?i=",I3473)</f>
        <v>https://www.dgiwg.org/FAD/fdd/view?i=207733</v>
      </c>
      <c r="K3473" s="304" t="s">
        <v>37522</v>
      </c>
      <c r="L3473" s="188">
        <v>13</v>
      </c>
      <c r="M3473" s="179" t="s">
        <v>1295</v>
      </c>
    </row>
    <row r="3474" spans="1:13" ht="76.5">
      <c r="A3474" s="313" t="str">
        <f t="shared" si="54"/>
        <v>FireExtinguishAgentTypeCode_foamCompatible</v>
      </c>
      <c r="B3474" s="330"/>
      <c r="C3474" s="334"/>
      <c r="D3474" s="188" t="s">
        <v>22565</v>
      </c>
      <c r="E3474" s="189" t="s">
        <v>22566</v>
      </c>
      <c r="F3474" s="162" t="s">
        <v>22567</v>
      </c>
      <c r="G3474" s="162" t="s">
        <v>22568</v>
      </c>
      <c r="H3474" s="219"/>
      <c r="I3474" s="169">
        <v>207726</v>
      </c>
      <c r="J3474" s="304" t="str">
        <f>CONCATENATE([2]Cover!$D$6,"fdd/view?i=",I3474)</f>
        <v>https://www.dgiwg.org/FAD/fdd/view?i=207726</v>
      </c>
      <c r="K3474" s="304" t="s">
        <v>37523</v>
      </c>
      <c r="L3474" s="188">
        <v>6</v>
      </c>
      <c r="M3474" s="179" t="s">
        <v>1295</v>
      </c>
    </row>
    <row r="3475" spans="1:13" ht="25.5">
      <c r="A3475" s="313" t="str">
        <f t="shared" si="54"/>
        <v>FireExtinguishAgentTypeCode_graphite</v>
      </c>
      <c r="B3475" s="330"/>
      <c r="C3475" s="334"/>
      <c r="D3475" s="188" t="s">
        <v>22569</v>
      </c>
      <c r="E3475" s="189" t="s">
        <v>22570</v>
      </c>
      <c r="F3475" s="162" t="s">
        <v>22571</v>
      </c>
      <c r="G3475" s="190"/>
      <c r="H3475" s="221" t="s">
        <v>22572</v>
      </c>
      <c r="I3475" s="169">
        <v>207742</v>
      </c>
      <c r="J3475" s="304" t="str">
        <f>CONCATENATE([2]Cover!$D$6,"fdd/view?i=",I3475)</f>
        <v>https://www.dgiwg.org/FAD/fdd/view?i=207742</v>
      </c>
      <c r="K3475" s="304" t="s">
        <v>37524</v>
      </c>
      <c r="L3475" s="188">
        <v>22</v>
      </c>
      <c r="M3475" s="179" t="s">
        <v>1295</v>
      </c>
    </row>
    <row r="3476" spans="1:13" ht="76.5">
      <c r="A3476" s="313" t="str">
        <f t="shared" si="54"/>
        <v>FireExtinguishAgentTypeCode_halon</v>
      </c>
      <c r="B3476" s="330"/>
      <c r="C3476" s="334"/>
      <c r="D3476" s="188" t="s">
        <v>22573</v>
      </c>
      <c r="E3476" s="189" t="s">
        <v>22574</v>
      </c>
      <c r="F3476" s="162" t="s">
        <v>22575</v>
      </c>
      <c r="G3476" s="162" t="s">
        <v>22576</v>
      </c>
      <c r="H3476" s="221" t="s">
        <v>22577</v>
      </c>
      <c r="I3476" s="169">
        <v>207737</v>
      </c>
      <c r="J3476" s="304" t="str">
        <f>CONCATENATE([2]Cover!$D$6,"fdd/view?i=",I3476)</f>
        <v>https://www.dgiwg.org/FAD/fdd/view?i=207737</v>
      </c>
      <c r="K3476" s="304" t="s">
        <v>37525</v>
      </c>
      <c r="L3476" s="188">
        <v>17</v>
      </c>
      <c r="M3476" s="179" t="s">
        <v>1295</v>
      </c>
    </row>
    <row r="3477" spans="1:13" ht="63.75">
      <c r="A3477" s="313" t="str">
        <f t="shared" si="54"/>
        <v>FireExtinguishAgentTypeCode_metlkylPyrokyl</v>
      </c>
      <c r="B3477" s="330"/>
      <c r="C3477" s="334"/>
      <c r="D3477" s="188" t="s">
        <v>22578</v>
      </c>
      <c r="E3477" s="189" t="s">
        <v>22579</v>
      </c>
      <c r="F3477" s="162" t="s">
        <v>22580</v>
      </c>
      <c r="G3477" s="162" t="s">
        <v>22581</v>
      </c>
      <c r="H3477" s="219"/>
      <c r="I3477" s="169">
        <v>207727</v>
      </c>
      <c r="J3477" s="304" t="str">
        <f>CONCATENATE([2]Cover!$D$6,"fdd/view?i=",I3477)</f>
        <v>https://www.dgiwg.org/FAD/fdd/view?i=207727</v>
      </c>
      <c r="K3477" s="304" t="s">
        <v>37526</v>
      </c>
      <c r="L3477" s="188">
        <v>7</v>
      </c>
      <c r="M3477" s="179" t="s">
        <v>1295</v>
      </c>
    </row>
    <row r="3478" spans="1:13" ht="76.5">
      <c r="A3478" s="313" t="str">
        <f t="shared" si="54"/>
        <v>FireExtinguishAgentTypeCode_potassiumBicarbonate</v>
      </c>
      <c r="B3478" s="330"/>
      <c r="C3478" s="334"/>
      <c r="D3478" s="188" t="s">
        <v>22582</v>
      </c>
      <c r="E3478" s="189" t="s">
        <v>22583</v>
      </c>
      <c r="F3478" s="162" t="s">
        <v>22584</v>
      </c>
      <c r="G3478" s="162" t="s">
        <v>22585</v>
      </c>
      <c r="H3478" s="221" t="s">
        <v>22586</v>
      </c>
      <c r="I3478" s="169">
        <v>207723</v>
      </c>
      <c r="J3478" s="304" t="str">
        <f>CONCATENATE([2]Cover!$D$6,"fdd/view?i=",I3478)</f>
        <v>https://www.dgiwg.org/FAD/fdd/view?i=207723</v>
      </c>
      <c r="K3478" s="304" t="s">
        <v>37527</v>
      </c>
      <c r="L3478" s="188">
        <v>3</v>
      </c>
      <c r="M3478" s="179" t="s">
        <v>1295</v>
      </c>
    </row>
    <row r="3479" spans="1:13" ht="63.75">
      <c r="A3479" s="313" t="str">
        <f t="shared" si="54"/>
        <v>FireExtinguishAgentTypeCode_potassiumBicarbUreaComplex</v>
      </c>
      <c r="B3479" s="330"/>
      <c r="C3479" s="334"/>
      <c r="D3479" s="188" t="s">
        <v>22587</v>
      </c>
      <c r="E3479" s="189" t="s">
        <v>22588</v>
      </c>
      <c r="F3479" s="162" t="s">
        <v>22584</v>
      </c>
      <c r="G3479" s="162" t="s">
        <v>22589</v>
      </c>
      <c r="H3479" s="221" t="s">
        <v>22590</v>
      </c>
      <c r="I3479" s="169">
        <v>207724</v>
      </c>
      <c r="J3479" s="304" t="str">
        <f>CONCATENATE([2]Cover!$D$6,"fdd/view?i=",I3479)</f>
        <v>https://www.dgiwg.org/FAD/fdd/view?i=207724</v>
      </c>
      <c r="K3479" s="304" t="s">
        <v>37528</v>
      </c>
      <c r="L3479" s="188">
        <v>4</v>
      </c>
      <c r="M3479" s="179" t="s">
        <v>1295</v>
      </c>
    </row>
    <row r="3480" spans="1:13" ht="76.5">
      <c r="A3480" s="313" t="str">
        <f t="shared" si="54"/>
        <v>FireExtinguishAgentTypeCode_potassiumChloride</v>
      </c>
      <c r="B3480" s="330"/>
      <c r="C3480" s="334"/>
      <c r="D3480" s="188" t="s">
        <v>22591</v>
      </c>
      <c r="E3480" s="189" t="s">
        <v>22592</v>
      </c>
      <c r="F3480" s="162" t="s">
        <v>22593</v>
      </c>
      <c r="G3480" s="162" t="s">
        <v>22594</v>
      </c>
      <c r="H3480" s="221" t="s">
        <v>22595</v>
      </c>
      <c r="I3480" s="169">
        <v>207725</v>
      </c>
      <c r="J3480" s="304" t="str">
        <f>CONCATENATE([2]Cover!$D$6,"fdd/view?i=",I3480)</f>
        <v>https://www.dgiwg.org/FAD/fdd/view?i=207725</v>
      </c>
      <c r="K3480" s="304" t="s">
        <v>37529</v>
      </c>
      <c r="L3480" s="188">
        <v>5</v>
      </c>
      <c r="M3480" s="179" t="s">
        <v>1295</v>
      </c>
    </row>
    <row r="3481" spans="1:13" ht="76.5">
      <c r="A3481" s="313" t="str">
        <f t="shared" si="54"/>
        <v>FireExtinguishAgentTypeCode_sodiumBicarbonate</v>
      </c>
      <c r="B3481" s="330"/>
      <c r="C3481" s="334"/>
      <c r="D3481" s="188" t="s">
        <v>22596</v>
      </c>
      <c r="E3481" s="189" t="s">
        <v>22597</v>
      </c>
      <c r="F3481" s="162" t="s">
        <v>22584</v>
      </c>
      <c r="G3481" s="162" t="s">
        <v>22598</v>
      </c>
      <c r="H3481" s="221" t="s">
        <v>21165</v>
      </c>
      <c r="I3481" s="169">
        <v>207722</v>
      </c>
      <c r="J3481" s="304" t="str">
        <f>CONCATENATE([2]Cover!$D$6,"fdd/view?i=",I3481)</f>
        <v>https://www.dgiwg.org/FAD/fdd/view?i=207722</v>
      </c>
      <c r="K3481" s="304" t="s">
        <v>37530</v>
      </c>
      <c r="L3481" s="188">
        <v>2</v>
      </c>
      <c r="M3481" s="179" t="s">
        <v>1295</v>
      </c>
    </row>
    <row r="3482" spans="1:13" ht="76.5">
      <c r="A3482" s="313" t="str">
        <f t="shared" si="54"/>
        <v>FireExtinguishAgentTypeCode_sodiumCarbonite</v>
      </c>
      <c r="B3482" s="330"/>
      <c r="C3482" s="334"/>
      <c r="D3482" s="188" t="s">
        <v>22599</v>
      </c>
      <c r="E3482" s="189" t="s">
        <v>22600</v>
      </c>
      <c r="F3482" s="162" t="s">
        <v>22601</v>
      </c>
      <c r="G3482" s="162" t="s">
        <v>22602</v>
      </c>
      <c r="H3482" s="221" t="s">
        <v>22603</v>
      </c>
      <c r="I3482" s="169">
        <v>207741</v>
      </c>
      <c r="J3482" s="304" t="str">
        <f>CONCATENATE([2]Cover!$D$6,"fdd/view?i=",I3482)</f>
        <v>https://www.dgiwg.org/FAD/fdd/view?i=207741</v>
      </c>
      <c r="K3482" s="304" t="s">
        <v>37531</v>
      </c>
      <c r="L3482" s="188">
        <v>21</v>
      </c>
      <c r="M3482" s="179" t="s">
        <v>1295</v>
      </c>
    </row>
    <row r="3483" spans="1:13" ht="76.5">
      <c r="A3483" s="313" t="str">
        <f t="shared" si="54"/>
        <v>FireExtinguishAgentTypeCode_sodiumChloride</v>
      </c>
      <c r="B3483" s="330"/>
      <c r="C3483" s="334"/>
      <c r="D3483" s="188" t="s">
        <v>22604</v>
      </c>
      <c r="E3483" s="189" t="s">
        <v>22605</v>
      </c>
      <c r="F3483" s="162" t="s">
        <v>22606</v>
      </c>
      <c r="G3483" s="162" t="s">
        <v>22607</v>
      </c>
      <c r="H3483" s="221" t="s">
        <v>22608</v>
      </c>
      <c r="I3483" s="169">
        <v>207740</v>
      </c>
      <c r="J3483" s="304" t="str">
        <f>CONCATENATE([2]Cover!$D$6,"fdd/view?i=",I3483)</f>
        <v>https://www.dgiwg.org/FAD/fdd/view?i=207740</v>
      </c>
      <c r="K3483" s="304" t="s">
        <v>37532</v>
      </c>
      <c r="L3483" s="188">
        <v>20</v>
      </c>
      <c r="M3483" s="179" t="s">
        <v>1295</v>
      </c>
    </row>
    <row r="3484" spans="1:13" ht="51">
      <c r="A3484" s="313" t="str">
        <f t="shared" si="54"/>
        <v>FireExtinguishAgentTypeCode_waterMist</v>
      </c>
      <c r="B3484" s="330"/>
      <c r="C3484" s="334"/>
      <c r="D3484" s="188" t="s">
        <v>22609</v>
      </c>
      <c r="E3484" s="189" t="s">
        <v>22610</v>
      </c>
      <c r="F3484" s="162" t="s">
        <v>22611</v>
      </c>
      <c r="G3484" s="162" t="s">
        <v>22612</v>
      </c>
      <c r="H3484" s="219"/>
      <c r="I3484" s="169">
        <v>207735</v>
      </c>
      <c r="J3484" s="304" t="str">
        <f>CONCATENATE([2]Cover!$D$6,"fdd/view?i=",I3484)</f>
        <v>https://www.dgiwg.org/FAD/fdd/view?i=207735</v>
      </c>
      <c r="K3484" s="304" t="s">
        <v>37533</v>
      </c>
      <c r="L3484" s="188">
        <v>15</v>
      </c>
      <c r="M3484" s="179" t="s">
        <v>1295</v>
      </c>
    </row>
    <row r="3485" spans="1:13" ht="63.75">
      <c r="A3485" s="313" t="str">
        <f t="shared" si="54"/>
        <v>FireExtinguishAgentTypeCode_wetChemical</v>
      </c>
      <c r="B3485" s="331"/>
      <c r="C3485" s="335"/>
      <c r="D3485" s="181" t="s">
        <v>22613</v>
      </c>
      <c r="E3485" s="192" t="s">
        <v>22614</v>
      </c>
      <c r="F3485" s="193" t="s">
        <v>22615</v>
      </c>
      <c r="G3485" s="193" t="s">
        <v>22616</v>
      </c>
      <c r="H3485" s="220"/>
      <c r="I3485" s="169">
        <v>207736</v>
      </c>
      <c r="J3485" s="304" t="str">
        <f>CONCATENATE([2]Cover!$D$6,"fdd/view?i=",I3485)</f>
        <v>https://www.dgiwg.org/FAD/fdd/view?i=207736</v>
      </c>
      <c r="K3485" s="304" t="s">
        <v>37534</v>
      </c>
      <c r="L3485" s="181">
        <v>16</v>
      </c>
      <c r="M3485" s="179" t="s">
        <v>1295</v>
      </c>
    </row>
    <row r="3486" spans="1:13" ht="25.5">
      <c r="A3486" s="313" t="str">
        <f t="shared" si="54"/>
        <v>FishingActivityLevelCode_lightModerateActivity</v>
      </c>
      <c r="B3486" s="332" t="str">
        <f>HYPERLINK("[#]Datatypes!A572:L572","FishingActivityLevelCode")</f>
        <v>FishingActivityLevelCode</v>
      </c>
      <c r="C3486" s="333" t="s">
        <v>12119</v>
      </c>
      <c r="D3486" s="202" t="s">
        <v>22617</v>
      </c>
      <c r="E3486" s="203" t="s">
        <v>22618</v>
      </c>
      <c r="F3486" s="204" t="s">
        <v>22619</v>
      </c>
      <c r="G3486" s="205"/>
      <c r="H3486" s="218"/>
      <c r="I3486" s="169">
        <v>206265</v>
      </c>
      <c r="J3486" s="304" t="str">
        <f>CONCATENATE([2]Cover!$D$6,"fdd/view?i=",I3486)</f>
        <v>https://www.dgiwg.org/FAD/fdd/view?i=206265</v>
      </c>
      <c r="K3486" s="304" t="s">
        <v>37535</v>
      </c>
      <c r="L3486" s="202">
        <v>2</v>
      </c>
      <c r="M3486" s="179" t="s">
        <v>1295</v>
      </c>
    </row>
    <row r="3487" spans="1:13" ht="25.5">
      <c r="A3487" s="313" t="str">
        <f t="shared" si="54"/>
        <v>FishingActivityLevelCode_moderateHeavyActivity</v>
      </c>
      <c r="B3487" s="330"/>
      <c r="C3487" s="334"/>
      <c r="D3487" s="188" t="s">
        <v>22620</v>
      </c>
      <c r="E3487" s="189" t="s">
        <v>22621</v>
      </c>
      <c r="F3487" s="162" t="s">
        <v>22622</v>
      </c>
      <c r="G3487" s="190"/>
      <c r="H3487" s="219"/>
      <c r="I3487" s="169">
        <v>206266</v>
      </c>
      <c r="J3487" s="304" t="str">
        <f>CONCATENATE([2]Cover!$D$6,"fdd/view?i=",I3487)</f>
        <v>https://www.dgiwg.org/FAD/fdd/view?i=206266</v>
      </c>
      <c r="K3487" s="304" t="s">
        <v>37536</v>
      </c>
      <c r="L3487" s="188">
        <v>3</v>
      </c>
      <c r="M3487" s="179" t="s">
        <v>1295</v>
      </c>
    </row>
    <row r="3488" spans="1:13" ht="25.5">
      <c r="A3488" s="313" t="str">
        <f t="shared" si="54"/>
        <v>FishingActivityLevelCode_veryLightActivity</v>
      </c>
      <c r="B3488" s="331"/>
      <c r="C3488" s="335"/>
      <c r="D3488" s="181" t="s">
        <v>22623</v>
      </c>
      <c r="E3488" s="192" t="s">
        <v>22624</v>
      </c>
      <c r="F3488" s="193" t="s">
        <v>22625</v>
      </c>
      <c r="G3488" s="194"/>
      <c r="H3488" s="220"/>
      <c r="I3488" s="169">
        <v>206264</v>
      </c>
      <c r="J3488" s="304" t="str">
        <f>CONCATENATE([2]Cover!$D$6,"fdd/view?i=",I3488)</f>
        <v>https://www.dgiwg.org/FAD/fdd/view?i=206264</v>
      </c>
      <c r="K3488" s="304" t="s">
        <v>37537</v>
      </c>
      <c r="L3488" s="181">
        <v>1</v>
      </c>
      <c r="M3488" s="179" t="s">
        <v>1295</v>
      </c>
    </row>
    <row r="3489" spans="1:13" ht="165.75">
      <c r="A3489" s="313" t="str">
        <f t="shared" si="54"/>
        <v>FishingGearTypeCode_beachSeine</v>
      </c>
      <c r="B3489" s="332" t="str">
        <f>HYPERLINK("[#]Datatypes!A574:L574","FishingGearTypeCode")</f>
        <v>FishingGearTypeCode</v>
      </c>
      <c r="C3489" s="333" t="s">
        <v>12121</v>
      </c>
      <c r="D3489" s="202" t="s">
        <v>22626</v>
      </c>
      <c r="E3489" s="203" t="s">
        <v>22627</v>
      </c>
      <c r="F3489" s="204" t="s">
        <v>22628</v>
      </c>
      <c r="G3489" s="204" t="s">
        <v>22629</v>
      </c>
      <c r="H3489" s="218"/>
      <c r="I3489" s="169">
        <v>206450</v>
      </c>
      <c r="J3489" s="304" t="str">
        <f>CONCATENATE([2]Cover!$D$6,"fdd/view?i=",I3489)</f>
        <v>https://www.dgiwg.org/FAD/fdd/view?i=206450</v>
      </c>
      <c r="K3489" s="304" t="s">
        <v>37538</v>
      </c>
      <c r="L3489" s="202">
        <v>13</v>
      </c>
      <c r="M3489" s="179" t="s">
        <v>1295</v>
      </c>
    </row>
    <row r="3490" spans="1:13" ht="102">
      <c r="A3490" s="313" t="str">
        <f t="shared" si="54"/>
        <v>FishingGearTypeCode_boatDredge</v>
      </c>
      <c r="B3490" s="330"/>
      <c r="C3490" s="334"/>
      <c r="D3490" s="188" t="s">
        <v>22630</v>
      </c>
      <c r="E3490" s="189" t="s">
        <v>22631</v>
      </c>
      <c r="F3490" s="162" t="s">
        <v>22632</v>
      </c>
      <c r="G3490" s="162" t="s">
        <v>22633</v>
      </c>
      <c r="H3490" s="219"/>
      <c r="I3490" s="169">
        <v>206465</v>
      </c>
      <c r="J3490" s="304" t="str">
        <f>CONCATENATE([2]Cover!$D$6,"fdd/view?i=",I3490)</f>
        <v>https://www.dgiwg.org/FAD/fdd/view?i=206465</v>
      </c>
      <c r="K3490" s="304" t="s">
        <v>37539</v>
      </c>
      <c r="L3490" s="188">
        <v>28</v>
      </c>
      <c r="M3490" s="179" t="s">
        <v>1295</v>
      </c>
    </row>
    <row r="3491" spans="1:13" ht="153">
      <c r="A3491" s="313" t="str">
        <f t="shared" si="54"/>
        <v>FishingGearTypeCode_boatSeine</v>
      </c>
      <c r="B3491" s="330"/>
      <c r="C3491" s="334"/>
      <c r="D3491" s="188" t="s">
        <v>22634</v>
      </c>
      <c r="E3491" s="189" t="s">
        <v>22635</v>
      </c>
      <c r="F3491" s="162" t="s">
        <v>22636</v>
      </c>
      <c r="G3491" s="162" t="s">
        <v>22637</v>
      </c>
      <c r="H3491" s="221" t="s">
        <v>22638</v>
      </c>
      <c r="I3491" s="169">
        <v>206451</v>
      </c>
      <c r="J3491" s="304" t="str">
        <f>CONCATENATE([2]Cover!$D$6,"fdd/view?i=",I3491)</f>
        <v>https://www.dgiwg.org/FAD/fdd/view?i=206451</v>
      </c>
      <c r="K3491" s="304" t="s">
        <v>37540</v>
      </c>
      <c r="L3491" s="188">
        <v>14</v>
      </c>
      <c r="M3491" s="179" t="s">
        <v>1295</v>
      </c>
    </row>
    <row r="3492" spans="1:13" ht="102">
      <c r="A3492" s="313" t="str">
        <f t="shared" si="54"/>
        <v>FishingGearTypeCode_bottomTrawl</v>
      </c>
      <c r="B3492" s="330"/>
      <c r="C3492" s="334"/>
      <c r="D3492" s="188" t="s">
        <v>22639</v>
      </c>
      <c r="E3492" s="189" t="s">
        <v>22640</v>
      </c>
      <c r="F3492" s="162" t="s">
        <v>22641</v>
      </c>
      <c r="G3492" s="162" t="s">
        <v>22642</v>
      </c>
      <c r="H3492" s="219"/>
      <c r="I3492" s="169">
        <v>206457</v>
      </c>
      <c r="J3492" s="304" t="str">
        <f>CONCATENATE([2]Cover!$D$6,"fdd/view?i=",I3492)</f>
        <v>https://www.dgiwg.org/FAD/fdd/view?i=206457</v>
      </c>
      <c r="K3492" s="304" t="s">
        <v>37541</v>
      </c>
      <c r="L3492" s="188">
        <v>20</v>
      </c>
      <c r="M3492" s="179" t="s">
        <v>1295</v>
      </c>
    </row>
    <row r="3493" spans="1:13" ht="102">
      <c r="A3493" s="313" t="str">
        <f t="shared" si="54"/>
        <v>FishingGearTypeCode_crabGillnet</v>
      </c>
      <c r="B3493" s="330"/>
      <c r="C3493" s="334"/>
      <c r="D3493" s="188" t="s">
        <v>22643</v>
      </c>
      <c r="E3493" s="189" t="s">
        <v>22644</v>
      </c>
      <c r="F3493" s="162" t="s">
        <v>22645</v>
      </c>
      <c r="G3493" s="162" t="s">
        <v>22646</v>
      </c>
      <c r="H3493" s="221" t="s">
        <v>22647</v>
      </c>
      <c r="I3493" s="169">
        <v>206442</v>
      </c>
      <c r="J3493" s="304" t="str">
        <f>CONCATENATE([2]Cover!$D$6,"fdd/view?i=",I3493)</f>
        <v>https://www.dgiwg.org/FAD/fdd/view?i=206442</v>
      </c>
      <c r="K3493" s="304" t="s">
        <v>37542</v>
      </c>
      <c r="L3493" s="188">
        <v>5</v>
      </c>
      <c r="M3493" s="179" t="s">
        <v>1295</v>
      </c>
    </row>
    <row r="3494" spans="1:13" ht="51">
      <c r="A3494" s="313" t="str">
        <f t="shared" si="54"/>
        <v>FishingGearTypeCode_danishSeine</v>
      </c>
      <c r="B3494" s="330"/>
      <c r="C3494" s="334"/>
      <c r="D3494" s="188" t="s">
        <v>22648</v>
      </c>
      <c r="E3494" s="189" t="s">
        <v>22649</v>
      </c>
      <c r="F3494" s="162" t="s">
        <v>22650</v>
      </c>
      <c r="G3494" s="162" t="s">
        <v>22651</v>
      </c>
      <c r="H3494" s="221" t="s">
        <v>22652</v>
      </c>
      <c r="I3494" s="169">
        <v>206452</v>
      </c>
      <c r="J3494" s="304" t="str">
        <f>CONCATENATE([2]Cover!$D$6,"fdd/view?i=",I3494)</f>
        <v>https://www.dgiwg.org/FAD/fdd/view?i=206452</v>
      </c>
      <c r="K3494" s="304" t="s">
        <v>37543</v>
      </c>
      <c r="L3494" s="188">
        <v>15</v>
      </c>
      <c r="M3494" s="179" t="s">
        <v>1295</v>
      </c>
    </row>
    <row r="3495" spans="1:13" ht="114.75">
      <c r="A3495" s="313" t="str">
        <f t="shared" si="54"/>
        <v>FishingGearTypeCode_dredge</v>
      </c>
      <c r="B3495" s="330"/>
      <c r="C3495" s="334"/>
      <c r="D3495" s="188" t="s">
        <v>21034</v>
      </c>
      <c r="E3495" s="189" t="s">
        <v>21035</v>
      </c>
      <c r="F3495" s="162" t="s">
        <v>22653</v>
      </c>
      <c r="G3495" s="162" t="s">
        <v>22654</v>
      </c>
      <c r="H3495" s="219"/>
      <c r="I3495" s="169">
        <v>206464</v>
      </c>
      <c r="J3495" s="304" t="str">
        <f>CONCATENATE([2]Cover!$D$6,"fdd/view?i=",I3495)</f>
        <v>https://www.dgiwg.org/FAD/fdd/view?i=206464</v>
      </c>
      <c r="K3495" s="304" t="s">
        <v>37544</v>
      </c>
      <c r="L3495" s="188">
        <v>27</v>
      </c>
      <c r="M3495" s="179" t="s">
        <v>1295</v>
      </c>
    </row>
    <row r="3496" spans="1:13" ht="51">
      <c r="A3496" s="313" t="str">
        <f t="shared" si="54"/>
        <v>FishingGearTypeCode_dutchBeamTrawl</v>
      </c>
      <c r="B3496" s="330"/>
      <c r="C3496" s="334"/>
      <c r="D3496" s="188" t="s">
        <v>22655</v>
      </c>
      <c r="E3496" s="189" t="s">
        <v>22656</v>
      </c>
      <c r="F3496" s="162" t="s">
        <v>22657</v>
      </c>
      <c r="G3496" s="162" t="s">
        <v>22658</v>
      </c>
      <c r="H3496" s="221" t="s">
        <v>22659</v>
      </c>
      <c r="I3496" s="169">
        <v>206454</v>
      </c>
      <c r="J3496" s="304" t="str">
        <f>CONCATENATE([2]Cover!$D$6,"fdd/view?i=",I3496)</f>
        <v>https://www.dgiwg.org/FAD/fdd/view?i=206454</v>
      </c>
      <c r="K3496" s="304" t="s">
        <v>37545</v>
      </c>
      <c r="L3496" s="188">
        <v>17</v>
      </c>
      <c r="M3496" s="179" t="s">
        <v>1295</v>
      </c>
    </row>
    <row r="3497" spans="1:13" ht="51">
      <c r="A3497" s="313" t="str">
        <f t="shared" si="54"/>
        <v>FishingGearTypeCode_fishAggregatingDevice</v>
      </c>
      <c r="B3497" s="330"/>
      <c r="C3497" s="334"/>
      <c r="D3497" s="188" t="s">
        <v>22660</v>
      </c>
      <c r="E3497" s="189" t="s">
        <v>22661</v>
      </c>
      <c r="F3497" s="162" t="s">
        <v>22662</v>
      </c>
      <c r="G3497" s="162" t="s">
        <v>22663</v>
      </c>
      <c r="H3497" s="219"/>
      <c r="I3497" s="169">
        <v>206470</v>
      </c>
      <c r="J3497" s="304" t="str">
        <f>CONCATENATE([2]Cover!$D$6,"fdd/view?i=",I3497)</f>
        <v>https://www.dgiwg.org/FAD/fdd/view?i=206470</v>
      </c>
      <c r="K3497" s="304" t="s">
        <v>37546</v>
      </c>
      <c r="L3497" s="188">
        <v>33</v>
      </c>
      <c r="M3497" s="179" t="s">
        <v>1295</v>
      </c>
    </row>
    <row r="3498" spans="1:13" ht="51">
      <c r="A3498" s="313" t="str">
        <f t="shared" si="54"/>
        <v>FishingGearTypeCode_fixedBagNet</v>
      </c>
      <c r="B3498" s="330"/>
      <c r="C3498" s="334"/>
      <c r="D3498" s="188" t="s">
        <v>22664</v>
      </c>
      <c r="E3498" s="189" t="s">
        <v>22665</v>
      </c>
      <c r="F3498" s="162" t="s">
        <v>22666</v>
      </c>
      <c r="G3498" s="162" t="s">
        <v>22667</v>
      </c>
      <c r="H3498" s="219"/>
      <c r="I3498" s="169">
        <v>206445</v>
      </c>
      <c r="J3498" s="304" t="str">
        <f>CONCATENATE([2]Cover!$D$6,"fdd/view?i=",I3498)</f>
        <v>https://www.dgiwg.org/FAD/fdd/view?i=206445</v>
      </c>
      <c r="K3498" s="304" t="s">
        <v>37547</v>
      </c>
      <c r="L3498" s="188">
        <v>8</v>
      </c>
      <c r="M3498" s="179" t="s">
        <v>1295</v>
      </c>
    </row>
    <row r="3499" spans="1:13" ht="76.5">
      <c r="A3499" s="313" t="str">
        <f t="shared" si="54"/>
        <v>FishingGearTypeCode_floatingGillnet</v>
      </c>
      <c r="B3499" s="330"/>
      <c r="C3499" s="334"/>
      <c r="D3499" s="188" t="s">
        <v>22668</v>
      </c>
      <c r="E3499" s="189" t="s">
        <v>22669</v>
      </c>
      <c r="F3499" s="162" t="s">
        <v>22670</v>
      </c>
      <c r="G3499" s="162" t="s">
        <v>22671</v>
      </c>
      <c r="H3499" s="221" t="s">
        <v>22672</v>
      </c>
      <c r="I3499" s="169">
        <v>206443</v>
      </c>
      <c r="J3499" s="304" t="str">
        <f>CONCATENATE([2]Cover!$D$6,"fdd/view?i=",I3499)</f>
        <v>https://www.dgiwg.org/FAD/fdd/view?i=206443</v>
      </c>
      <c r="K3499" s="304" t="s">
        <v>37548</v>
      </c>
      <c r="L3499" s="188">
        <v>6</v>
      </c>
      <c r="M3499" s="179" t="s">
        <v>1295</v>
      </c>
    </row>
    <row r="3500" spans="1:13" ht="114.75">
      <c r="A3500" s="313" t="str">
        <f t="shared" si="54"/>
        <v>FishingGearTypeCode_floatingLongline</v>
      </c>
      <c r="B3500" s="330"/>
      <c r="C3500" s="334"/>
      <c r="D3500" s="188" t="s">
        <v>22673</v>
      </c>
      <c r="E3500" s="189" t="s">
        <v>22674</v>
      </c>
      <c r="F3500" s="162" t="s">
        <v>22675</v>
      </c>
      <c r="G3500" s="162" t="s">
        <v>22676</v>
      </c>
      <c r="H3500" s="221" t="s">
        <v>22677</v>
      </c>
      <c r="I3500" s="169">
        <v>206462</v>
      </c>
      <c r="J3500" s="304" t="str">
        <f>CONCATENATE([2]Cover!$D$6,"fdd/view?i=",I3500)</f>
        <v>https://www.dgiwg.org/FAD/fdd/view?i=206462</v>
      </c>
      <c r="K3500" s="304" t="s">
        <v>37549</v>
      </c>
      <c r="L3500" s="188">
        <v>25</v>
      </c>
      <c r="M3500" s="179" t="s">
        <v>1295</v>
      </c>
    </row>
    <row r="3501" spans="1:13" ht="76.5">
      <c r="A3501" s="313" t="str">
        <f t="shared" si="54"/>
        <v>FishingGearTypeCode_foldingTrap</v>
      </c>
      <c r="B3501" s="330"/>
      <c r="C3501" s="334"/>
      <c r="D3501" s="188" t="s">
        <v>22678</v>
      </c>
      <c r="E3501" s="189" t="s">
        <v>22679</v>
      </c>
      <c r="F3501" s="162" t="s">
        <v>22680</v>
      </c>
      <c r="G3501" s="162" t="s">
        <v>22681</v>
      </c>
      <c r="H3501" s="221" t="s">
        <v>22682</v>
      </c>
      <c r="I3501" s="169">
        <v>206469</v>
      </c>
      <c r="J3501" s="304" t="str">
        <f>CONCATENATE([2]Cover!$D$6,"fdd/view?i=",I3501)</f>
        <v>https://www.dgiwg.org/FAD/fdd/view?i=206469</v>
      </c>
      <c r="K3501" s="304" t="s">
        <v>37550</v>
      </c>
      <c r="L3501" s="188">
        <v>32</v>
      </c>
      <c r="M3501" s="179" t="s">
        <v>1295</v>
      </c>
    </row>
    <row r="3502" spans="1:13" ht="140.25">
      <c r="A3502" s="313" t="str">
        <f t="shared" si="54"/>
        <v>FishingGearTypeCode_fykeNet</v>
      </c>
      <c r="B3502" s="330"/>
      <c r="C3502" s="334"/>
      <c r="D3502" s="188" t="s">
        <v>22683</v>
      </c>
      <c r="E3502" s="189" t="s">
        <v>22684</v>
      </c>
      <c r="F3502" s="162" t="s">
        <v>22685</v>
      </c>
      <c r="G3502" s="162" t="s">
        <v>22686</v>
      </c>
      <c r="H3502" s="221" t="s">
        <v>22687</v>
      </c>
      <c r="I3502" s="169">
        <v>206448</v>
      </c>
      <c r="J3502" s="304" t="str">
        <f>CONCATENATE([2]Cover!$D$6,"fdd/view?i=",I3502)</f>
        <v>https://www.dgiwg.org/FAD/fdd/view?i=206448</v>
      </c>
      <c r="K3502" s="304" t="s">
        <v>37551</v>
      </c>
      <c r="L3502" s="188">
        <v>11</v>
      </c>
      <c r="M3502" s="179" t="s">
        <v>1295</v>
      </c>
    </row>
    <row r="3503" spans="1:13" ht="76.5">
      <c r="A3503" s="313" t="str">
        <f t="shared" si="54"/>
        <v>FishingGearTypeCode_handDredge</v>
      </c>
      <c r="B3503" s="330"/>
      <c r="C3503" s="334"/>
      <c r="D3503" s="188" t="s">
        <v>22688</v>
      </c>
      <c r="E3503" s="189" t="s">
        <v>22689</v>
      </c>
      <c r="F3503" s="162" t="s">
        <v>22690</v>
      </c>
      <c r="G3503" s="162" t="s">
        <v>22691</v>
      </c>
      <c r="H3503" s="219"/>
      <c r="I3503" s="169">
        <v>206467</v>
      </c>
      <c r="J3503" s="304" t="str">
        <f>CONCATENATE([2]Cover!$D$6,"fdd/view?i=",I3503)</f>
        <v>https://www.dgiwg.org/FAD/fdd/view?i=206467</v>
      </c>
      <c r="K3503" s="304" t="s">
        <v>37552</v>
      </c>
      <c r="L3503" s="188">
        <v>30</v>
      </c>
      <c r="M3503" s="179" t="s">
        <v>1295</v>
      </c>
    </row>
    <row r="3504" spans="1:13" ht="51">
      <c r="A3504" s="313" t="str">
        <f t="shared" si="54"/>
        <v>FishingGearTypeCode_hook</v>
      </c>
      <c r="B3504" s="330"/>
      <c r="C3504" s="334"/>
      <c r="D3504" s="188" t="s">
        <v>22692</v>
      </c>
      <c r="E3504" s="189" t="s">
        <v>22693</v>
      </c>
      <c r="F3504" s="162" t="s">
        <v>22694</v>
      </c>
      <c r="G3504" s="162" t="s">
        <v>22695</v>
      </c>
      <c r="H3504" s="219"/>
      <c r="I3504" s="169">
        <v>206460</v>
      </c>
      <c r="J3504" s="304" t="str">
        <f>CONCATENATE([2]Cover!$D$6,"fdd/view?i=",I3504)</f>
        <v>https://www.dgiwg.org/FAD/fdd/view?i=206460</v>
      </c>
      <c r="K3504" s="304" t="s">
        <v>37553</v>
      </c>
      <c r="L3504" s="188">
        <v>23</v>
      </c>
      <c r="M3504" s="179" t="s">
        <v>1295</v>
      </c>
    </row>
    <row r="3505" spans="1:13" ht="102">
      <c r="A3505" s="313" t="str">
        <f t="shared" si="54"/>
        <v>FishingGearTypeCode_jigging</v>
      </c>
      <c r="B3505" s="330"/>
      <c r="C3505" s="334"/>
      <c r="D3505" s="188" t="s">
        <v>22696</v>
      </c>
      <c r="E3505" s="189" t="s">
        <v>22697</v>
      </c>
      <c r="F3505" s="162" t="s">
        <v>22698</v>
      </c>
      <c r="G3505" s="162" t="s">
        <v>22699</v>
      </c>
      <c r="H3505" s="219"/>
      <c r="I3505" s="169">
        <v>206472</v>
      </c>
      <c r="J3505" s="304" t="str">
        <f>CONCATENATE([2]Cover!$D$6,"fdd/view?i=",I3505)</f>
        <v>https://www.dgiwg.org/FAD/fdd/view?i=206472</v>
      </c>
      <c r="K3505" s="304" t="s">
        <v>37554</v>
      </c>
      <c r="L3505" s="188">
        <v>35</v>
      </c>
      <c r="M3505" s="179" t="s">
        <v>1295</v>
      </c>
    </row>
    <row r="3506" spans="1:13" ht="51">
      <c r="A3506" s="313" t="str">
        <f t="shared" si="54"/>
        <v>FishingGearTypeCode_lamparaNet</v>
      </c>
      <c r="B3506" s="330"/>
      <c r="C3506" s="334"/>
      <c r="D3506" s="188" t="s">
        <v>22704</v>
      </c>
      <c r="E3506" s="189" t="s">
        <v>22705</v>
      </c>
      <c r="F3506" s="162" t="s">
        <v>22706</v>
      </c>
      <c r="G3506" s="162" t="s">
        <v>22707</v>
      </c>
      <c r="H3506" s="219"/>
      <c r="I3506" s="169">
        <v>206453</v>
      </c>
      <c r="J3506" s="304" t="str">
        <f>CONCATENATE([2]Cover!$D$6,"fdd/view?i=",I3506)</f>
        <v>https://www.dgiwg.org/FAD/fdd/view?i=206453</v>
      </c>
      <c r="K3506" s="304" t="s">
        <v>37555</v>
      </c>
      <c r="L3506" s="188">
        <v>16</v>
      </c>
      <c r="M3506" s="179" t="s">
        <v>1295</v>
      </c>
    </row>
    <row r="3507" spans="1:13" ht="25.5">
      <c r="A3507" s="313" t="str">
        <f t="shared" si="54"/>
        <v>FishingGearTypeCode_lampgear</v>
      </c>
      <c r="B3507" s="330"/>
      <c r="C3507" s="334"/>
      <c r="D3507" s="188" t="s">
        <v>22700</v>
      </c>
      <c r="E3507" s="189" t="s">
        <v>22701</v>
      </c>
      <c r="F3507" s="162" t="s">
        <v>22702</v>
      </c>
      <c r="G3507" s="190"/>
      <c r="H3507" s="221" t="s">
        <v>22703</v>
      </c>
      <c r="I3507" s="169">
        <v>206471</v>
      </c>
      <c r="J3507" s="304" t="str">
        <f>CONCATENATE([2]Cover!$D$6,"fdd/view?i=",I3507)</f>
        <v>https://www.dgiwg.org/FAD/fdd/view?i=206471</v>
      </c>
      <c r="K3507" s="304" t="s">
        <v>37556</v>
      </c>
      <c r="L3507" s="188">
        <v>34</v>
      </c>
      <c r="M3507" s="179" t="s">
        <v>1295</v>
      </c>
    </row>
    <row r="3508" spans="1:13" ht="89.25">
      <c r="A3508" s="313" t="str">
        <f t="shared" si="54"/>
        <v>FishingGearTypeCode_liftNet</v>
      </c>
      <c r="B3508" s="330"/>
      <c r="C3508" s="334"/>
      <c r="D3508" s="188" t="s">
        <v>22708</v>
      </c>
      <c r="E3508" s="189" t="s">
        <v>22709</v>
      </c>
      <c r="F3508" s="162" t="s">
        <v>22710</v>
      </c>
      <c r="G3508" s="162" t="s">
        <v>22711</v>
      </c>
      <c r="H3508" s="219"/>
      <c r="I3508" s="169">
        <v>206446</v>
      </c>
      <c r="J3508" s="304" t="str">
        <f>CONCATENATE([2]Cover!$D$6,"fdd/view?i=",I3508)</f>
        <v>https://www.dgiwg.org/FAD/fdd/view?i=206446</v>
      </c>
      <c r="K3508" s="304" t="s">
        <v>37557</v>
      </c>
      <c r="L3508" s="188">
        <v>9</v>
      </c>
      <c r="M3508" s="179" t="s">
        <v>1295</v>
      </c>
    </row>
    <row r="3509" spans="1:13" ht="51">
      <c r="A3509" s="313" t="str">
        <f t="shared" si="54"/>
        <v>FishingGearTypeCode_lightedTrawl</v>
      </c>
      <c r="B3509" s="330"/>
      <c r="C3509" s="334"/>
      <c r="D3509" s="188" t="s">
        <v>22712</v>
      </c>
      <c r="E3509" s="189" t="s">
        <v>22713</v>
      </c>
      <c r="F3509" s="162" t="s">
        <v>22714</v>
      </c>
      <c r="G3509" s="162" t="s">
        <v>22715</v>
      </c>
      <c r="H3509" s="219"/>
      <c r="I3509" s="169">
        <v>206455</v>
      </c>
      <c r="J3509" s="304" t="str">
        <f>CONCATENATE([2]Cover!$D$6,"fdd/view?i=",I3509)</f>
        <v>https://www.dgiwg.org/FAD/fdd/view?i=206455</v>
      </c>
      <c r="K3509" s="304" t="s">
        <v>37558</v>
      </c>
      <c r="L3509" s="188">
        <v>18</v>
      </c>
      <c r="M3509" s="179" t="s">
        <v>1295</v>
      </c>
    </row>
    <row r="3510" spans="1:13">
      <c r="A3510" s="313" t="str">
        <f t="shared" si="54"/>
        <v>FishingGearTypeCode_lineGear</v>
      </c>
      <c r="B3510" s="330"/>
      <c r="C3510" s="334"/>
      <c r="D3510" s="188" t="s">
        <v>22716</v>
      </c>
      <c r="E3510" s="189" t="s">
        <v>22717</v>
      </c>
      <c r="F3510" s="162" t="s">
        <v>22718</v>
      </c>
      <c r="G3510" s="162" t="s">
        <v>22719</v>
      </c>
      <c r="H3510" s="219"/>
      <c r="I3510" s="169">
        <v>206459</v>
      </c>
      <c r="J3510" s="304" t="str">
        <f>CONCATENATE([2]Cover!$D$6,"fdd/view?i=",I3510)</f>
        <v>https://www.dgiwg.org/FAD/fdd/view?i=206459</v>
      </c>
      <c r="K3510" s="304" t="s">
        <v>37559</v>
      </c>
      <c r="L3510" s="188">
        <v>22</v>
      </c>
      <c r="M3510" s="179" t="s">
        <v>1295</v>
      </c>
    </row>
    <row r="3511" spans="1:13" ht="102">
      <c r="A3511" s="313" t="str">
        <f t="shared" si="54"/>
        <v>FishingGearTypeCode_longline</v>
      </c>
      <c r="B3511" s="330"/>
      <c r="C3511" s="334"/>
      <c r="D3511" s="188" t="s">
        <v>22720</v>
      </c>
      <c r="E3511" s="189" t="s">
        <v>22721</v>
      </c>
      <c r="F3511" s="162" t="s">
        <v>22722</v>
      </c>
      <c r="G3511" s="162" t="s">
        <v>22723</v>
      </c>
      <c r="H3511" s="221" t="s">
        <v>22724</v>
      </c>
      <c r="I3511" s="169">
        <v>206461</v>
      </c>
      <c r="J3511" s="304" t="str">
        <f>CONCATENATE([2]Cover!$D$6,"fdd/view?i=",I3511)</f>
        <v>https://www.dgiwg.org/FAD/fdd/view?i=206461</v>
      </c>
      <c r="K3511" s="304" t="s">
        <v>37560</v>
      </c>
      <c r="L3511" s="188">
        <v>24</v>
      </c>
      <c r="M3511" s="179" t="s">
        <v>1295</v>
      </c>
    </row>
    <row r="3512" spans="1:13" ht="114.75">
      <c r="A3512" s="313" t="str">
        <f t="shared" si="54"/>
        <v>FishingGearTypeCode_mechanizedDredge</v>
      </c>
      <c r="B3512" s="330"/>
      <c r="C3512" s="334"/>
      <c r="D3512" s="188" t="s">
        <v>22725</v>
      </c>
      <c r="E3512" s="189" t="s">
        <v>22726</v>
      </c>
      <c r="F3512" s="162" t="s">
        <v>22727</v>
      </c>
      <c r="G3512" s="162" t="s">
        <v>22728</v>
      </c>
      <c r="H3512" s="219"/>
      <c r="I3512" s="169">
        <v>206466</v>
      </c>
      <c r="J3512" s="304" t="str">
        <f>CONCATENATE([2]Cover!$D$6,"fdd/view?i=",I3512)</f>
        <v>https://www.dgiwg.org/FAD/fdd/view?i=206466</v>
      </c>
      <c r="K3512" s="304" t="s">
        <v>37561</v>
      </c>
      <c r="L3512" s="188">
        <v>29</v>
      </c>
      <c r="M3512" s="179" t="s">
        <v>1295</v>
      </c>
    </row>
    <row r="3513" spans="1:13" ht="114.75">
      <c r="A3513" s="313" t="str">
        <f t="shared" si="54"/>
        <v>FishingGearTypeCode_midwaterTrawl</v>
      </c>
      <c r="B3513" s="330"/>
      <c r="C3513" s="334"/>
      <c r="D3513" s="188" t="s">
        <v>22729</v>
      </c>
      <c r="E3513" s="189" t="s">
        <v>22730</v>
      </c>
      <c r="F3513" s="162" t="s">
        <v>22731</v>
      </c>
      <c r="G3513" s="162" t="s">
        <v>22732</v>
      </c>
      <c r="H3513" s="221" t="s">
        <v>22733</v>
      </c>
      <c r="I3513" s="169">
        <v>206456</v>
      </c>
      <c r="J3513" s="304" t="str">
        <f>CONCATENATE([2]Cover!$D$6,"fdd/view?i=",I3513)</f>
        <v>https://www.dgiwg.org/FAD/fdd/view?i=206456</v>
      </c>
      <c r="K3513" s="304" t="s">
        <v>37562</v>
      </c>
      <c r="L3513" s="188">
        <v>19</v>
      </c>
      <c r="M3513" s="179" t="s">
        <v>1295</v>
      </c>
    </row>
    <row r="3514" spans="1:13" ht="38.25">
      <c r="A3514" s="313" t="str">
        <f t="shared" si="54"/>
        <v>FishingGearTypeCode_net</v>
      </c>
      <c r="B3514" s="330"/>
      <c r="C3514" s="334"/>
      <c r="D3514" s="188" t="s">
        <v>17287</v>
      </c>
      <c r="E3514" s="189" t="s">
        <v>17288</v>
      </c>
      <c r="F3514" s="162" t="s">
        <v>22734</v>
      </c>
      <c r="G3514" s="190"/>
      <c r="H3514" s="219"/>
      <c r="I3514" s="169">
        <v>206438</v>
      </c>
      <c r="J3514" s="304" t="str">
        <f>CONCATENATE([2]Cover!$D$6,"fdd/view?i=",I3514)</f>
        <v>https://www.dgiwg.org/FAD/fdd/view?i=206438</v>
      </c>
      <c r="K3514" s="304" t="s">
        <v>37563</v>
      </c>
      <c r="L3514" s="188">
        <v>1</v>
      </c>
      <c r="M3514" s="179" t="s">
        <v>1295</v>
      </c>
    </row>
    <row r="3515" spans="1:13" ht="76.5">
      <c r="A3515" s="313" t="str">
        <f t="shared" si="54"/>
        <v>FishingGearTypeCode_pot</v>
      </c>
      <c r="B3515" s="330"/>
      <c r="C3515" s="334"/>
      <c r="D3515" s="188" t="s">
        <v>22735</v>
      </c>
      <c r="E3515" s="189" t="s">
        <v>22736</v>
      </c>
      <c r="F3515" s="162" t="s">
        <v>22737</v>
      </c>
      <c r="G3515" s="162" t="s">
        <v>22738</v>
      </c>
      <c r="H3515" s="219"/>
      <c r="I3515" s="169">
        <v>206468</v>
      </c>
      <c r="J3515" s="304" t="str">
        <f>CONCATENATE([2]Cover!$D$6,"fdd/view?i=",I3515)</f>
        <v>https://www.dgiwg.org/FAD/fdd/view?i=206468</v>
      </c>
      <c r="K3515" s="304" t="s">
        <v>37564</v>
      </c>
      <c r="L3515" s="188">
        <v>31</v>
      </c>
      <c r="M3515" s="179" t="s">
        <v>1295</v>
      </c>
    </row>
    <row r="3516" spans="1:13" ht="51">
      <c r="A3516" s="313" t="str">
        <f t="shared" si="54"/>
        <v>FishingGearTypeCode_pushNet</v>
      </c>
      <c r="B3516" s="330"/>
      <c r="C3516" s="334"/>
      <c r="D3516" s="188" t="s">
        <v>22739</v>
      </c>
      <c r="E3516" s="189" t="s">
        <v>22740</v>
      </c>
      <c r="F3516" s="162" t="s">
        <v>22741</v>
      </c>
      <c r="G3516" s="162" t="s">
        <v>22742</v>
      </c>
      <c r="H3516" s="221" t="s">
        <v>22743</v>
      </c>
      <c r="I3516" s="169">
        <v>206439</v>
      </c>
      <c r="J3516" s="304" t="str">
        <f>CONCATENATE([2]Cover!$D$6,"fdd/view?i=",I3516)</f>
        <v>https://www.dgiwg.org/FAD/fdd/view?i=206439</v>
      </c>
      <c r="K3516" s="304" t="s">
        <v>37565</v>
      </c>
      <c r="L3516" s="188">
        <v>2</v>
      </c>
      <c r="M3516" s="179" t="s">
        <v>1295</v>
      </c>
    </row>
    <row r="3517" spans="1:13" ht="102">
      <c r="A3517" s="313" t="str">
        <f t="shared" si="54"/>
        <v>FishingGearTypeCode_seineNet</v>
      </c>
      <c r="B3517" s="330"/>
      <c r="C3517" s="334"/>
      <c r="D3517" s="188" t="s">
        <v>22744</v>
      </c>
      <c r="E3517" s="189" t="s">
        <v>22745</v>
      </c>
      <c r="F3517" s="162" t="s">
        <v>22746</v>
      </c>
      <c r="G3517" s="162" t="s">
        <v>22747</v>
      </c>
      <c r="H3517" s="219"/>
      <c r="I3517" s="169">
        <v>206449</v>
      </c>
      <c r="J3517" s="304" t="str">
        <f>CONCATENATE([2]Cover!$D$6,"fdd/view?i=",I3517)</f>
        <v>https://www.dgiwg.org/FAD/fdd/view?i=206449</v>
      </c>
      <c r="K3517" s="304" t="s">
        <v>37566</v>
      </c>
      <c r="L3517" s="188">
        <v>12</v>
      </c>
      <c r="M3517" s="179" t="s">
        <v>1295</v>
      </c>
    </row>
    <row r="3518" spans="1:13" ht="25.5">
      <c r="A3518" s="313" t="str">
        <f t="shared" si="54"/>
        <v>FishingGearTypeCode_setNet</v>
      </c>
      <c r="B3518" s="330"/>
      <c r="C3518" s="334"/>
      <c r="D3518" s="188" t="s">
        <v>22748</v>
      </c>
      <c r="E3518" s="189" t="s">
        <v>22749</v>
      </c>
      <c r="F3518" s="162" t="s">
        <v>22750</v>
      </c>
      <c r="G3518" s="190"/>
      <c r="H3518" s="219"/>
      <c r="I3518" s="169">
        <v>206440</v>
      </c>
      <c r="J3518" s="304" t="str">
        <f>CONCATENATE([2]Cover!$D$6,"fdd/view?i=",I3518)</f>
        <v>https://www.dgiwg.org/FAD/fdd/view?i=206440</v>
      </c>
      <c r="K3518" s="304" t="s">
        <v>37567</v>
      </c>
      <c r="L3518" s="188">
        <v>3</v>
      </c>
      <c r="M3518" s="179" t="s">
        <v>1295</v>
      </c>
    </row>
    <row r="3519" spans="1:13" ht="76.5">
      <c r="A3519" s="313" t="str">
        <f t="shared" si="54"/>
        <v>FishingGearTypeCode_spear</v>
      </c>
      <c r="B3519" s="330"/>
      <c r="C3519" s="334"/>
      <c r="D3519" s="188" t="s">
        <v>22751</v>
      </c>
      <c r="E3519" s="189" t="s">
        <v>22752</v>
      </c>
      <c r="F3519" s="162" t="s">
        <v>22753</v>
      </c>
      <c r="G3519" s="162" t="s">
        <v>22754</v>
      </c>
      <c r="H3519" s="221" t="s">
        <v>22755</v>
      </c>
      <c r="I3519" s="169">
        <v>206474</v>
      </c>
      <c r="J3519" s="304" t="str">
        <f>CONCATENATE([2]Cover!$D$6,"fdd/view?i=",I3519)</f>
        <v>https://www.dgiwg.org/FAD/fdd/view?i=206474</v>
      </c>
      <c r="K3519" s="304" t="s">
        <v>37568</v>
      </c>
      <c r="L3519" s="188">
        <v>37</v>
      </c>
      <c r="M3519" s="179" t="s">
        <v>1295</v>
      </c>
    </row>
    <row r="3520" spans="1:13" ht="38.25">
      <c r="A3520" s="313" t="str">
        <f t="shared" si="54"/>
        <v>FishingGearTypeCode_sportFishingGear</v>
      </c>
      <c r="B3520" s="330"/>
      <c r="C3520" s="334"/>
      <c r="D3520" s="188" t="s">
        <v>22756</v>
      </c>
      <c r="E3520" s="189" t="s">
        <v>22757</v>
      </c>
      <c r="F3520" s="162" t="s">
        <v>22758</v>
      </c>
      <c r="G3520" s="162" t="s">
        <v>22759</v>
      </c>
      <c r="H3520" s="221" t="s">
        <v>22760</v>
      </c>
      <c r="I3520" s="169">
        <v>206473</v>
      </c>
      <c r="J3520" s="304" t="str">
        <f>CONCATENATE([2]Cover!$D$6,"fdd/view?i=",I3520)</f>
        <v>https://www.dgiwg.org/FAD/fdd/view?i=206473</v>
      </c>
      <c r="K3520" s="304" t="s">
        <v>37569</v>
      </c>
      <c r="L3520" s="188">
        <v>36</v>
      </c>
      <c r="M3520" s="179" t="s">
        <v>1295</v>
      </c>
    </row>
    <row r="3521" spans="1:13" ht="38.25">
      <c r="A3521" s="313" t="str">
        <f t="shared" si="54"/>
        <v>FishingGearTypeCode_stakeNet</v>
      </c>
      <c r="B3521" s="330"/>
      <c r="C3521" s="334"/>
      <c r="D3521" s="188" t="s">
        <v>22761</v>
      </c>
      <c r="E3521" s="189" t="s">
        <v>22762</v>
      </c>
      <c r="F3521" s="162" t="s">
        <v>22763</v>
      </c>
      <c r="G3521" s="190"/>
      <c r="H3521" s="221" t="s">
        <v>22764</v>
      </c>
      <c r="I3521" s="169">
        <v>206441</v>
      </c>
      <c r="J3521" s="304" t="str">
        <f>CONCATENATE([2]Cover!$D$6,"fdd/view?i=",I3521)</f>
        <v>https://www.dgiwg.org/FAD/fdd/view?i=206441</v>
      </c>
      <c r="K3521" s="304" t="s">
        <v>37570</v>
      </c>
      <c r="L3521" s="188">
        <v>4</v>
      </c>
      <c r="M3521" s="179" t="s">
        <v>1295</v>
      </c>
    </row>
    <row r="3522" spans="1:13" ht="102">
      <c r="A3522" s="313" t="str">
        <f t="shared" si="54"/>
        <v>FishingGearTypeCode_sternTrawl</v>
      </c>
      <c r="B3522" s="330"/>
      <c r="C3522" s="334"/>
      <c r="D3522" s="188" t="s">
        <v>22765</v>
      </c>
      <c r="E3522" s="189" t="s">
        <v>22766</v>
      </c>
      <c r="F3522" s="162" t="s">
        <v>22767</v>
      </c>
      <c r="G3522" s="162" t="s">
        <v>22768</v>
      </c>
      <c r="H3522" s="219"/>
      <c r="I3522" s="169">
        <v>206458</v>
      </c>
      <c r="J3522" s="304" t="str">
        <f>CONCATENATE([2]Cover!$D$6,"fdd/view?i=",I3522)</f>
        <v>https://www.dgiwg.org/FAD/fdd/view?i=206458</v>
      </c>
      <c r="K3522" s="304" t="s">
        <v>37571</v>
      </c>
      <c r="L3522" s="188">
        <v>21</v>
      </c>
      <c r="M3522" s="179" t="s">
        <v>1295</v>
      </c>
    </row>
    <row r="3523" spans="1:13" ht="89.25">
      <c r="A3523" s="313" t="str">
        <f t="shared" ref="A3523:A3586" si="55">HYPERLINK(J3523,K3523)</f>
        <v>FishingGearTypeCode_surroundingNet</v>
      </c>
      <c r="B3523" s="330"/>
      <c r="C3523" s="334"/>
      <c r="D3523" s="188" t="s">
        <v>22769</v>
      </c>
      <c r="E3523" s="189" t="s">
        <v>22770</v>
      </c>
      <c r="F3523" s="162" t="s">
        <v>22771</v>
      </c>
      <c r="G3523" s="162" t="s">
        <v>22772</v>
      </c>
      <c r="H3523" s="221" t="s">
        <v>22773</v>
      </c>
      <c r="I3523" s="169">
        <v>206447</v>
      </c>
      <c r="J3523" s="304" t="str">
        <f>CONCATENATE([2]Cover!$D$6,"fdd/view?i=",I3523)</f>
        <v>https://www.dgiwg.org/FAD/fdd/view?i=206447</v>
      </c>
      <c r="K3523" s="304" t="s">
        <v>37572</v>
      </c>
      <c r="L3523" s="188">
        <v>10</v>
      </c>
      <c r="M3523" s="179" t="s">
        <v>1295</v>
      </c>
    </row>
    <row r="3524" spans="1:13" ht="38.25">
      <c r="A3524" s="313" t="str">
        <f t="shared" si="55"/>
        <v>FishingGearTypeCode_trammelNet</v>
      </c>
      <c r="B3524" s="330"/>
      <c r="C3524" s="334"/>
      <c r="D3524" s="188" t="s">
        <v>22774</v>
      </c>
      <c r="E3524" s="189" t="s">
        <v>22775</v>
      </c>
      <c r="F3524" s="162" t="s">
        <v>22776</v>
      </c>
      <c r="G3524" s="162" t="s">
        <v>22777</v>
      </c>
      <c r="H3524" s="219"/>
      <c r="I3524" s="169">
        <v>206444</v>
      </c>
      <c r="J3524" s="304" t="str">
        <f>CONCATENATE([2]Cover!$D$6,"fdd/view?i=",I3524)</f>
        <v>https://www.dgiwg.org/FAD/fdd/view?i=206444</v>
      </c>
      <c r="K3524" s="304" t="s">
        <v>37573</v>
      </c>
      <c r="L3524" s="188">
        <v>7</v>
      </c>
      <c r="M3524" s="179" t="s">
        <v>1295</v>
      </c>
    </row>
    <row r="3525" spans="1:13" ht="38.25">
      <c r="A3525" s="313" t="str">
        <f t="shared" si="55"/>
        <v>FishingGearTypeCode_trolliingLine</v>
      </c>
      <c r="B3525" s="331"/>
      <c r="C3525" s="335"/>
      <c r="D3525" s="181" t="s">
        <v>22778</v>
      </c>
      <c r="E3525" s="192" t="s">
        <v>22779</v>
      </c>
      <c r="F3525" s="193" t="s">
        <v>22780</v>
      </c>
      <c r="G3525" s="193" t="s">
        <v>22781</v>
      </c>
      <c r="H3525" s="220"/>
      <c r="I3525" s="169">
        <v>206463</v>
      </c>
      <c r="J3525" s="304" t="str">
        <f>CONCATENATE([2]Cover!$D$6,"fdd/view?i=",I3525)</f>
        <v>https://www.dgiwg.org/FAD/fdd/view?i=206463</v>
      </c>
      <c r="K3525" s="304" t="s">
        <v>37574</v>
      </c>
      <c r="L3525" s="181">
        <v>26</v>
      </c>
      <c r="M3525" s="179" t="s">
        <v>1295</v>
      </c>
    </row>
    <row r="3526" spans="1:13" ht="25.5">
      <c r="A3526" s="313" t="str">
        <f t="shared" si="55"/>
        <v>FlightRuleTypeCode_instrumentFlightRules</v>
      </c>
      <c r="B3526" s="332" t="str">
        <f>HYPERLINK("[#]Datatypes!A576:L576","FlightRuleTypeCode")</f>
        <v>FlightRuleTypeCode</v>
      </c>
      <c r="C3526" s="333" t="s">
        <v>12123</v>
      </c>
      <c r="D3526" s="202" t="s">
        <v>15744</v>
      </c>
      <c r="E3526" s="203" t="s">
        <v>15745</v>
      </c>
      <c r="F3526" s="204" t="s">
        <v>22785</v>
      </c>
      <c r="G3526" s="205"/>
      <c r="H3526" s="218"/>
      <c r="I3526" s="169">
        <v>115390</v>
      </c>
      <c r="J3526" s="304" t="str">
        <f>CONCATENATE([2]Cover!$D$6,"fdd/view?i=",I3526)</f>
        <v>https://www.dgiwg.org/FAD/fdd/view?i=115390</v>
      </c>
      <c r="K3526" s="304" t="s">
        <v>37575</v>
      </c>
      <c r="L3526" s="202">
        <v>1</v>
      </c>
      <c r="M3526" s="179" t="s">
        <v>151</v>
      </c>
    </row>
    <row r="3527" spans="1:13" ht="25.5">
      <c r="A3527" s="313" t="str">
        <f t="shared" si="55"/>
        <v>FlightRuleTypeCode_instrumentVisualFlightRules</v>
      </c>
      <c r="B3527" s="330"/>
      <c r="C3527" s="334"/>
      <c r="D3527" s="188" t="s">
        <v>22782</v>
      </c>
      <c r="E3527" s="189" t="s">
        <v>22783</v>
      </c>
      <c r="F3527" s="162" t="s">
        <v>22784</v>
      </c>
      <c r="G3527" s="190"/>
      <c r="H3527" s="219"/>
      <c r="I3527" s="169">
        <v>115391</v>
      </c>
      <c r="J3527" s="304" t="str">
        <f>CONCATENATE([2]Cover!$D$6,"fdd/view?i=",I3527)</f>
        <v>https://www.dgiwg.org/FAD/fdd/view?i=115391</v>
      </c>
      <c r="K3527" s="304" t="s">
        <v>37576</v>
      </c>
      <c r="L3527" s="188">
        <v>3</v>
      </c>
      <c r="M3527" s="179" t="s">
        <v>151</v>
      </c>
    </row>
    <row r="3528" spans="1:13" ht="25.5">
      <c r="A3528" s="313" t="str">
        <f t="shared" si="55"/>
        <v>FlightRuleTypeCode_visualFlightRules</v>
      </c>
      <c r="B3528" s="331"/>
      <c r="C3528" s="335"/>
      <c r="D3528" s="181" t="s">
        <v>15762</v>
      </c>
      <c r="E3528" s="192" t="s">
        <v>15763</v>
      </c>
      <c r="F3528" s="193" t="s">
        <v>22786</v>
      </c>
      <c r="G3528" s="194"/>
      <c r="H3528" s="220"/>
      <c r="I3528" s="169">
        <v>115392</v>
      </c>
      <c r="J3528" s="304" t="str">
        <f>CONCATENATE([2]Cover!$D$6,"fdd/view?i=",I3528)</f>
        <v>https://www.dgiwg.org/FAD/fdd/view?i=115392</v>
      </c>
      <c r="K3528" s="304" t="s">
        <v>37577</v>
      </c>
      <c r="L3528" s="181">
        <v>2</v>
      </c>
      <c r="M3528" s="179" t="s">
        <v>151</v>
      </c>
    </row>
    <row r="3529" spans="1:13" ht="25.5">
      <c r="A3529" s="313" t="str">
        <f t="shared" si="55"/>
        <v>FloatingBarrierTypeCode_containment</v>
      </c>
      <c r="B3529" s="332" t="str">
        <f>HYPERLINK("[#]Datatypes!A578:L578","FloatingBarrierTypeCode")</f>
        <v>FloatingBarrierTypeCode</v>
      </c>
      <c r="C3529" s="333" t="s">
        <v>12125</v>
      </c>
      <c r="D3529" s="202" t="s">
        <v>22787</v>
      </c>
      <c r="E3529" s="203" t="s">
        <v>22788</v>
      </c>
      <c r="F3529" s="204" t="s">
        <v>22789</v>
      </c>
      <c r="G3529" s="205"/>
      <c r="H3529" s="218"/>
      <c r="I3529" s="169">
        <v>117898</v>
      </c>
      <c r="J3529" s="304" t="str">
        <f>CONCATENATE([2]Cover!$D$6,"fdd/view?i=",I3529)</f>
        <v>https://www.dgiwg.org/FAD/fdd/view?i=117898</v>
      </c>
      <c r="K3529" s="304" t="s">
        <v>37578</v>
      </c>
      <c r="L3529" s="202">
        <v>1</v>
      </c>
      <c r="M3529" s="179" t="s">
        <v>151</v>
      </c>
    </row>
    <row r="3530" spans="1:13">
      <c r="A3530" s="313" t="str">
        <f t="shared" si="55"/>
        <v>FloatingBarrierTypeCode_dredge</v>
      </c>
      <c r="B3530" s="330"/>
      <c r="C3530" s="334"/>
      <c r="D3530" s="188" t="s">
        <v>21034</v>
      </c>
      <c r="E3530" s="189" t="s">
        <v>21035</v>
      </c>
      <c r="F3530" s="162" t="s">
        <v>22790</v>
      </c>
      <c r="G3530" s="190"/>
      <c r="H3530" s="219"/>
      <c r="I3530" s="169">
        <v>117899</v>
      </c>
      <c r="J3530" s="304" t="str">
        <f>CONCATENATE([2]Cover!$D$6,"fdd/view?i=",I3530)</f>
        <v>https://www.dgiwg.org/FAD/fdd/view?i=117899</v>
      </c>
      <c r="K3530" s="304" t="s">
        <v>37579</v>
      </c>
      <c r="L3530" s="188">
        <v>2</v>
      </c>
      <c r="M3530" s="179" t="s">
        <v>151</v>
      </c>
    </row>
    <row r="3531" spans="1:13" ht="25.5">
      <c r="A3531" s="313" t="str">
        <f t="shared" si="55"/>
        <v>FloatingBarrierTypeCode_log</v>
      </c>
      <c r="B3531" s="330"/>
      <c r="C3531" s="334"/>
      <c r="D3531" s="188" t="s">
        <v>22791</v>
      </c>
      <c r="E3531" s="189" t="s">
        <v>22792</v>
      </c>
      <c r="F3531" s="162" t="s">
        <v>22793</v>
      </c>
      <c r="G3531" s="190"/>
      <c r="H3531" s="219"/>
      <c r="I3531" s="169">
        <v>117900</v>
      </c>
      <c r="J3531" s="304" t="str">
        <f>CONCATENATE([2]Cover!$D$6,"fdd/view?i=",I3531)</f>
        <v>https://www.dgiwg.org/FAD/fdd/view?i=117900</v>
      </c>
      <c r="K3531" s="304" t="s">
        <v>37580</v>
      </c>
      <c r="L3531" s="188">
        <v>3</v>
      </c>
      <c r="M3531" s="179" t="s">
        <v>151</v>
      </c>
    </row>
    <row r="3532" spans="1:13" ht="63.75">
      <c r="A3532" s="313" t="str">
        <f t="shared" si="55"/>
        <v>FloatingBarrierTypeCode_protection</v>
      </c>
      <c r="B3532" s="331"/>
      <c r="C3532" s="335"/>
      <c r="D3532" s="181" t="s">
        <v>22794</v>
      </c>
      <c r="E3532" s="192" t="s">
        <v>22795</v>
      </c>
      <c r="F3532" s="193" t="s">
        <v>22796</v>
      </c>
      <c r="G3532" s="193" t="s">
        <v>22797</v>
      </c>
      <c r="H3532" s="220"/>
      <c r="I3532" s="169">
        <v>117980</v>
      </c>
      <c r="J3532" s="304" t="str">
        <f>CONCATENATE([2]Cover!$D$6,"fdd/view?i=",I3532)</f>
        <v>https://www.dgiwg.org/FAD/fdd/view?i=117980</v>
      </c>
      <c r="K3532" s="304" t="s">
        <v>37581</v>
      </c>
      <c r="L3532" s="181">
        <v>4</v>
      </c>
      <c r="M3532" s="179" t="s">
        <v>151</v>
      </c>
    </row>
    <row r="3533" spans="1:13" ht="25.5">
      <c r="A3533" s="313" t="str">
        <f t="shared" si="55"/>
        <v>FloodControlStrucTypeCode_dykeGate</v>
      </c>
      <c r="B3533" s="332" t="str">
        <f>HYPERLINK("[#]Datatypes!A580:L580","FloodControlStrucTypeCode")</f>
        <v>FloodControlStrucTypeCode</v>
      </c>
      <c r="C3533" s="333" t="s">
        <v>12127</v>
      </c>
      <c r="D3533" s="202" t="s">
        <v>22798</v>
      </c>
      <c r="E3533" s="203" t="s">
        <v>22799</v>
      </c>
      <c r="F3533" s="204" t="s">
        <v>22800</v>
      </c>
      <c r="G3533" s="205"/>
      <c r="H3533" s="218"/>
      <c r="I3533" s="169">
        <v>117901</v>
      </c>
      <c r="J3533" s="304" t="str">
        <f>CONCATENATE([2]Cover!$D$6,"fdd/view?i=",I3533)</f>
        <v>https://www.dgiwg.org/FAD/fdd/view?i=117901</v>
      </c>
      <c r="K3533" s="304" t="s">
        <v>37582</v>
      </c>
      <c r="L3533" s="202">
        <v>1</v>
      </c>
      <c r="M3533" s="179" t="s">
        <v>151</v>
      </c>
    </row>
    <row r="3534" spans="1:13" ht="25.5">
      <c r="A3534" s="313" t="str">
        <f t="shared" si="55"/>
        <v>FloodControlStrucTypeCode_emergencyGate</v>
      </c>
      <c r="B3534" s="330"/>
      <c r="C3534" s="334"/>
      <c r="D3534" s="188" t="s">
        <v>22801</v>
      </c>
      <c r="E3534" s="189" t="s">
        <v>22802</v>
      </c>
      <c r="F3534" s="162" t="s">
        <v>22803</v>
      </c>
      <c r="G3534" s="190"/>
      <c r="H3534" s="219"/>
      <c r="I3534" s="169">
        <v>117902</v>
      </c>
      <c r="J3534" s="304" t="str">
        <f>CONCATENATE([2]Cover!$D$6,"fdd/view?i=",I3534)</f>
        <v>https://www.dgiwg.org/FAD/fdd/view?i=117902</v>
      </c>
      <c r="K3534" s="304" t="s">
        <v>37583</v>
      </c>
      <c r="L3534" s="188">
        <v>2</v>
      </c>
      <c r="M3534" s="179" t="s">
        <v>151</v>
      </c>
    </row>
    <row r="3535" spans="1:13" ht="51">
      <c r="A3535" s="313" t="str">
        <f t="shared" si="55"/>
        <v>FloodControlStrucTypeCode_fixedBarrage</v>
      </c>
      <c r="B3535" s="330"/>
      <c r="C3535" s="334"/>
      <c r="D3535" s="188" t="s">
        <v>22804</v>
      </c>
      <c r="E3535" s="189" t="s">
        <v>22805</v>
      </c>
      <c r="F3535" s="162" t="s">
        <v>22806</v>
      </c>
      <c r="G3535" s="162" t="s">
        <v>22807</v>
      </c>
      <c r="H3535" s="219"/>
      <c r="I3535" s="169">
        <v>117904</v>
      </c>
      <c r="J3535" s="304" t="str">
        <f>CONCATENATE([2]Cover!$D$6,"fdd/view?i=",I3535)</f>
        <v>https://www.dgiwg.org/FAD/fdd/view?i=117904</v>
      </c>
      <c r="K3535" s="304" t="s">
        <v>37584</v>
      </c>
      <c r="L3535" s="188">
        <v>4</v>
      </c>
      <c r="M3535" s="179" t="s">
        <v>151</v>
      </c>
    </row>
    <row r="3536" spans="1:13" ht="25.5">
      <c r="A3536" s="313" t="str">
        <f t="shared" si="55"/>
        <v>FloodControlStrucTypeCode_floodGate</v>
      </c>
      <c r="B3536" s="330"/>
      <c r="C3536" s="334"/>
      <c r="D3536" s="188" t="s">
        <v>22808</v>
      </c>
      <c r="E3536" s="189" t="s">
        <v>22809</v>
      </c>
      <c r="F3536" s="162" t="s">
        <v>22810</v>
      </c>
      <c r="G3536" s="190"/>
      <c r="H3536" s="219"/>
      <c r="I3536" s="169">
        <v>117903</v>
      </c>
      <c r="J3536" s="304" t="str">
        <f>CONCATENATE([2]Cover!$D$6,"fdd/view?i=",I3536)</f>
        <v>https://www.dgiwg.org/FAD/fdd/view?i=117903</v>
      </c>
      <c r="K3536" s="304" t="s">
        <v>37585</v>
      </c>
      <c r="L3536" s="188">
        <v>3</v>
      </c>
      <c r="M3536" s="179" t="s">
        <v>151</v>
      </c>
    </row>
    <row r="3537" spans="1:13" ht="89.25">
      <c r="A3537" s="313" t="str">
        <f t="shared" si="55"/>
        <v>FloodControlStrucTypeCode_movableBarrage</v>
      </c>
      <c r="B3537" s="331"/>
      <c r="C3537" s="335"/>
      <c r="D3537" s="181" t="s">
        <v>22811</v>
      </c>
      <c r="E3537" s="192" t="s">
        <v>22812</v>
      </c>
      <c r="F3537" s="193" t="s">
        <v>22813</v>
      </c>
      <c r="G3537" s="193" t="s">
        <v>22814</v>
      </c>
      <c r="H3537" s="220"/>
      <c r="I3537" s="169">
        <v>117905</v>
      </c>
      <c r="J3537" s="304" t="str">
        <f>CONCATENATE([2]Cover!$D$6,"fdd/view?i=",I3537)</f>
        <v>https://www.dgiwg.org/FAD/fdd/view?i=117905</v>
      </c>
      <c r="K3537" s="304" t="s">
        <v>37586</v>
      </c>
      <c r="L3537" s="181">
        <v>5</v>
      </c>
      <c r="M3537" s="179" t="s">
        <v>151</v>
      </c>
    </row>
    <row r="3538" spans="1:13" ht="25.5">
      <c r="A3538" s="313" t="str">
        <f t="shared" si="55"/>
        <v>FogSignalTypeCode_bell</v>
      </c>
      <c r="B3538" s="332" t="str">
        <f>HYPERLINK("[#]Datatypes!A582:L582","FogSignalTypeCode")</f>
        <v>FogSignalTypeCode</v>
      </c>
      <c r="C3538" s="333" t="s">
        <v>12129</v>
      </c>
      <c r="D3538" s="202" t="s">
        <v>22815</v>
      </c>
      <c r="E3538" s="203" t="s">
        <v>22816</v>
      </c>
      <c r="F3538" s="204" t="s">
        <v>22817</v>
      </c>
      <c r="G3538" s="204" t="s">
        <v>22818</v>
      </c>
      <c r="H3538" s="218"/>
      <c r="I3538" s="169">
        <v>108207</v>
      </c>
      <c r="J3538" s="304" t="str">
        <f>CONCATENATE([2]Cover!$D$6,"fdd/view?i=",I3538)</f>
        <v>https://www.dgiwg.org/FAD/fdd/view?i=108207</v>
      </c>
      <c r="K3538" s="304" t="s">
        <v>37587</v>
      </c>
      <c r="L3538" s="202">
        <v>1</v>
      </c>
      <c r="M3538" s="179" t="s">
        <v>151</v>
      </c>
    </row>
    <row r="3539" spans="1:13" ht="38.25">
      <c r="A3539" s="313" t="str">
        <f t="shared" si="55"/>
        <v>FogSignalTypeCode_diaphone</v>
      </c>
      <c r="B3539" s="330"/>
      <c r="C3539" s="334"/>
      <c r="D3539" s="188" t="s">
        <v>22819</v>
      </c>
      <c r="E3539" s="189" t="s">
        <v>22820</v>
      </c>
      <c r="F3539" s="162" t="s">
        <v>22821</v>
      </c>
      <c r="G3539" s="162" t="s">
        <v>22822</v>
      </c>
      <c r="H3539" s="219"/>
      <c r="I3539" s="169">
        <v>108208</v>
      </c>
      <c r="J3539" s="304" t="str">
        <f>CONCATENATE([2]Cover!$D$6,"fdd/view?i=",I3539)</f>
        <v>https://www.dgiwg.org/FAD/fdd/view?i=108208</v>
      </c>
      <c r="K3539" s="304" t="s">
        <v>37588</v>
      </c>
      <c r="L3539" s="188">
        <v>2</v>
      </c>
      <c r="M3539" s="179" t="s">
        <v>151</v>
      </c>
    </row>
    <row r="3540" spans="1:13" ht="25.5">
      <c r="A3540" s="313" t="str">
        <f t="shared" si="55"/>
        <v>FogSignalTypeCode_explosive</v>
      </c>
      <c r="B3540" s="330"/>
      <c r="C3540" s="334"/>
      <c r="D3540" s="188" t="s">
        <v>22823</v>
      </c>
      <c r="E3540" s="189" t="s">
        <v>22824</v>
      </c>
      <c r="F3540" s="162" t="s">
        <v>22825</v>
      </c>
      <c r="G3540" s="190"/>
      <c r="H3540" s="219"/>
      <c r="I3540" s="169">
        <v>108209</v>
      </c>
      <c r="J3540" s="304" t="str">
        <f>CONCATENATE([2]Cover!$D$6,"fdd/view?i=",I3540)</f>
        <v>https://www.dgiwg.org/FAD/fdd/view?i=108209</v>
      </c>
      <c r="K3540" s="304" t="s">
        <v>37589</v>
      </c>
      <c r="L3540" s="188">
        <v>3</v>
      </c>
      <c r="M3540" s="179" t="s">
        <v>151</v>
      </c>
    </row>
    <row r="3541" spans="1:13" ht="25.5">
      <c r="A3541" s="313" t="str">
        <f t="shared" si="55"/>
        <v>FogSignalTypeCode_gong</v>
      </c>
      <c r="B3541" s="330"/>
      <c r="C3541" s="334"/>
      <c r="D3541" s="188" t="s">
        <v>22826</v>
      </c>
      <c r="E3541" s="189" t="s">
        <v>22827</v>
      </c>
      <c r="F3541" s="162" t="s">
        <v>22828</v>
      </c>
      <c r="G3541" s="162" t="s">
        <v>22818</v>
      </c>
      <c r="H3541" s="219"/>
      <c r="I3541" s="169">
        <v>108210</v>
      </c>
      <c r="J3541" s="304" t="str">
        <f>CONCATENATE([2]Cover!$D$6,"fdd/view?i=",I3541)</f>
        <v>https://www.dgiwg.org/FAD/fdd/view?i=108210</v>
      </c>
      <c r="K3541" s="304" t="s">
        <v>37590</v>
      </c>
      <c r="L3541" s="188">
        <v>4</v>
      </c>
      <c r="M3541" s="179" t="s">
        <v>151</v>
      </c>
    </row>
    <row r="3542" spans="1:13" ht="51">
      <c r="A3542" s="313" t="str">
        <f t="shared" si="55"/>
        <v>FogSignalTypeCode_horn</v>
      </c>
      <c r="B3542" s="330"/>
      <c r="C3542" s="334"/>
      <c r="D3542" s="188" t="s">
        <v>22829</v>
      </c>
      <c r="E3542" s="189" t="s">
        <v>22830</v>
      </c>
      <c r="F3542" s="162" t="s">
        <v>22831</v>
      </c>
      <c r="G3542" s="162" t="s">
        <v>22832</v>
      </c>
      <c r="H3542" s="219"/>
      <c r="I3542" s="169">
        <v>108212</v>
      </c>
      <c r="J3542" s="304" t="str">
        <f>CONCATENATE([2]Cover!$D$6,"fdd/view?i=",I3542)</f>
        <v>https://www.dgiwg.org/FAD/fdd/view?i=108212</v>
      </c>
      <c r="K3542" s="304" t="s">
        <v>37591</v>
      </c>
      <c r="L3542" s="188">
        <v>6</v>
      </c>
      <c r="M3542" s="179" t="s">
        <v>151</v>
      </c>
    </row>
    <row r="3543" spans="1:13" ht="25.5">
      <c r="A3543" s="313" t="str">
        <f t="shared" si="55"/>
        <v>FogSignalTypeCode_nautophone</v>
      </c>
      <c r="B3543" s="330"/>
      <c r="C3543" s="334"/>
      <c r="D3543" s="188" t="s">
        <v>22833</v>
      </c>
      <c r="E3543" s="189" t="s">
        <v>22834</v>
      </c>
      <c r="F3543" s="162" t="s">
        <v>22835</v>
      </c>
      <c r="G3543" s="190"/>
      <c r="H3543" s="219"/>
      <c r="I3543" s="169">
        <v>108213</v>
      </c>
      <c r="J3543" s="304" t="str">
        <f>CONCATENATE([2]Cover!$D$6,"fdd/view?i=",I3543)</f>
        <v>https://www.dgiwg.org/FAD/fdd/view?i=108213</v>
      </c>
      <c r="K3543" s="304" t="s">
        <v>37592</v>
      </c>
      <c r="L3543" s="188">
        <v>7</v>
      </c>
      <c r="M3543" s="179" t="s">
        <v>151</v>
      </c>
    </row>
    <row r="3544" spans="1:13">
      <c r="A3544" s="313" t="str">
        <f t="shared" si="55"/>
        <v>FogSignalTypeCode_none</v>
      </c>
      <c r="B3544" s="330"/>
      <c r="C3544" s="334"/>
      <c r="D3544" s="188" t="s">
        <v>22836</v>
      </c>
      <c r="E3544" s="189" t="s">
        <v>22837</v>
      </c>
      <c r="F3544" s="162" t="s">
        <v>22838</v>
      </c>
      <c r="G3544" s="190"/>
      <c r="H3544" s="219"/>
      <c r="I3544" s="169">
        <v>108222</v>
      </c>
      <c r="J3544" s="304" t="str">
        <f>CONCATENATE([2]Cover!$D$6,"fdd/view?i=",I3544)</f>
        <v>https://www.dgiwg.org/FAD/fdd/view?i=108222</v>
      </c>
      <c r="K3544" s="304" t="s">
        <v>37593</v>
      </c>
      <c r="L3544" s="188">
        <v>16</v>
      </c>
      <c r="M3544" s="179" t="s">
        <v>151</v>
      </c>
    </row>
    <row r="3545" spans="1:13">
      <c r="A3545" s="313" t="str">
        <f t="shared" si="55"/>
        <v>FogSignalTypeCode_radio</v>
      </c>
      <c r="B3545" s="330"/>
      <c r="C3545" s="334"/>
      <c r="D3545" s="188" t="s">
        <v>19193</v>
      </c>
      <c r="E3545" s="189" t="s">
        <v>22839</v>
      </c>
      <c r="F3545" s="162" t="s">
        <v>22840</v>
      </c>
      <c r="G3545" s="190"/>
      <c r="H3545" s="219"/>
      <c r="I3545" s="169">
        <v>108214</v>
      </c>
      <c r="J3545" s="304" t="str">
        <f>CONCATENATE([2]Cover!$D$6,"fdd/view?i=",I3545)</f>
        <v>https://www.dgiwg.org/FAD/fdd/view?i=108214</v>
      </c>
      <c r="K3545" s="304" t="s">
        <v>37594</v>
      </c>
      <c r="L3545" s="188">
        <v>8</v>
      </c>
      <c r="M3545" s="179" t="s">
        <v>151</v>
      </c>
    </row>
    <row r="3546" spans="1:13" ht="25.5">
      <c r="A3546" s="313" t="str">
        <f t="shared" si="55"/>
        <v>FogSignalTypeCode_reed</v>
      </c>
      <c r="B3546" s="330"/>
      <c r="C3546" s="334"/>
      <c r="D3546" s="188" t="s">
        <v>22841</v>
      </c>
      <c r="E3546" s="189" t="s">
        <v>22842</v>
      </c>
      <c r="F3546" s="162" t="s">
        <v>22843</v>
      </c>
      <c r="G3546" s="162" t="s">
        <v>22822</v>
      </c>
      <c r="H3546" s="219"/>
      <c r="I3546" s="169">
        <v>108221</v>
      </c>
      <c r="J3546" s="304" t="str">
        <f>CONCATENATE([2]Cover!$D$6,"fdd/view?i=",I3546)</f>
        <v>https://www.dgiwg.org/FAD/fdd/view?i=108221</v>
      </c>
      <c r="K3546" s="304" t="s">
        <v>37595</v>
      </c>
      <c r="L3546" s="188">
        <v>15</v>
      </c>
      <c r="M3546" s="179" t="s">
        <v>151</v>
      </c>
    </row>
    <row r="3547" spans="1:13" ht="51">
      <c r="A3547" s="313" t="str">
        <f t="shared" si="55"/>
        <v>FogSignalTypeCode_siren</v>
      </c>
      <c r="B3547" s="330"/>
      <c r="C3547" s="334"/>
      <c r="D3547" s="188" t="s">
        <v>22844</v>
      </c>
      <c r="E3547" s="189" t="s">
        <v>22845</v>
      </c>
      <c r="F3547" s="162" t="s">
        <v>22846</v>
      </c>
      <c r="G3547" s="162" t="s">
        <v>22847</v>
      </c>
      <c r="H3547" s="219"/>
      <c r="I3547" s="169">
        <v>108215</v>
      </c>
      <c r="J3547" s="304" t="str">
        <f>CONCATENATE([2]Cover!$D$6,"fdd/view?i=",I3547)</f>
        <v>https://www.dgiwg.org/FAD/fdd/view?i=108215</v>
      </c>
      <c r="K3547" s="304" t="s">
        <v>37596</v>
      </c>
      <c r="L3547" s="188">
        <v>9</v>
      </c>
      <c r="M3547" s="179" t="s">
        <v>151</v>
      </c>
    </row>
    <row r="3548" spans="1:13">
      <c r="A3548" s="313" t="str">
        <f t="shared" si="55"/>
        <v>FogSignalTypeCode_submarineBell</v>
      </c>
      <c r="B3548" s="330"/>
      <c r="C3548" s="334"/>
      <c r="D3548" s="188" t="s">
        <v>22848</v>
      </c>
      <c r="E3548" s="189" t="s">
        <v>22849</v>
      </c>
      <c r="F3548" s="162" t="s">
        <v>22850</v>
      </c>
      <c r="G3548" s="190"/>
      <c r="H3548" s="219"/>
      <c r="I3548" s="169">
        <v>108216</v>
      </c>
      <c r="J3548" s="304" t="str">
        <f>CONCATENATE([2]Cover!$D$6,"fdd/view?i=",I3548)</f>
        <v>https://www.dgiwg.org/FAD/fdd/view?i=108216</v>
      </c>
      <c r="K3548" s="304" t="s">
        <v>37597</v>
      </c>
      <c r="L3548" s="188">
        <v>10</v>
      </c>
      <c r="M3548" s="179" t="s">
        <v>151</v>
      </c>
    </row>
    <row r="3549" spans="1:13" ht="25.5">
      <c r="A3549" s="313" t="str">
        <f t="shared" si="55"/>
        <v>FogSignalTypeCode_tyfon</v>
      </c>
      <c r="B3549" s="330"/>
      <c r="C3549" s="334"/>
      <c r="D3549" s="188" t="s">
        <v>22851</v>
      </c>
      <c r="E3549" s="189" t="s">
        <v>22852</v>
      </c>
      <c r="F3549" s="162" t="s">
        <v>22853</v>
      </c>
      <c r="G3549" s="190"/>
      <c r="H3549" s="219"/>
      <c r="I3549" s="169">
        <v>108223</v>
      </c>
      <c r="J3549" s="304" t="str">
        <f>CONCATENATE([2]Cover!$D$6,"fdd/view?i=",I3549)</f>
        <v>https://www.dgiwg.org/FAD/fdd/view?i=108223</v>
      </c>
      <c r="K3549" s="304" t="s">
        <v>37598</v>
      </c>
      <c r="L3549" s="188">
        <v>98</v>
      </c>
      <c r="M3549" s="179" t="s">
        <v>151</v>
      </c>
    </row>
    <row r="3550" spans="1:13" ht="38.25">
      <c r="A3550" s="313" t="str">
        <f t="shared" si="55"/>
        <v>FogSignalTypeCode_whistle</v>
      </c>
      <c r="B3550" s="331"/>
      <c r="C3550" s="335"/>
      <c r="D3550" s="181" t="s">
        <v>22854</v>
      </c>
      <c r="E3550" s="192" t="s">
        <v>22855</v>
      </c>
      <c r="F3550" s="193" t="s">
        <v>22856</v>
      </c>
      <c r="G3550" s="193" t="s">
        <v>22857</v>
      </c>
      <c r="H3550" s="220"/>
      <c r="I3550" s="169">
        <v>108220</v>
      </c>
      <c r="J3550" s="304" t="str">
        <f>CONCATENATE([2]Cover!$D$6,"fdd/view?i=",I3550)</f>
        <v>https://www.dgiwg.org/FAD/fdd/view?i=108220</v>
      </c>
      <c r="K3550" s="304" t="s">
        <v>37599</v>
      </c>
      <c r="L3550" s="181">
        <v>14</v>
      </c>
      <c r="M3550" s="179" t="s">
        <v>151</v>
      </c>
    </row>
    <row r="3551" spans="1:13">
      <c r="A3551" s="313" t="str">
        <f t="shared" si="55"/>
        <v>FoliageTypeCode_deciduous</v>
      </c>
      <c r="B3551" s="332" t="str">
        <f>HYPERLINK("[#]Datatypes!A584:L584","FoliageTypeCode")</f>
        <v>FoliageTypeCode</v>
      </c>
      <c r="C3551" s="333" t="s">
        <v>12131</v>
      </c>
      <c r="D3551" s="202" t="s">
        <v>22858</v>
      </c>
      <c r="E3551" s="203" t="s">
        <v>22859</v>
      </c>
      <c r="F3551" s="204" t="s">
        <v>22860</v>
      </c>
      <c r="G3551" s="205"/>
      <c r="H3551" s="218"/>
      <c r="I3551" s="169">
        <v>108678</v>
      </c>
      <c r="J3551" s="304" t="str">
        <f>CONCATENATE([2]Cover!$D$6,"fdd/view?i=",I3551)</f>
        <v>https://www.dgiwg.org/FAD/fdd/view?i=108678</v>
      </c>
      <c r="K3551" s="304" t="s">
        <v>37600</v>
      </c>
      <c r="L3551" s="202">
        <v>1</v>
      </c>
      <c r="M3551" s="179" t="s">
        <v>151</v>
      </c>
    </row>
    <row r="3552" spans="1:13">
      <c r="A3552" s="313" t="str">
        <f t="shared" si="55"/>
        <v>FoliageTypeCode_evergreen</v>
      </c>
      <c r="B3552" s="330"/>
      <c r="C3552" s="334"/>
      <c r="D3552" s="188" t="s">
        <v>22861</v>
      </c>
      <c r="E3552" s="189" t="s">
        <v>22862</v>
      </c>
      <c r="F3552" s="162" t="s">
        <v>22863</v>
      </c>
      <c r="G3552" s="190"/>
      <c r="H3552" s="219"/>
      <c r="I3552" s="169">
        <v>108679</v>
      </c>
      <c r="J3552" s="304" t="str">
        <f>CONCATENATE([2]Cover!$D$6,"fdd/view?i=",I3552)</f>
        <v>https://www.dgiwg.org/FAD/fdd/view?i=108679</v>
      </c>
      <c r="K3552" s="304" t="s">
        <v>37601</v>
      </c>
      <c r="L3552" s="188">
        <v>2</v>
      </c>
      <c r="M3552" s="179" t="s">
        <v>151</v>
      </c>
    </row>
    <row r="3553" spans="1:13">
      <c r="A3553" s="313" t="str">
        <f t="shared" si="55"/>
        <v>FoliageTypeCode_mixed</v>
      </c>
      <c r="B3553" s="331"/>
      <c r="C3553" s="335"/>
      <c r="D3553" s="181" t="s">
        <v>22864</v>
      </c>
      <c r="E3553" s="192" t="s">
        <v>22865</v>
      </c>
      <c r="F3553" s="193" t="s">
        <v>22866</v>
      </c>
      <c r="G3553" s="194"/>
      <c r="H3553" s="220"/>
      <c r="I3553" s="169">
        <v>108680</v>
      </c>
      <c r="J3553" s="304" t="str">
        <f>CONCATENATE([2]Cover!$D$6,"fdd/view?i=",I3553)</f>
        <v>https://www.dgiwg.org/FAD/fdd/view?i=108680</v>
      </c>
      <c r="K3553" s="304" t="s">
        <v>37602</v>
      </c>
      <c r="L3553" s="181">
        <v>3</v>
      </c>
      <c r="M3553" s="179" t="s">
        <v>151</v>
      </c>
    </row>
    <row r="3554" spans="1:13" ht="25.5">
      <c r="A3554" s="313" t="str">
        <f t="shared" si="55"/>
        <v>FortifiedBuildingTypeCode_blockhouse</v>
      </c>
      <c r="B3554" s="332" t="str">
        <f>HYPERLINK("[#]Datatypes!A586:L586","FortifiedBuildingTypeCode")</f>
        <v>FortifiedBuildingTypeCode</v>
      </c>
      <c r="C3554" s="333" t="s">
        <v>12133</v>
      </c>
      <c r="D3554" s="202" t="s">
        <v>22867</v>
      </c>
      <c r="E3554" s="203" t="s">
        <v>22868</v>
      </c>
      <c r="F3554" s="204" t="s">
        <v>22869</v>
      </c>
      <c r="G3554" s="204" t="s">
        <v>22870</v>
      </c>
      <c r="H3554" s="218"/>
      <c r="I3554" s="169">
        <v>118985</v>
      </c>
      <c r="J3554" s="304" t="str">
        <f>CONCATENATE([2]Cover!$D$6,"fdd/view?i=",I3554)</f>
        <v>https://www.dgiwg.org/FAD/fdd/view?i=118985</v>
      </c>
      <c r="K3554" s="304" t="s">
        <v>37603</v>
      </c>
      <c r="L3554" s="202">
        <v>1</v>
      </c>
      <c r="M3554" s="179" t="s">
        <v>151</v>
      </c>
    </row>
    <row r="3555" spans="1:13" ht="25.5">
      <c r="A3555" s="313" t="str">
        <f t="shared" si="55"/>
        <v>FortifiedBuildingTypeCode_casement</v>
      </c>
      <c r="B3555" s="330"/>
      <c r="C3555" s="334"/>
      <c r="D3555" s="188" t="s">
        <v>22871</v>
      </c>
      <c r="E3555" s="189" t="s">
        <v>22872</v>
      </c>
      <c r="F3555" s="162" t="s">
        <v>22873</v>
      </c>
      <c r="G3555" s="162" t="s">
        <v>22874</v>
      </c>
      <c r="H3555" s="221" t="s">
        <v>22875</v>
      </c>
      <c r="I3555" s="169">
        <v>118986</v>
      </c>
      <c r="J3555" s="304" t="str">
        <f>CONCATENATE([2]Cover!$D$6,"fdd/view?i=",I3555)</f>
        <v>https://www.dgiwg.org/FAD/fdd/view?i=118986</v>
      </c>
      <c r="K3555" s="304" t="s">
        <v>37604</v>
      </c>
      <c r="L3555" s="188">
        <v>2</v>
      </c>
      <c r="M3555" s="179" t="s">
        <v>151</v>
      </c>
    </row>
    <row r="3556" spans="1:13">
      <c r="A3556" s="313" t="str">
        <f t="shared" si="55"/>
        <v>FortifiedBuildingTypeCode_keep</v>
      </c>
      <c r="B3556" s="330"/>
      <c r="C3556" s="334"/>
      <c r="D3556" s="188" t="s">
        <v>22876</v>
      </c>
      <c r="E3556" s="189" t="s">
        <v>22877</v>
      </c>
      <c r="F3556" s="162" t="s">
        <v>22878</v>
      </c>
      <c r="G3556" s="190"/>
      <c r="H3556" s="221" t="s">
        <v>22879</v>
      </c>
      <c r="I3556" s="169">
        <v>118987</v>
      </c>
      <c r="J3556" s="304" t="str">
        <f>CONCATENATE([2]Cover!$D$6,"fdd/view?i=",I3556)</f>
        <v>https://www.dgiwg.org/FAD/fdd/view?i=118987</v>
      </c>
      <c r="K3556" s="304" t="s">
        <v>37605</v>
      </c>
      <c r="L3556" s="188">
        <v>3</v>
      </c>
      <c r="M3556" s="179" t="s">
        <v>151</v>
      </c>
    </row>
    <row r="3557" spans="1:13" ht="25.5">
      <c r="A3557" s="313" t="str">
        <f t="shared" si="55"/>
        <v>FortifiedBuildingTypeCode_martelloTower</v>
      </c>
      <c r="B3557" s="330"/>
      <c r="C3557" s="334"/>
      <c r="D3557" s="188" t="s">
        <v>22880</v>
      </c>
      <c r="E3557" s="189" t="s">
        <v>22881</v>
      </c>
      <c r="F3557" s="162" t="s">
        <v>22882</v>
      </c>
      <c r="G3557" s="162" t="s">
        <v>22883</v>
      </c>
      <c r="H3557" s="219"/>
      <c r="I3557" s="169">
        <v>118988</v>
      </c>
      <c r="J3557" s="304" t="str">
        <f>CONCATENATE([2]Cover!$D$6,"fdd/view?i=",I3557)</f>
        <v>https://www.dgiwg.org/FAD/fdd/view?i=118988</v>
      </c>
      <c r="K3557" s="304" t="s">
        <v>37606</v>
      </c>
      <c r="L3557" s="188">
        <v>4</v>
      </c>
      <c r="M3557" s="179" t="s">
        <v>151</v>
      </c>
    </row>
    <row r="3558" spans="1:13" ht="25.5">
      <c r="A3558" s="313" t="str">
        <f t="shared" si="55"/>
        <v>FortifiedBuildingTypeCode_nonSpecificFortified</v>
      </c>
      <c r="B3558" s="330"/>
      <c r="C3558" s="334"/>
      <c r="D3558" s="188" t="s">
        <v>22884</v>
      </c>
      <c r="E3558" s="189" t="s">
        <v>22885</v>
      </c>
      <c r="F3558" s="162" t="s">
        <v>22886</v>
      </c>
      <c r="G3558" s="162" t="s">
        <v>22887</v>
      </c>
      <c r="H3558" s="219"/>
      <c r="I3558" s="169">
        <v>118989</v>
      </c>
      <c r="J3558" s="304" t="str">
        <f>CONCATENATE([2]Cover!$D$6,"fdd/view?i=",I3558)</f>
        <v>https://www.dgiwg.org/FAD/fdd/view?i=118989</v>
      </c>
      <c r="K3558" s="304" t="s">
        <v>37607</v>
      </c>
      <c r="L3558" s="188">
        <v>5</v>
      </c>
      <c r="M3558" s="179" t="s">
        <v>151</v>
      </c>
    </row>
    <row r="3559" spans="1:13" ht="38.25">
      <c r="A3559" s="313" t="str">
        <f t="shared" si="55"/>
        <v>FortifiedBuildingTypeCode_pillbox</v>
      </c>
      <c r="B3559" s="331"/>
      <c r="C3559" s="335"/>
      <c r="D3559" s="181" t="s">
        <v>22888</v>
      </c>
      <c r="E3559" s="192" t="s">
        <v>22889</v>
      </c>
      <c r="F3559" s="193" t="s">
        <v>22890</v>
      </c>
      <c r="G3559" s="193" t="s">
        <v>22891</v>
      </c>
      <c r="H3559" s="220"/>
      <c r="I3559" s="169">
        <v>118990</v>
      </c>
      <c r="J3559" s="304" t="str">
        <f>CONCATENATE([2]Cover!$D$6,"fdd/view?i=",I3559)</f>
        <v>https://www.dgiwg.org/FAD/fdd/view?i=118990</v>
      </c>
      <c r="K3559" s="304" t="s">
        <v>37608</v>
      </c>
      <c r="L3559" s="181">
        <v>6</v>
      </c>
      <c r="M3559" s="179" t="s">
        <v>151</v>
      </c>
    </row>
    <row r="3560" spans="1:13" ht="25.5">
      <c r="A3560" s="313" t="str">
        <f t="shared" si="55"/>
        <v>FrequencyClassificationCode_ehf</v>
      </c>
      <c r="B3560" s="332" t="str">
        <f>HYPERLINK("[#]Datatypes!A588:L588","FrequencyClassificationCode")</f>
        <v>FrequencyClassificationCode</v>
      </c>
      <c r="C3560" s="333" t="s">
        <v>12135</v>
      </c>
      <c r="D3560" s="202" t="s">
        <v>22892</v>
      </c>
      <c r="E3560" s="203" t="s">
        <v>22893</v>
      </c>
      <c r="F3560" s="204" t="s">
        <v>22894</v>
      </c>
      <c r="G3560" s="205"/>
      <c r="H3560" s="218"/>
      <c r="I3560" s="169">
        <v>207039</v>
      </c>
      <c r="J3560" s="304" t="str">
        <f>CONCATENATE([2]Cover!$D$6,"fdd/view?i=",I3560)</f>
        <v>https://www.dgiwg.org/FAD/fdd/view?i=207039</v>
      </c>
      <c r="K3560" s="304" t="s">
        <v>37609</v>
      </c>
      <c r="L3560" s="202">
        <v>10</v>
      </c>
      <c r="M3560" s="179" t="s">
        <v>1295</v>
      </c>
    </row>
    <row r="3561" spans="1:13" ht="25.5">
      <c r="A3561" s="313" t="str">
        <f t="shared" si="55"/>
        <v>FrequencyClassificationCode_elf</v>
      </c>
      <c r="B3561" s="330"/>
      <c r="C3561" s="334"/>
      <c r="D3561" s="188" t="s">
        <v>22895</v>
      </c>
      <c r="E3561" s="189" t="s">
        <v>22896</v>
      </c>
      <c r="F3561" s="162" t="s">
        <v>22897</v>
      </c>
      <c r="G3561" s="190"/>
      <c r="H3561" s="219"/>
      <c r="I3561" s="169">
        <v>207030</v>
      </c>
      <c r="J3561" s="304" t="str">
        <f>CONCATENATE([2]Cover!$D$6,"fdd/view?i=",I3561)</f>
        <v>https://www.dgiwg.org/FAD/fdd/view?i=207030</v>
      </c>
      <c r="K3561" s="304" t="s">
        <v>37610</v>
      </c>
      <c r="L3561" s="188">
        <v>1</v>
      </c>
      <c r="M3561" s="179" t="s">
        <v>1295</v>
      </c>
    </row>
    <row r="3562" spans="1:13">
      <c r="A3562" s="313" t="str">
        <f t="shared" si="55"/>
        <v>FrequencyClassificationCode_hf</v>
      </c>
      <c r="B3562" s="330"/>
      <c r="C3562" s="334"/>
      <c r="D3562" s="188" t="s">
        <v>15354</v>
      </c>
      <c r="E3562" s="189" t="s">
        <v>22898</v>
      </c>
      <c r="F3562" s="162" t="s">
        <v>22899</v>
      </c>
      <c r="G3562" s="190"/>
      <c r="H3562" s="219"/>
      <c r="I3562" s="169">
        <v>207035</v>
      </c>
      <c r="J3562" s="304" t="str">
        <f>CONCATENATE([2]Cover!$D$6,"fdd/view?i=",I3562)</f>
        <v>https://www.dgiwg.org/FAD/fdd/view?i=207035</v>
      </c>
      <c r="K3562" s="304" t="s">
        <v>37611</v>
      </c>
      <c r="L3562" s="188">
        <v>6</v>
      </c>
      <c r="M3562" s="179" t="s">
        <v>1295</v>
      </c>
    </row>
    <row r="3563" spans="1:13">
      <c r="A3563" s="313" t="str">
        <f t="shared" si="55"/>
        <v>FrequencyClassificationCode_lf</v>
      </c>
      <c r="B3563" s="330"/>
      <c r="C3563" s="334"/>
      <c r="D3563" s="188" t="s">
        <v>22900</v>
      </c>
      <c r="E3563" s="189" t="s">
        <v>22901</v>
      </c>
      <c r="F3563" s="162" t="s">
        <v>22902</v>
      </c>
      <c r="G3563" s="190"/>
      <c r="H3563" s="219"/>
      <c r="I3563" s="169">
        <v>207033</v>
      </c>
      <c r="J3563" s="304" t="str">
        <f>CONCATENATE([2]Cover!$D$6,"fdd/view?i=",I3563)</f>
        <v>https://www.dgiwg.org/FAD/fdd/view?i=207033</v>
      </c>
      <c r="K3563" s="304" t="s">
        <v>37612</v>
      </c>
      <c r="L3563" s="188">
        <v>4</v>
      </c>
      <c r="M3563" s="179" t="s">
        <v>1295</v>
      </c>
    </row>
    <row r="3564" spans="1:13" ht="25.5">
      <c r="A3564" s="313" t="str">
        <f t="shared" si="55"/>
        <v>FrequencyClassificationCode_mf</v>
      </c>
      <c r="B3564" s="330"/>
      <c r="C3564" s="334"/>
      <c r="D3564" s="188" t="s">
        <v>22903</v>
      </c>
      <c r="E3564" s="189" t="s">
        <v>22904</v>
      </c>
      <c r="F3564" s="162" t="s">
        <v>22905</v>
      </c>
      <c r="G3564" s="190"/>
      <c r="H3564" s="219"/>
      <c r="I3564" s="169">
        <v>207034</v>
      </c>
      <c r="J3564" s="304" t="str">
        <f>CONCATENATE([2]Cover!$D$6,"fdd/view?i=",I3564)</f>
        <v>https://www.dgiwg.org/FAD/fdd/view?i=207034</v>
      </c>
      <c r="K3564" s="304" t="s">
        <v>37613</v>
      </c>
      <c r="L3564" s="188">
        <v>5</v>
      </c>
      <c r="M3564" s="179" t="s">
        <v>1295</v>
      </c>
    </row>
    <row r="3565" spans="1:13" ht="25.5">
      <c r="A3565" s="313" t="str">
        <f t="shared" si="55"/>
        <v>FrequencyClassificationCode_shf</v>
      </c>
      <c r="B3565" s="330"/>
      <c r="C3565" s="334"/>
      <c r="D3565" s="188" t="s">
        <v>22906</v>
      </c>
      <c r="E3565" s="189" t="s">
        <v>22907</v>
      </c>
      <c r="F3565" s="162" t="s">
        <v>22908</v>
      </c>
      <c r="G3565" s="190"/>
      <c r="H3565" s="219"/>
      <c r="I3565" s="169">
        <v>207038</v>
      </c>
      <c r="J3565" s="304" t="str">
        <f>CONCATENATE([2]Cover!$D$6,"fdd/view?i=",I3565)</f>
        <v>https://www.dgiwg.org/FAD/fdd/view?i=207038</v>
      </c>
      <c r="K3565" s="304" t="s">
        <v>37614</v>
      </c>
      <c r="L3565" s="188">
        <v>9</v>
      </c>
      <c r="M3565" s="179" t="s">
        <v>1295</v>
      </c>
    </row>
    <row r="3566" spans="1:13" ht="25.5">
      <c r="A3566" s="313" t="str">
        <f t="shared" si="55"/>
        <v>FrequencyClassificationCode_uhf</v>
      </c>
      <c r="B3566" s="330"/>
      <c r="C3566" s="334"/>
      <c r="D3566" s="188" t="s">
        <v>15360</v>
      </c>
      <c r="E3566" s="189" t="s">
        <v>22909</v>
      </c>
      <c r="F3566" s="162" t="s">
        <v>22910</v>
      </c>
      <c r="G3566" s="190"/>
      <c r="H3566" s="219"/>
      <c r="I3566" s="169">
        <v>207037</v>
      </c>
      <c r="J3566" s="304" t="str">
        <f>CONCATENATE([2]Cover!$D$6,"fdd/view?i=",I3566)</f>
        <v>https://www.dgiwg.org/FAD/fdd/view?i=207037</v>
      </c>
      <c r="K3566" s="304" t="s">
        <v>37615</v>
      </c>
      <c r="L3566" s="188">
        <v>8</v>
      </c>
      <c r="M3566" s="179" t="s">
        <v>1295</v>
      </c>
    </row>
    <row r="3567" spans="1:13">
      <c r="A3567" s="313" t="str">
        <f t="shared" si="55"/>
        <v>FrequencyClassificationCode_vf</v>
      </c>
      <c r="B3567" s="330"/>
      <c r="C3567" s="334"/>
      <c r="D3567" s="188" t="s">
        <v>22916</v>
      </c>
      <c r="E3567" s="189" t="s">
        <v>22917</v>
      </c>
      <c r="F3567" s="162" t="s">
        <v>22918</v>
      </c>
      <c r="G3567" s="190"/>
      <c r="H3567" s="219"/>
      <c r="I3567" s="169">
        <v>207031</v>
      </c>
      <c r="J3567" s="304" t="str">
        <f>CONCATENATE([2]Cover!$D$6,"fdd/view?i=",I3567)</f>
        <v>https://www.dgiwg.org/FAD/fdd/view?i=207031</v>
      </c>
      <c r="K3567" s="304" t="s">
        <v>37616</v>
      </c>
      <c r="L3567" s="188">
        <v>2</v>
      </c>
      <c r="M3567" s="179" t="s">
        <v>1295</v>
      </c>
    </row>
    <row r="3568" spans="1:13" ht="25.5">
      <c r="A3568" s="313" t="str">
        <f t="shared" si="55"/>
        <v>FrequencyClassificationCode_vhf</v>
      </c>
      <c r="B3568" s="330"/>
      <c r="C3568" s="334"/>
      <c r="D3568" s="188" t="s">
        <v>15372</v>
      </c>
      <c r="E3568" s="189" t="s">
        <v>22911</v>
      </c>
      <c r="F3568" s="162" t="s">
        <v>22912</v>
      </c>
      <c r="G3568" s="190"/>
      <c r="H3568" s="219"/>
      <c r="I3568" s="169">
        <v>207036</v>
      </c>
      <c r="J3568" s="304" t="str">
        <f>CONCATENATE([2]Cover!$D$6,"fdd/view?i=",I3568)</f>
        <v>https://www.dgiwg.org/FAD/fdd/view?i=207036</v>
      </c>
      <c r="K3568" s="304" t="s">
        <v>37617</v>
      </c>
      <c r="L3568" s="188">
        <v>7</v>
      </c>
      <c r="M3568" s="179" t="s">
        <v>1295</v>
      </c>
    </row>
    <row r="3569" spans="1:13" ht="25.5">
      <c r="A3569" s="313" t="str">
        <f t="shared" si="55"/>
        <v>FrequencyClassificationCode_vlf</v>
      </c>
      <c r="B3569" s="331"/>
      <c r="C3569" s="335"/>
      <c r="D3569" s="181" t="s">
        <v>22913</v>
      </c>
      <c r="E3569" s="192" t="s">
        <v>22914</v>
      </c>
      <c r="F3569" s="193" t="s">
        <v>22915</v>
      </c>
      <c r="G3569" s="194"/>
      <c r="H3569" s="220"/>
      <c r="I3569" s="169">
        <v>207032</v>
      </c>
      <c r="J3569" s="304" t="str">
        <f>CONCATENATE([2]Cover!$D$6,"fdd/view?i=",I3569)</f>
        <v>https://www.dgiwg.org/FAD/fdd/view?i=207032</v>
      </c>
      <c r="K3569" s="304" t="s">
        <v>37618</v>
      </c>
      <c r="L3569" s="181">
        <v>3</v>
      </c>
      <c r="M3569" s="179" t="s">
        <v>1295</v>
      </c>
    </row>
    <row r="3570" spans="1:13" ht="25.5">
      <c r="A3570" s="313" t="str">
        <f t="shared" si="55"/>
        <v>FrozenCoverTypeCode_iceField</v>
      </c>
      <c r="B3570" s="332" t="str">
        <f>HYPERLINK("[#]Datatypes!A590:L590","FrozenCoverTypeCode")</f>
        <v>FrozenCoverTypeCode</v>
      </c>
      <c r="C3570" s="333" t="s">
        <v>12137</v>
      </c>
      <c r="D3570" s="202" t="s">
        <v>22919</v>
      </c>
      <c r="E3570" s="203" t="s">
        <v>22920</v>
      </c>
      <c r="F3570" s="204" t="s">
        <v>22921</v>
      </c>
      <c r="G3570" s="205"/>
      <c r="H3570" s="218"/>
      <c r="I3570" s="169">
        <v>107707</v>
      </c>
      <c r="J3570" s="304" t="str">
        <f>CONCATENATE([2]Cover!$D$6,"fdd/view?i=",I3570)</f>
        <v>https://www.dgiwg.org/FAD/fdd/view?i=107707</v>
      </c>
      <c r="K3570" s="304" t="s">
        <v>37619</v>
      </c>
      <c r="L3570" s="202">
        <v>2</v>
      </c>
      <c r="M3570" s="179" t="s">
        <v>151</v>
      </c>
    </row>
    <row r="3571" spans="1:13">
      <c r="A3571" s="313" t="str">
        <f t="shared" si="55"/>
        <v>FrozenCoverTypeCode_snowfield</v>
      </c>
      <c r="B3571" s="331"/>
      <c r="C3571" s="335"/>
      <c r="D3571" s="181" t="s">
        <v>22922</v>
      </c>
      <c r="E3571" s="192" t="s">
        <v>22923</v>
      </c>
      <c r="F3571" s="193" t="s">
        <v>22924</v>
      </c>
      <c r="G3571" s="194"/>
      <c r="H3571" s="220"/>
      <c r="I3571" s="169">
        <v>107706</v>
      </c>
      <c r="J3571" s="304" t="str">
        <f>CONCATENATE([2]Cover!$D$6,"fdd/view?i=",I3571)</f>
        <v>https://www.dgiwg.org/FAD/fdd/view?i=107706</v>
      </c>
      <c r="K3571" s="304" t="s">
        <v>37620</v>
      </c>
      <c r="L3571" s="181">
        <v>1</v>
      </c>
      <c r="M3571" s="179" t="s">
        <v>151</v>
      </c>
    </row>
    <row r="3572" spans="1:13" ht="25.5">
      <c r="A3572" s="313" t="str">
        <f t="shared" si="55"/>
        <v>FuelStorageMethodCode_aboveBuriedTank</v>
      </c>
      <c r="B3572" s="332" t="str">
        <f>HYPERLINK("[#]Datatypes!A592:L592","FuelStorageMethodCode")</f>
        <v>FuelStorageMethodCode</v>
      </c>
      <c r="C3572" s="333" t="s">
        <v>12139</v>
      </c>
      <c r="D3572" s="202" t="s">
        <v>22925</v>
      </c>
      <c r="E3572" s="203" t="s">
        <v>22926</v>
      </c>
      <c r="F3572" s="204" t="s">
        <v>22927</v>
      </c>
      <c r="G3572" s="205"/>
      <c r="H3572" s="218"/>
      <c r="I3572" s="169">
        <v>102140</v>
      </c>
      <c r="J3572" s="304" t="str">
        <f>CONCATENATE([2]Cover!$D$6,"fdd/view?i=",I3572)</f>
        <v>https://www.dgiwg.org/FAD/fdd/view?i=102140</v>
      </c>
      <c r="K3572" s="304" t="s">
        <v>37621</v>
      </c>
      <c r="L3572" s="202">
        <v>3</v>
      </c>
      <c r="M3572" s="179" t="s">
        <v>151</v>
      </c>
    </row>
    <row r="3573" spans="1:13" ht="25.5">
      <c r="A3573" s="313" t="str">
        <f t="shared" si="55"/>
        <v>FuelStorageMethodCode_abovegroundTank</v>
      </c>
      <c r="B3573" s="330"/>
      <c r="C3573" s="334"/>
      <c r="D3573" s="188" t="s">
        <v>22931</v>
      </c>
      <c r="E3573" s="189" t="s">
        <v>22932</v>
      </c>
      <c r="F3573" s="162" t="s">
        <v>22933</v>
      </c>
      <c r="G3573" s="190"/>
      <c r="H3573" s="219"/>
      <c r="I3573" s="169">
        <v>102139</v>
      </c>
      <c r="J3573" s="304" t="str">
        <f>CONCATENATE([2]Cover!$D$6,"fdd/view?i=",I3573)</f>
        <v>https://www.dgiwg.org/FAD/fdd/view?i=102139</v>
      </c>
      <c r="K3573" s="304" t="s">
        <v>37622</v>
      </c>
      <c r="L3573" s="188">
        <v>2</v>
      </c>
      <c r="M3573" s="179" t="s">
        <v>151</v>
      </c>
    </row>
    <row r="3574" spans="1:13" ht="25.5">
      <c r="A3574" s="313" t="str">
        <f t="shared" si="55"/>
        <v>FuelStorageMethodCode_aboveSemiBuriedTank</v>
      </c>
      <c r="B3574" s="330"/>
      <c r="C3574" s="334"/>
      <c r="D3574" s="188" t="s">
        <v>22928</v>
      </c>
      <c r="E3574" s="189" t="s">
        <v>22929</v>
      </c>
      <c r="F3574" s="162" t="s">
        <v>22930</v>
      </c>
      <c r="G3574" s="190"/>
      <c r="H3574" s="219"/>
      <c r="I3574" s="169">
        <v>102142</v>
      </c>
      <c r="J3574" s="304" t="str">
        <f>CONCATENATE([2]Cover!$D$6,"fdd/view?i=",I3574)</f>
        <v>https://www.dgiwg.org/FAD/fdd/view?i=102142</v>
      </c>
      <c r="K3574" s="304" t="s">
        <v>37623</v>
      </c>
      <c r="L3574" s="188">
        <v>5</v>
      </c>
      <c r="M3574" s="179" t="s">
        <v>151</v>
      </c>
    </row>
    <row r="3575" spans="1:13" ht="25.5">
      <c r="A3575" s="313" t="str">
        <f t="shared" si="55"/>
        <v>FuelStorageMethodCode_buriedSemiBuriedTank</v>
      </c>
      <c r="B3575" s="330"/>
      <c r="C3575" s="334"/>
      <c r="D3575" s="188" t="s">
        <v>22934</v>
      </c>
      <c r="E3575" s="189" t="s">
        <v>22935</v>
      </c>
      <c r="F3575" s="162" t="s">
        <v>22936</v>
      </c>
      <c r="G3575" s="190"/>
      <c r="H3575" s="219"/>
      <c r="I3575" s="169">
        <v>102143</v>
      </c>
      <c r="J3575" s="304" t="str">
        <f>CONCATENATE([2]Cover!$D$6,"fdd/view?i=",I3575)</f>
        <v>https://www.dgiwg.org/FAD/fdd/view?i=102143</v>
      </c>
      <c r="K3575" s="304" t="s">
        <v>37624</v>
      </c>
      <c r="L3575" s="188">
        <v>6</v>
      </c>
      <c r="M3575" s="179" t="s">
        <v>151</v>
      </c>
    </row>
    <row r="3576" spans="1:13" ht="25.5">
      <c r="A3576" s="313" t="str">
        <f t="shared" si="55"/>
        <v>FuelStorageMethodCode_buriedTank</v>
      </c>
      <c r="B3576" s="330"/>
      <c r="C3576" s="334"/>
      <c r="D3576" s="188" t="s">
        <v>22937</v>
      </c>
      <c r="E3576" s="189" t="s">
        <v>22938</v>
      </c>
      <c r="F3576" s="162" t="s">
        <v>22939</v>
      </c>
      <c r="G3576" s="190"/>
      <c r="H3576" s="219"/>
      <c r="I3576" s="169">
        <v>102138</v>
      </c>
      <c r="J3576" s="304" t="str">
        <f>CONCATENATE([2]Cover!$D$6,"fdd/view?i=",I3576)</f>
        <v>https://www.dgiwg.org/FAD/fdd/view?i=102138</v>
      </c>
      <c r="K3576" s="304" t="s">
        <v>37625</v>
      </c>
      <c r="L3576" s="188">
        <v>1</v>
      </c>
      <c r="M3576" s="179" t="s">
        <v>151</v>
      </c>
    </row>
    <row r="3577" spans="1:13" ht="25.5">
      <c r="A3577" s="313" t="str">
        <f t="shared" si="55"/>
        <v>FuelStorageMethodCode_container</v>
      </c>
      <c r="B3577" s="330"/>
      <c r="C3577" s="334"/>
      <c r="D3577" s="188" t="s">
        <v>22940</v>
      </c>
      <c r="E3577" s="189" t="s">
        <v>22941</v>
      </c>
      <c r="F3577" s="162" t="s">
        <v>22942</v>
      </c>
      <c r="G3577" s="162" t="s">
        <v>22943</v>
      </c>
      <c r="H3577" s="219"/>
      <c r="I3577" s="169">
        <v>102146</v>
      </c>
      <c r="J3577" s="304" t="str">
        <f>CONCATENATE([2]Cover!$D$6,"fdd/view?i=",I3577)</f>
        <v>https://www.dgiwg.org/FAD/fdd/view?i=102146</v>
      </c>
      <c r="K3577" s="304" t="s">
        <v>37626</v>
      </c>
      <c r="L3577" s="188">
        <v>9</v>
      </c>
      <c r="M3577" s="179" t="s">
        <v>151</v>
      </c>
    </row>
    <row r="3578" spans="1:13" ht="25.5">
      <c r="A3578" s="313" t="str">
        <f t="shared" si="55"/>
        <v>FuelStorageMethodCode_railwayTankWagon</v>
      </c>
      <c r="B3578" s="330"/>
      <c r="C3578" s="334"/>
      <c r="D3578" s="188" t="s">
        <v>22944</v>
      </c>
      <c r="E3578" s="189" t="s">
        <v>22945</v>
      </c>
      <c r="F3578" s="162" t="s">
        <v>22946</v>
      </c>
      <c r="G3578" s="162" t="s">
        <v>22947</v>
      </c>
      <c r="H3578" s="219"/>
      <c r="I3578" s="169">
        <v>102144</v>
      </c>
      <c r="J3578" s="304" t="str">
        <f>CONCATENATE([2]Cover!$D$6,"fdd/view?i=",I3578)</f>
        <v>https://www.dgiwg.org/FAD/fdd/view?i=102144</v>
      </c>
      <c r="K3578" s="304" t="s">
        <v>37627</v>
      </c>
      <c r="L3578" s="188">
        <v>7</v>
      </c>
      <c r="M3578" s="179" t="s">
        <v>151</v>
      </c>
    </row>
    <row r="3579" spans="1:13" ht="25.5">
      <c r="A3579" s="313" t="str">
        <f t="shared" si="55"/>
        <v>FuelStorageMethodCode_semiBuriedTank</v>
      </c>
      <c r="B3579" s="330"/>
      <c r="C3579" s="334"/>
      <c r="D3579" s="188" t="s">
        <v>22948</v>
      </c>
      <c r="E3579" s="189" t="s">
        <v>22949</v>
      </c>
      <c r="F3579" s="162" t="s">
        <v>22950</v>
      </c>
      <c r="G3579" s="162" t="s">
        <v>22951</v>
      </c>
      <c r="H3579" s="219"/>
      <c r="I3579" s="169">
        <v>102141</v>
      </c>
      <c r="J3579" s="304" t="str">
        <f>CONCATENATE([2]Cover!$D$6,"fdd/view?i=",I3579)</f>
        <v>https://www.dgiwg.org/FAD/fdd/view?i=102141</v>
      </c>
      <c r="K3579" s="304" t="s">
        <v>37628</v>
      </c>
      <c r="L3579" s="188">
        <v>4</v>
      </c>
      <c r="M3579" s="179" t="s">
        <v>151</v>
      </c>
    </row>
    <row r="3580" spans="1:13" ht="25.5">
      <c r="A3580" s="313" t="str">
        <f t="shared" si="55"/>
        <v>FuelStorageMethodCode_tankerTruck</v>
      </c>
      <c r="B3580" s="330"/>
      <c r="C3580" s="334"/>
      <c r="D3580" s="188" t="s">
        <v>22955</v>
      </c>
      <c r="E3580" s="189" t="s">
        <v>22956</v>
      </c>
      <c r="F3580" s="162" t="s">
        <v>22957</v>
      </c>
      <c r="G3580" s="190"/>
      <c r="H3580" s="219"/>
      <c r="I3580" s="169">
        <v>102145</v>
      </c>
      <c r="J3580" s="304" t="str">
        <f>CONCATENATE([2]Cover!$D$6,"fdd/view?i=",I3580)</f>
        <v>https://www.dgiwg.org/FAD/fdd/view?i=102145</v>
      </c>
      <c r="K3580" s="304" t="s">
        <v>37629</v>
      </c>
      <c r="L3580" s="188">
        <v>8</v>
      </c>
      <c r="M3580" s="179" t="s">
        <v>151</v>
      </c>
    </row>
    <row r="3581" spans="1:13" ht="25.5">
      <c r="A3581" s="313" t="str">
        <f t="shared" si="55"/>
        <v>FuelStorageMethodCode_tankMix</v>
      </c>
      <c r="B3581" s="331"/>
      <c r="C3581" s="335"/>
      <c r="D3581" s="181" t="s">
        <v>22952</v>
      </c>
      <c r="E3581" s="192" t="s">
        <v>22953</v>
      </c>
      <c r="F3581" s="193" t="s">
        <v>22954</v>
      </c>
      <c r="G3581" s="194"/>
      <c r="H3581" s="220"/>
      <c r="I3581" s="169">
        <v>102147</v>
      </c>
      <c r="J3581" s="304" t="str">
        <f>CONCATENATE([2]Cover!$D$6,"fdd/view?i=",I3581)</f>
        <v>https://www.dgiwg.org/FAD/fdd/view?i=102147</v>
      </c>
      <c r="K3581" s="304" t="s">
        <v>37630</v>
      </c>
      <c r="L3581" s="181">
        <v>10</v>
      </c>
      <c r="M3581" s="179" t="s">
        <v>151</v>
      </c>
    </row>
    <row r="3582" spans="1:13" ht="38.25">
      <c r="A3582" s="313" t="str">
        <f t="shared" si="55"/>
        <v>FujitaTornadoScaleCode_considerableDamage_F2</v>
      </c>
      <c r="B3582" s="332" t="str">
        <f>HYPERLINK("[#]Datatypes!A594:L594","FujitaTornadoScaleCode")</f>
        <v>FujitaTornadoScaleCode</v>
      </c>
      <c r="C3582" s="333" t="s">
        <v>12141</v>
      </c>
      <c r="D3582" s="202" t="s">
        <v>22966</v>
      </c>
      <c r="E3582" s="203" t="s">
        <v>22967</v>
      </c>
      <c r="F3582" s="204" t="s">
        <v>22968</v>
      </c>
      <c r="G3582" s="204" t="s">
        <v>22969</v>
      </c>
      <c r="H3582" s="218"/>
      <c r="I3582" s="169">
        <v>119084</v>
      </c>
      <c r="J3582" s="304" t="str">
        <f>CONCATENATE([2]Cover!$D$6,"fdd/view?i=",I3582)</f>
        <v>https://www.dgiwg.org/FAD/fdd/view?i=119084</v>
      </c>
      <c r="K3582" s="304" t="s">
        <v>37631</v>
      </c>
      <c r="L3582" s="202">
        <v>3</v>
      </c>
      <c r="M3582" s="179" t="s">
        <v>151</v>
      </c>
    </row>
    <row r="3583" spans="1:13" ht="38.25">
      <c r="A3583" s="313" t="str">
        <f t="shared" si="55"/>
        <v>FujitaTornadoScaleCode_devastatingDamage_F4</v>
      </c>
      <c r="B3583" s="330"/>
      <c r="C3583" s="334"/>
      <c r="D3583" s="188" t="s">
        <v>22974</v>
      </c>
      <c r="E3583" s="189" t="s">
        <v>22975</v>
      </c>
      <c r="F3583" s="162" t="s">
        <v>22976</v>
      </c>
      <c r="G3583" s="162" t="s">
        <v>22977</v>
      </c>
      <c r="H3583" s="219"/>
      <c r="I3583" s="169">
        <v>119086</v>
      </c>
      <c r="J3583" s="304" t="str">
        <f>CONCATENATE([2]Cover!$D$6,"fdd/view?i=",I3583)</f>
        <v>https://www.dgiwg.org/FAD/fdd/view?i=119086</v>
      </c>
      <c r="K3583" s="304" t="s">
        <v>37632</v>
      </c>
      <c r="L3583" s="188">
        <v>5</v>
      </c>
      <c r="M3583" s="179" t="s">
        <v>151</v>
      </c>
    </row>
    <row r="3584" spans="1:13" ht="51">
      <c r="A3584" s="313" t="str">
        <f t="shared" si="55"/>
        <v>FujitaTornadoScaleCode_incredibleDamage_F5</v>
      </c>
      <c r="B3584" s="330"/>
      <c r="C3584" s="334"/>
      <c r="D3584" s="188" t="s">
        <v>22978</v>
      </c>
      <c r="E3584" s="189" t="s">
        <v>22979</v>
      </c>
      <c r="F3584" s="162" t="s">
        <v>22980</v>
      </c>
      <c r="G3584" s="162" t="s">
        <v>22981</v>
      </c>
      <c r="H3584" s="219"/>
      <c r="I3584" s="169">
        <v>119087</v>
      </c>
      <c r="J3584" s="304" t="str">
        <f>CONCATENATE([2]Cover!$D$6,"fdd/view?i=",I3584)</f>
        <v>https://www.dgiwg.org/FAD/fdd/view?i=119087</v>
      </c>
      <c r="K3584" s="304" t="s">
        <v>37633</v>
      </c>
      <c r="L3584" s="188">
        <v>6</v>
      </c>
      <c r="M3584" s="179" t="s">
        <v>151</v>
      </c>
    </row>
    <row r="3585" spans="1:13" ht="38.25">
      <c r="A3585" s="313" t="str">
        <f t="shared" si="55"/>
        <v>FujitaTornadoScaleCode_lightDamage_F0</v>
      </c>
      <c r="B3585" s="330"/>
      <c r="C3585" s="334"/>
      <c r="D3585" s="188" t="s">
        <v>22958</v>
      </c>
      <c r="E3585" s="189" t="s">
        <v>22959</v>
      </c>
      <c r="F3585" s="162" t="s">
        <v>22960</v>
      </c>
      <c r="G3585" s="162" t="s">
        <v>22961</v>
      </c>
      <c r="H3585" s="219"/>
      <c r="I3585" s="169">
        <v>119082</v>
      </c>
      <c r="J3585" s="304" t="str">
        <f>CONCATENATE([2]Cover!$D$6,"fdd/view?i=",I3585)</f>
        <v>https://www.dgiwg.org/FAD/fdd/view?i=119082</v>
      </c>
      <c r="K3585" s="304" t="s">
        <v>37634</v>
      </c>
      <c r="L3585" s="188">
        <v>1</v>
      </c>
      <c r="M3585" s="179" t="s">
        <v>151</v>
      </c>
    </row>
    <row r="3586" spans="1:13" ht="38.25">
      <c r="A3586" s="313" t="str">
        <f t="shared" si="55"/>
        <v>FujitaTornadoScaleCode_moderateDamage_F1</v>
      </c>
      <c r="B3586" s="330"/>
      <c r="C3586" s="334"/>
      <c r="D3586" s="188" t="s">
        <v>22962</v>
      </c>
      <c r="E3586" s="189" t="s">
        <v>22963</v>
      </c>
      <c r="F3586" s="162" t="s">
        <v>22964</v>
      </c>
      <c r="G3586" s="162" t="s">
        <v>22965</v>
      </c>
      <c r="H3586" s="219"/>
      <c r="I3586" s="169">
        <v>119083</v>
      </c>
      <c r="J3586" s="304" t="str">
        <f>CONCATENATE([2]Cover!$D$6,"fdd/view?i=",I3586)</f>
        <v>https://www.dgiwg.org/FAD/fdd/view?i=119083</v>
      </c>
      <c r="K3586" s="304" t="s">
        <v>37635</v>
      </c>
      <c r="L3586" s="188">
        <v>2</v>
      </c>
      <c r="M3586" s="179" t="s">
        <v>151</v>
      </c>
    </row>
    <row r="3587" spans="1:13" ht="38.25">
      <c r="A3587" s="313" t="str">
        <f t="shared" ref="A3587:A3650" si="56">HYPERLINK(J3587,K3587)</f>
        <v>FujitaTornadoScaleCode_severeDamage_F3</v>
      </c>
      <c r="B3587" s="331"/>
      <c r="C3587" s="335"/>
      <c r="D3587" s="181" t="s">
        <v>22970</v>
      </c>
      <c r="E3587" s="192" t="s">
        <v>22971</v>
      </c>
      <c r="F3587" s="193" t="s">
        <v>22972</v>
      </c>
      <c r="G3587" s="193" t="s">
        <v>22973</v>
      </c>
      <c r="H3587" s="220"/>
      <c r="I3587" s="169">
        <v>119085</v>
      </c>
      <c r="J3587" s="304" t="str">
        <f>CONCATENATE([2]Cover!$D$6,"fdd/view?i=",I3587)</f>
        <v>https://www.dgiwg.org/FAD/fdd/view?i=119085</v>
      </c>
      <c r="K3587" s="304" t="s">
        <v>37636</v>
      </c>
      <c r="L3587" s="181">
        <v>4</v>
      </c>
      <c r="M3587" s="179" t="s">
        <v>151</v>
      </c>
    </row>
    <row r="3588" spans="1:13" ht="25.5">
      <c r="A3588" s="313" t="str">
        <f t="shared" si="56"/>
        <v>GateUseCode_borderCrossing</v>
      </c>
      <c r="B3588" s="332" t="str">
        <f>HYPERLINK("[#]Datatypes!A596:L596","GateUseCode")</f>
        <v>GateUseCode</v>
      </c>
      <c r="C3588" s="333" t="s">
        <v>12143</v>
      </c>
      <c r="D3588" s="202" t="s">
        <v>22982</v>
      </c>
      <c r="E3588" s="203" t="s">
        <v>1701</v>
      </c>
      <c r="F3588" s="204" t="s">
        <v>22983</v>
      </c>
      <c r="G3588" s="205"/>
      <c r="H3588" s="218"/>
      <c r="I3588" s="169">
        <v>110204</v>
      </c>
      <c r="J3588" s="304" t="str">
        <f>CONCATENATE([2]Cover!$D$6,"fdd/view?i=",I3588)</f>
        <v>https://www.dgiwg.org/FAD/fdd/view?i=110204</v>
      </c>
      <c r="K3588" s="304" t="s">
        <v>37637</v>
      </c>
      <c r="L3588" s="202">
        <v>4</v>
      </c>
      <c r="M3588" s="179" t="s">
        <v>151</v>
      </c>
    </row>
    <row r="3589" spans="1:13" ht="38.25">
      <c r="A3589" s="313" t="str">
        <f t="shared" si="56"/>
        <v>GateUseCode_crossing</v>
      </c>
      <c r="B3589" s="330"/>
      <c r="C3589" s="334"/>
      <c r="D3589" s="188" t="s">
        <v>18018</v>
      </c>
      <c r="E3589" s="189" t="s">
        <v>1974</v>
      </c>
      <c r="F3589" s="162" t="s">
        <v>22984</v>
      </c>
      <c r="G3589" s="162" t="s">
        <v>22985</v>
      </c>
      <c r="H3589" s="219"/>
      <c r="I3589" s="169">
        <v>103912</v>
      </c>
      <c r="J3589" s="304" t="str">
        <f>CONCATENATE([2]Cover!$D$6,"fdd/view?i=",I3589)</f>
        <v>https://www.dgiwg.org/FAD/fdd/view?i=103912</v>
      </c>
      <c r="K3589" s="304" t="s">
        <v>37638</v>
      </c>
      <c r="L3589" s="188">
        <v>2</v>
      </c>
      <c r="M3589" s="179" t="s">
        <v>151</v>
      </c>
    </row>
    <row r="3590" spans="1:13" ht="25.5">
      <c r="A3590" s="313" t="str">
        <f t="shared" si="56"/>
        <v>GateUseCode_entrance</v>
      </c>
      <c r="B3590" s="330"/>
      <c r="C3590" s="334"/>
      <c r="D3590" s="188" t="s">
        <v>22986</v>
      </c>
      <c r="E3590" s="189" t="s">
        <v>22987</v>
      </c>
      <c r="F3590" s="162" t="s">
        <v>22988</v>
      </c>
      <c r="G3590" s="162" t="s">
        <v>22989</v>
      </c>
      <c r="H3590" s="219"/>
      <c r="I3590" s="169">
        <v>110203</v>
      </c>
      <c r="J3590" s="304" t="str">
        <f>CONCATENATE([2]Cover!$D$6,"fdd/view?i=",I3590)</f>
        <v>https://www.dgiwg.org/FAD/fdd/view?i=110203</v>
      </c>
      <c r="K3590" s="304" t="s">
        <v>37639</v>
      </c>
      <c r="L3590" s="188">
        <v>3</v>
      </c>
      <c r="M3590" s="179" t="s">
        <v>151</v>
      </c>
    </row>
    <row r="3591" spans="1:13">
      <c r="A3591" s="313" t="str">
        <f t="shared" si="56"/>
        <v>GateUseCode_tollGate</v>
      </c>
      <c r="B3591" s="331"/>
      <c r="C3591" s="335"/>
      <c r="D3591" s="181" t="s">
        <v>22990</v>
      </c>
      <c r="E3591" s="192" t="s">
        <v>22991</v>
      </c>
      <c r="F3591" s="193" t="s">
        <v>22992</v>
      </c>
      <c r="G3591" s="194"/>
      <c r="H3591" s="220"/>
      <c r="I3591" s="169">
        <v>103911</v>
      </c>
      <c r="J3591" s="304" t="str">
        <f>CONCATENATE([2]Cover!$D$6,"fdd/view?i=",I3591)</f>
        <v>https://www.dgiwg.org/FAD/fdd/view?i=103911</v>
      </c>
      <c r="K3591" s="304" t="s">
        <v>37640</v>
      </c>
      <c r="L3591" s="181">
        <v>1</v>
      </c>
      <c r="M3591" s="179" t="s">
        <v>151</v>
      </c>
    </row>
    <row r="3592" spans="1:13" ht="25.5">
      <c r="A3592" s="313" t="str">
        <f t="shared" si="56"/>
        <v>GeographicNameTypeCode_conventional</v>
      </c>
      <c r="B3592" s="332" t="str">
        <f>HYPERLINK("[#]Datatypes!A612:L612","GeographicNameTypeCode")</f>
        <v>GeographicNameTypeCode</v>
      </c>
      <c r="C3592" s="333" t="s">
        <v>12164</v>
      </c>
      <c r="D3592" s="202" t="s">
        <v>22993</v>
      </c>
      <c r="E3592" s="203" t="s">
        <v>22994</v>
      </c>
      <c r="F3592" s="204" t="s">
        <v>22995</v>
      </c>
      <c r="G3592" s="205"/>
      <c r="H3592" s="218"/>
      <c r="I3592" s="169">
        <v>112704</v>
      </c>
      <c r="J3592" s="304" t="str">
        <f>CONCATENATE([2]Cover!$D$6,"fdd/view?i=",I3592)</f>
        <v>https://www.dgiwg.org/FAD/fdd/view?i=112704</v>
      </c>
      <c r="K3592" s="304" t="s">
        <v>37641</v>
      </c>
      <c r="L3592" s="202">
        <v>1</v>
      </c>
      <c r="M3592" s="179" t="s">
        <v>151</v>
      </c>
    </row>
    <row r="3593" spans="1:13" ht="25.5">
      <c r="A3593" s="313" t="str">
        <f t="shared" si="56"/>
        <v>GeographicNameTypeCode_historicalOriginal</v>
      </c>
      <c r="B3593" s="330"/>
      <c r="C3593" s="334"/>
      <c r="D3593" s="188" t="s">
        <v>22996</v>
      </c>
      <c r="E3593" s="189" t="s">
        <v>22997</v>
      </c>
      <c r="F3593" s="162" t="s">
        <v>22998</v>
      </c>
      <c r="G3593" s="190"/>
      <c r="H3593" s="219"/>
      <c r="I3593" s="169">
        <v>112720</v>
      </c>
      <c r="J3593" s="304" t="str">
        <f>CONCATENATE([2]Cover!$D$6,"fdd/view?i=",I3593)</f>
        <v>https://www.dgiwg.org/FAD/fdd/view?i=112720</v>
      </c>
      <c r="K3593" s="304" t="s">
        <v>37642</v>
      </c>
      <c r="L3593" s="188">
        <v>9</v>
      </c>
      <c r="M3593" s="179" t="s">
        <v>151</v>
      </c>
    </row>
    <row r="3594" spans="1:13" ht="25.5">
      <c r="A3594" s="313" t="str">
        <f t="shared" si="56"/>
        <v>GeographicNameTypeCode_historicalTransliterated</v>
      </c>
      <c r="B3594" s="330"/>
      <c r="C3594" s="334"/>
      <c r="D3594" s="188" t="s">
        <v>22999</v>
      </c>
      <c r="E3594" s="189" t="s">
        <v>23000</v>
      </c>
      <c r="F3594" s="162" t="s">
        <v>23001</v>
      </c>
      <c r="G3594" s="190"/>
      <c r="H3594" s="219"/>
      <c r="I3594" s="169">
        <v>112718</v>
      </c>
      <c r="J3594" s="304" t="str">
        <f>CONCATENATE([2]Cover!$D$6,"fdd/view?i=",I3594)</f>
        <v>https://www.dgiwg.org/FAD/fdd/view?i=112718</v>
      </c>
      <c r="K3594" s="304" t="s">
        <v>37643</v>
      </c>
      <c r="L3594" s="188">
        <v>8</v>
      </c>
      <c r="M3594" s="179" t="s">
        <v>151</v>
      </c>
    </row>
    <row r="3595" spans="1:13" ht="38.25">
      <c r="A3595" s="313" t="str">
        <f t="shared" si="56"/>
        <v>GeographicNameTypeCode_nativeOriginal</v>
      </c>
      <c r="B3595" s="330"/>
      <c r="C3595" s="334"/>
      <c r="D3595" s="188" t="s">
        <v>23002</v>
      </c>
      <c r="E3595" s="189" t="s">
        <v>23003</v>
      </c>
      <c r="F3595" s="162" t="s">
        <v>23004</v>
      </c>
      <c r="G3595" s="190"/>
      <c r="H3595" s="219"/>
      <c r="I3595" s="169">
        <v>112712</v>
      </c>
      <c r="J3595" s="304" t="str">
        <f>CONCATENATE([2]Cover!$D$6,"fdd/view?i=",I3595)</f>
        <v>https://www.dgiwg.org/FAD/fdd/view?i=112712</v>
      </c>
      <c r="K3595" s="304" t="s">
        <v>37644</v>
      </c>
      <c r="L3595" s="188">
        <v>5</v>
      </c>
      <c r="M3595" s="179" t="s">
        <v>151</v>
      </c>
    </row>
    <row r="3596" spans="1:13" ht="38.25">
      <c r="A3596" s="313" t="str">
        <f t="shared" si="56"/>
        <v>GeographicNameTypeCode_nativeTransliterated</v>
      </c>
      <c r="B3596" s="330"/>
      <c r="C3596" s="334"/>
      <c r="D3596" s="188" t="s">
        <v>23005</v>
      </c>
      <c r="E3596" s="189" t="s">
        <v>23006</v>
      </c>
      <c r="F3596" s="162" t="s">
        <v>23007</v>
      </c>
      <c r="G3596" s="190"/>
      <c r="H3596" s="219"/>
      <c r="I3596" s="169">
        <v>112706</v>
      </c>
      <c r="J3596" s="304" t="str">
        <f>CONCATENATE([2]Cover!$D$6,"fdd/view?i=",I3596)</f>
        <v>https://www.dgiwg.org/FAD/fdd/view?i=112706</v>
      </c>
      <c r="K3596" s="304" t="s">
        <v>37645</v>
      </c>
      <c r="L3596" s="188">
        <v>2</v>
      </c>
      <c r="M3596" s="179" t="s">
        <v>151</v>
      </c>
    </row>
    <row r="3597" spans="1:13" ht="25.5">
      <c r="A3597" s="313" t="str">
        <f t="shared" si="56"/>
        <v>GeographicNameTypeCode_provisional</v>
      </c>
      <c r="B3597" s="330"/>
      <c r="C3597" s="334"/>
      <c r="D3597" s="188" t="s">
        <v>23008</v>
      </c>
      <c r="E3597" s="189" t="s">
        <v>23009</v>
      </c>
      <c r="F3597" s="162" t="s">
        <v>23010</v>
      </c>
      <c r="G3597" s="190"/>
      <c r="H3597" s="219"/>
      <c r="I3597" s="169">
        <v>112722</v>
      </c>
      <c r="J3597" s="304" t="str">
        <f>CONCATENATE([2]Cover!$D$6,"fdd/view?i=",I3597)</f>
        <v>https://www.dgiwg.org/FAD/fdd/view?i=112722</v>
      </c>
      <c r="K3597" s="304" t="s">
        <v>37646</v>
      </c>
      <c r="L3597" s="188">
        <v>10</v>
      </c>
      <c r="M3597" s="179" t="s">
        <v>151</v>
      </c>
    </row>
    <row r="3598" spans="1:13" ht="63.75">
      <c r="A3598" s="313" t="str">
        <f t="shared" si="56"/>
        <v>GeographicNameTypeCode_unverifiedOriginal</v>
      </c>
      <c r="B3598" s="330"/>
      <c r="C3598" s="334"/>
      <c r="D3598" s="188" t="s">
        <v>23011</v>
      </c>
      <c r="E3598" s="189" t="s">
        <v>23012</v>
      </c>
      <c r="F3598" s="162" t="s">
        <v>23013</v>
      </c>
      <c r="G3598" s="162" t="s">
        <v>23014</v>
      </c>
      <c r="H3598" s="219"/>
      <c r="I3598" s="169">
        <v>112716</v>
      </c>
      <c r="J3598" s="304" t="str">
        <f>CONCATENATE([2]Cover!$D$6,"fdd/view?i=",I3598)</f>
        <v>https://www.dgiwg.org/FAD/fdd/view?i=112716</v>
      </c>
      <c r="K3598" s="304" t="s">
        <v>37647</v>
      </c>
      <c r="L3598" s="188">
        <v>7</v>
      </c>
      <c r="M3598" s="179" t="s">
        <v>151</v>
      </c>
    </row>
    <row r="3599" spans="1:13" ht="63.75">
      <c r="A3599" s="313" t="str">
        <f t="shared" si="56"/>
        <v>GeographicNameTypeCode_unverifiedTransliterated</v>
      </c>
      <c r="B3599" s="330"/>
      <c r="C3599" s="334"/>
      <c r="D3599" s="188" t="s">
        <v>23015</v>
      </c>
      <c r="E3599" s="189" t="s">
        <v>23016</v>
      </c>
      <c r="F3599" s="162" t="s">
        <v>23017</v>
      </c>
      <c r="G3599" s="162" t="s">
        <v>23014</v>
      </c>
      <c r="H3599" s="219"/>
      <c r="I3599" s="169">
        <v>112710</v>
      </c>
      <c r="J3599" s="304" t="str">
        <f>CONCATENATE([2]Cover!$D$6,"fdd/view?i=",I3599)</f>
        <v>https://www.dgiwg.org/FAD/fdd/view?i=112710</v>
      </c>
      <c r="K3599" s="304" t="s">
        <v>37648</v>
      </c>
      <c r="L3599" s="188">
        <v>4</v>
      </c>
      <c r="M3599" s="179" t="s">
        <v>151</v>
      </c>
    </row>
    <row r="3600" spans="1:13" ht="38.25">
      <c r="A3600" s="313" t="str">
        <f t="shared" si="56"/>
        <v>GeographicNameTypeCode_variantOriginal</v>
      </c>
      <c r="B3600" s="330"/>
      <c r="C3600" s="334"/>
      <c r="D3600" s="188" t="s">
        <v>23018</v>
      </c>
      <c r="E3600" s="189" t="s">
        <v>23019</v>
      </c>
      <c r="F3600" s="162" t="s">
        <v>23020</v>
      </c>
      <c r="G3600" s="162" t="s">
        <v>23021</v>
      </c>
      <c r="H3600" s="219"/>
      <c r="I3600" s="169">
        <v>112714</v>
      </c>
      <c r="J3600" s="304" t="str">
        <f>CONCATENATE([2]Cover!$D$6,"fdd/view?i=",I3600)</f>
        <v>https://www.dgiwg.org/FAD/fdd/view?i=112714</v>
      </c>
      <c r="K3600" s="304" t="s">
        <v>37649</v>
      </c>
      <c r="L3600" s="188">
        <v>6</v>
      </c>
      <c r="M3600" s="179" t="s">
        <v>151</v>
      </c>
    </row>
    <row r="3601" spans="1:13" ht="38.25">
      <c r="A3601" s="313" t="str">
        <f t="shared" si="56"/>
        <v>GeographicNameTypeCode_variantTransliterated</v>
      </c>
      <c r="B3601" s="331"/>
      <c r="C3601" s="335"/>
      <c r="D3601" s="181" t="s">
        <v>23022</v>
      </c>
      <c r="E3601" s="192" t="s">
        <v>23023</v>
      </c>
      <c r="F3601" s="193" t="s">
        <v>23024</v>
      </c>
      <c r="G3601" s="193" t="s">
        <v>23021</v>
      </c>
      <c r="H3601" s="220"/>
      <c r="I3601" s="169">
        <v>112708</v>
      </c>
      <c r="J3601" s="304" t="str">
        <f>CONCATENATE([2]Cover!$D$6,"fdd/view?i=",I3601)</f>
        <v>https://www.dgiwg.org/FAD/fdd/view?i=112708</v>
      </c>
      <c r="K3601" s="304" t="s">
        <v>37650</v>
      </c>
      <c r="L3601" s="181">
        <v>3</v>
      </c>
      <c r="M3601" s="179" t="s">
        <v>151</v>
      </c>
    </row>
    <row r="3602" spans="1:13" ht="25.5">
      <c r="A3602" s="313" t="str">
        <f t="shared" si="56"/>
        <v>GeomorphicTypeCode_abruptSlopeChange</v>
      </c>
      <c r="B3602" s="332" t="str">
        <f>HYPERLINK("[#]Datatypes!A616:L616","GeomorphicTypeCode")</f>
        <v>GeomorphicTypeCode</v>
      </c>
      <c r="C3602" s="333" t="s">
        <v>12169</v>
      </c>
      <c r="D3602" s="202" t="s">
        <v>23025</v>
      </c>
      <c r="E3602" s="203" t="s">
        <v>23026</v>
      </c>
      <c r="F3602" s="204" t="s">
        <v>23027</v>
      </c>
      <c r="G3602" s="205"/>
      <c r="H3602" s="218"/>
      <c r="I3602" s="169">
        <v>118984</v>
      </c>
      <c r="J3602" s="304" t="str">
        <f>CONCATENATE([2]Cover!$D$6,"fdd/view?i=",I3602)</f>
        <v>https://www.dgiwg.org/FAD/fdd/view?i=118984</v>
      </c>
      <c r="K3602" s="304" t="s">
        <v>37651</v>
      </c>
      <c r="L3602" s="202">
        <v>10</v>
      </c>
      <c r="M3602" s="179" t="s">
        <v>151</v>
      </c>
    </row>
    <row r="3603" spans="1:13" ht="25.5">
      <c r="A3603" s="313" t="str">
        <f t="shared" si="56"/>
        <v>GeomorphicTypeCode_centerlineDrain</v>
      </c>
      <c r="B3603" s="330"/>
      <c r="C3603" s="334"/>
      <c r="D3603" s="188" t="s">
        <v>23028</v>
      </c>
      <c r="E3603" s="189" t="s">
        <v>23029</v>
      </c>
      <c r="F3603" s="162" t="s">
        <v>23030</v>
      </c>
      <c r="G3603" s="190"/>
      <c r="H3603" s="219"/>
      <c r="I3603" s="169">
        <v>118981</v>
      </c>
      <c r="J3603" s="304" t="str">
        <f>CONCATENATE([2]Cover!$D$6,"fdd/view?i=",I3603)</f>
        <v>https://www.dgiwg.org/FAD/fdd/view?i=118981</v>
      </c>
      <c r="K3603" s="304" t="s">
        <v>37652</v>
      </c>
      <c r="L3603" s="188">
        <v>7</v>
      </c>
      <c r="M3603" s="179" t="s">
        <v>151</v>
      </c>
    </row>
    <row r="3604" spans="1:13" ht="25.5">
      <c r="A3604" s="313" t="str">
        <f t="shared" si="56"/>
        <v>GeomorphicTypeCode_cliffBottom</v>
      </c>
      <c r="B3604" s="330"/>
      <c r="C3604" s="334"/>
      <c r="D3604" s="188" t="s">
        <v>23031</v>
      </c>
      <c r="E3604" s="189" t="s">
        <v>23032</v>
      </c>
      <c r="F3604" s="162" t="s">
        <v>23033</v>
      </c>
      <c r="G3604" s="190"/>
      <c r="H3604" s="219"/>
      <c r="I3604" s="169">
        <v>118978</v>
      </c>
      <c r="J3604" s="304" t="str">
        <f>CONCATENATE([2]Cover!$D$6,"fdd/view?i=",I3604)</f>
        <v>https://www.dgiwg.org/FAD/fdd/view?i=118978</v>
      </c>
      <c r="K3604" s="304" t="s">
        <v>37653</v>
      </c>
      <c r="L3604" s="188">
        <v>4</v>
      </c>
      <c r="M3604" s="179" t="s">
        <v>151</v>
      </c>
    </row>
    <row r="3605" spans="1:13" ht="25.5">
      <c r="A3605" s="313" t="str">
        <f t="shared" si="56"/>
        <v>GeomorphicTypeCode_cliffTop</v>
      </c>
      <c r="B3605" s="330"/>
      <c r="C3605" s="334"/>
      <c r="D3605" s="188" t="s">
        <v>23034</v>
      </c>
      <c r="E3605" s="189" t="s">
        <v>23035</v>
      </c>
      <c r="F3605" s="162" t="s">
        <v>23036</v>
      </c>
      <c r="G3605" s="190"/>
      <c r="H3605" s="219"/>
      <c r="I3605" s="169">
        <v>118977</v>
      </c>
      <c r="J3605" s="304" t="str">
        <f>CONCATENATE([2]Cover!$D$6,"fdd/view?i=",I3605)</f>
        <v>https://www.dgiwg.org/FAD/fdd/view?i=118977</v>
      </c>
      <c r="K3605" s="304" t="s">
        <v>37654</v>
      </c>
      <c r="L3605" s="188">
        <v>3</v>
      </c>
      <c r="M3605" s="179" t="s">
        <v>151</v>
      </c>
    </row>
    <row r="3606" spans="1:13" ht="25.5">
      <c r="A3606" s="313" t="str">
        <f t="shared" si="56"/>
        <v>GeomorphicTypeCode_faultlineBottom</v>
      </c>
      <c r="B3606" s="330"/>
      <c r="C3606" s="334"/>
      <c r="D3606" s="188" t="s">
        <v>23037</v>
      </c>
      <c r="E3606" s="189" t="s">
        <v>23038</v>
      </c>
      <c r="F3606" s="162" t="s">
        <v>23039</v>
      </c>
      <c r="G3606" s="190"/>
      <c r="H3606" s="219"/>
      <c r="I3606" s="169">
        <v>118980</v>
      </c>
      <c r="J3606" s="304" t="str">
        <f>CONCATENATE([2]Cover!$D$6,"fdd/view?i=",I3606)</f>
        <v>https://www.dgiwg.org/FAD/fdd/view?i=118980</v>
      </c>
      <c r="K3606" s="304" t="s">
        <v>37655</v>
      </c>
      <c r="L3606" s="188">
        <v>6</v>
      </c>
      <c r="M3606" s="179" t="s">
        <v>151</v>
      </c>
    </row>
    <row r="3607" spans="1:13">
      <c r="A3607" s="313" t="str">
        <f t="shared" si="56"/>
        <v>GeomorphicTypeCode_faultlineTop</v>
      </c>
      <c r="B3607" s="330"/>
      <c r="C3607" s="334"/>
      <c r="D3607" s="188" t="s">
        <v>23040</v>
      </c>
      <c r="E3607" s="189" t="s">
        <v>23041</v>
      </c>
      <c r="F3607" s="162" t="s">
        <v>23042</v>
      </c>
      <c r="G3607" s="190"/>
      <c r="H3607" s="219"/>
      <c r="I3607" s="169">
        <v>118979</v>
      </c>
      <c r="J3607" s="304" t="str">
        <f>CONCATENATE([2]Cover!$D$6,"fdd/view?i=",I3607)</f>
        <v>https://www.dgiwg.org/FAD/fdd/view?i=118979</v>
      </c>
      <c r="K3607" s="304" t="s">
        <v>37656</v>
      </c>
      <c r="L3607" s="188">
        <v>5</v>
      </c>
      <c r="M3607" s="179" t="s">
        <v>151</v>
      </c>
    </row>
    <row r="3608" spans="1:13" ht="25.5">
      <c r="A3608" s="313" t="str">
        <f t="shared" si="56"/>
        <v>GeomorphicTypeCode_peak</v>
      </c>
      <c r="B3608" s="330"/>
      <c r="C3608" s="334"/>
      <c r="D3608" s="188" t="s">
        <v>23043</v>
      </c>
      <c r="E3608" s="189" t="s">
        <v>23044</v>
      </c>
      <c r="F3608" s="162" t="s">
        <v>23045</v>
      </c>
      <c r="G3608" s="190"/>
      <c r="H3608" s="219"/>
      <c r="I3608" s="169">
        <v>118975</v>
      </c>
      <c r="J3608" s="304" t="str">
        <f>CONCATENATE([2]Cover!$D$6,"fdd/view?i=",I3608)</f>
        <v>https://www.dgiwg.org/FAD/fdd/view?i=118975</v>
      </c>
      <c r="K3608" s="304" t="s">
        <v>37657</v>
      </c>
      <c r="L3608" s="188">
        <v>1</v>
      </c>
      <c r="M3608" s="179" t="s">
        <v>151</v>
      </c>
    </row>
    <row r="3609" spans="1:13" ht="25.5">
      <c r="A3609" s="313" t="str">
        <f t="shared" si="56"/>
        <v>GeomorphicTypeCode_pit</v>
      </c>
      <c r="B3609" s="330"/>
      <c r="C3609" s="334"/>
      <c r="D3609" s="188" t="s">
        <v>23046</v>
      </c>
      <c r="E3609" s="189" t="s">
        <v>23047</v>
      </c>
      <c r="F3609" s="162" t="s">
        <v>23048</v>
      </c>
      <c r="G3609" s="190"/>
      <c r="H3609" s="219"/>
      <c r="I3609" s="169">
        <v>118976</v>
      </c>
      <c r="J3609" s="304" t="str">
        <f>CONCATENATE([2]Cover!$D$6,"fdd/view?i=",I3609)</f>
        <v>https://www.dgiwg.org/FAD/fdd/view?i=118976</v>
      </c>
      <c r="K3609" s="304" t="s">
        <v>37658</v>
      </c>
      <c r="L3609" s="188">
        <v>2</v>
      </c>
      <c r="M3609" s="179" t="s">
        <v>151</v>
      </c>
    </row>
    <row r="3610" spans="1:13" ht="25.5">
      <c r="A3610" s="313" t="str">
        <f t="shared" si="56"/>
        <v>GeomorphicTypeCode_ridgeline</v>
      </c>
      <c r="B3610" s="330"/>
      <c r="C3610" s="334"/>
      <c r="D3610" s="188" t="s">
        <v>18223</v>
      </c>
      <c r="E3610" s="189" t="s">
        <v>18224</v>
      </c>
      <c r="F3610" s="162" t="s">
        <v>23049</v>
      </c>
      <c r="G3610" s="190"/>
      <c r="H3610" s="219"/>
      <c r="I3610" s="169">
        <v>118982</v>
      </c>
      <c r="J3610" s="304" t="str">
        <f>CONCATENATE([2]Cover!$D$6,"fdd/view?i=",I3610)</f>
        <v>https://www.dgiwg.org/FAD/fdd/view?i=118982</v>
      </c>
      <c r="K3610" s="304" t="s">
        <v>37659</v>
      </c>
      <c r="L3610" s="188">
        <v>8</v>
      </c>
      <c r="M3610" s="179" t="s">
        <v>151</v>
      </c>
    </row>
    <row r="3611" spans="1:13" ht="25.5">
      <c r="A3611" s="313" t="str">
        <f t="shared" si="56"/>
        <v>GeomorphicTypeCode_valleyLine</v>
      </c>
      <c r="B3611" s="331"/>
      <c r="C3611" s="335"/>
      <c r="D3611" s="181" t="s">
        <v>23050</v>
      </c>
      <c r="E3611" s="192" t="s">
        <v>23051</v>
      </c>
      <c r="F3611" s="193" t="s">
        <v>23052</v>
      </c>
      <c r="G3611" s="194"/>
      <c r="H3611" s="220"/>
      <c r="I3611" s="169">
        <v>118983</v>
      </c>
      <c r="J3611" s="304" t="str">
        <f>CONCATENATE([2]Cover!$D$6,"fdd/view?i=",I3611)</f>
        <v>https://www.dgiwg.org/FAD/fdd/view?i=118983</v>
      </c>
      <c r="K3611" s="304" t="s">
        <v>37660</v>
      </c>
      <c r="L3611" s="181">
        <v>9</v>
      </c>
      <c r="M3611" s="179" t="s">
        <v>151</v>
      </c>
    </row>
    <row r="3612" spans="1:13" ht="25.5">
      <c r="A3612" s="313" t="str">
        <f t="shared" si="56"/>
        <v>GeonameCharacterSetCode_region1</v>
      </c>
      <c r="B3612" s="332" t="str">
        <f>HYPERLINK("[#]Datatypes!A618:L618","GeonameCharacterSetCode")</f>
        <v>GeonameCharacterSetCode</v>
      </c>
      <c r="C3612" s="333" t="s">
        <v>12171</v>
      </c>
      <c r="D3612" s="202" t="s">
        <v>23053</v>
      </c>
      <c r="E3612" s="203" t="s">
        <v>23054</v>
      </c>
      <c r="F3612" s="204" t="s">
        <v>23055</v>
      </c>
      <c r="G3612" s="205"/>
      <c r="H3612" s="218"/>
      <c r="I3612" s="169">
        <v>202993</v>
      </c>
      <c r="J3612" s="304" t="str">
        <f>CONCATENATE([2]Cover!$D$6,"fdd/view?i=",I3612)</f>
        <v>https://www.dgiwg.org/FAD/fdd/view?i=202993</v>
      </c>
      <c r="K3612" s="304" t="s">
        <v>37661</v>
      </c>
      <c r="L3612" s="202">
        <v>1</v>
      </c>
      <c r="M3612" s="179" t="s">
        <v>1295</v>
      </c>
    </row>
    <row r="3613" spans="1:13" ht="25.5">
      <c r="A3613" s="313" t="str">
        <f t="shared" si="56"/>
        <v>GeonameCharacterSetCode_region2</v>
      </c>
      <c r="B3613" s="330"/>
      <c r="C3613" s="334"/>
      <c r="D3613" s="188" t="s">
        <v>23056</v>
      </c>
      <c r="E3613" s="189" t="s">
        <v>23057</v>
      </c>
      <c r="F3613" s="162" t="s">
        <v>23058</v>
      </c>
      <c r="G3613" s="190"/>
      <c r="H3613" s="219"/>
      <c r="I3613" s="169">
        <v>202994</v>
      </c>
      <c r="J3613" s="304" t="str">
        <f>CONCATENATE([2]Cover!$D$6,"fdd/view?i=",I3613)</f>
        <v>https://www.dgiwg.org/FAD/fdd/view?i=202994</v>
      </c>
      <c r="K3613" s="304" t="s">
        <v>37662</v>
      </c>
      <c r="L3613" s="188">
        <v>2</v>
      </c>
      <c r="M3613" s="179" t="s">
        <v>1295</v>
      </c>
    </row>
    <row r="3614" spans="1:13" ht="25.5">
      <c r="A3614" s="313" t="str">
        <f t="shared" si="56"/>
        <v>GeonameCharacterSetCode_region3</v>
      </c>
      <c r="B3614" s="330"/>
      <c r="C3614" s="334"/>
      <c r="D3614" s="188" t="s">
        <v>23059</v>
      </c>
      <c r="E3614" s="189" t="s">
        <v>23060</v>
      </c>
      <c r="F3614" s="162" t="s">
        <v>23061</v>
      </c>
      <c r="G3614" s="190"/>
      <c r="H3614" s="219"/>
      <c r="I3614" s="169">
        <v>202995</v>
      </c>
      <c r="J3614" s="304" t="str">
        <f>CONCATENATE([2]Cover!$D$6,"fdd/view?i=",I3614)</f>
        <v>https://www.dgiwg.org/FAD/fdd/view?i=202995</v>
      </c>
      <c r="K3614" s="304" t="s">
        <v>37663</v>
      </c>
      <c r="L3614" s="188">
        <v>3</v>
      </c>
      <c r="M3614" s="179" t="s">
        <v>1295</v>
      </c>
    </row>
    <row r="3615" spans="1:13" ht="25.5">
      <c r="A3615" s="313" t="str">
        <f t="shared" si="56"/>
        <v>GeonameCharacterSetCode_region4</v>
      </c>
      <c r="B3615" s="330"/>
      <c r="C3615" s="334"/>
      <c r="D3615" s="188" t="s">
        <v>23062</v>
      </c>
      <c r="E3615" s="189" t="s">
        <v>23063</v>
      </c>
      <c r="F3615" s="162" t="s">
        <v>23064</v>
      </c>
      <c r="G3615" s="190"/>
      <c r="H3615" s="219"/>
      <c r="I3615" s="169">
        <v>202996</v>
      </c>
      <c r="J3615" s="304" t="str">
        <f>CONCATENATE([2]Cover!$D$6,"fdd/view?i=",I3615)</f>
        <v>https://www.dgiwg.org/FAD/fdd/view?i=202996</v>
      </c>
      <c r="K3615" s="304" t="s">
        <v>37664</v>
      </c>
      <c r="L3615" s="188">
        <v>4</v>
      </c>
      <c r="M3615" s="179" t="s">
        <v>1295</v>
      </c>
    </row>
    <row r="3616" spans="1:13" ht="25.5">
      <c r="A3616" s="313" t="str">
        <f t="shared" si="56"/>
        <v>GeonameCharacterSetCode_region5</v>
      </c>
      <c r="B3616" s="330"/>
      <c r="C3616" s="334"/>
      <c r="D3616" s="188" t="s">
        <v>23065</v>
      </c>
      <c r="E3616" s="189" t="s">
        <v>23066</v>
      </c>
      <c r="F3616" s="162" t="s">
        <v>23067</v>
      </c>
      <c r="G3616" s="190"/>
      <c r="H3616" s="219"/>
      <c r="I3616" s="169">
        <v>202997</v>
      </c>
      <c r="J3616" s="304" t="str">
        <f>CONCATENATE([2]Cover!$D$6,"fdd/view?i=",I3616)</f>
        <v>https://www.dgiwg.org/FAD/fdd/view?i=202997</v>
      </c>
      <c r="K3616" s="304" t="s">
        <v>37665</v>
      </c>
      <c r="L3616" s="188">
        <v>5</v>
      </c>
      <c r="M3616" s="179" t="s">
        <v>1295</v>
      </c>
    </row>
    <row r="3617" spans="1:13" ht="25.5">
      <c r="A3617" s="313" t="str">
        <f t="shared" si="56"/>
        <v>GeonameCharacterSetCode_region6</v>
      </c>
      <c r="B3617" s="331"/>
      <c r="C3617" s="335"/>
      <c r="D3617" s="181" t="s">
        <v>23068</v>
      </c>
      <c r="E3617" s="192" t="s">
        <v>23069</v>
      </c>
      <c r="F3617" s="193" t="s">
        <v>23070</v>
      </c>
      <c r="G3617" s="194"/>
      <c r="H3617" s="220"/>
      <c r="I3617" s="169">
        <v>202998</v>
      </c>
      <c r="J3617" s="304" t="str">
        <f>CONCATENATE([2]Cover!$D$6,"fdd/view?i=",I3617)</f>
        <v>https://www.dgiwg.org/FAD/fdd/view?i=202998</v>
      </c>
      <c r="K3617" s="304" t="s">
        <v>37666</v>
      </c>
      <c r="L3617" s="181">
        <v>6</v>
      </c>
      <c r="M3617" s="179" t="s">
        <v>1295</v>
      </c>
    </row>
    <row r="3618" spans="1:13" ht="25.5">
      <c r="A3618" s="313" t="str">
        <f t="shared" si="56"/>
        <v>GeopoliticalEntityTypeCode_areaOfNoSovereignty</v>
      </c>
      <c r="B3618" s="332" t="str">
        <f>HYPERLINK("[#]Datatypes!A620:L620","GeopoliticalEntityTypeCode")</f>
        <v>GeopoliticalEntityTypeCode</v>
      </c>
      <c r="C3618" s="333" t="s">
        <v>12173</v>
      </c>
      <c r="D3618" s="202" t="s">
        <v>23071</v>
      </c>
      <c r="E3618" s="203" t="s">
        <v>23072</v>
      </c>
      <c r="F3618" s="204" t="s">
        <v>23073</v>
      </c>
      <c r="G3618" s="204" t="s">
        <v>23074</v>
      </c>
      <c r="H3618" s="218"/>
      <c r="I3618" s="169">
        <v>103833</v>
      </c>
      <c r="J3618" s="304" t="str">
        <f>CONCATENATE([2]Cover!$D$6,"fdd/view?i=",I3618)</f>
        <v>https://www.dgiwg.org/FAD/fdd/view?i=103833</v>
      </c>
      <c r="K3618" s="304" t="s">
        <v>37667</v>
      </c>
      <c r="L3618" s="202">
        <v>5</v>
      </c>
      <c r="M3618" s="179" t="s">
        <v>151</v>
      </c>
    </row>
    <row r="3619" spans="1:13" ht="51">
      <c r="A3619" s="313" t="str">
        <f t="shared" si="56"/>
        <v>GeopoliticalEntityTypeCode_bufferZone</v>
      </c>
      <c r="B3619" s="330"/>
      <c r="C3619" s="334"/>
      <c r="D3619" s="188" t="s">
        <v>23075</v>
      </c>
      <c r="E3619" s="189" t="s">
        <v>23076</v>
      </c>
      <c r="F3619" s="162" t="s">
        <v>23077</v>
      </c>
      <c r="G3619" s="162" t="s">
        <v>23078</v>
      </c>
      <c r="H3619" s="219"/>
      <c r="I3619" s="169">
        <v>110880</v>
      </c>
      <c r="J3619" s="304" t="str">
        <f>CONCATENATE([2]Cover!$D$6,"fdd/view?i=",I3619)</f>
        <v>https://www.dgiwg.org/FAD/fdd/view?i=110880</v>
      </c>
      <c r="K3619" s="304" t="s">
        <v>37668</v>
      </c>
      <c r="L3619" s="188">
        <v>17</v>
      </c>
      <c r="M3619" s="179" t="s">
        <v>151</v>
      </c>
    </row>
    <row r="3620" spans="1:13" ht="102">
      <c r="A3620" s="313" t="str">
        <f t="shared" si="56"/>
        <v>GeopoliticalEntityTypeCode_demilitarizedZone</v>
      </c>
      <c r="B3620" s="330"/>
      <c r="C3620" s="334"/>
      <c r="D3620" s="188" t="s">
        <v>23079</v>
      </c>
      <c r="E3620" s="189" t="s">
        <v>23080</v>
      </c>
      <c r="F3620" s="162" t="s">
        <v>23081</v>
      </c>
      <c r="G3620" s="162" t="s">
        <v>23082</v>
      </c>
      <c r="H3620" s="219"/>
      <c r="I3620" s="169">
        <v>103835</v>
      </c>
      <c r="J3620" s="304" t="str">
        <f>CONCATENATE([2]Cover!$D$6,"fdd/view?i=",I3620)</f>
        <v>https://www.dgiwg.org/FAD/fdd/view?i=103835</v>
      </c>
      <c r="K3620" s="304" t="s">
        <v>37669</v>
      </c>
      <c r="L3620" s="188">
        <v>7</v>
      </c>
      <c r="M3620" s="179" t="s">
        <v>151</v>
      </c>
    </row>
    <row r="3621" spans="1:13" ht="25.5">
      <c r="A3621" s="313" t="str">
        <f t="shared" si="56"/>
        <v>GeopoliticalEntityTypeCode_dependentPoliticalEntity</v>
      </c>
      <c r="B3621" s="330"/>
      <c r="C3621" s="334"/>
      <c r="D3621" s="188" t="s">
        <v>23083</v>
      </c>
      <c r="E3621" s="189" t="s">
        <v>23084</v>
      </c>
      <c r="F3621" s="162" t="s">
        <v>23085</v>
      </c>
      <c r="G3621" s="162" t="s">
        <v>23086</v>
      </c>
      <c r="H3621" s="219"/>
      <c r="I3621" s="169">
        <v>110874</v>
      </c>
      <c r="J3621" s="304" t="str">
        <f>CONCATENATE([2]Cover!$D$6,"fdd/view?i=",I3621)</f>
        <v>https://www.dgiwg.org/FAD/fdd/view?i=110874</v>
      </c>
      <c r="K3621" s="304" t="s">
        <v>37670</v>
      </c>
      <c r="L3621" s="188">
        <v>11</v>
      </c>
      <c r="M3621" s="179" t="s">
        <v>151</v>
      </c>
    </row>
    <row r="3622" spans="1:13" ht="38.25">
      <c r="A3622" s="313" t="str">
        <f t="shared" si="56"/>
        <v>GeopoliticalEntityTypeCode_economicRegion</v>
      </c>
      <c r="B3622" s="330"/>
      <c r="C3622" s="334"/>
      <c r="D3622" s="188" t="s">
        <v>23087</v>
      </c>
      <c r="E3622" s="189" t="s">
        <v>23088</v>
      </c>
      <c r="F3622" s="162" t="s">
        <v>23089</v>
      </c>
      <c r="G3622" s="162" t="s">
        <v>23090</v>
      </c>
      <c r="H3622" s="219"/>
      <c r="I3622" s="169">
        <v>110878</v>
      </c>
      <c r="J3622" s="304" t="str">
        <f>CONCATENATE([2]Cover!$D$6,"fdd/view?i=",I3622)</f>
        <v>https://www.dgiwg.org/FAD/fdd/view?i=110878</v>
      </c>
      <c r="K3622" s="304" t="s">
        <v>37671</v>
      </c>
      <c r="L3622" s="188">
        <v>15</v>
      </c>
      <c r="M3622" s="179" t="s">
        <v>151</v>
      </c>
    </row>
    <row r="3623" spans="1:13" ht="51">
      <c r="A3623" s="313" t="str">
        <f t="shared" si="56"/>
        <v>GeopoliticalEntityTypeCode_freelyAssociatedState</v>
      </c>
      <c r="B3623" s="330"/>
      <c r="C3623" s="334"/>
      <c r="D3623" s="188" t="s">
        <v>23091</v>
      </c>
      <c r="E3623" s="189" t="s">
        <v>23092</v>
      </c>
      <c r="F3623" s="162" t="s">
        <v>23093</v>
      </c>
      <c r="G3623" s="190"/>
      <c r="H3623" s="219"/>
      <c r="I3623" s="169">
        <v>110875</v>
      </c>
      <c r="J3623" s="304" t="str">
        <f>CONCATENATE([2]Cover!$D$6,"fdd/view?i=",I3623)</f>
        <v>https://www.dgiwg.org/FAD/fdd/view?i=110875</v>
      </c>
      <c r="K3623" s="304" t="s">
        <v>37672</v>
      </c>
      <c r="L3623" s="188">
        <v>12</v>
      </c>
      <c r="M3623" s="179" t="s">
        <v>151</v>
      </c>
    </row>
    <row r="3624" spans="1:13" ht="51">
      <c r="A3624" s="313" t="str">
        <f t="shared" si="56"/>
        <v>GeopoliticalEntityTypeCode_independentPoliEntity</v>
      </c>
      <c r="B3624" s="330"/>
      <c r="C3624" s="334"/>
      <c r="D3624" s="188" t="s">
        <v>23094</v>
      </c>
      <c r="E3624" s="189" t="s">
        <v>23095</v>
      </c>
      <c r="F3624" s="162" t="s">
        <v>23096</v>
      </c>
      <c r="G3624" s="162" t="s">
        <v>23097</v>
      </c>
      <c r="H3624" s="219"/>
      <c r="I3624" s="169">
        <v>110876</v>
      </c>
      <c r="J3624" s="304" t="str">
        <f>CONCATENATE([2]Cover!$D$6,"fdd/view?i=",I3624)</f>
        <v>https://www.dgiwg.org/FAD/fdd/view?i=110876</v>
      </c>
      <c r="K3624" s="304" t="s">
        <v>37673</v>
      </c>
      <c r="L3624" s="188">
        <v>13</v>
      </c>
      <c r="M3624" s="179" t="s">
        <v>151</v>
      </c>
    </row>
    <row r="3625" spans="1:13" ht="38.25">
      <c r="A3625" s="313" t="str">
        <f t="shared" si="56"/>
        <v>GeopoliticalEntityTypeCode_leasedArea</v>
      </c>
      <c r="B3625" s="330"/>
      <c r="C3625" s="334"/>
      <c r="D3625" s="188" t="s">
        <v>23098</v>
      </c>
      <c r="E3625" s="189" t="s">
        <v>23099</v>
      </c>
      <c r="F3625" s="162" t="s">
        <v>23100</v>
      </c>
      <c r="G3625" s="162" t="s">
        <v>23101</v>
      </c>
      <c r="H3625" s="219"/>
      <c r="I3625" s="169">
        <v>110872</v>
      </c>
      <c r="J3625" s="304" t="str">
        <f>CONCATENATE([2]Cover!$D$6,"fdd/view?i=",I3625)</f>
        <v>https://www.dgiwg.org/FAD/fdd/view?i=110872</v>
      </c>
      <c r="K3625" s="304" t="s">
        <v>37674</v>
      </c>
      <c r="L3625" s="188">
        <v>9</v>
      </c>
      <c r="M3625" s="179" t="s">
        <v>151</v>
      </c>
    </row>
    <row r="3626" spans="1:13" ht="25.5">
      <c r="A3626" s="313" t="str">
        <f t="shared" si="56"/>
        <v>GeopoliticalEntityTypeCode_politicalEntity</v>
      </c>
      <c r="B3626" s="330"/>
      <c r="C3626" s="334"/>
      <c r="D3626" s="188" t="s">
        <v>23102</v>
      </c>
      <c r="E3626" s="189" t="s">
        <v>23103</v>
      </c>
      <c r="F3626" s="162" t="s">
        <v>23104</v>
      </c>
      <c r="G3626" s="162" t="s">
        <v>23105</v>
      </c>
      <c r="H3626" s="219"/>
      <c r="I3626" s="169">
        <v>110873</v>
      </c>
      <c r="J3626" s="304" t="str">
        <f>CONCATENATE([2]Cover!$D$6,"fdd/view?i=",I3626)</f>
        <v>https://www.dgiwg.org/FAD/fdd/view?i=110873</v>
      </c>
      <c r="K3626" s="304" t="s">
        <v>37675</v>
      </c>
      <c r="L3626" s="188">
        <v>10</v>
      </c>
      <c r="M3626" s="179" t="s">
        <v>151</v>
      </c>
    </row>
    <row r="3627" spans="1:13" ht="51">
      <c r="A3627" s="313" t="str">
        <f t="shared" si="56"/>
        <v>GeopoliticalEntityTypeCode_semiIndependPolitEntity</v>
      </c>
      <c r="B3627" s="330"/>
      <c r="C3627" s="334"/>
      <c r="D3627" s="188" t="s">
        <v>23106</v>
      </c>
      <c r="E3627" s="189" t="s">
        <v>23107</v>
      </c>
      <c r="F3627" s="162" t="s">
        <v>23108</v>
      </c>
      <c r="G3627" s="162" t="s">
        <v>23109</v>
      </c>
      <c r="H3627" s="219"/>
      <c r="I3627" s="169">
        <v>110877</v>
      </c>
      <c r="J3627" s="304" t="str">
        <f>CONCATENATE([2]Cover!$D$6,"fdd/view?i=",I3627)</f>
        <v>https://www.dgiwg.org/FAD/fdd/view?i=110877</v>
      </c>
      <c r="K3627" s="304" t="s">
        <v>37676</v>
      </c>
      <c r="L3627" s="188">
        <v>14</v>
      </c>
      <c r="M3627" s="179" t="s">
        <v>151</v>
      </c>
    </row>
    <row r="3628" spans="1:13" ht="76.5">
      <c r="A3628" s="313" t="str">
        <f t="shared" si="56"/>
        <v>GeopoliticalEntityTypeCode_territory</v>
      </c>
      <c r="B3628" s="330"/>
      <c r="C3628" s="334"/>
      <c r="D3628" s="188" t="s">
        <v>23110</v>
      </c>
      <c r="E3628" s="189" t="s">
        <v>23111</v>
      </c>
      <c r="F3628" s="162" t="s">
        <v>23112</v>
      </c>
      <c r="G3628" s="162" t="s">
        <v>23113</v>
      </c>
      <c r="H3628" s="219"/>
      <c r="I3628" s="169">
        <v>110879</v>
      </c>
      <c r="J3628" s="304" t="str">
        <f>CONCATENATE([2]Cover!$D$6,"fdd/view?i=",I3628)</f>
        <v>https://www.dgiwg.org/FAD/fdd/view?i=110879</v>
      </c>
      <c r="K3628" s="304" t="s">
        <v>37677</v>
      </c>
      <c r="L3628" s="188">
        <v>16</v>
      </c>
      <c r="M3628" s="179" t="s">
        <v>151</v>
      </c>
    </row>
    <row r="3629" spans="1:13" ht="25.5">
      <c r="A3629" s="313" t="str">
        <f t="shared" si="56"/>
        <v>GeopoliticalEntityTypeCode_zoneOfOccupation</v>
      </c>
      <c r="B3629" s="331"/>
      <c r="C3629" s="335"/>
      <c r="D3629" s="181" t="s">
        <v>23114</v>
      </c>
      <c r="E3629" s="192" t="s">
        <v>23115</v>
      </c>
      <c r="F3629" s="193" t="s">
        <v>23116</v>
      </c>
      <c r="G3629" s="194"/>
      <c r="H3629" s="220"/>
      <c r="I3629" s="169">
        <v>103836</v>
      </c>
      <c r="J3629" s="304" t="str">
        <f>CONCATENATE([2]Cover!$D$6,"fdd/view?i=",I3629)</f>
        <v>https://www.dgiwg.org/FAD/fdd/view?i=103836</v>
      </c>
      <c r="K3629" s="304" t="s">
        <v>37678</v>
      </c>
      <c r="L3629" s="181">
        <v>8</v>
      </c>
      <c r="M3629" s="179" t="s">
        <v>151</v>
      </c>
    </row>
    <row r="3630" spans="1:13" ht="25.5">
      <c r="A3630" s="313" t="str">
        <f t="shared" si="56"/>
        <v>GeopoliticalLineTypeCode_armisticeLine</v>
      </c>
      <c r="B3630" s="332" t="str">
        <f>HYPERLINK("[#]Datatypes!A622:L622","GeopoliticalLineTypeCode")</f>
        <v>GeopoliticalLineTypeCode</v>
      </c>
      <c r="C3630" s="333" t="s">
        <v>12175</v>
      </c>
      <c r="D3630" s="202" t="s">
        <v>23117</v>
      </c>
      <c r="E3630" s="203" t="s">
        <v>23118</v>
      </c>
      <c r="F3630" s="204" t="s">
        <v>23119</v>
      </c>
      <c r="G3630" s="204" t="s">
        <v>23120</v>
      </c>
      <c r="H3630" s="218"/>
      <c r="I3630" s="169">
        <v>105033</v>
      </c>
      <c r="J3630" s="304" t="str">
        <f>CONCATENATE([2]Cover!$D$6,"fdd/view?i=",I3630)</f>
        <v>https://www.dgiwg.org/FAD/fdd/view?i=105033</v>
      </c>
      <c r="K3630" s="304" t="s">
        <v>37679</v>
      </c>
      <c r="L3630" s="202">
        <v>3</v>
      </c>
      <c r="M3630" s="179" t="s">
        <v>151</v>
      </c>
    </row>
    <row r="3631" spans="1:13" ht="25.5">
      <c r="A3631" s="313" t="str">
        <f t="shared" si="56"/>
        <v>GeopoliticalLineTypeCode_ceaseFireLine</v>
      </c>
      <c r="B3631" s="330"/>
      <c r="C3631" s="334"/>
      <c r="D3631" s="188" t="s">
        <v>23121</v>
      </c>
      <c r="E3631" s="189" t="s">
        <v>23122</v>
      </c>
      <c r="F3631" s="162" t="s">
        <v>23123</v>
      </c>
      <c r="G3631" s="190"/>
      <c r="H3631" s="219"/>
      <c r="I3631" s="169">
        <v>105037</v>
      </c>
      <c r="J3631" s="304" t="str">
        <f>CONCATENATE([2]Cover!$D$6,"fdd/view?i=",I3631)</f>
        <v>https://www.dgiwg.org/FAD/fdd/view?i=105037</v>
      </c>
      <c r="K3631" s="304" t="s">
        <v>37680</v>
      </c>
      <c r="L3631" s="188">
        <v>7</v>
      </c>
      <c r="M3631" s="179" t="s">
        <v>151</v>
      </c>
    </row>
    <row r="3632" spans="1:13" ht="38.25">
      <c r="A3632" s="313" t="str">
        <f t="shared" si="56"/>
        <v>GeopoliticalLineTypeCode_claimLine</v>
      </c>
      <c r="B3632" s="330"/>
      <c r="C3632" s="334"/>
      <c r="D3632" s="188" t="s">
        <v>23124</v>
      </c>
      <c r="E3632" s="189" t="s">
        <v>23125</v>
      </c>
      <c r="F3632" s="162" t="s">
        <v>23126</v>
      </c>
      <c r="G3632" s="190"/>
      <c r="H3632" s="219"/>
      <c r="I3632" s="169">
        <v>105039</v>
      </c>
      <c r="J3632" s="304" t="str">
        <f>CONCATENATE([2]Cover!$D$6,"fdd/view?i=",I3632)</f>
        <v>https://www.dgiwg.org/FAD/fdd/view?i=105039</v>
      </c>
      <c r="K3632" s="304" t="s">
        <v>37681</v>
      </c>
      <c r="L3632" s="188">
        <v>9</v>
      </c>
      <c r="M3632" s="179" t="s">
        <v>151</v>
      </c>
    </row>
    <row r="3633" spans="1:13" ht="25.5">
      <c r="A3633" s="313" t="str">
        <f t="shared" si="56"/>
        <v>GeopoliticalLineTypeCode_conventionLine</v>
      </c>
      <c r="B3633" s="330"/>
      <c r="C3633" s="334"/>
      <c r="D3633" s="188" t="s">
        <v>23127</v>
      </c>
      <c r="E3633" s="189" t="s">
        <v>23128</v>
      </c>
      <c r="F3633" s="162" t="s">
        <v>23129</v>
      </c>
      <c r="G3633" s="190"/>
      <c r="H3633" s="219"/>
      <c r="I3633" s="169">
        <v>105038</v>
      </c>
      <c r="J3633" s="304" t="str">
        <f>CONCATENATE([2]Cover!$D$6,"fdd/view?i=",I3633)</f>
        <v>https://www.dgiwg.org/FAD/fdd/view?i=105038</v>
      </c>
      <c r="K3633" s="304" t="s">
        <v>37682</v>
      </c>
      <c r="L3633" s="188">
        <v>8</v>
      </c>
      <c r="M3633" s="179" t="s">
        <v>151</v>
      </c>
    </row>
    <row r="3634" spans="1:13" ht="38.25">
      <c r="A3634" s="313" t="str">
        <f t="shared" si="56"/>
        <v>GeopoliticalLineTypeCode_demarcationLine</v>
      </c>
      <c r="B3634" s="330"/>
      <c r="C3634" s="334"/>
      <c r="D3634" s="188" t="s">
        <v>23130</v>
      </c>
      <c r="E3634" s="189" t="s">
        <v>23131</v>
      </c>
      <c r="F3634" s="162" t="s">
        <v>23132</v>
      </c>
      <c r="G3634" s="162" t="s">
        <v>23133</v>
      </c>
      <c r="H3634" s="219"/>
      <c r="I3634" s="169">
        <v>105035</v>
      </c>
      <c r="J3634" s="304" t="str">
        <f>CONCATENATE([2]Cover!$D$6,"fdd/view?i=",I3634)</f>
        <v>https://www.dgiwg.org/FAD/fdd/view?i=105035</v>
      </c>
      <c r="K3634" s="304" t="s">
        <v>37683</v>
      </c>
      <c r="L3634" s="188">
        <v>5</v>
      </c>
      <c r="M3634" s="179" t="s">
        <v>151</v>
      </c>
    </row>
    <row r="3635" spans="1:13" ht="114.75">
      <c r="A3635" s="313" t="str">
        <f t="shared" si="56"/>
        <v>GeopoliticalLineTypeCode_genericAdminBoundary</v>
      </c>
      <c r="B3635" s="330"/>
      <c r="C3635" s="334"/>
      <c r="D3635" s="188" t="s">
        <v>23134</v>
      </c>
      <c r="E3635" s="189" t="s">
        <v>23135</v>
      </c>
      <c r="F3635" s="162" t="s">
        <v>23136</v>
      </c>
      <c r="G3635" s="162" t="s">
        <v>23137</v>
      </c>
      <c r="H3635" s="219"/>
      <c r="I3635" s="169">
        <v>105031</v>
      </c>
      <c r="J3635" s="304" t="str">
        <f>CONCATENATE([2]Cover!$D$6,"fdd/view?i=",I3635)</f>
        <v>https://www.dgiwg.org/FAD/fdd/view?i=105031</v>
      </c>
      <c r="K3635" s="304" t="s">
        <v>37684</v>
      </c>
      <c r="L3635" s="188">
        <v>1</v>
      </c>
      <c r="M3635" s="179" t="s">
        <v>151</v>
      </c>
    </row>
    <row r="3636" spans="1:13" ht="25.5">
      <c r="A3636" s="313" t="str">
        <f t="shared" si="56"/>
        <v>GeopoliticalLineTypeCode_genericIntBoundary</v>
      </c>
      <c r="B3636" s="330"/>
      <c r="C3636" s="334"/>
      <c r="D3636" s="188" t="s">
        <v>23138</v>
      </c>
      <c r="E3636" s="189" t="s">
        <v>23139</v>
      </c>
      <c r="F3636" s="162" t="s">
        <v>23140</v>
      </c>
      <c r="G3636" s="190"/>
      <c r="H3636" s="219"/>
      <c r="I3636" s="169">
        <v>110881</v>
      </c>
      <c r="J3636" s="304" t="str">
        <f>CONCATENATE([2]Cover!$D$6,"fdd/view?i=",I3636)</f>
        <v>https://www.dgiwg.org/FAD/fdd/view?i=110881</v>
      </c>
      <c r="K3636" s="304" t="s">
        <v>37685</v>
      </c>
      <c r="L3636" s="188">
        <v>17</v>
      </c>
      <c r="M3636" s="179" t="s">
        <v>151</v>
      </c>
    </row>
    <row r="3637" spans="1:13" ht="153">
      <c r="A3637" s="313" t="str">
        <f t="shared" si="56"/>
        <v>GeopoliticalLineTypeCode_intercolonialLine</v>
      </c>
      <c r="B3637" s="330"/>
      <c r="C3637" s="334"/>
      <c r="D3637" s="188" t="s">
        <v>23141</v>
      </c>
      <c r="E3637" s="189" t="s">
        <v>23142</v>
      </c>
      <c r="F3637" s="162" t="s">
        <v>23143</v>
      </c>
      <c r="G3637" s="162" t="s">
        <v>23144</v>
      </c>
      <c r="H3637" s="219"/>
      <c r="I3637" s="169">
        <v>105040</v>
      </c>
      <c r="J3637" s="304" t="str">
        <f>CONCATENATE([2]Cover!$D$6,"fdd/view?i=",I3637)</f>
        <v>https://www.dgiwg.org/FAD/fdd/view?i=105040</v>
      </c>
      <c r="K3637" s="304" t="s">
        <v>37686</v>
      </c>
      <c r="L3637" s="188">
        <v>10</v>
      </c>
      <c r="M3637" s="179" t="s">
        <v>151</v>
      </c>
    </row>
    <row r="3638" spans="1:13" ht="25.5">
      <c r="A3638" s="313" t="str">
        <f t="shared" si="56"/>
        <v>GeopoliticalLineTypeCode_interentityLine</v>
      </c>
      <c r="B3638" s="330"/>
      <c r="C3638" s="334"/>
      <c r="D3638" s="188" t="s">
        <v>23145</v>
      </c>
      <c r="E3638" s="189" t="s">
        <v>23146</v>
      </c>
      <c r="F3638" s="162" t="s">
        <v>23147</v>
      </c>
      <c r="G3638" s="162" t="s">
        <v>23148</v>
      </c>
      <c r="H3638" s="219"/>
      <c r="I3638" s="169">
        <v>105041</v>
      </c>
      <c r="J3638" s="304" t="str">
        <f>CONCATENATE([2]Cover!$D$6,"fdd/view?i=",I3638)</f>
        <v>https://www.dgiwg.org/FAD/fdd/view?i=105041</v>
      </c>
      <c r="K3638" s="304" t="s">
        <v>37687</v>
      </c>
      <c r="L3638" s="188">
        <v>11</v>
      </c>
      <c r="M3638" s="179" t="s">
        <v>151</v>
      </c>
    </row>
    <row r="3639" spans="1:13" ht="89.25">
      <c r="A3639" s="313" t="str">
        <f t="shared" si="56"/>
        <v>GeopoliticalLineTypeCode_lineOfAdjacency</v>
      </c>
      <c r="B3639" s="330"/>
      <c r="C3639" s="334"/>
      <c r="D3639" s="188" t="s">
        <v>23149</v>
      </c>
      <c r="E3639" s="189" t="s">
        <v>23150</v>
      </c>
      <c r="F3639" s="162" t="s">
        <v>23151</v>
      </c>
      <c r="G3639" s="162" t="s">
        <v>23152</v>
      </c>
      <c r="H3639" s="219"/>
      <c r="I3639" s="169">
        <v>105042</v>
      </c>
      <c r="J3639" s="304" t="str">
        <f>CONCATENATE([2]Cover!$D$6,"fdd/view?i=",I3639)</f>
        <v>https://www.dgiwg.org/FAD/fdd/view?i=105042</v>
      </c>
      <c r="K3639" s="304" t="s">
        <v>37688</v>
      </c>
      <c r="L3639" s="188">
        <v>12</v>
      </c>
      <c r="M3639" s="179" t="s">
        <v>151</v>
      </c>
    </row>
    <row r="3640" spans="1:13" ht="51">
      <c r="A3640" s="313" t="str">
        <f t="shared" si="56"/>
        <v>GeopoliticalLineTypeCode_lineOfControl</v>
      </c>
      <c r="B3640" s="330"/>
      <c r="C3640" s="334"/>
      <c r="D3640" s="188" t="s">
        <v>23153</v>
      </c>
      <c r="E3640" s="189" t="s">
        <v>23154</v>
      </c>
      <c r="F3640" s="162" t="s">
        <v>23155</v>
      </c>
      <c r="G3640" s="162" t="s">
        <v>23156</v>
      </c>
      <c r="H3640" s="219"/>
      <c r="I3640" s="169">
        <v>105034</v>
      </c>
      <c r="J3640" s="304" t="str">
        <f>CONCATENATE([2]Cover!$D$6,"fdd/view?i=",I3640)</f>
        <v>https://www.dgiwg.org/FAD/fdd/view?i=105034</v>
      </c>
      <c r="K3640" s="304" t="s">
        <v>37689</v>
      </c>
      <c r="L3640" s="188">
        <v>4</v>
      </c>
      <c r="M3640" s="179" t="s">
        <v>151</v>
      </c>
    </row>
    <row r="3641" spans="1:13" ht="51">
      <c r="A3641" s="313" t="str">
        <f t="shared" si="56"/>
        <v>GeopoliticalLineTypeCode_lineOfConvenience</v>
      </c>
      <c r="B3641" s="330"/>
      <c r="C3641" s="334"/>
      <c r="D3641" s="188" t="s">
        <v>23157</v>
      </c>
      <c r="E3641" s="189" t="s">
        <v>23158</v>
      </c>
      <c r="F3641" s="162" t="s">
        <v>23159</v>
      </c>
      <c r="G3641" s="162" t="s">
        <v>23160</v>
      </c>
      <c r="H3641" s="219"/>
      <c r="I3641" s="169">
        <v>105036</v>
      </c>
      <c r="J3641" s="304" t="str">
        <f>CONCATENATE([2]Cover!$D$6,"fdd/view?i=",I3641)</f>
        <v>https://www.dgiwg.org/FAD/fdd/view?i=105036</v>
      </c>
      <c r="K3641" s="304" t="s">
        <v>37690</v>
      </c>
      <c r="L3641" s="188">
        <v>6</v>
      </c>
      <c r="M3641" s="179" t="s">
        <v>151</v>
      </c>
    </row>
    <row r="3642" spans="1:13" ht="25.5">
      <c r="A3642" s="313" t="str">
        <f t="shared" si="56"/>
        <v>GeopoliticalLineTypeCode_lineOfWithdrawal</v>
      </c>
      <c r="B3642" s="330"/>
      <c r="C3642" s="334"/>
      <c r="D3642" s="188" t="s">
        <v>23161</v>
      </c>
      <c r="E3642" s="189" t="s">
        <v>23162</v>
      </c>
      <c r="F3642" s="162" t="s">
        <v>23163</v>
      </c>
      <c r="G3642" s="190"/>
      <c r="H3642" s="221" t="s">
        <v>23164</v>
      </c>
      <c r="I3642" s="169">
        <v>105043</v>
      </c>
      <c r="J3642" s="304" t="str">
        <f>CONCATENATE([2]Cover!$D$6,"fdd/view?i=",I3642)</f>
        <v>https://www.dgiwg.org/FAD/fdd/view?i=105043</v>
      </c>
      <c r="K3642" s="304" t="s">
        <v>37691</v>
      </c>
      <c r="L3642" s="188">
        <v>13</v>
      </c>
      <c r="M3642" s="179" t="s">
        <v>151</v>
      </c>
    </row>
    <row r="3643" spans="1:13" ht="25.5">
      <c r="A3643" s="313" t="str">
        <f t="shared" si="56"/>
        <v>GeopoliticalLineTypeCode_militaryDisengagementLine</v>
      </c>
      <c r="B3643" s="330"/>
      <c r="C3643" s="334"/>
      <c r="D3643" s="188" t="s">
        <v>23165</v>
      </c>
      <c r="E3643" s="189" t="s">
        <v>23166</v>
      </c>
      <c r="F3643" s="162" t="s">
        <v>23167</v>
      </c>
      <c r="G3643" s="162" t="s">
        <v>23168</v>
      </c>
      <c r="H3643" s="219"/>
      <c r="I3643" s="169">
        <v>105044</v>
      </c>
      <c r="J3643" s="304" t="str">
        <f>CONCATENATE([2]Cover!$D$6,"fdd/view?i=",I3643)</f>
        <v>https://www.dgiwg.org/FAD/fdd/view?i=105044</v>
      </c>
      <c r="K3643" s="304" t="s">
        <v>37692</v>
      </c>
      <c r="L3643" s="188">
        <v>14</v>
      </c>
      <c r="M3643" s="179" t="s">
        <v>151</v>
      </c>
    </row>
    <row r="3644" spans="1:13" ht="38.25">
      <c r="A3644" s="313" t="str">
        <f t="shared" si="56"/>
        <v>GeopoliticalLineTypeCode_provisionalAdminLine</v>
      </c>
      <c r="B3644" s="330"/>
      <c r="C3644" s="334"/>
      <c r="D3644" s="188" t="s">
        <v>23169</v>
      </c>
      <c r="E3644" s="189" t="s">
        <v>23170</v>
      </c>
      <c r="F3644" s="162" t="s">
        <v>23171</v>
      </c>
      <c r="G3644" s="162" t="s">
        <v>23172</v>
      </c>
      <c r="H3644" s="219"/>
      <c r="I3644" s="169">
        <v>105032</v>
      </c>
      <c r="J3644" s="304" t="str">
        <f>CONCATENATE([2]Cover!$D$6,"fdd/view?i=",I3644)</f>
        <v>https://www.dgiwg.org/FAD/fdd/view?i=105032</v>
      </c>
      <c r="K3644" s="304" t="s">
        <v>37693</v>
      </c>
      <c r="L3644" s="188">
        <v>2</v>
      </c>
      <c r="M3644" s="179" t="s">
        <v>151</v>
      </c>
    </row>
    <row r="3645" spans="1:13" ht="25.5">
      <c r="A3645" s="313" t="str">
        <f t="shared" si="56"/>
        <v>GeopoliticalLineTypeCode_treatyLine</v>
      </c>
      <c r="B3645" s="330"/>
      <c r="C3645" s="334"/>
      <c r="D3645" s="188" t="s">
        <v>23173</v>
      </c>
      <c r="E3645" s="189" t="s">
        <v>23174</v>
      </c>
      <c r="F3645" s="162" t="s">
        <v>23175</v>
      </c>
      <c r="G3645" s="162" t="s">
        <v>23176</v>
      </c>
      <c r="H3645" s="219"/>
      <c r="I3645" s="169">
        <v>105045</v>
      </c>
      <c r="J3645" s="304" t="str">
        <f>CONCATENATE([2]Cover!$D$6,"fdd/view?i=",I3645)</f>
        <v>https://www.dgiwg.org/FAD/fdd/view?i=105045</v>
      </c>
      <c r="K3645" s="304" t="s">
        <v>37694</v>
      </c>
      <c r="L3645" s="188">
        <v>15</v>
      </c>
      <c r="M3645" s="179" t="s">
        <v>151</v>
      </c>
    </row>
    <row r="3646" spans="1:13" ht="63.75">
      <c r="A3646" s="313" t="str">
        <f t="shared" si="56"/>
        <v>GeopoliticalLineTypeCode_unclosClaimBoundary</v>
      </c>
      <c r="B3646" s="331"/>
      <c r="C3646" s="335"/>
      <c r="D3646" s="181" t="s">
        <v>23177</v>
      </c>
      <c r="E3646" s="192" t="s">
        <v>23178</v>
      </c>
      <c r="F3646" s="193" t="s">
        <v>23179</v>
      </c>
      <c r="G3646" s="193" t="s">
        <v>23180</v>
      </c>
      <c r="H3646" s="220"/>
      <c r="I3646" s="169">
        <v>103422</v>
      </c>
      <c r="J3646" s="304" t="str">
        <f>CONCATENATE([2]Cover!$D$6,"fdd/view?i=",I3646)</f>
        <v>https://www.dgiwg.org/FAD/fdd/view?i=103422</v>
      </c>
      <c r="K3646" s="304" t="s">
        <v>37695</v>
      </c>
      <c r="L3646" s="181">
        <v>16</v>
      </c>
      <c r="M3646" s="179" t="s">
        <v>151</v>
      </c>
    </row>
    <row r="3647" spans="1:13" ht="38.25">
      <c r="A3647" s="313" t="str">
        <f t="shared" si="56"/>
        <v>GeothermalOutletTypeCode_fissure</v>
      </c>
      <c r="B3647" s="332" t="str">
        <f>HYPERLINK("[#]Datatypes!A626:L626","GeothermalOutletTypeCode")</f>
        <v>GeothermalOutletTypeCode</v>
      </c>
      <c r="C3647" s="333" t="s">
        <v>12180</v>
      </c>
      <c r="D3647" s="202" t="s">
        <v>23181</v>
      </c>
      <c r="E3647" s="203" t="s">
        <v>23182</v>
      </c>
      <c r="F3647" s="204" t="s">
        <v>23183</v>
      </c>
      <c r="G3647" s="204" t="s">
        <v>23184</v>
      </c>
      <c r="H3647" s="218"/>
      <c r="I3647" s="169">
        <v>110199</v>
      </c>
      <c r="J3647" s="304" t="str">
        <f>CONCATENATE([2]Cover!$D$6,"fdd/view?i=",I3647)</f>
        <v>https://www.dgiwg.org/FAD/fdd/view?i=110199</v>
      </c>
      <c r="K3647" s="304" t="s">
        <v>37696</v>
      </c>
      <c r="L3647" s="202">
        <v>1</v>
      </c>
      <c r="M3647" s="179" t="s">
        <v>151</v>
      </c>
    </row>
    <row r="3648" spans="1:13" ht="25.5">
      <c r="A3648" s="313" t="str">
        <f t="shared" si="56"/>
        <v>GeothermalOutletTypeCode_fumarole</v>
      </c>
      <c r="B3648" s="330"/>
      <c r="C3648" s="334"/>
      <c r="D3648" s="188" t="s">
        <v>23185</v>
      </c>
      <c r="E3648" s="189" t="s">
        <v>23186</v>
      </c>
      <c r="F3648" s="162" t="s">
        <v>23187</v>
      </c>
      <c r="G3648" s="162" t="s">
        <v>23188</v>
      </c>
      <c r="H3648" s="221" t="s">
        <v>23189</v>
      </c>
      <c r="I3648" s="169">
        <v>110200</v>
      </c>
      <c r="J3648" s="304" t="str">
        <f>CONCATENATE([2]Cover!$D$6,"fdd/view?i=",I3648)</f>
        <v>https://www.dgiwg.org/FAD/fdd/view?i=110200</v>
      </c>
      <c r="K3648" s="304" t="s">
        <v>37697</v>
      </c>
      <c r="L3648" s="188">
        <v>2</v>
      </c>
      <c r="M3648" s="179" t="s">
        <v>151</v>
      </c>
    </row>
    <row r="3649" spans="1:13" ht="25.5">
      <c r="A3649" s="313" t="str">
        <f t="shared" si="56"/>
        <v>GeothermalOutletTypeCode_geyser</v>
      </c>
      <c r="B3649" s="330"/>
      <c r="C3649" s="334"/>
      <c r="D3649" s="188" t="s">
        <v>23190</v>
      </c>
      <c r="E3649" s="189" t="s">
        <v>23191</v>
      </c>
      <c r="F3649" s="162" t="s">
        <v>23192</v>
      </c>
      <c r="G3649" s="162" t="s">
        <v>23193</v>
      </c>
      <c r="H3649" s="219"/>
      <c r="I3649" s="169">
        <v>103062</v>
      </c>
      <c r="J3649" s="304" t="str">
        <f>CONCATENATE([2]Cover!$D$6,"fdd/view?i=",I3649)</f>
        <v>https://www.dgiwg.org/FAD/fdd/view?i=103062</v>
      </c>
      <c r="K3649" s="304" t="s">
        <v>37698</v>
      </c>
      <c r="L3649" s="188">
        <v>5</v>
      </c>
      <c r="M3649" s="179" t="s">
        <v>151</v>
      </c>
    </row>
    <row r="3650" spans="1:13" ht="25.5">
      <c r="A3650" s="313" t="str">
        <f t="shared" si="56"/>
        <v>GeothermalOutletTypeCode_hotSpring</v>
      </c>
      <c r="B3650" s="330"/>
      <c r="C3650" s="334"/>
      <c r="D3650" s="188" t="s">
        <v>23194</v>
      </c>
      <c r="E3650" s="189" t="s">
        <v>23195</v>
      </c>
      <c r="F3650" s="162" t="s">
        <v>23196</v>
      </c>
      <c r="G3650" s="190"/>
      <c r="H3650" s="219"/>
      <c r="I3650" s="169">
        <v>110201</v>
      </c>
      <c r="J3650" s="304" t="str">
        <f>CONCATENATE([2]Cover!$D$6,"fdd/view?i=",I3650)</f>
        <v>https://www.dgiwg.org/FAD/fdd/view?i=110201</v>
      </c>
      <c r="K3650" s="304" t="s">
        <v>37699</v>
      </c>
      <c r="L3650" s="188">
        <v>3</v>
      </c>
      <c r="M3650" s="179" t="s">
        <v>151</v>
      </c>
    </row>
    <row r="3651" spans="1:13" ht="25.5">
      <c r="A3651" s="313" t="str">
        <f t="shared" ref="A3651:A3714" si="57">HYPERLINK(J3651,K3651)</f>
        <v>GeothermalOutletTypeCode_sulphurSpring</v>
      </c>
      <c r="B3651" s="331"/>
      <c r="C3651" s="335"/>
      <c r="D3651" s="181" t="s">
        <v>23197</v>
      </c>
      <c r="E3651" s="192" t="s">
        <v>23198</v>
      </c>
      <c r="F3651" s="193" t="s">
        <v>23199</v>
      </c>
      <c r="G3651" s="194"/>
      <c r="H3651" s="220"/>
      <c r="I3651" s="169">
        <v>110202</v>
      </c>
      <c r="J3651" s="304" t="str">
        <f>CONCATENATE([2]Cover!$D$6,"fdd/view?i=",I3651)</f>
        <v>https://www.dgiwg.org/FAD/fdd/view?i=110202</v>
      </c>
      <c r="K3651" s="304" t="s">
        <v>37700</v>
      </c>
      <c r="L3651" s="181">
        <v>4</v>
      </c>
      <c r="M3651" s="179" t="s">
        <v>151</v>
      </c>
    </row>
    <row r="3652" spans="1:13" ht="38.25">
      <c r="A3652" s="313" t="str">
        <f t="shared" si="57"/>
        <v>GnssConstellationCode_globalOrbitNavSatelliteSys</v>
      </c>
      <c r="B3652" s="332" t="str">
        <f>HYPERLINK("[#]Datatypes!A630:L630","GnssConstellationCode")</f>
        <v>GnssConstellationCode</v>
      </c>
      <c r="C3652" s="333" t="s">
        <v>12185</v>
      </c>
      <c r="D3652" s="202" t="s">
        <v>23200</v>
      </c>
      <c r="E3652" s="203" t="s">
        <v>23201</v>
      </c>
      <c r="F3652" s="204" t="s">
        <v>23202</v>
      </c>
      <c r="G3652" s="205"/>
      <c r="H3652" s="218"/>
      <c r="I3652" s="169">
        <v>115376</v>
      </c>
      <c r="J3652" s="304" t="str">
        <f>CONCATENATE([2]Cover!$D$6,"fdd/view?i=",I3652)</f>
        <v>https://www.dgiwg.org/FAD/fdd/view?i=115376</v>
      </c>
      <c r="K3652" s="304" t="s">
        <v>37701</v>
      </c>
      <c r="L3652" s="202">
        <v>1</v>
      </c>
      <c r="M3652" s="179" t="s">
        <v>151</v>
      </c>
    </row>
    <row r="3653" spans="1:13" ht="25.5">
      <c r="A3653" s="313" t="str">
        <f t="shared" si="57"/>
        <v>GnssConstellationCode_globalPositioningSystem</v>
      </c>
      <c r="B3653" s="331"/>
      <c r="C3653" s="335"/>
      <c r="D3653" s="181" t="s">
        <v>16587</v>
      </c>
      <c r="E3653" s="192" t="s">
        <v>16588</v>
      </c>
      <c r="F3653" s="193" t="s">
        <v>23203</v>
      </c>
      <c r="G3653" s="194"/>
      <c r="H3653" s="220"/>
      <c r="I3653" s="169">
        <v>115377</v>
      </c>
      <c r="J3653" s="304" t="str">
        <f>CONCATENATE([2]Cover!$D$6,"fdd/view?i=",I3653)</f>
        <v>https://www.dgiwg.org/FAD/fdd/view?i=115377</v>
      </c>
      <c r="K3653" s="304" t="s">
        <v>37702</v>
      </c>
      <c r="L3653" s="181">
        <v>2</v>
      </c>
      <c r="M3653" s="179" t="s">
        <v>151</v>
      </c>
    </row>
    <row r="3654" spans="1:13">
      <c r="A3654" s="313" t="str">
        <f t="shared" si="57"/>
        <v>GradingTypeCode_manySides</v>
      </c>
      <c r="B3654" s="332" t="str">
        <f>HYPERLINK("[#]Datatypes!A632:L632","GradingTypeCode")</f>
        <v>GradingTypeCode</v>
      </c>
      <c r="C3654" s="333" t="s">
        <v>12187</v>
      </c>
      <c r="D3654" s="202" t="s">
        <v>23204</v>
      </c>
      <c r="E3654" s="203" t="s">
        <v>23205</v>
      </c>
      <c r="F3654" s="204" t="s">
        <v>23206</v>
      </c>
      <c r="G3654" s="205"/>
      <c r="H3654" s="218"/>
      <c r="I3654" s="169">
        <v>106762</v>
      </c>
      <c r="J3654" s="304" t="str">
        <f>CONCATENATE([2]Cover!$D$6,"fdd/view?i=",I3654)</f>
        <v>https://www.dgiwg.org/FAD/fdd/view?i=106762</v>
      </c>
      <c r="K3654" s="304" t="s">
        <v>37703</v>
      </c>
      <c r="L3654" s="202">
        <v>3</v>
      </c>
      <c r="M3654" s="179" t="s">
        <v>151</v>
      </c>
    </row>
    <row r="3655" spans="1:13">
      <c r="A3655" s="313" t="str">
        <f t="shared" si="57"/>
        <v>GradingTypeCode_noSides</v>
      </c>
      <c r="B3655" s="330"/>
      <c r="C3655" s="334"/>
      <c r="D3655" s="188" t="s">
        <v>23207</v>
      </c>
      <c r="E3655" s="189" t="s">
        <v>23208</v>
      </c>
      <c r="F3655" s="162" t="s">
        <v>23209</v>
      </c>
      <c r="G3655" s="190"/>
      <c r="H3655" s="219"/>
      <c r="I3655" s="169">
        <v>106768</v>
      </c>
      <c r="J3655" s="304" t="str">
        <f>CONCATENATE([2]Cover!$D$6,"fdd/view?i=",I3655)</f>
        <v>https://www.dgiwg.org/FAD/fdd/view?i=106768</v>
      </c>
      <c r="K3655" s="304" t="s">
        <v>37704</v>
      </c>
      <c r="L3655" s="188">
        <v>4</v>
      </c>
      <c r="M3655" s="179" t="s">
        <v>151</v>
      </c>
    </row>
    <row r="3656" spans="1:13">
      <c r="A3656" s="313" t="str">
        <f t="shared" si="57"/>
        <v>GradingTypeCode_oneSide</v>
      </c>
      <c r="B3656" s="330"/>
      <c r="C3656" s="334"/>
      <c r="D3656" s="188" t="s">
        <v>23210</v>
      </c>
      <c r="E3656" s="189" t="s">
        <v>23211</v>
      </c>
      <c r="F3656" s="162" t="s">
        <v>23212</v>
      </c>
      <c r="G3656" s="190"/>
      <c r="H3656" s="219"/>
      <c r="I3656" s="169">
        <v>102977</v>
      </c>
      <c r="J3656" s="304" t="str">
        <f>CONCATENATE([2]Cover!$D$6,"fdd/view?i=",I3656)</f>
        <v>https://www.dgiwg.org/FAD/fdd/view?i=102977</v>
      </c>
      <c r="K3656" s="304" t="s">
        <v>37705</v>
      </c>
      <c r="L3656" s="188">
        <v>1</v>
      </c>
      <c r="M3656" s="179" t="s">
        <v>151</v>
      </c>
    </row>
    <row r="3657" spans="1:13">
      <c r="A3657" s="313" t="str">
        <f t="shared" si="57"/>
        <v>GradingTypeCode_twoSides</v>
      </c>
      <c r="B3657" s="331"/>
      <c r="C3657" s="335"/>
      <c r="D3657" s="181" t="s">
        <v>23213</v>
      </c>
      <c r="E3657" s="192" t="s">
        <v>23214</v>
      </c>
      <c r="F3657" s="193" t="s">
        <v>23215</v>
      </c>
      <c r="G3657" s="194"/>
      <c r="H3657" s="220"/>
      <c r="I3657" s="169">
        <v>102978</v>
      </c>
      <c r="J3657" s="304" t="str">
        <f>CONCATENATE([2]Cover!$D$6,"fdd/view?i=",I3657)</f>
        <v>https://www.dgiwg.org/FAD/fdd/view?i=102978</v>
      </c>
      <c r="K3657" s="304" t="s">
        <v>37706</v>
      </c>
      <c r="L3657" s="181">
        <v>2</v>
      </c>
      <c r="M3657" s="179" t="s">
        <v>151</v>
      </c>
    </row>
    <row r="3658" spans="1:13" ht="25.5">
      <c r="A3658" s="313" t="str">
        <f t="shared" si="57"/>
        <v>HangarTypeCategoryCode_doubleBay</v>
      </c>
      <c r="B3658" s="332" t="str">
        <f>HYPERLINK("[#]Datatypes!A636:L636","HangarTypeCategoryCode")</f>
        <v>HangarTypeCategoryCode</v>
      </c>
      <c r="C3658" s="333" t="s">
        <v>12191</v>
      </c>
      <c r="D3658" s="202" t="s">
        <v>23216</v>
      </c>
      <c r="E3658" s="203" t="s">
        <v>23217</v>
      </c>
      <c r="F3658" s="204" t="s">
        <v>23218</v>
      </c>
      <c r="G3658" s="205"/>
      <c r="H3658" s="218"/>
      <c r="I3658" s="169">
        <v>104297</v>
      </c>
      <c r="J3658" s="304" t="str">
        <f>CONCATENATE([2]Cover!$D$6,"fdd/view?i=",I3658)</f>
        <v>https://www.dgiwg.org/FAD/fdd/view?i=104297</v>
      </c>
      <c r="K3658" s="304" t="s">
        <v>37707</v>
      </c>
      <c r="L3658" s="202">
        <v>6</v>
      </c>
      <c r="M3658" s="179" t="s">
        <v>151</v>
      </c>
    </row>
    <row r="3659" spans="1:13" ht="25.5">
      <c r="A3659" s="313" t="str">
        <f t="shared" si="57"/>
        <v>HangarTypeCategoryCode_multiBay</v>
      </c>
      <c r="B3659" s="330"/>
      <c r="C3659" s="334"/>
      <c r="D3659" s="188" t="s">
        <v>23220</v>
      </c>
      <c r="E3659" s="189" t="s">
        <v>23221</v>
      </c>
      <c r="F3659" s="162" t="s">
        <v>23222</v>
      </c>
      <c r="G3659" s="190"/>
      <c r="H3659" s="219"/>
      <c r="I3659" s="169">
        <v>104292</v>
      </c>
      <c r="J3659" s="304" t="str">
        <f>CONCATENATE([2]Cover!$D$6,"fdd/view?i=",I3659)</f>
        <v>https://www.dgiwg.org/FAD/fdd/view?i=104292</v>
      </c>
      <c r="K3659" s="304" t="s">
        <v>37708</v>
      </c>
      <c r="L3659" s="188">
        <v>1</v>
      </c>
      <c r="M3659" s="179" t="s">
        <v>151</v>
      </c>
    </row>
    <row r="3660" spans="1:13">
      <c r="A3660" s="313" t="str">
        <f t="shared" si="57"/>
        <v>HangarTypeCategoryCode_noseIn</v>
      </c>
      <c r="B3660" s="330"/>
      <c r="C3660" s="334"/>
      <c r="D3660" s="188" t="s">
        <v>15964</v>
      </c>
      <c r="E3660" s="189" t="s">
        <v>23223</v>
      </c>
      <c r="F3660" s="162" t="s">
        <v>23224</v>
      </c>
      <c r="G3660" s="190"/>
      <c r="H3660" s="219"/>
      <c r="I3660" s="169">
        <v>104294</v>
      </c>
      <c r="J3660" s="304" t="str">
        <f>CONCATENATE([2]Cover!$D$6,"fdd/view?i=",I3660)</f>
        <v>https://www.dgiwg.org/FAD/fdd/view?i=104294</v>
      </c>
      <c r="K3660" s="304" t="s">
        <v>37709</v>
      </c>
      <c r="L3660" s="188">
        <v>3</v>
      </c>
      <c r="M3660" s="179" t="s">
        <v>151</v>
      </c>
    </row>
    <row r="3661" spans="1:13" ht="25.5">
      <c r="A3661" s="313" t="str">
        <f t="shared" si="57"/>
        <v>HangarTypeCategoryCode_openEnd</v>
      </c>
      <c r="B3661" s="330"/>
      <c r="C3661" s="334"/>
      <c r="D3661" s="188" t="s">
        <v>23225</v>
      </c>
      <c r="E3661" s="189" t="s">
        <v>23226</v>
      </c>
      <c r="F3661" s="162" t="s">
        <v>23227</v>
      </c>
      <c r="G3661" s="190"/>
      <c r="H3661" s="219"/>
      <c r="I3661" s="169">
        <v>104293</v>
      </c>
      <c r="J3661" s="304" t="str">
        <f>CONCATENATE([2]Cover!$D$6,"fdd/view?i=",I3661)</f>
        <v>https://www.dgiwg.org/FAD/fdd/view?i=104293</v>
      </c>
      <c r="K3661" s="304" t="s">
        <v>37710</v>
      </c>
      <c r="L3661" s="188">
        <v>2</v>
      </c>
      <c r="M3661" s="179" t="s">
        <v>151</v>
      </c>
    </row>
    <row r="3662" spans="1:13" ht="25.5">
      <c r="A3662" s="313" t="str">
        <f t="shared" si="57"/>
        <v>HangarTypeCategoryCode_shapedLikeT</v>
      </c>
      <c r="B3662" s="330"/>
      <c r="C3662" s="334"/>
      <c r="D3662" s="188" t="s">
        <v>23231</v>
      </c>
      <c r="E3662" s="189" t="s">
        <v>23232</v>
      </c>
      <c r="F3662" s="162" t="s">
        <v>23233</v>
      </c>
      <c r="G3662" s="190"/>
      <c r="H3662" s="219"/>
      <c r="I3662" s="169">
        <v>104298</v>
      </c>
      <c r="J3662" s="304" t="str">
        <f>CONCATENATE([2]Cover!$D$6,"fdd/view?i=",I3662)</f>
        <v>https://www.dgiwg.org/FAD/fdd/view?i=104298</v>
      </c>
      <c r="K3662" s="304" t="s">
        <v>37711</v>
      </c>
      <c r="L3662" s="188">
        <v>7</v>
      </c>
      <c r="M3662" s="179" t="s">
        <v>151</v>
      </c>
    </row>
    <row r="3663" spans="1:13" ht="25.5">
      <c r="A3663" s="313" t="str">
        <f t="shared" si="57"/>
        <v>HangarTypeCategoryCode_singleBay</v>
      </c>
      <c r="B3663" s="330"/>
      <c r="C3663" s="334"/>
      <c r="D3663" s="188" t="s">
        <v>23228</v>
      </c>
      <c r="E3663" s="189" t="s">
        <v>23229</v>
      </c>
      <c r="F3663" s="162" t="s">
        <v>23230</v>
      </c>
      <c r="G3663" s="190"/>
      <c r="H3663" s="219"/>
      <c r="I3663" s="169">
        <v>104296</v>
      </c>
      <c r="J3663" s="304" t="str">
        <f>CONCATENATE([2]Cover!$D$6,"fdd/view?i=",I3663)</f>
        <v>https://www.dgiwg.org/FAD/fdd/view?i=104296</v>
      </c>
      <c r="K3663" s="304" t="s">
        <v>37712</v>
      </c>
      <c r="L3663" s="188">
        <v>5</v>
      </c>
      <c r="M3663" s="179" t="s">
        <v>151</v>
      </c>
    </row>
    <row r="3664" spans="1:13" ht="25.5">
      <c r="A3664" s="313" t="str">
        <f t="shared" si="57"/>
        <v>HangarTypeCategoryCode_underground</v>
      </c>
      <c r="B3664" s="331"/>
      <c r="C3664" s="335"/>
      <c r="D3664" s="181" t="s">
        <v>16766</v>
      </c>
      <c r="E3664" s="192" t="s">
        <v>23219</v>
      </c>
      <c r="F3664" s="193" t="s">
        <v>16767</v>
      </c>
      <c r="G3664" s="194"/>
      <c r="H3664" s="220"/>
      <c r="I3664" s="169">
        <v>104295</v>
      </c>
      <c r="J3664" s="304" t="str">
        <f>CONCATENATE([2]Cover!$D$6,"fdd/view?i=",I3664)</f>
        <v>https://www.dgiwg.org/FAD/fdd/view?i=104295</v>
      </c>
      <c r="K3664" s="304" t="s">
        <v>37713</v>
      </c>
      <c r="L3664" s="181">
        <v>4</v>
      </c>
      <c r="M3664" s="179" t="s">
        <v>151</v>
      </c>
    </row>
    <row r="3665" spans="1:13" ht="25.5">
      <c r="A3665" s="313" t="str">
        <f t="shared" si="57"/>
        <v>HarbourFacilityFunctionCode_bulkTerminal</v>
      </c>
      <c r="B3665" s="332" t="str">
        <f>HYPERLINK("[#]Datatypes!A638:L638","HarbourFacilityFunctionCode")</f>
        <v>HarbourFacilityFunctionCode</v>
      </c>
      <c r="C3665" s="333" t="s">
        <v>12193</v>
      </c>
      <c r="D3665" s="202" t="s">
        <v>23234</v>
      </c>
      <c r="E3665" s="203" t="s">
        <v>23235</v>
      </c>
      <c r="F3665" s="204" t="s">
        <v>23236</v>
      </c>
      <c r="G3665" s="205"/>
      <c r="H3665" s="218"/>
      <c r="I3665" s="169">
        <v>103685</v>
      </c>
      <c r="J3665" s="304" t="str">
        <f>CONCATENATE([2]Cover!$D$6,"fdd/view?i=",I3665)</f>
        <v>https://www.dgiwg.org/FAD/fdd/view?i=103685</v>
      </c>
      <c r="K3665" s="304" t="s">
        <v>37714</v>
      </c>
      <c r="L3665" s="202">
        <v>11</v>
      </c>
      <c r="M3665" s="179" t="s">
        <v>151</v>
      </c>
    </row>
    <row r="3666" spans="1:13" ht="25.5">
      <c r="A3666" s="313" t="str">
        <f t="shared" si="57"/>
        <v>HarbourFacilityFunctionCode_containerTerminal</v>
      </c>
      <c r="B3666" s="330"/>
      <c r="C3666" s="334"/>
      <c r="D3666" s="188" t="s">
        <v>23237</v>
      </c>
      <c r="E3666" s="189" t="s">
        <v>23238</v>
      </c>
      <c r="F3666" s="162" t="s">
        <v>23239</v>
      </c>
      <c r="G3666" s="190"/>
      <c r="H3666" s="219"/>
      <c r="I3666" s="169">
        <v>103684</v>
      </c>
      <c r="J3666" s="304" t="str">
        <f>CONCATENATE([2]Cover!$D$6,"fdd/view?i=",I3666)</f>
        <v>https://www.dgiwg.org/FAD/fdd/view?i=103684</v>
      </c>
      <c r="K3666" s="304" t="s">
        <v>37715</v>
      </c>
      <c r="L3666" s="188">
        <v>10</v>
      </c>
      <c r="M3666" s="179" t="s">
        <v>151</v>
      </c>
    </row>
    <row r="3667" spans="1:13" ht="25.5">
      <c r="A3667" s="313" t="str">
        <f t="shared" si="57"/>
        <v>HarbourFacilityFunctionCode_ferryTerminal</v>
      </c>
      <c r="B3667" s="330"/>
      <c r="C3667" s="334"/>
      <c r="D3667" s="188" t="s">
        <v>23240</v>
      </c>
      <c r="E3667" s="189" t="s">
        <v>23241</v>
      </c>
      <c r="F3667" s="162" t="s">
        <v>23242</v>
      </c>
      <c r="G3667" s="190"/>
      <c r="H3667" s="219"/>
      <c r="I3667" s="169">
        <v>103677</v>
      </c>
      <c r="J3667" s="304" t="str">
        <f>CONCATENATE([2]Cover!$D$6,"fdd/view?i=",I3667)</f>
        <v>https://www.dgiwg.org/FAD/fdd/view?i=103677</v>
      </c>
      <c r="K3667" s="304" t="s">
        <v>37716</v>
      </c>
      <c r="L3667" s="188">
        <v>3</v>
      </c>
      <c r="M3667" s="179" t="s">
        <v>151</v>
      </c>
    </row>
    <row r="3668" spans="1:13" ht="25.5">
      <c r="A3668" s="313" t="str">
        <f t="shared" si="57"/>
        <v>HarbourFacilityFunctionCode_fishingHarbour</v>
      </c>
      <c r="B3668" s="330"/>
      <c r="C3668" s="334"/>
      <c r="D3668" s="188" t="s">
        <v>23243</v>
      </c>
      <c r="E3668" s="189" t="s">
        <v>23244</v>
      </c>
      <c r="F3668" s="162" t="s">
        <v>23245</v>
      </c>
      <c r="G3668" s="190"/>
      <c r="H3668" s="219"/>
      <c r="I3668" s="169">
        <v>103678</v>
      </c>
      <c r="J3668" s="304" t="str">
        <f>CONCATENATE([2]Cover!$D$6,"fdd/view?i=",I3668)</f>
        <v>https://www.dgiwg.org/FAD/fdd/view?i=103678</v>
      </c>
      <c r="K3668" s="304" t="s">
        <v>37717</v>
      </c>
      <c r="L3668" s="188">
        <v>4</v>
      </c>
      <c r="M3668" s="179" t="s">
        <v>151</v>
      </c>
    </row>
    <row r="3669" spans="1:13" ht="25.5">
      <c r="A3669" s="313" t="str">
        <f t="shared" si="57"/>
        <v>HarbourFacilityFunctionCode_marina</v>
      </c>
      <c r="B3669" s="330"/>
      <c r="C3669" s="334"/>
      <c r="D3669" s="188" t="s">
        <v>23246</v>
      </c>
      <c r="E3669" s="189" t="s">
        <v>16529</v>
      </c>
      <c r="F3669" s="162" t="s">
        <v>23247</v>
      </c>
      <c r="G3669" s="190"/>
      <c r="H3669" s="219"/>
      <c r="I3669" s="169">
        <v>103679</v>
      </c>
      <c r="J3669" s="304" t="str">
        <f>CONCATENATE([2]Cover!$D$6,"fdd/view?i=",I3669)</f>
        <v>https://www.dgiwg.org/FAD/fdd/view?i=103679</v>
      </c>
      <c r="K3669" s="304" t="s">
        <v>37718</v>
      </c>
      <c r="L3669" s="188">
        <v>5</v>
      </c>
      <c r="M3669" s="179" t="s">
        <v>151</v>
      </c>
    </row>
    <row r="3670" spans="1:13" ht="25.5">
      <c r="A3670" s="313" t="str">
        <f t="shared" si="57"/>
        <v>HarbourFacilityFunctionCode_navalBase</v>
      </c>
      <c r="B3670" s="330"/>
      <c r="C3670" s="334"/>
      <c r="D3670" s="188" t="s">
        <v>23248</v>
      </c>
      <c r="E3670" s="189" t="s">
        <v>23249</v>
      </c>
      <c r="F3670" s="162" t="s">
        <v>23250</v>
      </c>
      <c r="G3670" s="190"/>
      <c r="H3670" s="219"/>
      <c r="I3670" s="169">
        <v>103680</v>
      </c>
      <c r="J3670" s="304" t="str">
        <f>CONCATENATE([2]Cover!$D$6,"fdd/view?i=",I3670)</f>
        <v>https://www.dgiwg.org/FAD/fdd/view?i=103680</v>
      </c>
      <c r="K3670" s="304" t="s">
        <v>37719</v>
      </c>
      <c r="L3670" s="188">
        <v>6</v>
      </c>
      <c r="M3670" s="179" t="s">
        <v>151</v>
      </c>
    </row>
    <row r="3671" spans="1:13" ht="25.5">
      <c r="A3671" s="313" t="str">
        <f t="shared" si="57"/>
        <v>HarbourFacilityFunctionCode_passengerTerminal</v>
      </c>
      <c r="B3671" s="330"/>
      <c r="C3671" s="334"/>
      <c r="D3671" s="188" t="s">
        <v>23251</v>
      </c>
      <c r="E3671" s="189" t="s">
        <v>23252</v>
      </c>
      <c r="F3671" s="162" t="s">
        <v>23253</v>
      </c>
      <c r="G3671" s="190"/>
      <c r="H3671" s="219"/>
      <c r="I3671" s="169">
        <v>103682</v>
      </c>
      <c r="J3671" s="304" t="str">
        <f>CONCATENATE([2]Cover!$D$6,"fdd/view?i=",I3671)</f>
        <v>https://www.dgiwg.org/FAD/fdd/view?i=103682</v>
      </c>
      <c r="K3671" s="304" t="s">
        <v>37720</v>
      </c>
      <c r="L3671" s="188">
        <v>8</v>
      </c>
      <c r="M3671" s="179" t="s">
        <v>151</v>
      </c>
    </row>
    <row r="3672" spans="1:13" ht="25.5">
      <c r="A3672" s="313" t="str">
        <f t="shared" si="57"/>
        <v>HarbourFacilityFunctionCode_roRoTerminal</v>
      </c>
      <c r="B3672" s="330"/>
      <c r="C3672" s="334"/>
      <c r="D3672" s="188" t="s">
        <v>23254</v>
      </c>
      <c r="E3672" s="189" t="s">
        <v>23255</v>
      </c>
      <c r="F3672" s="162" t="s">
        <v>23256</v>
      </c>
      <c r="G3672" s="190"/>
      <c r="H3672" s="221" t="s">
        <v>23257</v>
      </c>
      <c r="I3672" s="169">
        <v>103675</v>
      </c>
      <c r="J3672" s="304" t="str">
        <f>CONCATENATE([2]Cover!$D$6,"fdd/view?i=",I3672)</f>
        <v>https://www.dgiwg.org/FAD/fdd/view?i=103675</v>
      </c>
      <c r="K3672" s="304" t="s">
        <v>37721</v>
      </c>
      <c r="L3672" s="188">
        <v>1</v>
      </c>
      <c r="M3672" s="179" t="s">
        <v>151</v>
      </c>
    </row>
    <row r="3673" spans="1:13" ht="25.5">
      <c r="A3673" s="313" t="str">
        <f t="shared" si="57"/>
        <v>HarbourFacilityFunctionCode_shipyard</v>
      </c>
      <c r="B3673" s="330"/>
      <c r="C3673" s="334"/>
      <c r="D3673" s="188" t="s">
        <v>21124</v>
      </c>
      <c r="E3673" s="189" t="s">
        <v>3869</v>
      </c>
      <c r="F3673" s="162" t="s">
        <v>23258</v>
      </c>
      <c r="G3673" s="190"/>
      <c r="H3673" s="219"/>
      <c r="I3673" s="169">
        <v>103683</v>
      </c>
      <c r="J3673" s="304" t="str">
        <f>CONCATENATE([2]Cover!$D$6,"fdd/view?i=",I3673)</f>
        <v>https://www.dgiwg.org/FAD/fdd/view?i=103683</v>
      </c>
      <c r="K3673" s="304" t="s">
        <v>37722</v>
      </c>
      <c r="L3673" s="188">
        <v>9</v>
      </c>
      <c r="M3673" s="179" t="s">
        <v>151</v>
      </c>
    </row>
    <row r="3674" spans="1:13" ht="25.5">
      <c r="A3674" s="313" t="str">
        <f t="shared" si="57"/>
        <v>HarbourFacilityFunctionCode_tankerTerminal</v>
      </c>
      <c r="B3674" s="330"/>
      <c r="C3674" s="334"/>
      <c r="D3674" s="188" t="s">
        <v>23259</v>
      </c>
      <c r="E3674" s="189" t="s">
        <v>23260</v>
      </c>
      <c r="F3674" s="162" t="s">
        <v>23261</v>
      </c>
      <c r="G3674" s="190"/>
      <c r="H3674" s="219"/>
      <c r="I3674" s="169">
        <v>103681</v>
      </c>
      <c r="J3674" s="304" t="str">
        <f>CONCATENATE([2]Cover!$D$6,"fdd/view?i=",I3674)</f>
        <v>https://www.dgiwg.org/FAD/fdd/view?i=103681</v>
      </c>
      <c r="K3674" s="304" t="s">
        <v>37723</v>
      </c>
      <c r="L3674" s="188">
        <v>7</v>
      </c>
      <c r="M3674" s="179" t="s">
        <v>151</v>
      </c>
    </row>
    <row r="3675" spans="1:13" ht="25.5">
      <c r="A3675" s="313" t="str">
        <f t="shared" si="57"/>
        <v>HarbourFacilityFunctionCode_timberYard</v>
      </c>
      <c r="B3675" s="331"/>
      <c r="C3675" s="335"/>
      <c r="D3675" s="181" t="s">
        <v>23262</v>
      </c>
      <c r="E3675" s="192" t="s">
        <v>23263</v>
      </c>
      <c r="F3675" s="193" t="s">
        <v>23264</v>
      </c>
      <c r="G3675" s="194"/>
      <c r="H3675" s="220"/>
      <c r="I3675" s="169">
        <v>103676</v>
      </c>
      <c r="J3675" s="304" t="str">
        <f>CONCATENATE([2]Cover!$D$6,"fdd/view?i=",I3675)</f>
        <v>https://www.dgiwg.org/FAD/fdd/view?i=103676</v>
      </c>
      <c r="K3675" s="304" t="s">
        <v>37724</v>
      </c>
      <c r="L3675" s="181">
        <v>2</v>
      </c>
      <c r="M3675" s="179" t="s">
        <v>151</v>
      </c>
    </row>
    <row r="3676" spans="1:13" ht="38.25">
      <c r="A3676" s="313" t="str">
        <f t="shared" si="57"/>
        <v>HazardShelterIntendedUseCode_bombShelter</v>
      </c>
      <c r="B3676" s="332" t="str">
        <f>HYPERLINK("[#]Datatypes!A640:L640","HazardShelterIntendedUseCode")</f>
        <v>HazardShelterIntendedUseCode</v>
      </c>
      <c r="C3676" s="333" t="s">
        <v>12195</v>
      </c>
      <c r="D3676" s="202" t="s">
        <v>23265</v>
      </c>
      <c r="E3676" s="203" t="s">
        <v>23266</v>
      </c>
      <c r="F3676" s="204" t="s">
        <v>23267</v>
      </c>
      <c r="G3676" s="204" t="s">
        <v>23268</v>
      </c>
      <c r="H3676" s="218"/>
      <c r="I3676" s="169">
        <v>119672</v>
      </c>
      <c r="J3676" s="304" t="str">
        <f>CONCATENATE([2]Cover!$D$6,"fdd/view?i=",I3676)</f>
        <v>https://www.dgiwg.org/FAD/fdd/view?i=119672</v>
      </c>
      <c r="K3676" s="304" t="s">
        <v>37725</v>
      </c>
      <c r="L3676" s="202">
        <v>1</v>
      </c>
      <c r="M3676" s="179" t="s">
        <v>151</v>
      </c>
    </row>
    <row r="3677" spans="1:13" ht="51">
      <c r="A3677" s="313" t="str">
        <f t="shared" si="57"/>
        <v>HazardShelterIntendedUseCode_falloutShelter</v>
      </c>
      <c r="B3677" s="330"/>
      <c r="C3677" s="334"/>
      <c r="D3677" s="188" t="s">
        <v>23269</v>
      </c>
      <c r="E3677" s="189" t="s">
        <v>23270</v>
      </c>
      <c r="F3677" s="162" t="s">
        <v>23271</v>
      </c>
      <c r="G3677" s="162" t="s">
        <v>23272</v>
      </c>
      <c r="H3677" s="219"/>
      <c r="I3677" s="169">
        <v>119673</v>
      </c>
      <c r="J3677" s="304" t="str">
        <f>CONCATENATE([2]Cover!$D$6,"fdd/view?i=",I3677)</f>
        <v>https://www.dgiwg.org/FAD/fdd/view?i=119673</v>
      </c>
      <c r="K3677" s="304" t="s">
        <v>37726</v>
      </c>
      <c r="L3677" s="188">
        <v>2</v>
      </c>
      <c r="M3677" s="179" t="s">
        <v>151</v>
      </c>
    </row>
    <row r="3678" spans="1:13" ht="38.25">
      <c r="A3678" s="313" t="str">
        <f t="shared" si="57"/>
        <v>HazardShelterIntendedUseCode_stormShelter</v>
      </c>
      <c r="B3678" s="331"/>
      <c r="C3678" s="335"/>
      <c r="D3678" s="181" t="s">
        <v>23273</v>
      </c>
      <c r="E3678" s="192" t="s">
        <v>23274</v>
      </c>
      <c r="F3678" s="193" t="s">
        <v>23275</v>
      </c>
      <c r="G3678" s="194"/>
      <c r="H3678" s="220"/>
      <c r="I3678" s="169">
        <v>119674</v>
      </c>
      <c r="J3678" s="304" t="str">
        <f>CONCATENATE([2]Cover!$D$6,"fdd/view?i=",I3678)</f>
        <v>https://www.dgiwg.org/FAD/fdd/view?i=119674</v>
      </c>
      <c r="K3678" s="304" t="s">
        <v>37727</v>
      </c>
      <c r="L3678" s="181">
        <v>3</v>
      </c>
      <c r="M3678" s="179" t="s">
        <v>151</v>
      </c>
    </row>
    <row r="3679" spans="1:13" ht="25.5">
      <c r="A3679" s="313" t="str">
        <f t="shared" si="57"/>
        <v>HealthCareCapabilityCode_adultDayCare</v>
      </c>
      <c r="B3679" s="332" t="str">
        <f>HYPERLINK("[#]Datatypes!A642:L642","HealthCareCapabilityCode")</f>
        <v>HealthCareCapabilityCode</v>
      </c>
      <c r="C3679" s="333" t="s">
        <v>12197</v>
      </c>
      <c r="D3679" s="202" t="s">
        <v>23276</v>
      </c>
      <c r="E3679" s="203" t="s">
        <v>23277</v>
      </c>
      <c r="F3679" s="205"/>
      <c r="G3679" s="205"/>
      <c r="H3679" s="218"/>
      <c r="I3679" s="169">
        <v>204564</v>
      </c>
      <c r="J3679" s="304" t="str">
        <f>CONCATENATE([2]Cover!$D$6,"fdd/view?i=",I3679)</f>
        <v>https://www.dgiwg.org/FAD/fdd/view?i=204564</v>
      </c>
      <c r="K3679" s="304" t="s">
        <v>37728</v>
      </c>
      <c r="L3679" s="202">
        <v>1</v>
      </c>
      <c r="M3679" s="179" t="s">
        <v>1295</v>
      </c>
    </row>
    <row r="3680" spans="1:13" ht="25.5">
      <c r="A3680" s="313" t="str">
        <f t="shared" si="57"/>
        <v>HealthCareCapabilityCode_ambulatoryOutpatSurgery</v>
      </c>
      <c r="B3680" s="330"/>
      <c r="C3680" s="334"/>
      <c r="D3680" s="188" t="s">
        <v>23278</v>
      </c>
      <c r="E3680" s="189" t="s">
        <v>23279</v>
      </c>
      <c r="F3680" s="190"/>
      <c r="G3680" s="190"/>
      <c r="H3680" s="219"/>
      <c r="I3680" s="169">
        <v>204565</v>
      </c>
      <c r="J3680" s="304" t="str">
        <f>CONCATENATE([2]Cover!$D$6,"fdd/view?i=",I3680)</f>
        <v>https://www.dgiwg.org/FAD/fdd/view?i=204565</v>
      </c>
      <c r="K3680" s="304" t="s">
        <v>37729</v>
      </c>
      <c r="L3680" s="188">
        <v>2</v>
      </c>
      <c r="M3680" s="179" t="s">
        <v>1295</v>
      </c>
    </row>
    <row r="3681" spans="1:13" ht="25.5">
      <c r="A3681" s="313" t="str">
        <f t="shared" si="57"/>
        <v>HealthCareCapabilityCode_angioplasty</v>
      </c>
      <c r="B3681" s="330"/>
      <c r="C3681" s="334"/>
      <c r="D3681" s="188" t="s">
        <v>23280</v>
      </c>
      <c r="E3681" s="189" t="s">
        <v>23281</v>
      </c>
      <c r="F3681" s="190"/>
      <c r="G3681" s="190"/>
      <c r="H3681" s="219"/>
      <c r="I3681" s="169">
        <v>204566</v>
      </c>
      <c r="J3681" s="304" t="str">
        <f>CONCATENATE([2]Cover!$D$6,"fdd/view?i=",I3681)</f>
        <v>https://www.dgiwg.org/FAD/fdd/view?i=204566</v>
      </c>
      <c r="K3681" s="304" t="s">
        <v>37730</v>
      </c>
      <c r="L3681" s="188">
        <v>3</v>
      </c>
      <c r="M3681" s="179" t="s">
        <v>1295</v>
      </c>
    </row>
    <row r="3682" spans="1:13" ht="25.5">
      <c r="A3682" s="313" t="str">
        <f t="shared" si="57"/>
        <v>HealthCareCapabilityCode_arthritisTreatment</v>
      </c>
      <c r="B3682" s="330"/>
      <c r="C3682" s="334"/>
      <c r="D3682" s="188" t="s">
        <v>23282</v>
      </c>
      <c r="E3682" s="189" t="s">
        <v>23283</v>
      </c>
      <c r="F3682" s="190"/>
      <c r="G3682" s="190"/>
      <c r="H3682" s="219"/>
      <c r="I3682" s="169">
        <v>204567</v>
      </c>
      <c r="J3682" s="304" t="str">
        <f>CONCATENATE([2]Cover!$D$6,"fdd/view?i=",I3682)</f>
        <v>https://www.dgiwg.org/FAD/fdd/view?i=204567</v>
      </c>
      <c r="K3682" s="304" t="s">
        <v>37731</v>
      </c>
      <c r="L3682" s="188">
        <v>4</v>
      </c>
      <c r="M3682" s="179" t="s">
        <v>1295</v>
      </c>
    </row>
    <row r="3683" spans="1:13" ht="25.5">
      <c r="A3683" s="313" t="str">
        <f t="shared" si="57"/>
        <v>HealthCareCapabilityCode_assistedLiving</v>
      </c>
      <c r="B3683" s="330"/>
      <c r="C3683" s="334"/>
      <c r="D3683" s="188" t="s">
        <v>23284</v>
      </c>
      <c r="E3683" s="189" t="s">
        <v>23285</v>
      </c>
      <c r="F3683" s="190"/>
      <c r="G3683" s="190"/>
      <c r="H3683" s="219"/>
      <c r="I3683" s="169">
        <v>204568</v>
      </c>
      <c r="J3683" s="304" t="str">
        <f>CONCATENATE([2]Cover!$D$6,"fdd/view?i=",I3683)</f>
        <v>https://www.dgiwg.org/FAD/fdd/view?i=204568</v>
      </c>
      <c r="K3683" s="304" t="s">
        <v>37732</v>
      </c>
      <c r="L3683" s="188">
        <v>5</v>
      </c>
      <c r="M3683" s="179" t="s">
        <v>1295</v>
      </c>
    </row>
    <row r="3684" spans="1:13" ht="25.5">
      <c r="A3684" s="313" t="str">
        <f t="shared" si="57"/>
        <v>HealthCareCapabilityCode_auxiliaryOrganization</v>
      </c>
      <c r="B3684" s="330"/>
      <c r="C3684" s="334"/>
      <c r="D3684" s="188" t="s">
        <v>23286</v>
      </c>
      <c r="E3684" s="189" t="s">
        <v>23287</v>
      </c>
      <c r="F3684" s="190"/>
      <c r="G3684" s="190"/>
      <c r="H3684" s="219"/>
      <c r="I3684" s="169">
        <v>204569</v>
      </c>
      <c r="J3684" s="304" t="str">
        <f>CONCATENATE([2]Cover!$D$6,"fdd/view?i=",I3684)</f>
        <v>https://www.dgiwg.org/FAD/fdd/view?i=204569</v>
      </c>
      <c r="K3684" s="304" t="s">
        <v>37733</v>
      </c>
      <c r="L3684" s="188">
        <v>6</v>
      </c>
      <c r="M3684" s="179" t="s">
        <v>1295</v>
      </c>
    </row>
    <row r="3685" spans="1:13" ht="25.5">
      <c r="A3685" s="313" t="str">
        <f t="shared" si="57"/>
        <v>HealthCareCapabilityCode_bloodBank</v>
      </c>
      <c r="B3685" s="330"/>
      <c r="C3685" s="334"/>
      <c r="D3685" s="188" t="s">
        <v>23288</v>
      </c>
      <c r="E3685" s="189" t="s">
        <v>23289</v>
      </c>
      <c r="F3685" s="190"/>
      <c r="G3685" s="190"/>
      <c r="H3685" s="219"/>
      <c r="I3685" s="169">
        <v>204570</v>
      </c>
      <c r="J3685" s="304" t="str">
        <f>CONCATENATE([2]Cover!$D$6,"fdd/view?i=",I3685)</f>
        <v>https://www.dgiwg.org/FAD/fdd/view?i=204570</v>
      </c>
      <c r="K3685" s="304" t="s">
        <v>37734</v>
      </c>
      <c r="L3685" s="188">
        <v>7</v>
      </c>
      <c r="M3685" s="179" t="s">
        <v>1295</v>
      </c>
    </row>
    <row r="3686" spans="1:13" ht="25.5">
      <c r="A3686" s="313" t="str">
        <f t="shared" si="57"/>
        <v>HealthCareCapabilityCode_breastCancerScreening</v>
      </c>
      <c r="B3686" s="330"/>
      <c r="C3686" s="334"/>
      <c r="D3686" s="188" t="s">
        <v>23290</v>
      </c>
      <c r="E3686" s="189" t="s">
        <v>23291</v>
      </c>
      <c r="F3686" s="190"/>
      <c r="G3686" s="190"/>
      <c r="H3686" s="219"/>
      <c r="I3686" s="169">
        <v>204571</v>
      </c>
      <c r="J3686" s="304" t="str">
        <f>CONCATENATE([2]Cover!$D$6,"fdd/view?i=",I3686)</f>
        <v>https://www.dgiwg.org/FAD/fdd/view?i=204571</v>
      </c>
      <c r="K3686" s="304" t="s">
        <v>37735</v>
      </c>
      <c r="L3686" s="188">
        <v>8</v>
      </c>
      <c r="M3686" s="179" t="s">
        <v>1295</v>
      </c>
    </row>
    <row r="3687" spans="1:13" ht="25.5">
      <c r="A3687" s="313" t="str">
        <f t="shared" si="57"/>
        <v>HealthCareCapabilityCode_burnCare</v>
      </c>
      <c r="B3687" s="330"/>
      <c r="C3687" s="334"/>
      <c r="D3687" s="188" t="s">
        <v>23292</v>
      </c>
      <c r="E3687" s="189" t="s">
        <v>23293</v>
      </c>
      <c r="F3687" s="190"/>
      <c r="G3687" s="190"/>
      <c r="H3687" s="219"/>
      <c r="I3687" s="169">
        <v>204572</v>
      </c>
      <c r="J3687" s="304" t="str">
        <f>CONCATENATE([2]Cover!$D$6,"fdd/view?i=",I3687)</f>
        <v>https://www.dgiwg.org/FAD/fdd/view?i=204572</v>
      </c>
      <c r="K3687" s="304" t="s">
        <v>37736</v>
      </c>
      <c r="L3687" s="188">
        <v>9</v>
      </c>
      <c r="M3687" s="179" t="s">
        <v>1295</v>
      </c>
    </row>
    <row r="3688" spans="1:13" ht="25.5">
      <c r="A3688" s="313" t="str">
        <f t="shared" si="57"/>
        <v>HealthCareCapabilityCode_cancerCare</v>
      </c>
      <c r="B3688" s="330"/>
      <c r="C3688" s="334"/>
      <c r="D3688" s="188" t="s">
        <v>23294</v>
      </c>
      <c r="E3688" s="189" t="s">
        <v>23295</v>
      </c>
      <c r="F3688" s="190"/>
      <c r="G3688" s="190"/>
      <c r="H3688" s="219"/>
      <c r="I3688" s="169">
        <v>204573</v>
      </c>
      <c r="J3688" s="304" t="str">
        <f>CONCATENATE([2]Cover!$D$6,"fdd/view?i=",I3688)</f>
        <v>https://www.dgiwg.org/FAD/fdd/view?i=204573</v>
      </c>
      <c r="K3688" s="304" t="s">
        <v>37737</v>
      </c>
      <c r="L3688" s="188">
        <v>10</v>
      </c>
      <c r="M3688" s="179" t="s">
        <v>1295</v>
      </c>
    </row>
    <row r="3689" spans="1:13" ht="25.5">
      <c r="A3689" s="313" t="str">
        <f t="shared" si="57"/>
        <v>HealthCareCapabilityCode_cardiacCatheterization</v>
      </c>
      <c r="B3689" s="330"/>
      <c r="C3689" s="334"/>
      <c r="D3689" s="188" t="s">
        <v>23296</v>
      </c>
      <c r="E3689" s="189" t="s">
        <v>23297</v>
      </c>
      <c r="F3689" s="190"/>
      <c r="G3689" s="190"/>
      <c r="H3689" s="219"/>
      <c r="I3689" s="169">
        <v>204574</v>
      </c>
      <c r="J3689" s="304" t="str">
        <f>CONCATENATE([2]Cover!$D$6,"fdd/view?i=",I3689)</f>
        <v>https://www.dgiwg.org/FAD/fdd/view?i=204574</v>
      </c>
      <c r="K3689" s="304" t="s">
        <v>37738</v>
      </c>
      <c r="L3689" s="188">
        <v>11</v>
      </c>
      <c r="M3689" s="179" t="s">
        <v>1295</v>
      </c>
    </row>
    <row r="3690" spans="1:13" ht="25.5">
      <c r="A3690" s="313" t="str">
        <f t="shared" si="57"/>
        <v>HealthCareCapabilityCode_cardiacIntensiveCare</v>
      </c>
      <c r="B3690" s="330"/>
      <c r="C3690" s="334"/>
      <c r="D3690" s="188" t="s">
        <v>23298</v>
      </c>
      <c r="E3690" s="189" t="s">
        <v>23299</v>
      </c>
      <c r="F3690" s="190"/>
      <c r="G3690" s="190"/>
      <c r="H3690" s="219"/>
      <c r="I3690" s="169">
        <v>204575</v>
      </c>
      <c r="J3690" s="304" t="str">
        <f>CONCATENATE([2]Cover!$D$6,"fdd/view?i=",I3690)</f>
        <v>https://www.dgiwg.org/FAD/fdd/view?i=204575</v>
      </c>
      <c r="K3690" s="304" t="s">
        <v>37739</v>
      </c>
      <c r="L3690" s="188">
        <v>12</v>
      </c>
      <c r="M3690" s="179" t="s">
        <v>1295</v>
      </c>
    </row>
    <row r="3691" spans="1:13" ht="25.5">
      <c r="A3691" s="313" t="str">
        <f t="shared" si="57"/>
        <v>HealthCareCapabilityCode_cardiacRehabilitation</v>
      </c>
      <c r="B3691" s="330"/>
      <c r="C3691" s="334"/>
      <c r="D3691" s="188" t="s">
        <v>23300</v>
      </c>
      <c r="E3691" s="189" t="s">
        <v>23301</v>
      </c>
      <c r="F3691" s="190"/>
      <c r="G3691" s="190"/>
      <c r="H3691" s="219"/>
      <c r="I3691" s="169">
        <v>204576</v>
      </c>
      <c r="J3691" s="304" t="str">
        <f>CONCATENATE([2]Cover!$D$6,"fdd/view?i=",I3691)</f>
        <v>https://www.dgiwg.org/FAD/fdd/view?i=204576</v>
      </c>
      <c r="K3691" s="304" t="s">
        <v>37740</v>
      </c>
      <c r="L3691" s="188">
        <v>13</v>
      </c>
      <c r="M3691" s="179" t="s">
        <v>1295</v>
      </c>
    </row>
    <row r="3692" spans="1:13" ht="25.5">
      <c r="A3692" s="313" t="str">
        <f t="shared" si="57"/>
        <v>HealthCareCapabilityCode_caseManagement</v>
      </c>
      <c r="B3692" s="330"/>
      <c r="C3692" s="334"/>
      <c r="D3692" s="188" t="s">
        <v>23302</v>
      </c>
      <c r="E3692" s="189" t="s">
        <v>23303</v>
      </c>
      <c r="F3692" s="190"/>
      <c r="G3692" s="190"/>
      <c r="H3692" s="219"/>
      <c r="I3692" s="169">
        <v>204577</v>
      </c>
      <c r="J3692" s="304" t="str">
        <f>CONCATENATE([2]Cover!$D$6,"fdd/view?i=",I3692)</f>
        <v>https://www.dgiwg.org/FAD/fdd/view?i=204577</v>
      </c>
      <c r="K3692" s="304" t="s">
        <v>37741</v>
      </c>
      <c r="L3692" s="188">
        <v>14</v>
      </c>
      <c r="M3692" s="179" t="s">
        <v>1295</v>
      </c>
    </row>
    <row r="3693" spans="1:13" ht="25.5">
      <c r="A3693" s="313" t="str">
        <f t="shared" si="57"/>
        <v>HealthCareCapabilityCode_chemicalDependInpatient</v>
      </c>
      <c r="B3693" s="330"/>
      <c r="C3693" s="334"/>
      <c r="D3693" s="188" t="s">
        <v>23304</v>
      </c>
      <c r="E3693" s="189" t="s">
        <v>23305</v>
      </c>
      <c r="F3693" s="190"/>
      <c r="G3693" s="190"/>
      <c r="H3693" s="219"/>
      <c r="I3693" s="169">
        <v>204578</v>
      </c>
      <c r="J3693" s="304" t="str">
        <f>CONCATENATE([2]Cover!$D$6,"fdd/view?i=",I3693)</f>
        <v>https://www.dgiwg.org/FAD/fdd/view?i=204578</v>
      </c>
      <c r="K3693" s="304" t="s">
        <v>37742</v>
      </c>
      <c r="L3693" s="188">
        <v>15</v>
      </c>
      <c r="M3693" s="179" t="s">
        <v>1295</v>
      </c>
    </row>
    <row r="3694" spans="1:13" ht="38.25">
      <c r="A3694" s="313" t="str">
        <f t="shared" si="57"/>
        <v>HealthCareCapabilityCode_chemicalDependOutpatient</v>
      </c>
      <c r="B3694" s="330"/>
      <c r="C3694" s="334"/>
      <c r="D3694" s="188" t="s">
        <v>23306</v>
      </c>
      <c r="E3694" s="189" t="s">
        <v>23307</v>
      </c>
      <c r="F3694" s="190"/>
      <c r="G3694" s="190"/>
      <c r="H3694" s="219"/>
      <c r="I3694" s="169">
        <v>204579</v>
      </c>
      <c r="J3694" s="304" t="str">
        <f>CONCATENATE([2]Cover!$D$6,"fdd/view?i=",I3694)</f>
        <v>https://www.dgiwg.org/FAD/fdd/view?i=204579</v>
      </c>
      <c r="K3694" s="304" t="s">
        <v>37743</v>
      </c>
      <c r="L3694" s="188">
        <v>16</v>
      </c>
      <c r="M3694" s="179" t="s">
        <v>1295</v>
      </c>
    </row>
    <row r="3695" spans="1:13" ht="25.5">
      <c r="A3695" s="313" t="str">
        <f t="shared" si="57"/>
        <v>HealthCareCapabilityCode_childbirthCare</v>
      </c>
      <c r="B3695" s="330"/>
      <c r="C3695" s="334"/>
      <c r="D3695" s="188" t="s">
        <v>23308</v>
      </c>
      <c r="E3695" s="189" t="s">
        <v>23309</v>
      </c>
      <c r="F3695" s="190"/>
      <c r="G3695" s="190"/>
      <c r="H3695" s="219"/>
      <c r="I3695" s="169">
        <v>204580</v>
      </c>
      <c r="J3695" s="304" t="str">
        <f>CONCATENATE([2]Cover!$D$6,"fdd/view?i=",I3695)</f>
        <v>https://www.dgiwg.org/FAD/fdd/view?i=204580</v>
      </c>
      <c r="K3695" s="304" t="s">
        <v>37744</v>
      </c>
      <c r="L3695" s="188">
        <v>17</v>
      </c>
      <c r="M3695" s="179" t="s">
        <v>1295</v>
      </c>
    </row>
    <row r="3696" spans="1:13" ht="25.5">
      <c r="A3696" s="313" t="str">
        <f t="shared" si="57"/>
        <v>HealthCareCapabilityCode_clinicalLaboratory</v>
      </c>
      <c r="B3696" s="330"/>
      <c r="C3696" s="334"/>
      <c r="D3696" s="188" t="s">
        <v>23312</v>
      </c>
      <c r="E3696" s="189" t="s">
        <v>23313</v>
      </c>
      <c r="F3696" s="190"/>
      <c r="G3696" s="190"/>
      <c r="H3696" s="219"/>
      <c r="I3696" s="169">
        <v>204581</v>
      </c>
      <c r="J3696" s="304" t="str">
        <f>CONCATENATE([2]Cover!$D$6,"fdd/view?i=",I3696)</f>
        <v>https://www.dgiwg.org/FAD/fdd/view?i=204581</v>
      </c>
      <c r="K3696" s="304" t="s">
        <v>37745</v>
      </c>
      <c r="L3696" s="188">
        <v>18</v>
      </c>
      <c r="M3696" s="179" t="s">
        <v>1295</v>
      </c>
    </row>
    <row r="3697" spans="1:13" ht="25.5">
      <c r="A3697" s="313" t="str">
        <f t="shared" si="57"/>
        <v>HealthCareCapabilityCode_communHealthReporting</v>
      </c>
      <c r="B3697" s="330"/>
      <c r="C3697" s="334"/>
      <c r="D3697" s="188" t="s">
        <v>23314</v>
      </c>
      <c r="E3697" s="189" t="s">
        <v>23315</v>
      </c>
      <c r="F3697" s="190"/>
      <c r="G3697" s="190"/>
      <c r="H3697" s="219"/>
      <c r="I3697" s="169">
        <v>204582</v>
      </c>
      <c r="J3697" s="304" t="str">
        <f>CONCATENATE([2]Cover!$D$6,"fdd/view?i=",I3697)</f>
        <v>https://www.dgiwg.org/FAD/fdd/view?i=204582</v>
      </c>
      <c r="K3697" s="304" t="s">
        <v>37746</v>
      </c>
      <c r="L3697" s="188">
        <v>19</v>
      </c>
      <c r="M3697" s="179" t="s">
        <v>1295</v>
      </c>
    </row>
    <row r="3698" spans="1:13" ht="25.5">
      <c r="A3698" s="313" t="str">
        <f t="shared" si="57"/>
        <v>HealthCareCapabilityCode_communHealthStatAssessment</v>
      </c>
      <c r="B3698" s="330"/>
      <c r="C3698" s="334"/>
      <c r="D3698" s="188" t="s">
        <v>23316</v>
      </c>
      <c r="E3698" s="189" t="s">
        <v>23317</v>
      </c>
      <c r="F3698" s="190"/>
      <c r="G3698" s="190"/>
      <c r="H3698" s="219"/>
      <c r="I3698" s="169">
        <v>204583</v>
      </c>
      <c r="J3698" s="304" t="str">
        <f>CONCATENATE([2]Cover!$D$6,"fdd/view?i=",I3698)</f>
        <v>https://www.dgiwg.org/FAD/fdd/view?i=204583</v>
      </c>
      <c r="K3698" s="304" t="s">
        <v>37747</v>
      </c>
      <c r="L3698" s="188">
        <v>20</v>
      </c>
      <c r="M3698" s="179" t="s">
        <v>1295</v>
      </c>
    </row>
    <row r="3699" spans="1:13" ht="25.5">
      <c r="A3699" s="313" t="str">
        <f t="shared" si="57"/>
        <v>HealthCareCapabilityCode_communHealthStatBasedPlan</v>
      </c>
      <c r="B3699" s="330"/>
      <c r="C3699" s="334"/>
      <c r="D3699" s="188" t="s">
        <v>23318</v>
      </c>
      <c r="E3699" s="189" t="s">
        <v>23319</v>
      </c>
      <c r="F3699" s="190"/>
      <c r="G3699" s="190"/>
      <c r="H3699" s="219"/>
      <c r="I3699" s="169">
        <v>204584</v>
      </c>
      <c r="J3699" s="304" t="str">
        <f>CONCATENATE([2]Cover!$D$6,"fdd/view?i=",I3699)</f>
        <v>https://www.dgiwg.org/FAD/fdd/view?i=204584</v>
      </c>
      <c r="K3699" s="304" t="s">
        <v>37748</v>
      </c>
      <c r="L3699" s="188">
        <v>21</v>
      </c>
      <c r="M3699" s="179" t="s">
        <v>1295</v>
      </c>
    </row>
    <row r="3700" spans="1:13" ht="25.5">
      <c r="A3700" s="313" t="str">
        <f t="shared" si="57"/>
        <v>HealthCareCapabilityCode_communOutreach</v>
      </c>
      <c r="B3700" s="330"/>
      <c r="C3700" s="334"/>
      <c r="D3700" s="188" t="s">
        <v>23320</v>
      </c>
      <c r="E3700" s="189" t="s">
        <v>23321</v>
      </c>
      <c r="F3700" s="190"/>
      <c r="G3700" s="190"/>
      <c r="H3700" s="219"/>
      <c r="I3700" s="169">
        <v>204585</v>
      </c>
      <c r="J3700" s="304" t="str">
        <f>CONCATENATE([2]Cover!$D$6,"fdd/view?i=",I3700)</f>
        <v>https://www.dgiwg.org/FAD/fdd/view?i=204585</v>
      </c>
      <c r="K3700" s="304" t="s">
        <v>37749</v>
      </c>
      <c r="L3700" s="188">
        <v>22</v>
      </c>
      <c r="M3700" s="179" t="s">
        <v>1295</v>
      </c>
    </row>
    <row r="3701" spans="1:13" ht="25.5">
      <c r="A3701" s="313" t="str">
        <f t="shared" si="57"/>
        <v>HealthCareCapabilityCode_computedTomographyImaging</v>
      </c>
      <c r="B3701" s="330"/>
      <c r="C3701" s="334"/>
      <c r="D3701" s="188" t="s">
        <v>23322</v>
      </c>
      <c r="E3701" s="189" t="s">
        <v>23323</v>
      </c>
      <c r="F3701" s="190"/>
      <c r="G3701" s="190"/>
      <c r="H3701" s="219"/>
      <c r="I3701" s="169">
        <v>204586</v>
      </c>
      <c r="J3701" s="304" t="str">
        <f>CONCATENATE([2]Cover!$D$6,"fdd/view?i=",I3701)</f>
        <v>https://www.dgiwg.org/FAD/fdd/view?i=204586</v>
      </c>
      <c r="K3701" s="304" t="s">
        <v>37750</v>
      </c>
      <c r="L3701" s="188">
        <v>23</v>
      </c>
      <c r="M3701" s="179" t="s">
        <v>1295</v>
      </c>
    </row>
    <row r="3702" spans="1:13" ht="25.5">
      <c r="A3702" s="313" t="str">
        <f t="shared" si="57"/>
        <v>HealthCareCapabilityCode_continuousOperation</v>
      </c>
      <c r="B3702" s="330"/>
      <c r="C3702" s="334"/>
      <c r="D3702" s="188" t="s">
        <v>23324</v>
      </c>
      <c r="E3702" s="189" t="s">
        <v>23325</v>
      </c>
      <c r="F3702" s="190"/>
      <c r="G3702" s="190"/>
      <c r="H3702" s="219"/>
      <c r="I3702" s="169">
        <v>204587</v>
      </c>
      <c r="J3702" s="304" t="str">
        <f>CONCATENATE([2]Cover!$D$6,"fdd/view?i=",I3702)</f>
        <v>https://www.dgiwg.org/FAD/fdd/view?i=204587</v>
      </c>
      <c r="K3702" s="304" t="s">
        <v>37751</v>
      </c>
      <c r="L3702" s="188">
        <v>24</v>
      </c>
      <c r="M3702" s="179" t="s">
        <v>1295</v>
      </c>
    </row>
    <row r="3703" spans="1:13" ht="38.25">
      <c r="A3703" s="313" t="str">
        <f t="shared" si="57"/>
        <v>HealthCareCapabilityCode_copdCare</v>
      </c>
      <c r="B3703" s="330"/>
      <c r="C3703" s="334"/>
      <c r="D3703" s="188" t="s">
        <v>23310</v>
      </c>
      <c r="E3703" s="189" t="s">
        <v>23311</v>
      </c>
      <c r="F3703" s="190"/>
      <c r="G3703" s="190"/>
      <c r="H3703" s="219"/>
      <c r="I3703" s="169">
        <v>204588</v>
      </c>
      <c r="J3703" s="304" t="str">
        <f>CONCATENATE([2]Cover!$D$6,"fdd/view?i=",I3703)</f>
        <v>https://www.dgiwg.org/FAD/fdd/view?i=204588</v>
      </c>
      <c r="K3703" s="304" t="s">
        <v>37752</v>
      </c>
      <c r="L3703" s="188">
        <v>25</v>
      </c>
      <c r="M3703" s="179" t="s">
        <v>1295</v>
      </c>
    </row>
    <row r="3704" spans="1:13" ht="25.5">
      <c r="A3704" s="313" t="str">
        <f t="shared" si="57"/>
        <v>HealthCareCapabilityCode_crisisPrevention</v>
      </c>
      <c r="B3704" s="330"/>
      <c r="C3704" s="334"/>
      <c r="D3704" s="188" t="s">
        <v>23326</v>
      </c>
      <c r="E3704" s="189" t="s">
        <v>23327</v>
      </c>
      <c r="F3704" s="190"/>
      <c r="G3704" s="190"/>
      <c r="H3704" s="219"/>
      <c r="I3704" s="169">
        <v>204589</v>
      </c>
      <c r="J3704" s="304" t="str">
        <f>CONCATENATE([2]Cover!$D$6,"fdd/view?i=",I3704)</f>
        <v>https://www.dgiwg.org/FAD/fdd/view?i=204589</v>
      </c>
      <c r="K3704" s="304" t="s">
        <v>37753</v>
      </c>
      <c r="L3704" s="188">
        <v>26</v>
      </c>
      <c r="M3704" s="179" t="s">
        <v>1295</v>
      </c>
    </row>
    <row r="3705" spans="1:13" ht="25.5">
      <c r="A3705" s="313" t="str">
        <f t="shared" si="57"/>
        <v>HealthCareCapabilityCode_dentalCare</v>
      </c>
      <c r="B3705" s="330"/>
      <c r="C3705" s="334"/>
      <c r="D3705" s="188" t="s">
        <v>23328</v>
      </c>
      <c r="E3705" s="189" t="s">
        <v>23329</v>
      </c>
      <c r="F3705" s="190"/>
      <c r="G3705" s="190"/>
      <c r="H3705" s="219"/>
      <c r="I3705" s="169">
        <v>204590</v>
      </c>
      <c r="J3705" s="304" t="str">
        <f>CONCATENATE([2]Cover!$D$6,"fdd/view?i=",I3705)</f>
        <v>https://www.dgiwg.org/FAD/fdd/view?i=204590</v>
      </c>
      <c r="K3705" s="304" t="s">
        <v>37754</v>
      </c>
      <c r="L3705" s="188">
        <v>27</v>
      </c>
      <c r="M3705" s="179" t="s">
        <v>1295</v>
      </c>
    </row>
    <row r="3706" spans="1:13" ht="25.5">
      <c r="A3706" s="313" t="str">
        <f t="shared" si="57"/>
        <v>HealthCareCapabilityCode_diagnosticRadioImaging</v>
      </c>
      <c r="B3706" s="330"/>
      <c r="C3706" s="334"/>
      <c r="D3706" s="188" t="s">
        <v>23330</v>
      </c>
      <c r="E3706" s="189" t="s">
        <v>23331</v>
      </c>
      <c r="F3706" s="190"/>
      <c r="G3706" s="190"/>
      <c r="H3706" s="219"/>
      <c r="I3706" s="169">
        <v>204591</v>
      </c>
      <c r="J3706" s="304" t="str">
        <f>CONCATENATE([2]Cover!$D$6,"fdd/view?i=",I3706)</f>
        <v>https://www.dgiwg.org/FAD/fdd/view?i=204591</v>
      </c>
      <c r="K3706" s="304" t="s">
        <v>37755</v>
      </c>
      <c r="L3706" s="188">
        <v>28</v>
      </c>
      <c r="M3706" s="179" t="s">
        <v>1295</v>
      </c>
    </row>
    <row r="3707" spans="1:13" ht="25.5">
      <c r="A3707" s="313" t="str">
        <f t="shared" si="57"/>
        <v>HealthCareCapabilityCode_diagnosticUltrasound</v>
      </c>
      <c r="B3707" s="330"/>
      <c r="C3707" s="334"/>
      <c r="D3707" s="188" t="s">
        <v>23332</v>
      </c>
      <c r="E3707" s="189" t="s">
        <v>23333</v>
      </c>
      <c r="F3707" s="190"/>
      <c r="G3707" s="190"/>
      <c r="H3707" s="219"/>
      <c r="I3707" s="169">
        <v>204592</v>
      </c>
      <c r="J3707" s="304" t="str">
        <f>CONCATENATE([2]Cover!$D$6,"fdd/view?i=",I3707)</f>
        <v>https://www.dgiwg.org/FAD/fdd/view?i=204592</v>
      </c>
      <c r="K3707" s="304" t="s">
        <v>37756</v>
      </c>
      <c r="L3707" s="188">
        <v>29</v>
      </c>
      <c r="M3707" s="179" t="s">
        <v>1295</v>
      </c>
    </row>
    <row r="3708" spans="1:13" ht="25.5">
      <c r="A3708" s="313" t="str">
        <f t="shared" si="57"/>
        <v>HealthCareCapabilityCode_emergencyMedicine</v>
      </c>
      <c r="B3708" s="330"/>
      <c r="C3708" s="334"/>
      <c r="D3708" s="188" t="s">
        <v>23334</v>
      </c>
      <c r="E3708" s="189" t="s">
        <v>23335</v>
      </c>
      <c r="F3708" s="190"/>
      <c r="G3708" s="190"/>
      <c r="H3708" s="219"/>
      <c r="I3708" s="169">
        <v>204593</v>
      </c>
      <c r="J3708" s="304" t="str">
        <f>CONCATENATE([2]Cover!$D$6,"fdd/view?i=",I3708)</f>
        <v>https://www.dgiwg.org/FAD/fdd/view?i=204593</v>
      </c>
      <c r="K3708" s="304" t="s">
        <v>37757</v>
      </c>
      <c r="L3708" s="188">
        <v>30</v>
      </c>
      <c r="M3708" s="179" t="s">
        <v>1295</v>
      </c>
    </row>
    <row r="3709" spans="1:13" ht="38.25">
      <c r="A3709" s="313" t="str">
        <f t="shared" si="57"/>
        <v>HealthCareCapabilityCode_eswlTherapy</v>
      </c>
      <c r="B3709" s="330"/>
      <c r="C3709" s="334"/>
      <c r="D3709" s="188" t="s">
        <v>23338</v>
      </c>
      <c r="E3709" s="189" t="s">
        <v>23339</v>
      </c>
      <c r="F3709" s="190"/>
      <c r="G3709" s="190"/>
      <c r="H3709" s="219"/>
      <c r="I3709" s="169">
        <v>204594</v>
      </c>
      <c r="J3709" s="304" t="str">
        <f>CONCATENATE([2]Cover!$D$6,"fdd/view?i=",I3709)</f>
        <v>https://www.dgiwg.org/FAD/fdd/view?i=204594</v>
      </c>
      <c r="K3709" s="304" t="s">
        <v>37758</v>
      </c>
      <c r="L3709" s="188">
        <v>31</v>
      </c>
      <c r="M3709" s="179" t="s">
        <v>1295</v>
      </c>
    </row>
    <row r="3710" spans="1:13" ht="25.5">
      <c r="A3710" s="313" t="str">
        <f t="shared" si="57"/>
        <v>HealthCareCapabilityCode_ethicsCommittee</v>
      </c>
      <c r="B3710" s="330"/>
      <c r="C3710" s="334"/>
      <c r="D3710" s="188" t="s">
        <v>23336</v>
      </c>
      <c r="E3710" s="189" t="s">
        <v>23337</v>
      </c>
      <c r="F3710" s="190"/>
      <c r="G3710" s="190"/>
      <c r="H3710" s="219"/>
      <c r="I3710" s="169">
        <v>204595</v>
      </c>
      <c r="J3710" s="304" t="str">
        <f>CONCATENATE([2]Cover!$D$6,"fdd/view?i=",I3710)</f>
        <v>https://www.dgiwg.org/FAD/fdd/view?i=204595</v>
      </c>
      <c r="K3710" s="304" t="s">
        <v>37759</v>
      </c>
      <c r="L3710" s="188">
        <v>32</v>
      </c>
      <c r="M3710" s="179" t="s">
        <v>1295</v>
      </c>
    </row>
    <row r="3711" spans="1:13" ht="25.5">
      <c r="A3711" s="313" t="str">
        <f t="shared" si="57"/>
        <v>HealthCareCapabilityCode_fitnessCentre</v>
      </c>
      <c r="B3711" s="330"/>
      <c r="C3711" s="334"/>
      <c r="D3711" s="188" t="s">
        <v>21525</v>
      </c>
      <c r="E3711" s="189" t="s">
        <v>21526</v>
      </c>
      <c r="F3711" s="190"/>
      <c r="G3711" s="190"/>
      <c r="H3711" s="219"/>
      <c r="I3711" s="169">
        <v>204596</v>
      </c>
      <c r="J3711" s="304" t="str">
        <f>CONCATENATE([2]Cover!$D$6,"fdd/view?i=",I3711)</f>
        <v>https://www.dgiwg.org/FAD/fdd/view?i=204596</v>
      </c>
      <c r="K3711" s="304" t="s">
        <v>37760</v>
      </c>
      <c r="L3711" s="188">
        <v>33</v>
      </c>
      <c r="M3711" s="179" t="s">
        <v>1295</v>
      </c>
    </row>
    <row r="3712" spans="1:13" ht="25.5">
      <c r="A3712" s="313" t="str">
        <f t="shared" si="57"/>
        <v>HealthCareCapabilityCode_freestandingAmbulatoryCare</v>
      </c>
      <c r="B3712" s="330"/>
      <c r="C3712" s="334"/>
      <c r="D3712" s="188" t="s">
        <v>23340</v>
      </c>
      <c r="E3712" s="189" t="s">
        <v>23341</v>
      </c>
      <c r="F3712" s="190"/>
      <c r="G3712" s="190"/>
      <c r="H3712" s="219"/>
      <c r="I3712" s="169">
        <v>204597</v>
      </c>
      <c r="J3712" s="304" t="str">
        <f>CONCATENATE([2]Cover!$D$6,"fdd/view?i=",I3712)</f>
        <v>https://www.dgiwg.org/FAD/fdd/view?i=204597</v>
      </c>
      <c r="K3712" s="304" t="s">
        <v>37761</v>
      </c>
      <c r="L3712" s="188">
        <v>34</v>
      </c>
      <c r="M3712" s="179" t="s">
        <v>1295</v>
      </c>
    </row>
    <row r="3713" spans="1:13" ht="25.5">
      <c r="A3713" s="313" t="str">
        <f t="shared" si="57"/>
        <v>HealthCareCapabilityCode_geriatricCare</v>
      </c>
      <c r="B3713" s="330"/>
      <c r="C3713" s="334"/>
      <c r="D3713" s="188" t="s">
        <v>23342</v>
      </c>
      <c r="E3713" s="189" t="s">
        <v>23343</v>
      </c>
      <c r="F3713" s="190"/>
      <c r="G3713" s="190"/>
      <c r="H3713" s="219"/>
      <c r="I3713" s="169">
        <v>204598</v>
      </c>
      <c r="J3713" s="304" t="str">
        <f>CONCATENATE([2]Cover!$D$6,"fdd/view?i=",I3713)</f>
        <v>https://www.dgiwg.org/FAD/fdd/view?i=204598</v>
      </c>
      <c r="K3713" s="304" t="s">
        <v>37762</v>
      </c>
      <c r="L3713" s="188">
        <v>35</v>
      </c>
      <c r="M3713" s="179" t="s">
        <v>1295</v>
      </c>
    </row>
    <row r="3714" spans="1:13" ht="25.5">
      <c r="A3714" s="313" t="str">
        <f t="shared" si="57"/>
        <v>HealthCareCapabilityCode_geriatricPsychiatry</v>
      </c>
      <c r="B3714" s="330"/>
      <c r="C3714" s="334"/>
      <c r="D3714" s="188" t="s">
        <v>23344</v>
      </c>
      <c r="E3714" s="189" t="s">
        <v>23345</v>
      </c>
      <c r="F3714" s="190"/>
      <c r="G3714" s="190"/>
      <c r="H3714" s="219"/>
      <c r="I3714" s="169">
        <v>204599</v>
      </c>
      <c r="J3714" s="304" t="str">
        <f>CONCATENATE([2]Cover!$D$6,"fdd/view?i=",I3714)</f>
        <v>https://www.dgiwg.org/FAD/fdd/view?i=204599</v>
      </c>
      <c r="K3714" s="304" t="s">
        <v>37763</v>
      </c>
      <c r="L3714" s="188">
        <v>36</v>
      </c>
      <c r="M3714" s="179" t="s">
        <v>1295</v>
      </c>
    </row>
    <row r="3715" spans="1:13" ht="25.5">
      <c r="A3715" s="313" t="str">
        <f t="shared" ref="A3715:A3778" si="58">HYPERLINK(J3715,K3715)</f>
        <v>HealthCareCapabilityCode_healthFacilityTransport</v>
      </c>
      <c r="B3715" s="330"/>
      <c r="C3715" s="334"/>
      <c r="D3715" s="188" t="s">
        <v>23346</v>
      </c>
      <c r="E3715" s="189" t="s">
        <v>23347</v>
      </c>
      <c r="F3715" s="190"/>
      <c r="G3715" s="190"/>
      <c r="H3715" s="219"/>
      <c r="I3715" s="169">
        <v>204600</v>
      </c>
      <c r="J3715" s="304" t="str">
        <f>CONCATENATE([2]Cover!$D$6,"fdd/view?i=",I3715)</f>
        <v>https://www.dgiwg.org/FAD/fdd/view?i=204600</v>
      </c>
      <c r="K3715" s="304" t="s">
        <v>37764</v>
      </c>
      <c r="L3715" s="188">
        <v>37</v>
      </c>
      <c r="M3715" s="179" t="s">
        <v>1295</v>
      </c>
    </row>
    <row r="3716" spans="1:13" ht="25.5">
      <c r="A3716" s="313" t="str">
        <f t="shared" si="58"/>
        <v>HealthCareCapabilityCode_healthFair</v>
      </c>
      <c r="B3716" s="330"/>
      <c r="C3716" s="334"/>
      <c r="D3716" s="188" t="s">
        <v>23348</v>
      </c>
      <c r="E3716" s="189" t="s">
        <v>23349</v>
      </c>
      <c r="F3716" s="190"/>
      <c r="G3716" s="190"/>
      <c r="H3716" s="219"/>
      <c r="I3716" s="169">
        <v>204601</v>
      </c>
      <c r="J3716" s="304" t="str">
        <f>CONCATENATE([2]Cover!$D$6,"fdd/view?i=",I3716)</f>
        <v>https://www.dgiwg.org/FAD/fdd/view?i=204601</v>
      </c>
      <c r="K3716" s="304" t="s">
        <v>37765</v>
      </c>
      <c r="L3716" s="188">
        <v>38</v>
      </c>
      <c r="M3716" s="179" t="s">
        <v>1295</v>
      </c>
    </row>
    <row r="3717" spans="1:13" ht="25.5">
      <c r="A3717" s="313" t="str">
        <f t="shared" si="58"/>
        <v>HealthCareCapabilityCode_healthInformationCentre</v>
      </c>
      <c r="B3717" s="330"/>
      <c r="C3717" s="334"/>
      <c r="D3717" s="188" t="s">
        <v>23350</v>
      </c>
      <c r="E3717" s="189" t="s">
        <v>23351</v>
      </c>
      <c r="F3717" s="190"/>
      <c r="G3717" s="190"/>
      <c r="H3717" s="219"/>
      <c r="I3717" s="169">
        <v>204602</v>
      </c>
      <c r="J3717" s="304" t="str">
        <f>CONCATENATE([2]Cover!$D$6,"fdd/view?i=",I3717)</f>
        <v>https://www.dgiwg.org/FAD/fdd/view?i=204602</v>
      </c>
      <c r="K3717" s="304" t="s">
        <v>37766</v>
      </c>
      <c r="L3717" s="188">
        <v>39</v>
      </c>
      <c r="M3717" s="179" t="s">
        <v>1295</v>
      </c>
    </row>
    <row r="3718" spans="1:13" ht="25.5">
      <c r="A3718" s="313" t="str">
        <f t="shared" si="58"/>
        <v>HealthCareCapabilityCode_healthScreening</v>
      </c>
      <c r="B3718" s="330"/>
      <c r="C3718" s="334"/>
      <c r="D3718" s="188" t="s">
        <v>23352</v>
      </c>
      <c r="E3718" s="189" t="s">
        <v>23353</v>
      </c>
      <c r="F3718" s="190"/>
      <c r="G3718" s="190"/>
      <c r="H3718" s="219"/>
      <c r="I3718" s="169">
        <v>204603</v>
      </c>
      <c r="J3718" s="304" t="str">
        <f>CONCATENATE([2]Cover!$D$6,"fdd/view?i=",I3718)</f>
        <v>https://www.dgiwg.org/FAD/fdd/view?i=204603</v>
      </c>
      <c r="K3718" s="304" t="s">
        <v>37767</v>
      </c>
      <c r="L3718" s="188">
        <v>40</v>
      </c>
      <c r="M3718" s="179" t="s">
        <v>1295</v>
      </c>
    </row>
    <row r="3719" spans="1:13" ht="25.5">
      <c r="A3719" s="313" t="str">
        <f t="shared" si="58"/>
        <v>HealthCareCapabilityCode_hemodialysis</v>
      </c>
      <c r="B3719" s="330"/>
      <c r="C3719" s="334"/>
      <c r="D3719" s="188" t="s">
        <v>23354</v>
      </c>
      <c r="E3719" s="189" t="s">
        <v>23355</v>
      </c>
      <c r="F3719" s="190"/>
      <c r="G3719" s="190"/>
      <c r="H3719" s="219"/>
      <c r="I3719" s="169">
        <v>204604</v>
      </c>
      <c r="J3719" s="304" t="str">
        <f>CONCATENATE([2]Cover!$D$6,"fdd/view?i=",I3719)</f>
        <v>https://www.dgiwg.org/FAD/fdd/view?i=204604</v>
      </c>
      <c r="K3719" s="304" t="s">
        <v>37768</v>
      </c>
      <c r="L3719" s="188">
        <v>41</v>
      </c>
      <c r="M3719" s="179" t="s">
        <v>1295</v>
      </c>
    </row>
    <row r="3720" spans="1:13" ht="25.5">
      <c r="A3720" s="313" t="str">
        <f t="shared" si="58"/>
        <v>HealthCareCapabilityCode_histopathologyLaboratory</v>
      </c>
      <c r="B3720" s="330"/>
      <c r="C3720" s="334"/>
      <c r="D3720" s="188" t="s">
        <v>23356</v>
      </c>
      <c r="E3720" s="189" t="s">
        <v>23357</v>
      </c>
      <c r="F3720" s="190"/>
      <c r="G3720" s="190"/>
      <c r="H3720" s="219"/>
      <c r="I3720" s="169">
        <v>204605</v>
      </c>
      <c r="J3720" s="304" t="str">
        <f>CONCATENATE([2]Cover!$D$6,"fdd/view?i=",I3720)</f>
        <v>https://www.dgiwg.org/FAD/fdd/view?i=204605</v>
      </c>
      <c r="K3720" s="304" t="s">
        <v>37769</v>
      </c>
      <c r="L3720" s="188">
        <v>42</v>
      </c>
      <c r="M3720" s="179" t="s">
        <v>1295</v>
      </c>
    </row>
    <row r="3721" spans="1:13" ht="25.5">
      <c r="A3721" s="313" t="str">
        <f t="shared" si="58"/>
        <v>HealthCareCapabilityCode_hivAidsCare</v>
      </c>
      <c r="B3721" s="330"/>
      <c r="C3721" s="334"/>
      <c r="D3721" s="188" t="s">
        <v>23358</v>
      </c>
      <c r="E3721" s="189" t="s">
        <v>23359</v>
      </c>
      <c r="F3721" s="190"/>
      <c r="G3721" s="190"/>
      <c r="H3721" s="219"/>
      <c r="I3721" s="169">
        <v>204606</v>
      </c>
      <c r="J3721" s="304" t="str">
        <f>CONCATENATE([2]Cover!$D$6,"fdd/view?i=",I3721)</f>
        <v>https://www.dgiwg.org/FAD/fdd/view?i=204606</v>
      </c>
      <c r="K3721" s="304" t="s">
        <v>37770</v>
      </c>
      <c r="L3721" s="188">
        <v>43</v>
      </c>
      <c r="M3721" s="179" t="s">
        <v>1295</v>
      </c>
    </row>
    <row r="3722" spans="1:13" ht="25.5">
      <c r="A3722" s="313" t="str">
        <f t="shared" si="58"/>
        <v>HealthCareCapabilityCode_homeHealthCare</v>
      </c>
      <c r="B3722" s="330"/>
      <c r="C3722" s="334"/>
      <c r="D3722" s="188" t="s">
        <v>23360</v>
      </c>
      <c r="E3722" s="189" t="s">
        <v>23361</v>
      </c>
      <c r="F3722" s="190"/>
      <c r="G3722" s="190"/>
      <c r="H3722" s="219"/>
      <c r="I3722" s="169">
        <v>204607</v>
      </c>
      <c r="J3722" s="304" t="str">
        <f>CONCATENATE([2]Cover!$D$6,"fdd/view?i=",I3722)</f>
        <v>https://www.dgiwg.org/FAD/fdd/view?i=204607</v>
      </c>
      <c r="K3722" s="304" t="s">
        <v>37771</v>
      </c>
      <c r="L3722" s="188">
        <v>44</v>
      </c>
      <c r="M3722" s="179" t="s">
        <v>1295</v>
      </c>
    </row>
    <row r="3723" spans="1:13" ht="25.5">
      <c r="A3723" s="313" t="str">
        <f t="shared" si="58"/>
        <v>HealthCareCapabilityCode_hospiceCare</v>
      </c>
      <c r="B3723" s="330"/>
      <c r="C3723" s="334"/>
      <c r="D3723" s="188" t="s">
        <v>23362</v>
      </c>
      <c r="E3723" s="189" t="s">
        <v>23363</v>
      </c>
      <c r="F3723" s="190"/>
      <c r="G3723" s="190"/>
      <c r="H3723" s="219"/>
      <c r="I3723" s="169">
        <v>204608</v>
      </c>
      <c r="J3723" s="304" t="str">
        <f>CONCATENATE([2]Cover!$D$6,"fdd/view?i=",I3723)</f>
        <v>https://www.dgiwg.org/FAD/fdd/view?i=204608</v>
      </c>
      <c r="K3723" s="304" t="s">
        <v>37772</v>
      </c>
      <c r="L3723" s="188">
        <v>45</v>
      </c>
      <c r="M3723" s="179" t="s">
        <v>1295</v>
      </c>
    </row>
    <row r="3724" spans="1:13" ht="25.5">
      <c r="A3724" s="313" t="str">
        <f t="shared" si="58"/>
        <v>HealthCareCapabilityCode_inHousePharmacy</v>
      </c>
      <c r="B3724" s="330"/>
      <c r="C3724" s="334"/>
      <c r="D3724" s="188" t="s">
        <v>23364</v>
      </c>
      <c r="E3724" s="189" t="s">
        <v>23365</v>
      </c>
      <c r="F3724" s="190"/>
      <c r="G3724" s="190"/>
      <c r="H3724" s="219"/>
      <c r="I3724" s="169">
        <v>204609</v>
      </c>
      <c r="J3724" s="304" t="str">
        <f>CONCATENATE([2]Cover!$D$6,"fdd/view?i=",I3724)</f>
        <v>https://www.dgiwg.org/FAD/fdd/view?i=204609</v>
      </c>
      <c r="K3724" s="304" t="s">
        <v>37773</v>
      </c>
      <c r="L3724" s="188">
        <v>46</v>
      </c>
      <c r="M3724" s="179" t="s">
        <v>1295</v>
      </c>
    </row>
    <row r="3725" spans="1:13" ht="25.5">
      <c r="A3725" s="313" t="str">
        <f t="shared" si="58"/>
        <v>HealthCareCapabilityCode_mealsOnWheels</v>
      </c>
      <c r="B3725" s="330"/>
      <c r="C3725" s="334"/>
      <c r="D3725" s="188" t="s">
        <v>23368</v>
      </c>
      <c r="E3725" s="189" t="s">
        <v>23369</v>
      </c>
      <c r="F3725" s="190"/>
      <c r="G3725" s="190"/>
      <c r="H3725" s="219"/>
      <c r="I3725" s="169">
        <v>204610</v>
      </c>
      <c r="J3725" s="304" t="str">
        <f>CONCATENATE([2]Cover!$D$6,"fdd/view?i=",I3725)</f>
        <v>https://www.dgiwg.org/FAD/fdd/view?i=204610</v>
      </c>
      <c r="K3725" s="304" t="s">
        <v>37774</v>
      </c>
      <c r="L3725" s="188">
        <v>47</v>
      </c>
      <c r="M3725" s="179" t="s">
        <v>1295</v>
      </c>
    </row>
    <row r="3726" spans="1:13" ht="25.5">
      <c r="A3726" s="313" t="str">
        <f t="shared" si="58"/>
        <v>HealthCareCapabilityCode_medicalLibrary</v>
      </c>
      <c r="B3726" s="330"/>
      <c r="C3726" s="334"/>
      <c r="D3726" s="188" t="s">
        <v>23370</v>
      </c>
      <c r="E3726" s="189" t="s">
        <v>23371</v>
      </c>
      <c r="F3726" s="190"/>
      <c r="G3726" s="190"/>
      <c r="H3726" s="219"/>
      <c r="I3726" s="169">
        <v>204611</v>
      </c>
      <c r="J3726" s="304" t="str">
        <f>CONCATENATE([2]Cover!$D$6,"fdd/view?i=",I3726)</f>
        <v>https://www.dgiwg.org/FAD/fdd/view?i=204611</v>
      </c>
      <c r="K3726" s="304" t="s">
        <v>37775</v>
      </c>
      <c r="L3726" s="188">
        <v>48</v>
      </c>
      <c r="M3726" s="179" t="s">
        <v>1295</v>
      </c>
    </row>
    <row r="3727" spans="1:13" ht="25.5">
      <c r="A3727" s="313" t="str">
        <f t="shared" si="58"/>
        <v>HealthCareCapabilityCode_medicalSurgicalIntCare</v>
      </c>
      <c r="B3727" s="330"/>
      <c r="C3727" s="334"/>
      <c r="D3727" s="188" t="s">
        <v>23372</v>
      </c>
      <c r="E3727" s="189" t="s">
        <v>23373</v>
      </c>
      <c r="F3727" s="190"/>
      <c r="G3727" s="190"/>
      <c r="H3727" s="219"/>
      <c r="I3727" s="169">
        <v>204612</v>
      </c>
      <c r="J3727" s="304" t="str">
        <f>CONCATENATE([2]Cover!$D$6,"fdd/view?i=",I3727)</f>
        <v>https://www.dgiwg.org/FAD/fdd/view?i=204612</v>
      </c>
      <c r="K3727" s="304" t="s">
        <v>37776</v>
      </c>
      <c r="L3727" s="188">
        <v>49</v>
      </c>
      <c r="M3727" s="179" t="s">
        <v>1295</v>
      </c>
    </row>
    <row r="3728" spans="1:13" ht="25.5">
      <c r="A3728" s="313" t="str">
        <f t="shared" si="58"/>
        <v>HealthCareCapabilityCode_mriImaging</v>
      </c>
      <c r="B3728" s="330"/>
      <c r="C3728" s="334"/>
      <c r="D3728" s="188" t="s">
        <v>23366</v>
      </c>
      <c r="E3728" s="189" t="s">
        <v>23367</v>
      </c>
      <c r="F3728" s="190"/>
      <c r="G3728" s="190"/>
      <c r="H3728" s="219"/>
      <c r="I3728" s="169">
        <v>204613</v>
      </c>
      <c r="J3728" s="304" t="str">
        <f>CONCATENATE([2]Cover!$D$6,"fdd/view?i=",I3728)</f>
        <v>https://www.dgiwg.org/FAD/fdd/view?i=204613</v>
      </c>
      <c r="K3728" s="304" t="s">
        <v>37777</v>
      </c>
      <c r="L3728" s="188">
        <v>50</v>
      </c>
      <c r="M3728" s="179" t="s">
        <v>1295</v>
      </c>
    </row>
    <row r="3729" spans="1:13" ht="25.5">
      <c r="A3729" s="313" t="str">
        <f t="shared" si="58"/>
        <v>HealthCareCapabilityCode_neonatalIntensiveCare</v>
      </c>
      <c r="B3729" s="330"/>
      <c r="C3729" s="334"/>
      <c r="D3729" s="188" t="s">
        <v>23374</v>
      </c>
      <c r="E3729" s="189" t="s">
        <v>23375</v>
      </c>
      <c r="F3729" s="190"/>
      <c r="G3729" s="190"/>
      <c r="H3729" s="219"/>
      <c r="I3729" s="169">
        <v>204614</v>
      </c>
      <c r="J3729" s="304" t="str">
        <f>CONCATENATE([2]Cover!$D$6,"fdd/view?i=",I3729)</f>
        <v>https://www.dgiwg.org/FAD/fdd/view?i=204614</v>
      </c>
      <c r="K3729" s="304" t="s">
        <v>37778</v>
      </c>
      <c r="L3729" s="188">
        <v>51</v>
      </c>
      <c r="M3729" s="179" t="s">
        <v>1295</v>
      </c>
    </row>
    <row r="3730" spans="1:13" ht="25.5">
      <c r="A3730" s="313" t="str">
        <f t="shared" si="58"/>
        <v>HealthCareCapabilityCode_nonInvasiveCardiacAssess</v>
      </c>
      <c r="B3730" s="330"/>
      <c r="C3730" s="334"/>
      <c r="D3730" s="188" t="s">
        <v>23376</v>
      </c>
      <c r="E3730" s="189" t="s">
        <v>23377</v>
      </c>
      <c r="F3730" s="190"/>
      <c r="G3730" s="190"/>
      <c r="H3730" s="219"/>
      <c r="I3730" s="169">
        <v>204615</v>
      </c>
      <c r="J3730" s="304" t="str">
        <f>CONCATENATE([2]Cover!$D$6,"fdd/view?i=",I3730)</f>
        <v>https://www.dgiwg.org/FAD/fdd/view?i=204615</v>
      </c>
      <c r="K3730" s="304" t="s">
        <v>37779</v>
      </c>
      <c r="L3730" s="188">
        <v>52</v>
      </c>
      <c r="M3730" s="179" t="s">
        <v>1295</v>
      </c>
    </row>
    <row r="3731" spans="1:13" ht="25.5">
      <c r="A3731" s="313" t="str">
        <f t="shared" si="58"/>
        <v>HealthCareCapabilityCode_nutritionProgram</v>
      </c>
      <c r="B3731" s="330"/>
      <c r="C3731" s="334"/>
      <c r="D3731" s="188" t="s">
        <v>23378</v>
      </c>
      <c r="E3731" s="189" t="s">
        <v>23379</v>
      </c>
      <c r="F3731" s="190"/>
      <c r="G3731" s="190"/>
      <c r="H3731" s="219"/>
      <c r="I3731" s="169">
        <v>204616</v>
      </c>
      <c r="J3731" s="304" t="str">
        <f>CONCATENATE([2]Cover!$D$6,"fdd/view?i=",I3731)</f>
        <v>https://www.dgiwg.org/FAD/fdd/view?i=204616</v>
      </c>
      <c r="K3731" s="304" t="s">
        <v>37780</v>
      </c>
      <c r="L3731" s="188">
        <v>53</v>
      </c>
      <c r="M3731" s="179" t="s">
        <v>1295</v>
      </c>
    </row>
    <row r="3732" spans="1:13" ht="25.5">
      <c r="A3732" s="313" t="str">
        <f t="shared" si="58"/>
        <v>HealthCareCapabilityCode_obstetricCare</v>
      </c>
      <c r="B3732" s="330"/>
      <c r="C3732" s="334"/>
      <c r="D3732" s="188" t="s">
        <v>23380</v>
      </c>
      <c r="E3732" s="189" t="s">
        <v>23381</v>
      </c>
      <c r="F3732" s="190"/>
      <c r="G3732" s="190"/>
      <c r="H3732" s="219"/>
      <c r="I3732" s="169">
        <v>204617</v>
      </c>
      <c r="J3732" s="304" t="str">
        <f>CONCATENATE([2]Cover!$D$6,"fdd/view?i=",I3732)</f>
        <v>https://www.dgiwg.org/FAD/fdd/view?i=204617</v>
      </c>
      <c r="K3732" s="304" t="s">
        <v>37781</v>
      </c>
      <c r="L3732" s="188">
        <v>54</v>
      </c>
      <c r="M3732" s="179" t="s">
        <v>1295</v>
      </c>
    </row>
    <row r="3733" spans="1:13" ht="25.5">
      <c r="A3733" s="313" t="str">
        <f t="shared" si="58"/>
        <v>HealthCareCapabilityCode_occupationalHealthCare</v>
      </c>
      <c r="B3733" s="330"/>
      <c r="C3733" s="334"/>
      <c r="D3733" s="188" t="s">
        <v>23382</v>
      </c>
      <c r="E3733" s="189" t="s">
        <v>23383</v>
      </c>
      <c r="F3733" s="190"/>
      <c r="G3733" s="190"/>
      <c r="H3733" s="219"/>
      <c r="I3733" s="169">
        <v>204618</v>
      </c>
      <c r="J3733" s="304" t="str">
        <f>CONCATENATE([2]Cover!$D$6,"fdd/view?i=",I3733)</f>
        <v>https://www.dgiwg.org/FAD/fdd/view?i=204618</v>
      </c>
      <c r="K3733" s="304" t="s">
        <v>37782</v>
      </c>
      <c r="L3733" s="188">
        <v>55</v>
      </c>
      <c r="M3733" s="179" t="s">
        <v>1295</v>
      </c>
    </row>
    <row r="3734" spans="1:13" ht="25.5">
      <c r="A3734" s="313" t="str">
        <f t="shared" si="58"/>
        <v>HealthCareCapabilityCode_occupationalTherapy</v>
      </c>
      <c r="B3734" s="330"/>
      <c r="C3734" s="334"/>
      <c r="D3734" s="188" t="s">
        <v>23384</v>
      </c>
      <c r="E3734" s="189" t="s">
        <v>23385</v>
      </c>
      <c r="F3734" s="190"/>
      <c r="G3734" s="190"/>
      <c r="H3734" s="219"/>
      <c r="I3734" s="169">
        <v>204619</v>
      </c>
      <c r="J3734" s="304" t="str">
        <f>CONCATENATE([2]Cover!$D$6,"fdd/view?i=",I3734)</f>
        <v>https://www.dgiwg.org/FAD/fdd/view?i=204619</v>
      </c>
      <c r="K3734" s="304" t="s">
        <v>37783</v>
      </c>
      <c r="L3734" s="188">
        <v>56</v>
      </c>
      <c r="M3734" s="179" t="s">
        <v>1295</v>
      </c>
    </row>
    <row r="3735" spans="1:13" ht="25.5">
      <c r="A3735" s="313" t="str">
        <f t="shared" si="58"/>
        <v>HealthCareCapabilityCode_openHeartSurgery</v>
      </c>
      <c r="B3735" s="330"/>
      <c r="C3735" s="334"/>
      <c r="D3735" s="188" t="s">
        <v>23386</v>
      </c>
      <c r="E3735" s="189" t="s">
        <v>23387</v>
      </c>
      <c r="F3735" s="190"/>
      <c r="G3735" s="190"/>
      <c r="H3735" s="219"/>
      <c r="I3735" s="169">
        <v>204620</v>
      </c>
      <c r="J3735" s="304" t="str">
        <f>CONCATENATE([2]Cover!$D$6,"fdd/view?i=",I3735)</f>
        <v>https://www.dgiwg.org/FAD/fdd/view?i=204620</v>
      </c>
      <c r="K3735" s="304" t="s">
        <v>37784</v>
      </c>
      <c r="L3735" s="188">
        <v>57</v>
      </c>
      <c r="M3735" s="179" t="s">
        <v>1295</v>
      </c>
    </row>
    <row r="3736" spans="1:13" ht="25.5">
      <c r="A3736" s="313" t="str">
        <f t="shared" si="58"/>
        <v>HealthCareCapabilityCode_orthopedicSurgery</v>
      </c>
      <c r="B3736" s="330"/>
      <c r="C3736" s="334"/>
      <c r="D3736" s="188" t="s">
        <v>23388</v>
      </c>
      <c r="E3736" s="189" t="s">
        <v>23389</v>
      </c>
      <c r="F3736" s="190"/>
      <c r="G3736" s="190"/>
      <c r="H3736" s="219"/>
      <c r="I3736" s="169">
        <v>204621</v>
      </c>
      <c r="J3736" s="304" t="str">
        <f>CONCATENATE([2]Cover!$D$6,"fdd/view?i=",I3736)</f>
        <v>https://www.dgiwg.org/FAD/fdd/view?i=204621</v>
      </c>
      <c r="K3736" s="304" t="s">
        <v>37785</v>
      </c>
      <c r="L3736" s="188">
        <v>58</v>
      </c>
      <c r="M3736" s="179" t="s">
        <v>1295</v>
      </c>
    </row>
    <row r="3737" spans="1:13" ht="25.5">
      <c r="A3737" s="313" t="str">
        <f t="shared" si="58"/>
        <v>HealthCareCapabilityCode_outpatientCare</v>
      </c>
      <c r="B3737" s="330"/>
      <c r="C3737" s="334"/>
      <c r="D3737" s="188" t="s">
        <v>23390</v>
      </c>
      <c r="E3737" s="189" t="s">
        <v>23391</v>
      </c>
      <c r="F3737" s="190"/>
      <c r="G3737" s="190"/>
      <c r="H3737" s="219"/>
      <c r="I3737" s="169">
        <v>204622</v>
      </c>
      <c r="J3737" s="304" t="str">
        <f>CONCATENATE([2]Cover!$D$6,"fdd/view?i=",I3737)</f>
        <v>https://www.dgiwg.org/FAD/fdd/view?i=204622</v>
      </c>
      <c r="K3737" s="304" t="s">
        <v>37786</v>
      </c>
      <c r="L3737" s="188">
        <v>59</v>
      </c>
      <c r="M3737" s="179" t="s">
        <v>1295</v>
      </c>
    </row>
    <row r="3738" spans="1:13" ht="25.5">
      <c r="A3738" s="313" t="str">
        <f t="shared" si="58"/>
        <v>HealthCareCapabilityCode_outpatientPsychiatry</v>
      </c>
      <c r="B3738" s="330"/>
      <c r="C3738" s="334"/>
      <c r="D3738" s="188" t="s">
        <v>23392</v>
      </c>
      <c r="E3738" s="189" t="s">
        <v>23393</v>
      </c>
      <c r="F3738" s="190"/>
      <c r="G3738" s="190"/>
      <c r="H3738" s="219"/>
      <c r="I3738" s="169">
        <v>204623</v>
      </c>
      <c r="J3738" s="304" t="str">
        <f>CONCATENATE([2]Cover!$D$6,"fdd/view?i=",I3738)</f>
        <v>https://www.dgiwg.org/FAD/fdd/view?i=204623</v>
      </c>
      <c r="K3738" s="304" t="s">
        <v>37787</v>
      </c>
      <c r="L3738" s="188">
        <v>60</v>
      </c>
      <c r="M3738" s="179" t="s">
        <v>1295</v>
      </c>
    </row>
    <row r="3739" spans="1:13" ht="25.5">
      <c r="A3739" s="313" t="str">
        <f t="shared" si="58"/>
        <v>HealthCareCapabilityCode_painManagement</v>
      </c>
      <c r="B3739" s="330"/>
      <c r="C3739" s="334"/>
      <c r="D3739" s="188" t="s">
        <v>23394</v>
      </c>
      <c r="E3739" s="189" t="s">
        <v>23395</v>
      </c>
      <c r="F3739" s="190"/>
      <c r="G3739" s="190"/>
      <c r="H3739" s="219"/>
      <c r="I3739" s="169">
        <v>204624</v>
      </c>
      <c r="J3739" s="304" t="str">
        <f>CONCATENATE([2]Cover!$D$6,"fdd/view?i=",I3739)</f>
        <v>https://www.dgiwg.org/FAD/fdd/view?i=204624</v>
      </c>
      <c r="K3739" s="304" t="s">
        <v>37788</v>
      </c>
      <c r="L3739" s="188">
        <v>61</v>
      </c>
      <c r="M3739" s="179" t="s">
        <v>1295</v>
      </c>
    </row>
    <row r="3740" spans="1:13" ht="25.5">
      <c r="A3740" s="313" t="str">
        <f t="shared" si="58"/>
        <v>HealthCareCapabilityCode_pastoralCare</v>
      </c>
      <c r="B3740" s="330"/>
      <c r="C3740" s="334"/>
      <c r="D3740" s="188" t="s">
        <v>23396</v>
      </c>
      <c r="E3740" s="189" t="s">
        <v>23397</v>
      </c>
      <c r="F3740" s="190"/>
      <c r="G3740" s="190"/>
      <c r="H3740" s="219"/>
      <c r="I3740" s="169">
        <v>204625</v>
      </c>
      <c r="J3740" s="304" t="str">
        <f>CONCATENATE([2]Cover!$D$6,"fdd/view?i=",I3740)</f>
        <v>https://www.dgiwg.org/FAD/fdd/view?i=204625</v>
      </c>
      <c r="K3740" s="304" t="s">
        <v>37789</v>
      </c>
      <c r="L3740" s="188">
        <v>62</v>
      </c>
      <c r="M3740" s="179" t="s">
        <v>1295</v>
      </c>
    </row>
    <row r="3741" spans="1:13" ht="25.5">
      <c r="A3741" s="313" t="str">
        <f t="shared" si="58"/>
        <v>HealthCareCapabilityCode_patientEducation</v>
      </c>
      <c r="B3741" s="330"/>
      <c r="C3741" s="334"/>
      <c r="D3741" s="188" t="s">
        <v>23398</v>
      </c>
      <c r="E3741" s="189" t="s">
        <v>23399</v>
      </c>
      <c r="F3741" s="190"/>
      <c r="G3741" s="190"/>
      <c r="H3741" s="219"/>
      <c r="I3741" s="169">
        <v>204626</v>
      </c>
      <c r="J3741" s="304" t="str">
        <f>CONCATENATE([2]Cover!$D$6,"fdd/view?i=",I3741)</f>
        <v>https://www.dgiwg.org/FAD/fdd/view?i=204626</v>
      </c>
      <c r="K3741" s="304" t="s">
        <v>37790</v>
      </c>
      <c r="L3741" s="188">
        <v>63</v>
      </c>
      <c r="M3741" s="179" t="s">
        <v>1295</v>
      </c>
    </row>
    <row r="3742" spans="1:13" ht="25.5">
      <c r="A3742" s="313" t="str">
        <f t="shared" si="58"/>
        <v>HealthCareCapabilityCode_patientRepresentative</v>
      </c>
      <c r="B3742" s="330"/>
      <c r="C3742" s="334"/>
      <c r="D3742" s="188" t="s">
        <v>23400</v>
      </c>
      <c r="E3742" s="189" t="s">
        <v>23401</v>
      </c>
      <c r="F3742" s="190"/>
      <c r="G3742" s="190"/>
      <c r="H3742" s="219"/>
      <c r="I3742" s="169">
        <v>204627</v>
      </c>
      <c r="J3742" s="304" t="str">
        <f>CONCATENATE([2]Cover!$D$6,"fdd/view?i=",I3742)</f>
        <v>https://www.dgiwg.org/FAD/fdd/view?i=204627</v>
      </c>
      <c r="K3742" s="304" t="s">
        <v>37791</v>
      </c>
      <c r="L3742" s="188">
        <v>64</v>
      </c>
      <c r="M3742" s="179" t="s">
        <v>1295</v>
      </c>
    </row>
    <row r="3743" spans="1:13" ht="25.5">
      <c r="A3743" s="313" t="str">
        <f t="shared" si="58"/>
        <v>HealthCareCapabilityCode_pediatricCare</v>
      </c>
      <c r="B3743" s="330"/>
      <c r="C3743" s="334"/>
      <c r="D3743" s="188" t="s">
        <v>23402</v>
      </c>
      <c r="E3743" s="189" t="s">
        <v>23403</v>
      </c>
      <c r="F3743" s="190"/>
      <c r="G3743" s="190"/>
      <c r="H3743" s="219"/>
      <c r="I3743" s="169">
        <v>204628</v>
      </c>
      <c r="J3743" s="304" t="str">
        <f>CONCATENATE([2]Cover!$D$6,"fdd/view?i=",I3743)</f>
        <v>https://www.dgiwg.org/FAD/fdd/view?i=204628</v>
      </c>
      <c r="K3743" s="304" t="s">
        <v>37792</v>
      </c>
      <c r="L3743" s="188">
        <v>65</v>
      </c>
      <c r="M3743" s="179" t="s">
        <v>1295</v>
      </c>
    </row>
    <row r="3744" spans="1:13" ht="25.5">
      <c r="A3744" s="313" t="str">
        <f t="shared" si="58"/>
        <v>HealthCareCapabilityCode_pediatricIntensiveCare</v>
      </c>
      <c r="B3744" s="330"/>
      <c r="C3744" s="334"/>
      <c r="D3744" s="188" t="s">
        <v>23404</v>
      </c>
      <c r="E3744" s="189" t="s">
        <v>23405</v>
      </c>
      <c r="F3744" s="190"/>
      <c r="G3744" s="190"/>
      <c r="H3744" s="219"/>
      <c r="I3744" s="169">
        <v>204629</v>
      </c>
      <c r="J3744" s="304" t="str">
        <f>CONCATENATE([2]Cover!$D$6,"fdd/view?i=",I3744)</f>
        <v>https://www.dgiwg.org/FAD/fdd/view?i=204629</v>
      </c>
      <c r="K3744" s="304" t="s">
        <v>37793</v>
      </c>
      <c r="L3744" s="188">
        <v>66</v>
      </c>
      <c r="M3744" s="179" t="s">
        <v>1295</v>
      </c>
    </row>
    <row r="3745" spans="1:13" ht="25.5">
      <c r="A3745" s="313" t="str">
        <f t="shared" si="58"/>
        <v>HealthCareCapabilityCode_pediatricPsychiatry</v>
      </c>
      <c r="B3745" s="330"/>
      <c r="C3745" s="334"/>
      <c r="D3745" s="188" t="s">
        <v>23406</v>
      </c>
      <c r="E3745" s="189" t="s">
        <v>23407</v>
      </c>
      <c r="F3745" s="190"/>
      <c r="G3745" s="190"/>
      <c r="H3745" s="219"/>
      <c r="I3745" s="169">
        <v>204630</v>
      </c>
      <c r="J3745" s="304" t="str">
        <f>CONCATENATE([2]Cover!$D$6,"fdd/view?i=",I3745)</f>
        <v>https://www.dgiwg.org/FAD/fdd/view?i=204630</v>
      </c>
      <c r="K3745" s="304" t="s">
        <v>37794</v>
      </c>
      <c r="L3745" s="188">
        <v>67</v>
      </c>
      <c r="M3745" s="179" t="s">
        <v>1295</v>
      </c>
    </row>
    <row r="3746" spans="1:13" ht="25.5">
      <c r="A3746" s="313" t="str">
        <f t="shared" si="58"/>
        <v>HealthCareCapabilityCode_pediatricWellness</v>
      </c>
      <c r="B3746" s="330"/>
      <c r="C3746" s="334"/>
      <c r="D3746" s="188" t="s">
        <v>23408</v>
      </c>
      <c r="E3746" s="189" t="s">
        <v>23409</v>
      </c>
      <c r="F3746" s="190"/>
      <c r="G3746" s="190"/>
      <c r="H3746" s="219"/>
      <c r="I3746" s="169">
        <v>204631</v>
      </c>
      <c r="J3746" s="304" t="str">
        <f>CONCATENATE([2]Cover!$D$6,"fdd/view?i=",I3746)</f>
        <v>https://www.dgiwg.org/FAD/fdd/view?i=204631</v>
      </c>
      <c r="K3746" s="304" t="s">
        <v>37795</v>
      </c>
      <c r="L3746" s="188">
        <v>68</v>
      </c>
      <c r="M3746" s="179" t="s">
        <v>1295</v>
      </c>
    </row>
    <row r="3747" spans="1:13" ht="38.25">
      <c r="A3747" s="313" t="str">
        <f t="shared" si="58"/>
        <v>HealthCareCapabilityCode_petImaging</v>
      </c>
      <c r="B3747" s="330"/>
      <c r="C3747" s="334"/>
      <c r="D3747" s="188" t="s">
        <v>23416</v>
      </c>
      <c r="E3747" s="189" t="s">
        <v>23417</v>
      </c>
      <c r="F3747" s="190"/>
      <c r="G3747" s="190"/>
      <c r="H3747" s="219"/>
      <c r="I3747" s="169">
        <v>204632</v>
      </c>
      <c r="J3747" s="304" t="str">
        <f>CONCATENATE([2]Cover!$D$6,"fdd/view?i=",I3747)</f>
        <v>https://www.dgiwg.org/FAD/fdd/view?i=204632</v>
      </c>
      <c r="K3747" s="304" t="s">
        <v>37796</v>
      </c>
      <c r="L3747" s="188">
        <v>69</v>
      </c>
      <c r="M3747" s="179" t="s">
        <v>1295</v>
      </c>
    </row>
    <row r="3748" spans="1:13" ht="25.5">
      <c r="A3748" s="313" t="str">
        <f t="shared" si="58"/>
        <v>HealthCareCapabilityCode_physicalRehabInpatient</v>
      </c>
      <c r="B3748" s="330"/>
      <c r="C3748" s="334"/>
      <c r="D3748" s="188" t="s">
        <v>23410</v>
      </c>
      <c r="E3748" s="189" t="s">
        <v>23411</v>
      </c>
      <c r="F3748" s="190"/>
      <c r="G3748" s="190"/>
      <c r="H3748" s="219"/>
      <c r="I3748" s="169">
        <v>204633</v>
      </c>
      <c r="J3748" s="304" t="str">
        <f>CONCATENATE([2]Cover!$D$6,"fdd/view?i=",I3748)</f>
        <v>https://www.dgiwg.org/FAD/fdd/view?i=204633</v>
      </c>
      <c r="K3748" s="304" t="s">
        <v>37797</v>
      </c>
      <c r="L3748" s="188">
        <v>70</v>
      </c>
      <c r="M3748" s="179" t="s">
        <v>1295</v>
      </c>
    </row>
    <row r="3749" spans="1:13" ht="25.5">
      <c r="A3749" s="313" t="str">
        <f t="shared" si="58"/>
        <v>HealthCareCapabilityCode_physicalRehabOutpatient</v>
      </c>
      <c r="B3749" s="330"/>
      <c r="C3749" s="334"/>
      <c r="D3749" s="188" t="s">
        <v>23412</v>
      </c>
      <c r="E3749" s="189" t="s">
        <v>23413</v>
      </c>
      <c r="F3749" s="190"/>
      <c r="G3749" s="190"/>
      <c r="H3749" s="219"/>
      <c r="I3749" s="169">
        <v>204634</v>
      </c>
      <c r="J3749" s="304" t="str">
        <f>CONCATENATE([2]Cover!$D$6,"fdd/view?i=",I3749)</f>
        <v>https://www.dgiwg.org/FAD/fdd/view?i=204634</v>
      </c>
      <c r="K3749" s="304" t="s">
        <v>37798</v>
      </c>
      <c r="L3749" s="188">
        <v>71</v>
      </c>
      <c r="M3749" s="179" t="s">
        <v>1295</v>
      </c>
    </row>
    <row r="3750" spans="1:13" ht="25.5">
      <c r="A3750" s="313" t="str">
        <f t="shared" si="58"/>
        <v>HealthCareCapabilityCode_physicalTherapy</v>
      </c>
      <c r="B3750" s="330"/>
      <c r="C3750" s="334"/>
      <c r="D3750" s="188" t="s">
        <v>23414</v>
      </c>
      <c r="E3750" s="189" t="s">
        <v>23415</v>
      </c>
      <c r="F3750" s="190"/>
      <c r="G3750" s="190"/>
      <c r="H3750" s="219"/>
      <c r="I3750" s="169">
        <v>204635</v>
      </c>
      <c r="J3750" s="304" t="str">
        <f>CONCATENATE([2]Cover!$D$6,"fdd/view?i=",I3750)</f>
        <v>https://www.dgiwg.org/FAD/fdd/view?i=204635</v>
      </c>
      <c r="K3750" s="304" t="s">
        <v>37799</v>
      </c>
      <c r="L3750" s="188">
        <v>72</v>
      </c>
      <c r="M3750" s="179" t="s">
        <v>1295</v>
      </c>
    </row>
    <row r="3751" spans="1:13" ht="25.5">
      <c r="A3751" s="313" t="str">
        <f t="shared" si="58"/>
        <v>HealthCareCapabilityCode_primaryCare</v>
      </c>
      <c r="B3751" s="330"/>
      <c r="C3751" s="334"/>
      <c r="D3751" s="188" t="s">
        <v>23418</v>
      </c>
      <c r="E3751" s="189" t="s">
        <v>23419</v>
      </c>
      <c r="F3751" s="190"/>
      <c r="G3751" s="190"/>
      <c r="H3751" s="219"/>
      <c r="I3751" s="169">
        <v>204636</v>
      </c>
      <c r="J3751" s="304" t="str">
        <f>CONCATENATE([2]Cover!$D$6,"fdd/view?i=",I3751)</f>
        <v>https://www.dgiwg.org/FAD/fdd/view?i=204636</v>
      </c>
      <c r="K3751" s="304" t="s">
        <v>37800</v>
      </c>
      <c r="L3751" s="188">
        <v>73</v>
      </c>
      <c r="M3751" s="179" t="s">
        <v>1295</v>
      </c>
    </row>
    <row r="3752" spans="1:13" ht="25.5">
      <c r="A3752" s="313" t="str">
        <f t="shared" si="58"/>
        <v>HealthCareCapabilityCode_psychiatricCare</v>
      </c>
      <c r="B3752" s="330"/>
      <c r="C3752" s="334"/>
      <c r="D3752" s="188" t="s">
        <v>23420</v>
      </c>
      <c r="E3752" s="189" t="s">
        <v>23421</v>
      </c>
      <c r="F3752" s="190"/>
      <c r="G3752" s="190"/>
      <c r="H3752" s="219"/>
      <c r="I3752" s="169">
        <v>204637</v>
      </c>
      <c r="J3752" s="304" t="str">
        <f>CONCATENATE([2]Cover!$D$6,"fdd/view?i=",I3752)</f>
        <v>https://www.dgiwg.org/FAD/fdd/view?i=204637</v>
      </c>
      <c r="K3752" s="304" t="s">
        <v>37801</v>
      </c>
      <c r="L3752" s="188">
        <v>74</v>
      </c>
      <c r="M3752" s="179" t="s">
        <v>1295</v>
      </c>
    </row>
    <row r="3753" spans="1:13" ht="25.5">
      <c r="A3753" s="313" t="str">
        <f t="shared" si="58"/>
        <v>HealthCareCapabilityCode_psychiatricConsultLiaison</v>
      </c>
      <c r="B3753" s="330"/>
      <c r="C3753" s="334"/>
      <c r="D3753" s="188" t="s">
        <v>23422</v>
      </c>
      <c r="E3753" s="189" t="s">
        <v>23423</v>
      </c>
      <c r="F3753" s="190"/>
      <c r="G3753" s="190"/>
      <c r="H3753" s="219"/>
      <c r="I3753" s="169">
        <v>204638</v>
      </c>
      <c r="J3753" s="304" t="str">
        <f>CONCATENATE([2]Cover!$D$6,"fdd/view?i=",I3753)</f>
        <v>https://www.dgiwg.org/FAD/fdd/view?i=204638</v>
      </c>
      <c r="K3753" s="304" t="s">
        <v>37802</v>
      </c>
      <c r="L3753" s="188">
        <v>75</v>
      </c>
      <c r="M3753" s="179" t="s">
        <v>1295</v>
      </c>
    </row>
    <row r="3754" spans="1:13" ht="25.5">
      <c r="A3754" s="313" t="str">
        <f t="shared" si="58"/>
        <v>HealthCareCapabilityCode_psychiatricEducation</v>
      </c>
      <c r="B3754" s="330"/>
      <c r="C3754" s="334"/>
      <c r="D3754" s="188" t="s">
        <v>23424</v>
      </c>
      <c r="E3754" s="189" t="s">
        <v>23425</v>
      </c>
      <c r="F3754" s="190"/>
      <c r="G3754" s="190"/>
      <c r="H3754" s="219"/>
      <c r="I3754" s="169">
        <v>204639</v>
      </c>
      <c r="J3754" s="304" t="str">
        <f>CONCATENATE([2]Cover!$D$6,"fdd/view?i=",I3754)</f>
        <v>https://www.dgiwg.org/FAD/fdd/view?i=204639</v>
      </c>
      <c r="K3754" s="304" t="s">
        <v>37803</v>
      </c>
      <c r="L3754" s="188">
        <v>76</v>
      </c>
      <c r="M3754" s="179" t="s">
        <v>1295</v>
      </c>
    </row>
    <row r="3755" spans="1:13" ht="25.5">
      <c r="A3755" s="313" t="str">
        <f t="shared" si="58"/>
        <v>HealthCareCapabilityCode_psychiatricEmergencyCare</v>
      </c>
      <c r="B3755" s="330"/>
      <c r="C3755" s="334"/>
      <c r="D3755" s="188" t="s">
        <v>23426</v>
      </c>
      <c r="E3755" s="189" t="s">
        <v>23427</v>
      </c>
      <c r="F3755" s="190"/>
      <c r="G3755" s="190"/>
      <c r="H3755" s="219"/>
      <c r="I3755" s="169">
        <v>204640</v>
      </c>
      <c r="J3755" s="304" t="str">
        <f>CONCATENATE([2]Cover!$D$6,"fdd/view?i=",I3755)</f>
        <v>https://www.dgiwg.org/FAD/fdd/view?i=204640</v>
      </c>
      <c r="K3755" s="304" t="s">
        <v>37804</v>
      </c>
      <c r="L3755" s="188">
        <v>77</v>
      </c>
      <c r="M3755" s="179" t="s">
        <v>1295</v>
      </c>
    </row>
    <row r="3756" spans="1:13" ht="25.5">
      <c r="A3756" s="313" t="str">
        <f t="shared" si="58"/>
        <v>HealthCareCapabilityCode_psychiatricPartialHospCare</v>
      </c>
      <c r="B3756" s="330"/>
      <c r="C3756" s="334"/>
      <c r="D3756" s="188" t="s">
        <v>23428</v>
      </c>
      <c r="E3756" s="189" t="s">
        <v>23429</v>
      </c>
      <c r="F3756" s="190"/>
      <c r="G3756" s="190"/>
      <c r="H3756" s="219"/>
      <c r="I3756" s="169">
        <v>204641</v>
      </c>
      <c r="J3756" s="304" t="str">
        <f>CONCATENATE([2]Cover!$D$6,"fdd/view?i=",I3756)</f>
        <v>https://www.dgiwg.org/FAD/fdd/view?i=204641</v>
      </c>
      <c r="K3756" s="304" t="s">
        <v>37805</v>
      </c>
      <c r="L3756" s="188">
        <v>78</v>
      </c>
      <c r="M3756" s="179" t="s">
        <v>1295</v>
      </c>
    </row>
    <row r="3757" spans="1:13" ht="25.5">
      <c r="A3757" s="313" t="str">
        <f t="shared" si="58"/>
        <v>HealthCareCapabilityCode_radiationTherapy</v>
      </c>
      <c r="B3757" s="330"/>
      <c r="C3757" s="334"/>
      <c r="D3757" s="188" t="s">
        <v>23430</v>
      </c>
      <c r="E3757" s="189" t="s">
        <v>23431</v>
      </c>
      <c r="F3757" s="190"/>
      <c r="G3757" s="190"/>
      <c r="H3757" s="219"/>
      <c r="I3757" s="169">
        <v>204642</v>
      </c>
      <c r="J3757" s="304" t="str">
        <f>CONCATENATE([2]Cover!$D$6,"fdd/view?i=",I3757)</f>
        <v>https://www.dgiwg.org/FAD/fdd/view?i=204642</v>
      </c>
      <c r="K3757" s="304" t="s">
        <v>37806</v>
      </c>
      <c r="L3757" s="188">
        <v>79</v>
      </c>
      <c r="M3757" s="179" t="s">
        <v>1295</v>
      </c>
    </row>
    <row r="3758" spans="1:13" ht="25.5">
      <c r="A3758" s="313" t="str">
        <f t="shared" si="58"/>
        <v>HealthCareCapabilityCode_recreationalTherapy</v>
      </c>
      <c r="B3758" s="330"/>
      <c r="C3758" s="334"/>
      <c r="D3758" s="188" t="s">
        <v>23432</v>
      </c>
      <c r="E3758" s="189" t="s">
        <v>23433</v>
      </c>
      <c r="F3758" s="190"/>
      <c r="G3758" s="190"/>
      <c r="H3758" s="219"/>
      <c r="I3758" s="169">
        <v>204643</v>
      </c>
      <c r="J3758" s="304" t="str">
        <f>CONCATENATE([2]Cover!$D$6,"fdd/view?i=",I3758)</f>
        <v>https://www.dgiwg.org/FAD/fdd/view?i=204643</v>
      </c>
      <c r="K3758" s="304" t="s">
        <v>37807</v>
      </c>
      <c r="L3758" s="188">
        <v>80</v>
      </c>
      <c r="M3758" s="179" t="s">
        <v>1295</v>
      </c>
    </row>
    <row r="3759" spans="1:13" ht="25.5">
      <c r="A3759" s="313" t="str">
        <f t="shared" si="58"/>
        <v>HealthCareCapabilityCode_reproductiveHealthCare</v>
      </c>
      <c r="B3759" s="330"/>
      <c r="C3759" s="334"/>
      <c r="D3759" s="188" t="s">
        <v>23434</v>
      </c>
      <c r="E3759" s="189" t="s">
        <v>23435</v>
      </c>
      <c r="F3759" s="190"/>
      <c r="G3759" s="190"/>
      <c r="H3759" s="219"/>
      <c r="I3759" s="169">
        <v>204644</v>
      </c>
      <c r="J3759" s="304" t="str">
        <f>CONCATENATE([2]Cover!$D$6,"fdd/view?i=",I3759)</f>
        <v>https://www.dgiwg.org/FAD/fdd/view?i=204644</v>
      </c>
      <c r="K3759" s="304" t="s">
        <v>37808</v>
      </c>
      <c r="L3759" s="188">
        <v>81</v>
      </c>
      <c r="M3759" s="179" t="s">
        <v>1295</v>
      </c>
    </row>
    <row r="3760" spans="1:13" ht="25.5">
      <c r="A3760" s="313" t="str">
        <f t="shared" si="58"/>
        <v>HealthCareCapabilityCode_respiratoryTherapy</v>
      </c>
      <c r="B3760" s="330"/>
      <c r="C3760" s="334"/>
      <c r="D3760" s="188" t="s">
        <v>23436</v>
      </c>
      <c r="E3760" s="189" t="s">
        <v>23437</v>
      </c>
      <c r="F3760" s="190"/>
      <c r="G3760" s="190"/>
      <c r="H3760" s="219"/>
      <c r="I3760" s="169">
        <v>204645</v>
      </c>
      <c r="J3760" s="304" t="str">
        <f>CONCATENATE([2]Cover!$D$6,"fdd/view?i=",I3760)</f>
        <v>https://www.dgiwg.org/FAD/fdd/view?i=204645</v>
      </c>
      <c r="K3760" s="304" t="s">
        <v>37809</v>
      </c>
      <c r="L3760" s="188">
        <v>82</v>
      </c>
      <c r="M3760" s="179" t="s">
        <v>1295</v>
      </c>
    </row>
    <row r="3761" spans="1:13" ht="25.5">
      <c r="A3761" s="313" t="str">
        <f t="shared" si="58"/>
        <v>HealthCareCapabilityCode_retirementHousing</v>
      </c>
      <c r="B3761" s="330"/>
      <c r="C3761" s="334"/>
      <c r="D3761" s="188" t="s">
        <v>23438</v>
      </c>
      <c r="E3761" s="189" t="s">
        <v>23439</v>
      </c>
      <c r="F3761" s="190"/>
      <c r="G3761" s="190"/>
      <c r="H3761" s="219"/>
      <c r="I3761" s="169">
        <v>204646</v>
      </c>
      <c r="J3761" s="304" t="str">
        <f>CONCATENATE([2]Cover!$D$6,"fdd/view?i=",I3761)</f>
        <v>https://www.dgiwg.org/FAD/fdd/view?i=204646</v>
      </c>
      <c r="K3761" s="304" t="s">
        <v>37810</v>
      </c>
      <c r="L3761" s="188">
        <v>83</v>
      </c>
      <c r="M3761" s="179" t="s">
        <v>1295</v>
      </c>
    </row>
    <row r="3762" spans="1:13" ht="25.5">
      <c r="A3762" s="313" t="str">
        <f t="shared" si="58"/>
        <v>HealthCareCapabilityCode_skilledNursingLongTermCare</v>
      </c>
      <c r="B3762" s="330"/>
      <c r="C3762" s="334"/>
      <c r="D3762" s="188" t="s">
        <v>23442</v>
      </c>
      <c r="E3762" s="189" t="s">
        <v>23443</v>
      </c>
      <c r="F3762" s="190"/>
      <c r="G3762" s="190"/>
      <c r="H3762" s="219"/>
      <c r="I3762" s="169">
        <v>204647</v>
      </c>
      <c r="J3762" s="304" t="str">
        <f>CONCATENATE([2]Cover!$D$6,"fdd/view?i=",I3762)</f>
        <v>https://www.dgiwg.org/FAD/fdd/view?i=204647</v>
      </c>
      <c r="K3762" s="304" t="s">
        <v>37811</v>
      </c>
      <c r="L3762" s="188">
        <v>84</v>
      </c>
      <c r="M3762" s="179" t="s">
        <v>1295</v>
      </c>
    </row>
    <row r="3763" spans="1:13" ht="25.5">
      <c r="A3763" s="313" t="str">
        <f t="shared" si="58"/>
        <v>HealthCareCapabilityCode_socialWork</v>
      </c>
      <c r="B3763" s="330"/>
      <c r="C3763" s="334"/>
      <c r="D3763" s="188" t="s">
        <v>22212</v>
      </c>
      <c r="E3763" s="189" t="s">
        <v>22213</v>
      </c>
      <c r="F3763" s="190"/>
      <c r="G3763" s="190"/>
      <c r="H3763" s="219"/>
      <c r="I3763" s="169">
        <v>204648</v>
      </c>
      <c r="J3763" s="304" t="str">
        <f>CONCATENATE([2]Cover!$D$6,"fdd/view?i=",I3763)</f>
        <v>https://www.dgiwg.org/FAD/fdd/view?i=204648</v>
      </c>
      <c r="K3763" s="304" t="s">
        <v>37812</v>
      </c>
      <c r="L3763" s="188">
        <v>85</v>
      </c>
      <c r="M3763" s="179" t="s">
        <v>1295</v>
      </c>
    </row>
    <row r="3764" spans="1:13" ht="38.25">
      <c r="A3764" s="313" t="str">
        <f t="shared" si="58"/>
        <v>HealthCareCapabilityCode_spectImaging</v>
      </c>
      <c r="B3764" s="330"/>
      <c r="C3764" s="334"/>
      <c r="D3764" s="188" t="s">
        <v>23440</v>
      </c>
      <c r="E3764" s="189" t="s">
        <v>23441</v>
      </c>
      <c r="F3764" s="190"/>
      <c r="G3764" s="190"/>
      <c r="H3764" s="219"/>
      <c r="I3764" s="169">
        <v>204649</v>
      </c>
      <c r="J3764" s="304" t="str">
        <f>CONCATENATE([2]Cover!$D$6,"fdd/view?i=",I3764)</f>
        <v>https://www.dgiwg.org/FAD/fdd/view?i=204649</v>
      </c>
      <c r="K3764" s="304" t="s">
        <v>37813</v>
      </c>
      <c r="L3764" s="188">
        <v>86</v>
      </c>
      <c r="M3764" s="179" t="s">
        <v>1295</v>
      </c>
    </row>
    <row r="3765" spans="1:13" ht="25.5">
      <c r="A3765" s="313" t="str">
        <f t="shared" si="58"/>
        <v>HealthCareCapabilityCode_speechTherapy</v>
      </c>
      <c r="B3765" s="330"/>
      <c r="C3765" s="334"/>
      <c r="D3765" s="188" t="s">
        <v>23444</v>
      </c>
      <c r="E3765" s="189" t="s">
        <v>23445</v>
      </c>
      <c r="F3765" s="190"/>
      <c r="G3765" s="190"/>
      <c r="H3765" s="219"/>
      <c r="I3765" s="169">
        <v>204650</v>
      </c>
      <c r="J3765" s="304" t="str">
        <f>CONCATENATE([2]Cover!$D$6,"fdd/view?i=",I3765)</f>
        <v>https://www.dgiwg.org/FAD/fdd/view?i=204650</v>
      </c>
      <c r="K3765" s="304" t="s">
        <v>37814</v>
      </c>
      <c r="L3765" s="188">
        <v>87</v>
      </c>
      <c r="M3765" s="179" t="s">
        <v>1295</v>
      </c>
    </row>
    <row r="3766" spans="1:13" ht="25.5">
      <c r="A3766" s="313" t="str">
        <f t="shared" si="58"/>
        <v>HealthCareCapabilityCode_sportsMedicine</v>
      </c>
      <c r="B3766" s="330"/>
      <c r="C3766" s="334"/>
      <c r="D3766" s="188" t="s">
        <v>23446</v>
      </c>
      <c r="E3766" s="189" t="s">
        <v>23447</v>
      </c>
      <c r="F3766" s="190"/>
      <c r="G3766" s="190"/>
      <c r="H3766" s="219"/>
      <c r="I3766" s="169">
        <v>204651</v>
      </c>
      <c r="J3766" s="304" t="str">
        <f>CONCATENATE([2]Cover!$D$6,"fdd/view?i=",I3766)</f>
        <v>https://www.dgiwg.org/FAD/fdd/view?i=204651</v>
      </c>
      <c r="K3766" s="304" t="s">
        <v>37815</v>
      </c>
      <c r="L3766" s="188">
        <v>88</v>
      </c>
      <c r="M3766" s="179" t="s">
        <v>1295</v>
      </c>
    </row>
    <row r="3767" spans="1:13" ht="25.5">
      <c r="A3767" s="313" t="str">
        <f t="shared" si="58"/>
        <v>HealthCareCapabilityCode_subAcuteCare</v>
      </c>
      <c r="B3767" s="330"/>
      <c r="C3767" s="334"/>
      <c r="D3767" s="188" t="s">
        <v>23448</v>
      </c>
      <c r="E3767" s="189" t="s">
        <v>23449</v>
      </c>
      <c r="F3767" s="190"/>
      <c r="G3767" s="190"/>
      <c r="H3767" s="219"/>
      <c r="I3767" s="169">
        <v>204652</v>
      </c>
      <c r="J3767" s="304" t="str">
        <f>CONCATENATE([2]Cover!$D$6,"fdd/view?i=",I3767)</f>
        <v>https://www.dgiwg.org/FAD/fdd/view?i=204652</v>
      </c>
      <c r="K3767" s="304" t="s">
        <v>37816</v>
      </c>
      <c r="L3767" s="188">
        <v>89</v>
      </c>
      <c r="M3767" s="179" t="s">
        <v>1295</v>
      </c>
    </row>
    <row r="3768" spans="1:13" ht="25.5">
      <c r="A3768" s="313" t="str">
        <f t="shared" si="58"/>
        <v>HealthCareCapabilityCode_supportGroup</v>
      </c>
      <c r="B3768" s="330"/>
      <c r="C3768" s="334"/>
      <c r="D3768" s="188" t="s">
        <v>23450</v>
      </c>
      <c r="E3768" s="189" t="s">
        <v>23451</v>
      </c>
      <c r="F3768" s="190"/>
      <c r="G3768" s="190"/>
      <c r="H3768" s="219"/>
      <c r="I3768" s="169">
        <v>204653</v>
      </c>
      <c r="J3768" s="304" t="str">
        <f>CONCATENATE([2]Cover!$D$6,"fdd/view?i=",I3768)</f>
        <v>https://www.dgiwg.org/FAD/fdd/view?i=204653</v>
      </c>
      <c r="K3768" s="304" t="s">
        <v>37817</v>
      </c>
      <c r="L3768" s="188">
        <v>90</v>
      </c>
      <c r="M3768" s="179" t="s">
        <v>1295</v>
      </c>
    </row>
    <row r="3769" spans="1:13" ht="25.5">
      <c r="A3769" s="313" t="str">
        <f t="shared" si="58"/>
        <v>HealthCareCapabilityCode_teenOutreach</v>
      </c>
      <c r="B3769" s="330"/>
      <c r="C3769" s="334"/>
      <c r="D3769" s="188" t="s">
        <v>23452</v>
      </c>
      <c r="E3769" s="189" t="s">
        <v>23453</v>
      </c>
      <c r="F3769" s="190"/>
      <c r="G3769" s="190"/>
      <c r="H3769" s="219"/>
      <c r="I3769" s="169">
        <v>204654</v>
      </c>
      <c r="J3769" s="304" t="str">
        <f>CONCATENATE([2]Cover!$D$6,"fdd/view?i=",I3769)</f>
        <v>https://www.dgiwg.org/FAD/fdd/view?i=204654</v>
      </c>
      <c r="K3769" s="304" t="s">
        <v>37818</v>
      </c>
      <c r="L3769" s="188">
        <v>91</v>
      </c>
      <c r="M3769" s="179" t="s">
        <v>1295</v>
      </c>
    </row>
    <row r="3770" spans="1:13" ht="25.5">
      <c r="A3770" s="313" t="str">
        <f t="shared" si="58"/>
        <v>HealthCareCapabilityCode_transplantCentre</v>
      </c>
      <c r="B3770" s="330"/>
      <c r="C3770" s="334"/>
      <c r="D3770" s="188" t="s">
        <v>23454</v>
      </c>
      <c r="E3770" s="189" t="s">
        <v>23455</v>
      </c>
      <c r="F3770" s="190"/>
      <c r="G3770" s="190"/>
      <c r="H3770" s="219"/>
      <c r="I3770" s="169">
        <v>204655</v>
      </c>
      <c r="J3770" s="304" t="str">
        <f>CONCATENATE([2]Cover!$D$6,"fdd/view?i=",I3770)</f>
        <v>https://www.dgiwg.org/FAD/fdd/view?i=204655</v>
      </c>
      <c r="K3770" s="304" t="s">
        <v>37819</v>
      </c>
      <c r="L3770" s="188">
        <v>92</v>
      </c>
      <c r="M3770" s="179" t="s">
        <v>1295</v>
      </c>
    </row>
    <row r="3771" spans="1:13" ht="25.5">
      <c r="A3771" s="313" t="str">
        <f t="shared" si="58"/>
        <v>HealthCareCapabilityCode_traumaCentre</v>
      </c>
      <c r="B3771" s="330"/>
      <c r="C3771" s="334"/>
      <c r="D3771" s="188" t="s">
        <v>23456</v>
      </c>
      <c r="E3771" s="189" t="s">
        <v>23457</v>
      </c>
      <c r="F3771" s="190"/>
      <c r="G3771" s="190"/>
      <c r="H3771" s="219"/>
      <c r="I3771" s="169">
        <v>204656</v>
      </c>
      <c r="J3771" s="304" t="str">
        <f>CONCATENATE([2]Cover!$D$6,"fdd/view?i=",I3771)</f>
        <v>https://www.dgiwg.org/FAD/fdd/view?i=204656</v>
      </c>
      <c r="K3771" s="304" t="s">
        <v>37820</v>
      </c>
      <c r="L3771" s="188">
        <v>93</v>
      </c>
      <c r="M3771" s="179" t="s">
        <v>1295</v>
      </c>
    </row>
    <row r="3772" spans="1:13" ht="25.5">
      <c r="A3772" s="313" t="str">
        <f t="shared" si="58"/>
        <v>HealthCareCapabilityCode_urgentCare</v>
      </c>
      <c r="B3772" s="330"/>
      <c r="C3772" s="334"/>
      <c r="D3772" s="188" t="s">
        <v>23458</v>
      </c>
      <c r="E3772" s="189" t="s">
        <v>23459</v>
      </c>
      <c r="F3772" s="190"/>
      <c r="G3772" s="190"/>
      <c r="H3772" s="219"/>
      <c r="I3772" s="169">
        <v>204657</v>
      </c>
      <c r="J3772" s="304" t="str">
        <f>CONCATENATE([2]Cover!$D$6,"fdd/view?i=",I3772)</f>
        <v>https://www.dgiwg.org/FAD/fdd/view?i=204657</v>
      </c>
      <c r="K3772" s="304" t="s">
        <v>37821</v>
      </c>
      <c r="L3772" s="188">
        <v>94</v>
      </c>
      <c r="M3772" s="179" t="s">
        <v>1295</v>
      </c>
    </row>
    <row r="3773" spans="1:13" ht="25.5">
      <c r="A3773" s="313" t="str">
        <f t="shared" si="58"/>
        <v>HealthCareCapabilityCode_volunteerService</v>
      </c>
      <c r="B3773" s="330"/>
      <c r="C3773" s="334"/>
      <c r="D3773" s="188" t="s">
        <v>23460</v>
      </c>
      <c r="E3773" s="189" t="s">
        <v>23461</v>
      </c>
      <c r="F3773" s="190"/>
      <c r="G3773" s="190"/>
      <c r="H3773" s="219"/>
      <c r="I3773" s="169">
        <v>204658</v>
      </c>
      <c r="J3773" s="304" t="str">
        <f>CONCATENATE([2]Cover!$D$6,"fdd/view?i=",I3773)</f>
        <v>https://www.dgiwg.org/FAD/fdd/view?i=204658</v>
      </c>
      <c r="K3773" s="304" t="s">
        <v>37822</v>
      </c>
      <c r="L3773" s="188">
        <v>95</v>
      </c>
      <c r="M3773" s="179" t="s">
        <v>1295</v>
      </c>
    </row>
    <row r="3774" spans="1:13" ht="25.5">
      <c r="A3774" s="313" t="str">
        <f t="shared" si="58"/>
        <v>HealthCareCapabilityCode_womensHealthCare</v>
      </c>
      <c r="B3774" s="331"/>
      <c r="C3774" s="335"/>
      <c r="D3774" s="181" t="s">
        <v>23462</v>
      </c>
      <c r="E3774" s="192" t="s">
        <v>23463</v>
      </c>
      <c r="F3774" s="194"/>
      <c r="G3774" s="194"/>
      <c r="H3774" s="220"/>
      <c r="I3774" s="169">
        <v>204659</v>
      </c>
      <c r="J3774" s="304" t="str">
        <f>CONCATENATE([2]Cover!$D$6,"fdd/view?i=",I3774)</f>
        <v>https://www.dgiwg.org/FAD/fdd/view?i=204659</v>
      </c>
      <c r="K3774" s="304" t="s">
        <v>37823</v>
      </c>
      <c r="L3774" s="181">
        <v>96</v>
      </c>
      <c r="M3774" s="179" t="s">
        <v>1295</v>
      </c>
    </row>
    <row r="3775" spans="1:13" ht="38.25">
      <c r="A3775" s="313" t="str">
        <f t="shared" si="58"/>
        <v>CopterPerformanceClassCode_helicopterClass1</v>
      </c>
      <c r="B3775" s="332" t="str">
        <f>HYPERLINK("[#]Datatypes!A644:L644","CopterPerformanceClassCode")</f>
        <v>CopterPerformanceClassCode</v>
      </c>
      <c r="C3775" s="333" t="s">
        <v>12199</v>
      </c>
      <c r="D3775" s="202" t="s">
        <v>23464</v>
      </c>
      <c r="E3775" s="203" t="s">
        <v>23465</v>
      </c>
      <c r="F3775" s="204" t="s">
        <v>23466</v>
      </c>
      <c r="G3775" s="205"/>
      <c r="H3775" s="218"/>
      <c r="I3775" s="169">
        <v>115755</v>
      </c>
      <c r="J3775" s="304" t="str">
        <f>CONCATENATE([2]Cover!$D$6,"fdd/view?i=",I3775)</f>
        <v>https://www.dgiwg.org/FAD/fdd/view?i=115755</v>
      </c>
      <c r="K3775" s="304" t="s">
        <v>37824</v>
      </c>
      <c r="L3775" s="202">
        <v>1</v>
      </c>
      <c r="M3775" s="179" t="s">
        <v>151</v>
      </c>
    </row>
    <row r="3776" spans="1:13" ht="51">
      <c r="A3776" s="313" t="str">
        <f t="shared" si="58"/>
        <v>CopterPerformanceClassCode_helicopterClass2</v>
      </c>
      <c r="B3776" s="330"/>
      <c r="C3776" s="334"/>
      <c r="D3776" s="188" t="s">
        <v>23467</v>
      </c>
      <c r="E3776" s="189" t="s">
        <v>23468</v>
      </c>
      <c r="F3776" s="162" t="s">
        <v>23469</v>
      </c>
      <c r="G3776" s="190"/>
      <c r="H3776" s="219"/>
      <c r="I3776" s="169">
        <v>115756</v>
      </c>
      <c r="J3776" s="304" t="str">
        <f>CONCATENATE([2]Cover!$D$6,"fdd/view?i=",I3776)</f>
        <v>https://www.dgiwg.org/FAD/fdd/view?i=115756</v>
      </c>
      <c r="K3776" s="304" t="s">
        <v>37825</v>
      </c>
      <c r="L3776" s="188">
        <v>2</v>
      </c>
      <c r="M3776" s="179" t="s">
        <v>151</v>
      </c>
    </row>
    <row r="3777" spans="1:13" ht="25.5">
      <c r="A3777" s="313" t="str">
        <f t="shared" si="58"/>
        <v>CopterPerformanceClassCode_helicopterClass3</v>
      </c>
      <c r="B3777" s="331"/>
      <c r="C3777" s="335"/>
      <c r="D3777" s="181" t="s">
        <v>23470</v>
      </c>
      <c r="E3777" s="192" t="s">
        <v>23471</v>
      </c>
      <c r="F3777" s="193" t="s">
        <v>23472</v>
      </c>
      <c r="G3777" s="194"/>
      <c r="H3777" s="220"/>
      <c r="I3777" s="169">
        <v>115757</v>
      </c>
      <c r="J3777" s="304" t="str">
        <f>CONCATENATE([2]Cover!$D$6,"fdd/view?i=",I3777)</f>
        <v>https://www.dgiwg.org/FAD/fdd/view?i=115757</v>
      </c>
      <c r="K3777" s="304" t="s">
        <v>37826</v>
      </c>
      <c r="L3777" s="181">
        <v>3</v>
      </c>
      <c r="M3777" s="179" t="s">
        <v>151</v>
      </c>
    </row>
    <row r="3778" spans="1:13" ht="38.25">
      <c r="A3778" s="313" t="str">
        <f t="shared" si="58"/>
        <v>HelipadAssociatedFacilityCode_heliport</v>
      </c>
      <c r="B3778" s="332" t="str">
        <f>HYPERLINK("[#]Datatypes!A646:L646","HelipadAssociatedFacilityCode")</f>
        <v>HelipadAssociatedFacilityCode</v>
      </c>
      <c r="C3778" s="333" t="s">
        <v>12201</v>
      </c>
      <c r="D3778" s="202" t="s">
        <v>15225</v>
      </c>
      <c r="E3778" s="203" t="s">
        <v>2691</v>
      </c>
      <c r="F3778" s="204" t="s">
        <v>23473</v>
      </c>
      <c r="G3778" s="205"/>
      <c r="H3778" s="218"/>
      <c r="I3778" s="169">
        <v>103980</v>
      </c>
      <c r="J3778" s="304" t="str">
        <f>CONCATENATE([2]Cover!$D$6,"fdd/view?i=",I3778)</f>
        <v>https://www.dgiwg.org/FAD/fdd/view?i=103980</v>
      </c>
      <c r="K3778" s="304" t="s">
        <v>37827</v>
      </c>
      <c r="L3778" s="202">
        <v>1</v>
      </c>
      <c r="M3778" s="179" t="s">
        <v>151</v>
      </c>
    </row>
    <row r="3779" spans="1:13" ht="25.5">
      <c r="A3779" s="313" t="str">
        <f t="shared" ref="A3779:A3842" si="59">HYPERLINK(J3779,K3779)</f>
        <v>HelipadAssociatedFacilityCode_hospital</v>
      </c>
      <c r="B3779" s="330"/>
      <c r="C3779" s="334"/>
      <c r="D3779" s="188" t="s">
        <v>23474</v>
      </c>
      <c r="E3779" s="189" t="s">
        <v>23475</v>
      </c>
      <c r="F3779" s="162" t="s">
        <v>23476</v>
      </c>
      <c r="G3779" s="190"/>
      <c r="H3779" s="219"/>
      <c r="I3779" s="169">
        <v>103982</v>
      </c>
      <c r="J3779" s="304" t="str">
        <f>CONCATENATE([2]Cover!$D$6,"fdd/view?i=",I3779)</f>
        <v>https://www.dgiwg.org/FAD/fdd/view?i=103982</v>
      </c>
      <c r="K3779" s="304" t="s">
        <v>37828</v>
      </c>
      <c r="L3779" s="188">
        <v>3</v>
      </c>
      <c r="M3779" s="179" t="s">
        <v>151</v>
      </c>
    </row>
    <row r="3780" spans="1:13" ht="25.5">
      <c r="A3780" s="313" t="str">
        <f t="shared" si="59"/>
        <v>HelipadAssociatedFacilityCode_landAerodrome</v>
      </c>
      <c r="B3780" s="330"/>
      <c r="C3780" s="334"/>
      <c r="D3780" s="188" t="s">
        <v>15226</v>
      </c>
      <c r="E3780" s="189" t="s">
        <v>2942</v>
      </c>
      <c r="F3780" s="162" t="s">
        <v>2943</v>
      </c>
      <c r="G3780" s="190"/>
      <c r="H3780" s="219"/>
      <c r="I3780" s="169">
        <v>103981</v>
      </c>
      <c r="J3780" s="304" t="str">
        <f>CONCATENATE([2]Cover!$D$6,"fdd/view?i=",I3780)</f>
        <v>https://www.dgiwg.org/FAD/fdd/view?i=103981</v>
      </c>
      <c r="K3780" s="304" t="s">
        <v>37829</v>
      </c>
      <c r="L3780" s="188">
        <v>2</v>
      </c>
      <c r="M3780" s="179" t="s">
        <v>151</v>
      </c>
    </row>
    <row r="3781" spans="1:13" ht="25.5">
      <c r="A3781" s="313" t="str">
        <f t="shared" si="59"/>
        <v>HelipadAssociatedFacilityCode_militaryInstallation</v>
      </c>
      <c r="B3781" s="330"/>
      <c r="C3781" s="334"/>
      <c r="D3781" s="188" t="s">
        <v>23477</v>
      </c>
      <c r="E3781" s="189" t="s">
        <v>3186</v>
      </c>
      <c r="F3781" s="162" t="s">
        <v>23478</v>
      </c>
      <c r="G3781" s="190"/>
      <c r="H3781" s="219"/>
      <c r="I3781" s="169">
        <v>114390</v>
      </c>
      <c r="J3781" s="304" t="str">
        <f>CONCATENATE([2]Cover!$D$6,"fdd/view?i=",I3781)</f>
        <v>https://www.dgiwg.org/FAD/fdd/view?i=114390</v>
      </c>
      <c r="K3781" s="304" t="s">
        <v>37830</v>
      </c>
      <c r="L3781" s="188">
        <v>11</v>
      </c>
      <c r="M3781" s="179" t="s">
        <v>151</v>
      </c>
    </row>
    <row r="3782" spans="1:13" ht="25.5">
      <c r="A3782" s="313" t="str">
        <f t="shared" si="59"/>
        <v>HelipadAssociatedFacilityCode_nonHospitalBuilding</v>
      </c>
      <c r="B3782" s="330"/>
      <c r="C3782" s="334"/>
      <c r="D3782" s="188" t="s">
        <v>23479</v>
      </c>
      <c r="E3782" s="189" t="s">
        <v>23480</v>
      </c>
      <c r="F3782" s="162" t="s">
        <v>23481</v>
      </c>
      <c r="G3782" s="190"/>
      <c r="H3782" s="219"/>
      <c r="I3782" s="169">
        <v>103983</v>
      </c>
      <c r="J3782" s="304" t="str">
        <f>CONCATENATE([2]Cover!$D$6,"fdd/view?i=",I3782)</f>
        <v>https://www.dgiwg.org/FAD/fdd/view?i=103983</v>
      </c>
      <c r="K3782" s="304" t="s">
        <v>37831</v>
      </c>
      <c r="L3782" s="188">
        <v>4</v>
      </c>
      <c r="M3782" s="179" t="s">
        <v>151</v>
      </c>
    </row>
    <row r="3783" spans="1:13" ht="76.5">
      <c r="A3783" s="313" t="str">
        <f t="shared" si="59"/>
        <v>HelipadAssociatedFacilityCode_offshoreConstruction</v>
      </c>
      <c r="B3783" s="330"/>
      <c r="C3783" s="334"/>
      <c r="D3783" s="188" t="s">
        <v>23482</v>
      </c>
      <c r="E3783" s="189" t="s">
        <v>3335</v>
      </c>
      <c r="F3783" s="162" t="s">
        <v>3336</v>
      </c>
      <c r="G3783" s="162" t="s">
        <v>3337</v>
      </c>
      <c r="H3783" s="219"/>
      <c r="I3783" s="169">
        <v>117909</v>
      </c>
      <c r="J3783" s="304" t="str">
        <f>CONCATENATE([2]Cover!$D$6,"fdd/view?i=",I3783)</f>
        <v>https://www.dgiwg.org/FAD/fdd/view?i=117909</v>
      </c>
      <c r="K3783" s="304" t="s">
        <v>37832</v>
      </c>
      <c r="L3783" s="188">
        <v>9</v>
      </c>
      <c r="M3783" s="179" t="s">
        <v>151</v>
      </c>
    </row>
    <row r="3784" spans="1:13" ht="25.5">
      <c r="A3784" s="313" t="str">
        <f t="shared" si="59"/>
        <v>HelipadAssociatedFacilityCode_rig</v>
      </c>
      <c r="B3784" s="330"/>
      <c r="C3784" s="334"/>
      <c r="D3784" s="188" t="s">
        <v>23483</v>
      </c>
      <c r="E3784" s="189" t="s">
        <v>3649</v>
      </c>
      <c r="F3784" s="162" t="s">
        <v>3650</v>
      </c>
      <c r="G3784" s="190"/>
      <c r="H3784" s="219"/>
      <c r="I3784" s="169">
        <v>103985</v>
      </c>
      <c r="J3784" s="304" t="str">
        <f>CONCATENATE([2]Cover!$D$6,"fdd/view?i=",I3784)</f>
        <v>https://www.dgiwg.org/FAD/fdd/view?i=103985</v>
      </c>
      <c r="K3784" s="304" t="s">
        <v>37833</v>
      </c>
      <c r="L3784" s="188">
        <v>6</v>
      </c>
      <c r="M3784" s="179" t="s">
        <v>151</v>
      </c>
    </row>
    <row r="3785" spans="1:13" ht="25.5">
      <c r="A3785" s="313" t="str">
        <f t="shared" si="59"/>
        <v>HelipadAssociatedFacilityCode_waterAerodrome</v>
      </c>
      <c r="B3785" s="331"/>
      <c r="C3785" s="335"/>
      <c r="D3785" s="181" t="s">
        <v>15227</v>
      </c>
      <c r="E3785" s="192" t="s">
        <v>4489</v>
      </c>
      <c r="F3785" s="193" t="s">
        <v>23484</v>
      </c>
      <c r="G3785" s="194"/>
      <c r="H3785" s="220"/>
      <c r="I3785" s="169">
        <v>112730</v>
      </c>
      <c r="J3785" s="304" t="str">
        <f>CONCATENATE([2]Cover!$D$6,"fdd/view?i=",I3785)</f>
        <v>https://www.dgiwg.org/FAD/fdd/view?i=112730</v>
      </c>
      <c r="K3785" s="304" t="s">
        <v>37834</v>
      </c>
      <c r="L3785" s="181">
        <v>10</v>
      </c>
      <c r="M3785" s="179" t="s">
        <v>151</v>
      </c>
    </row>
    <row r="3786" spans="1:13" ht="25.5">
      <c r="A3786" s="313" t="str">
        <f t="shared" si="59"/>
        <v>HistoricSignificanceCode_ancient</v>
      </c>
      <c r="B3786" s="332" t="str">
        <f>HYPERLINK("[#]Datatypes!A650:L650","HistoricSignificanceCode")</f>
        <v>HistoricSignificanceCode</v>
      </c>
      <c r="C3786" s="333" t="s">
        <v>12206</v>
      </c>
      <c r="D3786" s="202" t="s">
        <v>23485</v>
      </c>
      <c r="E3786" s="203" t="s">
        <v>23486</v>
      </c>
      <c r="F3786" s="204" t="s">
        <v>23487</v>
      </c>
      <c r="G3786" s="204" t="s">
        <v>23488</v>
      </c>
      <c r="H3786" s="218"/>
      <c r="I3786" s="169">
        <v>104286</v>
      </c>
      <c r="J3786" s="304" t="str">
        <f>CONCATENATE([2]Cover!$D$6,"fdd/view?i=",I3786)</f>
        <v>https://www.dgiwg.org/FAD/fdd/view?i=104286</v>
      </c>
      <c r="K3786" s="304" t="s">
        <v>37835</v>
      </c>
      <c r="L3786" s="202">
        <v>1</v>
      </c>
      <c r="M3786" s="179" t="s">
        <v>151</v>
      </c>
    </row>
    <row r="3787" spans="1:13" ht="25.5">
      <c r="A3787" s="313" t="str">
        <f t="shared" si="59"/>
        <v>HistoricSignificanceCode_battlefield</v>
      </c>
      <c r="B3787" s="330"/>
      <c r="C3787" s="334"/>
      <c r="D3787" s="188" t="s">
        <v>23489</v>
      </c>
      <c r="E3787" s="189" t="s">
        <v>23490</v>
      </c>
      <c r="F3787" s="162" t="s">
        <v>23491</v>
      </c>
      <c r="G3787" s="190"/>
      <c r="H3787" s="219"/>
      <c r="I3787" s="169">
        <v>112736</v>
      </c>
      <c r="J3787" s="304" t="str">
        <f>CONCATENATE([2]Cover!$D$6,"fdd/view?i=",I3787)</f>
        <v>https://www.dgiwg.org/FAD/fdd/view?i=112736</v>
      </c>
      <c r="K3787" s="304" t="s">
        <v>37836</v>
      </c>
      <c r="L3787" s="188">
        <v>4</v>
      </c>
      <c r="M3787" s="179" t="s">
        <v>151</v>
      </c>
    </row>
    <row r="3788" spans="1:13" ht="25.5">
      <c r="A3788" s="313" t="str">
        <f t="shared" si="59"/>
        <v>HistoricSignificanceCode_historic</v>
      </c>
      <c r="B3788" s="330"/>
      <c r="C3788" s="334"/>
      <c r="D3788" s="188" t="s">
        <v>18187</v>
      </c>
      <c r="E3788" s="189" t="s">
        <v>18188</v>
      </c>
      <c r="F3788" s="162" t="s">
        <v>23492</v>
      </c>
      <c r="G3788" s="162" t="s">
        <v>23493</v>
      </c>
      <c r="H3788" s="219"/>
      <c r="I3788" s="169">
        <v>104287</v>
      </c>
      <c r="J3788" s="304" t="str">
        <f>CONCATENATE([2]Cover!$D$6,"fdd/view?i=",I3788)</f>
        <v>https://www.dgiwg.org/FAD/fdd/view?i=104287</v>
      </c>
      <c r="K3788" s="304" t="s">
        <v>37837</v>
      </c>
      <c r="L3788" s="188">
        <v>2</v>
      </c>
      <c r="M3788" s="179" t="s">
        <v>151</v>
      </c>
    </row>
    <row r="3789" spans="1:13" ht="76.5">
      <c r="A3789" s="313" t="str">
        <f t="shared" si="59"/>
        <v>HistoricSignificanceCode_military</v>
      </c>
      <c r="B3789" s="330"/>
      <c r="C3789" s="334"/>
      <c r="D3789" s="188" t="s">
        <v>15601</v>
      </c>
      <c r="E3789" s="189" t="s">
        <v>15602</v>
      </c>
      <c r="F3789" s="162" t="s">
        <v>23494</v>
      </c>
      <c r="G3789" s="162" t="s">
        <v>23495</v>
      </c>
      <c r="H3789" s="219"/>
      <c r="I3789" s="169">
        <v>112729</v>
      </c>
      <c r="J3789" s="304" t="str">
        <f>CONCATENATE([2]Cover!$D$6,"fdd/view?i=",I3789)</f>
        <v>https://www.dgiwg.org/FAD/fdd/view?i=112729</v>
      </c>
      <c r="K3789" s="304" t="s">
        <v>37838</v>
      </c>
      <c r="L3789" s="188">
        <v>5</v>
      </c>
      <c r="M3789" s="179" t="s">
        <v>151</v>
      </c>
    </row>
    <row r="3790" spans="1:13" ht="38.25">
      <c r="A3790" s="313" t="str">
        <f t="shared" si="59"/>
        <v>HistoricSignificanceCode_national</v>
      </c>
      <c r="B3790" s="330"/>
      <c r="C3790" s="334"/>
      <c r="D3790" s="188" t="s">
        <v>13398</v>
      </c>
      <c r="E3790" s="189" t="s">
        <v>13399</v>
      </c>
      <c r="F3790" s="162" t="s">
        <v>23496</v>
      </c>
      <c r="G3790" s="162" t="s">
        <v>23497</v>
      </c>
      <c r="H3790" s="219"/>
      <c r="I3790" s="169">
        <v>112726</v>
      </c>
      <c r="J3790" s="304" t="str">
        <f>CONCATENATE([2]Cover!$D$6,"fdd/view?i=",I3790)</f>
        <v>https://www.dgiwg.org/FAD/fdd/view?i=112726</v>
      </c>
      <c r="K3790" s="304" t="s">
        <v>37839</v>
      </c>
      <c r="L3790" s="188">
        <v>7</v>
      </c>
      <c r="M3790" s="179" t="s">
        <v>151</v>
      </c>
    </row>
    <row r="3791" spans="1:13" ht="25.5">
      <c r="A3791" s="313" t="str">
        <f t="shared" si="59"/>
        <v>HistoricSignificanceCode_notSignificant</v>
      </c>
      <c r="B3791" s="330"/>
      <c r="C3791" s="334"/>
      <c r="D3791" s="188" t="s">
        <v>23498</v>
      </c>
      <c r="E3791" s="189" t="s">
        <v>23499</v>
      </c>
      <c r="F3791" s="162" t="s">
        <v>23500</v>
      </c>
      <c r="G3791" s="190"/>
      <c r="H3791" s="219"/>
      <c r="I3791" s="169">
        <v>110210</v>
      </c>
      <c r="J3791" s="304" t="str">
        <f>CONCATENATE([2]Cover!$D$6,"fdd/view?i=",I3791)</f>
        <v>https://www.dgiwg.org/FAD/fdd/view?i=110210</v>
      </c>
      <c r="K3791" s="304" t="s">
        <v>37840</v>
      </c>
      <c r="L3791" s="188">
        <v>3</v>
      </c>
      <c r="M3791" s="179" t="s">
        <v>151</v>
      </c>
    </row>
    <row r="3792" spans="1:13" ht="25.5">
      <c r="A3792" s="313" t="str">
        <f t="shared" si="59"/>
        <v>HistoricSignificanceCode_political</v>
      </c>
      <c r="B3792" s="330"/>
      <c r="C3792" s="334"/>
      <c r="D3792" s="188" t="s">
        <v>23501</v>
      </c>
      <c r="E3792" s="189" t="s">
        <v>23502</v>
      </c>
      <c r="F3792" s="162" t="s">
        <v>23503</v>
      </c>
      <c r="G3792" s="162" t="s">
        <v>23504</v>
      </c>
      <c r="H3792" s="219"/>
      <c r="I3792" s="169">
        <v>112728</v>
      </c>
      <c r="J3792" s="304" t="str">
        <f>CONCATENATE([2]Cover!$D$6,"fdd/view?i=",I3792)</f>
        <v>https://www.dgiwg.org/FAD/fdd/view?i=112728</v>
      </c>
      <c r="K3792" s="304" t="s">
        <v>37841</v>
      </c>
      <c r="L3792" s="188">
        <v>6</v>
      </c>
      <c r="M3792" s="179" t="s">
        <v>151</v>
      </c>
    </row>
    <row r="3793" spans="1:13" ht="25.5">
      <c r="A3793" s="313" t="str">
        <f t="shared" si="59"/>
        <v>HistoricSignificanceCode_religious</v>
      </c>
      <c r="B3793" s="331"/>
      <c r="C3793" s="335"/>
      <c r="D3793" s="181" t="s">
        <v>23505</v>
      </c>
      <c r="E3793" s="192" t="s">
        <v>23506</v>
      </c>
      <c r="F3793" s="193" t="s">
        <v>23507</v>
      </c>
      <c r="G3793" s="193" t="s">
        <v>23508</v>
      </c>
      <c r="H3793" s="220"/>
      <c r="I3793" s="169">
        <v>119634</v>
      </c>
      <c r="J3793" s="304" t="str">
        <f>CONCATENATE([2]Cover!$D$6,"fdd/view?i=",I3793)</f>
        <v>https://www.dgiwg.org/FAD/fdd/view?i=119634</v>
      </c>
      <c r="K3793" s="304" t="s">
        <v>37842</v>
      </c>
      <c r="L3793" s="181">
        <v>8</v>
      </c>
      <c r="M3793" s="179" t="s">
        <v>151</v>
      </c>
    </row>
    <row r="3794" spans="1:13">
      <c r="A3794" s="313" t="str">
        <f t="shared" si="59"/>
        <v>HitsTestZoneCode_zoneA</v>
      </c>
      <c r="B3794" s="332" t="str">
        <f>HYPERLINK("[#]Datatypes!A652:L652","HitsTestZoneCode")</f>
        <v>HitsTestZoneCode</v>
      </c>
      <c r="C3794" s="333" t="s">
        <v>12208</v>
      </c>
      <c r="D3794" s="202" t="s">
        <v>23509</v>
      </c>
      <c r="E3794" s="203" t="s">
        <v>23510</v>
      </c>
      <c r="F3794" s="205"/>
      <c r="G3794" s="205"/>
      <c r="H3794" s="218"/>
      <c r="I3794" s="169">
        <v>200853</v>
      </c>
      <c r="J3794" s="304" t="str">
        <f>CONCATENATE([2]Cover!$D$6,"fdd/view?i=",I3794)</f>
        <v>https://www.dgiwg.org/FAD/fdd/view?i=200853</v>
      </c>
      <c r="K3794" s="304" t="s">
        <v>37843</v>
      </c>
      <c r="L3794" s="202">
        <v>501</v>
      </c>
      <c r="M3794" s="179" t="s">
        <v>1295</v>
      </c>
    </row>
    <row r="3795" spans="1:13">
      <c r="A3795" s="313" t="str">
        <f t="shared" si="59"/>
        <v>HitsTestZoneCode_zoneB</v>
      </c>
      <c r="B3795" s="330"/>
      <c r="C3795" s="334"/>
      <c r="D3795" s="188" t="s">
        <v>23511</v>
      </c>
      <c r="E3795" s="189" t="s">
        <v>23512</v>
      </c>
      <c r="F3795" s="190"/>
      <c r="G3795" s="190"/>
      <c r="H3795" s="219"/>
      <c r="I3795" s="169">
        <v>200854</v>
      </c>
      <c r="J3795" s="304" t="str">
        <f>CONCATENATE([2]Cover!$D$6,"fdd/view?i=",I3795)</f>
        <v>https://www.dgiwg.org/FAD/fdd/view?i=200854</v>
      </c>
      <c r="K3795" s="304" t="s">
        <v>37844</v>
      </c>
      <c r="L3795" s="188">
        <v>502</v>
      </c>
      <c r="M3795" s="179" t="s">
        <v>1295</v>
      </c>
    </row>
    <row r="3796" spans="1:13">
      <c r="A3796" s="313" t="str">
        <f t="shared" si="59"/>
        <v>HitsTestZoneCode_zoneC</v>
      </c>
      <c r="B3796" s="330"/>
      <c r="C3796" s="334"/>
      <c r="D3796" s="188" t="s">
        <v>23513</v>
      </c>
      <c r="E3796" s="189" t="s">
        <v>23514</v>
      </c>
      <c r="F3796" s="190"/>
      <c r="G3796" s="190"/>
      <c r="H3796" s="219"/>
      <c r="I3796" s="169">
        <v>200855</v>
      </c>
      <c r="J3796" s="304" t="str">
        <f>CONCATENATE([2]Cover!$D$6,"fdd/view?i=",I3796)</f>
        <v>https://www.dgiwg.org/FAD/fdd/view?i=200855</v>
      </c>
      <c r="K3796" s="304" t="s">
        <v>37845</v>
      </c>
      <c r="L3796" s="188">
        <v>503</v>
      </c>
      <c r="M3796" s="179" t="s">
        <v>1295</v>
      </c>
    </row>
    <row r="3797" spans="1:13">
      <c r="A3797" s="313" t="str">
        <f t="shared" si="59"/>
        <v>HitsTestZoneCode_zoneD</v>
      </c>
      <c r="B3797" s="330"/>
      <c r="C3797" s="334"/>
      <c r="D3797" s="188" t="s">
        <v>23515</v>
      </c>
      <c r="E3797" s="189" t="s">
        <v>23516</v>
      </c>
      <c r="F3797" s="190"/>
      <c r="G3797" s="190"/>
      <c r="H3797" s="219"/>
      <c r="I3797" s="169">
        <v>200856</v>
      </c>
      <c r="J3797" s="304" t="str">
        <f>CONCATENATE([2]Cover!$D$6,"fdd/view?i=",I3797)</f>
        <v>https://www.dgiwg.org/FAD/fdd/view?i=200856</v>
      </c>
      <c r="K3797" s="304" t="s">
        <v>37846</v>
      </c>
      <c r="L3797" s="188">
        <v>504</v>
      </c>
      <c r="M3797" s="179" t="s">
        <v>1295</v>
      </c>
    </row>
    <row r="3798" spans="1:13">
      <c r="A3798" s="313" t="str">
        <f t="shared" si="59"/>
        <v>HitsTestZoneCode_zoneE</v>
      </c>
      <c r="B3798" s="331"/>
      <c r="C3798" s="335"/>
      <c r="D3798" s="181" t="s">
        <v>23517</v>
      </c>
      <c r="E3798" s="192" t="s">
        <v>23518</v>
      </c>
      <c r="F3798" s="194"/>
      <c r="G3798" s="194"/>
      <c r="H3798" s="220"/>
      <c r="I3798" s="169">
        <v>200857</v>
      </c>
      <c r="J3798" s="304" t="str">
        <f>CONCATENATE([2]Cover!$D$6,"fdd/view?i=",I3798)</f>
        <v>https://www.dgiwg.org/FAD/fdd/view?i=200857</v>
      </c>
      <c r="K3798" s="304" t="s">
        <v>37847</v>
      </c>
      <c r="L3798" s="181">
        <v>505</v>
      </c>
      <c r="M3798" s="179" t="s">
        <v>1295</v>
      </c>
    </row>
    <row r="3799" spans="1:13">
      <c r="A3799" s="313" t="str">
        <f t="shared" si="59"/>
        <v>HoldingProcTypeCode_enRoute</v>
      </c>
      <c r="B3799" s="332" t="str">
        <f>HYPERLINK("[#]Datatypes!A654:L654","HoldingProcTypeCode")</f>
        <v>HoldingProcTypeCode</v>
      </c>
      <c r="C3799" s="333" t="s">
        <v>12210</v>
      </c>
      <c r="D3799" s="202" t="s">
        <v>23519</v>
      </c>
      <c r="E3799" s="203" t="s">
        <v>23520</v>
      </c>
      <c r="F3799" s="204" t="s">
        <v>23521</v>
      </c>
      <c r="G3799" s="205"/>
      <c r="H3799" s="218"/>
      <c r="I3799" s="169">
        <v>115673</v>
      </c>
      <c r="J3799" s="304" t="str">
        <f>CONCATENATE([2]Cover!$D$6,"fdd/view?i=",I3799)</f>
        <v>https://www.dgiwg.org/FAD/fdd/view?i=115673</v>
      </c>
      <c r="K3799" s="304" t="s">
        <v>37848</v>
      </c>
      <c r="L3799" s="202">
        <v>1</v>
      </c>
      <c r="M3799" s="179" t="s">
        <v>151</v>
      </c>
    </row>
    <row r="3800" spans="1:13" ht="25.5">
      <c r="A3800" s="313" t="str">
        <f t="shared" si="59"/>
        <v>HoldingProcTypeCode_terminalArea</v>
      </c>
      <c r="B3800" s="331"/>
      <c r="C3800" s="335"/>
      <c r="D3800" s="181" t="s">
        <v>23522</v>
      </c>
      <c r="E3800" s="192" t="s">
        <v>23523</v>
      </c>
      <c r="F3800" s="193" t="s">
        <v>23524</v>
      </c>
      <c r="G3800" s="194"/>
      <c r="H3800" s="220"/>
      <c r="I3800" s="169">
        <v>115674</v>
      </c>
      <c r="J3800" s="304" t="str">
        <f>CONCATENATE([2]Cover!$D$6,"fdd/view?i=",I3800)</f>
        <v>https://www.dgiwg.org/FAD/fdd/view?i=115674</v>
      </c>
      <c r="K3800" s="304" t="s">
        <v>37849</v>
      </c>
      <c r="L3800" s="181">
        <v>2</v>
      </c>
      <c r="M3800" s="179" t="s">
        <v>151</v>
      </c>
    </row>
    <row r="3801" spans="1:13" ht="25.5">
      <c r="A3801" s="313" t="str">
        <f t="shared" si="59"/>
        <v>HorizAccuracyCategoryCode_accurate</v>
      </c>
      <c r="B3801" s="332" t="str">
        <f>HYPERLINK("[#]Datatypes!A656:L656","HorizAccuracyCategoryCode")</f>
        <v>HorizAccuracyCategoryCode</v>
      </c>
      <c r="C3801" s="333" t="s">
        <v>12212</v>
      </c>
      <c r="D3801" s="202" t="s">
        <v>20834</v>
      </c>
      <c r="E3801" s="203" t="s">
        <v>20835</v>
      </c>
      <c r="F3801" s="204" t="s">
        <v>20836</v>
      </c>
      <c r="G3801" s="205"/>
      <c r="H3801" s="218"/>
      <c r="I3801" s="169">
        <v>101576</v>
      </c>
      <c r="J3801" s="304" t="str">
        <f>CONCATENATE([2]Cover!$D$6,"fdd/view?i=",I3801)</f>
        <v>https://www.dgiwg.org/FAD/fdd/view?i=101576</v>
      </c>
      <c r="K3801" s="304" t="s">
        <v>37850</v>
      </c>
      <c r="L3801" s="202">
        <v>1</v>
      </c>
      <c r="M3801" s="179" t="s">
        <v>151</v>
      </c>
    </row>
    <row r="3802" spans="1:13" ht="25.5">
      <c r="A3802" s="313" t="str">
        <f t="shared" si="59"/>
        <v>HorizAccuracyCategoryCode_approximate</v>
      </c>
      <c r="B3802" s="330"/>
      <c r="C3802" s="334"/>
      <c r="D3802" s="188" t="s">
        <v>20837</v>
      </c>
      <c r="E3802" s="189" t="s">
        <v>20838</v>
      </c>
      <c r="F3802" s="162" t="s">
        <v>20839</v>
      </c>
      <c r="G3802" s="190"/>
      <c r="H3802" s="219"/>
      <c r="I3802" s="169">
        <v>101577</v>
      </c>
      <c r="J3802" s="304" t="str">
        <f>CONCATENATE([2]Cover!$D$6,"fdd/view?i=",I3802)</f>
        <v>https://www.dgiwg.org/FAD/fdd/view?i=101577</v>
      </c>
      <c r="K3802" s="304" t="s">
        <v>37851</v>
      </c>
      <c r="L3802" s="188">
        <v>2</v>
      </c>
      <c r="M3802" s="179" t="s">
        <v>151</v>
      </c>
    </row>
    <row r="3803" spans="1:13" ht="25.5">
      <c r="A3803" s="313" t="str">
        <f t="shared" si="59"/>
        <v>HorizAccuracyCategoryCode_doubtful</v>
      </c>
      <c r="B3803" s="330"/>
      <c r="C3803" s="334"/>
      <c r="D3803" s="188" t="s">
        <v>21013</v>
      </c>
      <c r="E3803" s="189" t="s">
        <v>21014</v>
      </c>
      <c r="F3803" s="162" t="s">
        <v>23525</v>
      </c>
      <c r="G3803" s="190"/>
      <c r="H3803" s="219"/>
      <c r="I3803" s="169">
        <v>101578</v>
      </c>
      <c r="J3803" s="304" t="str">
        <f>CONCATENATE([2]Cover!$D$6,"fdd/view?i=",I3803)</f>
        <v>https://www.dgiwg.org/FAD/fdd/view?i=101578</v>
      </c>
      <c r="K3803" s="304" t="s">
        <v>37852</v>
      </c>
      <c r="L3803" s="188">
        <v>3</v>
      </c>
      <c r="M3803" s="179" t="s">
        <v>151</v>
      </c>
    </row>
    <row r="3804" spans="1:13" ht="25.5">
      <c r="A3804" s="313" t="str">
        <f t="shared" si="59"/>
        <v>HorizAccuracyCategoryCode_precise</v>
      </c>
      <c r="B3804" s="331"/>
      <c r="C3804" s="335"/>
      <c r="D3804" s="181" t="s">
        <v>23526</v>
      </c>
      <c r="E3804" s="192" t="s">
        <v>23527</v>
      </c>
      <c r="F3804" s="193" t="s">
        <v>23528</v>
      </c>
      <c r="G3804" s="194"/>
      <c r="H3804" s="220"/>
      <c r="I3804" s="169">
        <v>101581</v>
      </c>
      <c r="J3804" s="304" t="str">
        <f>CONCATENATE([2]Cover!$D$6,"fdd/view?i=",I3804)</f>
        <v>https://www.dgiwg.org/FAD/fdd/view?i=101581</v>
      </c>
      <c r="K3804" s="304" t="s">
        <v>37853</v>
      </c>
      <c r="L3804" s="181">
        <v>7</v>
      </c>
      <c r="M3804" s="179" t="s">
        <v>151</v>
      </c>
    </row>
    <row r="3805" spans="1:13" ht="25.5">
      <c r="A3805" s="313" t="str">
        <f t="shared" si="59"/>
        <v>HulkTypeCode_accommodation</v>
      </c>
      <c r="B3805" s="332" t="str">
        <f>HYPERLINK("[#]Datatypes!A664:L664","HulkTypeCode")</f>
        <v>HulkTypeCode</v>
      </c>
      <c r="C3805" s="333" t="s">
        <v>12221</v>
      </c>
      <c r="D3805" s="202" t="s">
        <v>21203</v>
      </c>
      <c r="E3805" s="203" t="s">
        <v>21204</v>
      </c>
      <c r="F3805" s="204" t="s">
        <v>23529</v>
      </c>
      <c r="G3805" s="204" t="s">
        <v>23530</v>
      </c>
      <c r="H3805" s="218"/>
      <c r="I3805" s="169">
        <v>104056</v>
      </c>
      <c r="J3805" s="304" t="str">
        <f>CONCATENATE([2]Cover!$D$6,"fdd/view?i=",I3805)</f>
        <v>https://www.dgiwg.org/FAD/fdd/view?i=104056</v>
      </c>
      <c r="K3805" s="304" t="s">
        <v>37854</v>
      </c>
      <c r="L3805" s="202">
        <v>4</v>
      </c>
      <c r="M3805" s="179" t="s">
        <v>151</v>
      </c>
    </row>
    <row r="3806" spans="1:13" ht="38.25">
      <c r="A3806" s="313" t="str">
        <f t="shared" si="59"/>
        <v>HulkTypeCode_casino</v>
      </c>
      <c r="B3806" s="330"/>
      <c r="C3806" s="334"/>
      <c r="D3806" s="188" t="s">
        <v>23531</v>
      </c>
      <c r="E3806" s="189" t="s">
        <v>23532</v>
      </c>
      <c r="F3806" s="162" t="s">
        <v>23533</v>
      </c>
      <c r="G3806" s="190"/>
      <c r="H3806" s="219"/>
      <c r="I3806" s="169">
        <v>110205</v>
      </c>
      <c r="J3806" s="304" t="str">
        <f>CONCATENATE([2]Cover!$D$6,"fdd/view?i=",I3806)</f>
        <v>https://www.dgiwg.org/FAD/fdd/view?i=110205</v>
      </c>
      <c r="K3806" s="304" t="s">
        <v>37855</v>
      </c>
      <c r="L3806" s="188">
        <v>6</v>
      </c>
      <c r="M3806" s="179" t="s">
        <v>151</v>
      </c>
    </row>
    <row r="3807" spans="1:13" ht="25.5">
      <c r="A3807" s="313" t="str">
        <f t="shared" si="59"/>
        <v>HulkTypeCode_derelict</v>
      </c>
      <c r="B3807" s="330"/>
      <c r="C3807" s="334"/>
      <c r="D3807" s="188" t="s">
        <v>23534</v>
      </c>
      <c r="E3807" s="189" t="s">
        <v>23535</v>
      </c>
      <c r="F3807" s="162" t="s">
        <v>23536</v>
      </c>
      <c r="G3807" s="162" t="s">
        <v>23537</v>
      </c>
      <c r="H3807" s="219"/>
      <c r="I3807" s="169">
        <v>112753</v>
      </c>
      <c r="J3807" s="304" t="str">
        <f>CONCATENATE([2]Cover!$D$6,"fdd/view?i=",I3807)</f>
        <v>https://www.dgiwg.org/FAD/fdd/view?i=112753</v>
      </c>
      <c r="K3807" s="304" t="s">
        <v>37856</v>
      </c>
      <c r="L3807" s="188">
        <v>11</v>
      </c>
      <c r="M3807" s="179" t="s">
        <v>151</v>
      </c>
    </row>
    <row r="3808" spans="1:13" ht="25.5">
      <c r="A3808" s="313" t="str">
        <f t="shared" si="59"/>
        <v>HulkTypeCode_floatingBreakwater</v>
      </c>
      <c r="B3808" s="330"/>
      <c r="C3808" s="334"/>
      <c r="D3808" s="188" t="s">
        <v>23538</v>
      </c>
      <c r="E3808" s="189" t="s">
        <v>23539</v>
      </c>
      <c r="F3808" s="162" t="s">
        <v>23540</v>
      </c>
      <c r="G3808" s="190"/>
      <c r="H3808" s="219"/>
      <c r="I3808" s="169">
        <v>104057</v>
      </c>
      <c r="J3808" s="304" t="str">
        <f>CONCATENATE([2]Cover!$D$6,"fdd/view?i=",I3808)</f>
        <v>https://www.dgiwg.org/FAD/fdd/view?i=104057</v>
      </c>
      <c r="K3808" s="304" t="s">
        <v>37857</v>
      </c>
      <c r="L3808" s="188">
        <v>5</v>
      </c>
      <c r="M3808" s="179" t="s">
        <v>151</v>
      </c>
    </row>
    <row r="3809" spans="1:13" ht="25.5">
      <c r="A3809" s="313" t="str">
        <f t="shared" si="59"/>
        <v>HulkTypeCode_floatingRestaurant</v>
      </c>
      <c r="B3809" s="330"/>
      <c r="C3809" s="334"/>
      <c r="D3809" s="188" t="s">
        <v>23541</v>
      </c>
      <c r="E3809" s="189" t="s">
        <v>23542</v>
      </c>
      <c r="F3809" s="162" t="s">
        <v>23543</v>
      </c>
      <c r="G3809" s="190"/>
      <c r="H3809" s="219"/>
      <c r="I3809" s="169">
        <v>104053</v>
      </c>
      <c r="J3809" s="304" t="str">
        <f>CONCATENATE([2]Cover!$D$6,"fdd/view?i=",I3809)</f>
        <v>https://www.dgiwg.org/FAD/fdd/view?i=104053</v>
      </c>
      <c r="K3809" s="304" t="s">
        <v>37858</v>
      </c>
      <c r="L3809" s="188">
        <v>1</v>
      </c>
      <c r="M3809" s="179" t="s">
        <v>151</v>
      </c>
    </row>
    <row r="3810" spans="1:13">
      <c r="A3810" s="313" t="str">
        <f t="shared" si="59"/>
        <v>HulkTypeCode_historicShip</v>
      </c>
      <c r="B3810" s="330"/>
      <c r="C3810" s="334"/>
      <c r="D3810" s="188" t="s">
        <v>23544</v>
      </c>
      <c r="E3810" s="189" t="s">
        <v>23545</v>
      </c>
      <c r="F3810" s="162" t="s">
        <v>23546</v>
      </c>
      <c r="G3810" s="190"/>
      <c r="H3810" s="219"/>
      <c r="I3810" s="169">
        <v>104054</v>
      </c>
      <c r="J3810" s="304" t="str">
        <f>CONCATENATE([2]Cover!$D$6,"fdd/view?i=",I3810)</f>
        <v>https://www.dgiwg.org/FAD/fdd/view?i=104054</v>
      </c>
      <c r="K3810" s="304" t="s">
        <v>37859</v>
      </c>
      <c r="L3810" s="188">
        <v>2</v>
      </c>
      <c r="M3810" s="179" t="s">
        <v>151</v>
      </c>
    </row>
    <row r="3811" spans="1:13" ht="38.25">
      <c r="A3811" s="313" t="str">
        <f t="shared" si="59"/>
        <v>HulkTypeCode_hospital</v>
      </c>
      <c r="B3811" s="330"/>
      <c r="C3811" s="334"/>
      <c r="D3811" s="188" t="s">
        <v>23474</v>
      </c>
      <c r="E3811" s="189" t="s">
        <v>23475</v>
      </c>
      <c r="F3811" s="162" t="s">
        <v>23547</v>
      </c>
      <c r="G3811" s="190"/>
      <c r="H3811" s="219"/>
      <c r="I3811" s="169">
        <v>110208</v>
      </c>
      <c r="J3811" s="304" t="str">
        <f>CONCATENATE([2]Cover!$D$6,"fdd/view?i=",I3811)</f>
        <v>https://www.dgiwg.org/FAD/fdd/view?i=110208</v>
      </c>
      <c r="K3811" s="304" t="s">
        <v>37860</v>
      </c>
      <c r="L3811" s="188">
        <v>9</v>
      </c>
      <c r="M3811" s="179" t="s">
        <v>151</v>
      </c>
    </row>
    <row r="3812" spans="1:13" ht="51">
      <c r="A3812" s="313" t="str">
        <f t="shared" si="59"/>
        <v>HulkTypeCode_hotel</v>
      </c>
      <c r="B3812" s="330"/>
      <c r="C3812" s="334"/>
      <c r="D3812" s="188" t="s">
        <v>17436</v>
      </c>
      <c r="E3812" s="189" t="s">
        <v>17437</v>
      </c>
      <c r="F3812" s="162" t="s">
        <v>23548</v>
      </c>
      <c r="G3812" s="190"/>
      <c r="H3812" s="219"/>
      <c r="I3812" s="169">
        <v>110206</v>
      </c>
      <c r="J3812" s="304" t="str">
        <f>CONCATENATE([2]Cover!$D$6,"fdd/view?i=",I3812)</f>
        <v>https://www.dgiwg.org/FAD/fdd/view?i=110206</v>
      </c>
      <c r="K3812" s="304" t="s">
        <v>37861</v>
      </c>
      <c r="L3812" s="188">
        <v>7</v>
      </c>
      <c r="M3812" s="179" t="s">
        <v>151</v>
      </c>
    </row>
    <row r="3813" spans="1:13" ht="25.5">
      <c r="A3813" s="313" t="str">
        <f t="shared" si="59"/>
        <v>HulkTypeCode_museum</v>
      </c>
      <c r="B3813" s="330"/>
      <c r="C3813" s="334"/>
      <c r="D3813" s="188" t="s">
        <v>21868</v>
      </c>
      <c r="E3813" s="189" t="s">
        <v>21869</v>
      </c>
      <c r="F3813" s="162" t="s">
        <v>23549</v>
      </c>
      <c r="G3813" s="190"/>
      <c r="H3813" s="219"/>
      <c r="I3813" s="169">
        <v>104055</v>
      </c>
      <c r="J3813" s="304" t="str">
        <f>CONCATENATE([2]Cover!$D$6,"fdd/view?i=",I3813)</f>
        <v>https://www.dgiwg.org/FAD/fdd/view?i=104055</v>
      </c>
      <c r="K3813" s="304" t="s">
        <v>37862</v>
      </c>
      <c r="L3813" s="188">
        <v>3</v>
      </c>
      <c r="M3813" s="179" t="s">
        <v>151</v>
      </c>
    </row>
    <row r="3814" spans="1:13" ht="25.5">
      <c r="A3814" s="313" t="str">
        <f t="shared" si="59"/>
        <v>HulkTypeCode_storage</v>
      </c>
      <c r="B3814" s="330"/>
      <c r="C3814" s="334"/>
      <c r="D3814" s="188" t="s">
        <v>23550</v>
      </c>
      <c r="E3814" s="189" t="s">
        <v>23551</v>
      </c>
      <c r="F3814" s="162" t="s">
        <v>23552</v>
      </c>
      <c r="G3814" s="190"/>
      <c r="H3814" s="219"/>
      <c r="I3814" s="169">
        <v>110207</v>
      </c>
      <c r="J3814" s="304" t="str">
        <f>CONCATENATE([2]Cover!$D$6,"fdd/view?i=",I3814)</f>
        <v>https://www.dgiwg.org/FAD/fdd/view?i=110207</v>
      </c>
      <c r="K3814" s="304" t="s">
        <v>37863</v>
      </c>
      <c r="L3814" s="188">
        <v>8</v>
      </c>
      <c r="M3814" s="179" t="s">
        <v>151</v>
      </c>
    </row>
    <row r="3815" spans="1:13" ht="25.5">
      <c r="A3815" s="313" t="str">
        <f t="shared" si="59"/>
        <v>HulkTypeCode_temporaryHousing</v>
      </c>
      <c r="B3815" s="331"/>
      <c r="C3815" s="335"/>
      <c r="D3815" s="181" t="s">
        <v>23553</v>
      </c>
      <c r="E3815" s="192" t="s">
        <v>23554</v>
      </c>
      <c r="F3815" s="193" t="s">
        <v>23555</v>
      </c>
      <c r="G3815" s="193" t="s">
        <v>23556</v>
      </c>
      <c r="H3815" s="220"/>
      <c r="I3815" s="169">
        <v>110209</v>
      </c>
      <c r="J3815" s="304" t="str">
        <f>CONCATENATE([2]Cover!$D$6,"fdd/view?i=",I3815)</f>
        <v>https://www.dgiwg.org/FAD/fdd/view?i=110209</v>
      </c>
      <c r="K3815" s="304" t="s">
        <v>37864</v>
      </c>
      <c r="L3815" s="181">
        <v>10</v>
      </c>
      <c r="M3815" s="179" t="s">
        <v>151</v>
      </c>
    </row>
    <row r="3816" spans="1:13" ht="25.5">
      <c r="A3816" s="313" t="str">
        <f t="shared" si="59"/>
        <v>HumanHazardCode_abrasion</v>
      </c>
      <c r="B3816" s="332" t="str">
        <f>HYPERLINK("[#]Datatypes!A666:L666","HumanHazardCode")</f>
        <v>HumanHazardCode</v>
      </c>
      <c r="C3816" s="333" t="s">
        <v>12223</v>
      </c>
      <c r="D3816" s="202" t="s">
        <v>23557</v>
      </c>
      <c r="E3816" s="203" t="s">
        <v>23558</v>
      </c>
      <c r="F3816" s="204" t="s">
        <v>23559</v>
      </c>
      <c r="G3816" s="205"/>
      <c r="H3816" s="218"/>
      <c r="I3816" s="169">
        <v>117917</v>
      </c>
      <c r="J3816" s="304" t="str">
        <f>CONCATENATE([2]Cover!$D$6,"fdd/view?i=",I3816)</f>
        <v>https://www.dgiwg.org/FAD/fdd/view?i=117917</v>
      </c>
      <c r="K3816" s="304" t="s">
        <v>37865</v>
      </c>
      <c r="L3816" s="202">
        <v>1</v>
      </c>
      <c r="M3816" s="179" t="s">
        <v>151</v>
      </c>
    </row>
    <row r="3817" spans="1:13" ht="63.75">
      <c r="A3817" s="313" t="str">
        <f t="shared" si="59"/>
        <v>HumanHazardCode_biological</v>
      </c>
      <c r="B3817" s="330"/>
      <c r="C3817" s="334"/>
      <c r="D3817" s="188" t="s">
        <v>19306</v>
      </c>
      <c r="E3817" s="189" t="s">
        <v>19307</v>
      </c>
      <c r="F3817" s="162" t="s">
        <v>23560</v>
      </c>
      <c r="G3817" s="162" t="s">
        <v>23561</v>
      </c>
      <c r="H3817" s="219"/>
      <c r="I3817" s="169">
        <v>117918</v>
      </c>
      <c r="J3817" s="304" t="str">
        <f>CONCATENATE([2]Cover!$D$6,"fdd/view?i=",I3817)</f>
        <v>https://www.dgiwg.org/FAD/fdd/view?i=117918</v>
      </c>
      <c r="K3817" s="304" t="s">
        <v>37866</v>
      </c>
      <c r="L3817" s="188">
        <v>2</v>
      </c>
      <c r="M3817" s="179" t="s">
        <v>151</v>
      </c>
    </row>
    <row r="3818" spans="1:13" ht="38.25">
      <c r="A3818" s="313" t="str">
        <f t="shared" si="59"/>
        <v>HumanHazardCode_drowning</v>
      </c>
      <c r="B3818" s="330"/>
      <c r="C3818" s="334"/>
      <c r="D3818" s="188" t="s">
        <v>23562</v>
      </c>
      <c r="E3818" s="189" t="s">
        <v>23563</v>
      </c>
      <c r="F3818" s="162" t="s">
        <v>23564</v>
      </c>
      <c r="G3818" s="190"/>
      <c r="H3818" s="219"/>
      <c r="I3818" s="169">
        <v>117919</v>
      </c>
      <c r="J3818" s="304" t="str">
        <f>CONCATENATE([2]Cover!$D$6,"fdd/view?i=",I3818)</f>
        <v>https://www.dgiwg.org/FAD/fdd/view?i=117919</v>
      </c>
      <c r="K3818" s="304" t="s">
        <v>37867</v>
      </c>
      <c r="L3818" s="188">
        <v>3</v>
      </c>
      <c r="M3818" s="179" t="s">
        <v>151</v>
      </c>
    </row>
    <row r="3819" spans="1:13" ht="25.5">
      <c r="A3819" s="313" t="str">
        <f t="shared" si="59"/>
        <v>HumanHazardCode_entanglement</v>
      </c>
      <c r="B3819" s="330"/>
      <c r="C3819" s="334"/>
      <c r="D3819" s="188" t="s">
        <v>23565</v>
      </c>
      <c r="E3819" s="189" t="s">
        <v>23566</v>
      </c>
      <c r="F3819" s="162" t="s">
        <v>23567</v>
      </c>
      <c r="G3819" s="190"/>
      <c r="H3819" s="219"/>
      <c r="I3819" s="169">
        <v>117920</v>
      </c>
      <c r="J3819" s="304" t="str">
        <f>CONCATENATE([2]Cover!$D$6,"fdd/view?i=",I3819)</f>
        <v>https://www.dgiwg.org/FAD/fdd/view?i=117920</v>
      </c>
      <c r="K3819" s="304" t="s">
        <v>37868</v>
      </c>
      <c r="L3819" s="188">
        <v>4</v>
      </c>
      <c r="M3819" s="179" t="s">
        <v>151</v>
      </c>
    </row>
    <row r="3820" spans="1:13" ht="25.5">
      <c r="A3820" s="313" t="str">
        <f t="shared" si="59"/>
        <v>HumanHazardCode_puncture</v>
      </c>
      <c r="B3820" s="330"/>
      <c r="C3820" s="334"/>
      <c r="D3820" s="188" t="s">
        <v>23568</v>
      </c>
      <c r="E3820" s="189" t="s">
        <v>23569</v>
      </c>
      <c r="F3820" s="162" t="s">
        <v>23570</v>
      </c>
      <c r="G3820" s="190"/>
      <c r="H3820" s="219"/>
      <c r="I3820" s="169">
        <v>117921</v>
      </c>
      <c r="J3820" s="304" t="str">
        <f>CONCATENATE([2]Cover!$D$6,"fdd/view?i=",I3820)</f>
        <v>https://www.dgiwg.org/FAD/fdd/view?i=117921</v>
      </c>
      <c r="K3820" s="304" t="s">
        <v>37869</v>
      </c>
      <c r="L3820" s="188">
        <v>5</v>
      </c>
      <c r="M3820" s="179" t="s">
        <v>151</v>
      </c>
    </row>
    <row r="3821" spans="1:13" ht="25.5">
      <c r="A3821" s="313" t="str">
        <f t="shared" si="59"/>
        <v>HumanHazardCode_slipping</v>
      </c>
      <c r="B3821" s="331"/>
      <c r="C3821" s="335"/>
      <c r="D3821" s="181" t="s">
        <v>23571</v>
      </c>
      <c r="E3821" s="192" t="s">
        <v>23572</v>
      </c>
      <c r="F3821" s="193" t="s">
        <v>23573</v>
      </c>
      <c r="G3821" s="193" t="s">
        <v>23574</v>
      </c>
      <c r="H3821" s="220"/>
      <c r="I3821" s="169">
        <v>117922</v>
      </c>
      <c r="J3821" s="304" t="str">
        <f>CONCATENATE([2]Cover!$D$6,"fdd/view?i=",I3821)</f>
        <v>https://www.dgiwg.org/FAD/fdd/view?i=117922</v>
      </c>
      <c r="K3821" s="304" t="s">
        <v>37870</v>
      </c>
      <c r="L3821" s="181">
        <v>6</v>
      </c>
      <c r="M3821" s="179" t="s">
        <v>151</v>
      </c>
    </row>
    <row r="3822" spans="1:13" ht="114.75">
      <c r="A3822" s="313" t="str">
        <f t="shared" si="59"/>
        <v>HumReliefAdminRegionTypeCode_americanRedCross</v>
      </c>
      <c r="B3822" s="196" t="str">
        <f>HYPERLINK("[#]Datatypes!A668:L668","HumReliefAdminRegionTypeCode")</f>
        <v>HumReliefAdminRegionTypeCode</v>
      </c>
      <c r="C3822" s="197" t="s">
        <v>12225</v>
      </c>
      <c r="D3822" s="213" t="s">
        <v>23575</v>
      </c>
      <c r="E3822" s="214" t="s">
        <v>23576</v>
      </c>
      <c r="F3822" s="215" t="s">
        <v>23577</v>
      </c>
      <c r="G3822" s="215" t="s">
        <v>23578</v>
      </c>
      <c r="H3822" s="224"/>
      <c r="I3822" s="169">
        <v>119155</v>
      </c>
      <c r="J3822" s="304" t="str">
        <f>CONCATENATE([2]Cover!$D$6,"fdd/view?i=",I3822)</f>
        <v>https://www.dgiwg.org/FAD/fdd/view?i=119155</v>
      </c>
      <c r="K3822" s="304" t="s">
        <v>37871</v>
      </c>
      <c r="L3822" s="213">
        <v>1</v>
      </c>
      <c r="M3822" s="179" t="s">
        <v>151</v>
      </c>
    </row>
    <row r="3823" spans="1:13" ht="25.5">
      <c r="A3823" s="313" t="str">
        <f t="shared" si="59"/>
        <v>HydroBaseSoundingDatumCode_highestHighWater</v>
      </c>
      <c r="B3823" s="332" t="str">
        <f>HYPERLINK("[#]Datatypes!A670:L670","HydroBaseSoundingDatumCode")</f>
        <v>HydroBaseSoundingDatumCode</v>
      </c>
      <c r="C3823" s="333" t="s">
        <v>12227</v>
      </c>
      <c r="D3823" s="202" t="s">
        <v>23579</v>
      </c>
      <c r="E3823" s="203" t="s">
        <v>23580</v>
      </c>
      <c r="F3823" s="204" t="s">
        <v>23581</v>
      </c>
      <c r="G3823" s="205"/>
      <c r="H3823" s="218"/>
      <c r="I3823" s="169">
        <v>117915</v>
      </c>
      <c r="J3823" s="304" t="str">
        <f>CONCATENATE([2]Cover!$D$6,"fdd/view?i=",I3823)</f>
        <v>https://www.dgiwg.org/FAD/fdd/view?i=117915</v>
      </c>
      <c r="K3823" s="304" t="s">
        <v>37872</v>
      </c>
      <c r="L3823" s="202">
        <v>28</v>
      </c>
      <c r="M3823" s="179" t="s">
        <v>151</v>
      </c>
    </row>
    <row r="3824" spans="1:13" ht="25.5">
      <c r="A3824" s="313" t="str">
        <f t="shared" si="59"/>
        <v>HydroBaseSoundingDatumCode_indianSpringHighWater</v>
      </c>
      <c r="B3824" s="330"/>
      <c r="C3824" s="334"/>
      <c r="D3824" s="188" t="s">
        <v>23582</v>
      </c>
      <c r="E3824" s="189" t="s">
        <v>23583</v>
      </c>
      <c r="F3824" s="162" t="s">
        <v>23584</v>
      </c>
      <c r="G3824" s="190"/>
      <c r="H3824" s="219"/>
      <c r="I3824" s="169">
        <v>117916</v>
      </c>
      <c r="J3824" s="304" t="str">
        <f>CONCATENATE([2]Cover!$D$6,"fdd/view?i=",I3824)</f>
        <v>https://www.dgiwg.org/FAD/fdd/view?i=117916</v>
      </c>
      <c r="K3824" s="304" t="s">
        <v>37873</v>
      </c>
      <c r="L3824" s="188">
        <v>30</v>
      </c>
      <c r="M3824" s="179" t="s">
        <v>151</v>
      </c>
    </row>
    <row r="3825" spans="1:13" ht="25.5">
      <c r="A3825" s="313" t="str">
        <f t="shared" si="59"/>
        <v>HydroBaseSoundingDatumCode_meanHigherHighWater</v>
      </c>
      <c r="B3825" s="330"/>
      <c r="C3825" s="334"/>
      <c r="D3825" s="188" t="s">
        <v>23591</v>
      </c>
      <c r="E3825" s="189" t="s">
        <v>23592</v>
      </c>
      <c r="F3825" s="162" t="s">
        <v>23593</v>
      </c>
      <c r="G3825" s="190"/>
      <c r="H3825" s="219"/>
      <c r="I3825" s="169">
        <v>117912</v>
      </c>
      <c r="J3825" s="304" t="str">
        <f>CONCATENATE([2]Cover!$D$6,"fdd/view?i=",I3825)</f>
        <v>https://www.dgiwg.org/FAD/fdd/view?i=117912</v>
      </c>
      <c r="K3825" s="304" t="s">
        <v>37874</v>
      </c>
      <c r="L3825" s="188">
        <v>10</v>
      </c>
      <c r="M3825" s="179" t="s">
        <v>151</v>
      </c>
    </row>
    <row r="3826" spans="1:13" ht="25.5">
      <c r="A3826" s="313" t="str">
        <f t="shared" si="59"/>
        <v>HydroBaseSoundingDatumCode_meanHigherHighWaterSprings</v>
      </c>
      <c r="B3826" s="330"/>
      <c r="C3826" s="334"/>
      <c r="D3826" s="188" t="s">
        <v>23594</v>
      </c>
      <c r="E3826" s="189" t="s">
        <v>23595</v>
      </c>
      <c r="F3826" s="162" t="s">
        <v>23596</v>
      </c>
      <c r="G3826" s="190"/>
      <c r="H3826" s="219"/>
      <c r="I3826" s="169">
        <v>117914</v>
      </c>
      <c r="J3826" s="304" t="str">
        <f>CONCATENATE([2]Cover!$D$6,"fdd/view?i=",I3826)</f>
        <v>https://www.dgiwg.org/FAD/fdd/view?i=117914</v>
      </c>
      <c r="K3826" s="304" t="s">
        <v>37875</v>
      </c>
      <c r="L3826" s="188">
        <v>24</v>
      </c>
      <c r="M3826" s="179" t="s">
        <v>151</v>
      </c>
    </row>
    <row r="3827" spans="1:13" ht="25.5">
      <c r="A3827" s="313" t="str">
        <f t="shared" si="59"/>
        <v>HydroBaseSoundingDatumCode_meanHighWater</v>
      </c>
      <c r="B3827" s="330"/>
      <c r="C3827" s="334"/>
      <c r="D3827" s="188" t="s">
        <v>23585</v>
      </c>
      <c r="E3827" s="189" t="s">
        <v>23586</v>
      </c>
      <c r="F3827" s="162" t="s">
        <v>23587</v>
      </c>
      <c r="G3827" s="190"/>
      <c r="H3827" s="219"/>
      <c r="I3827" s="169">
        <v>117910</v>
      </c>
      <c r="J3827" s="304" t="str">
        <f>CONCATENATE([2]Cover!$D$6,"fdd/view?i=",I3827)</f>
        <v>https://www.dgiwg.org/FAD/fdd/view?i=117910</v>
      </c>
      <c r="K3827" s="304" t="s">
        <v>37876</v>
      </c>
      <c r="L3827" s="188">
        <v>7</v>
      </c>
      <c r="M3827" s="179" t="s">
        <v>151</v>
      </c>
    </row>
    <row r="3828" spans="1:13" ht="25.5">
      <c r="A3828" s="313" t="str">
        <f t="shared" si="59"/>
        <v>HydroBaseSoundingDatumCode_meanHighWaterSprings</v>
      </c>
      <c r="B3828" s="330"/>
      <c r="C3828" s="334"/>
      <c r="D3828" s="188" t="s">
        <v>23588</v>
      </c>
      <c r="E3828" s="189" t="s">
        <v>23589</v>
      </c>
      <c r="F3828" s="162" t="s">
        <v>23590</v>
      </c>
      <c r="G3828" s="190"/>
      <c r="H3828" s="219"/>
      <c r="I3828" s="169">
        <v>117911</v>
      </c>
      <c r="J3828" s="304" t="str">
        <f>CONCATENATE([2]Cover!$D$6,"fdd/view?i=",I3828)</f>
        <v>https://www.dgiwg.org/FAD/fdd/view?i=117911</v>
      </c>
      <c r="K3828" s="304" t="s">
        <v>37877</v>
      </c>
      <c r="L3828" s="188">
        <v>9</v>
      </c>
      <c r="M3828" s="179" t="s">
        <v>151</v>
      </c>
    </row>
    <row r="3829" spans="1:13" ht="25.5">
      <c r="A3829" s="313" t="str">
        <f t="shared" si="59"/>
        <v>HydroBaseSoundingDatumCode_meanSeaLevel</v>
      </c>
      <c r="B3829" s="331"/>
      <c r="C3829" s="335"/>
      <c r="D3829" s="181" t="s">
        <v>23597</v>
      </c>
      <c r="E3829" s="192" t="s">
        <v>23598</v>
      </c>
      <c r="F3829" s="193" t="s">
        <v>23599</v>
      </c>
      <c r="G3829" s="194"/>
      <c r="H3829" s="220"/>
      <c r="I3829" s="169">
        <v>117913</v>
      </c>
      <c r="J3829" s="304" t="str">
        <f>CONCATENATE([2]Cover!$D$6,"fdd/view?i=",I3829)</f>
        <v>https://www.dgiwg.org/FAD/fdd/view?i=117913</v>
      </c>
      <c r="K3829" s="304" t="s">
        <v>37878</v>
      </c>
      <c r="L3829" s="181">
        <v>15</v>
      </c>
      <c r="M3829" s="179" t="s">
        <v>151</v>
      </c>
    </row>
    <row r="3830" spans="1:13" ht="25.5">
      <c r="A3830" s="313" t="str">
        <f t="shared" si="59"/>
        <v>HydrographicNavaidSystemCode_ialaRegionA</v>
      </c>
      <c r="B3830" s="332" t="str">
        <f>HYPERLINK("[#]Datatypes!A672:L672","HydrographicNavaidSystemCode")</f>
        <v>HydrographicNavaidSystemCode</v>
      </c>
      <c r="C3830" s="333" t="s">
        <v>12229</v>
      </c>
      <c r="D3830" s="202" t="s">
        <v>23600</v>
      </c>
      <c r="E3830" s="203" t="s">
        <v>23601</v>
      </c>
      <c r="F3830" s="204" t="s">
        <v>23602</v>
      </c>
      <c r="G3830" s="205"/>
      <c r="H3830" s="218"/>
      <c r="I3830" s="169">
        <v>106074</v>
      </c>
      <c r="J3830" s="304" t="str">
        <f>CONCATENATE([2]Cover!$D$6,"fdd/view?i=",I3830)</f>
        <v>https://www.dgiwg.org/FAD/fdd/view?i=106074</v>
      </c>
      <c r="K3830" s="304" t="s">
        <v>37879</v>
      </c>
      <c r="L3830" s="202">
        <v>2</v>
      </c>
      <c r="M3830" s="179" t="s">
        <v>151</v>
      </c>
    </row>
    <row r="3831" spans="1:13" ht="25.5">
      <c r="A3831" s="313" t="str">
        <f t="shared" si="59"/>
        <v>HydrographicNavaidSystemCode_ialaRegionB</v>
      </c>
      <c r="B3831" s="330"/>
      <c r="C3831" s="334"/>
      <c r="D3831" s="188" t="s">
        <v>23603</v>
      </c>
      <c r="E3831" s="189" t="s">
        <v>23604</v>
      </c>
      <c r="F3831" s="162" t="s">
        <v>23605</v>
      </c>
      <c r="G3831" s="190"/>
      <c r="H3831" s="219"/>
      <c r="I3831" s="169">
        <v>106075</v>
      </c>
      <c r="J3831" s="304" t="str">
        <f>CONCATENATE([2]Cover!$D$6,"fdd/view?i=",I3831)</f>
        <v>https://www.dgiwg.org/FAD/fdd/view?i=106075</v>
      </c>
      <c r="K3831" s="304" t="s">
        <v>37880</v>
      </c>
      <c r="L3831" s="188">
        <v>3</v>
      </c>
      <c r="M3831" s="179" t="s">
        <v>151</v>
      </c>
    </row>
    <row r="3832" spans="1:13" ht="25.5">
      <c r="A3832" s="313" t="str">
        <f t="shared" si="59"/>
        <v>HydrographicNavaidSystemCode_noSystem</v>
      </c>
      <c r="B3832" s="330"/>
      <c r="C3832" s="334"/>
      <c r="D3832" s="188" t="s">
        <v>23606</v>
      </c>
      <c r="E3832" s="189" t="s">
        <v>23607</v>
      </c>
      <c r="F3832" s="162" t="s">
        <v>23608</v>
      </c>
      <c r="G3832" s="190"/>
      <c r="H3832" s="219"/>
      <c r="I3832" s="169">
        <v>106082</v>
      </c>
      <c r="J3832" s="304" t="str">
        <f>CONCATENATE([2]Cover!$D$6,"fdd/view?i=",I3832)</f>
        <v>https://www.dgiwg.org/FAD/fdd/view?i=106082</v>
      </c>
      <c r="K3832" s="304" t="s">
        <v>37881</v>
      </c>
      <c r="L3832" s="188">
        <v>10</v>
      </c>
      <c r="M3832" s="179" t="s">
        <v>151</v>
      </c>
    </row>
    <row r="3833" spans="1:13" ht="25.5">
      <c r="A3833" s="313" t="str">
        <f t="shared" si="59"/>
        <v>HydrographicNavaidSystemCode_signi</v>
      </c>
      <c r="B3833" s="330"/>
      <c r="C3833" s="334"/>
      <c r="D3833" s="188" t="s">
        <v>23609</v>
      </c>
      <c r="E3833" s="189" t="s">
        <v>23610</v>
      </c>
      <c r="F3833" s="162" t="s">
        <v>23611</v>
      </c>
      <c r="G3833" s="162" t="s">
        <v>23612</v>
      </c>
      <c r="H3833" s="219"/>
      <c r="I3833" s="169">
        <v>106078</v>
      </c>
      <c r="J3833" s="304" t="str">
        <f>CONCATENATE([2]Cover!$D$6,"fdd/view?i=",I3833)</f>
        <v>https://www.dgiwg.org/FAD/fdd/view?i=106078</v>
      </c>
      <c r="K3833" s="304" t="s">
        <v>37882</v>
      </c>
      <c r="L3833" s="188">
        <v>6</v>
      </c>
      <c r="M3833" s="179" t="s">
        <v>151</v>
      </c>
    </row>
    <row r="3834" spans="1:13" ht="51">
      <c r="A3834" s="313" t="str">
        <f t="shared" si="59"/>
        <v>HydrographicNavaidSystemCode_usIntracoastalWaterway</v>
      </c>
      <c r="B3834" s="330"/>
      <c r="C3834" s="334"/>
      <c r="D3834" s="188" t="s">
        <v>23613</v>
      </c>
      <c r="E3834" s="189" t="s">
        <v>23614</v>
      </c>
      <c r="F3834" s="162" t="s">
        <v>23615</v>
      </c>
      <c r="G3834" s="190"/>
      <c r="H3834" s="219"/>
      <c r="I3834" s="169">
        <v>106079</v>
      </c>
      <c r="J3834" s="304" t="str">
        <f>CONCATENATE([2]Cover!$D$6,"fdd/view?i=",I3834)</f>
        <v>https://www.dgiwg.org/FAD/fdd/view?i=106079</v>
      </c>
      <c r="K3834" s="304" t="s">
        <v>37883</v>
      </c>
      <c r="L3834" s="188">
        <v>7</v>
      </c>
      <c r="M3834" s="179" t="s">
        <v>151</v>
      </c>
    </row>
    <row r="3835" spans="1:13" ht="25.5">
      <c r="A3835" s="313" t="str">
        <f t="shared" si="59"/>
        <v>HydrographicNavaidSystemCode_usUniformState</v>
      </c>
      <c r="B3835" s="330"/>
      <c r="C3835" s="334"/>
      <c r="D3835" s="188" t="s">
        <v>23616</v>
      </c>
      <c r="E3835" s="189" t="s">
        <v>23617</v>
      </c>
      <c r="F3835" s="162" t="s">
        <v>23618</v>
      </c>
      <c r="G3835" s="190"/>
      <c r="H3835" s="219"/>
      <c r="I3835" s="169">
        <v>106080</v>
      </c>
      <c r="J3835" s="304" t="str">
        <f>CONCATENATE([2]Cover!$D$6,"fdd/view?i=",I3835)</f>
        <v>https://www.dgiwg.org/FAD/fdd/view?i=106080</v>
      </c>
      <c r="K3835" s="304" t="s">
        <v>37884</v>
      </c>
      <c r="L3835" s="188">
        <v>8</v>
      </c>
      <c r="M3835" s="179" t="s">
        <v>151</v>
      </c>
    </row>
    <row r="3836" spans="1:13" ht="25.5">
      <c r="A3836" s="313" t="str">
        <f t="shared" si="59"/>
        <v>HydrographicNavaidSystemCode_usWesternRivers</v>
      </c>
      <c r="B3836" s="331"/>
      <c r="C3836" s="335"/>
      <c r="D3836" s="181" t="s">
        <v>23619</v>
      </c>
      <c r="E3836" s="192" t="s">
        <v>23620</v>
      </c>
      <c r="F3836" s="193" t="s">
        <v>23621</v>
      </c>
      <c r="G3836" s="194"/>
      <c r="H3836" s="220"/>
      <c r="I3836" s="169">
        <v>106081</v>
      </c>
      <c r="J3836" s="304" t="str">
        <f>CONCATENATE([2]Cover!$D$6,"fdd/view?i=",I3836)</f>
        <v>https://www.dgiwg.org/FAD/fdd/view?i=106081</v>
      </c>
      <c r="K3836" s="304" t="s">
        <v>37885</v>
      </c>
      <c r="L3836" s="181">
        <v>9</v>
      </c>
      <c r="M3836" s="179" t="s">
        <v>151</v>
      </c>
    </row>
    <row r="3837" spans="1:13" ht="51">
      <c r="A3837" s="313" t="str">
        <f t="shared" si="59"/>
        <v>HydrologicPersistenceCode_dry</v>
      </c>
      <c r="B3837" s="332" t="str">
        <f>HYPERLINK("[#]Datatypes!A674:L674","HydrologicPersistenceCode")</f>
        <v>HydrologicPersistenceCode</v>
      </c>
      <c r="C3837" s="333" t="s">
        <v>12231</v>
      </c>
      <c r="D3837" s="202" t="s">
        <v>23622</v>
      </c>
      <c r="E3837" s="203" t="s">
        <v>23623</v>
      </c>
      <c r="F3837" s="204" t="s">
        <v>23624</v>
      </c>
      <c r="G3837" s="204" t="s">
        <v>23625</v>
      </c>
      <c r="H3837" s="218"/>
      <c r="I3837" s="169">
        <v>104345</v>
      </c>
      <c r="J3837" s="304" t="str">
        <f>CONCATENATE([2]Cover!$D$6,"fdd/view?i=",I3837)</f>
        <v>https://www.dgiwg.org/FAD/fdd/view?i=104345</v>
      </c>
      <c r="K3837" s="304" t="s">
        <v>37886</v>
      </c>
      <c r="L3837" s="202">
        <v>4</v>
      </c>
      <c r="M3837" s="179" t="s">
        <v>151</v>
      </c>
    </row>
    <row r="3838" spans="1:13" ht="25.5">
      <c r="A3838" s="313" t="str">
        <f t="shared" si="59"/>
        <v>HydrologicPersistenceCode_intermittent</v>
      </c>
      <c r="B3838" s="330"/>
      <c r="C3838" s="334"/>
      <c r="D3838" s="188" t="s">
        <v>15411</v>
      </c>
      <c r="E3838" s="189" t="s">
        <v>15412</v>
      </c>
      <c r="F3838" s="162" t="s">
        <v>23626</v>
      </c>
      <c r="G3838" s="190"/>
      <c r="H3838" s="219"/>
      <c r="I3838" s="169">
        <v>104343</v>
      </c>
      <c r="J3838" s="304" t="str">
        <f>CONCATENATE([2]Cover!$D$6,"fdd/view?i=",I3838)</f>
        <v>https://www.dgiwg.org/FAD/fdd/view?i=104343</v>
      </c>
      <c r="K3838" s="304" t="s">
        <v>37887</v>
      </c>
      <c r="L3838" s="188">
        <v>2</v>
      </c>
      <c r="M3838" s="179" t="s">
        <v>151</v>
      </c>
    </row>
    <row r="3839" spans="1:13" ht="25.5">
      <c r="A3839" s="313" t="str">
        <f t="shared" si="59"/>
        <v>HydrologicPersistenceCode_perennial</v>
      </c>
      <c r="B3839" s="331"/>
      <c r="C3839" s="335"/>
      <c r="D3839" s="181" t="s">
        <v>23627</v>
      </c>
      <c r="E3839" s="192" t="s">
        <v>23628</v>
      </c>
      <c r="F3839" s="193" t="s">
        <v>23629</v>
      </c>
      <c r="G3839" s="194"/>
      <c r="H3839" s="220"/>
      <c r="I3839" s="169">
        <v>104342</v>
      </c>
      <c r="J3839" s="304" t="str">
        <f>CONCATENATE([2]Cover!$D$6,"fdd/view?i=",I3839)</f>
        <v>https://www.dgiwg.org/FAD/fdd/view?i=104342</v>
      </c>
      <c r="K3839" s="304" t="s">
        <v>37888</v>
      </c>
      <c r="L3839" s="181">
        <v>1</v>
      </c>
      <c r="M3839" s="179" t="s">
        <v>151</v>
      </c>
    </row>
    <row r="3840" spans="1:13" ht="38.25">
      <c r="A3840" s="313" t="str">
        <f t="shared" si="59"/>
        <v>HypsographyPortrayalTypeCode_approxAuxiliaryContour</v>
      </c>
      <c r="B3840" s="332" t="str">
        <f>HYPERLINK("[#]Datatypes!A676:L676","HypsographyPortrayalTypeCode")</f>
        <v>HypsographyPortrayalTypeCode</v>
      </c>
      <c r="C3840" s="333" t="s">
        <v>12233</v>
      </c>
      <c r="D3840" s="202" t="s">
        <v>23630</v>
      </c>
      <c r="E3840" s="203" t="s">
        <v>23631</v>
      </c>
      <c r="F3840" s="204" t="s">
        <v>23632</v>
      </c>
      <c r="G3840" s="204" t="s">
        <v>23633</v>
      </c>
      <c r="H3840" s="218"/>
      <c r="I3840" s="169">
        <v>104212</v>
      </c>
      <c r="J3840" s="304" t="str">
        <f>CONCATENATE([2]Cover!$D$6,"fdd/view?i=",I3840)</f>
        <v>https://www.dgiwg.org/FAD/fdd/view?i=104212</v>
      </c>
      <c r="K3840" s="304" t="s">
        <v>37889</v>
      </c>
      <c r="L3840" s="202">
        <v>13</v>
      </c>
      <c r="M3840" s="179" t="s">
        <v>151</v>
      </c>
    </row>
    <row r="3841" spans="1:13" ht="38.25">
      <c r="A3841" s="313" t="str">
        <f t="shared" si="59"/>
        <v>HypsographyPortrayalTypeCode_approxDepAuxiliaryContour</v>
      </c>
      <c r="B3841" s="330"/>
      <c r="C3841" s="334"/>
      <c r="D3841" s="188" t="s">
        <v>23634</v>
      </c>
      <c r="E3841" s="189" t="s">
        <v>23635</v>
      </c>
      <c r="F3841" s="162" t="s">
        <v>23636</v>
      </c>
      <c r="G3841" s="162" t="s">
        <v>23637</v>
      </c>
      <c r="H3841" s="219"/>
      <c r="I3841" s="169">
        <v>104221</v>
      </c>
      <c r="J3841" s="304" t="str">
        <f>CONCATENATE([2]Cover!$D$6,"fdd/view?i=",I3841)</f>
        <v>https://www.dgiwg.org/FAD/fdd/view?i=104221</v>
      </c>
      <c r="K3841" s="304" t="s">
        <v>37890</v>
      </c>
      <c r="L3841" s="188">
        <v>23</v>
      </c>
      <c r="M3841" s="179" t="s">
        <v>151</v>
      </c>
    </row>
    <row r="3842" spans="1:13" ht="38.25">
      <c r="A3842" s="313" t="str">
        <f t="shared" si="59"/>
        <v>HypsographyPortrayalTypeCode_approxDepIndexContour</v>
      </c>
      <c r="B3842" s="330"/>
      <c r="C3842" s="334"/>
      <c r="D3842" s="188" t="s">
        <v>23638</v>
      </c>
      <c r="E3842" s="189" t="s">
        <v>23639</v>
      </c>
      <c r="F3842" s="162" t="s">
        <v>23640</v>
      </c>
      <c r="G3842" s="162" t="s">
        <v>23641</v>
      </c>
      <c r="H3842" s="219"/>
      <c r="I3842" s="169">
        <v>104214</v>
      </c>
      <c r="J3842" s="304" t="str">
        <f>CONCATENATE([2]Cover!$D$6,"fdd/view?i=",I3842)</f>
        <v>https://www.dgiwg.org/FAD/fdd/view?i=104214</v>
      </c>
      <c r="K3842" s="304" t="s">
        <v>37891</v>
      </c>
      <c r="L3842" s="188">
        <v>15</v>
      </c>
      <c r="M3842" s="179" t="s">
        <v>151</v>
      </c>
    </row>
    <row r="3843" spans="1:13" ht="38.25">
      <c r="A3843" s="313" t="str">
        <f t="shared" ref="A3843:A3906" si="60">HYPERLINK(J3843,K3843)</f>
        <v>HypsographyPortrayalTypeCode_approxDepIntermedContour</v>
      </c>
      <c r="B3843" s="330"/>
      <c r="C3843" s="334"/>
      <c r="D3843" s="188" t="s">
        <v>23642</v>
      </c>
      <c r="E3843" s="189" t="s">
        <v>23643</v>
      </c>
      <c r="F3843" s="162" t="s">
        <v>23636</v>
      </c>
      <c r="G3843" s="162" t="s">
        <v>23644</v>
      </c>
      <c r="H3843" s="219"/>
      <c r="I3843" s="169">
        <v>104216</v>
      </c>
      <c r="J3843" s="304" t="str">
        <f>CONCATENATE([2]Cover!$D$6,"fdd/view?i=",I3843)</f>
        <v>https://www.dgiwg.org/FAD/fdd/view?i=104216</v>
      </c>
      <c r="K3843" s="304" t="s">
        <v>37892</v>
      </c>
      <c r="L3843" s="188">
        <v>18</v>
      </c>
      <c r="M3843" s="179" t="s">
        <v>151</v>
      </c>
    </row>
    <row r="3844" spans="1:13" ht="38.25">
      <c r="A3844" s="313" t="str">
        <f t="shared" si="60"/>
        <v>HypsographyPortrayalTypeCode_approxIndexContour</v>
      </c>
      <c r="B3844" s="330"/>
      <c r="C3844" s="334"/>
      <c r="D3844" s="188" t="s">
        <v>23645</v>
      </c>
      <c r="E3844" s="189" t="s">
        <v>23646</v>
      </c>
      <c r="F3844" s="162" t="s">
        <v>23647</v>
      </c>
      <c r="G3844" s="162" t="s">
        <v>23648</v>
      </c>
      <c r="H3844" s="219"/>
      <c r="I3844" s="169">
        <v>104208</v>
      </c>
      <c r="J3844" s="304" t="str">
        <f>CONCATENATE([2]Cover!$D$6,"fdd/view?i=",I3844)</f>
        <v>https://www.dgiwg.org/FAD/fdd/view?i=104208</v>
      </c>
      <c r="K3844" s="304" t="s">
        <v>37893</v>
      </c>
      <c r="L3844" s="188">
        <v>7</v>
      </c>
      <c r="M3844" s="179" t="s">
        <v>151</v>
      </c>
    </row>
    <row r="3845" spans="1:13" ht="38.25">
      <c r="A3845" s="313" t="str">
        <f t="shared" si="60"/>
        <v>HypsographyPortrayalTypeCode_approxIntermediateContour</v>
      </c>
      <c r="B3845" s="330"/>
      <c r="C3845" s="334"/>
      <c r="D3845" s="188" t="s">
        <v>23649</v>
      </c>
      <c r="E3845" s="189" t="s">
        <v>23650</v>
      </c>
      <c r="F3845" s="162" t="s">
        <v>23651</v>
      </c>
      <c r="G3845" s="162" t="s">
        <v>23652</v>
      </c>
      <c r="H3845" s="219"/>
      <c r="I3845" s="169">
        <v>104211</v>
      </c>
      <c r="J3845" s="304" t="str">
        <f>CONCATENATE([2]Cover!$D$6,"fdd/view?i=",I3845)</f>
        <v>https://www.dgiwg.org/FAD/fdd/view?i=104211</v>
      </c>
      <c r="K3845" s="304" t="s">
        <v>37894</v>
      </c>
      <c r="L3845" s="188">
        <v>12</v>
      </c>
      <c r="M3845" s="179" t="s">
        <v>151</v>
      </c>
    </row>
    <row r="3846" spans="1:13" ht="38.25">
      <c r="A3846" s="313" t="str">
        <f t="shared" si="60"/>
        <v>HypsographyPortrayalTypeCode_auxiliaryCarryingContour</v>
      </c>
      <c r="B3846" s="330"/>
      <c r="C3846" s="334"/>
      <c r="D3846" s="188" t="s">
        <v>23653</v>
      </c>
      <c r="E3846" s="189" t="s">
        <v>23654</v>
      </c>
      <c r="F3846" s="162" t="s">
        <v>23655</v>
      </c>
      <c r="G3846" s="162" t="s">
        <v>23656</v>
      </c>
      <c r="H3846" s="219"/>
      <c r="I3846" s="169">
        <v>104218</v>
      </c>
      <c r="J3846" s="304" t="str">
        <f>CONCATENATE([2]Cover!$D$6,"fdd/view?i=",I3846)</f>
        <v>https://www.dgiwg.org/FAD/fdd/view?i=104218</v>
      </c>
      <c r="K3846" s="304" t="s">
        <v>37895</v>
      </c>
      <c r="L3846" s="188">
        <v>20</v>
      </c>
      <c r="M3846" s="179" t="s">
        <v>151</v>
      </c>
    </row>
    <row r="3847" spans="1:13" ht="102">
      <c r="A3847" s="313" t="str">
        <f t="shared" si="60"/>
        <v>HypsographyPortrayalTypeCode_auxiliaryContour</v>
      </c>
      <c r="B3847" s="330"/>
      <c r="C3847" s="334"/>
      <c r="D3847" s="188" t="s">
        <v>23657</v>
      </c>
      <c r="E3847" s="189" t="s">
        <v>23658</v>
      </c>
      <c r="F3847" s="162" t="s">
        <v>23659</v>
      </c>
      <c r="G3847" s="162" t="s">
        <v>23660</v>
      </c>
      <c r="H3847" s="219"/>
      <c r="I3847" s="169">
        <v>104215</v>
      </c>
      <c r="J3847" s="304" t="str">
        <f>CONCATENATE([2]Cover!$D$6,"fdd/view?i=",I3847)</f>
        <v>https://www.dgiwg.org/FAD/fdd/view?i=104215</v>
      </c>
      <c r="K3847" s="304" t="s">
        <v>37896</v>
      </c>
      <c r="L3847" s="188">
        <v>16</v>
      </c>
      <c r="M3847" s="179" t="s">
        <v>151</v>
      </c>
    </row>
    <row r="3848" spans="1:13" ht="38.25">
      <c r="A3848" s="313" t="str">
        <f t="shared" si="60"/>
        <v>HypsographyPortrayalTypeCode_connectorLine</v>
      </c>
      <c r="B3848" s="330"/>
      <c r="C3848" s="334"/>
      <c r="D3848" s="188" t="s">
        <v>23661</v>
      </c>
      <c r="E3848" s="189" t="s">
        <v>23662</v>
      </c>
      <c r="F3848" s="162" t="s">
        <v>23663</v>
      </c>
      <c r="G3848" s="162" t="s">
        <v>23664</v>
      </c>
      <c r="H3848" s="219"/>
      <c r="I3848" s="169">
        <v>104223</v>
      </c>
      <c r="J3848" s="304" t="str">
        <f>CONCATENATE([2]Cover!$D$6,"fdd/view?i=",I3848)</f>
        <v>https://www.dgiwg.org/FAD/fdd/view?i=104223</v>
      </c>
      <c r="K3848" s="304" t="s">
        <v>37897</v>
      </c>
      <c r="L3848" s="188">
        <v>99</v>
      </c>
      <c r="M3848" s="179" t="s">
        <v>151</v>
      </c>
    </row>
    <row r="3849" spans="1:13" ht="102">
      <c r="A3849" s="313" t="str">
        <f t="shared" si="60"/>
        <v>HypsographyPortrayalTypeCode_depressionAuxiliaryContour</v>
      </c>
      <c r="B3849" s="330"/>
      <c r="C3849" s="334"/>
      <c r="D3849" s="188" t="s">
        <v>23665</v>
      </c>
      <c r="E3849" s="189" t="s">
        <v>23666</v>
      </c>
      <c r="F3849" s="162" t="s">
        <v>23667</v>
      </c>
      <c r="G3849" s="162" t="s">
        <v>23668</v>
      </c>
      <c r="H3849" s="219"/>
      <c r="I3849" s="169">
        <v>104220</v>
      </c>
      <c r="J3849" s="304" t="str">
        <f>CONCATENATE([2]Cover!$D$6,"fdd/view?i=",I3849)</f>
        <v>https://www.dgiwg.org/FAD/fdd/view?i=104220</v>
      </c>
      <c r="K3849" s="304" t="s">
        <v>37898</v>
      </c>
      <c r="L3849" s="188">
        <v>22</v>
      </c>
      <c r="M3849" s="179" t="s">
        <v>151</v>
      </c>
    </row>
    <row r="3850" spans="1:13" ht="51">
      <c r="A3850" s="313" t="str">
        <f t="shared" si="60"/>
        <v>HypsographyPortrayalTypeCode_depressionIndexContour</v>
      </c>
      <c r="B3850" s="330"/>
      <c r="C3850" s="334"/>
      <c r="D3850" s="188" t="s">
        <v>23669</v>
      </c>
      <c r="E3850" s="189" t="s">
        <v>23670</v>
      </c>
      <c r="F3850" s="162" t="s">
        <v>23671</v>
      </c>
      <c r="G3850" s="162" t="s">
        <v>23672</v>
      </c>
      <c r="H3850" s="219"/>
      <c r="I3850" s="169">
        <v>104206</v>
      </c>
      <c r="J3850" s="304" t="str">
        <f>CONCATENATE([2]Cover!$D$6,"fdd/view?i=",I3850)</f>
        <v>https://www.dgiwg.org/FAD/fdd/view?i=104206</v>
      </c>
      <c r="K3850" s="304" t="s">
        <v>37899</v>
      </c>
      <c r="L3850" s="188">
        <v>5</v>
      </c>
      <c r="M3850" s="179" t="s">
        <v>151</v>
      </c>
    </row>
    <row r="3851" spans="1:13" ht="51">
      <c r="A3851" s="313" t="str">
        <f t="shared" si="60"/>
        <v>HypsographyPortrayalTypeCode_depressionIntermedContour</v>
      </c>
      <c r="B3851" s="330"/>
      <c r="C3851" s="334"/>
      <c r="D3851" s="188" t="s">
        <v>23673</v>
      </c>
      <c r="E3851" s="189" t="s">
        <v>23674</v>
      </c>
      <c r="F3851" s="162" t="s">
        <v>23675</v>
      </c>
      <c r="G3851" s="162" t="s">
        <v>23676</v>
      </c>
      <c r="H3851" s="219"/>
      <c r="I3851" s="169">
        <v>104207</v>
      </c>
      <c r="J3851" s="304" t="str">
        <f>CONCATENATE([2]Cover!$D$6,"fdd/view?i=",I3851)</f>
        <v>https://www.dgiwg.org/FAD/fdd/view?i=104207</v>
      </c>
      <c r="K3851" s="304" t="s">
        <v>37900</v>
      </c>
      <c r="L3851" s="188">
        <v>6</v>
      </c>
      <c r="M3851" s="179" t="s">
        <v>151</v>
      </c>
    </row>
    <row r="3852" spans="1:13" ht="25.5">
      <c r="A3852" s="313" t="str">
        <f t="shared" si="60"/>
        <v>HypsographyPortrayalTypeCode_formLine</v>
      </c>
      <c r="B3852" s="330"/>
      <c r="C3852" s="334"/>
      <c r="D3852" s="188" t="s">
        <v>23677</v>
      </c>
      <c r="E3852" s="189" t="s">
        <v>23678</v>
      </c>
      <c r="F3852" s="162" t="s">
        <v>23679</v>
      </c>
      <c r="G3852" s="190"/>
      <c r="H3852" s="219"/>
      <c r="I3852" s="169">
        <v>104205</v>
      </c>
      <c r="J3852" s="304" t="str">
        <f>CONCATENATE([2]Cover!$D$6,"fdd/view?i=",I3852)</f>
        <v>https://www.dgiwg.org/FAD/fdd/view?i=104205</v>
      </c>
      <c r="K3852" s="304" t="s">
        <v>37901</v>
      </c>
      <c r="L3852" s="188">
        <v>4</v>
      </c>
      <c r="M3852" s="179" t="s">
        <v>151</v>
      </c>
    </row>
    <row r="3853" spans="1:13" ht="38.25">
      <c r="A3853" s="313" t="str">
        <f t="shared" si="60"/>
        <v>HypsographyPortrayalTypeCode_halfAuxiliaryContour</v>
      </c>
      <c r="B3853" s="330"/>
      <c r="C3853" s="334"/>
      <c r="D3853" s="188" t="s">
        <v>23680</v>
      </c>
      <c r="E3853" s="189" t="s">
        <v>23681</v>
      </c>
      <c r="F3853" s="162" t="s">
        <v>23682</v>
      </c>
      <c r="G3853" s="162" t="s">
        <v>23683</v>
      </c>
      <c r="H3853" s="219"/>
      <c r="I3853" s="169">
        <v>104204</v>
      </c>
      <c r="J3853" s="304" t="str">
        <f>CONCATENATE([2]Cover!$D$6,"fdd/view?i=",I3853)</f>
        <v>https://www.dgiwg.org/FAD/fdd/view?i=104204</v>
      </c>
      <c r="K3853" s="304" t="s">
        <v>37902</v>
      </c>
      <c r="L3853" s="188">
        <v>3</v>
      </c>
      <c r="M3853" s="179" t="s">
        <v>151</v>
      </c>
    </row>
    <row r="3854" spans="1:13" ht="38.25">
      <c r="A3854" s="313" t="str">
        <f t="shared" si="60"/>
        <v>HypsographyPortrayalTypeCode_indexCarryingContour</v>
      </c>
      <c r="B3854" s="330"/>
      <c r="C3854" s="334"/>
      <c r="D3854" s="188" t="s">
        <v>23684</v>
      </c>
      <c r="E3854" s="189" t="s">
        <v>23685</v>
      </c>
      <c r="F3854" s="162" t="s">
        <v>23686</v>
      </c>
      <c r="G3854" s="162" t="s">
        <v>23656</v>
      </c>
      <c r="H3854" s="219"/>
      <c r="I3854" s="169">
        <v>104219</v>
      </c>
      <c r="J3854" s="304" t="str">
        <f>CONCATENATE([2]Cover!$D$6,"fdd/view?i=",I3854)</f>
        <v>https://www.dgiwg.org/FAD/fdd/view?i=104219</v>
      </c>
      <c r="K3854" s="304" t="s">
        <v>37903</v>
      </c>
      <c r="L3854" s="188">
        <v>21</v>
      </c>
      <c r="M3854" s="179" t="s">
        <v>151</v>
      </c>
    </row>
    <row r="3855" spans="1:13" ht="63.75">
      <c r="A3855" s="313" t="str">
        <f t="shared" si="60"/>
        <v>HypsographyPortrayalTypeCode_indexContour</v>
      </c>
      <c r="B3855" s="330"/>
      <c r="C3855" s="334"/>
      <c r="D3855" s="188" t="s">
        <v>23687</v>
      </c>
      <c r="E3855" s="189" t="s">
        <v>23688</v>
      </c>
      <c r="F3855" s="162" t="s">
        <v>23689</v>
      </c>
      <c r="G3855" s="162" t="s">
        <v>23690</v>
      </c>
      <c r="H3855" s="219"/>
      <c r="I3855" s="169">
        <v>104202</v>
      </c>
      <c r="J3855" s="304" t="str">
        <f>CONCATENATE([2]Cover!$D$6,"fdd/view?i=",I3855)</f>
        <v>https://www.dgiwg.org/FAD/fdd/view?i=104202</v>
      </c>
      <c r="K3855" s="304" t="s">
        <v>37904</v>
      </c>
      <c r="L3855" s="188">
        <v>1</v>
      </c>
      <c r="M3855" s="179" t="s">
        <v>151</v>
      </c>
    </row>
    <row r="3856" spans="1:13" ht="38.25">
      <c r="A3856" s="313" t="str">
        <f t="shared" si="60"/>
        <v>HypsographyPortrayalTypeCode_intermedCarryingContour</v>
      </c>
      <c r="B3856" s="330"/>
      <c r="C3856" s="334"/>
      <c r="D3856" s="188" t="s">
        <v>23691</v>
      </c>
      <c r="E3856" s="189" t="s">
        <v>23692</v>
      </c>
      <c r="F3856" s="162" t="s">
        <v>23693</v>
      </c>
      <c r="G3856" s="162" t="s">
        <v>23656</v>
      </c>
      <c r="H3856" s="219"/>
      <c r="I3856" s="169">
        <v>104217</v>
      </c>
      <c r="J3856" s="304" t="str">
        <f>CONCATENATE([2]Cover!$D$6,"fdd/view?i=",I3856)</f>
        <v>https://www.dgiwg.org/FAD/fdd/view?i=104217</v>
      </c>
      <c r="K3856" s="304" t="s">
        <v>37905</v>
      </c>
      <c r="L3856" s="188">
        <v>19</v>
      </c>
      <c r="M3856" s="179" t="s">
        <v>151</v>
      </c>
    </row>
    <row r="3857" spans="1:13" ht="102">
      <c r="A3857" s="313" t="str">
        <f t="shared" si="60"/>
        <v>HypsographyPortrayalTypeCode_intermediateContour</v>
      </c>
      <c r="B3857" s="330"/>
      <c r="C3857" s="334"/>
      <c r="D3857" s="188" t="s">
        <v>23694</v>
      </c>
      <c r="E3857" s="189" t="s">
        <v>23695</v>
      </c>
      <c r="F3857" s="162" t="s">
        <v>23696</v>
      </c>
      <c r="G3857" s="162" t="s">
        <v>23697</v>
      </c>
      <c r="H3857" s="219"/>
      <c r="I3857" s="169">
        <v>104203</v>
      </c>
      <c r="J3857" s="304" t="str">
        <f>CONCATENATE([2]Cover!$D$6,"fdd/view?i=",I3857)</f>
        <v>https://www.dgiwg.org/FAD/fdd/view?i=104203</v>
      </c>
      <c r="K3857" s="304" t="s">
        <v>37906</v>
      </c>
      <c r="L3857" s="188">
        <v>2</v>
      </c>
      <c r="M3857" s="179" t="s">
        <v>151</v>
      </c>
    </row>
    <row r="3858" spans="1:13" ht="51">
      <c r="A3858" s="313" t="str">
        <f t="shared" si="60"/>
        <v>HypsographyPortrayalTypeCode_moundIndexContour</v>
      </c>
      <c r="B3858" s="330"/>
      <c r="C3858" s="334"/>
      <c r="D3858" s="188" t="s">
        <v>23698</v>
      </c>
      <c r="E3858" s="189" t="s">
        <v>23699</v>
      </c>
      <c r="F3858" s="162" t="s">
        <v>23700</v>
      </c>
      <c r="G3858" s="162" t="s">
        <v>23701</v>
      </c>
      <c r="H3858" s="219"/>
      <c r="I3858" s="169">
        <v>104209</v>
      </c>
      <c r="J3858" s="304" t="str">
        <f>CONCATENATE([2]Cover!$D$6,"fdd/view?i=",I3858)</f>
        <v>https://www.dgiwg.org/FAD/fdd/view?i=104209</v>
      </c>
      <c r="K3858" s="304" t="s">
        <v>37907</v>
      </c>
      <c r="L3858" s="188">
        <v>8</v>
      </c>
      <c r="M3858" s="179" t="s">
        <v>151</v>
      </c>
    </row>
    <row r="3859" spans="1:13" ht="51">
      <c r="A3859" s="313" t="str">
        <f t="shared" si="60"/>
        <v>HypsographyPortrayalTypeCode_moundIntermediateContour</v>
      </c>
      <c r="B3859" s="330"/>
      <c r="C3859" s="334"/>
      <c r="D3859" s="188" t="s">
        <v>23702</v>
      </c>
      <c r="E3859" s="189" t="s">
        <v>23703</v>
      </c>
      <c r="F3859" s="162" t="s">
        <v>23704</v>
      </c>
      <c r="G3859" s="162" t="s">
        <v>23705</v>
      </c>
      <c r="H3859" s="219"/>
      <c r="I3859" s="169">
        <v>104210</v>
      </c>
      <c r="J3859" s="304" t="str">
        <f>CONCATENATE([2]Cover!$D$6,"fdd/view?i=",I3859)</f>
        <v>https://www.dgiwg.org/FAD/fdd/view?i=104210</v>
      </c>
      <c r="K3859" s="304" t="s">
        <v>37908</v>
      </c>
      <c r="L3859" s="188">
        <v>9</v>
      </c>
      <c r="M3859" s="179" t="s">
        <v>151</v>
      </c>
    </row>
    <row r="3860" spans="1:13" ht="25.5">
      <c r="A3860" s="313" t="str">
        <f t="shared" si="60"/>
        <v>HypsographyPortrayalTypeCode_quarterAuxiliaryContour</v>
      </c>
      <c r="B3860" s="330"/>
      <c r="C3860" s="334"/>
      <c r="D3860" s="188" t="s">
        <v>23706</v>
      </c>
      <c r="E3860" s="189" t="s">
        <v>23707</v>
      </c>
      <c r="F3860" s="162" t="s">
        <v>23708</v>
      </c>
      <c r="G3860" s="162" t="s">
        <v>23709</v>
      </c>
      <c r="H3860" s="219"/>
      <c r="I3860" s="169">
        <v>104213</v>
      </c>
      <c r="J3860" s="304" t="str">
        <f>CONCATENATE([2]Cover!$D$6,"fdd/view?i=",I3860)</f>
        <v>https://www.dgiwg.org/FAD/fdd/view?i=104213</v>
      </c>
      <c r="K3860" s="304" t="s">
        <v>37909</v>
      </c>
      <c r="L3860" s="188">
        <v>14</v>
      </c>
      <c r="M3860" s="179" t="s">
        <v>151</v>
      </c>
    </row>
    <row r="3861" spans="1:13" ht="38.25">
      <c r="A3861" s="313" t="str">
        <f t="shared" si="60"/>
        <v>HypsographyPortrayalTypeCode_transitionLine</v>
      </c>
      <c r="B3861" s="331"/>
      <c r="C3861" s="335"/>
      <c r="D3861" s="181" t="s">
        <v>23710</v>
      </c>
      <c r="E3861" s="192" t="s">
        <v>23711</v>
      </c>
      <c r="F3861" s="193" t="s">
        <v>23712</v>
      </c>
      <c r="G3861" s="193" t="s">
        <v>23713</v>
      </c>
      <c r="H3861" s="220"/>
      <c r="I3861" s="169">
        <v>104222</v>
      </c>
      <c r="J3861" s="304" t="str">
        <f>CONCATENATE([2]Cover!$D$6,"fdd/view?i=",I3861)</f>
        <v>https://www.dgiwg.org/FAD/fdd/view?i=104222</v>
      </c>
      <c r="K3861" s="304" t="s">
        <v>37910</v>
      </c>
      <c r="L3861" s="181">
        <v>98</v>
      </c>
      <c r="M3861" s="179" t="s">
        <v>151</v>
      </c>
    </row>
    <row r="3862" spans="1:13" ht="25.5">
      <c r="A3862" s="313" t="str">
        <f t="shared" si="60"/>
        <v>IcaoPathTerminatorTypeCode_arcToFix</v>
      </c>
      <c r="B3862" s="332" t="str">
        <f>HYPERLINK("[#]Datatypes!A682:L682","IcaoPathTerminatorTypeCode")</f>
        <v>IcaoPathTerminatorTypeCode</v>
      </c>
      <c r="C3862" s="333" t="s">
        <v>12240</v>
      </c>
      <c r="D3862" s="202" t="s">
        <v>23714</v>
      </c>
      <c r="E3862" s="203" t="s">
        <v>17009</v>
      </c>
      <c r="F3862" s="204" t="s">
        <v>23715</v>
      </c>
      <c r="G3862" s="205"/>
      <c r="H3862" s="218"/>
      <c r="I3862" s="169">
        <v>115648</v>
      </c>
      <c r="J3862" s="304" t="str">
        <f>CONCATENATE([2]Cover!$D$6,"fdd/view?i=",I3862)</f>
        <v>https://www.dgiwg.org/FAD/fdd/view?i=115648</v>
      </c>
      <c r="K3862" s="304" t="s">
        <v>37911</v>
      </c>
      <c r="L3862" s="202">
        <v>1</v>
      </c>
      <c r="M3862" s="179" t="s">
        <v>151</v>
      </c>
    </row>
    <row r="3863" spans="1:13" ht="25.5">
      <c r="A3863" s="313" t="str">
        <f t="shared" si="60"/>
        <v>IcaoPathTerminatorTypeCode_courseToAltitude</v>
      </c>
      <c r="B3863" s="330"/>
      <c r="C3863" s="334"/>
      <c r="D3863" s="188" t="s">
        <v>23716</v>
      </c>
      <c r="E3863" s="189" t="s">
        <v>23717</v>
      </c>
      <c r="F3863" s="162" t="s">
        <v>23718</v>
      </c>
      <c r="G3863" s="190"/>
      <c r="H3863" s="219"/>
      <c r="I3863" s="169">
        <v>115649</v>
      </c>
      <c r="J3863" s="304" t="str">
        <f>CONCATENATE([2]Cover!$D$6,"fdd/view?i=",I3863)</f>
        <v>https://www.dgiwg.org/FAD/fdd/view?i=115649</v>
      </c>
      <c r="K3863" s="304" t="s">
        <v>37912</v>
      </c>
      <c r="L3863" s="188">
        <v>2</v>
      </c>
      <c r="M3863" s="179" t="s">
        <v>151</v>
      </c>
    </row>
    <row r="3864" spans="1:13" ht="25.5">
      <c r="A3864" s="313" t="str">
        <f t="shared" si="60"/>
        <v>IcaoPathTerminatorTypeCode_courseToDmeDistance</v>
      </c>
      <c r="B3864" s="330"/>
      <c r="C3864" s="334"/>
      <c r="D3864" s="188" t="s">
        <v>23719</v>
      </c>
      <c r="E3864" s="189" t="s">
        <v>23720</v>
      </c>
      <c r="F3864" s="162" t="s">
        <v>23721</v>
      </c>
      <c r="G3864" s="190"/>
      <c r="H3864" s="219"/>
      <c r="I3864" s="169">
        <v>115650</v>
      </c>
      <c r="J3864" s="304" t="str">
        <f>CONCATENATE([2]Cover!$D$6,"fdd/view?i=",I3864)</f>
        <v>https://www.dgiwg.org/FAD/fdd/view?i=115650</v>
      </c>
      <c r="K3864" s="304" t="s">
        <v>37913</v>
      </c>
      <c r="L3864" s="188">
        <v>3</v>
      </c>
      <c r="M3864" s="179" t="s">
        <v>151</v>
      </c>
    </row>
    <row r="3865" spans="1:13" ht="25.5">
      <c r="A3865" s="313" t="str">
        <f t="shared" si="60"/>
        <v>IcaoPathTerminatorTypeCode_courseToFix</v>
      </c>
      <c r="B3865" s="330"/>
      <c r="C3865" s="334"/>
      <c r="D3865" s="188" t="s">
        <v>23722</v>
      </c>
      <c r="E3865" s="189" t="s">
        <v>23723</v>
      </c>
      <c r="F3865" s="162" t="s">
        <v>23724</v>
      </c>
      <c r="G3865" s="190"/>
      <c r="H3865" s="219"/>
      <c r="I3865" s="169">
        <v>115651</v>
      </c>
      <c r="J3865" s="304" t="str">
        <f>CONCATENATE([2]Cover!$D$6,"fdd/view?i=",I3865)</f>
        <v>https://www.dgiwg.org/FAD/fdd/view?i=115651</v>
      </c>
      <c r="K3865" s="304" t="s">
        <v>37914</v>
      </c>
      <c r="L3865" s="188">
        <v>4</v>
      </c>
      <c r="M3865" s="179" t="s">
        <v>151</v>
      </c>
    </row>
    <row r="3866" spans="1:13" ht="25.5">
      <c r="A3866" s="313" t="str">
        <f t="shared" si="60"/>
        <v>IcaoPathTerminatorTypeCode_courseToLegFollowed</v>
      </c>
      <c r="B3866" s="330"/>
      <c r="C3866" s="334"/>
      <c r="D3866" s="188" t="s">
        <v>23725</v>
      </c>
      <c r="E3866" s="189" t="s">
        <v>23726</v>
      </c>
      <c r="F3866" s="162" t="s">
        <v>23727</v>
      </c>
      <c r="G3866" s="190"/>
      <c r="H3866" s="219"/>
      <c r="I3866" s="169">
        <v>115652</v>
      </c>
      <c r="J3866" s="304" t="str">
        <f>CONCATENATE([2]Cover!$D$6,"fdd/view?i=",I3866)</f>
        <v>https://www.dgiwg.org/FAD/fdd/view?i=115652</v>
      </c>
      <c r="K3866" s="304" t="s">
        <v>37915</v>
      </c>
      <c r="L3866" s="188">
        <v>5</v>
      </c>
      <c r="M3866" s="179" t="s">
        <v>151</v>
      </c>
    </row>
    <row r="3867" spans="1:13" ht="25.5">
      <c r="A3867" s="313" t="str">
        <f t="shared" si="60"/>
        <v>IcaoPathTerminatorTypeCode_courseToRadialTermination</v>
      </c>
      <c r="B3867" s="330"/>
      <c r="C3867" s="334"/>
      <c r="D3867" s="188" t="s">
        <v>23728</v>
      </c>
      <c r="E3867" s="189" t="s">
        <v>23729</v>
      </c>
      <c r="F3867" s="162" t="s">
        <v>23730</v>
      </c>
      <c r="G3867" s="190"/>
      <c r="H3867" s="219"/>
      <c r="I3867" s="169">
        <v>115653</v>
      </c>
      <c r="J3867" s="304" t="str">
        <f>CONCATENATE([2]Cover!$D$6,"fdd/view?i=",I3867)</f>
        <v>https://www.dgiwg.org/FAD/fdd/view?i=115653</v>
      </c>
      <c r="K3867" s="304" t="s">
        <v>37916</v>
      </c>
      <c r="L3867" s="188">
        <v>6</v>
      </c>
      <c r="M3867" s="179" t="s">
        <v>151</v>
      </c>
    </row>
    <row r="3868" spans="1:13" ht="25.5">
      <c r="A3868" s="313" t="str">
        <f t="shared" si="60"/>
        <v>IcaoPathTerminatorTypeCode_directToFix</v>
      </c>
      <c r="B3868" s="330"/>
      <c r="C3868" s="334"/>
      <c r="D3868" s="188" t="s">
        <v>23731</v>
      </c>
      <c r="E3868" s="189" t="s">
        <v>23732</v>
      </c>
      <c r="F3868" s="162" t="s">
        <v>23733</v>
      </c>
      <c r="G3868" s="190"/>
      <c r="H3868" s="219"/>
      <c r="I3868" s="169">
        <v>115654</v>
      </c>
      <c r="J3868" s="304" t="str">
        <f>CONCATENATE([2]Cover!$D$6,"fdd/view?i=",I3868)</f>
        <v>https://www.dgiwg.org/FAD/fdd/view?i=115654</v>
      </c>
      <c r="K3868" s="304" t="s">
        <v>37917</v>
      </c>
      <c r="L3868" s="188">
        <v>7</v>
      </c>
      <c r="M3868" s="179" t="s">
        <v>151</v>
      </c>
    </row>
    <row r="3869" spans="1:13" ht="25.5">
      <c r="A3869" s="313" t="str">
        <f t="shared" si="60"/>
        <v>IcaoPathTerminatorTypeCode_fixDuringSpecifiedTime</v>
      </c>
      <c r="B3869" s="330"/>
      <c r="C3869" s="334"/>
      <c r="D3869" s="188" t="s">
        <v>23746</v>
      </c>
      <c r="E3869" s="189" t="s">
        <v>23747</v>
      </c>
      <c r="F3869" s="162" t="s">
        <v>23748</v>
      </c>
      <c r="G3869" s="190"/>
      <c r="H3869" s="219"/>
      <c r="I3869" s="169">
        <v>115659</v>
      </c>
      <c r="J3869" s="304" t="str">
        <f>CONCATENATE([2]Cover!$D$6,"fdd/view?i=",I3869)</f>
        <v>https://www.dgiwg.org/FAD/fdd/view?i=115659</v>
      </c>
      <c r="K3869" s="304" t="s">
        <v>37918</v>
      </c>
      <c r="L3869" s="188">
        <v>12</v>
      </c>
      <c r="M3869" s="179" t="s">
        <v>151</v>
      </c>
    </row>
    <row r="3870" spans="1:13" ht="25.5">
      <c r="A3870" s="313" t="str">
        <f t="shared" si="60"/>
        <v>IcaoPathTerminatorTypeCode_fixToAltitude</v>
      </c>
      <c r="B3870" s="330"/>
      <c r="C3870" s="334"/>
      <c r="D3870" s="188" t="s">
        <v>23734</v>
      </c>
      <c r="E3870" s="189" t="s">
        <v>23735</v>
      </c>
      <c r="F3870" s="162" t="s">
        <v>23736</v>
      </c>
      <c r="G3870" s="190"/>
      <c r="H3870" s="219"/>
      <c r="I3870" s="169">
        <v>115655</v>
      </c>
      <c r="J3870" s="304" t="str">
        <f>CONCATENATE([2]Cover!$D$6,"fdd/view?i=",I3870)</f>
        <v>https://www.dgiwg.org/FAD/fdd/view?i=115655</v>
      </c>
      <c r="K3870" s="304" t="s">
        <v>37919</v>
      </c>
      <c r="L3870" s="188">
        <v>8</v>
      </c>
      <c r="M3870" s="179" t="s">
        <v>151</v>
      </c>
    </row>
    <row r="3871" spans="1:13" ht="25.5">
      <c r="A3871" s="313" t="str">
        <f t="shared" si="60"/>
        <v>IcaoPathTerminatorTypeCode_fixToDistance</v>
      </c>
      <c r="B3871" s="330"/>
      <c r="C3871" s="334"/>
      <c r="D3871" s="188" t="s">
        <v>23737</v>
      </c>
      <c r="E3871" s="189" t="s">
        <v>23738</v>
      </c>
      <c r="F3871" s="162" t="s">
        <v>23739</v>
      </c>
      <c r="G3871" s="190"/>
      <c r="H3871" s="219"/>
      <c r="I3871" s="169">
        <v>115656</v>
      </c>
      <c r="J3871" s="304" t="str">
        <f>CONCATENATE([2]Cover!$D$6,"fdd/view?i=",I3871)</f>
        <v>https://www.dgiwg.org/FAD/fdd/view?i=115656</v>
      </c>
      <c r="K3871" s="304" t="s">
        <v>37920</v>
      </c>
      <c r="L3871" s="188">
        <v>9</v>
      </c>
      <c r="M3871" s="179" t="s">
        <v>151</v>
      </c>
    </row>
    <row r="3872" spans="1:13" ht="25.5">
      <c r="A3872" s="313" t="str">
        <f t="shared" si="60"/>
        <v>IcaoPathTerminatorTypeCode_fixToDmeDistance</v>
      </c>
      <c r="B3872" s="330"/>
      <c r="C3872" s="334"/>
      <c r="D3872" s="188" t="s">
        <v>23740</v>
      </c>
      <c r="E3872" s="189" t="s">
        <v>23741</v>
      </c>
      <c r="F3872" s="162" t="s">
        <v>23742</v>
      </c>
      <c r="G3872" s="190"/>
      <c r="H3872" s="219"/>
      <c r="I3872" s="169">
        <v>115657</v>
      </c>
      <c r="J3872" s="304" t="str">
        <f>CONCATENATE([2]Cover!$D$6,"fdd/view?i=",I3872)</f>
        <v>https://www.dgiwg.org/FAD/fdd/view?i=115657</v>
      </c>
      <c r="K3872" s="304" t="s">
        <v>37921</v>
      </c>
      <c r="L3872" s="188">
        <v>10</v>
      </c>
      <c r="M3872" s="179" t="s">
        <v>151</v>
      </c>
    </row>
    <row r="3873" spans="1:13" ht="25.5">
      <c r="A3873" s="313" t="str">
        <f t="shared" si="60"/>
        <v>IcaoPathTerminatorTypeCode_fixToManualTermination</v>
      </c>
      <c r="B3873" s="330"/>
      <c r="C3873" s="334"/>
      <c r="D3873" s="188" t="s">
        <v>23743</v>
      </c>
      <c r="E3873" s="189" t="s">
        <v>23744</v>
      </c>
      <c r="F3873" s="162" t="s">
        <v>23745</v>
      </c>
      <c r="G3873" s="190"/>
      <c r="H3873" s="219"/>
      <c r="I3873" s="169">
        <v>115658</v>
      </c>
      <c r="J3873" s="304" t="str">
        <f>CONCATENATE([2]Cover!$D$6,"fdd/view?i=",I3873)</f>
        <v>https://www.dgiwg.org/FAD/fdd/view?i=115658</v>
      </c>
      <c r="K3873" s="304" t="s">
        <v>37922</v>
      </c>
      <c r="L3873" s="188">
        <v>11</v>
      </c>
      <c r="M3873" s="179" t="s">
        <v>151</v>
      </c>
    </row>
    <row r="3874" spans="1:13" ht="25.5">
      <c r="A3874" s="313" t="str">
        <f t="shared" si="60"/>
        <v>IcaoPathTerminatorTypeCode_holdAfterAltitude</v>
      </c>
      <c r="B3874" s="330"/>
      <c r="C3874" s="334"/>
      <c r="D3874" s="188" t="s">
        <v>23749</v>
      </c>
      <c r="E3874" s="189" t="s">
        <v>23750</v>
      </c>
      <c r="F3874" s="162" t="s">
        <v>23751</v>
      </c>
      <c r="G3874" s="190"/>
      <c r="H3874" s="219"/>
      <c r="I3874" s="169">
        <v>115660</v>
      </c>
      <c r="J3874" s="304" t="str">
        <f>CONCATENATE([2]Cover!$D$6,"fdd/view?i=",I3874)</f>
        <v>https://www.dgiwg.org/FAD/fdd/view?i=115660</v>
      </c>
      <c r="K3874" s="304" t="s">
        <v>37923</v>
      </c>
      <c r="L3874" s="188">
        <v>13</v>
      </c>
      <c r="M3874" s="179" t="s">
        <v>151</v>
      </c>
    </row>
    <row r="3875" spans="1:13" ht="25.5">
      <c r="A3875" s="313" t="str">
        <f t="shared" si="60"/>
        <v>IcaoPathTerminatorTypeCode_holdAtFix</v>
      </c>
      <c r="B3875" s="330"/>
      <c r="C3875" s="334"/>
      <c r="D3875" s="188" t="s">
        <v>23752</v>
      </c>
      <c r="E3875" s="189" t="s">
        <v>15355</v>
      </c>
      <c r="F3875" s="162" t="s">
        <v>23753</v>
      </c>
      <c r="G3875" s="190"/>
      <c r="H3875" s="219"/>
      <c r="I3875" s="169">
        <v>115661</v>
      </c>
      <c r="J3875" s="304" t="str">
        <f>CONCATENATE([2]Cover!$D$6,"fdd/view?i=",I3875)</f>
        <v>https://www.dgiwg.org/FAD/fdd/view?i=115661</v>
      </c>
      <c r="K3875" s="304" t="s">
        <v>37924</v>
      </c>
      <c r="L3875" s="188">
        <v>14</v>
      </c>
      <c r="M3875" s="179" t="s">
        <v>151</v>
      </c>
    </row>
    <row r="3876" spans="1:13" ht="25.5">
      <c r="A3876" s="313" t="str">
        <f t="shared" si="60"/>
        <v>IcaoPathTerminatorTypeCode_holdTerminatingManually</v>
      </c>
      <c r="B3876" s="330"/>
      <c r="C3876" s="334"/>
      <c r="D3876" s="188" t="s">
        <v>23754</v>
      </c>
      <c r="E3876" s="189" t="s">
        <v>23755</v>
      </c>
      <c r="F3876" s="162" t="s">
        <v>23756</v>
      </c>
      <c r="G3876" s="190"/>
      <c r="H3876" s="219"/>
      <c r="I3876" s="169">
        <v>115662</v>
      </c>
      <c r="J3876" s="304" t="str">
        <f>CONCATENATE([2]Cover!$D$6,"fdd/view?i=",I3876)</f>
        <v>https://www.dgiwg.org/FAD/fdd/view?i=115662</v>
      </c>
      <c r="K3876" s="304" t="s">
        <v>37925</v>
      </c>
      <c r="L3876" s="188">
        <v>15</v>
      </c>
      <c r="M3876" s="179" t="s">
        <v>151</v>
      </c>
    </row>
    <row r="3877" spans="1:13" ht="25.5">
      <c r="A3877" s="313" t="str">
        <f t="shared" si="60"/>
        <v>IcaoPathTerminatorTypeCode_initialFix</v>
      </c>
      <c r="B3877" s="330"/>
      <c r="C3877" s="334"/>
      <c r="D3877" s="188" t="s">
        <v>23757</v>
      </c>
      <c r="E3877" s="189" t="s">
        <v>23758</v>
      </c>
      <c r="F3877" s="162" t="s">
        <v>23759</v>
      </c>
      <c r="G3877" s="190"/>
      <c r="H3877" s="219"/>
      <c r="I3877" s="169">
        <v>115663</v>
      </c>
      <c r="J3877" s="304" t="str">
        <f>CONCATENATE([2]Cover!$D$6,"fdd/view?i=",I3877)</f>
        <v>https://www.dgiwg.org/FAD/fdd/view?i=115663</v>
      </c>
      <c r="K3877" s="304" t="s">
        <v>37926</v>
      </c>
      <c r="L3877" s="188">
        <v>16</v>
      </c>
      <c r="M3877" s="179" t="s">
        <v>151</v>
      </c>
    </row>
    <row r="3878" spans="1:13" ht="25.5">
      <c r="A3878" s="313" t="str">
        <f t="shared" si="60"/>
        <v>IcaoPathTerminatorTypeCode_procedureCourseToFix</v>
      </c>
      <c r="B3878" s="330"/>
      <c r="C3878" s="334"/>
      <c r="D3878" s="188" t="s">
        <v>23760</v>
      </c>
      <c r="E3878" s="189" t="s">
        <v>23761</v>
      </c>
      <c r="F3878" s="162" t="s">
        <v>23762</v>
      </c>
      <c r="G3878" s="190"/>
      <c r="H3878" s="219"/>
      <c r="I3878" s="169">
        <v>115664</v>
      </c>
      <c r="J3878" s="304" t="str">
        <f>CONCATENATE([2]Cover!$D$6,"fdd/view?i=",I3878)</f>
        <v>https://www.dgiwg.org/FAD/fdd/view?i=115664</v>
      </c>
      <c r="K3878" s="304" t="s">
        <v>37927</v>
      </c>
      <c r="L3878" s="188">
        <v>17</v>
      </c>
      <c r="M3878" s="179" t="s">
        <v>151</v>
      </c>
    </row>
    <row r="3879" spans="1:13" ht="25.5">
      <c r="A3879" s="313" t="str">
        <f t="shared" si="60"/>
        <v>IcaoPathTerminatorTypeCode_procedureTurn</v>
      </c>
      <c r="B3879" s="330"/>
      <c r="C3879" s="334"/>
      <c r="D3879" s="188" t="s">
        <v>23763</v>
      </c>
      <c r="E3879" s="189" t="s">
        <v>23764</v>
      </c>
      <c r="F3879" s="162" t="s">
        <v>23765</v>
      </c>
      <c r="G3879" s="190"/>
      <c r="H3879" s="219"/>
      <c r="I3879" s="169">
        <v>115665</v>
      </c>
      <c r="J3879" s="304" t="str">
        <f>CONCATENATE([2]Cover!$D$6,"fdd/view?i=",I3879)</f>
        <v>https://www.dgiwg.org/FAD/fdd/view?i=115665</v>
      </c>
      <c r="K3879" s="304" t="s">
        <v>37928</v>
      </c>
      <c r="L3879" s="188">
        <v>18</v>
      </c>
      <c r="M3879" s="179" t="s">
        <v>151</v>
      </c>
    </row>
    <row r="3880" spans="1:13" ht="25.5">
      <c r="A3880" s="313" t="str">
        <f t="shared" si="60"/>
        <v>IcaoPathTerminatorTypeCode_radiusToFix</v>
      </c>
      <c r="B3880" s="330"/>
      <c r="C3880" s="334"/>
      <c r="D3880" s="188" t="s">
        <v>23766</v>
      </c>
      <c r="E3880" s="189" t="s">
        <v>23767</v>
      </c>
      <c r="F3880" s="162" t="s">
        <v>23768</v>
      </c>
      <c r="G3880" s="190"/>
      <c r="H3880" s="219"/>
      <c r="I3880" s="169">
        <v>115666</v>
      </c>
      <c r="J3880" s="304" t="str">
        <f>CONCATENATE([2]Cover!$D$6,"fdd/view?i=",I3880)</f>
        <v>https://www.dgiwg.org/FAD/fdd/view?i=115666</v>
      </c>
      <c r="K3880" s="304" t="s">
        <v>37929</v>
      </c>
      <c r="L3880" s="188">
        <v>19</v>
      </c>
      <c r="M3880" s="179" t="s">
        <v>151</v>
      </c>
    </row>
    <row r="3881" spans="1:13" ht="25.5">
      <c r="A3881" s="313" t="str">
        <f t="shared" si="60"/>
        <v>IcaoPathTerminatorTypeCode_trackBetweenTwoFixes</v>
      </c>
      <c r="B3881" s="330"/>
      <c r="C3881" s="334"/>
      <c r="D3881" s="188" t="s">
        <v>23769</v>
      </c>
      <c r="E3881" s="189" t="s">
        <v>23770</v>
      </c>
      <c r="F3881" s="162" t="s">
        <v>23771</v>
      </c>
      <c r="G3881" s="190"/>
      <c r="H3881" s="219"/>
      <c r="I3881" s="169">
        <v>115667</v>
      </c>
      <c r="J3881" s="304" t="str">
        <f>CONCATENATE([2]Cover!$D$6,"fdd/view?i=",I3881)</f>
        <v>https://www.dgiwg.org/FAD/fdd/view?i=115667</v>
      </c>
      <c r="K3881" s="304" t="s">
        <v>37930</v>
      </c>
      <c r="L3881" s="188">
        <v>20</v>
      </c>
      <c r="M3881" s="179" t="s">
        <v>151</v>
      </c>
    </row>
    <row r="3882" spans="1:13" ht="25.5">
      <c r="A3882" s="313" t="str">
        <f t="shared" si="60"/>
        <v>IcaoPathTerminatorTypeCode_vectorToAltitude</v>
      </c>
      <c r="B3882" s="330"/>
      <c r="C3882" s="334"/>
      <c r="D3882" s="188" t="s">
        <v>23772</v>
      </c>
      <c r="E3882" s="189" t="s">
        <v>23773</v>
      </c>
      <c r="F3882" s="162" t="s">
        <v>23774</v>
      </c>
      <c r="G3882" s="190"/>
      <c r="H3882" s="219"/>
      <c r="I3882" s="169">
        <v>115668</v>
      </c>
      <c r="J3882" s="304" t="str">
        <f>CONCATENATE([2]Cover!$D$6,"fdd/view?i=",I3882)</f>
        <v>https://www.dgiwg.org/FAD/fdd/view?i=115668</v>
      </c>
      <c r="K3882" s="304" t="s">
        <v>37931</v>
      </c>
      <c r="L3882" s="188">
        <v>21</v>
      </c>
      <c r="M3882" s="179" t="s">
        <v>151</v>
      </c>
    </row>
    <row r="3883" spans="1:13" ht="25.5">
      <c r="A3883" s="313" t="str">
        <f t="shared" si="60"/>
        <v>IcaoPathTerminatorTypeCode_vectorToDmeDistance</v>
      </c>
      <c r="B3883" s="330"/>
      <c r="C3883" s="334"/>
      <c r="D3883" s="188" t="s">
        <v>23775</v>
      </c>
      <c r="E3883" s="189" t="s">
        <v>23776</v>
      </c>
      <c r="F3883" s="162" t="s">
        <v>23777</v>
      </c>
      <c r="G3883" s="190"/>
      <c r="H3883" s="219"/>
      <c r="I3883" s="169">
        <v>115669</v>
      </c>
      <c r="J3883" s="304" t="str">
        <f>CONCATENATE([2]Cover!$D$6,"fdd/view?i=",I3883)</f>
        <v>https://www.dgiwg.org/FAD/fdd/view?i=115669</v>
      </c>
      <c r="K3883" s="304" t="s">
        <v>37932</v>
      </c>
      <c r="L3883" s="188">
        <v>22</v>
      </c>
      <c r="M3883" s="179" t="s">
        <v>151</v>
      </c>
    </row>
    <row r="3884" spans="1:13" ht="25.5">
      <c r="A3884" s="313" t="str">
        <f t="shared" si="60"/>
        <v>IcaoPathTerminatorTypeCode_vectorToManualTermination</v>
      </c>
      <c r="B3884" s="330"/>
      <c r="C3884" s="334"/>
      <c r="D3884" s="188" t="s">
        <v>23781</v>
      </c>
      <c r="E3884" s="189" t="s">
        <v>23782</v>
      </c>
      <c r="F3884" s="162" t="s">
        <v>23783</v>
      </c>
      <c r="G3884" s="190"/>
      <c r="H3884" s="219"/>
      <c r="I3884" s="169">
        <v>115671</v>
      </c>
      <c r="J3884" s="304" t="str">
        <f>CONCATENATE([2]Cover!$D$6,"fdd/view?i=",I3884)</f>
        <v>https://www.dgiwg.org/FAD/fdd/view?i=115671</v>
      </c>
      <c r="K3884" s="304" t="s">
        <v>37933</v>
      </c>
      <c r="L3884" s="188">
        <v>24</v>
      </c>
      <c r="M3884" s="179" t="s">
        <v>151</v>
      </c>
    </row>
    <row r="3885" spans="1:13" ht="25.5">
      <c r="A3885" s="313" t="str">
        <f t="shared" si="60"/>
        <v>IcaoPathTerminatorTypeCode_vectorToNextLeg</v>
      </c>
      <c r="B3885" s="330"/>
      <c r="C3885" s="334"/>
      <c r="D3885" s="188" t="s">
        <v>23778</v>
      </c>
      <c r="E3885" s="189" t="s">
        <v>23779</v>
      </c>
      <c r="F3885" s="162" t="s">
        <v>23780</v>
      </c>
      <c r="G3885" s="190"/>
      <c r="H3885" s="219"/>
      <c r="I3885" s="169">
        <v>115670</v>
      </c>
      <c r="J3885" s="304" t="str">
        <f>CONCATENATE([2]Cover!$D$6,"fdd/view?i=",I3885)</f>
        <v>https://www.dgiwg.org/FAD/fdd/view?i=115670</v>
      </c>
      <c r="K3885" s="304" t="s">
        <v>37934</v>
      </c>
      <c r="L3885" s="188">
        <v>23</v>
      </c>
      <c r="M3885" s="179" t="s">
        <v>151</v>
      </c>
    </row>
    <row r="3886" spans="1:13" ht="25.5">
      <c r="A3886" s="313" t="str">
        <f t="shared" si="60"/>
        <v>IcaoPathTerminatorTypeCode_vectorToRadialTermination</v>
      </c>
      <c r="B3886" s="331"/>
      <c r="C3886" s="335"/>
      <c r="D3886" s="181" t="s">
        <v>23784</v>
      </c>
      <c r="E3886" s="192" t="s">
        <v>23785</v>
      </c>
      <c r="F3886" s="193" t="s">
        <v>23786</v>
      </c>
      <c r="G3886" s="194"/>
      <c r="H3886" s="220"/>
      <c r="I3886" s="169">
        <v>115672</v>
      </c>
      <c r="J3886" s="304" t="str">
        <f>CONCATENATE([2]Cover!$D$6,"fdd/view?i=",I3886)</f>
        <v>https://www.dgiwg.org/FAD/fdd/view?i=115672</v>
      </c>
      <c r="K3886" s="304" t="s">
        <v>37935</v>
      </c>
      <c r="L3886" s="181">
        <v>25</v>
      </c>
      <c r="M3886" s="179" t="s">
        <v>151</v>
      </c>
    </row>
    <row r="3887" spans="1:13" ht="25.5">
      <c r="A3887" s="313" t="str">
        <f t="shared" si="60"/>
        <v>ImageRectificationMethodCode_imageToMap</v>
      </c>
      <c r="B3887" s="332" t="str">
        <f>HYPERLINK("[#]Datatypes!A690:L690","ImageRectificationMethodCode")</f>
        <v>ImageRectificationMethodCode</v>
      </c>
      <c r="C3887" s="333" t="s">
        <v>12249</v>
      </c>
      <c r="D3887" s="202" t="s">
        <v>23787</v>
      </c>
      <c r="E3887" s="203" t="s">
        <v>23788</v>
      </c>
      <c r="F3887" s="204" t="s">
        <v>23789</v>
      </c>
      <c r="G3887" s="205"/>
      <c r="H3887" s="218"/>
      <c r="I3887" s="169">
        <v>206287</v>
      </c>
      <c r="J3887" s="304" t="str">
        <f>CONCATENATE([2]Cover!$D$6,"fdd/view?i=",I3887)</f>
        <v>https://www.dgiwg.org/FAD/fdd/view?i=206287</v>
      </c>
      <c r="K3887" s="304" t="s">
        <v>37936</v>
      </c>
      <c r="L3887" s="202">
        <v>3</v>
      </c>
      <c r="M3887" s="179" t="s">
        <v>1295</v>
      </c>
    </row>
    <row r="3888" spans="1:13" ht="25.5">
      <c r="A3888" s="313" t="str">
        <f t="shared" si="60"/>
        <v>ImageRectificationMethodCode_imageToRectifiedImage</v>
      </c>
      <c r="B3888" s="330"/>
      <c r="C3888" s="334"/>
      <c r="D3888" s="188" t="s">
        <v>23790</v>
      </c>
      <c r="E3888" s="189" t="s">
        <v>23791</v>
      </c>
      <c r="F3888" s="162" t="s">
        <v>23792</v>
      </c>
      <c r="G3888" s="190"/>
      <c r="H3888" s="219"/>
      <c r="I3888" s="169">
        <v>206286</v>
      </c>
      <c r="J3888" s="304" t="str">
        <f>CONCATENATE([2]Cover!$D$6,"fdd/view?i=",I3888)</f>
        <v>https://www.dgiwg.org/FAD/fdd/view?i=206286</v>
      </c>
      <c r="K3888" s="304" t="s">
        <v>37937</v>
      </c>
      <c r="L3888" s="188">
        <v>2</v>
      </c>
      <c r="M3888" s="179" t="s">
        <v>1295</v>
      </c>
    </row>
    <row r="3889" spans="1:13" ht="25.5">
      <c r="A3889" s="313" t="str">
        <f t="shared" si="60"/>
        <v>ImageRectificationMethodCode_orthorectification</v>
      </c>
      <c r="B3889" s="330"/>
      <c r="C3889" s="334"/>
      <c r="D3889" s="188" t="s">
        <v>23793</v>
      </c>
      <c r="E3889" s="189" t="s">
        <v>23794</v>
      </c>
      <c r="F3889" s="162" t="s">
        <v>23795</v>
      </c>
      <c r="G3889" s="190"/>
      <c r="H3889" s="219"/>
      <c r="I3889" s="169">
        <v>206285</v>
      </c>
      <c r="J3889" s="304" t="str">
        <f>CONCATENATE([2]Cover!$D$6,"fdd/view?i=",I3889)</f>
        <v>https://www.dgiwg.org/FAD/fdd/view?i=206285</v>
      </c>
      <c r="K3889" s="304" t="s">
        <v>37938</v>
      </c>
      <c r="L3889" s="188">
        <v>1</v>
      </c>
      <c r="M3889" s="179" t="s">
        <v>1295</v>
      </c>
    </row>
    <row r="3890" spans="1:13" ht="25.5">
      <c r="A3890" s="313" t="str">
        <f t="shared" si="60"/>
        <v>ImageRectificationMethodCode_sensorModelBased</v>
      </c>
      <c r="B3890" s="331"/>
      <c r="C3890" s="335"/>
      <c r="D3890" s="181" t="s">
        <v>23796</v>
      </c>
      <c r="E3890" s="192" t="s">
        <v>23797</v>
      </c>
      <c r="F3890" s="193" t="s">
        <v>23798</v>
      </c>
      <c r="G3890" s="194"/>
      <c r="H3890" s="220"/>
      <c r="I3890" s="169">
        <v>206288</v>
      </c>
      <c r="J3890" s="304" t="str">
        <f>CONCATENATE([2]Cover!$D$6,"fdd/view?i=",I3890)</f>
        <v>https://www.dgiwg.org/FAD/fdd/view?i=206288</v>
      </c>
      <c r="K3890" s="304" t="s">
        <v>37939</v>
      </c>
      <c r="L3890" s="181">
        <v>4</v>
      </c>
      <c r="M3890" s="179" t="s">
        <v>1295</v>
      </c>
    </row>
    <row r="3891" spans="1:13" ht="25.5">
      <c r="A3891" s="313" t="str">
        <f t="shared" si="60"/>
        <v>InfluenceMineActuationCode_acoustic</v>
      </c>
      <c r="B3891" s="332" t="str">
        <f>HYPERLINK("[#]Datatypes!A698:L698","InfluenceMineActuationCode")</f>
        <v>InfluenceMineActuationCode</v>
      </c>
      <c r="C3891" s="333" t="s">
        <v>12260</v>
      </c>
      <c r="D3891" s="202" t="s">
        <v>23799</v>
      </c>
      <c r="E3891" s="203" t="s">
        <v>23800</v>
      </c>
      <c r="F3891" s="204" t="s">
        <v>23801</v>
      </c>
      <c r="G3891" s="204" t="s">
        <v>23802</v>
      </c>
      <c r="H3891" s="218"/>
      <c r="I3891" s="169">
        <v>105695</v>
      </c>
      <c r="J3891" s="304" t="str">
        <f>CONCATENATE([2]Cover!$D$6,"fdd/view?i=",I3891)</f>
        <v>https://www.dgiwg.org/FAD/fdd/view?i=105695</v>
      </c>
      <c r="K3891" s="304" t="s">
        <v>37940</v>
      </c>
      <c r="L3891" s="202">
        <v>4</v>
      </c>
      <c r="M3891" s="179" t="s">
        <v>151</v>
      </c>
    </row>
    <row r="3892" spans="1:13" ht="38.25">
      <c r="A3892" s="313" t="str">
        <f t="shared" si="60"/>
        <v>InfluenceMineActuationCode_combined</v>
      </c>
      <c r="B3892" s="330"/>
      <c r="C3892" s="334"/>
      <c r="D3892" s="188" t="s">
        <v>23803</v>
      </c>
      <c r="E3892" s="189" t="s">
        <v>23804</v>
      </c>
      <c r="F3892" s="162" t="s">
        <v>23805</v>
      </c>
      <c r="G3892" s="190"/>
      <c r="H3892" s="219"/>
      <c r="I3892" s="169">
        <v>105693</v>
      </c>
      <c r="J3892" s="304" t="str">
        <f>CONCATENATE([2]Cover!$D$6,"fdd/view?i=",I3892)</f>
        <v>https://www.dgiwg.org/FAD/fdd/view?i=105693</v>
      </c>
      <c r="K3892" s="304" t="s">
        <v>37941</v>
      </c>
      <c r="L3892" s="188">
        <v>2</v>
      </c>
      <c r="M3892" s="179" t="s">
        <v>151</v>
      </c>
    </row>
    <row r="3893" spans="1:13" ht="25.5">
      <c r="A3893" s="313" t="str">
        <f t="shared" si="60"/>
        <v>InfluenceMineActuationCode_magnetic</v>
      </c>
      <c r="B3893" s="330"/>
      <c r="C3893" s="334"/>
      <c r="D3893" s="188" t="s">
        <v>23806</v>
      </c>
      <c r="E3893" s="189" t="s">
        <v>23807</v>
      </c>
      <c r="F3893" s="162" t="s">
        <v>23808</v>
      </c>
      <c r="G3893" s="162" t="s">
        <v>23809</v>
      </c>
      <c r="H3893" s="219"/>
      <c r="I3893" s="169">
        <v>105694</v>
      </c>
      <c r="J3893" s="304" t="str">
        <f>CONCATENATE([2]Cover!$D$6,"fdd/view?i=",I3893)</f>
        <v>https://www.dgiwg.org/FAD/fdd/view?i=105694</v>
      </c>
      <c r="K3893" s="304" t="s">
        <v>37942</v>
      </c>
      <c r="L3893" s="188">
        <v>3</v>
      </c>
      <c r="M3893" s="179" t="s">
        <v>151</v>
      </c>
    </row>
    <row r="3894" spans="1:13" ht="25.5">
      <c r="A3894" s="313" t="str">
        <f t="shared" si="60"/>
        <v>InfluenceMineActuationCode_pressure</v>
      </c>
      <c r="B3894" s="331"/>
      <c r="C3894" s="335"/>
      <c r="D3894" s="181" t="s">
        <v>260</v>
      </c>
      <c r="E3894" s="192" t="s">
        <v>261</v>
      </c>
      <c r="F3894" s="193" t="s">
        <v>23810</v>
      </c>
      <c r="G3894" s="194"/>
      <c r="H3894" s="223" t="s">
        <v>23811</v>
      </c>
      <c r="I3894" s="169">
        <v>105692</v>
      </c>
      <c r="J3894" s="304" t="str">
        <f>CONCATENATE([2]Cover!$D$6,"fdd/view?i=",I3894)</f>
        <v>https://www.dgiwg.org/FAD/fdd/view?i=105692</v>
      </c>
      <c r="K3894" s="304" t="s">
        <v>37943</v>
      </c>
      <c r="L3894" s="181">
        <v>1</v>
      </c>
      <c r="M3894" s="179" t="s">
        <v>151</v>
      </c>
    </row>
    <row r="3895" spans="1:13" ht="51">
      <c r="A3895" s="313" t="str">
        <f t="shared" si="60"/>
        <v>InlandWaterTypeCode_basin</v>
      </c>
      <c r="B3895" s="332" t="str">
        <f>HYPERLINK("[#]Datatypes!A700:L700","InlandWaterTypeCode")</f>
        <v>InlandWaterTypeCode</v>
      </c>
      <c r="C3895" s="333" t="s">
        <v>12262</v>
      </c>
      <c r="D3895" s="202" t="s">
        <v>23812</v>
      </c>
      <c r="E3895" s="203" t="s">
        <v>23813</v>
      </c>
      <c r="F3895" s="204" t="s">
        <v>23814</v>
      </c>
      <c r="G3895" s="204" t="s">
        <v>23815</v>
      </c>
      <c r="H3895" s="218"/>
      <c r="I3895" s="169">
        <v>117931</v>
      </c>
      <c r="J3895" s="304" t="str">
        <f>CONCATENATE([2]Cover!$D$6,"fdd/view?i=",I3895)</f>
        <v>https://www.dgiwg.org/FAD/fdd/view?i=117931</v>
      </c>
      <c r="K3895" s="304" t="s">
        <v>37944</v>
      </c>
      <c r="L3895" s="202">
        <v>5</v>
      </c>
      <c r="M3895" s="179" t="s">
        <v>151</v>
      </c>
    </row>
    <row r="3896" spans="1:13" ht="25.5">
      <c r="A3896" s="313" t="str">
        <f t="shared" si="60"/>
        <v>InlandWaterTypeCode_lake</v>
      </c>
      <c r="B3896" s="330"/>
      <c r="C3896" s="334"/>
      <c r="D3896" s="188" t="s">
        <v>23816</v>
      </c>
      <c r="E3896" s="189" t="s">
        <v>23817</v>
      </c>
      <c r="F3896" s="162" t="s">
        <v>23818</v>
      </c>
      <c r="G3896" s="162" t="s">
        <v>23819</v>
      </c>
      <c r="H3896" s="219"/>
      <c r="I3896" s="169">
        <v>117927</v>
      </c>
      <c r="J3896" s="304" t="str">
        <f>CONCATENATE([2]Cover!$D$6,"fdd/view?i=",I3896)</f>
        <v>https://www.dgiwg.org/FAD/fdd/view?i=117927</v>
      </c>
      <c r="K3896" s="304" t="s">
        <v>37945</v>
      </c>
      <c r="L3896" s="188">
        <v>1</v>
      </c>
      <c r="M3896" s="179" t="s">
        <v>151</v>
      </c>
    </row>
    <row r="3897" spans="1:13" ht="51">
      <c r="A3897" s="313" t="str">
        <f t="shared" si="60"/>
        <v>InlandWaterTypeCode_landlockedSea</v>
      </c>
      <c r="B3897" s="330"/>
      <c r="C3897" s="334"/>
      <c r="D3897" s="188" t="s">
        <v>23820</v>
      </c>
      <c r="E3897" s="189" t="s">
        <v>23821</v>
      </c>
      <c r="F3897" s="162" t="s">
        <v>23822</v>
      </c>
      <c r="G3897" s="162" t="s">
        <v>23823</v>
      </c>
      <c r="H3897" s="219"/>
      <c r="I3897" s="169">
        <v>117933</v>
      </c>
      <c r="J3897" s="304" t="str">
        <f>CONCATENATE([2]Cover!$D$6,"fdd/view?i=",I3897)</f>
        <v>https://www.dgiwg.org/FAD/fdd/view?i=117933</v>
      </c>
      <c r="K3897" s="304" t="s">
        <v>37946</v>
      </c>
      <c r="L3897" s="188">
        <v>7</v>
      </c>
      <c r="M3897" s="179" t="s">
        <v>151</v>
      </c>
    </row>
    <row r="3898" spans="1:13" ht="63.75">
      <c r="A3898" s="313" t="str">
        <f t="shared" si="60"/>
        <v>InlandWaterTypeCode_pond</v>
      </c>
      <c r="B3898" s="330"/>
      <c r="C3898" s="334"/>
      <c r="D3898" s="188" t="s">
        <v>23824</v>
      </c>
      <c r="E3898" s="189" t="s">
        <v>23825</v>
      </c>
      <c r="F3898" s="162" t="s">
        <v>23826</v>
      </c>
      <c r="G3898" s="162" t="s">
        <v>23827</v>
      </c>
      <c r="H3898" s="219"/>
      <c r="I3898" s="169">
        <v>117928</v>
      </c>
      <c r="J3898" s="304" t="str">
        <f>CONCATENATE([2]Cover!$D$6,"fdd/view?i=",I3898)</f>
        <v>https://www.dgiwg.org/FAD/fdd/view?i=117928</v>
      </c>
      <c r="K3898" s="304" t="s">
        <v>37947</v>
      </c>
      <c r="L3898" s="188">
        <v>2</v>
      </c>
      <c r="M3898" s="179" t="s">
        <v>151</v>
      </c>
    </row>
    <row r="3899" spans="1:13" ht="38.25">
      <c r="A3899" s="313" t="str">
        <f t="shared" si="60"/>
        <v>InlandWaterTypeCode_reservoir</v>
      </c>
      <c r="B3899" s="330"/>
      <c r="C3899" s="334"/>
      <c r="D3899" s="188" t="s">
        <v>23828</v>
      </c>
      <c r="E3899" s="189" t="s">
        <v>23829</v>
      </c>
      <c r="F3899" s="162" t="s">
        <v>23830</v>
      </c>
      <c r="G3899" s="162" t="s">
        <v>23831</v>
      </c>
      <c r="H3899" s="219"/>
      <c r="I3899" s="169">
        <v>117930</v>
      </c>
      <c r="J3899" s="304" t="str">
        <f>CONCATENATE([2]Cover!$D$6,"fdd/view?i=",I3899)</f>
        <v>https://www.dgiwg.org/FAD/fdd/view?i=117930</v>
      </c>
      <c r="K3899" s="304" t="s">
        <v>37948</v>
      </c>
      <c r="L3899" s="188">
        <v>4</v>
      </c>
      <c r="M3899" s="179" t="s">
        <v>151</v>
      </c>
    </row>
    <row r="3900" spans="1:13" ht="51">
      <c r="A3900" s="313" t="str">
        <f t="shared" si="60"/>
        <v>InlandWaterTypeCode_undifferentiatedWaterBody</v>
      </c>
      <c r="B3900" s="330"/>
      <c r="C3900" s="334"/>
      <c r="D3900" s="188" t="s">
        <v>23832</v>
      </c>
      <c r="E3900" s="189" t="s">
        <v>23833</v>
      </c>
      <c r="F3900" s="162" t="s">
        <v>23834</v>
      </c>
      <c r="G3900" s="162" t="s">
        <v>23835</v>
      </c>
      <c r="H3900" s="219"/>
      <c r="I3900" s="169">
        <v>117929</v>
      </c>
      <c r="J3900" s="304" t="str">
        <f>CONCATENATE([2]Cover!$D$6,"fdd/view?i=",I3900)</f>
        <v>https://www.dgiwg.org/FAD/fdd/view?i=117929</v>
      </c>
      <c r="K3900" s="304" t="s">
        <v>37949</v>
      </c>
      <c r="L3900" s="188">
        <v>3</v>
      </c>
      <c r="M3900" s="179" t="s">
        <v>151</v>
      </c>
    </row>
    <row r="3901" spans="1:13" ht="25.5">
      <c r="A3901" s="313" t="str">
        <f t="shared" si="60"/>
        <v>InlandWaterTypeCode_waterHole</v>
      </c>
      <c r="B3901" s="331"/>
      <c r="C3901" s="335"/>
      <c r="D3901" s="181" t="s">
        <v>23836</v>
      </c>
      <c r="E3901" s="192" t="s">
        <v>23837</v>
      </c>
      <c r="F3901" s="193" t="s">
        <v>23838</v>
      </c>
      <c r="G3901" s="194"/>
      <c r="H3901" s="220"/>
      <c r="I3901" s="169">
        <v>117932</v>
      </c>
      <c r="J3901" s="304" t="str">
        <f>CONCATENATE([2]Cover!$D$6,"fdd/view?i=",I3901)</f>
        <v>https://www.dgiwg.org/FAD/fdd/view?i=117932</v>
      </c>
      <c r="K3901" s="304" t="s">
        <v>37950</v>
      </c>
      <c r="L3901" s="181">
        <v>6</v>
      </c>
      <c r="M3901" s="179" t="s">
        <v>151</v>
      </c>
    </row>
    <row r="3902" spans="1:13" ht="51">
      <c r="A3902" s="313" t="str">
        <f t="shared" si="60"/>
        <v>InstallationTypeCode_militaryInstallation</v>
      </c>
      <c r="B3902" s="196" t="str">
        <f>HYPERLINK("[#]Datatypes!A702:L702","InstallationTypeCode")</f>
        <v>InstallationTypeCode</v>
      </c>
      <c r="C3902" s="197" t="s">
        <v>12264</v>
      </c>
      <c r="D3902" s="213" t="s">
        <v>23477</v>
      </c>
      <c r="E3902" s="214" t="s">
        <v>3186</v>
      </c>
      <c r="F3902" s="215" t="s">
        <v>3187</v>
      </c>
      <c r="G3902" s="215" t="s">
        <v>3188</v>
      </c>
      <c r="H3902" s="224"/>
      <c r="I3902" s="169">
        <v>204261</v>
      </c>
      <c r="J3902" s="304" t="str">
        <f>CONCATENATE([2]Cover!$D$6,"fdd/view?i=",I3902)</f>
        <v>https://www.dgiwg.org/FAD/fdd/view?i=204261</v>
      </c>
      <c r="K3902" s="304" t="s">
        <v>37951</v>
      </c>
      <c r="L3902" s="213">
        <v>1</v>
      </c>
      <c r="M3902" s="179" t="s">
        <v>1295</v>
      </c>
    </row>
    <row r="3903" spans="1:13" ht="25.5">
      <c r="A3903" s="313" t="str">
        <f t="shared" si="60"/>
        <v>InstApproachProcFixRoleCode_finalApproachFix</v>
      </c>
      <c r="B3903" s="332" t="str">
        <f>HYPERLINK("[#]Datatypes!A704:L704","InstApproachProcFixRoleCode")</f>
        <v>InstApproachProcFixRoleCode</v>
      </c>
      <c r="C3903" s="333" t="s">
        <v>12266</v>
      </c>
      <c r="D3903" s="202" t="s">
        <v>23839</v>
      </c>
      <c r="E3903" s="203" t="s">
        <v>23840</v>
      </c>
      <c r="F3903" s="204" t="s">
        <v>23841</v>
      </c>
      <c r="G3903" s="205"/>
      <c r="H3903" s="218"/>
      <c r="I3903" s="169">
        <v>115675</v>
      </c>
      <c r="J3903" s="304" t="str">
        <f>CONCATENATE([2]Cover!$D$6,"fdd/view?i=",I3903)</f>
        <v>https://www.dgiwg.org/FAD/fdd/view?i=115675</v>
      </c>
      <c r="K3903" s="304" t="s">
        <v>37952</v>
      </c>
      <c r="L3903" s="202">
        <v>1</v>
      </c>
      <c r="M3903" s="179" t="s">
        <v>151</v>
      </c>
    </row>
    <row r="3904" spans="1:13" ht="25.5">
      <c r="A3904" s="313" t="str">
        <f t="shared" si="60"/>
        <v>InstApproachProcFixRoleCode_initialApproachFix</v>
      </c>
      <c r="B3904" s="330"/>
      <c r="C3904" s="334"/>
      <c r="D3904" s="188" t="s">
        <v>23842</v>
      </c>
      <c r="E3904" s="189" t="s">
        <v>23843</v>
      </c>
      <c r="F3904" s="162" t="s">
        <v>23844</v>
      </c>
      <c r="G3904" s="190"/>
      <c r="H3904" s="219"/>
      <c r="I3904" s="169">
        <v>115676</v>
      </c>
      <c r="J3904" s="304" t="str">
        <f>CONCATENATE([2]Cover!$D$6,"fdd/view?i=",I3904)</f>
        <v>https://www.dgiwg.org/FAD/fdd/view?i=115676</v>
      </c>
      <c r="K3904" s="304" t="s">
        <v>37953</v>
      </c>
      <c r="L3904" s="188">
        <v>2</v>
      </c>
      <c r="M3904" s="179" t="s">
        <v>151</v>
      </c>
    </row>
    <row r="3905" spans="1:13" ht="25.5">
      <c r="A3905" s="313" t="str">
        <f t="shared" si="60"/>
        <v>InstApproachProcFixRoleCode_intermediateApproachFix</v>
      </c>
      <c r="B3905" s="330"/>
      <c r="C3905" s="334"/>
      <c r="D3905" s="188" t="s">
        <v>23845</v>
      </c>
      <c r="E3905" s="189" t="s">
        <v>23846</v>
      </c>
      <c r="F3905" s="162" t="s">
        <v>23847</v>
      </c>
      <c r="G3905" s="190"/>
      <c r="H3905" s="219"/>
      <c r="I3905" s="169">
        <v>115677</v>
      </c>
      <c r="J3905" s="304" t="str">
        <f>CONCATENATE([2]Cover!$D$6,"fdd/view?i=",I3905)</f>
        <v>https://www.dgiwg.org/FAD/fdd/view?i=115677</v>
      </c>
      <c r="K3905" s="304" t="s">
        <v>37954</v>
      </c>
      <c r="L3905" s="188">
        <v>3</v>
      </c>
      <c r="M3905" s="179" t="s">
        <v>151</v>
      </c>
    </row>
    <row r="3906" spans="1:13" ht="38.25">
      <c r="A3906" s="313" t="str">
        <f t="shared" si="60"/>
        <v>InstApproachProcFixRoleCode_missedApproachPoint</v>
      </c>
      <c r="B3906" s="331"/>
      <c r="C3906" s="335"/>
      <c r="D3906" s="181" t="s">
        <v>23848</v>
      </c>
      <c r="E3906" s="192" t="s">
        <v>23849</v>
      </c>
      <c r="F3906" s="193" t="s">
        <v>23850</v>
      </c>
      <c r="G3906" s="194"/>
      <c r="H3906" s="220"/>
      <c r="I3906" s="169">
        <v>115678</v>
      </c>
      <c r="J3906" s="304" t="str">
        <f>CONCATENATE([2]Cover!$D$6,"fdd/view?i=",I3906)</f>
        <v>https://www.dgiwg.org/FAD/fdd/view?i=115678</v>
      </c>
      <c r="K3906" s="304" t="s">
        <v>37955</v>
      </c>
      <c r="L3906" s="181">
        <v>4</v>
      </c>
      <c r="M3906" s="179" t="s">
        <v>151</v>
      </c>
    </row>
    <row r="3907" spans="1:13" ht="63.75">
      <c r="A3907" s="313" t="str">
        <f t="shared" ref="A3907:A3970" si="61">HYPERLINK(J3907,K3907)</f>
        <v>IlsFacilityPerfCategoryCode_catIIIaOps</v>
      </c>
      <c r="B3907" s="332" t="str">
        <f>HYPERLINK("[#]Datatypes!A706:L706","IlsFacilityPerfCategoryCode")</f>
        <v>IlsFacilityPerfCategoryCode</v>
      </c>
      <c r="C3907" s="333" t="s">
        <v>12268</v>
      </c>
      <c r="D3907" s="202" t="s">
        <v>23861</v>
      </c>
      <c r="E3907" s="203" t="s">
        <v>23862</v>
      </c>
      <c r="F3907" s="204" t="s">
        <v>23860</v>
      </c>
      <c r="G3907" s="204" t="s">
        <v>23863</v>
      </c>
      <c r="H3907" s="218"/>
      <c r="I3907" s="169">
        <v>115125</v>
      </c>
      <c r="J3907" s="304" t="str">
        <f>CONCATENATE([2]Cover!$D$6,"fdd/view?i=",I3907)</f>
        <v>https://www.dgiwg.org/FAD/fdd/view?i=115125</v>
      </c>
      <c r="K3907" s="304" t="s">
        <v>37956</v>
      </c>
      <c r="L3907" s="202">
        <v>4</v>
      </c>
      <c r="M3907" s="179" t="s">
        <v>151</v>
      </c>
    </row>
    <row r="3908" spans="1:13" ht="76.5">
      <c r="A3908" s="313" t="str">
        <f t="shared" si="61"/>
        <v>IlsFacilityPerfCategoryCode_catIIIbOps</v>
      </c>
      <c r="B3908" s="330"/>
      <c r="C3908" s="334"/>
      <c r="D3908" s="188" t="s">
        <v>23864</v>
      </c>
      <c r="E3908" s="189" t="s">
        <v>23865</v>
      </c>
      <c r="F3908" s="162" t="s">
        <v>23860</v>
      </c>
      <c r="G3908" s="162" t="s">
        <v>23866</v>
      </c>
      <c r="H3908" s="219"/>
      <c r="I3908" s="169">
        <v>115126</v>
      </c>
      <c r="J3908" s="304" t="str">
        <f>CONCATENATE([2]Cover!$D$6,"fdd/view?i=",I3908)</f>
        <v>https://www.dgiwg.org/FAD/fdd/view?i=115126</v>
      </c>
      <c r="K3908" s="304" t="s">
        <v>37957</v>
      </c>
      <c r="L3908" s="188">
        <v>5</v>
      </c>
      <c r="M3908" s="179" t="s">
        <v>151</v>
      </c>
    </row>
    <row r="3909" spans="1:13" ht="51">
      <c r="A3909" s="313" t="str">
        <f t="shared" si="61"/>
        <v>IlsFacilityPerfCategoryCode_catIIIcOps</v>
      </c>
      <c r="B3909" s="330"/>
      <c r="C3909" s="334"/>
      <c r="D3909" s="188" t="s">
        <v>23867</v>
      </c>
      <c r="E3909" s="189" t="s">
        <v>23868</v>
      </c>
      <c r="F3909" s="162" t="s">
        <v>23860</v>
      </c>
      <c r="G3909" s="162" t="s">
        <v>23869</v>
      </c>
      <c r="H3909" s="219"/>
      <c r="I3909" s="169">
        <v>115127</v>
      </c>
      <c r="J3909" s="304" t="str">
        <f>CONCATENATE([2]Cover!$D$6,"fdd/view?i=",I3909)</f>
        <v>https://www.dgiwg.org/FAD/fdd/view?i=115127</v>
      </c>
      <c r="K3909" s="304" t="s">
        <v>37958</v>
      </c>
      <c r="L3909" s="188">
        <v>6</v>
      </c>
      <c r="M3909" s="179" t="s">
        <v>151</v>
      </c>
    </row>
    <row r="3910" spans="1:13" ht="38.25">
      <c r="A3910" s="313" t="str">
        <f t="shared" si="61"/>
        <v>IlsFacilityPerfCategoryCode_catIIIOps</v>
      </c>
      <c r="B3910" s="330"/>
      <c r="C3910" s="334"/>
      <c r="D3910" s="188" t="s">
        <v>23858</v>
      </c>
      <c r="E3910" s="189" t="s">
        <v>23859</v>
      </c>
      <c r="F3910" s="162" t="s">
        <v>23860</v>
      </c>
      <c r="G3910" s="162" t="s">
        <v>23854</v>
      </c>
      <c r="H3910" s="219"/>
      <c r="I3910" s="169">
        <v>115124</v>
      </c>
      <c r="J3910" s="304" t="str">
        <f>CONCATENATE([2]Cover!$D$6,"fdd/view?i=",I3910)</f>
        <v>https://www.dgiwg.org/FAD/fdd/view?i=115124</v>
      </c>
      <c r="K3910" s="304" t="s">
        <v>37959</v>
      </c>
      <c r="L3910" s="188">
        <v>3</v>
      </c>
      <c r="M3910" s="179" t="s">
        <v>151</v>
      </c>
    </row>
    <row r="3911" spans="1:13" ht="63.75">
      <c r="A3911" s="313" t="str">
        <f t="shared" si="61"/>
        <v>IlsFacilityPerfCategoryCode_catIIOps</v>
      </c>
      <c r="B3911" s="330"/>
      <c r="C3911" s="334"/>
      <c r="D3911" s="188" t="s">
        <v>23855</v>
      </c>
      <c r="E3911" s="189" t="s">
        <v>23856</v>
      </c>
      <c r="F3911" s="162" t="s">
        <v>23857</v>
      </c>
      <c r="G3911" s="162" t="s">
        <v>23854</v>
      </c>
      <c r="H3911" s="219"/>
      <c r="I3911" s="169">
        <v>115123</v>
      </c>
      <c r="J3911" s="304" t="str">
        <f>CONCATENATE([2]Cover!$D$6,"fdd/view?i=",I3911)</f>
        <v>https://www.dgiwg.org/FAD/fdd/view?i=115123</v>
      </c>
      <c r="K3911" s="304" t="s">
        <v>37960</v>
      </c>
      <c r="L3911" s="188">
        <v>2</v>
      </c>
      <c r="M3911" s="179" t="s">
        <v>151</v>
      </c>
    </row>
    <row r="3912" spans="1:13" ht="63.75">
      <c r="A3912" s="313" t="str">
        <f t="shared" si="61"/>
        <v>IlsFacilityPerfCategoryCode_catIOps</v>
      </c>
      <c r="B3912" s="330"/>
      <c r="C3912" s="334"/>
      <c r="D3912" s="188" t="s">
        <v>23851</v>
      </c>
      <c r="E3912" s="189" t="s">
        <v>23852</v>
      </c>
      <c r="F3912" s="162" t="s">
        <v>23853</v>
      </c>
      <c r="G3912" s="162" t="s">
        <v>23854</v>
      </c>
      <c r="H3912" s="219"/>
      <c r="I3912" s="169">
        <v>115122</v>
      </c>
      <c r="J3912" s="304" t="str">
        <f>CONCATENATE([2]Cover!$D$6,"fdd/view?i=",I3912)</f>
        <v>https://www.dgiwg.org/FAD/fdd/view?i=115122</v>
      </c>
      <c r="K3912" s="304" t="s">
        <v>37961</v>
      </c>
      <c r="L3912" s="188">
        <v>1</v>
      </c>
      <c r="M3912" s="179" t="s">
        <v>151</v>
      </c>
    </row>
    <row r="3913" spans="1:13" ht="51">
      <c r="A3913" s="313" t="str">
        <f t="shared" si="61"/>
        <v>IlsFacilityPerfCategoryCode_mlsCatIOps</v>
      </c>
      <c r="B3913" s="331"/>
      <c r="C3913" s="335"/>
      <c r="D3913" s="181" t="s">
        <v>23870</v>
      </c>
      <c r="E3913" s="192" t="s">
        <v>23871</v>
      </c>
      <c r="F3913" s="193" t="s">
        <v>23872</v>
      </c>
      <c r="G3913" s="194"/>
      <c r="H3913" s="220"/>
      <c r="I3913" s="169">
        <v>119638</v>
      </c>
      <c r="J3913" s="304" t="str">
        <f>CONCATENATE([2]Cover!$D$6,"fdd/view?i=",I3913)</f>
        <v>https://www.dgiwg.org/FAD/fdd/view?i=119638</v>
      </c>
      <c r="K3913" s="304" t="s">
        <v>37962</v>
      </c>
      <c r="L3913" s="181">
        <v>7</v>
      </c>
      <c r="M3913" s="179" t="s">
        <v>151</v>
      </c>
    </row>
    <row r="3914" spans="1:13" ht="38.25">
      <c r="A3914" s="313" t="str">
        <f t="shared" si="61"/>
        <v>InstProcAddEquipmentCode_adfForIlsApproach</v>
      </c>
      <c r="B3914" s="332" t="str">
        <f>HYPERLINK("[#]Datatypes!A708:L708","InstProcAddEquipmentCode")</f>
        <v>InstProcAddEquipmentCode</v>
      </c>
      <c r="C3914" s="333" t="s">
        <v>12270</v>
      </c>
      <c r="D3914" s="202" t="s">
        <v>23876</v>
      </c>
      <c r="E3914" s="203" t="s">
        <v>23877</v>
      </c>
      <c r="F3914" s="204" t="s">
        <v>23878</v>
      </c>
      <c r="G3914" s="205"/>
      <c r="H3914" s="218"/>
      <c r="I3914" s="169">
        <v>116612</v>
      </c>
      <c r="J3914" s="304" t="str">
        <f>CONCATENATE([2]Cover!$D$6,"fdd/view?i=",I3914)</f>
        <v>https://www.dgiwg.org/FAD/fdd/view?i=116612</v>
      </c>
      <c r="K3914" s="304" t="s">
        <v>37963</v>
      </c>
      <c r="L3914" s="202">
        <v>3</v>
      </c>
      <c r="M3914" s="179" t="s">
        <v>151</v>
      </c>
    </row>
    <row r="3915" spans="1:13" ht="38.25">
      <c r="A3915" s="313" t="str">
        <f t="shared" si="61"/>
        <v>InstProcAddEquipmentCode_adfForMissedApproach</v>
      </c>
      <c r="B3915" s="330"/>
      <c r="C3915" s="334"/>
      <c r="D3915" s="188" t="s">
        <v>23879</v>
      </c>
      <c r="E3915" s="189" t="s">
        <v>23880</v>
      </c>
      <c r="F3915" s="162" t="s">
        <v>23881</v>
      </c>
      <c r="G3915" s="190"/>
      <c r="H3915" s="219"/>
      <c r="I3915" s="169">
        <v>116611</v>
      </c>
      <c r="J3915" s="304" t="str">
        <f>CONCATENATE([2]Cover!$D$6,"fdd/view?i=",I3915)</f>
        <v>https://www.dgiwg.org/FAD/fdd/view?i=116611</v>
      </c>
      <c r="K3915" s="304" t="s">
        <v>37964</v>
      </c>
      <c r="L3915" s="188">
        <v>2</v>
      </c>
      <c r="M3915" s="179" t="s">
        <v>151</v>
      </c>
    </row>
    <row r="3916" spans="1:13" ht="25.5">
      <c r="A3916" s="313" t="str">
        <f t="shared" si="61"/>
        <v>InstProcAddEquipmentCode_automaticDirectionFinder</v>
      </c>
      <c r="B3916" s="330"/>
      <c r="C3916" s="334"/>
      <c r="D3916" s="188" t="s">
        <v>23873</v>
      </c>
      <c r="E3916" s="189" t="s">
        <v>23874</v>
      </c>
      <c r="F3916" s="162" t="s">
        <v>23875</v>
      </c>
      <c r="G3916" s="190"/>
      <c r="H3916" s="219"/>
      <c r="I3916" s="169">
        <v>116610</v>
      </c>
      <c r="J3916" s="304" t="str">
        <f>CONCATENATE([2]Cover!$D$6,"fdd/view?i=",I3916)</f>
        <v>https://www.dgiwg.org/FAD/fdd/view?i=116610</v>
      </c>
      <c r="K3916" s="304" t="s">
        <v>37965</v>
      </c>
      <c r="L3916" s="188">
        <v>1</v>
      </c>
      <c r="M3916" s="179" t="s">
        <v>151</v>
      </c>
    </row>
    <row r="3917" spans="1:13" ht="25.5">
      <c r="A3917" s="313" t="str">
        <f t="shared" si="61"/>
        <v>InstProcAddEquipmentCode_distanceMeasuringEquipment</v>
      </c>
      <c r="B3917" s="330"/>
      <c r="C3917" s="334"/>
      <c r="D3917" s="188" t="s">
        <v>16580</v>
      </c>
      <c r="E3917" s="189" t="s">
        <v>2116</v>
      </c>
      <c r="F3917" s="162" t="s">
        <v>23882</v>
      </c>
      <c r="G3917" s="190"/>
      <c r="H3917" s="219"/>
      <c r="I3917" s="169">
        <v>116613</v>
      </c>
      <c r="J3917" s="304" t="str">
        <f>CONCATENATE([2]Cover!$D$6,"fdd/view?i=",I3917)</f>
        <v>https://www.dgiwg.org/FAD/fdd/view?i=116613</v>
      </c>
      <c r="K3917" s="304" t="s">
        <v>37966</v>
      </c>
      <c r="L3917" s="188">
        <v>4</v>
      </c>
      <c r="M3917" s="179" t="s">
        <v>151</v>
      </c>
    </row>
    <row r="3918" spans="1:13" ht="63.75">
      <c r="A3918" s="313" t="str">
        <f t="shared" si="61"/>
        <v>InstProcAddEquipmentCode_dualAdfAndDme</v>
      </c>
      <c r="B3918" s="330"/>
      <c r="C3918" s="334"/>
      <c r="D3918" s="188" t="s">
        <v>23886</v>
      </c>
      <c r="E3918" s="189" t="s">
        <v>23887</v>
      </c>
      <c r="F3918" s="162" t="s">
        <v>23888</v>
      </c>
      <c r="G3918" s="190"/>
      <c r="H3918" s="219"/>
      <c r="I3918" s="169">
        <v>116615</v>
      </c>
      <c r="J3918" s="304" t="str">
        <f>CONCATENATE([2]Cover!$D$6,"fdd/view?i=",I3918)</f>
        <v>https://www.dgiwg.org/FAD/fdd/view?i=116615</v>
      </c>
      <c r="K3918" s="304" t="s">
        <v>37967</v>
      </c>
      <c r="L3918" s="188">
        <v>6</v>
      </c>
      <c r="M3918" s="179" t="s">
        <v>151</v>
      </c>
    </row>
    <row r="3919" spans="1:13" ht="25.5">
      <c r="A3919" s="313" t="str">
        <f t="shared" si="61"/>
        <v>InstProcAddEquipmentCode_dualAutoDirectionFinder</v>
      </c>
      <c r="B3919" s="330"/>
      <c r="C3919" s="334"/>
      <c r="D3919" s="188" t="s">
        <v>23883</v>
      </c>
      <c r="E3919" s="189" t="s">
        <v>23884</v>
      </c>
      <c r="F3919" s="162" t="s">
        <v>23885</v>
      </c>
      <c r="G3919" s="190"/>
      <c r="H3919" s="219"/>
      <c r="I3919" s="169">
        <v>116614</v>
      </c>
      <c r="J3919" s="304" t="str">
        <f>CONCATENATE([2]Cover!$D$6,"fdd/view?i=",I3919)</f>
        <v>https://www.dgiwg.org/FAD/fdd/view?i=116614</v>
      </c>
      <c r="K3919" s="304" t="s">
        <v>37968</v>
      </c>
      <c r="L3919" s="188">
        <v>5</v>
      </c>
      <c r="M3919" s="179" t="s">
        <v>151</v>
      </c>
    </row>
    <row r="3920" spans="1:13" ht="38.25">
      <c r="A3920" s="313" t="str">
        <f t="shared" si="61"/>
        <v>InstProcAddEquipmentCode_dualVeryHighFreqRadios</v>
      </c>
      <c r="B3920" s="330"/>
      <c r="C3920" s="334"/>
      <c r="D3920" s="188" t="s">
        <v>23889</v>
      </c>
      <c r="E3920" s="189" t="s">
        <v>23890</v>
      </c>
      <c r="F3920" s="162" t="s">
        <v>23891</v>
      </c>
      <c r="G3920" s="190"/>
      <c r="H3920" s="219"/>
      <c r="I3920" s="169">
        <v>116616</v>
      </c>
      <c r="J3920" s="304" t="str">
        <f>CONCATENATE([2]Cover!$D$6,"fdd/view?i=",I3920)</f>
        <v>https://www.dgiwg.org/FAD/fdd/view?i=116616</v>
      </c>
      <c r="K3920" s="304" t="s">
        <v>37969</v>
      </c>
      <c r="L3920" s="188">
        <v>7</v>
      </c>
      <c r="M3920" s="179" t="s">
        <v>151</v>
      </c>
    </row>
    <row r="3921" spans="1:13" ht="63.75">
      <c r="A3921" s="313" t="str">
        <f t="shared" si="61"/>
        <v>InstProcAddEquipmentCode_dualVorOrVorWithDme</v>
      </c>
      <c r="B3921" s="330"/>
      <c r="C3921" s="334"/>
      <c r="D3921" s="188" t="s">
        <v>23892</v>
      </c>
      <c r="E3921" s="189" t="s">
        <v>23893</v>
      </c>
      <c r="F3921" s="162" t="s">
        <v>23894</v>
      </c>
      <c r="G3921" s="190"/>
      <c r="H3921" s="219"/>
      <c r="I3921" s="169">
        <v>116617</v>
      </c>
      <c r="J3921" s="304" t="str">
        <f>CONCATENATE([2]Cover!$D$6,"fdd/view?i=",I3921)</f>
        <v>https://www.dgiwg.org/FAD/fdd/view?i=116617</v>
      </c>
      <c r="K3921" s="304" t="s">
        <v>37970</v>
      </c>
      <c r="L3921" s="188">
        <v>8</v>
      </c>
      <c r="M3921" s="179" t="s">
        <v>151</v>
      </c>
    </row>
    <row r="3922" spans="1:13" ht="63.75">
      <c r="A3922" s="313" t="str">
        <f t="shared" si="61"/>
        <v>InstProcAddEquipmentCode_globalPosSysOrRnp3Equip</v>
      </c>
      <c r="B3922" s="330"/>
      <c r="C3922" s="334"/>
      <c r="D3922" s="188" t="s">
        <v>23895</v>
      </c>
      <c r="E3922" s="189" t="s">
        <v>23896</v>
      </c>
      <c r="F3922" s="162" t="s">
        <v>23897</v>
      </c>
      <c r="G3922" s="190"/>
      <c r="H3922" s="219"/>
      <c r="I3922" s="169">
        <v>116618</v>
      </c>
      <c r="J3922" s="304" t="str">
        <f>CONCATENATE([2]Cover!$D$6,"fdd/view?i=",I3922)</f>
        <v>https://www.dgiwg.org/FAD/fdd/view?i=116618</v>
      </c>
      <c r="K3922" s="304" t="s">
        <v>37971</v>
      </c>
      <c r="L3922" s="188">
        <v>9</v>
      </c>
      <c r="M3922" s="179" t="s">
        <v>151</v>
      </c>
    </row>
    <row r="3923" spans="1:13">
      <c r="A3923" s="313" t="str">
        <f t="shared" si="61"/>
        <v>InstProcAddEquipmentCode_radar</v>
      </c>
      <c r="B3923" s="330"/>
      <c r="C3923" s="334"/>
      <c r="D3923" s="188" t="s">
        <v>19255</v>
      </c>
      <c r="E3923" s="189" t="s">
        <v>19256</v>
      </c>
      <c r="F3923" s="162" t="s">
        <v>23898</v>
      </c>
      <c r="G3923" s="190"/>
      <c r="H3923" s="219"/>
      <c r="I3923" s="169">
        <v>116619</v>
      </c>
      <c r="J3923" s="304" t="str">
        <f>CONCATENATE([2]Cover!$D$6,"fdd/view?i=",I3923)</f>
        <v>https://www.dgiwg.org/FAD/fdd/view?i=116619</v>
      </c>
      <c r="K3923" s="304" t="s">
        <v>37972</v>
      </c>
      <c r="L3923" s="188">
        <v>10</v>
      </c>
      <c r="M3923" s="179" t="s">
        <v>151</v>
      </c>
    </row>
    <row r="3924" spans="1:13" ht="38.25">
      <c r="A3924" s="313" t="str">
        <f t="shared" si="61"/>
        <v>InstProcAddEquipmentCode_radarOrDistMeasuringEquip</v>
      </c>
      <c r="B3924" s="330"/>
      <c r="C3924" s="334"/>
      <c r="D3924" s="188" t="s">
        <v>23899</v>
      </c>
      <c r="E3924" s="189" t="s">
        <v>23900</v>
      </c>
      <c r="F3924" s="162" t="s">
        <v>23901</v>
      </c>
      <c r="G3924" s="190"/>
      <c r="H3924" s="219"/>
      <c r="I3924" s="169">
        <v>116620</v>
      </c>
      <c r="J3924" s="304" t="str">
        <f>CONCATENATE([2]Cover!$D$6,"fdd/view?i=",I3924)</f>
        <v>https://www.dgiwg.org/FAD/fdd/view?i=116620</v>
      </c>
      <c r="K3924" s="304" t="s">
        <v>37973</v>
      </c>
      <c r="L3924" s="188">
        <v>11</v>
      </c>
      <c r="M3924" s="179" t="s">
        <v>151</v>
      </c>
    </row>
    <row r="3925" spans="1:13" ht="25.5">
      <c r="A3925" s="313" t="str">
        <f t="shared" si="61"/>
        <v>InstProcAddEquipmentCode_radarOrRnav</v>
      </c>
      <c r="B3925" s="330"/>
      <c r="C3925" s="334"/>
      <c r="D3925" s="188" t="s">
        <v>23902</v>
      </c>
      <c r="E3925" s="189" t="s">
        <v>23903</v>
      </c>
      <c r="F3925" s="162" t="s">
        <v>23904</v>
      </c>
      <c r="G3925" s="190"/>
      <c r="H3925" s="219"/>
      <c r="I3925" s="169">
        <v>116621</v>
      </c>
      <c r="J3925" s="304" t="str">
        <f>CONCATENATE([2]Cover!$D$6,"fdd/view?i=",I3925)</f>
        <v>https://www.dgiwg.org/FAD/fdd/view?i=116621</v>
      </c>
      <c r="K3925" s="304" t="s">
        <v>37974</v>
      </c>
      <c r="L3925" s="188">
        <v>12</v>
      </c>
      <c r="M3925" s="179" t="s">
        <v>151</v>
      </c>
    </row>
    <row r="3926" spans="1:13" ht="25.5">
      <c r="A3926" s="313" t="str">
        <f t="shared" si="61"/>
        <v>InstProcAddEquipmentCode_special</v>
      </c>
      <c r="B3926" s="330"/>
      <c r="C3926" s="334"/>
      <c r="D3926" s="188" t="s">
        <v>18738</v>
      </c>
      <c r="E3926" s="189" t="s">
        <v>18739</v>
      </c>
      <c r="F3926" s="162" t="s">
        <v>23905</v>
      </c>
      <c r="G3926" s="190"/>
      <c r="H3926" s="219"/>
      <c r="I3926" s="169">
        <v>116622</v>
      </c>
      <c r="J3926" s="304" t="str">
        <f>CONCATENATE([2]Cover!$D$6,"fdd/view?i=",I3926)</f>
        <v>https://www.dgiwg.org/FAD/fdd/view?i=116622</v>
      </c>
      <c r="K3926" s="304" t="s">
        <v>37975</v>
      </c>
      <c r="L3926" s="188">
        <v>13</v>
      </c>
      <c r="M3926" s="179" t="s">
        <v>151</v>
      </c>
    </row>
    <row r="3927" spans="1:13" ht="51">
      <c r="A3927" s="313" t="str">
        <f t="shared" si="61"/>
        <v>InstProcAddEquipmentCode_vorBeaconAndIlsLocalizer</v>
      </c>
      <c r="B3927" s="331"/>
      <c r="C3927" s="335"/>
      <c r="D3927" s="181" t="s">
        <v>23906</v>
      </c>
      <c r="E3927" s="192" t="s">
        <v>23907</v>
      </c>
      <c r="F3927" s="193" t="s">
        <v>23908</v>
      </c>
      <c r="G3927" s="194"/>
      <c r="H3927" s="220"/>
      <c r="I3927" s="169">
        <v>116623</v>
      </c>
      <c r="J3927" s="304" t="str">
        <f>CONCATENATE([2]Cover!$D$6,"fdd/view?i=",I3927)</f>
        <v>https://www.dgiwg.org/FAD/fdd/view?i=116623</v>
      </c>
      <c r="K3927" s="304" t="s">
        <v>37976</v>
      </c>
      <c r="L3927" s="181">
        <v>14</v>
      </c>
      <c r="M3927" s="179" t="s">
        <v>151</v>
      </c>
    </row>
    <row r="3928" spans="1:13" ht="76.5">
      <c r="A3928" s="313" t="str">
        <f t="shared" si="61"/>
        <v>IntersectionControlTypeCode_groundMarking</v>
      </c>
      <c r="B3928" s="332" t="str">
        <f>HYPERLINK("[#]Datatypes!A728:L728","IntersectionControlTypeCode")</f>
        <v>IntersectionControlTypeCode</v>
      </c>
      <c r="C3928" s="333" t="s">
        <v>12303</v>
      </c>
      <c r="D3928" s="202" t="s">
        <v>23909</v>
      </c>
      <c r="E3928" s="203" t="s">
        <v>23910</v>
      </c>
      <c r="F3928" s="204" t="s">
        <v>23911</v>
      </c>
      <c r="G3928" s="204" t="s">
        <v>23912</v>
      </c>
      <c r="H3928" s="218"/>
      <c r="I3928" s="169">
        <v>110111</v>
      </c>
      <c r="J3928" s="304" t="str">
        <f>CONCATENATE([2]Cover!$D$6,"fdd/view?i=",I3928)</f>
        <v>https://www.dgiwg.org/FAD/fdd/view?i=110111</v>
      </c>
      <c r="K3928" s="304" t="s">
        <v>37977</v>
      </c>
      <c r="L3928" s="202">
        <v>5</v>
      </c>
      <c r="M3928" s="179" t="s">
        <v>151</v>
      </c>
    </row>
    <row r="3929" spans="1:13" ht="25.5">
      <c r="A3929" s="313" t="str">
        <f t="shared" si="61"/>
        <v>IntersectionControlTypeCode_noControl</v>
      </c>
      <c r="B3929" s="330"/>
      <c r="C3929" s="334"/>
      <c r="D3929" s="188" t="s">
        <v>23913</v>
      </c>
      <c r="E3929" s="189" t="s">
        <v>23914</v>
      </c>
      <c r="F3929" s="162" t="s">
        <v>23915</v>
      </c>
      <c r="G3929" s="162" t="s">
        <v>23916</v>
      </c>
      <c r="H3929" s="219"/>
      <c r="I3929" s="169">
        <v>103275</v>
      </c>
      <c r="J3929" s="304" t="str">
        <f>CONCATENATE([2]Cover!$D$6,"fdd/view?i=",I3929)</f>
        <v>https://www.dgiwg.org/FAD/fdd/view?i=103275</v>
      </c>
      <c r="K3929" s="304" t="s">
        <v>37978</v>
      </c>
      <c r="L3929" s="188">
        <v>4</v>
      </c>
      <c r="M3929" s="179" t="s">
        <v>151</v>
      </c>
    </row>
    <row r="3930" spans="1:13" ht="38.25">
      <c r="A3930" s="313" t="str">
        <f t="shared" si="61"/>
        <v>IntersectionControlTypeCode_prioritySign</v>
      </c>
      <c r="B3930" s="330"/>
      <c r="C3930" s="334"/>
      <c r="D3930" s="188" t="s">
        <v>23917</v>
      </c>
      <c r="E3930" s="189" t="s">
        <v>23918</v>
      </c>
      <c r="F3930" s="162" t="s">
        <v>23919</v>
      </c>
      <c r="G3930" s="190"/>
      <c r="H3930" s="219"/>
      <c r="I3930" s="169">
        <v>110113</v>
      </c>
      <c r="J3930" s="304" t="str">
        <f>CONCATENATE([2]Cover!$D$6,"fdd/view?i=",I3930)</f>
        <v>https://www.dgiwg.org/FAD/fdd/view?i=110113</v>
      </c>
      <c r="K3930" s="304" t="s">
        <v>37979</v>
      </c>
      <c r="L3930" s="188">
        <v>7</v>
      </c>
      <c r="M3930" s="179" t="s">
        <v>151</v>
      </c>
    </row>
    <row r="3931" spans="1:13" ht="38.25">
      <c r="A3931" s="313" t="str">
        <f t="shared" si="61"/>
        <v>IntersectionControlTypeCode_signalDevice</v>
      </c>
      <c r="B3931" s="330"/>
      <c r="C3931" s="334"/>
      <c r="D3931" s="188" t="s">
        <v>23920</v>
      </c>
      <c r="E3931" s="189" t="s">
        <v>23921</v>
      </c>
      <c r="F3931" s="162" t="s">
        <v>23922</v>
      </c>
      <c r="G3931" s="162" t="s">
        <v>23923</v>
      </c>
      <c r="H3931" s="219"/>
      <c r="I3931" s="169">
        <v>103273</v>
      </c>
      <c r="J3931" s="304" t="str">
        <f>CONCATENATE([2]Cover!$D$6,"fdd/view?i=",I3931)</f>
        <v>https://www.dgiwg.org/FAD/fdd/view?i=103273</v>
      </c>
      <c r="K3931" s="304" t="s">
        <v>37980</v>
      </c>
      <c r="L3931" s="188">
        <v>2</v>
      </c>
      <c r="M3931" s="179" t="s">
        <v>151</v>
      </c>
    </row>
    <row r="3932" spans="1:13" ht="63.75">
      <c r="A3932" s="313" t="str">
        <f t="shared" si="61"/>
        <v>IntersectionControlTypeCode_stopSign</v>
      </c>
      <c r="B3932" s="330"/>
      <c r="C3932" s="334"/>
      <c r="D3932" s="188" t="s">
        <v>23924</v>
      </c>
      <c r="E3932" s="189" t="s">
        <v>23925</v>
      </c>
      <c r="F3932" s="162" t="s">
        <v>23926</v>
      </c>
      <c r="G3932" s="162" t="s">
        <v>23927</v>
      </c>
      <c r="H3932" s="219"/>
      <c r="I3932" s="169">
        <v>103274</v>
      </c>
      <c r="J3932" s="304" t="str">
        <f>CONCATENATE([2]Cover!$D$6,"fdd/view?i=",I3932)</f>
        <v>https://www.dgiwg.org/FAD/fdd/view?i=103274</v>
      </c>
      <c r="K3932" s="304" t="s">
        <v>37981</v>
      </c>
      <c r="L3932" s="188">
        <v>3</v>
      </c>
      <c r="M3932" s="179" t="s">
        <v>151</v>
      </c>
    </row>
    <row r="3933" spans="1:13" ht="25.5">
      <c r="A3933" s="313" t="str">
        <f t="shared" si="61"/>
        <v>IntersectionControlTypeCode_yieldSign</v>
      </c>
      <c r="B3933" s="331"/>
      <c r="C3933" s="335"/>
      <c r="D3933" s="181" t="s">
        <v>23928</v>
      </c>
      <c r="E3933" s="192" t="s">
        <v>23929</v>
      </c>
      <c r="F3933" s="193" t="s">
        <v>23930</v>
      </c>
      <c r="G3933" s="193" t="s">
        <v>23931</v>
      </c>
      <c r="H3933" s="220"/>
      <c r="I3933" s="169">
        <v>110112</v>
      </c>
      <c r="J3933" s="304" t="str">
        <f>CONCATENATE([2]Cover!$D$6,"fdd/view?i=",I3933)</f>
        <v>https://www.dgiwg.org/FAD/fdd/view?i=110112</v>
      </c>
      <c r="K3933" s="304" t="s">
        <v>37982</v>
      </c>
      <c r="L3933" s="181">
        <v>6</v>
      </c>
      <c r="M3933" s="179" t="s">
        <v>151</v>
      </c>
    </row>
    <row r="3934" spans="1:13">
      <c r="A3934" s="313" t="str">
        <f t="shared" si="61"/>
        <v>IncCode_closedInterval</v>
      </c>
      <c r="B3934" s="332" t="str">
        <f>HYPERLINK("[#]Datatypes!A730:L730","IncCode")</f>
        <v>IncCode</v>
      </c>
      <c r="C3934" s="333" t="s">
        <v>11890</v>
      </c>
      <c r="D3934" s="202" t="s">
        <v>23932</v>
      </c>
      <c r="E3934" s="203" t="s">
        <v>23933</v>
      </c>
      <c r="F3934" s="204" t="s">
        <v>23934</v>
      </c>
      <c r="G3934" s="205"/>
      <c r="H3934" s="218"/>
      <c r="J3934" s="304" t="str">
        <f>CONCATENATE([2]Cover!$D$6,"fdd/view?i=",I3934)</f>
        <v>https://www.dgiwg.org/FAD/fdd/view?i=</v>
      </c>
      <c r="K3934" s="304" t="s">
        <v>37983</v>
      </c>
      <c r="L3934" s="202">
        <v>5</v>
      </c>
      <c r="M3934" s="179" t="s">
        <v>1295</v>
      </c>
    </row>
    <row r="3935" spans="1:13" ht="25.5">
      <c r="A3935" s="313" t="str">
        <f t="shared" si="61"/>
        <v>IncCode_gteSemiInterval</v>
      </c>
      <c r="B3935" s="330"/>
      <c r="C3935" s="334"/>
      <c r="D3935" s="188" t="s">
        <v>23935</v>
      </c>
      <c r="E3935" s="189" t="s">
        <v>23936</v>
      </c>
      <c r="F3935" s="162" t="s">
        <v>23937</v>
      </c>
      <c r="G3935" s="162" t="s">
        <v>23938</v>
      </c>
      <c r="H3935" s="219"/>
      <c r="J3935" s="304" t="str">
        <f>CONCATENATE([2]Cover!$D$6,"fdd/view?i=",I3935)</f>
        <v>https://www.dgiwg.org/FAD/fdd/view?i=</v>
      </c>
      <c r="K3935" s="304" t="s">
        <v>37984</v>
      </c>
      <c r="L3935" s="188">
        <v>7</v>
      </c>
      <c r="M3935" s="179" t="s">
        <v>1295</v>
      </c>
    </row>
    <row r="3936" spans="1:13" ht="25.5">
      <c r="A3936" s="313" t="str">
        <f t="shared" si="61"/>
        <v>IncCode_gteToLtInterval</v>
      </c>
      <c r="B3936" s="330"/>
      <c r="C3936" s="334"/>
      <c r="D3936" s="188" t="s">
        <v>23945</v>
      </c>
      <c r="E3936" s="189" t="s">
        <v>23946</v>
      </c>
      <c r="F3936" s="162" t="s">
        <v>23947</v>
      </c>
      <c r="G3936" s="190"/>
      <c r="H3936" s="219"/>
      <c r="J3936" s="304" t="str">
        <f>CONCATENATE([2]Cover!$D$6,"fdd/view?i=",I3936)</f>
        <v>https://www.dgiwg.org/FAD/fdd/view?i=</v>
      </c>
      <c r="K3936" s="304" t="s">
        <v>37985</v>
      </c>
      <c r="L3936" s="188">
        <v>3</v>
      </c>
      <c r="M3936" s="179" t="s">
        <v>1295</v>
      </c>
    </row>
    <row r="3937" spans="1:13" ht="25.5">
      <c r="A3937" s="313" t="str">
        <f t="shared" si="61"/>
        <v>IncCode_gtSemiInterval</v>
      </c>
      <c r="B3937" s="330"/>
      <c r="C3937" s="334"/>
      <c r="D3937" s="188" t="s">
        <v>23939</v>
      </c>
      <c r="E3937" s="189" t="s">
        <v>23940</v>
      </c>
      <c r="F3937" s="162" t="s">
        <v>23941</v>
      </c>
      <c r="G3937" s="162" t="s">
        <v>23938</v>
      </c>
      <c r="H3937" s="219"/>
      <c r="J3937" s="304" t="str">
        <f>CONCATENATE([2]Cover!$D$6,"fdd/view?i=",I3937)</f>
        <v>https://www.dgiwg.org/FAD/fdd/view?i=</v>
      </c>
      <c r="K3937" s="304" t="s">
        <v>37986</v>
      </c>
      <c r="L3937" s="188">
        <v>6</v>
      </c>
      <c r="M3937" s="179" t="s">
        <v>1295</v>
      </c>
    </row>
    <row r="3938" spans="1:13" ht="25.5">
      <c r="A3938" s="313" t="str">
        <f t="shared" si="61"/>
        <v>IncCode_gtToLteInterval</v>
      </c>
      <c r="B3938" s="330"/>
      <c r="C3938" s="334"/>
      <c r="D3938" s="188" t="s">
        <v>23942</v>
      </c>
      <c r="E3938" s="189" t="s">
        <v>23943</v>
      </c>
      <c r="F3938" s="162" t="s">
        <v>23944</v>
      </c>
      <c r="G3938" s="190"/>
      <c r="H3938" s="219"/>
      <c r="J3938" s="304" t="str">
        <f>CONCATENATE([2]Cover!$D$6,"fdd/view?i=",I3938)</f>
        <v>https://www.dgiwg.org/FAD/fdd/view?i=</v>
      </c>
      <c r="K3938" s="304" t="s">
        <v>37987</v>
      </c>
      <c r="L3938" s="188">
        <v>4</v>
      </c>
      <c r="M3938" s="179" t="s">
        <v>1295</v>
      </c>
    </row>
    <row r="3939" spans="1:13" ht="25.5">
      <c r="A3939" s="313" t="str">
        <f t="shared" si="61"/>
        <v>IncCode_lteSemiInterval</v>
      </c>
      <c r="B3939" s="330"/>
      <c r="C3939" s="334"/>
      <c r="D3939" s="188" t="s">
        <v>23948</v>
      </c>
      <c r="E3939" s="189" t="s">
        <v>23949</v>
      </c>
      <c r="F3939" s="162" t="s">
        <v>23950</v>
      </c>
      <c r="G3939" s="162" t="s">
        <v>23951</v>
      </c>
      <c r="H3939" s="219"/>
      <c r="J3939" s="304" t="str">
        <f>CONCATENATE([2]Cover!$D$6,"fdd/view?i=",I3939)</f>
        <v>https://www.dgiwg.org/FAD/fdd/view?i=</v>
      </c>
      <c r="K3939" s="304" t="s">
        <v>37988</v>
      </c>
      <c r="L3939" s="188">
        <v>9</v>
      </c>
      <c r="M3939" s="179" t="s">
        <v>1295</v>
      </c>
    </row>
    <row r="3940" spans="1:13" ht="25.5">
      <c r="A3940" s="313" t="str">
        <f t="shared" si="61"/>
        <v>IncCode_ltSemiInterval</v>
      </c>
      <c r="B3940" s="330"/>
      <c r="C3940" s="334"/>
      <c r="D3940" s="188" t="s">
        <v>23952</v>
      </c>
      <c r="E3940" s="189" t="s">
        <v>23953</v>
      </c>
      <c r="F3940" s="162" t="s">
        <v>23954</v>
      </c>
      <c r="G3940" s="162" t="s">
        <v>23951</v>
      </c>
      <c r="H3940" s="219"/>
      <c r="J3940" s="304" t="str">
        <f>CONCATENATE([2]Cover!$D$6,"fdd/view?i=",I3940)</f>
        <v>https://www.dgiwg.org/FAD/fdd/view?i=</v>
      </c>
      <c r="K3940" s="304" t="s">
        <v>37989</v>
      </c>
      <c r="L3940" s="188">
        <v>8</v>
      </c>
      <c r="M3940" s="179" t="s">
        <v>1295</v>
      </c>
    </row>
    <row r="3941" spans="1:13">
      <c r="A3941" s="313" t="str">
        <f t="shared" si="61"/>
        <v>IncCode_openInterval</v>
      </c>
      <c r="B3941" s="330"/>
      <c r="C3941" s="334"/>
      <c r="D3941" s="188" t="s">
        <v>23955</v>
      </c>
      <c r="E3941" s="189" t="s">
        <v>23956</v>
      </c>
      <c r="F3941" s="162" t="s">
        <v>23957</v>
      </c>
      <c r="G3941" s="190"/>
      <c r="H3941" s="219"/>
      <c r="J3941" s="304" t="str">
        <f>CONCATENATE([2]Cover!$D$6,"fdd/view?i=",I3941)</f>
        <v>https://www.dgiwg.org/FAD/fdd/view?i=</v>
      </c>
      <c r="K3941" s="304" t="s">
        <v>37990</v>
      </c>
      <c r="L3941" s="188">
        <v>2</v>
      </c>
      <c r="M3941" s="179" t="s">
        <v>1295</v>
      </c>
    </row>
    <row r="3942" spans="1:13" ht="25.5">
      <c r="A3942" s="313" t="str">
        <f t="shared" si="61"/>
        <v>IncCode_singleValue</v>
      </c>
      <c r="B3942" s="331"/>
      <c r="C3942" s="335"/>
      <c r="D3942" s="181" t="s">
        <v>23958</v>
      </c>
      <c r="E3942" s="192" t="s">
        <v>23959</v>
      </c>
      <c r="F3942" s="193" t="s">
        <v>23960</v>
      </c>
      <c r="G3942" s="193" t="s">
        <v>23961</v>
      </c>
      <c r="H3942" s="220"/>
      <c r="J3942" s="304" t="str">
        <f>CONCATENATE([2]Cover!$D$6,"fdd/view?i=",I3942)</f>
        <v>https://www.dgiwg.org/FAD/fdd/view?i=</v>
      </c>
      <c r="K3942" s="304" t="s">
        <v>37991</v>
      </c>
      <c r="L3942" s="181">
        <v>1</v>
      </c>
      <c r="M3942" s="179" t="s">
        <v>1295</v>
      </c>
    </row>
    <row r="3943" spans="1:13" ht="25.5">
      <c r="A3943" s="313" t="str">
        <f t="shared" si="61"/>
        <v>InundationTypeCode_controlled</v>
      </c>
      <c r="B3943" s="332" t="str">
        <f>HYPERLINK("[#]Datatypes!A734:L734","InundationTypeCode")</f>
        <v>InundationTypeCode</v>
      </c>
      <c r="C3943" s="333" t="s">
        <v>12309</v>
      </c>
      <c r="D3943" s="202" t="s">
        <v>6137</v>
      </c>
      <c r="E3943" s="203" t="s">
        <v>6138</v>
      </c>
      <c r="F3943" s="204" t="s">
        <v>23962</v>
      </c>
      <c r="G3943" s="205"/>
      <c r="H3943" s="218"/>
      <c r="I3943" s="169">
        <v>114364</v>
      </c>
      <c r="J3943" s="304" t="str">
        <f>CONCATENATE([2]Cover!$D$6,"fdd/view?i=",I3943)</f>
        <v>https://www.dgiwg.org/FAD/fdd/view?i=114364</v>
      </c>
      <c r="K3943" s="304" t="s">
        <v>37992</v>
      </c>
      <c r="L3943" s="202">
        <v>1</v>
      </c>
      <c r="M3943" s="179" t="s">
        <v>151</v>
      </c>
    </row>
    <row r="3944" spans="1:13" ht="25.5">
      <c r="A3944" s="313" t="str">
        <f t="shared" si="61"/>
        <v>InundationTypeCode_natural</v>
      </c>
      <c r="B3944" s="331"/>
      <c r="C3944" s="335"/>
      <c r="D3944" s="181" t="s">
        <v>18993</v>
      </c>
      <c r="E3944" s="192" t="s">
        <v>18994</v>
      </c>
      <c r="F3944" s="193" t="s">
        <v>23963</v>
      </c>
      <c r="G3944" s="194"/>
      <c r="H3944" s="220"/>
      <c r="I3944" s="169">
        <v>114365</v>
      </c>
      <c r="J3944" s="304" t="str">
        <f>CONCATENATE([2]Cover!$D$6,"fdd/view?i=",I3944)</f>
        <v>https://www.dgiwg.org/FAD/fdd/view?i=114365</v>
      </c>
      <c r="K3944" s="304" t="s">
        <v>37993</v>
      </c>
      <c r="L3944" s="181">
        <v>2</v>
      </c>
      <c r="M3944" s="179" t="s">
        <v>151</v>
      </c>
    </row>
    <row r="3945" spans="1:13" ht="127.5">
      <c r="A3945" s="313" t="str">
        <f t="shared" si="61"/>
        <v>IrrigationMethodCode_centerPivot</v>
      </c>
      <c r="B3945" s="332" t="str">
        <f>HYPERLINK("[#]Datatypes!A736:L736","IrrigationMethodCode")</f>
        <v>IrrigationMethodCode</v>
      </c>
      <c r="C3945" s="333" t="s">
        <v>12311</v>
      </c>
      <c r="D3945" s="202" t="s">
        <v>23964</v>
      </c>
      <c r="E3945" s="203" t="s">
        <v>23965</v>
      </c>
      <c r="F3945" s="204" t="s">
        <v>23966</v>
      </c>
      <c r="G3945" s="204" t="s">
        <v>23967</v>
      </c>
      <c r="H3945" s="218"/>
      <c r="I3945" s="169">
        <v>110866</v>
      </c>
      <c r="J3945" s="304" t="str">
        <f>CONCATENATE([2]Cover!$D$6,"fdd/view?i=",I3945)</f>
        <v>https://www.dgiwg.org/FAD/fdd/view?i=110866</v>
      </c>
      <c r="K3945" s="304" t="s">
        <v>37994</v>
      </c>
      <c r="L3945" s="202">
        <v>3</v>
      </c>
      <c r="M3945" s="179" t="s">
        <v>151</v>
      </c>
    </row>
    <row r="3946" spans="1:13" ht="114.75">
      <c r="A3946" s="313" t="str">
        <f t="shared" si="61"/>
        <v>IrrigationMethodCode_drip</v>
      </c>
      <c r="B3946" s="330"/>
      <c r="C3946" s="334"/>
      <c r="D3946" s="188" t="s">
        <v>23968</v>
      </c>
      <c r="E3946" s="189" t="s">
        <v>23969</v>
      </c>
      <c r="F3946" s="162" t="s">
        <v>23970</v>
      </c>
      <c r="G3946" s="162" t="s">
        <v>23971</v>
      </c>
      <c r="H3946" s="221" t="s">
        <v>23972</v>
      </c>
      <c r="I3946" s="169">
        <v>110869</v>
      </c>
      <c r="J3946" s="304" t="str">
        <f>CONCATENATE([2]Cover!$D$6,"fdd/view?i=",I3946)</f>
        <v>https://www.dgiwg.org/FAD/fdd/view?i=110869</v>
      </c>
      <c r="K3946" s="304" t="s">
        <v>37995</v>
      </c>
      <c r="L3946" s="188">
        <v>6</v>
      </c>
      <c r="M3946" s="179" t="s">
        <v>151</v>
      </c>
    </row>
    <row r="3947" spans="1:13" ht="153">
      <c r="A3947" s="313" t="str">
        <f t="shared" si="61"/>
        <v>IrrigationMethodCode_furrow</v>
      </c>
      <c r="B3947" s="330"/>
      <c r="C3947" s="334"/>
      <c r="D3947" s="188" t="s">
        <v>23973</v>
      </c>
      <c r="E3947" s="189" t="s">
        <v>23974</v>
      </c>
      <c r="F3947" s="162" t="s">
        <v>23975</v>
      </c>
      <c r="G3947" s="162" t="s">
        <v>23976</v>
      </c>
      <c r="H3947" s="221" t="s">
        <v>21001</v>
      </c>
      <c r="I3947" s="169">
        <v>104745</v>
      </c>
      <c r="J3947" s="304" t="str">
        <f>CONCATENATE([2]Cover!$D$6,"fdd/view?i=",I3947)</f>
        <v>https://www.dgiwg.org/FAD/fdd/view?i=104745</v>
      </c>
      <c r="K3947" s="304" t="s">
        <v>37996</v>
      </c>
      <c r="L3947" s="188">
        <v>1</v>
      </c>
      <c r="M3947" s="179" t="s">
        <v>151</v>
      </c>
    </row>
    <row r="3948" spans="1:13" ht="114.75">
      <c r="A3948" s="313" t="str">
        <f t="shared" si="61"/>
        <v>IrrigationMethodCode_lateralMove</v>
      </c>
      <c r="B3948" s="330"/>
      <c r="C3948" s="334"/>
      <c r="D3948" s="188" t="s">
        <v>23977</v>
      </c>
      <c r="E3948" s="189" t="s">
        <v>23978</v>
      </c>
      <c r="F3948" s="162" t="s">
        <v>23979</v>
      </c>
      <c r="G3948" s="162" t="s">
        <v>23980</v>
      </c>
      <c r="H3948" s="221" t="s">
        <v>23981</v>
      </c>
      <c r="I3948" s="169">
        <v>110868</v>
      </c>
      <c r="J3948" s="304" t="str">
        <f>CONCATENATE([2]Cover!$D$6,"fdd/view?i=",I3948)</f>
        <v>https://www.dgiwg.org/FAD/fdd/view?i=110868</v>
      </c>
      <c r="K3948" s="304" t="s">
        <v>37997</v>
      </c>
      <c r="L3948" s="188">
        <v>5</v>
      </c>
      <c r="M3948" s="179" t="s">
        <v>151</v>
      </c>
    </row>
    <row r="3949" spans="1:13" ht="38.25">
      <c r="A3949" s="313" t="str">
        <f t="shared" si="61"/>
        <v>IrrigationMethodCode_linearMove</v>
      </c>
      <c r="B3949" s="330"/>
      <c r="C3949" s="334"/>
      <c r="D3949" s="188" t="s">
        <v>23982</v>
      </c>
      <c r="E3949" s="189" t="s">
        <v>23983</v>
      </c>
      <c r="F3949" s="162" t="s">
        <v>23984</v>
      </c>
      <c r="G3949" s="190"/>
      <c r="H3949" s="219"/>
      <c r="I3949" s="169">
        <v>110867</v>
      </c>
      <c r="J3949" s="304" t="str">
        <f>CONCATENATE([2]Cover!$D$6,"fdd/view?i=",I3949)</f>
        <v>https://www.dgiwg.org/FAD/fdd/view?i=110867</v>
      </c>
      <c r="K3949" s="304" t="s">
        <v>37998</v>
      </c>
      <c r="L3949" s="188">
        <v>4</v>
      </c>
      <c r="M3949" s="179" t="s">
        <v>151</v>
      </c>
    </row>
    <row r="3950" spans="1:13" ht="306">
      <c r="A3950" s="313" t="str">
        <f t="shared" si="61"/>
        <v>IrrigationMethodCode_overhead</v>
      </c>
      <c r="B3950" s="330"/>
      <c r="C3950" s="334"/>
      <c r="D3950" s="188" t="s">
        <v>23985</v>
      </c>
      <c r="E3950" s="189" t="s">
        <v>23986</v>
      </c>
      <c r="F3950" s="162" t="s">
        <v>23987</v>
      </c>
      <c r="G3950" s="162" t="s">
        <v>23988</v>
      </c>
      <c r="H3950" s="221" t="s">
        <v>23989</v>
      </c>
      <c r="I3950" s="169">
        <v>104746</v>
      </c>
      <c r="J3950" s="304" t="str">
        <f>CONCATENATE([2]Cover!$D$6,"fdd/view?i=",I3950)</f>
        <v>https://www.dgiwg.org/FAD/fdd/view?i=104746</v>
      </c>
      <c r="K3950" s="304" t="s">
        <v>37999</v>
      </c>
      <c r="L3950" s="188">
        <v>2</v>
      </c>
      <c r="M3950" s="179" t="s">
        <v>151</v>
      </c>
    </row>
    <row r="3951" spans="1:13" ht="114.75">
      <c r="A3951" s="313" t="str">
        <f t="shared" si="61"/>
        <v>IrrigationMethodCode_subirrigation</v>
      </c>
      <c r="B3951" s="330"/>
      <c r="C3951" s="334"/>
      <c r="D3951" s="188" t="s">
        <v>23990</v>
      </c>
      <c r="E3951" s="189" t="s">
        <v>23991</v>
      </c>
      <c r="F3951" s="162" t="s">
        <v>23992</v>
      </c>
      <c r="G3951" s="162" t="s">
        <v>23993</v>
      </c>
      <c r="H3951" s="219"/>
      <c r="I3951" s="169">
        <v>110870</v>
      </c>
      <c r="J3951" s="304" t="str">
        <f>CONCATENATE([2]Cover!$D$6,"fdd/view?i=",I3951)</f>
        <v>https://www.dgiwg.org/FAD/fdd/view?i=110870</v>
      </c>
      <c r="K3951" s="304" t="s">
        <v>38000</v>
      </c>
      <c r="L3951" s="188">
        <v>7</v>
      </c>
      <c r="M3951" s="179" t="s">
        <v>151</v>
      </c>
    </row>
    <row r="3952" spans="1:13" ht="114.75">
      <c r="A3952" s="313" t="str">
        <f t="shared" si="61"/>
        <v>IrrigationMethodCode_terrace</v>
      </c>
      <c r="B3952" s="331"/>
      <c r="C3952" s="335"/>
      <c r="D3952" s="181" t="s">
        <v>23994</v>
      </c>
      <c r="E3952" s="192" t="s">
        <v>23995</v>
      </c>
      <c r="F3952" s="193" t="s">
        <v>23996</v>
      </c>
      <c r="G3952" s="193" t="s">
        <v>23997</v>
      </c>
      <c r="H3952" s="220"/>
      <c r="I3952" s="169">
        <v>110871</v>
      </c>
      <c r="J3952" s="304" t="str">
        <f>CONCATENATE([2]Cover!$D$6,"fdd/view?i=",I3952)</f>
        <v>https://www.dgiwg.org/FAD/fdd/view?i=110871</v>
      </c>
      <c r="K3952" s="304" t="s">
        <v>38001</v>
      </c>
      <c r="L3952" s="181">
        <v>8</v>
      </c>
      <c r="M3952" s="179" t="s">
        <v>151</v>
      </c>
    </row>
    <row r="3953" spans="1:13" ht="25.5">
      <c r="A3953" s="313" t="str">
        <f t="shared" si="61"/>
        <v>JetAircraftStartUnitTypeCode_a_3AE</v>
      </c>
      <c r="B3953" s="332" t="str">
        <f>HYPERLINK("[#]Datatypes!A752:L752","JetAircraftStartUnitTypeCode")</f>
        <v>JetAircraftStartUnitTypeCode</v>
      </c>
      <c r="C3953" s="333" t="s">
        <v>12334</v>
      </c>
      <c r="D3953" s="202" t="s">
        <v>24020</v>
      </c>
      <c r="E3953" s="203" t="s">
        <v>24021</v>
      </c>
      <c r="F3953" s="204" t="s">
        <v>24022</v>
      </c>
      <c r="G3953" s="205"/>
      <c r="H3953" s="218"/>
      <c r="I3953" s="169">
        <v>116335</v>
      </c>
      <c r="J3953" s="304" t="str">
        <f>CONCATENATE([2]Cover!$D$6,"fdd/view?i=",I3953)</f>
        <v>https://www.dgiwg.org/FAD/fdd/view?i=116335</v>
      </c>
      <c r="K3953" s="304" t="s">
        <v>38002</v>
      </c>
      <c r="L3953" s="202">
        <v>66</v>
      </c>
      <c r="M3953" s="179" t="s">
        <v>151</v>
      </c>
    </row>
    <row r="3954" spans="1:13" ht="25.5">
      <c r="A3954" s="313" t="str">
        <f t="shared" si="61"/>
        <v>JetAircraftStartUnitTypeCode_a_M32A_86</v>
      </c>
      <c r="B3954" s="330"/>
      <c r="C3954" s="334"/>
      <c r="D3954" s="188" t="s">
        <v>24007</v>
      </c>
      <c r="E3954" s="189" t="s">
        <v>24008</v>
      </c>
      <c r="F3954" s="162" t="s">
        <v>24009</v>
      </c>
      <c r="G3954" s="190"/>
      <c r="H3954" s="219"/>
      <c r="I3954" s="169">
        <v>116271</v>
      </c>
      <c r="J3954" s="304" t="str">
        <f>CONCATENATE([2]Cover!$D$6,"fdd/view?i=",I3954)</f>
        <v>https://www.dgiwg.org/FAD/fdd/view?i=116271</v>
      </c>
      <c r="K3954" s="304" t="s">
        <v>38003</v>
      </c>
      <c r="L3954" s="188">
        <v>2</v>
      </c>
      <c r="M3954" s="179" t="s">
        <v>151</v>
      </c>
    </row>
    <row r="3955" spans="1:13" ht="25.5">
      <c r="A3955" s="313" t="str">
        <f t="shared" si="61"/>
        <v>JetAircraftStartUnitTypeCode_a_M47A_4</v>
      </c>
      <c r="B3955" s="330"/>
      <c r="C3955" s="334"/>
      <c r="D3955" s="188" t="s">
        <v>24010</v>
      </c>
      <c r="E3955" s="189" t="s">
        <v>24011</v>
      </c>
      <c r="F3955" s="162" t="s">
        <v>24012</v>
      </c>
      <c r="G3955" s="190"/>
      <c r="H3955" s="219"/>
      <c r="I3955" s="169">
        <v>116308</v>
      </c>
      <c r="J3955" s="304" t="str">
        <f>CONCATENATE([2]Cover!$D$6,"fdd/view?i=",I3955)</f>
        <v>https://www.dgiwg.org/FAD/fdd/view?i=116308</v>
      </c>
      <c r="K3955" s="304" t="s">
        <v>38004</v>
      </c>
      <c r="L3955" s="188">
        <v>39</v>
      </c>
      <c r="M3955" s="179" t="s">
        <v>151</v>
      </c>
    </row>
    <row r="3956" spans="1:13">
      <c r="A3956" s="313" t="str">
        <f t="shared" si="61"/>
        <v>JetAircraftStartUnitTypeCode_a1</v>
      </c>
      <c r="B3956" s="330"/>
      <c r="C3956" s="334"/>
      <c r="D3956" s="188" t="s">
        <v>17506</v>
      </c>
      <c r="E3956" s="189" t="s">
        <v>17507</v>
      </c>
      <c r="F3956" s="162" t="s">
        <v>24013</v>
      </c>
      <c r="G3956" s="190"/>
      <c r="H3956" s="219"/>
      <c r="I3956" s="169">
        <v>116401</v>
      </c>
      <c r="J3956" s="304" t="str">
        <f>CONCATENATE([2]Cover!$D$6,"fdd/view?i=",I3956)</f>
        <v>https://www.dgiwg.org/FAD/fdd/view?i=116401</v>
      </c>
      <c r="K3956" s="304" t="s">
        <v>38005</v>
      </c>
      <c r="L3956" s="188">
        <v>132</v>
      </c>
      <c r="M3956" s="179" t="s">
        <v>151</v>
      </c>
    </row>
    <row r="3957" spans="1:13">
      <c r="A3957" s="313" t="str">
        <f t="shared" si="61"/>
        <v>JetAircraftStartUnitTypeCode_a2</v>
      </c>
      <c r="B3957" s="330"/>
      <c r="C3957" s="334"/>
      <c r="D3957" s="188" t="s">
        <v>24014</v>
      </c>
      <c r="E3957" s="189" t="s">
        <v>24015</v>
      </c>
      <c r="F3957" s="162" t="s">
        <v>24016</v>
      </c>
      <c r="G3957" s="190"/>
      <c r="H3957" s="219"/>
      <c r="I3957" s="169">
        <v>116402</v>
      </c>
      <c r="J3957" s="304" t="str">
        <f>CONCATENATE([2]Cover!$D$6,"fdd/view?i=",I3957)</f>
        <v>https://www.dgiwg.org/FAD/fdd/view?i=116402</v>
      </c>
      <c r="K3957" s="304" t="s">
        <v>38006</v>
      </c>
      <c r="L3957" s="188">
        <v>133</v>
      </c>
      <c r="M3957" s="179" t="s">
        <v>151</v>
      </c>
    </row>
    <row r="3958" spans="1:13">
      <c r="A3958" s="313" t="str">
        <f t="shared" si="61"/>
        <v>JetAircraftStartUnitTypeCode_a3</v>
      </c>
      <c r="B3958" s="330"/>
      <c r="C3958" s="334"/>
      <c r="D3958" s="188" t="s">
        <v>24017</v>
      </c>
      <c r="E3958" s="189" t="s">
        <v>24018</v>
      </c>
      <c r="F3958" s="162" t="s">
        <v>24019</v>
      </c>
      <c r="G3958" s="190"/>
      <c r="H3958" s="219"/>
      <c r="I3958" s="169">
        <v>116403</v>
      </c>
      <c r="J3958" s="304" t="str">
        <f>CONCATENATE([2]Cover!$D$6,"fdd/view?i=",I3958)</f>
        <v>https://www.dgiwg.org/FAD/fdd/view?i=116403</v>
      </c>
      <c r="K3958" s="304" t="s">
        <v>38007</v>
      </c>
      <c r="L3958" s="188">
        <v>134</v>
      </c>
      <c r="M3958" s="179" t="s">
        <v>151</v>
      </c>
    </row>
    <row r="3959" spans="1:13">
      <c r="A3959" s="313" t="str">
        <f t="shared" si="61"/>
        <v>JetAircraftStartUnitTypeCode_a4</v>
      </c>
      <c r="B3959" s="330"/>
      <c r="C3959" s="334"/>
      <c r="D3959" s="188" t="s">
        <v>24023</v>
      </c>
      <c r="E3959" s="189" t="s">
        <v>24024</v>
      </c>
      <c r="F3959" s="162" t="s">
        <v>24025</v>
      </c>
      <c r="G3959" s="190"/>
      <c r="H3959" s="219"/>
      <c r="I3959" s="169">
        <v>116404</v>
      </c>
      <c r="J3959" s="304" t="str">
        <f>CONCATENATE([2]Cover!$D$6,"fdd/view?i=",I3959)</f>
        <v>https://www.dgiwg.org/FAD/fdd/view?i=116404</v>
      </c>
      <c r="K3959" s="304" t="s">
        <v>38008</v>
      </c>
      <c r="L3959" s="188">
        <v>135</v>
      </c>
      <c r="M3959" s="179" t="s">
        <v>151</v>
      </c>
    </row>
    <row r="3960" spans="1:13">
      <c r="A3960" s="313" t="str">
        <f t="shared" si="61"/>
        <v>JetAircraftStartUnitTypeCode_a5</v>
      </c>
      <c r="B3960" s="330"/>
      <c r="C3960" s="334"/>
      <c r="D3960" s="188" t="s">
        <v>24026</v>
      </c>
      <c r="E3960" s="189" t="s">
        <v>24027</v>
      </c>
      <c r="F3960" s="162" t="s">
        <v>24028</v>
      </c>
      <c r="G3960" s="190"/>
      <c r="H3960" s="219"/>
      <c r="I3960" s="169">
        <v>116405</v>
      </c>
      <c r="J3960" s="304" t="str">
        <f>CONCATENATE([2]Cover!$D$6,"fdd/view?i=",I3960)</f>
        <v>https://www.dgiwg.org/FAD/fdd/view?i=116405</v>
      </c>
      <c r="K3960" s="304" t="s">
        <v>38009</v>
      </c>
      <c r="L3960" s="188">
        <v>136</v>
      </c>
      <c r="M3960" s="179" t="s">
        <v>151</v>
      </c>
    </row>
    <row r="3961" spans="1:13">
      <c r="A3961" s="313" t="str">
        <f t="shared" si="61"/>
        <v>JetAircraftStartUnitTypeCode_a6</v>
      </c>
      <c r="B3961" s="330"/>
      <c r="C3961" s="334"/>
      <c r="D3961" s="188" t="s">
        <v>24029</v>
      </c>
      <c r="E3961" s="189" t="s">
        <v>24030</v>
      </c>
      <c r="F3961" s="162" t="s">
        <v>24031</v>
      </c>
      <c r="G3961" s="190"/>
      <c r="H3961" s="219"/>
      <c r="I3961" s="169">
        <v>116406</v>
      </c>
      <c r="J3961" s="304" t="str">
        <f>CONCATENATE([2]Cover!$D$6,"fdd/view?i=",I3961)</f>
        <v>https://www.dgiwg.org/FAD/fdd/view?i=116406</v>
      </c>
      <c r="K3961" s="304" t="s">
        <v>38010</v>
      </c>
      <c r="L3961" s="188">
        <v>137</v>
      </c>
      <c r="M3961" s="179" t="s">
        <v>151</v>
      </c>
    </row>
    <row r="3962" spans="1:13" ht="25.5">
      <c r="A3962" s="313" t="str">
        <f t="shared" si="61"/>
        <v>JetAircraftStartUnitTypeCode_ac_35</v>
      </c>
      <c r="B3962" s="330"/>
      <c r="C3962" s="334"/>
      <c r="D3962" s="188" t="s">
        <v>24032</v>
      </c>
      <c r="E3962" s="189" t="s">
        <v>24033</v>
      </c>
      <c r="F3962" s="162" t="s">
        <v>24034</v>
      </c>
      <c r="G3962" s="190"/>
      <c r="H3962" s="219"/>
      <c r="I3962" s="169">
        <v>116407</v>
      </c>
      <c r="J3962" s="304" t="str">
        <f>CONCATENATE([2]Cover!$D$6,"fdd/view?i=",I3962)</f>
        <v>https://www.dgiwg.org/FAD/fdd/view?i=116407</v>
      </c>
      <c r="K3962" s="304" t="s">
        <v>38011</v>
      </c>
      <c r="L3962" s="188">
        <v>138</v>
      </c>
      <c r="M3962" s="179" t="s">
        <v>151</v>
      </c>
    </row>
    <row r="3963" spans="1:13" ht="25.5">
      <c r="A3963" s="313" t="str">
        <f t="shared" si="61"/>
        <v>JetAircraftStartUnitTypeCode_ace_37A</v>
      </c>
      <c r="B3963" s="330"/>
      <c r="C3963" s="334"/>
      <c r="D3963" s="188" t="s">
        <v>24035</v>
      </c>
      <c r="E3963" s="189" t="s">
        <v>24036</v>
      </c>
      <c r="F3963" s="162" t="s">
        <v>24037</v>
      </c>
      <c r="G3963" s="190"/>
      <c r="H3963" s="219"/>
      <c r="I3963" s="169">
        <v>116408</v>
      </c>
      <c r="J3963" s="304" t="str">
        <f>CONCATENATE([2]Cover!$D$6,"fdd/view?i=",I3963)</f>
        <v>https://www.dgiwg.org/FAD/fdd/view?i=116408</v>
      </c>
      <c r="K3963" s="304" t="s">
        <v>38012</v>
      </c>
      <c r="L3963" s="188">
        <v>139</v>
      </c>
      <c r="M3963" s="179" t="s">
        <v>151</v>
      </c>
    </row>
    <row r="3964" spans="1:13" ht="25.5">
      <c r="A3964" s="313" t="str">
        <f t="shared" si="61"/>
        <v>JetAircraftStartUnitTypeCode_aeg_30_KVA</v>
      </c>
      <c r="B3964" s="330"/>
      <c r="C3964" s="334"/>
      <c r="D3964" s="188" t="s">
        <v>24038</v>
      </c>
      <c r="E3964" s="189" t="s">
        <v>24039</v>
      </c>
      <c r="F3964" s="162" t="s">
        <v>24040</v>
      </c>
      <c r="G3964" s="190"/>
      <c r="H3964" s="219"/>
      <c r="I3964" s="169">
        <v>116440</v>
      </c>
      <c r="J3964" s="304" t="str">
        <f>CONCATENATE([2]Cover!$D$6,"fdd/view?i=",I3964)</f>
        <v>https://www.dgiwg.org/FAD/fdd/view?i=116440</v>
      </c>
      <c r="K3964" s="304" t="s">
        <v>38013</v>
      </c>
      <c r="L3964" s="188">
        <v>171</v>
      </c>
      <c r="M3964" s="179" t="s">
        <v>151</v>
      </c>
    </row>
    <row r="3965" spans="1:13" ht="25.5">
      <c r="A3965" s="313" t="str">
        <f t="shared" si="61"/>
        <v>JetAircraftStartUnitTypeCode_af_M32A_10</v>
      </c>
      <c r="B3965" s="330"/>
      <c r="C3965" s="334"/>
      <c r="D3965" s="188" t="s">
        <v>24041</v>
      </c>
      <c r="E3965" s="189" t="s">
        <v>24042</v>
      </c>
      <c r="F3965" s="162" t="s">
        <v>24043</v>
      </c>
      <c r="G3965" s="190"/>
      <c r="H3965" s="219"/>
      <c r="I3965" s="169">
        <v>116270</v>
      </c>
      <c r="J3965" s="304" t="str">
        <f>CONCATENATE([2]Cover!$D$6,"fdd/view?i=",I3965)</f>
        <v>https://www.dgiwg.org/FAD/fdd/view?i=116270</v>
      </c>
      <c r="K3965" s="304" t="s">
        <v>38014</v>
      </c>
      <c r="L3965" s="188">
        <v>1</v>
      </c>
      <c r="M3965" s="179" t="s">
        <v>151</v>
      </c>
    </row>
    <row r="3966" spans="1:13" ht="25.5">
      <c r="A3966" s="313" t="str">
        <f t="shared" si="61"/>
        <v>JetAircraftStartUnitTypeCode_af_M32M_10</v>
      </c>
      <c r="B3966" s="330"/>
      <c r="C3966" s="334"/>
      <c r="D3966" s="188" t="s">
        <v>24044</v>
      </c>
      <c r="E3966" s="189" t="s">
        <v>24045</v>
      </c>
      <c r="F3966" s="162" t="s">
        <v>24046</v>
      </c>
      <c r="G3966" s="190"/>
      <c r="H3966" s="219"/>
      <c r="I3966" s="169">
        <v>116332</v>
      </c>
      <c r="J3966" s="304" t="str">
        <f>CONCATENATE([2]Cover!$D$6,"fdd/view?i=",I3966)</f>
        <v>https://www.dgiwg.org/FAD/fdd/view?i=116332</v>
      </c>
      <c r="K3966" s="304" t="s">
        <v>38015</v>
      </c>
      <c r="L3966" s="188">
        <v>63</v>
      </c>
      <c r="M3966" s="179" t="s">
        <v>151</v>
      </c>
    </row>
    <row r="3967" spans="1:13" ht="25.5">
      <c r="A3967" s="313" t="str">
        <f t="shared" si="61"/>
        <v>JetAircraftStartUnitTypeCode_agpu</v>
      </c>
      <c r="B3967" s="330"/>
      <c r="C3967" s="334"/>
      <c r="D3967" s="188" t="s">
        <v>24047</v>
      </c>
      <c r="E3967" s="189" t="s">
        <v>24048</v>
      </c>
      <c r="F3967" s="162" t="s">
        <v>24049</v>
      </c>
      <c r="G3967" s="190"/>
      <c r="H3967" s="219"/>
      <c r="I3967" s="169">
        <v>116295</v>
      </c>
      <c r="J3967" s="304" t="str">
        <f>CONCATENATE([2]Cover!$D$6,"fdd/view?i=",I3967)</f>
        <v>https://www.dgiwg.org/FAD/fdd/view?i=116295</v>
      </c>
      <c r="K3967" s="304" t="s">
        <v>38016</v>
      </c>
      <c r="L3967" s="188">
        <v>26</v>
      </c>
      <c r="M3967" s="179" t="s">
        <v>151</v>
      </c>
    </row>
    <row r="3968" spans="1:13" ht="25.5">
      <c r="A3968" s="313" t="str">
        <f t="shared" si="61"/>
        <v>JetAircraftStartUnitTypeCode_am32_95</v>
      </c>
      <c r="B3968" s="330"/>
      <c r="C3968" s="334"/>
      <c r="D3968" s="188" t="s">
        <v>24050</v>
      </c>
      <c r="E3968" s="189" t="s">
        <v>24051</v>
      </c>
      <c r="F3968" s="162" t="s">
        <v>24052</v>
      </c>
      <c r="G3968" s="190"/>
      <c r="H3968" s="219"/>
      <c r="I3968" s="169">
        <v>116283</v>
      </c>
      <c r="J3968" s="304" t="str">
        <f>CONCATENATE([2]Cover!$D$6,"fdd/view?i=",I3968)</f>
        <v>https://www.dgiwg.org/FAD/fdd/view?i=116283</v>
      </c>
      <c r="K3968" s="304" t="s">
        <v>38017</v>
      </c>
      <c r="L3968" s="188">
        <v>14</v>
      </c>
      <c r="M3968" s="179" t="s">
        <v>151</v>
      </c>
    </row>
    <row r="3969" spans="1:13" ht="25.5">
      <c r="A3969" s="313" t="str">
        <f t="shared" si="61"/>
        <v>JetAircraftStartUnitTypeCode_am32A_108</v>
      </c>
      <c r="B3969" s="330"/>
      <c r="C3969" s="334"/>
      <c r="D3969" s="188" t="s">
        <v>24053</v>
      </c>
      <c r="E3969" s="189" t="s">
        <v>24054</v>
      </c>
      <c r="F3969" s="162" t="s">
        <v>24055</v>
      </c>
      <c r="G3969" s="190"/>
      <c r="H3969" s="219"/>
      <c r="I3969" s="169">
        <v>116300</v>
      </c>
      <c r="J3969" s="304" t="str">
        <f>CONCATENATE([2]Cover!$D$6,"fdd/view?i=",I3969)</f>
        <v>https://www.dgiwg.org/FAD/fdd/view?i=116300</v>
      </c>
      <c r="K3969" s="304" t="s">
        <v>38018</v>
      </c>
      <c r="L3969" s="188">
        <v>31</v>
      </c>
      <c r="M3969" s="179" t="s">
        <v>151</v>
      </c>
    </row>
    <row r="3970" spans="1:13" ht="38.25">
      <c r="A3970" s="313" t="str">
        <f t="shared" si="61"/>
        <v>JetAircraftStartUnitTypeCode_am32A_60</v>
      </c>
      <c r="B3970" s="330"/>
      <c r="C3970" s="334"/>
      <c r="D3970" s="188" t="s">
        <v>24056</v>
      </c>
      <c r="E3970" s="189" t="s">
        <v>24057</v>
      </c>
      <c r="F3970" s="162" t="s">
        <v>24058</v>
      </c>
      <c r="G3970" s="190"/>
      <c r="H3970" s="219"/>
      <c r="I3970" s="169">
        <v>116296</v>
      </c>
      <c r="J3970" s="304" t="str">
        <f>CONCATENATE([2]Cover!$D$6,"fdd/view?i=",I3970)</f>
        <v>https://www.dgiwg.org/FAD/fdd/view?i=116296</v>
      </c>
      <c r="K3970" s="304" t="s">
        <v>38019</v>
      </c>
      <c r="L3970" s="188">
        <v>27</v>
      </c>
      <c r="M3970" s="179" t="s">
        <v>151</v>
      </c>
    </row>
    <row r="3971" spans="1:13" ht="25.5">
      <c r="A3971" s="313" t="str">
        <f t="shared" ref="A3971:A4034" si="62">HYPERLINK(J3971,K3971)</f>
        <v>JetAircraftStartUnitTypeCode_am32A_60A</v>
      </c>
      <c r="B3971" s="330"/>
      <c r="C3971" s="334"/>
      <c r="D3971" s="188" t="s">
        <v>24059</v>
      </c>
      <c r="E3971" s="189" t="s">
        <v>24060</v>
      </c>
      <c r="F3971" s="162" t="s">
        <v>24061</v>
      </c>
      <c r="G3971" s="190"/>
      <c r="H3971" s="219"/>
      <c r="I3971" s="169">
        <v>116297</v>
      </c>
      <c r="J3971" s="304" t="str">
        <f>CONCATENATE([2]Cover!$D$6,"fdd/view?i=",I3971)</f>
        <v>https://www.dgiwg.org/FAD/fdd/view?i=116297</v>
      </c>
      <c r="K3971" s="304" t="s">
        <v>38020</v>
      </c>
      <c r="L3971" s="188">
        <v>28</v>
      </c>
      <c r="M3971" s="179" t="s">
        <v>151</v>
      </c>
    </row>
    <row r="3972" spans="1:13" ht="25.5">
      <c r="A3972" s="313" t="str">
        <f t="shared" si="62"/>
        <v>JetAircraftStartUnitTypeCode_am32A_60B</v>
      </c>
      <c r="B3972" s="330"/>
      <c r="C3972" s="334"/>
      <c r="D3972" s="188" t="s">
        <v>24062</v>
      </c>
      <c r="E3972" s="189" t="s">
        <v>24063</v>
      </c>
      <c r="F3972" s="162" t="s">
        <v>24064</v>
      </c>
      <c r="G3972" s="190"/>
      <c r="H3972" s="219"/>
      <c r="I3972" s="169">
        <v>116298</v>
      </c>
      <c r="J3972" s="304" t="str">
        <f>CONCATENATE([2]Cover!$D$6,"fdd/view?i=",I3972)</f>
        <v>https://www.dgiwg.org/FAD/fdd/view?i=116298</v>
      </c>
      <c r="K3972" s="304" t="s">
        <v>38021</v>
      </c>
      <c r="L3972" s="188">
        <v>29</v>
      </c>
      <c r="M3972" s="179" t="s">
        <v>151</v>
      </c>
    </row>
    <row r="3973" spans="1:13" ht="25.5">
      <c r="A3973" s="313" t="str">
        <f t="shared" si="62"/>
        <v>JetAircraftStartUnitTypeCode_am32A_95</v>
      </c>
      <c r="B3973" s="330"/>
      <c r="C3973" s="334"/>
      <c r="D3973" s="188" t="s">
        <v>24065</v>
      </c>
      <c r="E3973" s="189" t="s">
        <v>24066</v>
      </c>
      <c r="F3973" s="162" t="s">
        <v>24067</v>
      </c>
      <c r="G3973" s="190"/>
      <c r="H3973" s="219"/>
      <c r="I3973" s="169">
        <v>116284</v>
      </c>
      <c r="J3973" s="304" t="str">
        <f>CONCATENATE([2]Cover!$D$6,"fdd/view?i=",I3973)</f>
        <v>https://www.dgiwg.org/FAD/fdd/view?i=116284</v>
      </c>
      <c r="K3973" s="304" t="s">
        <v>38022</v>
      </c>
      <c r="L3973" s="188">
        <v>15</v>
      </c>
      <c r="M3973" s="179" t="s">
        <v>151</v>
      </c>
    </row>
    <row r="3974" spans="1:13" ht="25.5">
      <c r="A3974" s="313" t="str">
        <f t="shared" si="62"/>
        <v>JetAircraftStartUnitTypeCode_b10_or_B10A_or_B10B</v>
      </c>
      <c r="B3974" s="330"/>
      <c r="C3974" s="334"/>
      <c r="D3974" s="188" t="s">
        <v>24068</v>
      </c>
      <c r="E3974" s="189" t="s">
        <v>24069</v>
      </c>
      <c r="F3974" s="162" t="s">
        <v>24070</v>
      </c>
      <c r="G3974" s="190"/>
      <c r="H3974" s="219"/>
      <c r="I3974" s="169">
        <v>116336</v>
      </c>
      <c r="J3974" s="304" t="str">
        <f>CONCATENATE([2]Cover!$D$6,"fdd/view?i=",I3974)</f>
        <v>https://www.dgiwg.org/FAD/fdd/view?i=116336</v>
      </c>
      <c r="K3974" s="304" t="s">
        <v>38023</v>
      </c>
      <c r="L3974" s="188">
        <v>67</v>
      </c>
      <c r="M3974" s="179" t="s">
        <v>151</v>
      </c>
    </row>
    <row r="3975" spans="1:13" ht="25.5">
      <c r="A3975" s="313" t="str">
        <f t="shared" si="62"/>
        <v>JetAircraftStartUnitTypeCode_bc_3500</v>
      </c>
      <c r="B3975" s="330"/>
      <c r="C3975" s="334"/>
      <c r="D3975" s="188" t="s">
        <v>24071</v>
      </c>
      <c r="E3975" s="189" t="s">
        <v>24072</v>
      </c>
      <c r="F3975" s="162" t="s">
        <v>24073</v>
      </c>
      <c r="G3975" s="190"/>
      <c r="H3975" s="219"/>
      <c r="I3975" s="169">
        <v>116337</v>
      </c>
      <c r="J3975" s="304" t="str">
        <f>CONCATENATE([2]Cover!$D$6,"fdd/view?i=",I3975)</f>
        <v>https://www.dgiwg.org/FAD/fdd/view?i=116337</v>
      </c>
      <c r="K3975" s="304" t="s">
        <v>38024</v>
      </c>
      <c r="L3975" s="188">
        <v>68</v>
      </c>
      <c r="M3975" s="179" t="s">
        <v>151</v>
      </c>
    </row>
    <row r="3976" spans="1:13">
      <c r="A3976" s="313" t="str">
        <f t="shared" si="62"/>
        <v>JetAircraftStartUnitTypeCode_c_21</v>
      </c>
      <c r="B3976" s="330"/>
      <c r="C3976" s="334"/>
      <c r="D3976" s="188" t="s">
        <v>24086</v>
      </c>
      <c r="E3976" s="189" t="s">
        <v>24087</v>
      </c>
      <c r="F3976" s="162" t="s">
        <v>24088</v>
      </c>
      <c r="G3976" s="190"/>
      <c r="H3976" s="219"/>
      <c r="I3976" s="169">
        <v>116340</v>
      </c>
      <c r="J3976" s="304" t="str">
        <f>CONCATENATE([2]Cover!$D$6,"fdd/view?i=",I3976)</f>
        <v>https://www.dgiwg.org/FAD/fdd/view?i=116340</v>
      </c>
      <c r="K3976" s="304" t="s">
        <v>38025</v>
      </c>
      <c r="L3976" s="188">
        <v>71</v>
      </c>
      <c r="M3976" s="179" t="s">
        <v>151</v>
      </c>
    </row>
    <row r="3977" spans="1:13" ht="25.5">
      <c r="A3977" s="313" t="str">
        <f t="shared" si="62"/>
        <v>JetAircraftStartUnitTypeCode_c_21_B</v>
      </c>
      <c r="B3977" s="330"/>
      <c r="C3977" s="334"/>
      <c r="D3977" s="188" t="s">
        <v>24089</v>
      </c>
      <c r="E3977" s="189" t="s">
        <v>24090</v>
      </c>
      <c r="F3977" s="162" t="s">
        <v>24091</v>
      </c>
      <c r="G3977" s="190"/>
      <c r="H3977" s="219"/>
      <c r="I3977" s="169">
        <v>116341</v>
      </c>
      <c r="J3977" s="304" t="str">
        <f>CONCATENATE([2]Cover!$D$6,"fdd/view?i=",I3977)</f>
        <v>https://www.dgiwg.org/FAD/fdd/view?i=116341</v>
      </c>
      <c r="K3977" s="304" t="s">
        <v>38026</v>
      </c>
      <c r="L3977" s="188">
        <v>72</v>
      </c>
      <c r="M3977" s="179" t="s">
        <v>151</v>
      </c>
    </row>
    <row r="3978" spans="1:13">
      <c r="A3978" s="313" t="str">
        <f t="shared" si="62"/>
        <v>JetAircraftStartUnitTypeCode_c_22</v>
      </c>
      <c r="B3978" s="330"/>
      <c r="C3978" s="334"/>
      <c r="D3978" s="188" t="s">
        <v>24092</v>
      </c>
      <c r="E3978" s="189" t="s">
        <v>24093</v>
      </c>
      <c r="F3978" s="162" t="s">
        <v>24094</v>
      </c>
      <c r="G3978" s="190"/>
      <c r="H3978" s="219"/>
      <c r="I3978" s="169">
        <v>116342</v>
      </c>
      <c r="J3978" s="304" t="str">
        <f>CONCATENATE([2]Cover!$D$6,"fdd/view?i=",I3978)</f>
        <v>https://www.dgiwg.org/FAD/fdd/view?i=116342</v>
      </c>
      <c r="K3978" s="304" t="s">
        <v>38027</v>
      </c>
      <c r="L3978" s="188">
        <v>73</v>
      </c>
      <c r="M3978" s="179" t="s">
        <v>151</v>
      </c>
    </row>
    <row r="3979" spans="1:13" ht="25.5">
      <c r="A3979" s="313" t="str">
        <f t="shared" si="62"/>
        <v>JetAircraftStartUnitTypeCode_c_22A</v>
      </c>
      <c r="B3979" s="330"/>
      <c r="C3979" s="334"/>
      <c r="D3979" s="188" t="s">
        <v>24095</v>
      </c>
      <c r="E3979" s="189" t="s">
        <v>24096</v>
      </c>
      <c r="F3979" s="162" t="s">
        <v>24094</v>
      </c>
      <c r="G3979" s="190"/>
      <c r="H3979" s="219"/>
      <c r="I3979" s="169">
        <v>116343</v>
      </c>
      <c r="J3979" s="304" t="str">
        <f>CONCATENATE([2]Cover!$D$6,"fdd/view?i=",I3979)</f>
        <v>https://www.dgiwg.org/FAD/fdd/view?i=116343</v>
      </c>
      <c r="K3979" s="304" t="s">
        <v>38028</v>
      </c>
      <c r="L3979" s="188">
        <v>74</v>
      </c>
      <c r="M3979" s="179" t="s">
        <v>151</v>
      </c>
    </row>
    <row r="3980" spans="1:13" ht="25.5">
      <c r="A3980" s="313" t="str">
        <f t="shared" si="62"/>
        <v>JetAircraftStartUnitTypeCode_c_22B</v>
      </c>
      <c r="B3980" s="330"/>
      <c r="C3980" s="334"/>
      <c r="D3980" s="188" t="s">
        <v>24097</v>
      </c>
      <c r="E3980" s="189" t="s">
        <v>24098</v>
      </c>
      <c r="F3980" s="162" t="s">
        <v>24094</v>
      </c>
      <c r="G3980" s="190"/>
      <c r="H3980" s="219"/>
      <c r="I3980" s="169">
        <v>116344</v>
      </c>
      <c r="J3980" s="304" t="str">
        <f>CONCATENATE([2]Cover!$D$6,"fdd/view?i=",I3980)</f>
        <v>https://www.dgiwg.org/FAD/fdd/view?i=116344</v>
      </c>
      <c r="K3980" s="304" t="s">
        <v>38029</v>
      </c>
      <c r="L3980" s="188">
        <v>75</v>
      </c>
      <c r="M3980" s="179" t="s">
        <v>151</v>
      </c>
    </row>
    <row r="3981" spans="1:13" ht="25.5">
      <c r="A3981" s="313" t="str">
        <f t="shared" si="62"/>
        <v>JetAircraftStartUnitTypeCode_c_26_B_or_C_26_C</v>
      </c>
      <c r="B3981" s="330"/>
      <c r="C3981" s="334"/>
      <c r="D3981" s="188" t="s">
        <v>24102</v>
      </c>
      <c r="E3981" s="189" t="s">
        <v>24103</v>
      </c>
      <c r="F3981" s="162" t="s">
        <v>24104</v>
      </c>
      <c r="G3981" s="190"/>
      <c r="H3981" s="219"/>
      <c r="I3981" s="169">
        <v>116346</v>
      </c>
      <c r="J3981" s="304" t="str">
        <f>CONCATENATE([2]Cover!$D$6,"fdd/view?i=",I3981)</f>
        <v>https://www.dgiwg.org/FAD/fdd/view?i=116346</v>
      </c>
      <c r="K3981" s="304" t="s">
        <v>38030</v>
      </c>
      <c r="L3981" s="188">
        <v>77</v>
      </c>
      <c r="M3981" s="179" t="s">
        <v>151</v>
      </c>
    </row>
    <row r="3982" spans="1:13" ht="25.5">
      <c r="A3982" s="313" t="str">
        <f t="shared" si="62"/>
        <v>JetAircraftStartUnitTypeCode_c_26_M</v>
      </c>
      <c r="B3982" s="330"/>
      <c r="C3982" s="334"/>
      <c r="D3982" s="188" t="s">
        <v>24108</v>
      </c>
      <c r="E3982" s="189" t="s">
        <v>24109</v>
      </c>
      <c r="F3982" s="162" t="s">
        <v>24110</v>
      </c>
      <c r="G3982" s="190"/>
      <c r="H3982" s="219"/>
      <c r="I3982" s="169">
        <v>116347</v>
      </c>
      <c r="J3982" s="304" t="str">
        <f>CONCATENATE([2]Cover!$D$6,"fdd/view?i=",I3982)</f>
        <v>https://www.dgiwg.org/FAD/fdd/view?i=116347</v>
      </c>
      <c r="K3982" s="304" t="s">
        <v>38031</v>
      </c>
      <c r="L3982" s="188">
        <v>78</v>
      </c>
      <c r="M3982" s="179" t="s">
        <v>151</v>
      </c>
    </row>
    <row r="3983" spans="1:13" ht="25.5">
      <c r="A3983" s="313" t="str">
        <f t="shared" si="62"/>
        <v>JetAircraftStartUnitTypeCode_c_26B</v>
      </c>
      <c r="B3983" s="330"/>
      <c r="C3983" s="334"/>
      <c r="D3983" s="188" t="s">
        <v>24099</v>
      </c>
      <c r="E3983" s="189" t="s">
        <v>24100</v>
      </c>
      <c r="F3983" s="162" t="s">
        <v>24101</v>
      </c>
      <c r="G3983" s="190"/>
      <c r="H3983" s="219"/>
      <c r="I3983" s="169">
        <v>116272</v>
      </c>
      <c r="J3983" s="304" t="str">
        <f>CONCATENATE([2]Cover!$D$6,"fdd/view?i=",I3983)</f>
        <v>https://www.dgiwg.org/FAD/fdd/view?i=116272</v>
      </c>
      <c r="K3983" s="304" t="s">
        <v>38032</v>
      </c>
      <c r="L3983" s="188">
        <v>3</v>
      </c>
      <c r="M3983" s="179" t="s">
        <v>151</v>
      </c>
    </row>
    <row r="3984" spans="1:13" ht="25.5">
      <c r="A3984" s="313" t="str">
        <f t="shared" si="62"/>
        <v>JetAircraftStartUnitTypeCode_c_26B_1</v>
      </c>
      <c r="B3984" s="330"/>
      <c r="C3984" s="334"/>
      <c r="D3984" s="188" t="s">
        <v>24105</v>
      </c>
      <c r="E3984" s="189" t="s">
        <v>24106</v>
      </c>
      <c r="F3984" s="162" t="s">
        <v>24107</v>
      </c>
      <c r="G3984" s="190"/>
      <c r="H3984" s="219"/>
      <c r="I3984" s="169">
        <v>116345</v>
      </c>
      <c r="J3984" s="304" t="str">
        <f>CONCATENATE([2]Cover!$D$6,"fdd/view?i=",I3984)</f>
        <v>https://www.dgiwg.org/FAD/fdd/view?i=116345</v>
      </c>
      <c r="K3984" s="304" t="s">
        <v>38033</v>
      </c>
      <c r="L3984" s="188">
        <v>76</v>
      </c>
      <c r="M3984" s="179" t="s">
        <v>151</v>
      </c>
    </row>
    <row r="3985" spans="1:13" ht="25.5">
      <c r="A3985" s="313" t="str">
        <f t="shared" si="62"/>
        <v>JetAircraftStartUnitTypeCode_c_Cartridge</v>
      </c>
      <c r="B3985" s="330"/>
      <c r="C3985" s="334"/>
      <c r="D3985" s="188" t="s">
        <v>24074</v>
      </c>
      <c r="E3985" s="189" t="s">
        <v>24075</v>
      </c>
      <c r="F3985" s="162" t="s">
        <v>24076</v>
      </c>
      <c r="G3985" s="190"/>
      <c r="H3985" s="219"/>
      <c r="I3985" s="169">
        <v>116429</v>
      </c>
      <c r="J3985" s="304" t="str">
        <f>CONCATENATE([2]Cover!$D$6,"fdd/view?i=",I3985)</f>
        <v>https://www.dgiwg.org/FAD/fdd/view?i=116429</v>
      </c>
      <c r="K3985" s="304" t="s">
        <v>38034</v>
      </c>
      <c r="L3985" s="188">
        <v>160</v>
      </c>
      <c r="M3985" s="179" t="s">
        <v>151</v>
      </c>
    </row>
    <row r="3986" spans="1:13">
      <c r="A3986" s="313" t="str">
        <f t="shared" si="62"/>
        <v>JetAircraftStartUnitTypeCode_c1</v>
      </c>
      <c r="B3986" s="330"/>
      <c r="C3986" s="334"/>
      <c r="D3986" s="188" t="s">
        <v>24077</v>
      </c>
      <c r="E3986" s="189" t="s">
        <v>24078</v>
      </c>
      <c r="F3986" s="162" t="s">
        <v>24079</v>
      </c>
      <c r="G3986" s="190"/>
      <c r="H3986" s="219"/>
      <c r="I3986" s="169">
        <v>116338</v>
      </c>
      <c r="J3986" s="304" t="str">
        <f>CONCATENATE([2]Cover!$D$6,"fdd/view?i=",I3986)</f>
        <v>https://www.dgiwg.org/FAD/fdd/view?i=116338</v>
      </c>
      <c r="K3986" s="304" t="s">
        <v>38035</v>
      </c>
      <c r="L3986" s="188">
        <v>69</v>
      </c>
      <c r="M3986" s="179" t="s">
        <v>151</v>
      </c>
    </row>
    <row r="3987" spans="1:13" ht="25.5">
      <c r="A3987" s="313" t="str">
        <f t="shared" si="62"/>
        <v>JetAircraftStartUnitTypeCode_c1_Cartridge</v>
      </c>
      <c r="B3987" s="330"/>
      <c r="C3987" s="334"/>
      <c r="D3987" s="188" t="s">
        <v>24080</v>
      </c>
      <c r="E3987" s="189" t="s">
        <v>24081</v>
      </c>
      <c r="F3987" s="162" t="s">
        <v>24082</v>
      </c>
      <c r="G3987" s="190"/>
      <c r="H3987" s="219"/>
      <c r="I3987" s="169">
        <v>116431</v>
      </c>
      <c r="J3987" s="304" t="str">
        <f>CONCATENATE([2]Cover!$D$6,"fdd/view?i=",I3987)</f>
        <v>https://www.dgiwg.org/FAD/fdd/view?i=116431</v>
      </c>
      <c r="K3987" s="304" t="s">
        <v>38036</v>
      </c>
      <c r="L3987" s="188">
        <v>162</v>
      </c>
      <c r="M3987" s="179" t="s">
        <v>151</v>
      </c>
    </row>
    <row r="3988" spans="1:13" ht="25.5">
      <c r="A3988" s="313" t="str">
        <f t="shared" si="62"/>
        <v>JetAircraftStartUnitTypeCode_c2_Cartridge</v>
      </c>
      <c r="B3988" s="330"/>
      <c r="C3988" s="334"/>
      <c r="D3988" s="188" t="s">
        <v>24083</v>
      </c>
      <c r="E3988" s="189" t="s">
        <v>24084</v>
      </c>
      <c r="F3988" s="162" t="s">
        <v>24085</v>
      </c>
      <c r="G3988" s="190"/>
      <c r="H3988" s="219"/>
      <c r="I3988" s="169">
        <v>116432</v>
      </c>
      <c r="J3988" s="304" t="str">
        <f>CONCATENATE([2]Cover!$D$6,"fdd/view?i=",I3988)</f>
        <v>https://www.dgiwg.org/FAD/fdd/view?i=116432</v>
      </c>
      <c r="K3988" s="304" t="s">
        <v>38037</v>
      </c>
      <c r="L3988" s="188">
        <v>163</v>
      </c>
      <c r="M3988" s="179" t="s">
        <v>151</v>
      </c>
    </row>
    <row r="3989" spans="1:13">
      <c r="A3989" s="313" t="str">
        <f t="shared" si="62"/>
        <v>JetAircraftStartUnitTypeCode_c3</v>
      </c>
      <c r="B3989" s="330"/>
      <c r="C3989" s="334"/>
      <c r="D3989" s="188" t="s">
        <v>24111</v>
      </c>
      <c r="E3989" s="189" t="s">
        <v>24112</v>
      </c>
      <c r="F3989" s="162" t="s">
        <v>24113</v>
      </c>
      <c r="G3989" s="190"/>
      <c r="H3989" s="219"/>
      <c r="I3989" s="169">
        <v>116339</v>
      </c>
      <c r="J3989" s="304" t="str">
        <f>CONCATENATE([2]Cover!$D$6,"fdd/view?i=",I3989)</f>
        <v>https://www.dgiwg.org/FAD/fdd/view?i=116339</v>
      </c>
      <c r="K3989" s="304" t="s">
        <v>38038</v>
      </c>
      <c r="L3989" s="188">
        <v>70</v>
      </c>
      <c r="M3989" s="179" t="s">
        <v>151</v>
      </c>
    </row>
    <row r="3990" spans="1:13" ht="25.5">
      <c r="A3990" s="313" t="str">
        <f t="shared" si="62"/>
        <v>JetAircraftStartUnitTypeCode_c3_Cartridge</v>
      </c>
      <c r="B3990" s="330"/>
      <c r="C3990" s="334"/>
      <c r="D3990" s="188" t="s">
        <v>24114</v>
      </c>
      <c r="E3990" s="189" t="s">
        <v>24115</v>
      </c>
      <c r="F3990" s="162" t="s">
        <v>24116</v>
      </c>
      <c r="G3990" s="190"/>
      <c r="H3990" s="219"/>
      <c r="I3990" s="169">
        <v>116433</v>
      </c>
      <c r="J3990" s="304" t="str">
        <f>CONCATENATE([2]Cover!$D$6,"fdd/view?i=",I3990)</f>
        <v>https://www.dgiwg.org/FAD/fdd/view?i=116433</v>
      </c>
      <c r="K3990" s="304" t="s">
        <v>38039</v>
      </c>
      <c r="L3990" s="188">
        <v>164</v>
      </c>
      <c r="M3990" s="179" t="s">
        <v>151</v>
      </c>
    </row>
    <row r="3991" spans="1:13" ht="25.5">
      <c r="A3991" s="313" t="str">
        <f t="shared" si="62"/>
        <v>JetAircraftStartUnitTypeCode_c4_Cartridge</v>
      </c>
      <c r="B3991" s="330"/>
      <c r="C3991" s="334"/>
      <c r="D3991" s="188" t="s">
        <v>24117</v>
      </c>
      <c r="E3991" s="189" t="s">
        <v>24118</v>
      </c>
      <c r="F3991" s="162" t="s">
        <v>24119</v>
      </c>
      <c r="G3991" s="190"/>
      <c r="H3991" s="219"/>
      <c r="I3991" s="169">
        <v>116434</v>
      </c>
      <c r="J3991" s="304" t="str">
        <f>CONCATENATE([2]Cover!$D$6,"fdd/view?i=",I3991)</f>
        <v>https://www.dgiwg.org/FAD/fdd/view?i=116434</v>
      </c>
      <c r="K3991" s="304" t="s">
        <v>38040</v>
      </c>
      <c r="L3991" s="188">
        <v>165</v>
      </c>
      <c r="M3991" s="179" t="s">
        <v>151</v>
      </c>
    </row>
    <row r="3992" spans="1:13" ht="25.5">
      <c r="A3992" s="313" t="str">
        <f t="shared" si="62"/>
        <v>JetAircraftStartUnitTypeCode_c5_Cartridge</v>
      </c>
      <c r="B3992" s="330"/>
      <c r="C3992" s="334"/>
      <c r="D3992" s="188" t="s">
        <v>24120</v>
      </c>
      <c r="E3992" s="189" t="s">
        <v>24121</v>
      </c>
      <c r="F3992" s="162" t="s">
        <v>24122</v>
      </c>
      <c r="G3992" s="190"/>
      <c r="H3992" s="219"/>
      <c r="I3992" s="169">
        <v>116435</v>
      </c>
      <c r="J3992" s="304" t="str">
        <f>CONCATENATE([2]Cover!$D$6,"fdd/view?i=",I3992)</f>
        <v>https://www.dgiwg.org/FAD/fdd/view?i=116435</v>
      </c>
      <c r="K3992" s="304" t="s">
        <v>38041</v>
      </c>
      <c r="L3992" s="188">
        <v>166</v>
      </c>
      <c r="M3992" s="179" t="s">
        <v>151</v>
      </c>
    </row>
    <row r="3993" spans="1:13" ht="25.5">
      <c r="A3993" s="313" t="str">
        <f t="shared" si="62"/>
        <v>JetAircraftStartUnitTypeCode_c6_Cartridge</v>
      </c>
      <c r="B3993" s="330"/>
      <c r="C3993" s="334"/>
      <c r="D3993" s="188" t="s">
        <v>24123</v>
      </c>
      <c r="E3993" s="189" t="s">
        <v>24124</v>
      </c>
      <c r="F3993" s="162" t="s">
        <v>24125</v>
      </c>
      <c r="G3993" s="190"/>
      <c r="H3993" s="219"/>
      <c r="I3993" s="169">
        <v>116436</v>
      </c>
      <c r="J3993" s="304" t="str">
        <f>CONCATENATE([2]Cover!$D$6,"fdd/view?i=",I3993)</f>
        <v>https://www.dgiwg.org/FAD/fdd/view?i=116436</v>
      </c>
      <c r="K3993" s="304" t="s">
        <v>38042</v>
      </c>
      <c r="L3993" s="188">
        <v>167</v>
      </c>
      <c r="M3993" s="179" t="s">
        <v>151</v>
      </c>
    </row>
    <row r="3994" spans="1:13" ht="25.5">
      <c r="A3994" s="313" t="str">
        <f t="shared" si="62"/>
        <v>JetAircraftStartUnitTypeCode_c7_Cartridge</v>
      </c>
      <c r="B3994" s="330"/>
      <c r="C3994" s="334"/>
      <c r="D3994" s="188" t="s">
        <v>24126</v>
      </c>
      <c r="E3994" s="189" t="s">
        <v>24127</v>
      </c>
      <c r="F3994" s="162" t="s">
        <v>24128</v>
      </c>
      <c r="G3994" s="190"/>
      <c r="H3994" s="219"/>
      <c r="I3994" s="169">
        <v>116437</v>
      </c>
      <c r="J3994" s="304" t="str">
        <f>CONCATENATE([2]Cover!$D$6,"fdd/view?i=",I3994)</f>
        <v>https://www.dgiwg.org/FAD/fdd/view?i=116437</v>
      </c>
      <c r="K3994" s="304" t="s">
        <v>38043</v>
      </c>
      <c r="L3994" s="188">
        <v>168</v>
      </c>
      <c r="M3994" s="179" t="s">
        <v>151</v>
      </c>
    </row>
    <row r="3995" spans="1:13">
      <c r="A3995" s="313" t="str">
        <f t="shared" si="62"/>
        <v>JetAircraftStartUnitTypeCode_ca1</v>
      </c>
      <c r="B3995" s="330"/>
      <c r="C3995" s="334"/>
      <c r="D3995" s="188" t="s">
        <v>24129</v>
      </c>
      <c r="E3995" s="189" t="s">
        <v>24130</v>
      </c>
      <c r="F3995" s="162" t="s">
        <v>24131</v>
      </c>
      <c r="G3995" s="190"/>
      <c r="H3995" s="219"/>
      <c r="I3995" s="169">
        <v>116327</v>
      </c>
      <c r="J3995" s="304" t="str">
        <f>CONCATENATE([2]Cover!$D$6,"fdd/view?i=",I3995)</f>
        <v>https://www.dgiwg.org/FAD/fdd/view?i=116327</v>
      </c>
      <c r="K3995" s="304" t="s">
        <v>38044</v>
      </c>
      <c r="L3995" s="188">
        <v>58</v>
      </c>
      <c r="M3995" s="179" t="s">
        <v>151</v>
      </c>
    </row>
    <row r="3996" spans="1:13">
      <c r="A3996" s="313" t="str">
        <f t="shared" si="62"/>
        <v>JetAircraftStartUnitTypeCode_ca2</v>
      </c>
      <c r="B3996" s="330"/>
      <c r="C3996" s="334"/>
      <c r="D3996" s="188" t="s">
        <v>24132</v>
      </c>
      <c r="E3996" s="189" t="s">
        <v>10025</v>
      </c>
      <c r="F3996" s="162" t="s">
        <v>24133</v>
      </c>
      <c r="G3996" s="190"/>
      <c r="H3996" s="219"/>
      <c r="I3996" s="169">
        <v>116328</v>
      </c>
      <c r="J3996" s="304" t="str">
        <f>CONCATENATE([2]Cover!$D$6,"fdd/view?i=",I3996)</f>
        <v>https://www.dgiwg.org/FAD/fdd/view?i=116328</v>
      </c>
      <c r="K3996" s="304" t="s">
        <v>38045</v>
      </c>
      <c r="L3996" s="188">
        <v>59</v>
      </c>
      <c r="M3996" s="179" t="s">
        <v>151</v>
      </c>
    </row>
    <row r="3997" spans="1:13">
      <c r="A3997" s="313" t="str">
        <f t="shared" si="62"/>
        <v>JetAircraftStartUnitTypeCode_ca3</v>
      </c>
      <c r="B3997" s="330"/>
      <c r="C3997" s="334"/>
      <c r="D3997" s="188" t="s">
        <v>24134</v>
      </c>
      <c r="E3997" s="189" t="s">
        <v>24135</v>
      </c>
      <c r="F3997" s="162" t="s">
        <v>24136</v>
      </c>
      <c r="G3997" s="190"/>
      <c r="H3997" s="219"/>
      <c r="I3997" s="169">
        <v>116329</v>
      </c>
      <c r="J3997" s="304" t="str">
        <f>CONCATENATE([2]Cover!$D$6,"fdd/view?i=",I3997)</f>
        <v>https://www.dgiwg.org/FAD/fdd/view?i=116329</v>
      </c>
      <c r="K3997" s="304" t="s">
        <v>38046</v>
      </c>
      <c r="L3997" s="188">
        <v>60</v>
      </c>
      <c r="M3997" s="179" t="s">
        <v>151</v>
      </c>
    </row>
    <row r="3998" spans="1:13">
      <c r="A3998" s="313" t="str">
        <f t="shared" si="62"/>
        <v>JetAircraftStartUnitTypeCode_ce1</v>
      </c>
      <c r="B3998" s="330"/>
      <c r="C3998" s="334"/>
      <c r="D3998" s="188" t="s">
        <v>24137</v>
      </c>
      <c r="E3998" s="189" t="s">
        <v>24138</v>
      </c>
      <c r="F3998" s="162" t="s">
        <v>24139</v>
      </c>
      <c r="G3998" s="190"/>
      <c r="H3998" s="219"/>
      <c r="I3998" s="169">
        <v>116311</v>
      </c>
      <c r="J3998" s="304" t="str">
        <f>CONCATENATE([2]Cover!$D$6,"fdd/view?i=",I3998)</f>
        <v>https://www.dgiwg.org/FAD/fdd/view?i=116311</v>
      </c>
      <c r="K3998" s="304" t="s">
        <v>38047</v>
      </c>
      <c r="L3998" s="188">
        <v>42</v>
      </c>
      <c r="M3998" s="179" t="s">
        <v>151</v>
      </c>
    </row>
    <row r="3999" spans="1:13">
      <c r="A3999" s="313" t="str">
        <f t="shared" si="62"/>
        <v>JetAircraftStartUnitTypeCode_ce10</v>
      </c>
      <c r="B3999" s="330"/>
      <c r="C3999" s="334"/>
      <c r="D3999" s="188" t="s">
        <v>24140</v>
      </c>
      <c r="E3999" s="189" t="s">
        <v>24141</v>
      </c>
      <c r="F3999" s="162" t="s">
        <v>24142</v>
      </c>
      <c r="G3999" s="190"/>
      <c r="H3999" s="219"/>
      <c r="I3999" s="169">
        <v>116320</v>
      </c>
      <c r="J3999" s="304" t="str">
        <f>CONCATENATE([2]Cover!$D$6,"fdd/view?i=",I3999)</f>
        <v>https://www.dgiwg.org/FAD/fdd/view?i=116320</v>
      </c>
      <c r="K3999" s="304" t="s">
        <v>38048</v>
      </c>
      <c r="L3999" s="188">
        <v>51</v>
      </c>
      <c r="M3999" s="179" t="s">
        <v>151</v>
      </c>
    </row>
    <row r="4000" spans="1:13">
      <c r="A4000" s="313" t="str">
        <f t="shared" si="62"/>
        <v>JetAircraftStartUnitTypeCode_ce11</v>
      </c>
      <c r="B4000" s="330"/>
      <c r="C4000" s="334"/>
      <c r="D4000" s="188" t="s">
        <v>24143</v>
      </c>
      <c r="E4000" s="189" t="s">
        <v>24144</v>
      </c>
      <c r="F4000" s="162" t="s">
        <v>24145</v>
      </c>
      <c r="G4000" s="190"/>
      <c r="H4000" s="219"/>
      <c r="I4000" s="169">
        <v>116321</v>
      </c>
      <c r="J4000" s="304" t="str">
        <f>CONCATENATE([2]Cover!$D$6,"fdd/view?i=",I4000)</f>
        <v>https://www.dgiwg.org/FAD/fdd/view?i=116321</v>
      </c>
      <c r="K4000" s="304" t="s">
        <v>38049</v>
      </c>
      <c r="L4000" s="188">
        <v>52</v>
      </c>
      <c r="M4000" s="179" t="s">
        <v>151</v>
      </c>
    </row>
    <row r="4001" spans="1:13">
      <c r="A4001" s="313" t="str">
        <f t="shared" si="62"/>
        <v>JetAircraftStartUnitTypeCode_ce12</v>
      </c>
      <c r="B4001" s="330"/>
      <c r="C4001" s="334"/>
      <c r="D4001" s="188" t="s">
        <v>24146</v>
      </c>
      <c r="E4001" s="189" t="s">
        <v>24147</v>
      </c>
      <c r="F4001" s="162" t="s">
        <v>24148</v>
      </c>
      <c r="G4001" s="190"/>
      <c r="H4001" s="219"/>
      <c r="I4001" s="169">
        <v>116322</v>
      </c>
      <c r="J4001" s="304" t="str">
        <f>CONCATENATE([2]Cover!$D$6,"fdd/view?i=",I4001)</f>
        <v>https://www.dgiwg.org/FAD/fdd/view?i=116322</v>
      </c>
      <c r="K4001" s="304" t="s">
        <v>38050</v>
      </c>
      <c r="L4001" s="188">
        <v>53</v>
      </c>
      <c r="M4001" s="179" t="s">
        <v>151</v>
      </c>
    </row>
    <row r="4002" spans="1:13">
      <c r="A4002" s="313" t="str">
        <f t="shared" si="62"/>
        <v>JetAircraftStartUnitTypeCode_ce13</v>
      </c>
      <c r="B4002" s="330"/>
      <c r="C4002" s="334"/>
      <c r="D4002" s="188" t="s">
        <v>24149</v>
      </c>
      <c r="E4002" s="189" t="s">
        <v>24150</v>
      </c>
      <c r="F4002" s="162" t="s">
        <v>24151</v>
      </c>
      <c r="G4002" s="190"/>
      <c r="H4002" s="219"/>
      <c r="I4002" s="169">
        <v>116323</v>
      </c>
      <c r="J4002" s="304" t="str">
        <f>CONCATENATE([2]Cover!$D$6,"fdd/view?i=",I4002)</f>
        <v>https://www.dgiwg.org/FAD/fdd/view?i=116323</v>
      </c>
      <c r="K4002" s="304" t="s">
        <v>38051</v>
      </c>
      <c r="L4002" s="188">
        <v>54</v>
      </c>
      <c r="M4002" s="179" t="s">
        <v>151</v>
      </c>
    </row>
    <row r="4003" spans="1:13">
      <c r="A4003" s="313" t="str">
        <f t="shared" si="62"/>
        <v>JetAircraftStartUnitTypeCode_ce14</v>
      </c>
      <c r="B4003" s="330"/>
      <c r="C4003" s="334"/>
      <c r="D4003" s="188" t="s">
        <v>24152</v>
      </c>
      <c r="E4003" s="189" t="s">
        <v>24153</v>
      </c>
      <c r="F4003" s="162" t="s">
        <v>24154</v>
      </c>
      <c r="G4003" s="190"/>
      <c r="H4003" s="219"/>
      <c r="I4003" s="169">
        <v>116324</v>
      </c>
      <c r="J4003" s="304" t="str">
        <f>CONCATENATE([2]Cover!$D$6,"fdd/view?i=",I4003)</f>
        <v>https://www.dgiwg.org/FAD/fdd/view?i=116324</v>
      </c>
      <c r="K4003" s="304" t="s">
        <v>38052</v>
      </c>
      <c r="L4003" s="188">
        <v>55</v>
      </c>
      <c r="M4003" s="179" t="s">
        <v>151</v>
      </c>
    </row>
    <row r="4004" spans="1:13">
      <c r="A4004" s="313" t="str">
        <f t="shared" si="62"/>
        <v>JetAircraftStartUnitTypeCode_ce15</v>
      </c>
      <c r="B4004" s="330"/>
      <c r="C4004" s="334"/>
      <c r="D4004" s="188" t="s">
        <v>24155</v>
      </c>
      <c r="E4004" s="189" t="s">
        <v>24156</v>
      </c>
      <c r="F4004" s="162" t="s">
        <v>24157</v>
      </c>
      <c r="G4004" s="190"/>
      <c r="H4004" s="219"/>
      <c r="I4004" s="169">
        <v>116325</v>
      </c>
      <c r="J4004" s="304" t="str">
        <f>CONCATENATE([2]Cover!$D$6,"fdd/view?i=",I4004)</f>
        <v>https://www.dgiwg.org/FAD/fdd/view?i=116325</v>
      </c>
      <c r="K4004" s="304" t="s">
        <v>38053</v>
      </c>
      <c r="L4004" s="188">
        <v>56</v>
      </c>
      <c r="M4004" s="179" t="s">
        <v>151</v>
      </c>
    </row>
    <row r="4005" spans="1:13">
      <c r="A4005" s="313" t="str">
        <f t="shared" si="62"/>
        <v>JetAircraftStartUnitTypeCode_ce16</v>
      </c>
      <c r="B4005" s="330"/>
      <c r="C4005" s="334"/>
      <c r="D4005" s="188" t="s">
        <v>24158</v>
      </c>
      <c r="E4005" s="189" t="s">
        <v>24159</v>
      </c>
      <c r="F4005" s="162" t="s">
        <v>24160</v>
      </c>
      <c r="G4005" s="190"/>
      <c r="H4005" s="219"/>
      <c r="I4005" s="169">
        <v>116326</v>
      </c>
      <c r="J4005" s="304" t="str">
        <f>CONCATENATE([2]Cover!$D$6,"fdd/view?i=",I4005)</f>
        <v>https://www.dgiwg.org/FAD/fdd/view?i=116326</v>
      </c>
      <c r="K4005" s="304" t="s">
        <v>38054</v>
      </c>
      <c r="L4005" s="188">
        <v>57</v>
      </c>
      <c r="M4005" s="179" t="s">
        <v>151</v>
      </c>
    </row>
    <row r="4006" spans="1:13">
      <c r="A4006" s="313" t="str">
        <f t="shared" si="62"/>
        <v>JetAircraftStartUnitTypeCode_ce2</v>
      </c>
      <c r="B4006" s="330"/>
      <c r="C4006" s="334"/>
      <c r="D4006" s="188" t="s">
        <v>24161</v>
      </c>
      <c r="E4006" s="189" t="s">
        <v>24162</v>
      </c>
      <c r="F4006" s="162" t="s">
        <v>24163</v>
      </c>
      <c r="G4006" s="190"/>
      <c r="H4006" s="219"/>
      <c r="I4006" s="169">
        <v>116312</v>
      </c>
      <c r="J4006" s="304" t="str">
        <f>CONCATENATE([2]Cover!$D$6,"fdd/view?i=",I4006)</f>
        <v>https://www.dgiwg.org/FAD/fdd/view?i=116312</v>
      </c>
      <c r="K4006" s="304" t="s">
        <v>38055</v>
      </c>
      <c r="L4006" s="188">
        <v>43</v>
      </c>
      <c r="M4006" s="179" t="s">
        <v>151</v>
      </c>
    </row>
    <row r="4007" spans="1:13">
      <c r="A4007" s="313" t="str">
        <f t="shared" si="62"/>
        <v>JetAircraftStartUnitTypeCode_ce3</v>
      </c>
      <c r="B4007" s="330"/>
      <c r="C4007" s="334"/>
      <c r="D4007" s="188" t="s">
        <v>24164</v>
      </c>
      <c r="E4007" s="189" t="s">
        <v>24165</v>
      </c>
      <c r="F4007" s="162" t="s">
        <v>24166</v>
      </c>
      <c r="G4007" s="190"/>
      <c r="H4007" s="219"/>
      <c r="I4007" s="169">
        <v>116313</v>
      </c>
      <c r="J4007" s="304" t="str">
        <f>CONCATENATE([2]Cover!$D$6,"fdd/view?i=",I4007)</f>
        <v>https://www.dgiwg.org/FAD/fdd/view?i=116313</v>
      </c>
      <c r="K4007" s="304" t="s">
        <v>38056</v>
      </c>
      <c r="L4007" s="188">
        <v>44</v>
      </c>
      <c r="M4007" s="179" t="s">
        <v>151</v>
      </c>
    </row>
    <row r="4008" spans="1:13">
      <c r="A4008" s="313" t="str">
        <f t="shared" si="62"/>
        <v>JetAircraftStartUnitTypeCode_ce4</v>
      </c>
      <c r="B4008" s="330"/>
      <c r="C4008" s="334"/>
      <c r="D4008" s="188" t="s">
        <v>24167</v>
      </c>
      <c r="E4008" s="189" t="s">
        <v>24168</v>
      </c>
      <c r="F4008" s="162" t="s">
        <v>24169</v>
      </c>
      <c r="G4008" s="190"/>
      <c r="H4008" s="219"/>
      <c r="I4008" s="169">
        <v>116314</v>
      </c>
      <c r="J4008" s="304" t="str">
        <f>CONCATENATE([2]Cover!$D$6,"fdd/view?i=",I4008)</f>
        <v>https://www.dgiwg.org/FAD/fdd/view?i=116314</v>
      </c>
      <c r="K4008" s="304" t="s">
        <v>38057</v>
      </c>
      <c r="L4008" s="188">
        <v>45</v>
      </c>
      <c r="M4008" s="179" t="s">
        <v>151</v>
      </c>
    </row>
    <row r="4009" spans="1:13">
      <c r="A4009" s="313" t="str">
        <f t="shared" si="62"/>
        <v>JetAircraftStartUnitTypeCode_ce5</v>
      </c>
      <c r="B4009" s="330"/>
      <c r="C4009" s="334"/>
      <c r="D4009" s="188" t="s">
        <v>24170</v>
      </c>
      <c r="E4009" s="189" t="s">
        <v>24171</v>
      </c>
      <c r="F4009" s="162" t="s">
        <v>24172</v>
      </c>
      <c r="G4009" s="190"/>
      <c r="H4009" s="219"/>
      <c r="I4009" s="169">
        <v>116315</v>
      </c>
      <c r="J4009" s="304" t="str">
        <f>CONCATENATE([2]Cover!$D$6,"fdd/view?i=",I4009)</f>
        <v>https://www.dgiwg.org/FAD/fdd/view?i=116315</v>
      </c>
      <c r="K4009" s="304" t="s">
        <v>38058</v>
      </c>
      <c r="L4009" s="188">
        <v>46</v>
      </c>
      <c r="M4009" s="179" t="s">
        <v>151</v>
      </c>
    </row>
    <row r="4010" spans="1:13">
      <c r="A4010" s="313" t="str">
        <f t="shared" si="62"/>
        <v>JetAircraftStartUnitTypeCode_ce6</v>
      </c>
      <c r="B4010" s="330"/>
      <c r="C4010" s="334"/>
      <c r="D4010" s="188" t="s">
        <v>24173</v>
      </c>
      <c r="E4010" s="189" t="s">
        <v>24174</v>
      </c>
      <c r="F4010" s="162" t="s">
        <v>24175</v>
      </c>
      <c r="G4010" s="190"/>
      <c r="H4010" s="219"/>
      <c r="I4010" s="169">
        <v>116316</v>
      </c>
      <c r="J4010" s="304" t="str">
        <f>CONCATENATE([2]Cover!$D$6,"fdd/view?i=",I4010)</f>
        <v>https://www.dgiwg.org/FAD/fdd/view?i=116316</v>
      </c>
      <c r="K4010" s="304" t="s">
        <v>38059</v>
      </c>
      <c r="L4010" s="188">
        <v>47</v>
      </c>
      <c r="M4010" s="179" t="s">
        <v>151</v>
      </c>
    </row>
    <row r="4011" spans="1:13">
      <c r="A4011" s="313" t="str">
        <f t="shared" si="62"/>
        <v>JetAircraftStartUnitTypeCode_ce7</v>
      </c>
      <c r="B4011" s="330"/>
      <c r="C4011" s="334"/>
      <c r="D4011" s="188" t="s">
        <v>24176</v>
      </c>
      <c r="E4011" s="189" t="s">
        <v>24177</v>
      </c>
      <c r="F4011" s="162" t="s">
        <v>24178</v>
      </c>
      <c r="G4011" s="190"/>
      <c r="H4011" s="219"/>
      <c r="I4011" s="169">
        <v>116317</v>
      </c>
      <c r="J4011" s="304" t="str">
        <f>CONCATENATE([2]Cover!$D$6,"fdd/view?i=",I4011)</f>
        <v>https://www.dgiwg.org/FAD/fdd/view?i=116317</v>
      </c>
      <c r="K4011" s="304" t="s">
        <v>38060</v>
      </c>
      <c r="L4011" s="188">
        <v>48</v>
      </c>
      <c r="M4011" s="179" t="s">
        <v>151</v>
      </c>
    </row>
    <row r="4012" spans="1:13">
      <c r="A4012" s="313" t="str">
        <f t="shared" si="62"/>
        <v>JetAircraftStartUnitTypeCode_ce8</v>
      </c>
      <c r="B4012" s="330"/>
      <c r="C4012" s="334"/>
      <c r="D4012" s="188" t="s">
        <v>24179</v>
      </c>
      <c r="E4012" s="189" t="s">
        <v>24180</v>
      </c>
      <c r="F4012" s="162" t="s">
        <v>24181</v>
      </c>
      <c r="G4012" s="190"/>
      <c r="H4012" s="219"/>
      <c r="I4012" s="169">
        <v>116318</v>
      </c>
      <c r="J4012" s="304" t="str">
        <f>CONCATENATE([2]Cover!$D$6,"fdd/view?i=",I4012)</f>
        <v>https://www.dgiwg.org/FAD/fdd/view?i=116318</v>
      </c>
      <c r="K4012" s="304" t="s">
        <v>38061</v>
      </c>
      <c r="L4012" s="188">
        <v>49</v>
      </c>
      <c r="M4012" s="179" t="s">
        <v>151</v>
      </c>
    </row>
    <row r="4013" spans="1:13">
      <c r="A4013" s="313" t="str">
        <f t="shared" si="62"/>
        <v>JetAircraftStartUnitTypeCode_ce9</v>
      </c>
      <c r="B4013" s="330"/>
      <c r="C4013" s="334"/>
      <c r="D4013" s="188" t="s">
        <v>24182</v>
      </c>
      <c r="E4013" s="189" t="s">
        <v>24183</v>
      </c>
      <c r="F4013" s="162" t="s">
        <v>24184</v>
      </c>
      <c r="G4013" s="190"/>
      <c r="H4013" s="219"/>
      <c r="I4013" s="169">
        <v>116319</v>
      </c>
      <c r="J4013" s="304" t="str">
        <f>CONCATENATE([2]Cover!$D$6,"fdd/view?i=",I4013)</f>
        <v>https://www.dgiwg.org/FAD/fdd/view?i=116319</v>
      </c>
      <c r="K4013" s="304" t="s">
        <v>38062</v>
      </c>
      <c r="L4013" s="188">
        <v>50</v>
      </c>
      <c r="M4013" s="179" t="s">
        <v>151</v>
      </c>
    </row>
    <row r="4014" spans="1:13" ht="25.5">
      <c r="A4014" s="313" t="str">
        <f t="shared" si="62"/>
        <v>JetAircraftStartUnitTypeCode_cea1</v>
      </c>
      <c r="B4014" s="330"/>
      <c r="C4014" s="334"/>
      <c r="D4014" s="188" t="s">
        <v>24185</v>
      </c>
      <c r="E4014" s="189" t="s">
        <v>24186</v>
      </c>
      <c r="F4014" s="162" t="s">
        <v>24187</v>
      </c>
      <c r="G4014" s="190"/>
      <c r="H4014" s="219"/>
      <c r="I4014" s="169">
        <v>116330</v>
      </c>
      <c r="J4014" s="304" t="str">
        <f>CONCATENATE([2]Cover!$D$6,"fdd/view?i=",I4014)</f>
        <v>https://www.dgiwg.org/FAD/fdd/view?i=116330</v>
      </c>
      <c r="K4014" s="304" t="s">
        <v>38063</v>
      </c>
      <c r="L4014" s="188">
        <v>61</v>
      </c>
      <c r="M4014" s="179" t="s">
        <v>151</v>
      </c>
    </row>
    <row r="4015" spans="1:13">
      <c r="A4015" s="313" t="str">
        <f t="shared" si="62"/>
        <v>JetAircraftStartUnitTypeCode_cea2</v>
      </c>
      <c r="B4015" s="330"/>
      <c r="C4015" s="334"/>
      <c r="D4015" s="188" t="s">
        <v>24188</v>
      </c>
      <c r="E4015" s="189" t="s">
        <v>24189</v>
      </c>
      <c r="F4015" s="162" t="s">
        <v>24190</v>
      </c>
      <c r="G4015" s="190"/>
      <c r="H4015" s="219"/>
      <c r="I4015" s="169">
        <v>116331</v>
      </c>
      <c r="J4015" s="304" t="str">
        <f>CONCATENATE([2]Cover!$D$6,"fdd/view?i=",I4015)</f>
        <v>https://www.dgiwg.org/FAD/fdd/view?i=116331</v>
      </c>
      <c r="K4015" s="304" t="s">
        <v>38064</v>
      </c>
      <c r="L4015" s="188">
        <v>62</v>
      </c>
      <c r="M4015" s="179" t="s">
        <v>151</v>
      </c>
    </row>
    <row r="4016" spans="1:13" ht="25.5">
      <c r="A4016" s="313" t="str">
        <f t="shared" si="62"/>
        <v>JetAircraftStartUnitTypeCode_cm_Cartridge</v>
      </c>
      <c r="B4016" s="330"/>
      <c r="C4016" s="334"/>
      <c r="D4016" s="188" t="s">
        <v>24191</v>
      </c>
      <c r="E4016" s="189" t="s">
        <v>24192</v>
      </c>
      <c r="F4016" s="162" t="s">
        <v>24193</v>
      </c>
      <c r="G4016" s="190"/>
      <c r="H4016" s="219"/>
      <c r="I4016" s="169">
        <v>116430</v>
      </c>
      <c r="J4016" s="304" t="str">
        <f>CONCATENATE([2]Cover!$D$6,"fdd/view?i=",I4016)</f>
        <v>https://www.dgiwg.org/FAD/fdd/view?i=116430</v>
      </c>
      <c r="K4016" s="304" t="s">
        <v>38065</v>
      </c>
      <c r="L4016" s="188">
        <v>161</v>
      </c>
      <c r="M4016" s="179" t="s">
        <v>151</v>
      </c>
    </row>
    <row r="4017" spans="1:13" ht="25.5">
      <c r="A4017" s="313" t="str">
        <f t="shared" si="62"/>
        <v>JetAircraftStartUnitTypeCode_dsa_150</v>
      </c>
      <c r="B4017" s="330"/>
      <c r="C4017" s="334"/>
      <c r="D4017" s="188" t="s">
        <v>24194</v>
      </c>
      <c r="E4017" s="189" t="s">
        <v>24195</v>
      </c>
      <c r="F4017" s="162" t="s">
        <v>24196</v>
      </c>
      <c r="G4017" s="190"/>
      <c r="H4017" s="219"/>
      <c r="I4017" s="169">
        <v>116348</v>
      </c>
      <c r="J4017" s="304" t="str">
        <f>CONCATENATE([2]Cover!$D$6,"fdd/view?i=",I4017)</f>
        <v>https://www.dgiwg.org/FAD/fdd/view?i=116348</v>
      </c>
      <c r="K4017" s="304" t="s">
        <v>38066</v>
      </c>
      <c r="L4017" s="188">
        <v>79</v>
      </c>
      <c r="M4017" s="179" t="s">
        <v>151</v>
      </c>
    </row>
    <row r="4018" spans="1:13" ht="25.5">
      <c r="A4018" s="313" t="str">
        <f t="shared" si="62"/>
        <v>JetAircraftStartUnitTypeCode_dsa_300</v>
      </c>
      <c r="B4018" s="330"/>
      <c r="C4018" s="334"/>
      <c r="D4018" s="188" t="s">
        <v>24197</v>
      </c>
      <c r="E4018" s="189" t="s">
        <v>24198</v>
      </c>
      <c r="F4018" s="162" t="s">
        <v>24199</v>
      </c>
      <c r="G4018" s="190"/>
      <c r="H4018" s="219"/>
      <c r="I4018" s="169">
        <v>116349</v>
      </c>
      <c r="J4018" s="304" t="str">
        <f>CONCATENATE([2]Cover!$D$6,"fdd/view?i=",I4018)</f>
        <v>https://www.dgiwg.org/FAD/fdd/view?i=116349</v>
      </c>
      <c r="K4018" s="304" t="s">
        <v>38067</v>
      </c>
      <c r="L4018" s="188">
        <v>80</v>
      </c>
      <c r="M4018" s="179" t="s">
        <v>151</v>
      </c>
    </row>
    <row r="4019" spans="1:13" ht="25.5">
      <c r="A4019" s="313" t="str">
        <f t="shared" si="62"/>
        <v>JetAircraftStartUnitTypeCode_dsa_560</v>
      </c>
      <c r="B4019" s="330"/>
      <c r="C4019" s="334"/>
      <c r="D4019" s="188" t="s">
        <v>24200</v>
      </c>
      <c r="E4019" s="189" t="s">
        <v>24201</v>
      </c>
      <c r="F4019" s="162" t="s">
        <v>24202</v>
      </c>
      <c r="G4019" s="190"/>
      <c r="H4019" s="219"/>
      <c r="I4019" s="169">
        <v>116350</v>
      </c>
      <c r="J4019" s="304" t="str">
        <f>CONCATENATE([2]Cover!$D$6,"fdd/view?i=",I4019)</f>
        <v>https://www.dgiwg.org/FAD/fdd/view?i=116350</v>
      </c>
      <c r="K4019" s="304" t="s">
        <v>38068</v>
      </c>
      <c r="L4019" s="188">
        <v>81</v>
      </c>
      <c r="M4019" s="179" t="s">
        <v>151</v>
      </c>
    </row>
    <row r="4020" spans="1:13">
      <c r="A4020" s="313" t="str">
        <f t="shared" si="62"/>
        <v>JetAircraftStartUnitTypeCode_e1</v>
      </c>
      <c r="B4020" s="330"/>
      <c r="C4020" s="334"/>
      <c r="D4020" s="188" t="s">
        <v>24203</v>
      </c>
      <c r="E4020" s="189" t="s">
        <v>24204</v>
      </c>
      <c r="F4020" s="162" t="s">
        <v>24205</v>
      </c>
      <c r="G4020" s="190"/>
      <c r="H4020" s="219"/>
      <c r="I4020" s="169">
        <v>116352</v>
      </c>
      <c r="J4020" s="304" t="str">
        <f>CONCATENATE([2]Cover!$D$6,"fdd/view?i=",I4020)</f>
        <v>https://www.dgiwg.org/FAD/fdd/view?i=116352</v>
      </c>
      <c r="K4020" s="304" t="s">
        <v>38069</v>
      </c>
      <c r="L4020" s="188">
        <v>83</v>
      </c>
      <c r="M4020" s="179" t="s">
        <v>151</v>
      </c>
    </row>
    <row r="4021" spans="1:13" ht="25.5">
      <c r="A4021" s="313" t="str">
        <f t="shared" si="62"/>
        <v>JetAircraftStartUnitTypeCode_e1_PacAustNewZea</v>
      </c>
      <c r="B4021" s="330"/>
      <c r="C4021" s="334"/>
      <c r="D4021" s="188" t="s">
        <v>24206</v>
      </c>
      <c r="E4021" s="189" t="s">
        <v>24207</v>
      </c>
      <c r="F4021" s="162" t="s">
        <v>24208</v>
      </c>
      <c r="G4021" s="190"/>
      <c r="H4021" s="219"/>
      <c r="I4021" s="169">
        <v>116366</v>
      </c>
      <c r="J4021" s="304" t="str">
        <f>CONCATENATE([2]Cover!$D$6,"fdd/view?i=",I4021)</f>
        <v>https://www.dgiwg.org/FAD/fdd/view?i=116366</v>
      </c>
      <c r="K4021" s="304" t="s">
        <v>38070</v>
      </c>
      <c r="L4021" s="188">
        <v>97</v>
      </c>
      <c r="M4021" s="179" t="s">
        <v>151</v>
      </c>
    </row>
    <row r="4022" spans="1:13">
      <c r="A4022" s="313" t="str">
        <f t="shared" si="62"/>
        <v>JetAircraftStartUnitTypeCode_e10</v>
      </c>
      <c r="B4022" s="330"/>
      <c r="C4022" s="334"/>
      <c r="D4022" s="188" t="s">
        <v>24209</v>
      </c>
      <c r="E4022" s="189" t="s">
        <v>6849</v>
      </c>
      <c r="F4022" s="162" t="s">
        <v>24210</v>
      </c>
      <c r="G4022" s="190"/>
      <c r="H4022" s="219"/>
      <c r="I4022" s="169">
        <v>116361</v>
      </c>
      <c r="J4022" s="304" t="str">
        <f>CONCATENATE([2]Cover!$D$6,"fdd/view?i=",I4022)</f>
        <v>https://www.dgiwg.org/FAD/fdd/view?i=116361</v>
      </c>
      <c r="K4022" s="304" t="s">
        <v>38071</v>
      </c>
      <c r="L4022" s="188">
        <v>92</v>
      </c>
      <c r="M4022" s="179" t="s">
        <v>151</v>
      </c>
    </row>
    <row r="4023" spans="1:13" ht="25.5">
      <c r="A4023" s="313" t="str">
        <f t="shared" si="62"/>
        <v>JetAircraftStartUnitTypeCode_e10_PacAustNewZea</v>
      </c>
      <c r="B4023" s="330"/>
      <c r="C4023" s="334"/>
      <c r="D4023" s="188" t="s">
        <v>24211</v>
      </c>
      <c r="E4023" s="189" t="s">
        <v>24212</v>
      </c>
      <c r="F4023" s="162" t="s">
        <v>24213</v>
      </c>
      <c r="G4023" s="190"/>
      <c r="H4023" s="219"/>
      <c r="I4023" s="169">
        <v>116375</v>
      </c>
      <c r="J4023" s="304" t="str">
        <f>CONCATENATE([2]Cover!$D$6,"fdd/view?i=",I4023)</f>
        <v>https://www.dgiwg.org/FAD/fdd/view?i=116375</v>
      </c>
      <c r="K4023" s="304" t="s">
        <v>38072</v>
      </c>
      <c r="L4023" s="188">
        <v>106</v>
      </c>
      <c r="M4023" s="179" t="s">
        <v>151</v>
      </c>
    </row>
    <row r="4024" spans="1:13">
      <c r="A4024" s="313" t="str">
        <f t="shared" si="62"/>
        <v>JetAircraftStartUnitTypeCode_e11</v>
      </c>
      <c r="B4024" s="330"/>
      <c r="C4024" s="334"/>
      <c r="D4024" s="188" t="s">
        <v>24214</v>
      </c>
      <c r="E4024" s="189" t="s">
        <v>6845</v>
      </c>
      <c r="F4024" s="162" t="s">
        <v>24215</v>
      </c>
      <c r="G4024" s="190"/>
      <c r="H4024" s="219"/>
      <c r="I4024" s="169">
        <v>116362</v>
      </c>
      <c r="J4024" s="304" t="str">
        <f>CONCATENATE([2]Cover!$D$6,"fdd/view?i=",I4024)</f>
        <v>https://www.dgiwg.org/FAD/fdd/view?i=116362</v>
      </c>
      <c r="K4024" s="304" t="s">
        <v>38073</v>
      </c>
      <c r="L4024" s="188">
        <v>93</v>
      </c>
      <c r="M4024" s="179" t="s">
        <v>151</v>
      </c>
    </row>
    <row r="4025" spans="1:13" ht="25.5">
      <c r="A4025" s="313" t="str">
        <f t="shared" si="62"/>
        <v>JetAircraftStartUnitTypeCode_e11_PacAustNewZea</v>
      </c>
      <c r="B4025" s="330"/>
      <c r="C4025" s="334"/>
      <c r="D4025" s="188" t="s">
        <v>24216</v>
      </c>
      <c r="E4025" s="189" t="s">
        <v>24217</v>
      </c>
      <c r="F4025" s="162" t="s">
        <v>24218</v>
      </c>
      <c r="G4025" s="190"/>
      <c r="H4025" s="219"/>
      <c r="I4025" s="169">
        <v>116376</v>
      </c>
      <c r="J4025" s="304" t="str">
        <f>CONCATENATE([2]Cover!$D$6,"fdd/view?i=",I4025)</f>
        <v>https://www.dgiwg.org/FAD/fdd/view?i=116376</v>
      </c>
      <c r="K4025" s="304" t="s">
        <v>38074</v>
      </c>
      <c r="L4025" s="188">
        <v>107</v>
      </c>
      <c r="M4025" s="179" t="s">
        <v>151</v>
      </c>
    </row>
    <row r="4026" spans="1:13">
      <c r="A4026" s="313" t="str">
        <f t="shared" si="62"/>
        <v>JetAircraftStartUnitTypeCode_e12</v>
      </c>
      <c r="B4026" s="330"/>
      <c r="C4026" s="334"/>
      <c r="D4026" s="188" t="s">
        <v>24219</v>
      </c>
      <c r="E4026" s="189" t="s">
        <v>9132</v>
      </c>
      <c r="F4026" s="162" t="s">
        <v>24220</v>
      </c>
      <c r="G4026" s="190"/>
      <c r="H4026" s="219"/>
      <c r="I4026" s="169">
        <v>116363</v>
      </c>
      <c r="J4026" s="304" t="str">
        <f>CONCATENATE([2]Cover!$D$6,"fdd/view?i=",I4026)</f>
        <v>https://www.dgiwg.org/FAD/fdd/view?i=116363</v>
      </c>
      <c r="K4026" s="304" t="s">
        <v>38075</v>
      </c>
      <c r="L4026" s="188">
        <v>94</v>
      </c>
      <c r="M4026" s="179" t="s">
        <v>151</v>
      </c>
    </row>
    <row r="4027" spans="1:13" ht="25.5">
      <c r="A4027" s="313" t="str">
        <f t="shared" si="62"/>
        <v>JetAircraftStartUnitTypeCode_e12_PacAustNewZea</v>
      </c>
      <c r="B4027" s="330"/>
      <c r="C4027" s="334"/>
      <c r="D4027" s="188" t="s">
        <v>24221</v>
      </c>
      <c r="E4027" s="189" t="s">
        <v>24222</v>
      </c>
      <c r="F4027" s="162" t="s">
        <v>24223</v>
      </c>
      <c r="G4027" s="190"/>
      <c r="H4027" s="219"/>
      <c r="I4027" s="169">
        <v>116377</v>
      </c>
      <c r="J4027" s="304" t="str">
        <f>CONCATENATE([2]Cover!$D$6,"fdd/view?i=",I4027)</f>
        <v>https://www.dgiwg.org/FAD/fdd/view?i=116377</v>
      </c>
      <c r="K4027" s="304" t="s">
        <v>38076</v>
      </c>
      <c r="L4027" s="188">
        <v>108</v>
      </c>
      <c r="M4027" s="179" t="s">
        <v>151</v>
      </c>
    </row>
    <row r="4028" spans="1:13">
      <c r="A4028" s="313" t="str">
        <f t="shared" si="62"/>
        <v>JetAircraftStartUnitTypeCode_e13</v>
      </c>
      <c r="B4028" s="330"/>
      <c r="C4028" s="334"/>
      <c r="D4028" s="188" t="s">
        <v>24224</v>
      </c>
      <c r="E4028" s="189" t="s">
        <v>24225</v>
      </c>
      <c r="F4028" s="162" t="s">
        <v>24226</v>
      </c>
      <c r="G4028" s="190"/>
      <c r="H4028" s="219"/>
      <c r="I4028" s="169">
        <v>116364</v>
      </c>
      <c r="J4028" s="304" t="str">
        <f>CONCATENATE([2]Cover!$D$6,"fdd/view?i=",I4028)</f>
        <v>https://www.dgiwg.org/FAD/fdd/view?i=116364</v>
      </c>
      <c r="K4028" s="304" t="s">
        <v>38077</v>
      </c>
      <c r="L4028" s="188">
        <v>95</v>
      </c>
      <c r="M4028" s="179" t="s">
        <v>151</v>
      </c>
    </row>
    <row r="4029" spans="1:13" ht="25.5">
      <c r="A4029" s="313" t="str">
        <f t="shared" si="62"/>
        <v>JetAircraftStartUnitTypeCode_e13_PacAustNewZea</v>
      </c>
      <c r="B4029" s="330"/>
      <c r="C4029" s="334"/>
      <c r="D4029" s="188" t="s">
        <v>24227</v>
      </c>
      <c r="E4029" s="189" t="s">
        <v>24228</v>
      </c>
      <c r="F4029" s="162" t="s">
        <v>24229</v>
      </c>
      <c r="G4029" s="190"/>
      <c r="H4029" s="219"/>
      <c r="I4029" s="169">
        <v>116378</v>
      </c>
      <c r="J4029" s="304" t="str">
        <f>CONCATENATE([2]Cover!$D$6,"fdd/view?i=",I4029)</f>
        <v>https://www.dgiwg.org/FAD/fdd/view?i=116378</v>
      </c>
      <c r="K4029" s="304" t="s">
        <v>38078</v>
      </c>
      <c r="L4029" s="188">
        <v>109</v>
      </c>
      <c r="M4029" s="179" t="s">
        <v>151</v>
      </c>
    </row>
    <row r="4030" spans="1:13">
      <c r="A4030" s="313" t="str">
        <f t="shared" si="62"/>
        <v>JetAircraftStartUnitTypeCode_e14</v>
      </c>
      <c r="B4030" s="330"/>
      <c r="C4030" s="334"/>
      <c r="D4030" s="188" t="s">
        <v>24230</v>
      </c>
      <c r="E4030" s="189" t="s">
        <v>24231</v>
      </c>
      <c r="F4030" s="162" t="s">
        <v>24232</v>
      </c>
      <c r="G4030" s="190"/>
      <c r="H4030" s="219"/>
      <c r="I4030" s="169">
        <v>116365</v>
      </c>
      <c r="J4030" s="304" t="str">
        <f>CONCATENATE([2]Cover!$D$6,"fdd/view?i=",I4030)</f>
        <v>https://www.dgiwg.org/FAD/fdd/view?i=116365</v>
      </c>
      <c r="K4030" s="304" t="s">
        <v>38079</v>
      </c>
      <c r="L4030" s="188">
        <v>96</v>
      </c>
      <c r="M4030" s="179" t="s">
        <v>151</v>
      </c>
    </row>
    <row r="4031" spans="1:13" ht="25.5">
      <c r="A4031" s="313" t="str">
        <f t="shared" si="62"/>
        <v>JetAircraftStartUnitTypeCode_e14_PacAustNewZea</v>
      </c>
      <c r="B4031" s="330"/>
      <c r="C4031" s="334"/>
      <c r="D4031" s="188" t="s">
        <v>24233</v>
      </c>
      <c r="E4031" s="189" t="s">
        <v>24234</v>
      </c>
      <c r="F4031" s="162" t="s">
        <v>24235</v>
      </c>
      <c r="G4031" s="190"/>
      <c r="H4031" s="219"/>
      <c r="I4031" s="169">
        <v>116379</v>
      </c>
      <c r="J4031" s="304" t="str">
        <f>CONCATENATE([2]Cover!$D$6,"fdd/view?i=",I4031)</f>
        <v>https://www.dgiwg.org/FAD/fdd/view?i=116379</v>
      </c>
      <c r="K4031" s="304" t="s">
        <v>38080</v>
      </c>
      <c r="L4031" s="188">
        <v>110</v>
      </c>
      <c r="M4031" s="179" t="s">
        <v>151</v>
      </c>
    </row>
    <row r="4032" spans="1:13" ht="25.5">
      <c r="A4032" s="313" t="str">
        <f t="shared" si="62"/>
        <v>JetAircraftStartUnitTypeCode_e15_PacAustNewZea</v>
      </c>
      <c r="B4032" s="330"/>
      <c r="C4032" s="334"/>
      <c r="D4032" s="188" t="s">
        <v>24236</v>
      </c>
      <c r="E4032" s="189" t="s">
        <v>24237</v>
      </c>
      <c r="F4032" s="162" t="s">
        <v>24238</v>
      </c>
      <c r="G4032" s="190"/>
      <c r="H4032" s="219"/>
      <c r="I4032" s="169">
        <v>116380</v>
      </c>
      <c r="J4032" s="304" t="str">
        <f>CONCATENATE([2]Cover!$D$6,"fdd/view?i=",I4032)</f>
        <v>https://www.dgiwg.org/FAD/fdd/view?i=116380</v>
      </c>
      <c r="K4032" s="304" t="s">
        <v>38081</v>
      </c>
      <c r="L4032" s="188">
        <v>111</v>
      </c>
      <c r="M4032" s="179" t="s">
        <v>151</v>
      </c>
    </row>
    <row r="4033" spans="1:13" ht="25.5">
      <c r="A4033" s="313" t="str">
        <f t="shared" si="62"/>
        <v>JetAircraftStartUnitTypeCode_e16_PacAustNewZea</v>
      </c>
      <c r="B4033" s="330"/>
      <c r="C4033" s="334"/>
      <c r="D4033" s="188" t="s">
        <v>24239</v>
      </c>
      <c r="E4033" s="189" t="s">
        <v>24240</v>
      </c>
      <c r="F4033" s="162" t="s">
        <v>24241</v>
      </c>
      <c r="G4033" s="190"/>
      <c r="H4033" s="219"/>
      <c r="I4033" s="169">
        <v>116381</v>
      </c>
      <c r="J4033" s="304" t="str">
        <f>CONCATENATE([2]Cover!$D$6,"fdd/view?i=",I4033)</f>
        <v>https://www.dgiwg.org/FAD/fdd/view?i=116381</v>
      </c>
      <c r="K4033" s="304" t="s">
        <v>38082</v>
      </c>
      <c r="L4033" s="188">
        <v>112</v>
      </c>
      <c r="M4033" s="179" t="s">
        <v>151</v>
      </c>
    </row>
    <row r="4034" spans="1:13">
      <c r="A4034" s="313" t="str">
        <f t="shared" si="62"/>
        <v>JetAircraftStartUnitTypeCode_e2</v>
      </c>
      <c r="B4034" s="330"/>
      <c r="C4034" s="334"/>
      <c r="D4034" s="188" t="s">
        <v>24242</v>
      </c>
      <c r="E4034" s="189" t="s">
        <v>24243</v>
      </c>
      <c r="F4034" s="162" t="s">
        <v>24244</v>
      </c>
      <c r="G4034" s="190"/>
      <c r="H4034" s="219"/>
      <c r="I4034" s="169">
        <v>116353</v>
      </c>
      <c r="J4034" s="304" t="str">
        <f>CONCATENATE([2]Cover!$D$6,"fdd/view?i=",I4034)</f>
        <v>https://www.dgiwg.org/FAD/fdd/view?i=116353</v>
      </c>
      <c r="K4034" s="304" t="s">
        <v>38083</v>
      </c>
      <c r="L4034" s="188">
        <v>84</v>
      </c>
      <c r="M4034" s="179" t="s">
        <v>151</v>
      </c>
    </row>
    <row r="4035" spans="1:13" ht="25.5">
      <c r="A4035" s="313" t="str">
        <f t="shared" ref="A4035:A4098" si="63">HYPERLINK(J4035,K4035)</f>
        <v>JetAircraftStartUnitTypeCode_e2_PacAustNewZea</v>
      </c>
      <c r="B4035" s="330"/>
      <c r="C4035" s="334"/>
      <c r="D4035" s="188" t="s">
        <v>24245</v>
      </c>
      <c r="E4035" s="189" t="s">
        <v>24246</v>
      </c>
      <c r="F4035" s="162" t="s">
        <v>24247</v>
      </c>
      <c r="G4035" s="190"/>
      <c r="H4035" s="219"/>
      <c r="I4035" s="169">
        <v>116367</v>
      </c>
      <c r="J4035" s="304" t="str">
        <f>CONCATENATE([2]Cover!$D$6,"fdd/view?i=",I4035)</f>
        <v>https://www.dgiwg.org/FAD/fdd/view?i=116367</v>
      </c>
      <c r="K4035" s="304" t="s">
        <v>38084</v>
      </c>
      <c r="L4035" s="188">
        <v>98</v>
      </c>
      <c r="M4035" s="179" t="s">
        <v>151</v>
      </c>
    </row>
    <row r="4036" spans="1:13">
      <c r="A4036" s="313" t="str">
        <f t="shared" si="63"/>
        <v>JetAircraftStartUnitTypeCode_e3</v>
      </c>
      <c r="B4036" s="330"/>
      <c r="C4036" s="334"/>
      <c r="D4036" s="188" t="s">
        <v>24248</v>
      </c>
      <c r="E4036" s="189" t="s">
        <v>24249</v>
      </c>
      <c r="F4036" s="162" t="s">
        <v>24250</v>
      </c>
      <c r="G4036" s="190"/>
      <c r="H4036" s="219"/>
      <c r="I4036" s="169">
        <v>116354</v>
      </c>
      <c r="J4036" s="304" t="str">
        <f>CONCATENATE([2]Cover!$D$6,"fdd/view?i=",I4036)</f>
        <v>https://www.dgiwg.org/FAD/fdd/view?i=116354</v>
      </c>
      <c r="K4036" s="304" t="s">
        <v>38085</v>
      </c>
      <c r="L4036" s="188">
        <v>85</v>
      </c>
      <c r="M4036" s="179" t="s">
        <v>151</v>
      </c>
    </row>
    <row r="4037" spans="1:13" ht="25.5">
      <c r="A4037" s="313" t="str">
        <f t="shared" si="63"/>
        <v>JetAircraftStartUnitTypeCode_e3_PacAustNewZea</v>
      </c>
      <c r="B4037" s="330"/>
      <c r="C4037" s="334"/>
      <c r="D4037" s="188" t="s">
        <v>24251</v>
      </c>
      <c r="E4037" s="189" t="s">
        <v>24252</v>
      </c>
      <c r="F4037" s="162" t="s">
        <v>24253</v>
      </c>
      <c r="G4037" s="190"/>
      <c r="H4037" s="219"/>
      <c r="I4037" s="169">
        <v>116368</v>
      </c>
      <c r="J4037" s="304" t="str">
        <f>CONCATENATE([2]Cover!$D$6,"fdd/view?i=",I4037)</f>
        <v>https://www.dgiwg.org/FAD/fdd/view?i=116368</v>
      </c>
      <c r="K4037" s="304" t="s">
        <v>38086</v>
      </c>
      <c r="L4037" s="188">
        <v>99</v>
      </c>
      <c r="M4037" s="179" t="s">
        <v>151</v>
      </c>
    </row>
    <row r="4038" spans="1:13">
      <c r="A4038" s="313" t="str">
        <f t="shared" si="63"/>
        <v>JetAircraftStartUnitTypeCode_e4</v>
      </c>
      <c r="B4038" s="330"/>
      <c r="C4038" s="334"/>
      <c r="D4038" s="188" t="s">
        <v>24254</v>
      </c>
      <c r="E4038" s="189" t="s">
        <v>24255</v>
      </c>
      <c r="F4038" s="162" t="s">
        <v>24256</v>
      </c>
      <c r="G4038" s="190"/>
      <c r="H4038" s="219"/>
      <c r="I4038" s="169">
        <v>116355</v>
      </c>
      <c r="J4038" s="304" t="str">
        <f>CONCATENATE([2]Cover!$D$6,"fdd/view?i=",I4038)</f>
        <v>https://www.dgiwg.org/FAD/fdd/view?i=116355</v>
      </c>
      <c r="K4038" s="304" t="s">
        <v>38087</v>
      </c>
      <c r="L4038" s="188">
        <v>86</v>
      </c>
      <c r="M4038" s="179" t="s">
        <v>151</v>
      </c>
    </row>
    <row r="4039" spans="1:13" ht="25.5">
      <c r="A4039" s="313" t="str">
        <f t="shared" si="63"/>
        <v>JetAircraftStartUnitTypeCode_e4_PacAustNewZea</v>
      </c>
      <c r="B4039" s="330"/>
      <c r="C4039" s="334"/>
      <c r="D4039" s="188" t="s">
        <v>24257</v>
      </c>
      <c r="E4039" s="189" t="s">
        <v>24258</v>
      </c>
      <c r="F4039" s="162" t="s">
        <v>24259</v>
      </c>
      <c r="G4039" s="190"/>
      <c r="H4039" s="219"/>
      <c r="I4039" s="169">
        <v>116369</v>
      </c>
      <c r="J4039" s="304" t="str">
        <f>CONCATENATE([2]Cover!$D$6,"fdd/view?i=",I4039)</f>
        <v>https://www.dgiwg.org/FAD/fdd/view?i=116369</v>
      </c>
      <c r="K4039" s="304" t="s">
        <v>38088</v>
      </c>
      <c r="L4039" s="188">
        <v>100</v>
      </c>
      <c r="M4039" s="179" t="s">
        <v>151</v>
      </c>
    </row>
    <row r="4040" spans="1:13">
      <c r="A4040" s="313" t="str">
        <f t="shared" si="63"/>
        <v>JetAircraftStartUnitTypeCode_e5</v>
      </c>
      <c r="B4040" s="330"/>
      <c r="C4040" s="334"/>
      <c r="D4040" s="188" t="s">
        <v>24260</v>
      </c>
      <c r="E4040" s="189" t="s">
        <v>24261</v>
      </c>
      <c r="F4040" s="162" t="s">
        <v>24262</v>
      </c>
      <c r="G4040" s="190"/>
      <c r="H4040" s="219"/>
      <c r="I4040" s="169">
        <v>116356</v>
      </c>
      <c r="J4040" s="304" t="str">
        <f>CONCATENATE([2]Cover!$D$6,"fdd/view?i=",I4040)</f>
        <v>https://www.dgiwg.org/FAD/fdd/view?i=116356</v>
      </c>
      <c r="K4040" s="304" t="s">
        <v>38089</v>
      </c>
      <c r="L4040" s="188">
        <v>87</v>
      </c>
      <c r="M4040" s="179" t="s">
        <v>151</v>
      </c>
    </row>
    <row r="4041" spans="1:13" ht="25.5">
      <c r="A4041" s="313" t="str">
        <f t="shared" si="63"/>
        <v>JetAircraftStartUnitTypeCode_e5_PacAustNewZea</v>
      </c>
      <c r="B4041" s="330"/>
      <c r="C4041" s="334"/>
      <c r="D4041" s="188" t="s">
        <v>24263</v>
      </c>
      <c r="E4041" s="189" t="s">
        <v>24264</v>
      </c>
      <c r="F4041" s="162" t="s">
        <v>24265</v>
      </c>
      <c r="G4041" s="190"/>
      <c r="H4041" s="219"/>
      <c r="I4041" s="169">
        <v>116370</v>
      </c>
      <c r="J4041" s="304" t="str">
        <f>CONCATENATE([2]Cover!$D$6,"fdd/view?i=",I4041)</f>
        <v>https://www.dgiwg.org/FAD/fdd/view?i=116370</v>
      </c>
      <c r="K4041" s="304" t="s">
        <v>38090</v>
      </c>
      <c r="L4041" s="188">
        <v>101</v>
      </c>
      <c r="M4041" s="179" t="s">
        <v>151</v>
      </c>
    </row>
    <row r="4042" spans="1:13">
      <c r="A4042" s="313" t="str">
        <f t="shared" si="63"/>
        <v>JetAircraftStartUnitTypeCode_e6</v>
      </c>
      <c r="B4042" s="330"/>
      <c r="C4042" s="334"/>
      <c r="D4042" s="188" t="s">
        <v>24266</v>
      </c>
      <c r="E4042" s="189" t="s">
        <v>24267</v>
      </c>
      <c r="F4042" s="162" t="s">
        <v>24268</v>
      </c>
      <c r="G4042" s="190"/>
      <c r="H4042" s="219"/>
      <c r="I4042" s="169">
        <v>116357</v>
      </c>
      <c r="J4042" s="304" t="str">
        <f>CONCATENATE([2]Cover!$D$6,"fdd/view?i=",I4042)</f>
        <v>https://www.dgiwg.org/FAD/fdd/view?i=116357</v>
      </c>
      <c r="K4042" s="304" t="s">
        <v>38091</v>
      </c>
      <c r="L4042" s="188">
        <v>88</v>
      </c>
      <c r="M4042" s="179" t="s">
        <v>151</v>
      </c>
    </row>
    <row r="4043" spans="1:13" ht="25.5">
      <c r="A4043" s="313" t="str">
        <f t="shared" si="63"/>
        <v>JetAircraftStartUnitTypeCode_e6_PacAustNewZea</v>
      </c>
      <c r="B4043" s="330"/>
      <c r="C4043" s="334"/>
      <c r="D4043" s="188" t="s">
        <v>24269</v>
      </c>
      <c r="E4043" s="189" t="s">
        <v>24270</v>
      </c>
      <c r="F4043" s="162" t="s">
        <v>24271</v>
      </c>
      <c r="G4043" s="190"/>
      <c r="H4043" s="219"/>
      <c r="I4043" s="169">
        <v>116371</v>
      </c>
      <c r="J4043" s="304" t="str">
        <f>CONCATENATE([2]Cover!$D$6,"fdd/view?i=",I4043)</f>
        <v>https://www.dgiwg.org/FAD/fdd/view?i=116371</v>
      </c>
      <c r="K4043" s="304" t="s">
        <v>38092</v>
      </c>
      <c r="L4043" s="188">
        <v>102</v>
      </c>
      <c r="M4043" s="179" t="s">
        <v>151</v>
      </c>
    </row>
    <row r="4044" spans="1:13">
      <c r="A4044" s="313" t="str">
        <f t="shared" si="63"/>
        <v>JetAircraftStartUnitTypeCode_e7</v>
      </c>
      <c r="B4044" s="330"/>
      <c r="C4044" s="334"/>
      <c r="D4044" s="188" t="s">
        <v>24272</v>
      </c>
      <c r="E4044" s="189" t="s">
        <v>24273</v>
      </c>
      <c r="F4044" s="162" t="s">
        <v>24274</v>
      </c>
      <c r="G4044" s="190"/>
      <c r="H4044" s="219"/>
      <c r="I4044" s="169">
        <v>116358</v>
      </c>
      <c r="J4044" s="304" t="str">
        <f>CONCATENATE([2]Cover!$D$6,"fdd/view?i=",I4044)</f>
        <v>https://www.dgiwg.org/FAD/fdd/view?i=116358</v>
      </c>
      <c r="K4044" s="304" t="s">
        <v>38093</v>
      </c>
      <c r="L4044" s="188">
        <v>89</v>
      </c>
      <c r="M4044" s="179" t="s">
        <v>151</v>
      </c>
    </row>
    <row r="4045" spans="1:13" ht="25.5">
      <c r="A4045" s="313" t="str">
        <f t="shared" si="63"/>
        <v>JetAircraftStartUnitTypeCode_e7_PacAustNewZea</v>
      </c>
      <c r="B4045" s="330"/>
      <c r="C4045" s="334"/>
      <c r="D4045" s="188" t="s">
        <v>24275</v>
      </c>
      <c r="E4045" s="189" t="s">
        <v>24276</v>
      </c>
      <c r="F4045" s="162" t="s">
        <v>24277</v>
      </c>
      <c r="G4045" s="190"/>
      <c r="H4045" s="219"/>
      <c r="I4045" s="169">
        <v>116372</v>
      </c>
      <c r="J4045" s="304" t="str">
        <f>CONCATENATE([2]Cover!$D$6,"fdd/view?i=",I4045)</f>
        <v>https://www.dgiwg.org/FAD/fdd/view?i=116372</v>
      </c>
      <c r="K4045" s="304" t="s">
        <v>38094</v>
      </c>
      <c r="L4045" s="188">
        <v>103</v>
      </c>
      <c r="M4045" s="179" t="s">
        <v>151</v>
      </c>
    </row>
    <row r="4046" spans="1:13">
      <c r="A4046" s="313" t="str">
        <f t="shared" si="63"/>
        <v>JetAircraftStartUnitTypeCode_e8</v>
      </c>
      <c r="B4046" s="330"/>
      <c r="C4046" s="334"/>
      <c r="D4046" s="188" t="s">
        <v>24278</v>
      </c>
      <c r="E4046" s="189" t="s">
        <v>24279</v>
      </c>
      <c r="F4046" s="162" t="s">
        <v>24280</v>
      </c>
      <c r="G4046" s="190"/>
      <c r="H4046" s="219"/>
      <c r="I4046" s="169">
        <v>116359</v>
      </c>
      <c r="J4046" s="304" t="str">
        <f>CONCATENATE([2]Cover!$D$6,"fdd/view?i=",I4046)</f>
        <v>https://www.dgiwg.org/FAD/fdd/view?i=116359</v>
      </c>
      <c r="K4046" s="304" t="s">
        <v>38095</v>
      </c>
      <c r="L4046" s="188">
        <v>90</v>
      </c>
      <c r="M4046" s="179" t="s">
        <v>151</v>
      </c>
    </row>
    <row r="4047" spans="1:13" ht="25.5">
      <c r="A4047" s="313" t="str">
        <f t="shared" si="63"/>
        <v>JetAircraftStartUnitTypeCode_e8_PacAustNewZea</v>
      </c>
      <c r="B4047" s="330"/>
      <c r="C4047" s="334"/>
      <c r="D4047" s="188" t="s">
        <v>24281</v>
      </c>
      <c r="E4047" s="189" t="s">
        <v>24282</v>
      </c>
      <c r="F4047" s="162" t="s">
        <v>24283</v>
      </c>
      <c r="G4047" s="190"/>
      <c r="H4047" s="219"/>
      <c r="I4047" s="169">
        <v>116373</v>
      </c>
      <c r="J4047" s="304" t="str">
        <f>CONCATENATE([2]Cover!$D$6,"fdd/view?i=",I4047)</f>
        <v>https://www.dgiwg.org/FAD/fdd/view?i=116373</v>
      </c>
      <c r="K4047" s="304" t="s">
        <v>38096</v>
      </c>
      <c r="L4047" s="188">
        <v>104</v>
      </c>
      <c r="M4047" s="179" t="s">
        <v>151</v>
      </c>
    </row>
    <row r="4048" spans="1:13">
      <c r="A4048" s="313" t="str">
        <f t="shared" si="63"/>
        <v>JetAircraftStartUnitTypeCode_e9</v>
      </c>
      <c r="B4048" s="330"/>
      <c r="C4048" s="334"/>
      <c r="D4048" s="188" t="s">
        <v>24284</v>
      </c>
      <c r="E4048" s="189" t="s">
        <v>24285</v>
      </c>
      <c r="F4048" s="162" t="s">
        <v>24286</v>
      </c>
      <c r="G4048" s="190"/>
      <c r="H4048" s="219"/>
      <c r="I4048" s="169">
        <v>116360</v>
      </c>
      <c r="J4048" s="304" t="str">
        <f>CONCATENATE([2]Cover!$D$6,"fdd/view?i=",I4048)</f>
        <v>https://www.dgiwg.org/FAD/fdd/view?i=116360</v>
      </c>
      <c r="K4048" s="304" t="s">
        <v>38097</v>
      </c>
      <c r="L4048" s="188">
        <v>91</v>
      </c>
      <c r="M4048" s="179" t="s">
        <v>151</v>
      </c>
    </row>
    <row r="4049" spans="1:13" ht="25.5">
      <c r="A4049" s="313" t="str">
        <f t="shared" si="63"/>
        <v>JetAircraftStartUnitTypeCode_e9_PacAustNewZea</v>
      </c>
      <c r="B4049" s="330"/>
      <c r="C4049" s="334"/>
      <c r="D4049" s="188" t="s">
        <v>24287</v>
      </c>
      <c r="E4049" s="189" t="s">
        <v>24288</v>
      </c>
      <c r="F4049" s="162" t="s">
        <v>24241</v>
      </c>
      <c r="G4049" s="190"/>
      <c r="H4049" s="219"/>
      <c r="I4049" s="169">
        <v>116374</v>
      </c>
      <c r="J4049" s="304" t="str">
        <f>CONCATENATE([2]Cover!$D$6,"fdd/view?i=",I4049)</f>
        <v>https://www.dgiwg.org/FAD/fdd/view?i=116374</v>
      </c>
      <c r="K4049" s="304" t="s">
        <v>38098</v>
      </c>
      <c r="L4049" s="188">
        <v>105</v>
      </c>
      <c r="M4049" s="179" t="s">
        <v>151</v>
      </c>
    </row>
    <row r="4050" spans="1:13" ht="25.5">
      <c r="A4050" s="313" t="str">
        <f t="shared" si="63"/>
        <v>JetAircraftStartUnitTypeCode_ea1_PacAustNewZea</v>
      </c>
      <c r="B4050" s="330"/>
      <c r="C4050" s="334"/>
      <c r="D4050" s="188" t="s">
        <v>24289</v>
      </c>
      <c r="E4050" s="189" t="s">
        <v>24290</v>
      </c>
      <c r="F4050" s="162" t="s">
        <v>24291</v>
      </c>
      <c r="G4050" s="190"/>
      <c r="H4050" s="219"/>
      <c r="I4050" s="169">
        <v>116382</v>
      </c>
      <c r="J4050" s="304" t="str">
        <f>CONCATENATE([2]Cover!$D$6,"fdd/view?i=",I4050)</f>
        <v>https://www.dgiwg.org/FAD/fdd/view?i=116382</v>
      </c>
      <c r="K4050" s="304" t="s">
        <v>38099</v>
      </c>
      <c r="L4050" s="188">
        <v>113</v>
      </c>
      <c r="M4050" s="179" t="s">
        <v>151</v>
      </c>
    </row>
    <row r="4051" spans="1:13" ht="38.25">
      <c r="A4051" s="313" t="str">
        <f t="shared" si="63"/>
        <v>JetAircraftStartUnitTypeCode_ea3_or_EA3A_PacAustNewZea</v>
      </c>
      <c r="B4051" s="330"/>
      <c r="C4051" s="334"/>
      <c r="D4051" s="188" t="s">
        <v>24292</v>
      </c>
      <c r="E4051" s="189" t="s">
        <v>24293</v>
      </c>
      <c r="F4051" s="162" t="s">
        <v>24294</v>
      </c>
      <c r="G4051" s="190"/>
      <c r="H4051" s="219"/>
      <c r="I4051" s="169">
        <v>116383</v>
      </c>
      <c r="J4051" s="304" t="str">
        <f>CONCATENATE([2]Cover!$D$6,"fdd/view?i=",I4051)</f>
        <v>https://www.dgiwg.org/FAD/fdd/view?i=116383</v>
      </c>
      <c r="K4051" s="304" t="s">
        <v>38100</v>
      </c>
      <c r="L4051" s="188">
        <v>114</v>
      </c>
      <c r="M4051" s="179" t="s">
        <v>151</v>
      </c>
    </row>
    <row r="4052" spans="1:13" ht="25.5">
      <c r="A4052" s="313" t="str">
        <f t="shared" si="63"/>
        <v>JetAircraftStartUnitTypeCode_ea7_PacAustNewZea</v>
      </c>
      <c r="B4052" s="330"/>
      <c r="C4052" s="334"/>
      <c r="D4052" s="188" t="s">
        <v>24295</v>
      </c>
      <c r="E4052" s="189" t="s">
        <v>24296</v>
      </c>
      <c r="F4052" s="162" t="s">
        <v>24297</v>
      </c>
      <c r="G4052" s="190"/>
      <c r="H4052" s="219"/>
      <c r="I4052" s="169">
        <v>116384</v>
      </c>
      <c r="J4052" s="304" t="str">
        <f>CONCATENATE([2]Cover!$D$6,"fdd/view?i=",I4052)</f>
        <v>https://www.dgiwg.org/FAD/fdd/view?i=116384</v>
      </c>
      <c r="K4052" s="304" t="s">
        <v>38101</v>
      </c>
      <c r="L4052" s="188">
        <v>115</v>
      </c>
      <c r="M4052" s="179" t="s">
        <v>151</v>
      </c>
    </row>
    <row r="4053" spans="1:13" ht="38.25">
      <c r="A4053" s="313" t="str">
        <f t="shared" si="63"/>
        <v>JetAircraftStartUnitTypeCode_ecu_9M_PacAustNewZea</v>
      </c>
      <c r="B4053" s="330"/>
      <c r="C4053" s="334"/>
      <c r="D4053" s="188" t="s">
        <v>24298</v>
      </c>
      <c r="E4053" s="189" t="s">
        <v>24299</v>
      </c>
      <c r="F4053" s="162" t="s">
        <v>24300</v>
      </c>
      <c r="G4053" s="190"/>
      <c r="H4053" s="219"/>
      <c r="I4053" s="169">
        <v>116385</v>
      </c>
      <c r="J4053" s="304" t="str">
        <f>CONCATENATE([2]Cover!$D$6,"fdd/view?i=",I4053)</f>
        <v>https://www.dgiwg.org/FAD/fdd/view?i=116385</v>
      </c>
      <c r="K4053" s="304" t="s">
        <v>38102</v>
      </c>
      <c r="L4053" s="188">
        <v>116</v>
      </c>
      <c r="M4053" s="179" t="s">
        <v>151</v>
      </c>
    </row>
    <row r="4054" spans="1:13">
      <c r="A4054" s="313" t="str">
        <f t="shared" si="63"/>
        <v>JetAircraftStartUnitTypeCode_ernst</v>
      </c>
      <c r="B4054" s="330"/>
      <c r="C4054" s="334"/>
      <c r="D4054" s="188" t="s">
        <v>24301</v>
      </c>
      <c r="E4054" s="189" t="s">
        <v>24302</v>
      </c>
      <c r="F4054" s="162" t="s">
        <v>24303</v>
      </c>
      <c r="G4054" s="190"/>
      <c r="H4054" s="219"/>
      <c r="I4054" s="169">
        <v>116351</v>
      </c>
      <c r="J4054" s="304" t="str">
        <f>CONCATENATE([2]Cover!$D$6,"fdd/view?i=",I4054)</f>
        <v>https://www.dgiwg.org/FAD/fdd/view?i=116351</v>
      </c>
      <c r="K4054" s="304" t="s">
        <v>38103</v>
      </c>
      <c r="L4054" s="188">
        <v>82</v>
      </c>
      <c r="M4054" s="179" t="s">
        <v>151</v>
      </c>
    </row>
    <row r="4055" spans="1:13" ht="25.5">
      <c r="A4055" s="313" t="str">
        <f t="shared" si="63"/>
        <v>JetAircraftStartUnitTypeCode_essex809</v>
      </c>
      <c r="B4055" s="330"/>
      <c r="C4055" s="334"/>
      <c r="D4055" s="188" t="s">
        <v>24304</v>
      </c>
      <c r="E4055" s="189" t="s">
        <v>24305</v>
      </c>
      <c r="F4055" s="162" t="s">
        <v>24306</v>
      </c>
      <c r="G4055" s="190"/>
      <c r="H4055" s="219"/>
      <c r="I4055" s="169">
        <v>116273</v>
      </c>
      <c r="J4055" s="304" t="str">
        <f>CONCATENATE([2]Cover!$D$6,"fdd/view?i=",I4055)</f>
        <v>https://www.dgiwg.org/FAD/fdd/view?i=116273</v>
      </c>
      <c r="K4055" s="304" t="s">
        <v>38104</v>
      </c>
      <c r="L4055" s="188">
        <v>4</v>
      </c>
      <c r="M4055" s="179" t="s">
        <v>151</v>
      </c>
    </row>
    <row r="4056" spans="1:13" ht="25.5">
      <c r="A4056" s="313" t="str">
        <f t="shared" si="63"/>
        <v>JetAircraftStartUnitTypeCode_f_52372</v>
      </c>
      <c r="B4056" s="330"/>
      <c r="C4056" s="334"/>
      <c r="D4056" s="188" t="s">
        <v>24310</v>
      </c>
      <c r="E4056" s="189" t="s">
        <v>24311</v>
      </c>
      <c r="F4056" s="162" t="s">
        <v>24312</v>
      </c>
      <c r="G4056" s="190"/>
      <c r="H4056" s="219"/>
      <c r="I4056" s="169">
        <v>116409</v>
      </c>
      <c r="J4056" s="304" t="str">
        <f>CONCATENATE([2]Cover!$D$6,"fdd/view?i=",I4056)</f>
        <v>https://www.dgiwg.org/FAD/fdd/view?i=116409</v>
      </c>
      <c r="K4056" s="304" t="s">
        <v>38105</v>
      </c>
      <c r="L4056" s="188">
        <v>140</v>
      </c>
      <c r="M4056" s="179" t="s">
        <v>151</v>
      </c>
    </row>
    <row r="4057" spans="1:13" ht="25.5">
      <c r="A4057" s="313" t="str">
        <f t="shared" si="63"/>
        <v>JetAircraftStartUnitTypeCode_f1_Cartridge</v>
      </c>
      <c r="B4057" s="330"/>
      <c r="C4057" s="334"/>
      <c r="D4057" s="188" t="s">
        <v>24307</v>
      </c>
      <c r="E4057" s="189" t="s">
        <v>24308</v>
      </c>
      <c r="F4057" s="162" t="s">
        <v>24309</v>
      </c>
      <c r="G4057" s="190"/>
      <c r="H4057" s="219"/>
      <c r="I4057" s="169">
        <v>116438</v>
      </c>
      <c r="J4057" s="304" t="str">
        <f>CONCATENATE([2]Cover!$D$6,"fdd/view?i=",I4057)</f>
        <v>https://www.dgiwg.org/FAD/fdd/view?i=116438</v>
      </c>
      <c r="K4057" s="304" t="s">
        <v>38106</v>
      </c>
      <c r="L4057" s="188">
        <v>169</v>
      </c>
      <c r="M4057" s="179" t="s">
        <v>151</v>
      </c>
    </row>
    <row r="4058" spans="1:13">
      <c r="A4058" s="313" t="str">
        <f t="shared" si="63"/>
        <v>JetAircraftStartUnitTypeCode_g_10</v>
      </c>
      <c r="B4058" s="330"/>
      <c r="C4058" s="334"/>
      <c r="D4058" s="188" t="s">
        <v>24313</v>
      </c>
      <c r="E4058" s="189" t="s">
        <v>24314</v>
      </c>
      <c r="F4058" s="162" t="s">
        <v>24315</v>
      </c>
      <c r="G4058" s="190"/>
      <c r="H4058" s="219"/>
      <c r="I4058" s="169">
        <v>116387</v>
      </c>
      <c r="J4058" s="304" t="str">
        <f>CONCATENATE([2]Cover!$D$6,"fdd/view?i=",I4058)</f>
        <v>https://www.dgiwg.org/FAD/fdd/view?i=116387</v>
      </c>
      <c r="K4058" s="304" t="s">
        <v>38107</v>
      </c>
      <c r="L4058" s="188">
        <v>118</v>
      </c>
      <c r="M4058" s="179" t="s">
        <v>151</v>
      </c>
    </row>
    <row r="4059" spans="1:13" ht="25.5">
      <c r="A4059" s="313" t="str">
        <f t="shared" si="63"/>
        <v>JetAircraftStartUnitTypeCode_g_38_PacAustNewZea</v>
      </c>
      <c r="B4059" s="330"/>
      <c r="C4059" s="334"/>
      <c r="D4059" s="188" t="s">
        <v>24316</v>
      </c>
      <c r="E4059" s="189" t="s">
        <v>24317</v>
      </c>
      <c r="F4059" s="162" t="s">
        <v>24318</v>
      </c>
      <c r="G4059" s="190"/>
      <c r="H4059" s="219"/>
      <c r="I4059" s="169">
        <v>116388</v>
      </c>
      <c r="J4059" s="304" t="str">
        <f>CONCATENATE([2]Cover!$D$6,"fdd/view?i=",I4059)</f>
        <v>https://www.dgiwg.org/FAD/fdd/view?i=116388</v>
      </c>
      <c r="K4059" s="304" t="s">
        <v>38108</v>
      </c>
      <c r="L4059" s="188">
        <v>119</v>
      </c>
      <c r="M4059" s="179" t="s">
        <v>151</v>
      </c>
    </row>
    <row r="4060" spans="1:13">
      <c r="A4060" s="313" t="str">
        <f t="shared" si="63"/>
        <v>JetAircraftStartUnitTypeCode_g_40</v>
      </c>
      <c r="B4060" s="330"/>
      <c r="C4060" s="334"/>
      <c r="D4060" s="188" t="s">
        <v>24319</v>
      </c>
      <c r="E4060" s="189" t="s">
        <v>24320</v>
      </c>
      <c r="F4060" s="162" t="s">
        <v>24321</v>
      </c>
      <c r="G4060" s="190"/>
      <c r="H4060" s="219"/>
      <c r="I4060" s="169">
        <v>116389</v>
      </c>
      <c r="J4060" s="304" t="str">
        <f>CONCATENATE([2]Cover!$D$6,"fdd/view?i=",I4060)</f>
        <v>https://www.dgiwg.org/FAD/fdd/view?i=116389</v>
      </c>
      <c r="K4060" s="304" t="s">
        <v>38109</v>
      </c>
      <c r="L4060" s="188">
        <v>120</v>
      </c>
      <c r="M4060" s="179" t="s">
        <v>151</v>
      </c>
    </row>
    <row r="4061" spans="1:13" ht="25.5">
      <c r="A4061" s="313" t="str">
        <f t="shared" si="63"/>
        <v>JetAircraftStartUnitTypeCode_g_6_PacAustNewZea</v>
      </c>
      <c r="B4061" s="330"/>
      <c r="C4061" s="334"/>
      <c r="D4061" s="188" t="s">
        <v>24322</v>
      </c>
      <c r="E4061" s="189" t="s">
        <v>24323</v>
      </c>
      <c r="F4061" s="162" t="s">
        <v>24324</v>
      </c>
      <c r="G4061" s="190"/>
      <c r="H4061" s="219"/>
      <c r="I4061" s="169">
        <v>116386</v>
      </c>
      <c r="J4061" s="304" t="str">
        <f>CONCATENATE([2]Cover!$D$6,"fdd/view?i=",I4061)</f>
        <v>https://www.dgiwg.org/FAD/fdd/view?i=116386</v>
      </c>
      <c r="K4061" s="304" t="s">
        <v>38110</v>
      </c>
      <c r="L4061" s="188">
        <v>117</v>
      </c>
      <c r="M4061" s="179" t="s">
        <v>151</v>
      </c>
    </row>
    <row r="4062" spans="1:13" ht="25.5">
      <c r="A4062" s="313" t="str">
        <f t="shared" si="63"/>
        <v>JetAircraftStartUnitTypeCode_g_91_Cartridge</v>
      </c>
      <c r="B4062" s="330"/>
      <c r="C4062" s="334"/>
      <c r="D4062" s="188" t="s">
        <v>24325</v>
      </c>
      <c r="E4062" s="189" t="s">
        <v>24326</v>
      </c>
      <c r="F4062" s="162" t="s">
        <v>24327</v>
      </c>
      <c r="G4062" s="190"/>
      <c r="H4062" s="219"/>
      <c r="I4062" s="169">
        <v>116439</v>
      </c>
      <c r="J4062" s="304" t="str">
        <f>CONCATENATE([2]Cover!$D$6,"fdd/view?i=",I4062)</f>
        <v>https://www.dgiwg.org/FAD/fdd/view?i=116439</v>
      </c>
      <c r="K4062" s="304" t="s">
        <v>38111</v>
      </c>
      <c r="L4062" s="188">
        <v>170</v>
      </c>
      <c r="M4062" s="179" t="s">
        <v>151</v>
      </c>
    </row>
    <row r="4063" spans="1:13" ht="25.5">
      <c r="A4063" s="313" t="str">
        <f t="shared" si="63"/>
        <v>JetAircraftStartUnitTypeCode_gpe_160</v>
      </c>
      <c r="B4063" s="330"/>
      <c r="C4063" s="334"/>
      <c r="D4063" s="188" t="s">
        <v>24328</v>
      </c>
      <c r="E4063" s="189" t="s">
        <v>24329</v>
      </c>
      <c r="F4063" s="162" t="s">
        <v>24330</v>
      </c>
      <c r="G4063" s="190"/>
      <c r="H4063" s="219"/>
      <c r="I4063" s="169">
        <v>116419</v>
      </c>
      <c r="J4063" s="304" t="str">
        <f>CONCATENATE([2]Cover!$D$6,"fdd/view?i=",I4063)</f>
        <v>https://www.dgiwg.org/FAD/fdd/view?i=116419</v>
      </c>
      <c r="K4063" s="304" t="s">
        <v>38112</v>
      </c>
      <c r="L4063" s="188">
        <v>150</v>
      </c>
      <c r="M4063" s="179" t="s">
        <v>151</v>
      </c>
    </row>
    <row r="4064" spans="1:13" ht="25.5">
      <c r="A4064" s="313" t="str">
        <f t="shared" si="63"/>
        <v>JetAircraftStartUnitTypeCode_gsu_160</v>
      </c>
      <c r="B4064" s="330"/>
      <c r="C4064" s="334"/>
      <c r="D4064" s="188" t="s">
        <v>24331</v>
      </c>
      <c r="E4064" s="189" t="s">
        <v>24332</v>
      </c>
      <c r="F4064" s="162" t="s">
        <v>24333</v>
      </c>
      <c r="G4064" s="190"/>
      <c r="H4064" s="219"/>
      <c r="I4064" s="169">
        <v>116410</v>
      </c>
      <c r="J4064" s="304" t="str">
        <f>CONCATENATE([2]Cover!$D$6,"fdd/view?i=",I4064)</f>
        <v>https://www.dgiwg.org/FAD/fdd/view?i=116410</v>
      </c>
      <c r="K4064" s="304" t="s">
        <v>38113</v>
      </c>
      <c r="L4064" s="188">
        <v>141</v>
      </c>
      <c r="M4064" s="179" t="s">
        <v>151</v>
      </c>
    </row>
    <row r="4065" spans="1:13" ht="25.5">
      <c r="A4065" s="313" t="str">
        <f t="shared" si="63"/>
        <v>JetAircraftStartUnitTypeCode_gtc_85_GTE_85</v>
      </c>
      <c r="B4065" s="330"/>
      <c r="C4065" s="334"/>
      <c r="D4065" s="188" t="s">
        <v>24334</v>
      </c>
      <c r="E4065" s="189" t="s">
        <v>24335</v>
      </c>
      <c r="F4065" s="162" t="s">
        <v>24336</v>
      </c>
      <c r="G4065" s="190"/>
      <c r="H4065" s="219"/>
      <c r="I4065" s="169">
        <v>116305</v>
      </c>
      <c r="J4065" s="304" t="str">
        <f>CONCATENATE([2]Cover!$D$6,"fdd/view?i=",I4065)</f>
        <v>https://www.dgiwg.org/FAD/fdd/view?i=116305</v>
      </c>
      <c r="K4065" s="304" t="s">
        <v>38114</v>
      </c>
      <c r="L4065" s="188">
        <v>36</v>
      </c>
      <c r="M4065" s="179" t="s">
        <v>151</v>
      </c>
    </row>
    <row r="4066" spans="1:13" ht="25.5">
      <c r="A4066" s="313" t="str">
        <f t="shared" si="63"/>
        <v>JetAircraftStartUnitTypeCode_houchin_265_3488249</v>
      </c>
      <c r="B4066" s="330"/>
      <c r="C4066" s="334"/>
      <c r="D4066" s="188" t="s">
        <v>24337</v>
      </c>
      <c r="E4066" s="189" t="s">
        <v>24338</v>
      </c>
      <c r="F4066" s="162" t="s">
        <v>24339</v>
      </c>
      <c r="G4066" s="190"/>
      <c r="H4066" s="219"/>
      <c r="I4066" s="169">
        <v>116441</v>
      </c>
      <c r="J4066" s="304" t="str">
        <f>CONCATENATE([2]Cover!$D$6,"fdd/view?i=",I4066)</f>
        <v>https://www.dgiwg.org/FAD/fdd/view?i=116441</v>
      </c>
      <c r="K4066" s="304" t="s">
        <v>38115</v>
      </c>
      <c r="L4066" s="188">
        <v>172</v>
      </c>
      <c r="M4066" s="179" t="s">
        <v>151</v>
      </c>
    </row>
    <row r="4067" spans="1:13">
      <c r="A4067" s="313" t="str">
        <f t="shared" si="63"/>
        <v>JetAircraftStartUnitTypeCode_jas</v>
      </c>
      <c r="B4067" s="330"/>
      <c r="C4067" s="334"/>
      <c r="D4067" s="188" t="s">
        <v>24340</v>
      </c>
      <c r="E4067" s="189" t="s">
        <v>24341</v>
      </c>
      <c r="F4067" s="162" t="s">
        <v>24342</v>
      </c>
      <c r="G4067" s="190"/>
      <c r="H4067" s="219"/>
      <c r="I4067" s="169">
        <v>116411</v>
      </c>
      <c r="J4067" s="304" t="str">
        <f>CONCATENATE([2]Cover!$D$6,"fdd/view?i=",I4067)</f>
        <v>https://www.dgiwg.org/FAD/fdd/view?i=116411</v>
      </c>
      <c r="K4067" s="304" t="s">
        <v>38116</v>
      </c>
      <c r="L4067" s="188">
        <v>142</v>
      </c>
      <c r="M4067" s="179" t="s">
        <v>151</v>
      </c>
    </row>
    <row r="4068" spans="1:13" ht="25.5">
      <c r="A4068" s="313" t="str">
        <f t="shared" si="63"/>
        <v>JetAircraftStartUnitTypeCode_jasu_20_KVA</v>
      </c>
      <c r="B4068" s="330"/>
      <c r="C4068" s="334"/>
      <c r="D4068" s="188" t="s">
        <v>23998</v>
      </c>
      <c r="E4068" s="189" t="s">
        <v>23999</v>
      </c>
      <c r="F4068" s="162" t="s">
        <v>24000</v>
      </c>
      <c r="G4068" s="190"/>
      <c r="H4068" s="219"/>
      <c r="I4068" s="169">
        <v>116334</v>
      </c>
      <c r="J4068" s="304" t="str">
        <f>CONCATENATE([2]Cover!$D$6,"fdd/view?i=",I4068)</f>
        <v>https://www.dgiwg.org/FAD/fdd/view?i=116334</v>
      </c>
      <c r="K4068" s="304" t="s">
        <v>38117</v>
      </c>
      <c r="L4068" s="188">
        <v>65</v>
      </c>
      <c r="M4068" s="179" t="s">
        <v>151</v>
      </c>
    </row>
    <row r="4069" spans="1:13" ht="25.5">
      <c r="A4069" s="313" t="str">
        <f t="shared" si="63"/>
        <v>JetAircraftStartUnitTypeCode_jasu_59B2_1B</v>
      </c>
      <c r="B4069" s="330"/>
      <c r="C4069" s="334"/>
      <c r="D4069" s="188" t="s">
        <v>24001</v>
      </c>
      <c r="E4069" s="189" t="s">
        <v>24002</v>
      </c>
      <c r="F4069" s="162" t="s">
        <v>24003</v>
      </c>
      <c r="G4069" s="190"/>
      <c r="H4069" s="219"/>
      <c r="I4069" s="169">
        <v>116310</v>
      </c>
      <c r="J4069" s="304" t="str">
        <f>CONCATENATE([2]Cover!$D$6,"fdd/view?i=",I4069)</f>
        <v>https://www.dgiwg.org/FAD/fdd/view?i=116310</v>
      </c>
      <c r="K4069" s="304" t="s">
        <v>38118</v>
      </c>
      <c r="L4069" s="188">
        <v>41</v>
      </c>
      <c r="M4069" s="179" t="s">
        <v>151</v>
      </c>
    </row>
    <row r="4070" spans="1:13" ht="25.5">
      <c r="A4070" s="313" t="str">
        <f t="shared" si="63"/>
        <v>JetAircraftStartUnitTypeCode_jasu_90G_20P</v>
      </c>
      <c r="B4070" s="330"/>
      <c r="C4070" s="334"/>
      <c r="D4070" s="188" t="s">
        <v>24004</v>
      </c>
      <c r="E4070" s="189" t="s">
        <v>24005</v>
      </c>
      <c r="F4070" s="162" t="s">
        <v>24006</v>
      </c>
      <c r="G4070" s="190"/>
      <c r="H4070" s="219"/>
      <c r="I4070" s="169">
        <v>116418</v>
      </c>
      <c r="J4070" s="304" t="str">
        <f>CONCATENATE([2]Cover!$D$6,"fdd/view?i=",I4070)</f>
        <v>https://www.dgiwg.org/FAD/fdd/view?i=116418</v>
      </c>
      <c r="K4070" s="304" t="s">
        <v>38119</v>
      </c>
      <c r="L4070" s="188">
        <v>149</v>
      </c>
      <c r="M4070" s="179" t="s">
        <v>151</v>
      </c>
    </row>
    <row r="4071" spans="1:13">
      <c r="A4071" s="313" t="str">
        <f t="shared" si="63"/>
        <v>JetAircraftStartUnitTypeCode_jeas</v>
      </c>
      <c r="B4071" s="330"/>
      <c r="C4071" s="334"/>
      <c r="D4071" s="188" t="s">
        <v>24343</v>
      </c>
      <c r="E4071" s="189" t="s">
        <v>24344</v>
      </c>
      <c r="F4071" s="162" t="s">
        <v>24345</v>
      </c>
      <c r="G4071" s="190"/>
      <c r="H4071" s="219"/>
      <c r="I4071" s="169">
        <v>116412</v>
      </c>
      <c r="J4071" s="304" t="str">
        <f>CONCATENATE([2]Cover!$D$6,"fdd/view?i=",I4071)</f>
        <v>https://www.dgiwg.org/FAD/fdd/view?i=116412</v>
      </c>
      <c r="K4071" s="304" t="s">
        <v>38120</v>
      </c>
      <c r="L4071" s="188">
        <v>143</v>
      </c>
      <c r="M4071" s="179" t="s">
        <v>151</v>
      </c>
    </row>
    <row r="4072" spans="1:13" ht="25.5">
      <c r="A4072" s="313" t="str">
        <f t="shared" si="63"/>
        <v>JetAircraftStartUnitTypeCode_km1</v>
      </c>
      <c r="B4072" s="330"/>
      <c r="C4072" s="334"/>
      <c r="D4072" s="188" t="s">
        <v>24346</v>
      </c>
      <c r="E4072" s="189" t="s">
        <v>24347</v>
      </c>
      <c r="F4072" s="162" t="s">
        <v>24348</v>
      </c>
      <c r="G4072" s="190"/>
      <c r="H4072" s="219"/>
      <c r="I4072" s="169">
        <v>116420</v>
      </c>
      <c r="J4072" s="304" t="str">
        <f>CONCATENATE([2]Cover!$D$6,"fdd/view?i=",I4072)</f>
        <v>https://www.dgiwg.org/FAD/fdd/view?i=116420</v>
      </c>
      <c r="K4072" s="304" t="s">
        <v>38121</v>
      </c>
      <c r="L4072" s="188">
        <v>151</v>
      </c>
      <c r="M4072" s="179" t="s">
        <v>151</v>
      </c>
    </row>
    <row r="4073" spans="1:13" ht="25.5">
      <c r="A4073" s="313" t="str">
        <f t="shared" si="63"/>
        <v>JetAircraftStartUnitTypeCode_km2</v>
      </c>
      <c r="B4073" s="330"/>
      <c r="C4073" s="334"/>
      <c r="D4073" s="188" t="s">
        <v>24349</v>
      </c>
      <c r="E4073" s="189" t="s">
        <v>24350</v>
      </c>
      <c r="F4073" s="162" t="s">
        <v>24348</v>
      </c>
      <c r="G4073" s="190"/>
      <c r="H4073" s="219"/>
      <c r="I4073" s="169">
        <v>116421</v>
      </c>
      <c r="J4073" s="304" t="str">
        <f>CONCATENATE([2]Cover!$D$6,"fdd/view?i=",I4073)</f>
        <v>https://www.dgiwg.org/FAD/fdd/view?i=116421</v>
      </c>
      <c r="K4073" s="304" t="s">
        <v>38122</v>
      </c>
      <c r="L4073" s="188">
        <v>152</v>
      </c>
      <c r="M4073" s="179" t="s">
        <v>151</v>
      </c>
    </row>
    <row r="4074" spans="1:13" ht="25.5">
      <c r="A4074" s="313" t="str">
        <f t="shared" si="63"/>
        <v>JetAircraftStartUnitTypeCode_km3</v>
      </c>
      <c r="B4074" s="330"/>
      <c r="C4074" s="334"/>
      <c r="D4074" s="188" t="s">
        <v>24351</v>
      </c>
      <c r="E4074" s="189" t="s">
        <v>24352</v>
      </c>
      <c r="F4074" s="162" t="s">
        <v>24348</v>
      </c>
      <c r="G4074" s="190"/>
      <c r="H4074" s="219"/>
      <c r="I4074" s="169">
        <v>116422</v>
      </c>
      <c r="J4074" s="304" t="str">
        <f>CONCATENATE([2]Cover!$D$6,"fdd/view?i=",I4074)</f>
        <v>https://www.dgiwg.org/FAD/fdd/view?i=116422</v>
      </c>
      <c r="K4074" s="304" t="s">
        <v>38123</v>
      </c>
      <c r="L4074" s="188">
        <v>153</v>
      </c>
      <c r="M4074" s="179" t="s">
        <v>151</v>
      </c>
    </row>
    <row r="4075" spans="1:13">
      <c r="A4075" s="313" t="str">
        <f t="shared" si="63"/>
        <v>JetAircraftStartUnitTypeCode_km4</v>
      </c>
      <c r="B4075" s="330"/>
      <c r="C4075" s="334"/>
      <c r="D4075" s="188" t="s">
        <v>24353</v>
      </c>
      <c r="E4075" s="189" t="s">
        <v>24354</v>
      </c>
      <c r="F4075" s="162" t="s">
        <v>24355</v>
      </c>
      <c r="G4075" s="190"/>
      <c r="H4075" s="219"/>
      <c r="I4075" s="169">
        <v>116423</v>
      </c>
      <c r="J4075" s="304" t="str">
        <f>CONCATENATE([2]Cover!$D$6,"fdd/view?i=",I4075)</f>
        <v>https://www.dgiwg.org/FAD/fdd/view?i=116423</v>
      </c>
      <c r="K4075" s="304" t="s">
        <v>38124</v>
      </c>
      <c r="L4075" s="188">
        <v>154</v>
      </c>
      <c r="M4075" s="179" t="s">
        <v>151</v>
      </c>
    </row>
    <row r="4076" spans="1:13">
      <c r="A4076" s="313" t="str">
        <f t="shared" si="63"/>
        <v>JetAircraftStartUnitTypeCode_lass</v>
      </c>
      <c r="B4076" s="330"/>
      <c r="C4076" s="334"/>
      <c r="D4076" s="188" t="s">
        <v>24356</v>
      </c>
      <c r="E4076" s="189" t="s">
        <v>24357</v>
      </c>
      <c r="F4076" s="162" t="s">
        <v>24358</v>
      </c>
      <c r="G4076" s="190"/>
      <c r="H4076" s="219"/>
      <c r="J4076" s="304" t="str">
        <f>CONCATENATE([2]Cover!$D$6,"fdd/view?i=",I4076)</f>
        <v>https://www.dgiwg.org/FAD/fdd/view?i=</v>
      </c>
      <c r="K4076" s="304" t="s">
        <v>38125</v>
      </c>
      <c r="L4076" s="188">
        <v>16</v>
      </c>
      <c r="M4076" s="179" t="s">
        <v>151</v>
      </c>
    </row>
    <row r="4077" spans="1:13" ht="25.5">
      <c r="A4077" s="313" t="str">
        <f t="shared" si="63"/>
        <v>JetAircraftStartUnitTypeCode_m32A_13</v>
      </c>
      <c r="B4077" s="330"/>
      <c r="C4077" s="334"/>
      <c r="D4077" s="188" t="s">
        <v>24359</v>
      </c>
      <c r="E4077" s="189" t="s">
        <v>24360</v>
      </c>
      <c r="F4077" s="162" t="s">
        <v>24361</v>
      </c>
      <c r="G4077" s="190"/>
      <c r="H4077" s="219"/>
      <c r="I4077" s="169">
        <v>116333</v>
      </c>
      <c r="J4077" s="304" t="str">
        <f>CONCATENATE([2]Cover!$D$6,"fdd/view?i=",I4077)</f>
        <v>https://www.dgiwg.org/FAD/fdd/view?i=116333</v>
      </c>
      <c r="K4077" s="304" t="s">
        <v>38126</v>
      </c>
      <c r="L4077" s="188">
        <v>64</v>
      </c>
      <c r="M4077" s="179" t="s">
        <v>151</v>
      </c>
    </row>
    <row r="4078" spans="1:13" ht="25.5">
      <c r="A4078" s="313" t="str">
        <f t="shared" si="63"/>
        <v>JetAircraftStartUnitTypeCode_ma_1</v>
      </c>
      <c r="B4078" s="330"/>
      <c r="C4078" s="334"/>
      <c r="D4078" s="188" t="s">
        <v>24362</v>
      </c>
      <c r="E4078" s="189" t="s">
        <v>24363</v>
      </c>
      <c r="F4078" s="162" t="s">
        <v>24364</v>
      </c>
      <c r="G4078" s="190"/>
      <c r="H4078" s="219"/>
      <c r="I4078" s="169">
        <v>116413</v>
      </c>
      <c r="J4078" s="304" t="str">
        <f>CONCATENATE([2]Cover!$D$6,"fdd/view?i=",I4078)</f>
        <v>https://www.dgiwg.org/FAD/fdd/view?i=116413</v>
      </c>
      <c r="K4078" s="304" t="s">
        <v>38127</v>
      </c>
      <c r="L4078" s="188">
        <v>144</v>
      </c>
      <c r="M4078" s="179" t="s">
        <v>151</v>
      </c>
    </row>
    <row r="4079" spans="1:13" ht="25.5">
      <c r="A4079" s="313" t="str">
        <f t="shared" si="63"/>
        <v>JetAircraftStartUnitTypeCode_ma_1A</v>
      </c>
      <c r="B4079" s="330"/>
      <c r="C4079" s="334"/>
      <c r="D4079" s="188" t="s">
        <v>24365</v>
      </c>
      <c r="E4079" s="189" t="s">
        <v>24366</v>
      </c>
      <c r="F4079" s="162" t="s">
        <v>24367</v>
      </c>
      <c r="G4079" s="190"/>
      <c r="H4079" s="219"/>
      <c r="I4079" s="169">
        <v>116286</v>
      </c>
      <c r="J4079" s="304" t="str">
        <f>CONCATENATE([2]Cover!$D$6,"fdd/view?i=",I4079)</f>
        <v>https://www.dgiwg.org/FAD/fdd/view?i=116286</v>
      </c>
      <c r="K4079" s="304" t="s">
        <v>38128</v>
      </c>
      <c r="L4079" s="188">
        <v>17</v>
      </c>
      <c r="M4079" s="179" t="s">
        <v>151</v>
      </c>
    </row>
    <row r="4080" spans="1:13" ht="25.5">
      <c r="A4080" s="313" t="str">
        <f t="shared" si="63"/>
        <v>JetAircraftStartUnitTypeCode_ma_1MPSU</v>
      </c>
      <c r="B4080" s="330"/>
      <c r="C4080" s="334"/>
      <c r="D4080" s="188" t="s">
        <v>24368</v>
      </c>
      <c r="E4080" s="189" t="s">
        <v>24369</v>
      </c>
      <c r="F4080" s="162" t="s">
        <v>24370</v>
      </c>
      <c r="G4080" s="190"/>
      <c r="H4080" s="219"/>
      <c r="I4080" s="169">
        <v>116424</v>
      </c>
      <c r="J4080" s="304" t="str">
        <f>CONCATENATE([2]Cover!$D$6,"fdd/view?i=",I4080)</f>
        <v>https://www.dgiwg.org/FAD/fdd/view?i=116424</v>
      </c>
      <c r="K4080" s="304" t="s">
        <v>38129</v>
      </c>
      <c r="L4080" s="188">
        <v>155</v>
      </c>
      <c r="M4080" s="179" t="s">
        <v>151</v>
      </c>
    </row>
    <row r="4081" spans="1:13" ht="25.5">
      <c r="A4081" s="313" t="str">
        <f t="shared" si="63"/>
        <v>JetAircraftStartUnitTypeCode_ma_2</v>
      </c>
      <c r="B4081" s="330"/>
      <c r="C4081" s="334"/>
      <c r="D4081" s="188" t="s">
        <v>24371</v>
      </c>
      <c r="E4081" s="189" t="s">
        <v>24372</v>
      </c>
      <c r="F4081" s="162" t="s">
        <v>24373</v>
      </c>
      <c r="G4081" s="190"/>
      <c r="H4081" s="219"/>
      <c r="I4081" s="169">
        <v>116414</v>
      </c>
      <c r="J4081" s="304" t="str">
        <f>CONCATENATE([2]Cover!$D$6,"fdd/view?i=",I4081)</f>
        <v>https://www.dgiwg.org/FAD/fdd/view?i=116414</v>
      </c>
      <c r="K4081" s="304" t="s">
        <v>38130</v>
      </c>
      <c r="L4081" s="188">
        <v>145</v>
      </c>
      <c r="M4081" s="179" t="s">
        <v>151</v>
      </c>
    </row>
    <row r="4082" spans="1:13" ht="25.5">
      <c r="A4082" s="313" t="str">
        <f t="shared" si="63"/>
        <v>JetAircraftStartUnitTypeCode_ma_2MPSU</v>
      </c>
      <c r="B4082" s="330"/>
      <c r="C4082" s="334"/>
      <c r="D4082" s="188" t="s">
        <v>24374</v>
      </c>
      <c r="E4082" s="189" t="s">
        <v>24375</v>
      </c>
      <c r="F4082" s="162" t="s">
        <v>24376</v>
      </c>
      <c r="G4082" s="190"/>
      <c r="H4082" s="219"/>
      <c r="I4082" s="169">
        <v>116425</v>
      </c>
      <c r="J4082" s="304" t="str">
        <f>CONCATENATE([2]Cover!$D$6,"fdd/view?i=",I4082)</f>
        <v>https://www.dgiwg.org/FAD/fdd/view?i=116425</v>
      </c>
      <c r="K4082" s="304" t="s">
        <v>38131</v>
      </c>
      <c r="L4082" s="188">
        <v>156</v>
      </c>
      <c r="M4082" s="179" t="s">
        <v>151</v>
      </c>
    </row>
    <row r="4083" spans="1:13" ht="25.5">
      <c r="A4083" s="313" t="str">
        <f t="shared" si="63"/>
        <v>JetAircraftStartUnitTypeCode_ma_3MPSU</v>
      </c>
      <c r="B4083" s="330"/>
      <c r="C4083" s="334"/>
      <c r="D4083" s="188" t="s">
        <v>24377</v>
      </c>
      <c r="E4083" s="189" t="s">
        <v>24378</v>
      </c>
      <c r="F4083" s="162" t="s">
        <v>24379</v>
      </c>
      <c r="G4083" s="190"/>
      <c r="H4083" s="219"/>
      <c r="I4083" s="169">
        <v>116299</v>
      </c>
      <c r="J4083" s="304" t="str">
        <f>CONCATENATE([2]Cover!$D$6,"fdd/view?i=",I4083)</f>
        <v>https://www.dgiwg.org/FAD/fdd/view?i=116299</v>
      </c>
      <c r="K4083" s="304" t="s">
        <v>38132</v>
      </c>
      <c r="L4083" s="188">
        <v>30</v>
      </c>
      <c r="M4083" s="179" t="s">
        <v>151</v>
      </c>
    </row>
    <row r="4084" spans="1:13" ht="25.5">
      <c r="A4084" s="313" t="str">
        <f t="shared" si="63"/>
        <v>JetAircraftStartUnitTypeCode_mb_1</v>
      </c>
      <c r="B4084" s="330"/>
      <c r="C4084" s="334"/>
      <c r="D4084" s="188" t="s">
        <v>24380</v>
      </c>
      <c r="E4084" s="189" t="s">
        <v>24381</v>
      </c>
      <c r="F4084" s="162" t="s">
        <v>24382</v>
      </c>
      <c r="G4084" s="190"/>
      <c r="H4084" s="219"/>
      <c r="I4084" s="169">
        <v>116287</v>
      </c>
      <c r="J4084" s="304" t="str">
        <f>CONCATENATE([2]Cover!$D$6,"fdd/view?i=",I4084)</f>
        <v>https://www.dgiwg.org/FAD/fdd/view?i=116287</v>
      </c>
      <c r="K4084" s="304" t="s">
        <v>38133</v>
      </c>
      <c r="L4084" s="188">
        <v>18</v>
      </c>
      <c r="M4084" s="179" t="s">
        <v>151</v>
      </c>
    </row>
    <row r="4085" spans="1:13" ht="25.5">
      <c r="A4085" s="313" t="str">
        <f t="shared" si="63"/>
        <v>JetAircraftStartUnitTypeCode_mb_9</v>
      </c>
      <c r="B4085" s="330"/>
      <c r="C4085" s="334"/>
      <c r="D4085" s="188" t="s">
        <v>24383</v>
      </c>
      <c r="E4085" s="189" t="s">
        <v>24384</v>
      </c>
      <c r="F4085" s="162" t="s">
        <v>24385</v>
      </c>
      <c r="G4085" s="190"/>
      <c r="H4085" s="219"/>
      <c r="I4085" s="169">
        <v>116288</v>
      </c>
      <c r="J4085" s="304" t="str">
        <f>CONCATENATE([2]Cover!$D$6,"fdd/view?i=",I4085)</f>
        <v>https://www.dgiwg.org/FAD/fdd/view?i=116288</v>
      </c>
      <c r="K4085" s="304" t="s">
        <v>38134</v>
      </c>
      <c r="L4085" s="188">
        <v>19</v>
      </c>
      <c r="M4085" s="179" t="s">
        <v>151</v>
      </c>
    </row>
    <row r="4086" spans="1:13" ht="25.5">
      <c r="A4086" s="313" t="str">
        <f t="shared" si="63"/>
        <v>JetAircraftStartUnitTypeCode_mc_1</v>
      </c>
      <c r="B4086" s="330"/>
      <c r="C4086" s="334"/>
      <c r="D4086" s="188" t="s">
        <v>24386</v>
      </c>
      <c r="E4086" s="189" t="s">
        <v>24387</v>
      </c>
      <c r="F4086" s="162" t="s">
        <v>24388</v>
      </c>
      <c r="G4086" s="190"/>
      <c r="H4086" s="219"/>
      <c r="I4086" s="169">
        <v>116289</v>
      </c>
      <c r="J4086" s="304" t="str">
        <f>CONCATENATE([2]Cover!$D$6,"fdd/view?i=",I4086)</f>
        <v>https://www.dgiwg.org/FAD/fdd/view?i=116289</v>
      </c>
      <c r="K4086" s="304" t="s">
        <v>38135</v>
      </c>
      <c r="L4086" s="188">
        <v>20</v>
      </c>
      <c r="M4086" s="179" t="s">
        <v>151</v>
      </c>
    </row>
    <row r="4087" spans="1:13" ht="25.5">
      <c r="A4087" s="313" t="str">
        <f t="shared" si="63"/>
        <v>JetAircraftStartUnitTypeCode_mc_1_Modified</v>
      </c>
      <c r="B4087" s="330"/>
      <c r="C4087" s="334"/>
      <c r="D4087" s="188" t="s">
        <v>24389</v>
      </c>
      <c r="E4087" s="189" t="s">
        <v>24390</v>
      </c>
      <c r="F4087" s="162" t="s">
        <v>24391</v>
      </c>
      <c r="G4087" s="190"/>
      <c r="H4087" s="219"/>
      <c r="I4087" s="169">
        <v>116290</v>
      </c>
      <c r="J4087" s="304" t="str">
        <f>CONCATENATE([2]Cover!$D$6,"fdd/view?i=",I4087)</f>
        <v>https://www.dgiwg.org/FAD/fdd/view?i=116290</v>
      </c>
      <c r="K4087" s="304" t="s">
        <v>38136</v>
      </c>
      <c r="L4087" s="188">
        <v>21</v>
      </c>
      <c r="M4087" s="179" t="s">
        <v>151</v>
      </c>
    </row>
    <row r="4088" spans="1:13" ht="25.5">
      <c r="A4088" s="313" t="str">
        <f t="shared" si="63"/>
        <v>JetAircraftStartUnitTypeCode_mc_11</v>
      </c>
      <c r="B4088" s="330"/>
      <c r="C4088" s="334"/>
      <c r="D4088" s="188" t="s">
        <v>24392</v>
      </c>
      <c r="E4088" s="189" t="s">
        <v>24393</v>
      </c>
      <c r="F4088" s="162" t="s">
        <v>24394</v>
      </c>
      <c r="G4088" s="190"/>
      <c r="H4088" s="219"/>
      <c r="I4088" s="169">
        <v>116293</v>
      </c>
      <c r="J4088" s="304" t="str">
        <f>CONCATENATE([2]Cover!$D$6,"fdd/view?i=",I4088)</f>
        <v>https://www.dgiwg.org/FAD/fdd/view?i=116293</v>
      </c>
      <c r="K4088" s="304" t="s">
        <v>38137</v>
      </c>
      <c r="L4088" s="188">
        <v>24</v>
      </c>
      <c r="M4088" s="179" t="s">
        <v>151</v>
      </c>
    </row>
    <row r="4089" spans="1:13" ht="25.5">
      <c r="A4089" s="313" t="str">
        <f t="shared" si="63"/>
        <v>JetAircraftStartUnitTypeCode_mc_1A</v>
      </c>
      <c r="B4089" s="330"/>
      <c r="C4089" s="334"/>
      <c r="D4089" s="188" t="s">
        <v>24395</v>
      </c>
      <c r="E4089" s="189" t="s">
        <v>24396</v>
      </c>
      <c r="F4089" s="162" t="s">
        <v>24397</v>
      </c>
      <c r="G4089" s="190"/>
      <c r="H4089" s="219"/>
      <c r="I4089" s="169">
        <v>116274</v>
      </c>
      <c r="J4089" s="304" t="str">
        <f>CONCATENATE([2]Cover!$D$6,"fdd/view?i=",I4089)</f>
        <v>https://www.dgiwg.org/FAD/fdd/view?i=116274</v>
      </c>
      <c r="K4089" s="304" t="s">
        <v>38138</v>
      </c>
      <c r="L4089" s="188">
        <v>5</v>
      </c>
      <c r="M4089" s="179" t="s">
        <v>151</v>
      </c>
    </row>
    <row r="4090" spans="1:13" ht="25.5">
      <c r="A4090" s="313" t="str">
        <f t="shared" si="63"/>
        <v>JetAircraftStartUnitTypeCode_mc_1A_1</v>
      </c>
      <c r="B4090" s="330"/>
      <c r="C4090" s="334"/>
      <c r="D4090" s="188" t="s">
        <v>24398</v>
      </c>
      <c r="E4090" s="189" t="s">
        <v>24399</v>
      </c>
      <c r="F4090" s="162" t="s">
        <v>24388</v>
      </c>
      <c r="G4090" s="190"/>
      <c r="H4090" s="219"/>
      <c r="I4090" s="169">
        <v>116291</v>
      </c>
      <c r="J4090" s="304" t="str">
        <f>CONCATENATE([2]Cover!$D$6,"fdd/view?i=",I4090)</f>
        <v>https://www.dgiwg.org/FAD/fdd/view?i=116291</v>
      </c>
      <c r="K4090" s="304" t="s">
        <v>38139</v>
      </c>
      <c r="L4090" s="188">
        <v>22</v>
      </c>
      <c r="M4090" s="179" t="s">
        <v>151</v>
      </c>
    </row>
    <row r="4091" spans="1:13" ht="25.5">
      <c r="A4091" s="313" t="str">
        <f t="shared" si="63"/>
        <v>JetAircraftStartUnitTypeCode_mc_2A</v>
      </c>
      <c r="B4091" s="330"/>
      <c r="C4091" s="334"/>
      <c r="D4091" s="188" t="s">
        <v>24400</v>
      </c>
      <c r="E4091" s="189" t="s">
        <v>24401</v>
      </c>
      <c r="F4091" s="162" t="s">
        <v>24402</v>
      </c>
      <c r="G4091" s="190"/>
      <c r="H4091" s="219"/>
      <c r="I4091" s="169">
        <v>116292</v>
      </c>
      <c r="J4091" s="304" t="str">
        <f>CONCATENATE([2]Cover!$D$6,"fdd/view?i=",I4091)</f>
        <v>https://www.dgiwg.org/FAD/fdd/view?i=116292</v>
      </c>
      <c r="K4091" s="304" t="s">
        <v>38140</v>
      </c>
      <c r="L4091" s="188">
        <v>23</v>
      </c>
      <c r="M4091" s="179" t="s">
        <v>151</v>
      </c>
    </row>
    <row r="4092" spans="1:13" ht="25.5">
      <c r="A4092" s="313" t="str">
        <f t="shared" si="63"/>
        <v>JetAircraftStartUnitTypeCode_mc_8A_A1</v>
      </c>
      <c r="B4092" s="330"/>
      <c r="C4092" s="334"/>
      <c r="D4092" s="188" t="s">
        <v>24403</v>
      </c>
      <c r="E4092" s="189" t="s">
        <v>24404</v>
      </c>
      <c r="F4092" s="162" t="s">
        <v>24405</v>
      </c>
      <c r="G4092" s="190"/>
      <c r="H4092" s="219"/>
      <c r="I4092" s="169">
        <v>116303</v>
      </c>
      <c r="J4092" s="304" t="str">
        <f>CONCATENATE([2]Cover!$D$6,"fdd/view?i=",I4092)</f>
        <v>https://www.dgiwg.org/FAD/fdd/view?i=116303</v>
      </c>
      <c r="K4092" s="304" t="s">
        <v>38141</v>
      </c>
      <c r="L4092" s="188">
        <v>34</v>
      </c>
      <c r="M4092" s="179" t="s">
        <v>151</v>
      </c>
    </row>
    <row r="4093" spans="1:13" ht="25.5">
      <c r="A4093" s="313" t="str">
        <f t="shared" si="63"/>
        <v>JetAircraftStartUnitTypeCode_md_1</v>
      </c>
      <c r="B4093" s="330"/>
      <c r="C4093" s="334"/>
      <c r="D4093" s="188" t="s">
        <v>24406</v>
      </c>
      <c r="E4093" s="189" t="s">
        <v>24407</v>
      </c>
      <c r="F4093" s="162" t="s">
        <v>24408</v>
      </c>
      <c r="G4093" s="190"/>
      <c r="H4093" s="219"/>
      <c r="I4093" s="169">
        <v>116275</v>
      </c>
      <c r="J4093" s="304" t="str">
        <f>CONCATENATE([2]Cover!$D$6,"fdd/view?i=",I4093)</f>
        <v>https://www.dgiwg.org/FAD/fdd/view?i=116275</v>
      </c>
      <c r="K4093" s="304" t="s">
        <v>38142</v>
      </c>
      <c r="L4093" s="188">
        <v>6</v>
      </c>
      <c r="M4093" s="179" t="s">
        <v>151</v>
      </c>
    </row>
    <row r="4094" spans="1:13" ht="25.5">
      <c r="A4094" s="313" t="str">
        <f t="shared" si="63"/>
        <v>JetAircraftStartUnitTypeCode_md_2</v>
      </c>
      <c r="B4094" s="330"/>
      <c r="C4094" s="334"/>
      <c r="D4094" s="188" t="s">
        <v>24409</v>
      </c>
      <c r="E4094" s="189" t="s">
        <v>24410</v>
      </c>
      <c r="F4094" s="162" t="s">
        <v>24411</v>
      </c>
      <c r="G4094" s="190"/>
      <c r="H4094" s="219"/>
      <c r="I4094" s="169">
        <v>116276</v>
      </c>
      <c r="J4094" s="304" t="str">
        <f>CONCATENATE([2]Cover!$D$6,"fdd/view?i=",I4094)</f>
        <v>https://www.dgiwg.org/FAD/fdd/view?i=116276</v>
      </c>
      <c r="K4094" s="304" t="s">
        <v>38143</v>
      </c>
      <c r="L4094" s="188">
        <v>7</v>
      </c>
      <c r="M4094" s="179" t="s">
        <v>151</v>
      </c>
    </row>
    <row r="4095" spans="1:13" ht="25.5">
      <c r="A4095" s="313" t="str">
        <f t="shared" si="63"/>
        <v>JetAircraftStartUnitTypeCode_md_3</v>
      </c>
      <c r="B4095" s="330"/>
      <c r="C4095" s="334"/>
      <c r="D4095" s="188" t="s">
        <v>24412</v>
      </c>
      <c r="E4095" s="189" t="s">
        <v>24413</v>
      </c>
      <c r="F4095" s="162" t="s">
        <v>24414</v>
      </c>
      <c r="G4095" s="190"/>
      <c r="H4095" s="219"/>
      <c r="I4095" s="169">
        <v>116277</v>
      </c>
      <c r="J4095" s="304" t="str">
        <f>CONCATENATE([2]Cover!$D$6,"fdd/view?i=",I4095)</f>
        <v>https://www.dgiwg.org/FAD/fdd/view?i=116277</v>
      </c>
      <c r="K4095" s="304" t="s">
        <v>38144</v>
      </c>
      <c r="L4095" s="188">
        <v>8</v>
      </c>
      <c r="M4095" s="179" t="s">
        <v>151</v>
      </c>
    </row>
    <row r="4096" spans="1:13" ht="25.5">
      <c r="A4096" s="313" t="str">
        <f t="shared" si="63"/>
        <v>JetAircraftStartUnitTypeCode_md_3A</v>
      </c>
      <c r="B4096" s="330"/>
      <c r="C4096" s="334"/>
      <c r="D4096" s="188" t="s">
        <v>24415</v>
      </c>
      <c r="E4096" s="189" t="s">
        <v>24416</v>
      </c>
      <c r="F4096" s="162" t="s">
        <v>24414</v>
      </c>
      <c r="G4096" s="190"/>
      <c r="H4096" s="219"/>
      <c r="I4096" s="169">
        <v>116278</v>
      </c>
      <c r="J4096" s="304" t="str">
        <f>CONCATENATE([2]Cover!$D$6,"fdd/view?i=",I4096)</f>
        <v>https://www.dgiwg.org/FAD/fdd/view?i=116278</v>
      </c>
      <c r="K4096" s="304" t="s">
        <v>38145</v>
      </c>
      <c r="L4096" s="188">
        <v>9</v>
      </c>
      <c r="M4096" s="179" t="s">
        <v>151</v>
      </c>
    </row>
    <row r="4097" spans="1:13" ht="25.5">
      <c r="A4097" s="313" t="str">
        <f t="shared" si="63"/>
        <v>JetAircraftStartUnitTypeCode_md_3B</v>
      </c>
      <c r="B4097" s="330"/>
      <c r="C4097" s="334"/>
      <c r="D4097" s="188" t="s">
        <v>24417</v>
      </c>
      <c r="E4097" s="189" t="s">
        <v>24418</v>
      </c>
      <c r="F4097" s="162" t="s">
        <v>24419</v>
      </c>
      <c r="G4097" s="190"/>
      <c r="H4097" s="219"/>
      <c r="I4097" s="169">
        <v>116279</v>
      </c>
      <c r="J4097" s="304" t="str">
        <f>CONCATENATE([2]Cover!$D$6,"fdd/view?i=",I4097)</f>
        <v>https://www.dgiwg.org/FAD/fdd/view?i=116279</v>
      </c>
      <c r="K4097" s="304" t="s">
        <v>38146</v>
      </c>
      <c r="L4097" s="188">
        <v>10</v>
      </c>
      <c r="M4097" s="179" t="s">
        <v>151</v>
      </c>
    </row>
    <row r="4098" spans="1:13" ht="25.5">
      <c r="A4098" s="313" t="str">
        <f t="shared" si="63"/>
        <v>JetAircraftStartUnitTypeCode_md_3M</v>
      </c>
      <c r="B4098" s="330"/>
      <c r="C4098" s="334"/>
      <c r="D4098" s="188" t="s">
        <v>24420</v>
      </c>
      <c r="E4098" s="189" t="s">
        <v>24421</v>
      </c>
      <c r="F4098" s="162" t="s">
        <v>24422</v>
      </c>
      <c r="G4098" s="190"/>
      <c r="H4098" s="219"/>
      <c r="I4098" s="169">
        <v>116280</v>
      </c>
      <c r="J4098" s="304" t="str">
        <f>CONCATENATE([2]Cover!$D$6,"fdd/view?i=",I4098)</f>
        <v>https://www.dgiwg.org/FAD/fdd/view?i=116280</v>
      </c>
      <c r="K4098" s="304" t="s">
        <v>38147</v>
      </c>
      <c r="L4098" s="188">
        <v>11</v>
      </c>
      <c r="M4098" s="179" t="s">
        <v>151</v>
      </c>
    </row>
    <row r="4099" spans="1:13" ht="51">
      <c r="A4099" s="313" t="str">
        <f t="shared" ref="A4099:A4162" si="64">HYPERLINK(J4099,K4099)</f>
        <v>JetAircraftStartUnitTypeCode_md_4</v>
      </c>
      <c r="B4099" s="330"/>
      <c r="C4099" s="334"/>
      <c r="D4099" s="188" t="s">
        <v>24423</v>
      </c>
      <c r="E4099" s="189" t="s">
        <v>24424</v>
      </c>
      <c r="F4099" s="162" t="s">
        <v>24425</v>
      </c>
      <c r="G4099" s="190"/>
      <c r="H4099" s="219"/>
      <c r="I4099" s="169">
        <v>116281</v>
      </c>
      <c r="J4099" s="304" t="str">
        <f>CONCATENATE([2]Cover!$D$6,"fdd/view?i=",I4099)</f>
        <v>https://www.dgiwg.org/FAD/fdd/view?i=116281</v>
      </c>
      <c r="K4099" s="304" t="s">
        <v>38148</v>
      </c>
      <c r="L4099" s="188">
        <v>12</v>
      </c>
      <c r="M4099" s="179" t="s">
        <v>151</v>
      </c>
    </row>
    <row r="4100" spans="1:13" ht="25.5">
      <c r="A4100" s="313" t="str">
        <f t="shared" si="64"/>
        <v>JetAircraftStartUnitTypeCode_mep_116A</v>
      </c>
      <c r="B4100" s="330"/>
      <c r="C4100" s="334"/>
      <c r="D4100" s="188" t="s">
        <v>24426</v>
      </c>
      <c r="E4100" s="189" t="s">
        <v>24427</v>
      </c>
      <c r="F4100" s="162" t="s">
        <v>24428</v>
      </c>
      <c r="G4100" s="190"/>
      <c r="H4100" s="219"/>
      <c r="I4100" s="169">
        <v>116282</v>
      </c>
      <c r="J4100" s="304" t="str">
        <f>CONCATENATE([2]Cover!$D$6,"fdd/view?i=",I4100)</f>
        <v>https://www.dgiwg.org/FAD/fdd/view?i=116282</v>
      </c>
      <c r="K4100" s="304" t="s">
        <v>38149</v>
      </c>
      <c r="L4100" s="188">
        <v>13</v>
      </c>
      <c r="M4100" s="179" t="s">
        <v>151</v>
      </c>
    </row>
    <row r="4101" spans="1:13">
      <c r="A4101" s="313" t="str">
        <f t="shared" si="64"/>
        <v>JetAircraftStartUnitTypeCode_mj_1</v>
      </c>
      <c r="B4101" s="330"/>
      <c r="C4101" s="334"/>
      <c r="D4101" s="188" t="s">
        <v>24429</v>
      </c>
      <c r="E4101" s="189" t="s">
        <v>24430</v>
      </c>
      <c r="F4101" s="162" t="s">
        <v>24431</v>
      </c>
      <c r="G4101" s="190"/>
      <c r="H4101" s="219"/>
      <c r="I4101" s="169">
        <v>116415</v>
      </c>
      <c r="J4101" s="304" t="str">
        <f>CONCATENATE([2]Cover!$D$6,"fdd/view?i=",I4101)</f>
        <v>https://www.dgiwg.org/FAD/fdd/view?i=116415</v>
      </c>
      <c r="K4101" s="304" t="s">
        <v>38150</v>
      </c>
      <c r="L4101" s="188">
        <v>146</v>
      </c>
      <c r="M4101" s="179" t="s">
        <v>151</v>
      </c>
    </row>
    <row r="4102" spans="1:13" ht="25.5">
      <c r="A4102" s="313" t="str">
        <f t="shared" si="64"/>
        <v>JetAircraftStartUnitTypeCode_mmg_1_1A</v>
      </c>
      <c r="B4102" s="330"/>
      <c r="C4102" s="334"/>
      <c r="D4102" s="188" t="s">
        <v>24432</v>
      </c>
      <c r="E4102" s="189" t="s">
        <v>24433</v>
      </c>
      <c r="F4102" s="162" t="s">
        <v>24434</v>
      </c>
      <c r="G4102" s="190"/>
      <c r="H4102" s="219"/>
      <c r="I4102" s="169">
        <v>116301</v>
      </c>
      <c r="J4102" s="304" t="str">
        <f>CONCATENATE([2]Cover!$D$6,"fdd/view?i=",I4102)</f>
        <v>https://www.dgiwg.org/FAD/fdd/view?i=116301</v>
      </c>
      <c r="K4102" s="304" t="s">
        <v>38151</v>
      </c>
      <c r="L4102" s="188">
        <v>32</v>
      </c>
      <c r="M4102" s="179" t="s">
        <v>151</v>
      </c>
    </row>
    <row r="4103" spans="1:13" ht="25.5">
      <c r="A4103" s="313" t="str">
        <f t="shared" si="64"/>
        <v>JetAircraftStartUnitTypeCode_mmg_2</v>
      </c>
      <c r="B4103" s="330"/>
      <c r="C4103" s="334"/>
      <c r="D4103" s="188" t="s">
        <v>24435</v>
      </c>
      <c r="E4103" s="189" t="s">
        <v>24436</v>
      </c>
      <c r="F4103" s="162" t="s">
        <v>24437</v>
      </c>
      <c r="G4103" s="190"/>
      <c r="H4103" s="219"/>
      <c r="I4103" s="169">
        <v>116302</v>
      </c>
      <c r="J4103" s="304" t="str">
        <f>CONCATENATE([2]Cover!$D$6,"fdd/view?i=",I4103)</f>
        <v>https://www.dgiwg.org/FAD/fdd/view?i=116302</v>
      </c>
      <c r="K4103" s="304" t="s">
        <v>38152</v>
      </c>
      <c r="L4103" s="188">
        <v>33</v>
      </c>
      <c r="M4103" s="179" t="s">
        <v>151</v>
      </c>
    </row>
    <row r="4104" spans="1:13" ht="25.5">
      <c r="A4104" s="313" t="str">
        <f t="shared" si="64"/>
        <v>JetAircraftStartUnitTypeCode_msu_200NAV_A_UA47A_5</v>
      </c>
      <c r="B4104" s="330"/>
      <c r="C4104" s="334"/>
      <c r="D4104" s="188" t="s">
        <v>24438</v>
      </c>
      <c r="E4104" s="189" t="s">
        <v>24439</v>
      </c>
      <c r="F4104" s="162" t="s">
        <v>24440</v>
      </c>
      <c r="G4104" s="190"/>
      <c r="H4104" s="219"/>
      <c r="I4104" s="169">
        <v>116306</v>
      </c>
      <c r="J4104" s="304" t="str">
        <f>CONCATENATE([2]Cover!$D$6,"fdd/view?i=",I4104)</f>
        <v>https://www.dgiwg.org/FAD/fdd/view?i=116306</v>
      </c>
      <c r="K4104" s="304" t="s">
        <v>38153</v>
      </c>
      <c r="L4104" s="188">
        <v>37</v>
      </c>
      <c r="M4104" s="179" t="s">
        <v>151</v>
      </c>
    </row>
    <row r="4105" spans="1:13" ht="25.5">
      <c r="A4105" s="313" t="str">
        <f t="shared" si="64"/>
        <v>JetAircraftStartUnitTypeCode_mxu_129A_Cartridge</v>
      </c>
      <c r="B4105" s="330"/>
      <c r="C4105" s="334"/>
      <c r="D4105" s="188" t="s">
        <v>24441</v>
      </c>
      <c r="E4105" s="189" t="s">
        <v>24442</v>
      </c>
      <c r="F4105" s="162" t="s">
        <v>24443</v>
      </c>
      <c r="G4105" s="190"/>
      <c r="H4105" s="219"/>
      <c r="I4105" s="169">
        <v>116428</v>
      </c>
      <c r="J4105" s="304" t="str">
        <f>CONCATENATE([2]Cover!$D$6,"fdd/view?i=",I4105)</f>
        <v>https://www.dgiwg.org/FAD/fdd/view?i=116428</v>
      </c>
      <c r="K4105" s="304" t="s">
        <v>38154</v>
      </c>
      <c r="L4105" s="188">
        <v>159</v>
      </c>
      <c r="M4105" s="179" t="s">
        <v>151</v>
      </c>
    </row>
    <row r="4106" spans="1:13" ht="25.5">
      <c r="A4106" s="313" t="str">
        <f t="shared" si="64"/>
        <v>JetAircraftStartUnitTypeCode_mxu_4A_Cartridge</v>
      </c>
      <c r="B4106" s="330"/>
      <c r="C4106" s="334"/>
      <c r="D4106" s="188" t="s">
        <v>24444</v>
      </c>
      <c r="E4106" s="189" t="s">
        <v>24445</v>
      </c>
      <c r="F4106" s="162" t="s">
        <v>24443</v>
      </c>
      <c r="G4106" s="190"/>
      <c r="H4106" s="219"/>
      <c r="I4106" s="169">
        <v>116427</v>
      </c>
      <c r="J4106" s="304" t="str">
        <f>CONCATENATE([2]Cover!$D$6,"fdd/view?i=",I4106)</f>
        <v>https://www.dgiwg.org/FAD/fdd/view?i=116427</v>
      </c>
      <c r="K4106" s="304" t="s">
        <v>38155</v>
      </c>
      <c r="L4106" s="188">
        <v>158</v>
      </c>
      <c r="M4106" s="179" t="s">
        <v>151</v>
      </c>
    </row>
    <row r="4107" spans="1:13" ht="25.5">
      <c r="A4107" s="313" t="str">
        <f t="shared" si="64"/>
        <v>JetAircraftStartUnitTypeCode_nc_10A_A1_B_C</v>
      </c>
      <c r="B4107" s="330"/>
      <c r="C4107" s="334"/>
      <c r="D4107" s="188" t="s">
        <v>24446</v>
      </c>
      <c r="E4107" s="189" t="s">
        <v>24447</v>
      </c>
      <c r="F4107" s="162" t="s">
        <v>24448</v>
      </c>
      <c r="G4107" s="190"/>
      <c r="H4107" s="219"/>
      <c r="I4107" s="169">
        <v>116304</v>
      </c>
      <c r="J4107" s="304" t="str">
        <f>CONCATENATE([2]Cover!$D$6,"fdd/view?i=",I4107)</f>
        <v>https://www.dgiwg.org/FAD/fdd/view?i=116304</v>
      </c>
      <c r="K4107" s="304" t="s">
        <v>38156</v>
      </c>
      <c r="L4107" s="188">
        <v>35</v>
      </c>
      <c r="M4107" s="179" t="s">
        <v>151</v>
      </c>
    </row>
    <row r="4108" spans="1:13" ht="25.5">
      <c r="A4108" s="313" t="str">
        <f t="shared" si="64"/>
        <v>JetAircraftStartUnitTypeCode_ncpp_105_RCPT</v>
      </c>
      <c r="B4108" s="330"/>
      <c r="C4108" s="334"/>
      <c r="D4108" s="188" t="s">
        <v>24449</v>
      </c>
      <c r="E4108" s="189" t="s">
        <v>24450</v>
      </c>
      <c r="F4108" s="162" t="s">
        <v>24451</v>
      </c>
      <c r="G4108" s="190"/>
      <c r="H4108" s="219"/>
      <c r="I4108" s="169">
        <v>116309</v>
      </c>
      <c r="J4108" s="304" t="str">
        <f>CONCATENATE([2]Cover!$D$6,"fdd/view?i=",I4108)</f>
        <v>https://www.dgiwg.org/FAD/fdd/view?i=116309</v>
      </c>
      <c r="K4108" s="304" t="s">
        <v>38157</v>
      </c>
      <c r="L4108" s="188">
        <v>40</v>
      </c>
      <c r="M4108" s="179" t="s">
        <v>151</v>
      </c>
    </row>
    <row r="4109" spans="1:13" ht="38.25">
      <c r="A4109" s="313" t="str">
        <f t="shared" si="64"/>
        <v>JetAircraftStartUnitTypeCode_pe_75_PacAustNewZea</v>
      </c>
      <c r="B4109" s="330"/>
      <c r="C4109" s="334"/>
      <c r="D4109" s="188" t="s">
        <v>24452</v>
      </c>
      <c r="E4109" s="189" t="s">
        <v>24453</v>
      </c>
      <c r="F4109" s="162" t="s">
        <v>24454</v>
      </c>
      <c r="G4109" s="190"/>
      <c r="H4109" s="219"/>
      <c r="I4109" s="169">
        <v>116390</v>
      </c>
      <c r="J4109" s="304" t="str">
        <f>CONCATENATE([2]Cover!$D$6,"fdd/view?i=",I4109)</f>
        <v>https://www.dgiwg.org/FAD/fdd/view?i=116390</v>
      </c>
      <c r="K4109" s="304" t="s">
        <v>38158</v>
      </c>
      <c r="L4109" s="188">
        <v>121</v>
      </c>
      <c r="M4109" s="179" t="s">
        <v>151</v>
      </c>
    </row>
    <row r="4110" spans="1:13" ht="25.5">
      <c r="A4110" s="313" t="str">
        <f t="shared" si="64"/>
        <v>JetAircraftStartUnitTypeCode_rst_180</v>
      </c>
      <c r="B4110" s="330"/>
      <c r="C4110" s="334"/>
      <c r="D4110" s="188" t="s">
        <v>24455</v>
      </c>
      <c r="E4110" s="189" t="s">
        <v>24456</v>
      </c>
      <c r="F4110" s="162" t="s">
        <v>24457</v>
      </c>
      <c r="G4110" s="190"/>
      <c r="H4110" s="219"/>
      <c r="I4110" s="169">
        <v>116426</v>
      </c>
      <c r="J4110" s="304" t="str">
        <f>CONCATENATE([2]Cover!$D$6,"fdd/view?i=",I4110)</f>
        <v>https://www.dgiwg.org/FAD/fdd/view?i=116426</v>
      </c>
      <c r="K4110" s="304" t="s">
        <v>38159</v>
      </c>
      <c r="L4110" s="188">
        <v>157</v>
      </c>
      <c r="M4110" s="179" t="s">
        <v>151</v>
      </c>
    </row>
    <row r="4111" spans="1:13" ht="25.5">
      <c r="A4111" s="313" t="str">
        <f t="shared" si="64"/>
        <v>JetAircraftStartUnitTypeCode_sgnsc</v>
      </c>
      <c r="B4111" s="330"/>
      <c r="C4111" s="334"/>
      <c r="D4111" s="188" t="s">
        <v>24458</v>
      </c>
      <c r="E4111" s="189" t="s">
        <v>24459</v>
      </c>
      <c r="F4111" s="162" t="s">
        <v>24460</v>
      </c>
      <c r="G4111" s="190"/>
      <c r="H4111" s="219"/>
      <c r="I4111" s="169">
        <v>116294</v>
      </c>
      <c r="J4111" s="304" t="str">
        <f>CONCATENATE([2]Cover!$D$6,"fdd/view?i=",I4111)</f>
        <v>https://www.dgiwg.org/FAD/fdd/view?i=116294</v>
      </c>
      <c r="K4111" s="304" t="s">
        <v>38160</v>
      </c>
      <c r="L4111" s="188">
        <v>25</v>
      </c>
      <c r="M4111" s="179" t="s">
        <v>151</v>
      </c>
    </row>
    <row r="4112" spans="1:13" ht="38.25">
      <c r="A4112" s="313" t="str">
        <f t="shared" si="64"/>
        <v>JetAircraftStartUnitTypeCode_st_22_28_PacAustNewZea</v>
      </c>
      <c r="B4112" s="330"/>
      <c r="C4112" s="334"/>
      <c r="D4112" s="188" t="s">
        <v>24461</v>
      </c>
      <c r="E4112" s="189" t="s">
        <v>24462</v>
      </c>
      <c r="F4112" s="162" t="s">
        <v>24463</v>
      </c>
      <c r="G4112" s="190"/>
      <c r="H4112" s="219"/>
      <c r="I4112" s="169">
        <v>116391</v>
      </c>
      <c r="J4112" s="304" t="str">
        <f>CONCATENATE([2]Cover!$D$6,"fdd/view?i=",I4112)</f>
        <v>https://www.dgiwg.org/FAD/fdd/view?i=116391</v>
      </c>
      <c r="K4112" s="304" t="s">
        <v>38161</v>
      </c>
      <c r="L4112" s="188">
        <v>122</v>
      </c>
      <c r="M4112" s="179" t="s">
        <v>151</v>
      </c>
    </row>
    <row r="4113" spans="1:13" ht="38.25">
      <c r="A4113" s="313" t="str">
        <f t="shared" si="64"/>
        <v>JetAircraftStartUnitTypeCode_st_38_PacAustNewZea</v>
      </c>
      <c r="B4113" s="330"/>
      <c r="C4113" s="334"/>
      <c r="D4113" s="188" t="s">
        <v>24464</v>
      </c>
      <c r="E4113" s="189" t="s">
        <v>24465</v>
      </c>
      <c r="F4113" s="162" t="s">
        <v>24466</v>
      </c>
      <c r="G4113" s="190"/>
      <c r="H4113" s="219"/>
      <c r="I4113" s="169">
        <v>116392</v>
      </c>
      <c r="J4113" s="304" t="str">
        <f>CONCATENATE([2]Cover!$D$6,"fdd/view?i=",I4113)</f>
        <v>https://www.dgiwg.org/FAD/fdd/view?i=116392</v>
      </c>
      <c r="K4113" s="304" t="s">
        <v>38162</v>
      </c>
      <c r="L4113" s="188">
        <v>123</v>
      </c>
      <c r="M4113" s="179" t="s">
        <v>151</v>
      </c>
    </row>
    <row r="4114" spans="1:13" ht="38.25">
      <c r="A4114" s="313" t="str">
        <f t="shared" si="64"/>
        <v>JetAircraftStartUnitTypeCode_st_45_PacAustNewZea</v>
      </c>
      <c r="B4114" s="330"/>
      <c r="C4114" s="334"/>
      <c r="D4114" s="188" t="s">
        <v>24467</v>
      </c>
      <c r="E4114" s="189" t="s">
        <v>24468</v>
      </c>
      <c r="F4114" s="162" t="s">
        <v>24469</v>
      </c>
      <c r="G4114" s="190"/>
      <c r="H4114" s="219"/>
      <c r="I4114" s="169">
        <v>116393</v>
      </c>
      <c r="J4114" s="304" t="str">
        <f>CONCATENATE([2]Cover!$D$6,"fdd/view?i=",I4114)</f>
        <v>https://www.dgiwg.org/FAD/fdd/view?i=116393</v>
      </c>
      <c r="K4114" s="304" t="s">
        <v>38163</v>
      </c>
      <c r="L4114" s="188">
        <v>124</v>
      </c>
      <c r="M4114" s="179" t="s">
        <v>151</v>
      </c>
    </row>
    <row r="4115" spans="1:13" ht="38.25">
      <c r="A4115" s="313" t="str">
        <f t="shared" si="64"/>
        <v>JetAircraftStartUnitTypeCode_st_56_PacAustNewZea</v>
      </c>
      <c r="B4115" s="330"/>
      <c r="C4115" s="334"/>
      <c r="D4115" s="188" t="s">
        <v>24470</v>
      </c>
      <c r="E4115" s="189" t="s">
        <v>24471</v>
      </c>
      <c r="F4115" s="162" t="s">
        <v>24472</v>
      </c>
      <c r="G4115" s="190"/>
      <c r="H4115" s="219"/>
      <c r="I4115" s="169">
        <v>116394</v>
      </c>
      <c r="J4115" s="304" t="str">
        <f>CONCATENATE([2]Cover!$D$6,"fdd/view?i=",I4115)</f>
        <v>https://www.dgiwg.org/FAD/fdd/view?i=116394</v>
      </c>
      <c r="K4115" s="304" t="s">
        <v>38164</v>
      </c>
      <c r="L4115" s="188">
        <v>125</v>
      </c>
      <c r="M4115" s="179" t="s">
        <v>151</v>
      </c>
    </row>
    <row r="4116" spans="1:13" ht="38.25">
      <c r="A4116" s="313" t="str">
        <f t="shared" si="64"/>
        <v>JetAircraftStartUnitTypeCode_st_60_PacAustNewZea</v>
      </c>
      <c r="B4116" s="330"/>
      <c r="C4116" s="334"/>
      <c r="D4116" s="188" t="s">
        <v>24473</v>
      </c>
      <c r="E4116" s="189" t="s">
        <v>24474</v>
      </c>
      <c r="F4116" s="162" t="s">
        <v>24475</v>
      </c>
      <c r="G4116" s="190"/>
      <c r="H4116" s="219"/>
      <c r="I4116" s="169">
        <v>116395</v>
      </c>
      <c r="J4116" s="304" t="str">
        <f>CONCATENATE([2]Cover!$D$6,"fdd/view?i=",I4116)</f>
        <v>https://www.dgiwg.org/FAD/fdd/view?i=116395</v>
      </c>
      <c r="K4116" s="304" t="s">
        <v>38165</v>
      </c>
      <c r="L4116" s="188">
        <v>126</v>
      </c>
      <c r="M4116" s="179" t="s">
        <v>151</v>
      </c>
    </row>
    <row r="4117" spans="1:13" ht="38.25">
      <c r="A4117" s="313" t="str">
        <f t="shared" si="64"/>
        <v>JetAircraftStartUnitTypeCode_str_30_PacAustNewZea</v>
      </c>
      <c r="B4117" s="330"/>
      <c r="C4117" s="334"/>
      <c r="D4117" s="188" t="s">
        <v>24476</v>
      </c>
      <c r="E4117" s="189" t="s">
        <v>24477</v>
      </c>
      <c r="F4117" s="162" t="s">
        <v>24478</v>
      </c>
      <c r="G4117" s="190"/>
      <c r="H4117" s="219"/>
      <c r="I4117" s="169">
        <v>116396</v>
      </c>
      <c r="J4117" s="304" t="str">
        <f>CONCATENATE([2]Cover!$D$6,"fdd/view?i=",I4117)</f>
        <v>https://www.dgiwg.org/FAD/fdd/view?i=116396</v>
      </c>
      <c r="K4117" s="304" t="s">
        <v>38166</v>
      </c>
      <c r="L4117" s="188">
        <v>127</v>
      </c>
      <c r="M4117" s="179" t="s">
        <v>151</v>
      </c>
    </row>
    <row r="4118" spans="1:13" ht="38.25">
      <c r="A4118" s="313" t="str">
        <f t="shared" si="64"/>
        <v>JetAircraftStartUnitTypeCode_str_45_PacAustNewZea</v>
      </c>
      <c r="B4118" s="330"/>
      <c r="C4118" s="334"/>
      <c r="D4118" s="188" t="s">
        <v>24479</v>
      </c>
      <c r="E4118" s="189" t="s">
        <v>24480</v>
      </c>
      <c r="F4118" s="162" t="s">
        <v>24481</v>
      </c>
      <c r="G4118" s="190"/>
      <c r="H4118" s="219"/>
      <c r="I4118" s="169">
        <v>116397</v>
      </c>
      <c r="J4118" s="304" t="str">
        <f>CONCATENATE([2]Cover!$D$6,"fdd/view?i=",I4118)</f>
        <v>https://www.dgiwg.org/FAD/fdd/view?i=116397</v>
      </c>
      <c r="K4118" s="304" t="s">
        <v>38167</v>
      </c>
      <c r="L4118" s="188">
        <v>128</v>
      </c>
      <c r="M4118" s="179" t="s">
        <v>151</v>
      </c>
    </row>
    <row r="4119" spans="1:13">
      <c r="A4119" s="313" t="str">
        <f t="shared" si="64"/>
        <v>JetAircraftStartUnitTypeCode_tasu</v>
      </c>
      <c r="B4119" s="330"/>
      <c r="C4119" s="334"/>
      <c r="D4119" s="188" t="s">
        <v>24482</v>
      </c>
      <c r="E4119" s="189" t="s">
        <v>24483</v>
      </c>
      <c r="F4119" s="162" t="s">
        <v>24484</v>
      </c>
      <c r="G4119" s="190"/>
      <c r="H4119" s="219"/>
      <c r="I4119" s="169">
        <v>116416</v>
      </c>
      <c r="J4119" s="304" t="str">
        <f>CONCATENATE([2]Cover!$D$6,"fdd/view?i=",I4119)</f>
        <v>https://www.dgiwg.org/FAD/fdd/view?i=116416</v>
      </c>
      <c r="K4119" s="304" t="s">
        <v>38168</v>
      </c>
      <c r="L4119" s="188">
        <v>147</v>
      </c>
      <c r="M4119" s="179" t="s">
        <v>151</v>
      </c>
    </row>
    <row r="4120" spans="1:13" ht="25.5">
      <c r="A4120" s="313" t="str">
        <f t="shared" si="64"/>
        <v>JetAircraftStartUnitTypeCode_tc_50</v>
      </c>
      <c r="B4120" s="330"/>
      <c r="C4120" s="334"/>
      <c r="D4120" s="188" t="s">
        <v>24488</v>
      </c>
      <c r="E4120" s="189" t="s">
        <v>24489</v>
      </c>
      <c r="F4120" s="162" t="s">
        <v>24490</v>
      </c>
      <c r="G4120" s="190"/>
      <c r="H4120" s="219"/>
      <c r="I4120" s="169">
        <v>116417</v>
      </c>
      <c r="J4120" s="304" t="str">
        <f>CONCATENATE([2]Cover!$D$6,"fdd/view?i=",I4120)</f>
        <v>https://www.dgiwg.org/FAD/fdd/view?i=116417</v>
      </c>
      <c r="K4120" s="304" t="s">
        <v>38169</v>
      </c>
      <c r="L4120" s="188">
        <v>148</v>
      </c>
      <c r="M4120" s="179" t="s">
        <v>151</v>
      </c>
    </row>
    <row r="4121" spans="1:13" ht="25.5">
      <c r="A4121" s="313" t="str">
        <f t="shared" si="64"/>
        <v>JetAircraftStartUnitTypeCode_tc1_PacAustNewZea</v>
      </c>
      <c r="B4121" s="330"/>
      <c r="C4121" s="334"/>
      <c r="D4121" s="188" t="s">
        <v>24485</v>
      </c>
      <c r="E4121" s="189" t="s">
        <v>24486</v>
      </c>
      <c r="F4121" s="162" t="s">
        <v>24487</v>
      </c>
      <c r="G4121" s="190"/>
      <c r="H4121" s="219"/>
      <c r="I4121" s="169">
        <v>116398</v>
      </c>
      <c r="J4121" s="304" t="str">
        <f>CONCATENATE([2]Cover!$D$6,"fdd/view?i=",I4121)</f>
        <v>https://www.dgiwg.org/FAD/fdd/view?i=116398</v>
      </c>
      <c r="K4121" s="304" t="s">
        <v>38170</v>
      </c>
      <c r="L4121" s="188">
        <v>129</v>
      </c>
      <c r="M4121" s="179" t="s">
        <v>151</v>
      </c>
    </row>
    <row r="4122" spans="1:13" ht="38.25">
      <c r="A4122" s="313" t="str">
        <f t="shared" si="64"/>
        <v>JetAircraftStartUnitTypeCode_u1000_PacAustNewZea</v>
      </c>
      <c r="B4122" s="330"/>
      <c r="C4122" s="334"/>
      <c r="D4122" s="188" t="s">
        <v>24491</v>
      </c>
      <c r="E4122" s="189" t="s">
        <v>24492</v>
      </c>
      <c r="F4122" s="162" t="s">
        <v>24493</v>
      </c>
      <c r="G4122" s="190"/>
      <c r="H4122" s="219"/>
      <c r="I4122" s="169">
        <v>116399</v>
      </c>
      <c r="J4122" s="304" t="str">
        <f>CONCATENATE([2]Cover!$D$6,"fdd/view?i=",I4122)</f>
        <v>https://www.dgiwg.org/FAD/fdd/view?i=116399</v>
      </c>
      <c r="K4122" s="304" t="s">
        <v>38171</v>
      </c>
      <c r="L4122" s="188">
        <v>130</v>
      </c>
      <c r="M4122" s="179" t="s">
        <v>151</v>
      </c>
    </row>
    <row r="4123" spans="1:13" ht="38.25">
      <c r="A4123" s="313" t="str">
        <f t="shared" si="64"/>
        <v>JetAircraftStartUnitTypeCode_u1003_PacAustNewZea</v>
      </c>
      <c r="B4123" s="330"/>
      <c r="C4123" s="334"/>
      <c r="D4123" s="188" t="s">
        <v>24494</v>
      </c>
      <c r="E4123" s="189" t="s">
        <v>24495</v>
      </c>
      <c r="F4123" s="162" t="s">
        <v>24493</v>
      </c>
      <c r="G4123" s="190"/>
      <c r="H4123" s="219"/>
      <c r="I4123" s="169">
        <v>116400</v>
      </c>
      <c r="J4123" s="304" t="str">
        <f>CONCATENATE([2]Cover!$D$6,"fdd/view?i=",I4123)</f>
        <v>https://www.dgiwg.org/FAD/fdd/view?i=116400</v>
      </c>
      <c r="K4123" s="304" t="s">
        <v>38172</v>
      </c>
      <c r="L4123" s="188">
        <v>131</v>
      </c>
      <c r="M4123" s="179" t="s">
        <v>151</v>
      </c>
    </row>
    <row r="4124" spans="1:13" ht="25.5">
      <c r="A4124" s="313" t="str">
        <f t="shared" si="64"/>
        <v>JetAircraftStartUnitTypeCode_wellsAirStart</v>
      </c>
      <c r="B4124" s="331"/>
      <c r="C4124" s="335"/>
      <c r="D4124" s="181" t="s">
        <v>24496</v>
      </c>
      <c r="E4124" s="192" t="s">
        <v>24497</v>
      </c>
      <c r="F4124" s="193" t="s">
        <v>24498</v>
      </c>
      <c r="G4124" s="194"/>
      <c r="H4124" s="220"/>
      <c r="I4124" s="169">
        <v>116307</v>
      </c>
      <c r="J4124" s="304" t="str">
        <f>CONCATENATE([2]Cover!$D$6,"fdd/view?i=",I4124)</f>
        <v>https://www.dgiwg.org/FAD/fdd/view?i=116307</v>
      </c>
      <c r="K4124" s="304" t="s">
        <v>38173</v>
      </c>
      <c r="L4124" s="181">
        <v>38</v>
      </c>
      <c r="M4124" s="179" t="s">
        <v>151</v>
      </c>
    </row>
    <row r="4125" spans="1:13" ht="25.5">
      <c r="A4125" s="313" t="str">
        <f t="shared" si="64"/>
        <v>LandMorphologyCode_alluvialFan</v>
      </c>
      <c r="B4125" s="332" t="str">
        <f>HYPERLINK("[#]Datatypes!A776:L776","LandMorphologyCode")</f>
        <v>LandMorphologyCode</v>
      </c>
      <c r="C4125" s="333" t="s">
        <v>12361</v>
      </c>
      <c r="D4125" s="202" t="s">
        <v>24499</v>
      </c>
      <c r="E4125" s="203" t="s">
        <v>24500</v>
      </c>
      <c r="F4125" s="204" t="s">
        <v>24501</v>
      </c>
      <c r="G4125" s="204" t="s">
        <v>24502</v>
      </c>
      <c r="H4125" s="218"/>
      <c r="I4125" s="169">
        <v>202385</v>
      </c>
      <c r="J4125" s="304" t="str">
        <f>CONCATENATE([2]Cover!$D$6,"fdd/view?i=",I4125)</f>
        <v>https://www.dgiwg.org/FAD/fdd/view?i=202385</v>
      </c>
      <c r="K4125" s="304" t="s">
        <v>38174</v>
      </c>
      <c r="L4125" s="202">
        <v>55</v>
      </c>
      <c r="M4125" s="179" t="s">
        <v>1295</v>
      </c>
    </row>
    <row r="4126" spans="1:13">
      <c r="A4126" s="313" t="str">
        <f t="shared" si="64"/>
        <v>LandMorphologyCode_arch</v>
      </c>
      <c r="B4126" s="330"/>
      <c r="C4126" s="334"/>
      <c r="D4126" s="188" t="s">
        <v>18335</v>
      </c>
      <c r="E4126" s="189" t="s">
        <v>18336</v>
      </c>
      <c r="F4126" s="162" t="s">
        <v>24503</v>
      </c>
      <c r="G4126" s="190"/>
      <c r="H4126" s="219"/>
      <c r="I4126" s="169">
        <v>202331</v>
      </c>
      <c r="J4126" s="304" t="str">
        <f>CONCATENATE([2]Cover!$D$6,"fdd/view?i=",I4126)</f>
        <v>https://www.dgiwg.org/FAD/fdd/view?i=202331</v>
      </c>
      <c r="K4126" s="304" t="s">
        <v>38175</v>
      </c>
      <c r="L4126" s="188">
        <v>1</v>
      </c>
      <c r="M4126" s="179" t="s">
        <v>1295</v>
      </c>
    </row>
    <row r="4127" spans="1:13" ht="25.5">
      <c r="A4127" s="313" t="str">
        <f t="shared" si="64"/>
        <v>LandMorphologyCode_atoll</v>
      </c>
      <c r="B4127" s="330"/>
      <c r="C4127" s="334"/>
      <c r="D4127" s="188" t="s">
        <v>24504</v>
      </c>
      <c r="E4127" s="189" t="s">
        <v>24505</v>
      </c>
      <c r="F4127" s="162" t="s">
        <v>24506</v>
      </c>
      <c r="G4127" s="190"/>
      <c r="H4127" s="219"/>
      <c r="I4127" s="169">
        <v>202332</v>
      </c>
      <c r="J4127" s="304" t="str">
        <f>CONCATENATE([2]Cover!$D$6,"fdd/view?i=",I4127)</f>
        <v>https://www.dgiwg.org/FAD/fdd/view?i=202332</v>
      </c>
      <c r="K4127" s="304" t="s">
        <v>38176</v>
      </c>
      <c r="L4127" s="188">
        <v>2</v>
      </c>
      <c r="M4127" s="179" t="s">
        <v>1295</v>
      </c>
    </row>
    <row r="4128" spans="1:13" ht="25.5">
      <c r="A4128" s="313" t="str">
        <f t="shared" si="64"/>
        <v>LandMorphologyCode_badlands</v>
      </c>
      <c r="B4128" s="330"/>
      <c r="C4128" s="334"/>
      <c r="D4128" s="188" t="s">
        <v>24507</v>
      </c>
      <c r="E4128" s="189" t="s">
        <v>24508</v>
      </c>
      <c r="F4128" s="162" t="s">
        <v>24509</v>
      </c>
      <c r="G4128" s="190"/>
      <c r="H4128" s="219"/>
      <c r="I4128" s="169">
        <v>202333</v>
      </c>
      <c r="J4128" s="304" t="str">
        <f>CONCATENATE([2]Cover!$D$6,"fdd/view?i=",I4128)</f>
        <v>https://www.dgiwg.org/FAD/fdd/view?i=202333</v>
      </c>
      <c r="K4128" s="304" t="s">
        <v>38177</v>
      </c>
      <c r="L4128" s="188">
        <v>3</v>
      </c>
      <c r="M4128" s="179" t="s">
        <v>1295</v>
      </c>
    </row>
    <row r="4129" spans="1:13" ht="51">
      <c r="A4129" s="313" t="str">
        <f t="shared" si="64"/>
        <v>LandMorphologyCode_barrierIsland</v>
      </c>
      <c r="B4129" s="330"/>
      <c r="C4129" s="334"/>
      <c r="D4129" s="188" t="s">
        <v>24510</v>
      </c>
      <c r="E4129" s="189" t="s">
        <v>24511</v>
      </c>
      <c r="F4129" s="162" t="s">
        <v>24512</v>
      </c>
      <c r="G4129" s="162" t="s">
        <v>24513</v>
      </c>
      <c r="H4129" s="219"/>
      <c r="I4129" s="169">
        <v>203371</v>
      </c>
      <c r="J4129" s="304" t="str">
        <f>CONCATENATE([2]Cover!$D$6,"fdd/view?i=",I4129)</f>
        <v>https://www.dgiwg.org/FAD/fdd/view?i=203371</v>
      </c>
      <c r="K4129" s="304" t="s">
        <v>38178</v>
      </c>
      <c r="L4129" s="188">
        <v>62</v>
      </c>
      <c r="M4129" s="179" t="s">
        <v>1295</v>
      </c>
    </row>
    <row r="4130" spans="1:13" ht="63.75">
      <c r="A4130" s="313" t="str">
        <f t="shared" si="64"/>
        <v>LandMorphologyCode_beachRidge</v>
      </c>
      <c r="B4130" s="330"/>
      <c r="C4130" s="334"/>
      <c r="D4130" s="188" t="s">
        <v>24514</v>
      </c>
      <c r="E4130" s="189" t="s">
        <v>24515</v>
      </c>
      <c r="F4130" s="162" t="s">
        <v>24516</v>
      </c>
      <c r="G4130" s="162" t="s">
        <v>24517</v>
      </c>
      <c r="H4130" s="219"/>
      <c r="I4130" s="169">
        <v>202879</v>
      </c>
      <c r="J4130" s="304" t="str">
        <f>CONCATENATE([2]Cover!$D$6,"fdd/view?i=",I4130)</f>
        <v>https://www.dgiwg.org/FAD/fdd/view?i=202879</v>
      </c>
      <c r="K4130" s="304" t="s">
        <v>38179</v>
      </c>
      <c r="L4130" s="188">
        <v>58</v>
      </c>
      <c r="M4130" s="179" t="s">
        <v>1295</v>
      </c>
    </row>
    <row r="4131" spans="1:13" ht="25.5">
      <c r="A4131" s="313" t="str">
        <f t="shared" si="64"/>
        <v>LandMorphologyCode_bench</v>
      </c>
      <c r="B4131" s="330"/>
      <c r="C4131" s="334"/>
      <c r="D4131" s="188" t="s">
        <v>24518</v>
      </c>
      <c r="E4131" s="189" t="s">
        <v>1663</v>
      </c>
      <c r="F4131" s="162" t="s">
        <v>24519</v>
      </c>
      <c r="G4131" s="190"/>
      <c r="H4131" s="219"/>
      <c r="I4131" s="169">
        <v>202336</v>
      </c>
      <c r="J4131" s="304" t="str">
        <f>CONCATENATE([2]Cover!$D$6,"fdd/view?i=",I4131)</f>
        <v>https://www.dgiwg.org/FAD/fdd/view?i=202336</v>
      </c>
      <c r="K4131" s="304" t="s">
        <v>38180</v>
      </c>
      <c r="L4131" s="188">
        <v>6</v>
      </c>
      <c r="M4131" s="179" t="s">
        <v>1295</v>
      </c>
    </row>
    <row r="4132" spans="1:13" ht="25.5">
      <c r="A4132" s="313" t="str">
        <f t="shared" si="64"/>
        <v>LandMorphologyCode_blowhole</v>
      </c>
      <c r="B4132" s="330"/>
      <c r="C4132" s="334"/>
      <c r="D4132" s="188" t="s">
        <v>24520</v>
      </c>
      <c r="E4132" s="189" t="s">
        <v>24521</v>
      </c>
      <c r="F4132" s="162" t="s">
        <v>24522</v>
      </c>
      <c r="G4132" s="190"/>
      <c r="H4132" s="219"/>
      <c r="I4132" s="169">
        <v>202334</v>
      </c>
      <c r="J4132" s="304" t="str">
        <f>CONCATENATE([2]Cover!$D$6,"fdd/view?i=",I4132)</f>
        <v>https://www.dgiwg.org/FAD/fdd/view?i=202334</v>
      </c>
      <c r="K4132" s="304" t="s">
        <v>38181</v>
      </c>
      <c r="L4132" s="188">
        <v>4</v>
      </c>
      <c r="M4132" s="179" t="s">
        <v>1295</v>
      </c>
    </row>
    <row r="4133" spans="1:13">
      <c r="A4133" s="313" t="str">
        <f t="shared" si="64"/>
        <v>LandMorphologyCode_blowOut</v>
      </c>
      <c r="B4133" s="330"/>
      <c r="C4133" s="334"/>
      <c r="D4133" s="188" t="s">
        <v>24523</v>
      </c>
      <c r="E4133" s="189" t="s">
        <v>24524</v>
      </c>
      <c r="F4133" s="162" t="s">
        <v>24525</v>
      </c>
      <c r="G4133" s="190"/>
      <c r="H4133" s="219"/>
      <c r="I4133" s="169">
        <v>202335</v>
      </c>
      <c r="J4133" s="304" t="str">
        <f>CONCATENATE([2]Cover!$D$6,"fdd/view?i=",I4133)</f>
        <v>https://www.dgiwg.org/FAD/fdd/view?i=202335</v>
      </c>
      <c r="K4133" s="304" t="s">
        <v>38182</v>
      </c>
      <c r="L4133" s="188">
        <v>5</v>
      </c>
      <c r="M4133" s="179" t="s">
        <v>1295</v>
      </c>
    </row>
    <row r="4134" spans="1:13">
      <c r="A4134" s="313" t="str">
        <f t="shared" si="64"/>
        <v>LandMorphologyCode_butte</v>
      </c>
      <c r="B4134" s="330"/>
      <c r="C4134" s="334"/>
      <c r="D4134" s="188" t="s">
        <v>24526</v>
      </c>
      <c r="E4134" s="189" t="s">
        <v>24527</v>
      </c>
      <c r="F4134" s="162" t="s">
        <v>24528</v>
      </c>
      <c r="G4134" s="190"/>
      <c r="H4134" s="219"/>
      <c r="I4134" s="169">
        <v>202339</v>
      </c>
      <c r="J4134" s="304" t="str">
        <f>CONCATENATE([2]Cover!$D$6,"fdd/view?i=",I4134)</f>
        <v>https://www.dgiwg.org/FAD/fdd/view?i=202339</v>
      </c>
      <c r="K4134" s="304" t="s">
        <v>38183</v>
      </c>
      <c r="L4134" s="188">
        <v>9</v>
      </c>
      <c r="M4134" s="179" t="s">
        <v>1295</v>
      </c>
    </row>
    <row r="4135" spans="1:13" ht="25.5">
      <c r="A4135" s="313" t="str">
        <f t="shared" si="64"/>
        <v>LandMorphologyCode_canyon</v>
      </c>
      <c r="B4135" s="330"/>
      <c r="C4135" s="334"/>
      <c r="D4135" s="188" t="s">
        <v>24529</v>
      </c>
      <c r="E4135" s="189" t="s">
        <v>24530</v>
      </c>
      <c r="F4135" s="162" t="s">
        <v>24531</v>
      </c>
      <c r="G4135" s="190"/>
      <c r="H4135" s="219"/>
      <c r="I4135" s="169">
        <v>202342</v>
      </c>
      <c r="J4135" s="304" t="str">
        <f>CONCATENATE([2]Cover!$D$6,"fdd/view?i=",I4135)</f>
        <v>https://www.dgiwg.org/FAD/fdd/view?i=202342</v>
      </c>
      <c r="K4135" s="304" t="s">
        <v>38184</v>
      </c>
      <c r="L4135" s="188">
        <v>12</v>
      </c>
      <c r="M4135" s="179" t="s">
        <v>1295</v>
      </c>
    </row>
    <row r="4136" spans="1:13" ht="25.5">
      <c r="A4136" s="313" t="str">
        <f t="shared" si="64"/>
        <v>LandMorphologyCode_cape</v>
      </c>
      <c r="B4136" s="330"/>
      <c r="C4136" s="334"/>
      <c r="D4136" s="188" t="s">
        <v>24532</v>
      </c>
      <c r="E4136" s="189" t="s">
        <v>24533</v>
      </c>
      <c r="F4136" s="162" t="s">
        <v>24534</v>
      </c>
      <c r="G4136" s="190"/>
      <c r="H4136" s="219"/>
      <c r="I4136" s="169">
        <v>202340</v>
      </c>
      <c r="J4136" s="304" t="str">
        <f>CONCATENATE([2]Cover!$D$6,"fdd/view?i=",I4136)</f>
        <v>https://www.dgiwg.org/FAD/fdd/view?i=202340</v>
      </c>
      <c r="K4136" s="304" t="s">
        <v>38185</v>
      </c>
      <c r="L4136" s="188">
        <v>10</v>
      </c>
      <c r="M4136" s="179" t="s">
        <v>1295</v>
      </c>
    </row>
    <row r="4137" spans="1:13" ht="25.5">
      <c r="A4137" s="313" t="str">
        <f t="shared" si="64"/>
        <v>LandMorphologyCode_cirque</v>
      </c>
      <c r="B4137" s="330"/>
      <c r="C4137" s="334"/>
      <c r="D4137" s="188" t="s">
        <v>24535</v>
      </c>
      <c r="E4137" s="189" t="s">
        <v>24536</v>
      </c>
      <c r="F4137" s="162" t="s">
        <v>24537</v>
      </c>
      <c r="G4137" s="190"/>
      <c r="H4137" s="219"/>
      <c r="I4137" s="169">
        <v>202345</v>
      </c>
      <c r="J4137" s="304" t="str">
        <f>CONCATENATE([2]Cover!$D$6,"fdd/view?i=",I4137)</f>
        <v>https://www.dgiwg.org/FAD/fdd/view?i=202345</v>
      </c>
      <c r="K4137" s="304" t="s">
        <v>38186</v>
      </c>
      <c r="L4137" s="188">
        <v>15</v>
      </c>
      <c r="M4137" s="179" t="s">
        <v>1295</v>
      </c>
    </row>
    <row r="4138" spans="1:13">
      <c r="A4138" s="313" t="str">
        <f t="shared" si="64"/>
        <v>LandMorphologyCode_cleft</v>
      </c>
      <c r="B4138" s="330"/>
      <c r="C4138" s="334"/>
      <c r="D4138" s="188" t="s">
        <v>24538</v>
      </c>
      <c r="E4138" s="189" t="s">
        <v>24539</v>
      </c>
      <c r="F4138" s="162" t="s">
        <v>24540</v>
      </c>
      <c r="G4138" s="190"/>
      <c r="H4138" s="219"/>
      <c r="I4138" s="169">
        <v>202341</v>
      </c>
      <c r="J4138" s="304" t="str">
        <f>CONCATENATE([2]Cover!$D$6,"fdd/view?i=",I4138)</f>
        <v>https://www.dgiwg.org/FAD/fdd/view?i=202341</v>
      </c>
      <c r="K4138" s="304" t="s">
        <v>38187</v>
      </c>
      <c r="L4138" s="188">
        <v>11</v>
      </c>
      <c r="M4138" s="179" t="s">
        <v>1295</v>
      </c>
    </row>
    <row r="4139" spans="1:13">
      <c r="A4139" s="313" t="str">
        <f t="shared" si="64"/>
        <v>LandMorphologyCode_coalfield</v>
      </c>
      <c r="B4139" s="330"/>
      <c r="C4139" s="334"/>
      <c r="D4139" s="188" t="s">
        <v>24541</v>
      </c>
      <c r="E4139" s="189" t="s">
        <v>24542</v>
      </c>
      <c r="F4139" s="162" t="s">
        <v>24543</v>
      </c>
      <c r="G4139" s="190"/>
      <c r="H4139" s="219"/>
      <c r="I4139" s="169">
        <v>202343</v>
      </c>
      <c r="J4139" s="304" t="str">
        <f>CONCATENATE([2]Cover!$D$6,"fdd/view?i=",I4139)</f>
        <v>https://www.dgiwg.org/FAD/fdd/view?i=202343</v>
      </c>
      <c r="K4139" s="304" t="s">
        <v>38188</v>
      </c>
      <c r="L4139" s="188">
        <v>13</v>
      </c>
      <c r="M4139" s="179" t="s">
        <v>1295</v>
      </c>
    </row>
    <row r="4140" spans="1:13">
      <c r="A4140" s="313" t="str">
        <f t="shared" si="64"/>
        <v>LandMorphologyCode_coast</v>
      </c>
      <c r="B4140" s="330"/>
      <c r="C4140" s="334"/>
      <c r="D4140" s="188" t="s">
        <v>24544</v>
      </c>
      <c r="E4140" s="189" t="s">
        <v>24545</v>
      </c>
      <c r="F4140" s="162" t="s">
        <v>24546</v>
      </c>
      <c r="G4140" s="162" t="s">
        <v>24547</v>
      </c>
      <c r="H4140" s="219"/>
      <c r="I4140" s="169">
        <v>202346</v>
      </c>
      <c r="J4140" s="304" t="str">
        <f>CONCATENATE([2]Cover!$D$6,"fdd/view?i=",I4140)</f>
        <v>https://www.dgiwg.org/FAD/fdd/view?i=202346</v>
      </c>
      <c r="K4140" s="304" t="s">
        <v>38189</v>
      </c>
      <c r="L4140" s="188">
        <v>16</v>
      </c>
      <c r="M4140" s="179" t="s">
        <v>1295</v>
      </c>
    </row>
    <row r="4141" spans="1:13" ht="63.75">
      <c r="A4141" s="313" t="str">
        <f t="shared" si="64"/>
        <v>LandMorphologyCode_continentalIsland</v>
      </c>
      <c r="B4141" s="330"/>
      <c r="C4141" s="334"/>
      <c r="D4141" s="188" t="s">
        <v>24548</v>
      </c>
      <c r="E4141" s="189" t="s">
        <v>24549</v>
      </c>
      <c r="F4141" s="162" t="s">
        <v>24550</v>
      </c>
      <c r="G4141" s="162" t="s">
        <v>24551</v>
      </c>
      <c r="H4141" s="219"/>
      <c r="I4141" s="169">
        <v>203369</v>
      </c>
      <c r="J4141" s="304" t="str">
        <f>CONCATENATE([2]Cover!$D$6,"fdd/view?i=",I4141)</f>
        <v>https://www.dgiwg.org/FAD/fdd/view?i=203369</v>
      </c>
      <c r="K4141" s="304" t="s">
        <v>38190</v>
      </c>
      <c r="L4141" s="188">
        <v>60</v>
      </c>
      <c r="M4141" s="179" t="s">
        <v>1295</v>
      </c>
    </row>
    <row r="4142" spans="1:13">
      <c r="A4142" s="313" t="str">
        <f t="shared" si="64"/>
        <v>LandMorphologyCode_corridor</v>
      </c>
      <c r="B4142" s="330"/>
      <c r="C4142" s="334"/>
      <c r="D4142" s="188" t="s">
        <v>24552</v>
      </c>
      <c r="E4142" s="189" t="s">
        <v>24553</v>
      </c>
      <c r="F4142" s="162" t="s">
        <v>24554</v>
      </c>
      <c r="G4142" s="190"/>
      <c r="H4142" s="219"/>
      <c r="I4142" s="169">
        <v>202344</v>
      </c>
      <c r="J4142" s="304" t="str">
        <f>CONCATENATE([2]Cover!$D$6,"fdd/view?i=",I4142)</f>
        <v>https://www.dgiwg.org/FAD/fdd/view?i=202344</v>
      </c>
      <c r="K4142" s="304" t="s">
        <v>38191</v>
      </c>
      <c r="L4142" s="188">
        <v>14</v>
      </c>
      <c r="M4142" s="179" t="s">
        <v>1295</v>
      </c>
    </row>
    <row r="4143" spans="1:13">
      <c r="A4143" s="313" t="str">
        <f t="shared" si="64"/>
        <v>LandMorphologyCode_cuesta</v>
      </c>
      <c r="B4143" s="330"/>
      <c r="C4143" s="334"/>
      <c r="D4143" s="188" t="s">
        <v>24555</v>
      </c>
      <c r="E4143" s="189" t="s">
        <v>24556</v>
      </c>
      <c r="F4143" s="162" t="s">
        <v>24557</v>
      </c>
      <c r="G4143" s="190"/>
      <c r="H4143" s="219"/>
      <c r="I4143" s="169">
        <v>202347</v>
      </c>
      <c r="J4143" s="304" t="str">
        <f>CONCATENATE([2]Cover!$D$6,"fdd/view?i=",I4143)</f>
        <v>https://www.dgiwg.org/FAD/fdd/view?i=202347</v>
      </c>
      <c r="K4143" s="304" t="s">
        <v>38192</v>
      </c>
      <c r="L4143" s="188">
        <v>17</v>
      </c>
      <c r="M4143" s="179" t="s">
        <v>1295</v>
      </c>
    </row>
    <row r="4144" spans="1:13">
      <c r="A4144" s="313" t="str">
        <f t="shared" si="64"/>
        <v>LandMorphologyCode_depression</v>
      </c>
      <c r="B4144" s="330"/>
      <c r="C4144" s="334"/>
      <c r="D4144" s="188" t="s">
        <v>24558</v>
      </c>
      <c r="E4144" s="189" t="s">
        <v>2057</v>
      </c>
      <c r="F4144" s="162" t="s">
        <v>24559</v>
      </c>
      <c r="G4144" s="190"/>
      <c r="H4144" s="219"/>
      <c r="I4144" s="169">
        <v>202436</v>
      </c>
      <c r="J4144" s="304" t="str">
        <f>CONCATENATE([2]Cover!$D$6,"fdd/view?i=",I4144)</f>
        <v>https://www.dgiwg.org/FAD/fdd/view?i=202436</v>
      </c>
      <c r="K4144" s="304" t="s">
        <v>38193</v>
      </c>
      <c r="L4144" s="188">
        <v>56</v>
      </c>
      <c r="M4144" s="179" t="s">
        <v>1295</v>
      </c>
    </row>
    <row r="4145" spans="1:13">
      <c r="A4145" s="313" t="str">
        <f t="shared" si="64"/>
        <v>LandMorphologyCode_divide</v>
      </c>
      <c r="B4145" s="330"/>
      <c r="C4145" s="334"/>
      <c r="D4145" s="188" t="s">
        <v>24560</v>
      </c>
      <c r="E4145" s="189" t="s">
        <v>24561</v>
      </c>
      <c r="F4145" s="162" t="s">
        <v>24562</v>
      </c>
      <c r="G4145" s="190"/>
      <c r="H4145" s="219"/>
      <c r="I4145" s="169">
        <v>202348</v>
      </c>
      <c r="J4145" s="304" t="str">
        <f>CONCATENATE([2]Cover!$D$6,"fdd/view?i=",I4145)</f>
        <v>https://www.dgiwg.org/FAD/fdd/view?i=202348</v>
      </c>
      <c r="K4145" s="304" t="s">
        <v>38194</v>
      </c>
      <c r="L4145" s="188">
        <v>18</v>
      </c>
      <c r="M4145" s="179" t="s">
        <v>1295</v>
      </c>
    </row>
    <row r="4146" spans="1:13" ht="25.5">
      <c r="A4146" s="313" t="str">
        <f t="shared" si="64"/>
        <v>LandMorphologyCode_drainageBasin</v>
      </c>
      <c r="B4146" s="330"/>
      <c r="C4146" s="334"/>
      <c r="D4146" s="188" t="s">
        <v>24565</v>
      </c>
      <c r="E4146" s="189" t="s">
        <v>2136</v>
      </c>
      <c r="F4146" s="162" t="s">
        <v>24566</v>
      </c>
      <c r="G4146" s="190"/>
      <c r="H4146" s="219"/>
      <c r="I4146" s="169">
        <v>202337</v>
      </c>
      <c r="J4146" s="304" t="str">
        <f>CONCATENATE([2]Cover!$D$6,"fdd/view?i=",I4146)</f>
        <v>https://www.dgiwg.org/FAD/fdd/view?i=202337</v>
      </c>
      <c r="K4146" s="304" t="s">
        <v>38195</v>
      </c>
      <c r="L4146" s="188">
        <v>7</v>
      </c>
      <c r="M4146" s="179" t="s">
        <v>1295</v>
      </c>
    </row>
    <row r="4147" spans="1:13">
      <c r="A4147" s="313" t="str">
        <f t="shared" si="64"/>
        <v>LandMorphologyCode_eyot</v>
      </c>
      <c r="B4147" s="330"/>
      <c r="C4147" s="334"/>
      <c r="D4147" s="188" t="s">
        <v>24567</v>
      </c>
      <c r="E4147" s="189" t="s">
        <v>24568</v>
      </c>
      <c r="F4147" s="162" t="s">
        <v>24569</v>
      </c>
      <c r="G4147" s="190"/>
      <c r="H4147" s="219"/>
      <c r="I4147" s="169">
        <v>203368</v>
      </c>
      <c r="J4147" s="304" t="str">
        <f>CONCATENATE([2]Cover!$D$6,"fdd/view?i=",I4147)</f>
        <v>https://www.dgiwg.org/FAD/fdd/view?i=203368</v>
      </c>
      <c r="K4147" s="304" t="s">
        <v>38196</v>
      </c>
      <c r="L4147" s="188">
        <v>59</v>
      </c>
      <c r="M4147" s="179" t="s">
        <v>1295</v>
      </c>
    </row>
    <row r="4148" spans="1:13">
      <c r="A4148" s="313" t="str">
        <f t="shared" si="64"/>
        <v>LandMorphologyCode_fjord</v>
      </c>
      <c r="B4148" s="330"/>
      <c r="C4148" s="334"/>
      <c r="D4148" s="188" t="s">
        <v>24563</v>
      </c>
      <c r="E4148" s="189" t="s">
        <v>18411</v>
      </c>
      <c r="F4148" s="162" t="s">
        <v>24564</v>
      </c>
      <c r="G4148" s="190"/>
      <c r="H4148" s="219"/>
      <c r="I4148" s="169">
        <v>202349</v>
      </c>
      <c r="J4148" s="304" t="str">
        <f>CONCATENATE([2]Cover!$D$6,"fdd/view?i=",I4148)</f>
        <v>https://www.dgiwg.org/FAD/fdd/view?i=202349</v>
      </c>
      <c r="K4148" s="304" t="s">
        <v>38197</v>
      </c>
      <c r="L4148" s="188">
        <v>19</v>
      </c>
      <c r="M4148" s="179" t="s">
        <v>1295</v>
      </c>
    </row>
    <row r="4149" spans="1:13">
      <c r="A4149" s="313" t="str">
        <f t="shared" si="64"/>
        <v>LandMorphologyCode_gap</v>
      </c>
      <c r="B4149" s="330"/>
      <c r="C4149" s="334"/>
      <c r="D4149" s="188" t="s">
        <v>24570</v>
      </c>
      <c r="E4149" s="189" t="s">
        <v>24571</v>
      </c>
      <c r="F4149" s="162" t="s">
        <v>24572</v>
      </c>
      <c r="G4149" s="190"/>
      <c r="H4149" s="219"/>
      <c r="I4149" s="169">
        <v>202350</v>
      </c>
      <c r="J4149" s="304" t="str">
        <f>CONCATENATE([2]Cover!$D$6,"fdd/view?i=",I4149)</f>
        <v>https://www.dgiwg.org/FAD/fdd/view?i=202350</v>
      </c>
      <c r="K4149" s="304" t="s">
        <v>38198</v>
      </c>
      <c r="L4149" s="188">
        <v>20</v>
      </c>
      <c r="M4149" s="179" t="s">
        <v>1295</v>
      </c>
    </row>
    <row r="4150" spans="1:13">
      <c r="A4150" s="313" t="str">
        <f t="shared" si="64"/>
        <v>LandMorphologyCode_gorge</v>
      </c>
      <c r="B4150" s="330"/>
      <c r="C4150" s="334"/>
      <c r="D4150" s="188" t="s">
        <v>24573</v>
      </c>
      <c r="E4150" s="189" t="s">
        <v>24574</v>
      </c>
      <c r="F4150" s="162" t="s">
        <v>24575</v>
      </c>
      <c r="G4150" s="190"/>
      <c r="H4150" s="219"/>
      <c r="I4150" s="169">
        <v>202351</v>
      </c>
      <c r="J4150" s="304" t="str">
        <f>CONCATENATE([2]Cover!$D$6,"fdd/view?i=",I4150)</f>
        <v>https://www.dgiwg.org/FAD/fdd/view?i=202351</v>
      </c>
      <c r="K4150" s="304" t="s">
        <v>38199</v>
      </c>
      <c r="L4150" s="188">
        <v>21</v>
      </c>
      <c r="M4150" s="179" t="s">
        <v>1295</v>
      </c>
    </row>
    <row r="4151" spans="1:13" ht="25.5">
      <c r="A4151" s="313" t="str">
        <f t="shared" si="64"/>
        <v>LandMorphologyCode_hangingValley</v>
      </c>
      <c r="B4151" s="330"/>
      <c r="C4151" s="334"/>
      <c r="D4151" s="188" t="s">
        <v>24576</v>
      </c>
      <c r="E4151" s="189" t="s">
        <v>24577</v>
      </c>
      <c r="F4151" s="162" t="s">
        <v>24578</v>
      </c>
      <c r="G4151" s="162" t="s">
        <v>24579</v>
      </c>
      <c r="H4151" s="219"/>
      <c r="I4151" s="169">
        <v>202383</v>
      </c>
      <c r="J4151" s="304" t="str">
        <f>CONCATENATE([2]Cover!$D$6,"fdd/view?i=",I4151)</f>
        <v>https://www.dgiwg.org/FAD/fdd/view?i=202383</v>
      </c>
      <c r="K4151" s="304" t="s">
        <v>38200</v>
      </c>
      <c r="L4151" s="188">
        <v>53</v>
      </c>
      <c r="M4151" s="179" t="s">
        <v>1295</v>
      </c>
    </row>
    <row r="4152" spans="1:13" ht="25.5">
      <c r="A4152" s="313" t="str">
        <f t="shared" si="64"/>
        <v>LandMorphologyCode_headland</v>
      </c>
      <c r="B4152" s="330"/>
      <c r="C4152" s="334"/>
      <c r="D4152" s="188" t="s">
        <v>24580</v>
      </c>
      <c r="E4152" s="189" t="s">
        <v>24581</v>
      </c>
      <c r="F4152" s="162" t="s">
        <v>24582</v>
      </c>
      <c r="G4152" s="190"/>
      <c r="H4152" s="219"/>
      <c r="I4152" s="169">
        <v>202352</v>
      </c>
      <c r="J4152" s="304" t="str">
        <f>CONCATENATE([2]Cover!$D$6,"fdd/view?i=",I4152)</f>
        <v>https://www.dgiwg.org/FAD/fdd/view?i=202352</v>
      </c>
      <c r="K4152" s="304" t="s">
        <v>38201</v>
      </c>
      <c r="L4152" s="188">
        <v>22</v>
      </c>
      <c r="M4152" s="179" t="s">
        <v>1295</v>
      </c>
    </row>
    <row r="4153" spans="1:13" ht="25.5">
      <c r="A4153" s="313" t="str">
        <f t="shared" si="64"/>
        <v>LandMorphologyCode_interduneTrough</v>
      </c>
      <c r="B4153" s="330"/>
      <c r="C4153" s="334"/>
      <c r="D4153" s="188" t="s">
        <v>24583</v>
      </c>
      <c r="E4153" s="189" t="s">
        <v>24584</v>
      </c>
      <c r="F4153" s="162" t="s">
        <v>24585</v>
      </c>
      <c r="G4153" s="190"/>
      <c r="H4153" s="219"/>
      <c r="I4153" s="169">
        <v>202379</v>
      </c>
      <c r="J4153" s="304" t="str">
        <f>CONCATENATE([2]Cover!$D$6,"fdd/view?i=",I4153)</f>
        <v>https://www.dgiwg.org/FAD/fdd/view?i=202379</v>
      </c>
      <c r="K4153" s="304" t="s">
        <v>38202</v>
      </c>
      <c r="L4153" s="188">
        <v>49</v>
      </c>
      <c r="M4153" s="179" t="s">
        <v>1295</v>
      </c>
    </row>
    <row r="4154" spans="1:13">
      <c r="A4154" s="313" t="str">
        <f t="shared" si="64"/>
        <v>LandMorphologyCode_interfluve</v>
      </c>
      <c r="B4154" s="330"/>
      <c r="C4154" s="334"/>
      <c r="D4154" s="188" t="s">
        <v>24586</v>
      </c>
      <c r="E4154" s="189" t="s">
        <v>24587</v>
      </c>
      <c r="F4154" s="162" t="s">
        <v>24588</v>
      </c>
      <c r="G4154" s="190"/>
      <c r="H4154" s="219"/>
      <c r="I4154" s="169">
        <v>202353</v>
      </c>
      <c r="J4154" s="304" t="str">
        <f>CONCATENATE([2]Cover!$D$6,"fdd/view?i=",I4154)</f>
        <v>https://www.dgiwg.org/FAD/fdd/view?i=202353</v>
      </c>
      <c r="K4154" s="304" t="s">
        <v>38203</v>
      </c>
      <c r="L4154" s="188">
        <v>23</v>
      </c>
      <c r="M4154" s="179" t="s">
        <v>1295</v>
      </c>
    </row>
    <row r="4155" spans="1:13" ht="25.5">
      <c r="A4155" s="313" t="str">
        <f t="shared" si="64"/>
        <v>LandMorphologyCode_isthmus</v>
      </c>
      <c r="B4155" s="330"/>
      <c r="C4155" s="334"/>
      <c r="D4155" s="188" t="s">
        <v>24589</v>
      </c>
      <c r="E4155" s="189" t="s">
        <v>24590</v>
      </c>
      <c r="F4155" s="162" t="s">
        <v>24591</v>
      </c>
      <c r="G4155" s="190"/>
      <c r="H4155" s="219"/>
      <c r="I4155" s="169">
        <v>202354</v>
      </c>
      <c r="J4155" s="304" t="str">
        <f>CONCATENATE([2]Cover!$D$6,"fdd/view?i=",I4155)</f>
        <v>https://www.dgiwg.org/FAD/fdd/view?i=202354</v>
      </c>
      <c r="K4155" s="304" t="s">
        <v>38204</v>
      </c>
      <c r="L4155" s="188">
        <v>24</v>
      </c>
      <c r="M4155" s="179" t="s">
        <v>1295</v>
      </c>
    </row>
    <row r="4156" spans="1:13" ht="38.25">
      <c r="A4156" s="313" t="str">
        <f t="shared" si="64"/>
        <v>LandMorphologyCode_karst</v>
      </c>
      <c r="B4156" s="330"/>
      <c r="C4156" s="334"/>
      <c r="D4156" s="188" t="s">
        <v>16798</v>
      </c>
      <c r="E4156" s="189" t="s">
        <v>16799</v>
      </c>
      <c r="F4156" s="162" t="s">
        <v>24592</v>
      </c>
      <c r="G4156" s="190"/>
      <c r="H4156" s="219"/>
      <c r="I4156" s="169">
        <v>202355</v>
      </c>
      <c r="J4156" s="304" t="str">
        <f>CONCATENATE([2]Cover!$D$6,"fdd/view?i=",I4156)</f>
        <v>https://www.dgiwg.org/FAD/fdd/view?i=202355</v>
      </c>
      <c r="K4156" s="304" t="s">
        <v>38205</v>
      </c>
      <c r="L4156" s="188">
        <v>25</v>
      </c>
      <c r="M4156" s="179" t="s">
        <v>1295</v>
      </c>
    </row>
    <row r="4157" spans="1:13">
      <c r="A4157" s="313" t="str">
        <f t="shared" si="64"/>
        <v>LandMorphologyCode_lakeRegion</v>
      </c>
      <c r="B4157" s="330"/>
      <c r="C4157" s="334"/>
      <c r="D4157" s="188" t="s">
        <v>24593</v>
      </c>
      <c r="E4157" s="189" t="s">
        <v>24594</v>
      </c>
      <c r="F4157" s="162" t="s">
        <v>24595</v>
      </c>
      <c r="G4157" s="190"/>
      <c r="H4157" s="219"/>
      <c r="I4157" s="169">
        <v>202372</v>
      </c>
      <c r="J4157" s="304" t="str">
        <f>CONCATENATE([2]Cover!$D$6,"fdd/view?i=",I4157)</f>
        <v>https://www.dgiwg.org/FAD/fdd/view?i=202372</v>
      </c>
      <c r="K4157" s="304" t="s">
        <v>38206</v>
      </c>
      <c r="L4157" s="188">
        <v>42</v>
      </c>
      <c r="M4157" s="179" t="s">
        <v>1295</v>
      </c>
    </row>
    <row r="4158" spans="1:13" ht="25.5">
      <c r="A4158" s="313" t="str">
        <f t="shared" si="64"/>
        <v>LandMorphologyCode_lavaField</v>
      </c>
      <c r="B4158" s="330"/>
      <c r="C4158" s="334"/>
      <c r="D4158" s="188" t="s">
        <v>24596</v>
      </c>
      <c r="E4158" s="189" t="s">
        <v>24597</v>
      </c>
      <c r="F4158" s="162" t="s">
        <v>24598</v>
      </c>
      <c r="G4158" s="190"/>
      <c r="H4158" s="219"/>
      <c r="I4158" s="169">
        <v>202356</v>
      </c>
      <c r="J4158" s="304" t="str">
        <f>CONCATENATE([2]Cover!$D$6,"fdd/view?i=",I4158)</f>
        <v>https://www.dgiwg.org/FAD/fdd/view?i=202356</v>
      </c>
      <c r="K4158" s="304" t="s">
        <v>38207</v>
      </c>
      <c r="L4158" s="188">
        <v>26</v>
      </c>
      <c r="M4158" s="179" t="s">
        <v>1295</v>
      </c>
    </row>
    <row r="4159" spans="1:13" ht="25.5">
      <c r="A4159" s="313" t="str">
        <f t="shared" si="64"/>
        <v>LandMorphologyCode_mangroveIsland</v>
      </c>
      <c r="B4159" s="330"/>
      <c r="C4159" s="334"/>
      <c r="D4159" s="188" t="s">
        <v>24599</v>
      </c>
      <c r="E4159" s="189" t="s">
        <v>24600</v>
      </c>
      <c r="F4159" s="162" t="s">
        <v>24601</v>
      </c>
      <c r="G4159" s="190"/>
      <c r="H4159" s="219"/>
      <c r="I4159" s="169">
        <v>202437</v>
      </c>
      <c r="J4159" s="304" t="str">
        <f>CONCATENATE([2]Cover!$D$6,"fdd/view?i=",I4159)</f>
        <v>https://www.dgiwg.org/FAD/fdd/view?i=202437</v>
      </c>
      <c r="K4159" s="304" t="s">
        <v>38208</v>
      </c>
      <c r="L4159" s="188">
        <v>57</v>
      </c>
      <c r="M4159" s="179" t="s">
        <v>1295</v>
      </c>
    </row>
    <row r="4160" spans="1:13" ht="25.5">
      <c r="A4160" s="313" t="str">
        <f t="shared" si="64"/>
        <v>LandMorphologyCode_meanderNeck</v>
      </c>
      <c r="B4160" s="330"/>
      <c r="C4160" s="334"/>
      <c r="D4160" s="188" t="s">
        <v>24602</v>
      </c>
      <c r="E4160" s="189" t="s">
        <v>24603</v>
      </c>
      <c r="F4160" s="162" t="s">
        <v>24604</v>
      </c>
      <c r="G4160" s="190"/>
      <c r="H4160" s="219"/>
      <c r="I4160" s="169">
        <v>202361</v>
      </c>
      <c r="J4160" s="304" t="str">
        <f>CONCATENATE([2]Cover!$D$6,"fdd/view?i=",I4160)</f>
        <v>https://www.dgiwg.org/FAD/fdd/view?i=202361</v>
      </c>
      <c r="K4160" s="304" t="s">
        <v>38209</v>
      </c>
      <c r="L4160" s="188">
        <v>31</v>
      </c>
      <c r="M4160" s="179" t="s">
        <v>1295</v>
      </c>
    </row>
    <row r="4161" spans="1:13" ht="25.5">
      <c r="A4161" s="313" t="str">
        <f t="shared" si="64"/>
        <v>LandMorphologyCode_mesa</v>
      </c>
      <c r="B4161" s="330"/>
      <c r="C4161" s="334"/>
      <c r="D4161" s="188" t="s">
        <v>24605</v>
      </c>
      <c r="E4161" s="189" t="s">
        <v>24606</v>
      </c>
      <c r="F4161" s="162" t="s">
        <v>24607</v>
      </c>
      <c r="G4161" s="190"/>
      <c r="H4161" s="219"/>
      <c r="I4161" s="169">
        <v>202357</v>
      </c>
      <c r="J4161" s="304" t="str">
        <f>CONCATENATE([2]Cover!$D$6,"fdd/view?i=",I4161)</f>
        <v>https://www.dgiwg.org/FAD/fdd/view?i=202357</v>
      </c>
      <c r="K4161" s="304" t="s">
        <v>38210</v>
      </c>
      <c r="L4161" s="188">
        <v>27</v>
      </c>
      <c r="M4161" s="179" t="s">
        <v>1295</v>
      </c>
    </row>
    <row r="4162" spans="1:13" ht="25.5">
      <c r="A4162" s="313" t="str">
        <f t="shared" si="64"/>
        <v>LandMorphologyCode_microcontinentalIsland</v>
      </c>
      <c r="B4162" s="330"/>
      <c r="C4162" s="334"/>
      <c r="D4162" s="188" t="s">
        <v>24608</v>
      </c>
      <c r="E4162" s="189" t="s">
        <v>24609</v>
      </c>
      <c r="F4162" s="162" t="s">
        <v>24610</v>
      </c>
      <c r="G4162" s="162" t="s">
        <v>24611</v>
      </c>
      <c r="H4162" s="219"/>
      <c r="I4162" s="169">
        <v>203370</v>
      </c>
      <c r="J4162" s="304" t="str">
        <f>CONCATENATE([2]Cover!$D$6,"fdd/view?i=",I4162)</f>
        <v>https://www.dgiwg.org/FAD/fdd/view?i=203370</v>
      </c>
      <c r="K4162" s="304" t="s">
        <v>38211</v>
      </c>
      <c r="L4162" s="188">
        <v>61</v>
      </c>
      <c r="M4162" s="179" t="s">
        <v>1295</v>
      </c>
    </row>
    <row r="4163" spans="1:13">
      <c r="A4163" s="313" t="str">
        <f t="shared" ref="A4163:A4226" si="65">HYPERLINK(J4163,K4163)</f>
        <v>LandMorphologyCode_miningArea</v>
      </c>
      <c r="B4163" s="330"/>
      <c r="C4163" s="334"/>
      <c r="D4163" s="188" t="s">
        <v>24612</v>
      </c>
      <c r="E4163" s="189" t="s">
        <v>24613</v>
      </c>
      <c r="F4163" s="162" t="s">
        <v>24614</v>
      </c>
      <c r="G4163" s="190"/>
      <c r="H4163" s="219"/>
      <c r="I4163" s="169">
        <v>202358</v>
      </c>
      <c r="J4163" s="304" t="str">
        <f>CONCATENATE([2]Cover!$D$6,"fdd/view?i=",I4163)</f>
        <v>https://www.dgiwg.org/FAD/fdd/view?i=202358</v>
      </c>
      <c r="K4163" s="304" t="s">
        <v>38212</v>
      </c>
      <c r="L4163" s="188">
        <v>28</v>
      </c>
      <c r="M4163" s="179" t="s">
        <v>1295</v>
      </c>
    </row>
    <row r="4164" spans="1:13">
      <c r="A4164" s="313" t="str">
        <f t="shared" si="65"/>
        <v>LandMorphologyCode_moor</v>
      </c>
      <c r="B4164" s="330"/>
      <c r="C4164" s="334"/>
      <c r="D4164" s="188" t="s">
        <v>24615</v>
      </c>
      <c r="E4164" s="189" t="s">
        <v>24616</v>
      </c>
      <c r="F4164" s="162" t="s">
        <v>24617</v>
      </c>
      <c r="G4164" s="190"/>
      <c r="H4164" s="219"/>
      <c r="I4164" s="169">
        <v>202359</v>
      </c>
      <c r="J4164" s="304" t="str">
        <f>CONCATENATE([2]Cover!$D$6,"fdd/view?i=",I4164)</f>
        <v>https://www.dgiwg.org/FAD/fdd/view?i=202359</v>
      </c>
      <c r="K4164" s="304" t="s">
        <v>38213</v>
      </c>
      <c r="L4164" s="188">
        <v>29</v>
      </c>
      <c r="M4164" s="179" t="s">
        <v>1295</v>
      </c>
    </row>
    <row r="4165" spans="1:13" ht="25.5">
      <c r="A4165" s="313" t="str">
        <f t="shared" si="65"/>
        <v>LandMorphologyCode_mountain</v>
      </c>
      <c r="B4165" s="330"/>
      <c r="C4165" s="334"/>
      <c r="D4165" s="188" t="s">
        <v>24618</v>
      </c>
      <c r="E4165" s="189" t="s">
        <v>24619</v>
      </c>
      <c r="F4165" s="162" t="s">
        <v>24620</v>
      </c>
      <c r="G4165" s="190"/>
      <c r="H4165" s="219"/>
      <c r="I4165" s="169">
        <v>202360</v>
      </c>
      <c r="J4165" s="304" t="str">
        <f>CONCATENATE([2]Cover!$D$6,"fdd/view?i=",I4165)</f>
        <v>https://www.dgiwg.org/FAD/fdd/view?i=202360</v>
      </c>
      <c r="K4165" s="304" t="s">
        <v>38214</v>
      </c>
      <c r="L4165" s="188">
        <v>30</v>
      </c>
      <c r="M4165" s="179" t="s">
        <v>1295</v>
      </c>
    </row>
    <row r="4166" spans="1:13" ht="204">
      <c r="A4166" s="313" t="str">
        <f t="shared" si="65"/>
        <v>LandMorphologyCode_oceanicIsland</v>
      </c>
      <c r="B4166" s="330"/>
      <c r="C4166" s="334"/>
      <c r="D4166" s="188" t="s">
        <v>24621</v>
      </c>
      <c r="E4166" s="189" t="s">
        <v>24622</v>
      </c>
      <c r="F4166" s="162" t="s">
        <v>24623</v>
      </c>
      <c r="G4166" s="162" t="s">
        <v>24624</v>
      </c>
      <c r="H4166" s="219"/>
      <c r="I4166" s="169">
        <v>203372</v>
      </c>
      <c r="J4166" s="304" t="str">
        <f>CONCATENATE([2]Cover!$D$6,"fdd/view?i=",I4166)</f>
        <v>https://www.dgiwg.org/FAD/fdd/view?i=203372</v>
      </c>
      <c r="K4166" s="304" t="s">
        <v>38215</v>
      </c>
      <c r="L4166" s="188">
        <v>63</v>
      </c>
      <c r="M4166" s="179" t="s">
        <v>1295</v>
      </c>
    </row>
    <row r="4167" spans="1:13" ht="25.5">
      <c r="A4167" s="313" t="str">
        <f t="shared" si="65"/>
        <v>LandMorphologyCode_pan</v>
      </c>
      <c r="B4167" s="330"/>
      <c r="C4167" s="334"/>
      <c r="D4167" s="188" t="s">
        <v>24625</v>
      </c>
      <c r="E4167" s="189" t="s">
        <v>24626</v>
      </c>
      <c r="F4167" s="162" t="s">
        <v>24627</v>
      </c>
      <c r="G4167" s="190"/>
      <c r="H4167" s="219"/>
      <c r="I4167" s="169">
        <v>202362</v>
      </c>
      <c r="J4167" s="304" t="str">
        <f>CONCATENATE([2]Cover!$D$6,"fdd/view?i=",I4167)</f>
        <v>https://www.dgiwg.org/FAD/fdd/view?i=202362</v>
      </c>
      <c r="K4167" s="304" t="s">
        <v>38216</v>
      </c>
      <c r="L4167" s="188">
        <v>32</v>
      </c>
      <c r="M4167" s="179" t="s">
        <v>1295</v>
      </c>
    </row>
    <row r="4168" spans="1:13" ht="25.5">
      <c r="A4168" s="313" t="str">
        <f t="shared" si="65"/>
        <v>LandMorphologyCode_peak</v>
      </c>
      <c r="B4168" s="330"/>
      <c r="C4168" s="334"/>
      <c r="D4168" s="188" t="s">
        <v>23043</v>
      </c>
      <c r="E4168" s="189" t="s">
        <v>23044</v>
      </c>
      <c r="F4168" s="162" t="s">
        <v>24628</v>
      </c>
      <c r="G4168" s="190"/>
      <c r="H4168" s="219"/>
      <c r="I4168" s="169">
        <v>202364</v>
      </c>
      <c r="J4168" s="304" t="str">
        <f>CONCATENATE([2]Cover!$D$6,"fdd/view?i=",I4168)</f>
        <v>https://www.dgiwg.org/FAD/fdd/view?i=202364</v>
      </c>
      <c r="K4168" s="304" t="s">
        <v>38217</v>
      </c>
      <c r="L4168" s="188">
        <v>34</v>
      </c>
      <c r="M4168" s="179" t="s">
        <v>1295</v>
      </c>
    </row>
    <row r="4169" spans="1:13" ht="25.5">
      <c r="A4169" s="313" t="str">
        <f t="shared" si="65"/>
        <v>LandMorphologyCode_peninsula</v>
      </c>
      <c r="B4169" s="330"/>
      <c r="C4169" s="334"/>
      <c r="D4169" s="188" t="s">
        <v>24629</v>
      </c>
      <c r="E4169" s="189" t="s">
        <v>24630</v>
      </c>
      <c r="F4169" s="162" t="s">
        <v>24631</v>
      </c>
      <c r="G4169" s="190"/>
      <c r="H4169" s="219"/>
      <c r="I4169" s="169">
        <v>202363</v>
      </c>
      <c r="J4169" s="304" t="str">
        <f>CONCATENATE([2]Cover!$D$6,"fdd/view?i=",I4169)</f>
        <v>https://www.dgiwg.org/FAD/fdd/view?i=202363</v>
      </c>
      <c r="K4169" s="304" t="s">
        <v>38218</v>
      </c>
      <c r="L4169" s="188">
        <v>33</v>
      </c>
      <c r="M4169" s="179" t="s">
        <v>1295</v>
      </c>
    </row>
    <row r="4170" spans="1:13" ht="25.5">
      <c r="A4170" s="313" t="str">
        <f t="shared" si="65"/>
        <v>LandMorphologyCode_petroleumBasin</v>
      </c>
      <c r="B4170" s="330"/>
      <c r="C4170" s="334"/>
      <c r="D4170" s="188" t="s">
        <v>24632</v>
      </c>
      <c r="E4170" s="189" t="s">
        <v>24633</v>
      </c>
      <c r="F4170" s="162" t="s">
        <v>24634</v>
      </c>
      <c r="G4170" s="190"/>
      <c r="H4170" s="219"/>
      <c r="I4170" s="169">
        <v>202338</v>
      </c>
      <c r="J4170" s="304" t="str">
        <f>CONCATENATE([2]Cover!$D$6,"fdd/view?i=",I4170)</f>
        <v>https://www.dgiwg.org/FAD/fdd/view?i=202338</v>
      </c>
      <c r="K4170" s="304" t="s">
        <v>38219</v>
      </c>
      <c r="L4170" s="188">
        <v>8</v>
      </c>
      <c r="M4170" s="179" t="s">
        <v>1295</v>
      </c>
    </row>
    <row r="4171" spans="1:13" ht="25.5">
      <c r="A4171" s="313" t="str">
        <f t="shared" si="65"/>
        <v>LandMorphologyCode_plain</v>
      </c>
      <c r="B4171" s="330"/>
      <c r="C4171" s="334"/>
      <c r="D4171" s="188" t="s">
        <v>24635</v>
      </c>
      <c r="E4171" s="189" t="s">
        <v>24636</v>
      </c>
      <c r="F4171" s="162" t="s">
        <v>24637</v>
      </c>
      <c r="G4171" s="190"/>
      <c r="H4171" s="219"/>
      <c r="I4171" s="169">
        <v>202367</v>
      </c>
      <c r="J4171" s="304" t="str">
        <f>CONCATENATE([2]Cover!$D$6,"fdd/view?i=",I4171)</f>
        <v>https://www.dgiwg.org/FAD/fdd/view?i=202367</v>
      </c>
      <c r="K4171" s="304" t="s">
        <v>38220</v>
      </c>
      <c r="L4171" s="188">
        <v>37</v>
      </c>
      <c r="M4171" s="179" t="s">
        <v>1295</v>
      </c>
    </row>
    <row r="4172" spans="1:13" ht="25.5">
      <c r="A4172" s="313" t="str">
        <f t="shared" si="65"/>
        <v>LandMorphologyCode_plateau</v>
      </c>
      <c r="B4172" s="330"/>
      <c r="C4172" s="334"/>
      <c r="D4172" s="188" t="s">
        <v>24638</v>
      </c>
      <c r="E4172" s="189" t="s">
        <v>24639</v>
      </c>
      <c r="F4172" s="162" t="s">
        <v>24640</v>
      </c>
      <c r="G4172" s="190"/>
      <c r="H4172" s="219"/>
      <c r="I4172" s="169">
        <v>202365</v>
      </c>
      <c r="J4172" s="304" t="str">
        <f>CONCATENATE([2]Cover!$D$6,"fdd/view?i=",I4172)</f>
        <v>https://www.dgiwg.org/FAD/fdd/view?i=202365</v>
      </c>
      <c r="K4172" s="304" t="s">
        <v>38221</v>
      </c>
      <c r="L4172" s="188">
        <v>35</v>
      </c>
      <c r="M4172" s="179" t="s">
        <v>1295</v>
      </c>
    </row>
    <row r="4173" spans="1:13" ht="25.5">
      <c r="A4173" s="313" t="str">
        <f t="shared" si="65"/>
        <v>LandMorphologyCode_point</v>
      </c>
      <c r="B4173" s="330"/>
      <c r="C4173" s="334"/>
      <c r="D4173" s="188" t="s">
        <v>24641</v>
      </c>
      <c r="E4173" s="189" t="s">
        <v>12627</v>
      </c>
      <c r="F4173" s="162" t="s">
        <v>24642</v>
      </c>
      <c r="G4173" s="190"/>
      <c r="H4173" s="219"/>
      <c r="I4173" s="169">
        <v>202369</v>
      </c>
      <c r="J4173" s="304" t="str">
        <f>CONCATENATE([2]Cover!$D$6,"fdd/view?i=",I4173)</f>
        <v>https://www.dgiwg.org/FAD/fdd/view?i=202369</v>
      </c>
      <c r="K4173" s="304" t="s">
        <v>38222</v>
      </c>
      <c r="L4173" s="188">
        <v>39</v>
      </c>
      <c r="M4173" s="179" t="s">
        <v>1295</v>
      </c>
    </row>
    <row r="4174" spans="1:13">
      <c r="A4174" s="313" t="str">
        <f t="shared" si="65"/>
        <v>LandMorphologyCode_polder</v>
      </c>
      <c r="B4174" s="330"/>
      <c r="C4174" s="334"/>
      <c r="D4174" s="188" t="s">
        <v>24643</v>
      </c>
      <c r="E4174" s="189" t="s">
        <v>24644</v>
      </c>
      <c r="F4174" s="162" t="s">
        <v>24645</v>
      </c>
      <c r="G4174" s="190"/>
      <c r="H4174" s="219"/>
      <c r="I4174" s="169">
        <v>202366</v>
      </c>
      <c r="J4174" s="304" t="str">
        <f>CONCATENATE([2]Cover!$D$6,"fdd/view?i=",I4174)</f>
        <v>https://www.dgiwg.org/FAD/fdd/view?i=202366</v>
      </c>
      <c r="K4174" s="304" t="s">
        <v>38223</v>
      </c>
      <c r="L4174" s="188">
        <v>36</v>
      </c>
      <c r="M4174" s="179" t="s">
        <v>1295</v>
      </c>
    </row>
    <row r="4175" spans="1:13">
      <c r="A4175" s="313" t="str">
        <f t="shared" si="65"/>
        <v>LandMorphologyCode_promontory</v>
      </c>
      <c r="B4175" s="330"/>
      <c r="C4175" s="334"/>
      <c r="D4175" s="188" t="s">
        <v>24646</v>
      </c>
      <c r="E4175" s="189" t="s">
        <v>24647</v>
      </c>
      <c r="F4175" s="162" t="s">
        <v>24648</v>
      </c>
      <c r="G4175" s="190"/>
      <c r="H4175" s="219"/>
      <c r="I4175" s="169">
        <v>202368</v>
      </c>
      <c r="J4175" s="304" t="str">
        <f>CONCATENATE([2]Cover!$D$6,"fdd/view?i=",I4175)</f>
        <v>https://www.dgiwg.org/FAD/fdd/view?i=202368</v>
      </c>
      <c r="K4175" s="304" t="s">
        <v>38224</v>
      </c>
      <c r="L4175" s="188">
        <v>38</v>
      </c>
      <c r="M4175" s="179" t="s">
        <v>1295</v>
      </c>
    </row>
    <row r="4176" spans="1:13" ht="38.25">
      <c r="A4176" s="313" t="str">
        <f t="shared" si="65"/>
        <v>LandMorphologyCode_quicksand</v>
      </c>
      <c r="B4176" s="330"/>
      <c r="C4176" s="334"/>
      <c r="D4176" s="188" t="s">
        <v>24649</v>
      </c>
      <c r="E4176" s="189" t="s">
        <v>24650</v>
      </c>
      <c r="F4176" s="162" t="s">
        <v>24651</v>
      </c>
      <c r="G4176" s="190"/>
      <c r="H4176" s="219"/>
      <c r="I4176" s="169">
        <v>202370</v>
      </c>
      <c r="J4176" s="304" t="str">
        <f>CONCATENATE([2]Cover!$D$6,"fdd/view?i=",I4176)</f>
        <v>https://www.dgiwg.org/FAD/fdd/view?i=202370</v>
      </c>
      <c r="K4176" s="304" t="s">
        <v>38225</v>
      </c>
      <c r="L4176" s="188">
        <v>40</v>
      </c>
      <c r="M4176" s="179" t="s">
        <v>1295</v>
      </c>
    </row>
    <row r="4177" spans="1:13" ht="25.5">
      <c r="A4177" s="313" t="str">
        <f t="shared" si="65"/>
        <v>LandMorphologyCode_ridge</v>
      </c>
      <c r="B4177" s="330"/>
      <c r="C4177" s="334"/>
      <c r="D4177" s="188" t="s">
        <v>24652</v>
      </c>
      <c r="E4177" s="189" t="s">
        <v>24653</v>
      </c>
      <c r="F4177" s="162" t="s">
        <v>24654</v>
      </c>
      <c r="G4177" s="190"/>
      <c r="H4177" s="219"/>
      <c r="I4177" s="169">
        <v>202371</v>
      </c>
      <c r="J4177" s="304" t="str">
        <f>CONCATENATE([2]Cover!$D$6,"fdd/view?i=",I4177)</f>
        <v>https://www.dgiwg.org/FAD/fdd/view?i=202371</v>
      </c>
      <c r="K4177" s="304" t="s">
        <v>38226</v>
      </c>
      <c r="L4177" s="188">
        <v>41</v>
      </c>
      <c r="M4177" s="179" t="s">
        <v>1295</v>
      </c>
    </row>
    <row r="4178" spans="1:13">
      <c r="A4178" s="313" t="str">
        <f t="shared" si="65"/>
        <v>LandMorphologyCode_saddle</v>
      </c>
      <c r="B4178" s="330"/>
      <c r="C4178" s="334"/>
      <c r="D4178" s="188" t="s">
        <v>24655</v>
      </c>
      <c r="E4178" s="189" t="s">
        <v>24656</v>
      </c>
      <c r="F4178" s="162" t="s">
        <v>24657</v>
      </c>
      <c r="G4178" s="190"/>
      <c r="H4178" s="219"/>
      <c r="I4178" s="169">
        <v>202373</v>
      </c>
      <c r="J4178" s="304" t="str">
        <f>CONCATENATE([2]Cover!$D$6,"fdd/view?i=",I4178)</f>
        <v>https://www.dgiwg.org/FAD/fdd/view?i=202373</v>
      </c>
      <c r="K4178" s="304" t="s">
        <v>38227</v>
      </c>
      <c r="L4178" s="188">
        <v>43</v>
      </c>
      <c r="M4178" s="179" t="s">
        <v>1295</v>
      </c>
    </row>
    <row r="4179" spans="1:13">
      <c r="A4179" s="313" t="str">
        <f t="shared" si="65"/>
        <v>LandMorphologyCode_sinkhole</v>
      </c>
      <c r="B4179" s="330"/>
      <c r="C4179" s="334"/>
      <c r="D4179" s="188" t="s">
        <v>24658</v>
      </c>
      <c r="E4179" s="189" t="s">
        <v>24659</v>
      </c>
      <c r="F4179" s="162" t="s">
        <v>24660</v>
      </c>
      <c r="G4179" s="190"/>
      <c r="H4179" s="219"/>
      <c r="I4179" s="169">
        <v>202374</v>
      </c>
      <c r="J4179" s="304" t="str">
        <f>CONCATENATE([2]Cover!$D$6,"fdd/view?i=",I4179)</f>
        <v>https://www.dgiwg.org/FAD/fdd/view?i=202374</v>
      </c>
      <c r="K4179" s="304" t="s">
        <v>38228</v>
      </c>
      <c r="L4179" s="188">
        <v>44</v>
      </c>
      <c r="M4179" s="179" t="s">
        <v>1295</v>
      </c>
    </row>
    <row r="4180" spans="1:13">
      <c r="A4180" s="313" t="str">
        <f t="shared" si="65"/>
        <v>LandMorphologyCode_slope</v>
      </c>
      <c r="B4180" s="330"/>
      <c r="C4180" s="334"/>
      <c r="D4180" s="188" t="s">
        <v>19740</v>
      </c>
      <c r="E4180" s="189" t="s">
        <v>19741</v>
      </c>
      <c r="F4180" s="162" t="s">
        <v>24661</v>
      </c>
      <c r="G4180" s="190"/>
      <c r="H4180" s="219"/>
      <c r="I4180" s="169">
        <v>202375</v>
      </c>
      <c r="J4180" s="304" t="str">
        <f>CONCATENATE([2]Cover!$D$6,"fdd/view?i=",I4180)</f>
        <v>https://www.dgiwg.org/FAD/fdd/view?i=202375</v>
      </c>
      <c r="K4180" s="304" t="s">
        <v>38229</v>
      </c>
      <c r="L4180" s="188">
        <v>45</v>
      </c>
      <c r="M4180" s="179" t="s">
        <v>1295</v>
      </c>
    </row>
    <row r="4181" spans="1:13">
      <c r="A4181" s="313" t="str">
        <f t="shared" si="65"/>
        <v>LandMorphologyCode_spit</v>
      </c>
      <c r="B4181" s="330"/>
      <c r="C4181" s="334"/>
      <c r="D4181" s="188" t="s">
        <v>24662</v>
      </c>
      <c r="E4181" s="189" t="s">
        <v>24663</v>
      </c>
      <c r="F4181" s="162" t="s">
        <v>24664</v>
      </c>
      <c r="G4181" s="190"/>
      <c r="H4181" s="219"/>
      <c r="I4181" s="169">
        <v>202376</v>
      </c>
      <c r="J4181" s="304" t="str">
        <f>CONCATENATE([2]Cover!$D$6,"fdd/view?i=",I4181)</f>
        <v>https://www.dgiwg.org/FAD/fdd/view?i=202376</v>
      </c>
      <c r="K4181" s="304" t="s">
        <v>38230</v>
      </c>
      <c r="L4181" s="188">
        <v>46</v>
      </c>
      <c r="M4181" s="179" t="s">
        <v>1295</v>
      </c>
    </row>
    <row r="4182" spans="1:13" ht="25.5">
      <c r="A4182" s="313" t="str">
        <f t="shared" si="65"/>
        <v>LandMorphologyCode_spur</v>
      </c>
      <c r="B4182" s="330"/>
      <c r="C4182" s="334"/>
      <c r="D4182" s="188" t="s">
        <v>18295</v>
      </c>
      <c r="E4182" s="189" t="s">
        <v>18296</v>
      </c>
      <c r="F4182" s="162" t="s">
        <v>24665</v>
      </c>
      <c r="G4182" s="190"/>
      <c r="H4182" s="219"/>
      <c r="I4182" s="169">
        <v>202377</v>
      </c>
      <c r="J4182" s="304" t="str">
        <f>CONCATENATE([2]Cover!$D$6,"fdd/view?i=",I4182)</f>
        <v>https://www.dgiwg.org/FAD/fdd/view?i=202377</v>
      </c>
      <c r="K4182" s="304" t="s">
        <v>38231</v>
      </c>
      <c r="L4182" s="188">
        <v>47</v>
      </c>
      <c r="M4182" s="179" t="s">
        <v>1295</v>
      </c>
    </row>
    <row r="4183" spans="1:13" ht="25.5">
      <c r="A4183" s="313" t="str">
        <f t="shared" si="65"/>
        <v>LandMorphologyCode_talusSlope</v>
      </c>
      <c r="B4183" s="330"/>
      <c r="C4183" s="334"/>
      <c r="D4183" s="188" t="s">
        <v>24666</v>
      </c>
      <c r="E4183" s="189" t="s">
        <v>24667</v>
      </c>
      <c r="F4183" s="162" t="s">
        <v>24668</v>
      </c>
      <c r="G4183" s="190"/>
      <c r="H4183" s="219"/>
      <c r="I4183" s="169">
        <v>202378</v>
      </c>
      <c r="J4183" s="304" t="str">
        <f>CONCATENATE([2]Cover!$D$6,"fdd/view?i=",I4183)</f>
        <v>https://www.dgiwg.org/FAD/fdd/view?i=202378</v>
      </c>
      <c r="K4183" s="304" t="s">
        <v>38232</v>
      </c>
      <c r="L4183" s="188">
        <v>48</v>
      </c>
      <c r="M4183" s="179" t="s">
        <v>1295</v>
      </c>
    </row>
    <row r="4184" spans="1:13" ht="25.5">
      <c r="A4184" s="313" t="str">
        <f t="shared" si="65"/>
        <v>LandMorphologyCode_terrace</v>
      </c>
      <c r="B4184" s="330"/>
      <c r="C4184" s="334"/>
      <c r="D4184" s="188" t="s">
        <v>23994</v>
      </c>
      <c r="E4184" s="189" t="s">
        <v>23995</v>
      </c>
      <c r="F4184" s="162" t="s">
        <v>24669</v>
      </c>
      <c r="G4184" s="190"/>
      <c r="H4184" s="219"/>
      <c r="I4184" s="169">
        <v>202380</v>
      </c>
      <c r="J4184" s="304" t="str">
        <f>CONCATENATE([2]Cover!$D$6,"fdd/view?i=",I4184)</f>
        <v>https://www.dgiwg.org/FAD/fdd/view?i=202380</v>
      </c>
      <c r="K4184" s="304" t="s">
        <v>38233</v>
      </c>
      <c r="L4184" s="188">
        <v>50</v>
      </c>
      <c r="M4184" s="179" t="s">
        <v>1295</v>
      </c>
    </row>
    <row r="4185" spans="1:13" ht="25.5">
      <c r="A4185" s="313" t="str">
        <f t="shared" si="65"/>
        <v>LandMorphologyCode_upland</v>
      </c>
      <c r="B4185" s="330"/>
      <c r="C4185" s="334"/>
      <c r="D4185" s="188" t="s">
        <v>24670</v>
      </c>
      <c r="E4185" s="189" t="s">
        <v>24671</v>
      </c>
      <c r="F4185" s="162" t="s">
        <v>24672</v>
      </c>
      <c r="G4185" s="190"/>
      <c r="H4185" s="219"/>
      <c r="I4185" s="169">
        <v>202381</v>
      </c>
      <c r="J4185" s="304" t="str">
        <f>CONCATENATE([2]Cover!$D$6,"fdd/view?i=",I4185)</f>
        <v>https://www.dgiwg.org/FAD/fdd/view?i=202381</v>
      </c>
      <c r="K4185" s="304" t="s">
        <v>38234</v>
      </c>
      <c r="L4185" s="188">
        <v>51</v>
      </c>
      <c r="M4185" s="179" t="s">
        <v>1295</v>
      </c>
    </row>
    <row r="4186" spans="1:13">
      <c r="A4186" s="313" t="str">
        <f t="shared" si="65"/>
        <v>LandMorphologyCode_valley</v>
      </c>
      <c r="B4186" s="330"/>
      <c r="C4186" s="334"/>
      <c r="D4186" s="188" t="s">
        <v>24673</v>
      </c>
      <c r="E4186" s="189" t="s">
        <v>24674</v>
      </c>
      <c r="F4186" s="162" t="s">
        <v>24675</v>
      </c>
      <c r="G4186" s="190"/>
      <c r="H4186" s="219"/>
      <c r="I4186" s="169">
        <v>202382</v>
      </c>
      <c r="J4186" s="304" t="str">
        <f>CONCATENATE([2]Cover!$D$6,"fdd/view?i=",I4186)</f>
        <v>https://www.dgiwg.org/FAD/fdd/view?i=202382</v>
      </c>
      <c r="K4186" s="304" t="s">
        <v>38235</v>
      </c>
      <c r="L4186" s="188">
        <v>52</v>
      </c>
      <c r="M4186" s="179" t="s">
        <v>1295</v>
      </c>
    </row>
    <row r="4187" spans="1:13" ht="38.25">
      <c r="A4187" s="313" t="str">
        <f t="shared" si="65"/>
        <v>LandMorphologyCode_watercourseDelta</v>
      </c>
      <c r="B4187" s="331"/>
      <c r="C4187" s="335"/>
      <c r="D4187" s="181" t="s">
        <v>24676</v>
      </c>
      <c r="E4187" s="192" t="s">
        <v>24677</v>
      </c>
      <c r="F4187" s="193" t="s">
        <v>24678</v>
      </c>
      <c r="G4187" s="194"/>
      <c r="H4187" s="220"/>
      <c r="I4187" s="169">
        <v>202384</v>
      </c>
      <c r="J4187" s="304" t="str">
        <f>CONCATENATE([2]Cover!$D$6,"fdd/view?i=",I4187)</f>
        <v>https://www.dgiwg.org/FAD/fdd/view?i=202384</v>
      </c>
      <c r="K4187" s="304" t="s">
        <v>38236</v>
      </c>
      <c r="L4187" s="181">
        <v>54</v>
      </c>
      <c r="M4187" s="179" t="s">
        <v>1295</v>
      </c>
    </row>
    <row r="4188" spans="1:13" ht="38.25">
      <c r="A4188" s="313" t="str">
        <f t="shared" si="65"/>
        <v>LandslideHazardCategoryCode_highIncidence</v>
      </c>
      <c r="B4188" s="332" t="str">
        <f>HYPERLINK("[#]Datatypes!A778:L778","LandslideHazardCategoryCode")</f>
        <v>LandslideHazardCategoryCode</v>
      </c>
      <c r="C4188" s="333" t="s">
        <v>12363</v>
      </c>
      <c r="D4188" s="202" t="s">
        <v>24679</v>
      </c>
      <c r="E4188" s="203" t="s">
        <v>24680</v>
      </c>
      <c r="F4188" s="204" t="s">
        <v>24681</v>
      </c>
      <c r="G4188" s="204" t="s">
        <v>24682</v>
      </c>
      <c r="H4188" s="218"/>
      <c r="I4188" s="169">
        <v>118698</v>
      </c>
      <c r="J4188" s="304" t="str">
        <f>CONCATENATE([2]Cover!$D$6,"fdd/view?i=",I4188)</f>
        <v>https://www.dgiwg.org/FAD/fdd/view?i=118698</v>
      </c>
      <c r="K4188" s="304" t="s">
        <v>38237</v>
      </c>
      <c r="L4188" s="202">
        <v>4</v>
      </c>
      <c r="M4188" s="179" t="s">
        <v>151</v>
      </c>
    </row>
    <row r="4189" spans="1:13" ht="89.25">
      <c r="A4189" s="313" t="str">
        <f t="shared" si="65"/>
        <v>LandslideHazardCategoryCode_highRisk</v>
      </c>
      <c r="B4189" s="330"/>
      <c r="C4189" s="334"/>
      <c r="D4189" s="188" t="s">
        <v>24683</v>
      </c>
      <c r="E4189" s="189" t="s">
        <v>24684</v>
      </c>
      <c r="F4189" s="162" t="s">
        <v>24685</v>
      </c>
      <c r="G4189" s="162" t="s">
        <v>24686</v>
      </c>
      <c r="H4189" s="219"/>
      <c r="I4189" s="169">
        <v>118695</v>
      </c>
      <c r="J4189" s="304" t="str">
        <f>CONCATENATE([2]Cover!$D$6,"fdd/view?i=",I4189)</f>
        <v>https://www.dgiwg.org/FAD/fdd/view?i=118695</v>
      </c>
      <c r="K4189" s="304" t="s">
        <v>38238</v>
      </c>
      <c r="L4189" s="188">
        <v>1</v>
      </c>
      <c r="M4189" s="179" t="s">
        <v>151</v>
      </c>
    </row>
    <row r="4190" spans="1:13" ht="38.25">
      <c r="A4190" s="313" t="str">
        <f t="shared" si="65"/>
        <v>LandslideHazardCategoryCode_lowIncidence</v>
      </c>
      <c r="B4190" s="330"/>
      <c r="C4190" s="334"/>
      <c r="D4190" s="188" t="s">
        <v>24687</v>
      </c>
      <c r="E4190" s="189" t="s">
        <v>24688</v>
      </c>
      <c r="F4190" s="162" t="s">
        <v>24689</v>
      </c>
      <c r="G4190" s="162" t="s">
        <v>24682</v>
      </c>
      <c r="H4190" s="219"/>
      <c r="I4190" s="169">
        <v>118700</v>
      </c>
      <c r="J4190" s="304" t="str">
        <f>CONCATENATE([2]Cover!$D$6,"fdd/view?i=",I4190)</f>
        <v>https://www.dgiwg.org/FAD/fdd/view?i=118700</v>
      </c>
      <c r="K4190" s="304" t="s">
        <v>38239</v>
      </c>
      <c r="L4190" s="188">
        <v>6</v>
      </c>
      <c r="M4190" s="179" t="s">
        <v>151</v>
      </c>
    </row>
    <row r="4191" spans="1:13" ht="89.25">
      <c r="A4191" s="313" t="str">
        <f t="shared" si="65"/>
        <v>LandslideHazardCategoryCode_lowRisk</v>
      </c>
      <c r="B4191" s="330"/>
      <c r="C4191" s="334"/>
      <c r="D4191" s="188" t="s">
        <v>24690</v>
      </c>
      <c r="E4191" s="189" t="s">
        <v>24691</v>
      </c>
      <c r="F4191" s="162" t="s">
        <v>24692</v>
      </c>
      <c r="G4191" s="162" t="s">
        <v>24693</v>
      </c>
      <c r="H4191" s="219"/>
      <c r="I4191" s="169">
        <v>118697</v>
      </c>
      <c r="J4191" s="304" t="str">
        <f>CONCATENATE([2]Cover!$D$6,"fdd/view?i=",I4191)</f>
        <v>https://www.dgiwg.org/FAD/fdd/view?i=118697</v>
      </c>
      <c r="K4191" s="304" t="s">
        <v>38240</v>
      </c>
      <c r="L4191" s="188">
        <v>3</v>
      </c>
      <c r="M4191" s="179" t="s">
        <v>151</v>
      </c>
    </row>
    <row r="4192" spans="1:13" ht="38.25">
      <c r="A4192" s="313" t="str">
        <f t="shared" si="65"/>
        <v>LandslideHazardCategoryCode_moderateIncidence</v>
      </c>
      <c r="B4192" s="330"/>
      <c r="C4192" s="334"/>
      <c r="D4192" s="188" t="s">
        <v>24694</v>
      </c>
      <c r="E4192" s="189" t="s">
        <v>24695</v>
      </c>
      <c r="F4192" s="162" t="s">
        <v>24696</v>
      </c>
      <c r="G4192" s="162" t="s">
        <v>24682</v>
      </c>
      <c r="H4192" s="219"/>
      <c r="I4192" s="169">
        <v>118699</v>
      </c>
      <c r="J4192" s="304" t="str">
        <f>CONCATENATE([2]Cover!$D$6,"fdd/view?i=",I4192)</f>
        <v>https://www.dgiwg.org/FAD/fdd/view?i=118699</v>
      </c>
      <c r="K4192" s="304" t="s">
        <v>38241</v>
      </c>
      <c r="L4192" s="188">
        <v>5</v>
      </c>
      <c r="M4192" s="179" t="s">
        <v>151</v>
      </c>
    </row>
    <row r="4193" spans="1:13" ht="89.25">
      <c r="A4193" s="313" t="str">
        <f t="shared" si="65"/>
        <v>LandslideHazardCategoryCode_moderateRisk</v>
      </c>
      <c r="B4193" s="331"/>
      <c r="C4193" s="335"/>
      <c r="D4193" s="181" t="s">
        <v>24697</v>
      </c>
      <c r="E4193" s="192" t="s">
        <v>24698</v>
      </c>
      <c r="F4193" s="193" t="s">
        <v>24699</v>
      </c>
      <c r="G4193" s="193" t="s">
        <v>24686</v>
      </c>
      <c r="H4193" s="220"/>
      <c r="I4193" s="169">
        <v>118696</v>
      </c>
      <c r="J4193" s="304" t="str">
        <f>CONCATENATE([2]Cover!$D$6,"fdd/view?i=",I4193)</f>
        <v>https://www.dgiwg.org/FAD/fdd/view?i=118696</v>
      </c>
      <c r="K4193" s="304" t="s">
        <v>38242</v>
      </c>
      <c r="L4193" s="181">
        <v>2</v>
      </c>
      <c r="M4193" s="179" t="s">
        <v>151</v>
      </c>
    </row>
    <row r="4194" spans="1:13" ht="76.5">
      <c r="A4194" s="313" t="str">
        <f t="shared" si="65"/>
        <v>LightSystemIntensityCode_high</v>
      </c>
      <c r="B4194" s="332" t="str">
        <f>HYPERLINK("[#]Datatypes!A790:L790","LightSystemIntensityCode")</f>
        <v>LightSystemIntensityCode</v>
      </c>
      <c r="C4194" s="333" t="s">
        <v>12375</v>
      </c>
      <c r="D4194" s="202" t="s">
        <v>15390</v>
      </c>
      <c r="E4194" s="203" t="s">
        <v>15391</v>
      </c>
      <c r="F4194" s="204" t="s">
        <v>24700</v>
      </c>
      <c r="G4194" s="204" t="s">
        <v>24701</v>
      </c>
      <c r="H4194" s="218"/>
      <c r="I4194" s="169">
        <v>115616</v>
      </c>
      <c r="J4194" s="304" t="str">
        <f>CONCATENATE([2]Cover!$D$6,"fdd/view?i=",I4194)</f>
        <v>https://www.dgiwg.org/FAD/fdd/view?i=115616</v>
      </c>
      <c r="K4194" s="304" t="s">
        <v>38243</v>
      </c>
      <c r="L4194" s="202">
        <v>1</v>
      </c>
      <c r="M4194" s="179" t="s">
        <v>151</v>
      </c>
    </row>
    <row r="4195" spans="1:13">
      <c r="A4195" s="313" t="str">
        <f t="shared" si="65"/>
        <v>LightSystemIntensityCode_low</v>
      </c>
      <c r="B4195" s="330"/>
      <c r="C4195" s="334"/>
      <c r="D4195" s="188" t="s">
        <v>15393</v>
      </c>
      <c r="E4195" s="189" t="s">
        <v>15394</v>
      </c>
      <c r="F4195" s="162" t="s">
        <v>24702</v>
      </c>
      <c r="G4195" s="190"/>
      <c r="H4195" s="219"/>
      <c r="I4195" s="169">
        <v>115618</v>
      </c>
      <c r="J4195" s="304" t="str">
        <f>CONCATENATE([2]Cover!$D$6,"fdd/view?i=",I4195)</f>
        <v>https://www.dgiwg.org/FAD/fdd/view?i=115618</v>
      </c>
      <c r="K4195" s="304" t="s">
        <v>38244</v>
      </c>
      <c r="L4195" s="188">
        <v>3</v>
      </c>
      <c r="M4195" s="179" t="s">
        <v>151</v>
      </c>
    </row>
    <row r="4196" spans="1:13">
      <c r="A4196" s="313" t="str">
        <f t="shared" si="65"/>
        <v>LightSystemIntensityCode_medium</v>
      </c>
      <c r="B4196" s="331"/>
      <c r="C4196" s="335"/>
      <c r="D4196" s="181" t="s">
        <v>24703</v>
      </c>
      <c r="E4196" s="192" t="s">
        <v>24704</v>
      </c>
      <c r="F4196" s="193" t="s">
        <v>24705</v>
      </c>
      <c r="G4196" s="194"/>
      <c r="H4196" s="220"/>
      <c r="I4196" s="169">
        <v>115617</v>
      </c>
      <c r="J4196" s="304" t="str">
        <f>CONCATENATE([2]Cover!$D$6,"fdd/view?i=",I4196)</f>
        <v>https://www.dgiwg.org/FAD/fdd/view?i=115617</v>
      </c>
      <c r="K4196" s="304" t="s">
        <v>38245</v>
      </c>
      <c r="L4196" s="181">
        <v>2</v>
      </c>
      <c r="M4196" s="179" t="s">
        <v>151</v>
      </c>
    </row>
    <row r="4197" spans="1:13">
      <c r="A4197" s="313" t="str">
        <f t="shared" si="65"/>
        <v>LightSystemIntVariableCode_fixed</v>
      </c>
      <c r="B4197" s="332" t="str">
        <f>HYPERLINK("[#]Datatypes!A792:L792","LightSystemIntVariableCode")</f>
        <v>LightSystemIntVariableCode</v>
      </c>
      <c r="C4197" s="333" t="s">
        <v>12377</v>
      </c>
      <c r="D4197" s="202" t="s">
        <v>18313</v>
      </c>
      <c r="E4197" s="203" t="s">
        <v>18314</v>
      </c>
      <c r="F4197" s="204" t="s">
        <v>24706</v>
      </c>
      <c r="G4197" s="205"/>
      <c r="H4197" s="218"/>
      <c r="I4197" s="169">
        <v>115620</v>
      </c>
      <c r="J4197" s="304" t="str">
        <f>CONCATENATE([2]Cover!$D$6,"fdd/view?i=",I4197)</f>
        <v>https://www.dgiwg.org/FAD/fdd/view?i=115620</v>
      </c>
      <c r="K4197" s="304" t="s">
        <v>38246</v>
      </c>
      <c r="L4197" s="202">
        <v>2</v>
      </c>
      <c r="M4197" s="179" t="s">
        <v>151</v>
      </c>
    </row>
    <row r="4198" spans="1:13" ht="25.5">
      <c r="A4198" s="313" t="str">
        <f t="shared" si="65"/>
        <v>LightSystemIntVariableCode_variable</v>
      </c>
      <c r="B4198" s="331"/>
      <c r="C4198" s="335"/>
      <c r="D4198" s="181" t="s">
        <v>24707</v>
      </c>
      <c r="E4198" s="192" t="s">
        <v>24708</v>
      </c>
      <c r="F4198" s="193" t="s">
        <v>24709</v>
      </c>
      <c r="G4198" s="193" t="s">
        <v>24710</v>
      </c>
      <c r="H4198" s="220"/>
      <c r="I4198" s="169">
        <v>115619</v>
      </c>
      <c r="J4198" s="304" t="str">
        <f>CONCATENATE([2]Cover!$D$6,"fdd/view?i=",I4198)</f>
        <v>https://www.dgiwg.org/FAD/fdd/view?i=115619</v>
      </c>
      <c r="K4198" s="304" t="s">
        <v>38247</v>
      </c>
      <c r="L4198" s="181">
        <v>1</v>
      </c>
      <c r="M4198" s="179" t="s">
        <v>151</v>
      </c>
    </row>
    <row r="4199" spans="1:13" ht="25.5">
      <c r="A4199" s="313" t="str">
        <f t="shared" si="65"/>
        <v>LightVisibilityCode_faint</v>
      </c>
      <c r="B4199" s="332" t="str">
        <f>HYPERLINK("[#]Datatypes!A794:L794","LightVisibilityCode")</f>
        <v>LightVisibilityCode</v>
      </c>
      <c r="C4199" s="333" t="s">
        <v>12379</v>
      </c>
      <c r="D4199" s="202" t="s">
        <v>24711</v>
      </c>
      <c r="E4199" s="203" t="s">
        <v>24712</v>
      </c>
      <c r="F4199" s="204" t="s">
        <v>24713</v>
      </c>
      <c r="G4199" s="204" t="s">
        <v>24714</v>
      </c>
      <c r="H4199" s="218"/>
      <c r="I4199" s="169">
        <v>109303</v>
      </c>
      <c r="J4199" s="304" t="str">
        <f>CONCATENATE([2]Cover!$D$6,"fdd/view?i=",I4199)</f>
        <v>https://www.dgiwg.org/FAD/fdd/view?i=109303</v>
      </c>
      <c r="K4199" s="304" t="s">
        <v>38248</v>
      </c>
      <c r="L4199" s="202">
        <v>3</v>
      </c>
      <c r="M4199" s="179" t="s">
        <v>151</v>
      </c>
    </row>
    <row r="4200" spans="1:13" ht="25.5">
      <c r="A4200" s="313" t="str">
        <f t="shared" si="65"/>
        <v>LightVisibilityCode_highIntensity</v>
      </c>
      <c r="B4200" s="330"/>
      <c r="C4200" s="334"/>
      <c r="D4200" s="188" t="s">
        <v>24715</v>
      </c>
      <c r="E4200" s="189" t="s">
        <v>24716</v>
      </c>
      <c r="F4200" s="162" t="s">
        <v>24717</v>
      </c>
      <c r="G4200" s="190"/>
      <c r="H4200" s="219"/>
      <c r="I4200" s="169">
        <v>109301</v>
      </c>
      <c r="J4200" s="304" t="str">
        <f>CONCATENATE([2]Cover!$D$6,"fdd/view?i=",I4200)</f>
        <v>https://www.dgiwg.org/FAD/fdd/view?i=109301</v>
      </c>
      <c r="K4200" s="304" t="s">
        <v>38249</v>
      </c>
      <c r="L4200" s="188">
        <v>1</v>
      </c>
      <c r="M4200" s="179" t="s">
        <v>151</v>
      </c>
    </row>
    <row r="4201" spans="1:13" ht="25.5">
      <c r="A4201" s="313" t="str">
        <f t="shared" si="65"/>
        <v>LightVisibilityCode_intensified</v>
      </c>
      <c r="B4201" s="330"/>
      <c r="C4201" s="334"/>
      <c r="D4201" s="188" t="s">
        <v>24718</v>
      </c>
      <c r="E4201" s="189" t="s">
        <v>24719</v>
      </c>
      <c r="F4201" s="162" t="s">
        <v>24720</v>
      </c>
      <c r="G4201" s="190"/>
      <c r="H4201" s="219"/>
      <c r="I4201" s="169">
        <v>109304</v>
      </c>
      <c r="J4201" s="304" t="str">
        <f>CONCATENATE([2]Cover!$D$6,"fdd/view?i=",I4201)</f>
        <v>https://www.dgiwg.org/FAD/fdd/view?i=109304</v>
      </c>
      <c r="K4201" s="304" t="s">
        <v>38250</v>
      </c>
      <c r="L4201" s="188">
        <v>4</v>
      </c>
      <c r="M4201" s="179" t="s">
        <v>151</v>
      </c>
    </row>
    <row r="4202" spans="1:13">
      <c r="A4202" s="313" t="str">
        <f t="shared" si="65"/>
        <v>LightVisibilityCode_lowIntensity</v>
      </c>
      <c r="B4202" s="330"/>
      <c r="C4202" s="334"/>
      <c r="D4202" s="188" t="s">
        <v>24721</v>
      </c>
      <c r="E4202" s="189" t="s">
        <v>24722</v>
      </c>
      <c r="F4202" s="162" t="s">
        <v>24723</v>
      </c>
      <c r="G4202" s="190"/>
      <c r="H4202" s="219"/>
      <c r="I4202" s="169">
        <v>109302</v>
      </c>
      <c r="J4202" s="304" t="str">
        <f>CONCATENATE([2]Cover!$D$6,"fdd/view?i=",I4202)</f>
        <v>https://www.dgiwg.org/FAD/fdd/view?i=109302</v>
      </c>
      <c r="K4202" s="304" t="s">
        <v>38251</v>
      </c>
      <c r="L4202" s="188">
        <v>2</v>
      </c>
      <c r="M4202" s="179" t="s">
        <v>151</v>
      </c>
    </row>
    <row r="4203" spans="1:13" ht="25.5">
      <c r="A4203" s="313" t="str">
        <f t="shared" si="65"/>
        <v>LightVisibilityCode_obscured</v>
      </c>
      <c r="B4203" s="330"/>
      <c r="C4203" s="334"/>
      <c r="D4203" s="188" t="s">
        <v>24724</v>
      </c>
      <c r="E4203" s="189" t="s">
        <v>24725</v>
      </c>
      <c r="F4203" s="162" t="s">
        <v>24726</v>
      </c>
      <c r="G4203" s="190"/>
      <c r="H4203" s="219"/>
      <c r="I4203" s="169">
        <v>109307</v>
      </c>
      <c r="J4203" s="304" t="str">
        <f>CONCATENATE([2]Cover!$D$6,"fdd/view?i=",I4203)</f>
        <v>https://www.dgiwg.org/FAD/fdd/view?i=109307</v>
      </c>
      <c r="K4203" s="304" t="s">
        <v>38252</v>
      </c>
      <c r="L4203" s="188">
        <v>7</v>
      </c>
      <c r="M4203" s="179" t="s">
        <v>151</v>
      </c>
    </row>
    <row r="4204" spans="1:13" ht="25.5">
      <c r="A4204" s="313" t="str">
        <f t="shared" si="65"/>
        <v>LightVisibilityCode_partiallyObscured</v>
      </c>
      <c r="B4204" s="330"/>
      <c r="C4204" s="334"/>
      <c r="D4204" s="188" t="s">
        <v>24727</v>
      </c>
      <c r="E4204" s="189" t="s">
        <v>24728</v>
      </c>
      <c r="F4204" s="162" t="s">
        <v>24729</v>
      </c>
      <c r="G4204" s="190"/>
      <c r="H4204" s="219"/>
      <c r="I4204" s="169">
        <v>109308</v>
      </c>
      <c r="J4204" s="304" t="str">
        <f>CONCATENATE([2]Cover!$D$6,"fdd/view?i=",I4204)</f>
        <v>https://www.dgiwg.org/FAD/fdd/view?i=109308</v>
      </c>
      <c r="K4204" s="304" t="s">
        <v>38253</v>
      </c>
      <c r="L4204" s="188">
        <v>8</v>
      </c>
      <c r="M4204" s="179" t="s">
        <v>151</v>
      </c>
    </row>
    <row r="4205" spans="1:13" ht="25.5">
      <c r="A4205" s="313" t="str">
        <f t="shared" si="65"/>
        <v>LightVisibilityCode_unintensified</v>
      </c>
      <c r="B4205" s="330"/>
      <c r="C4205" s="334"/>
      <c r="D4205" s="188" t="s">
        <v>24730</v>
      </c>
      <c r="E4205" s="189" t="s">
        <v>24731</v>
      </c>
      <c r="F4205" s="162" t="s">
        <v>24732</v>
      </c>
      <c r="G4205" s="190"/>
      <c r="H4205" s="219"/>
      <c r="I4205" s="169">
        <v>109305</v>
      </c>
      <c r="J4205" s="304" t="str">
        <f>CONCATENATE([2]Cover!$D$6,"fdd/view?i=",I4205)</f>
        <v>https://www.dgiwg.org/FAD/fdd/view?i=109305</v>
      </c>
      <c r="K4205" s="304" t="s">
        <v>38254</v>
      </c>
      <c r="L4205" s="188">
        <v>5</v>
      </c>
      <c r="M4205" s="179" t="s">
        <v>151</v>
      </c>
    </row>
    <row r="4206" spans="1:13" ht="25.5">
      <c r="A4206" s="313" t="str">
        <f t="shared" si="65"/>
        <v>LightVisibilityCode_visDeliberatelyRestricted</v>
      </c>
      <c r="B4206" s="331"/>
      <c r="C4206" s="335"/>
      <c r="D4206" s="181" t="s">
        <v>24733</v>
      </c>
      <c r="E4206" s="192" t="s">
        <v>24734</v>
      </c>
      <c r="F4206" s="193" t="s">
        <v>24735</v>
      </c>
      <c r="G4206" s="194"/>
      <c r="H4206" s="220"/>
      <c r="I4206" s="169">
        <v>109306</v>
      </c>
      <c r="J4206" s="304" t="str">
        <f>CONCATENATE([2]Cover!$D$6,"fdd/view?i=",I4206)</f>
        <v>https://www.dgiwg.org/FAD/fdd/view?i=109306</v>
      </c>
      <c r="K4206" s="304" t="s">
        <v>38255</v>
      </c>
      <c r="L4206" s="181">
        <v>6</v>
      </c>
      <c r="M4206" s="179" t="s">
        <v>151</v>
      </c>
    </row>
    <row r="4207" spans="1:13" ht="25.5">
      <c r="A4207" s="313" t="str">
        <f t="shared" si="65"/>
        <v>LinearFeatureArrangementCode_doubleArrangement</v>
      </c>
      <c r="B4207" s="332" t="str">
        <f>HYPERLINK("[#]Datatypes!A800:L800","LinearFeatureArrangementCode")</f>
        <v>LinearFeatureArrangementCode</v>
      </c>
      <c r="C4207" s="333" t="s">
        <v>12385</v>
      </c>
      <c r="D4207" s="202" t="s">
        <v>24736</v>
      </c>
      <c r="E4207" s="203" t="s">
        <v>24737</v>
      </c>
      <c r="F4207" s="204" t="s">
        <v>24738</v>
      </c>
      <c r="G4207" s="205"/>
      <c r="H4207" s="218"/>
      <c r="I4207" s="169">
        <v>103811</v>
      </c>
      <c r="J4207" s="304" t="str">
        <f>CONCATENATE([2]Cover!$D$6,"fdd/view?i=",I4207)</f>
        <v>https://www.dgiwg.org/FAD/fdd/view?i=103811</v>
      </c>
      <c r="K4207" s="304" t="s">
        <v>38256</v>
      </c>
      <c r="L4207" s="202">
        <v>2</v>
      </c>
      <c r="M4207" s="179" t="s">
        <v>151</v>
      </c>
    </row>
    <row r="4208" spans="1:13" ht="25.5">
      <c r="A4208" s="313" t="str">
        <f t="shared" si="65"/>
        <v>LinearFeatureArrangementCode_juxtaposition</v>
      </c>
      <c r="B4208" s="330"/>
      <c r="C4208" s="334"/>
      <c r="D4208" s="188" t="s">
        <v>24739</v>
      </c>
      <c r="E4208" s="189" t="s">
        <v>24740</v>
      </c>
      <c r="F4208" s="162" t="s">
        <v>24741</v>
      </c>
      <c r="G4208" s="190"/>
      <c r="H4208" s="219"/>
      <c r="I4208" s="169">
        <v>103813</v>
      </c>
      <c r="J4208" s="304" t="str">
        <f>CONCATENATE([2]Cover!$D$6,"fdd/view?i=",I4208)</f>
        <v>https://www.dgiwg.org/FAD/fdd/view?i=103813</v>
      </c>
      <c r="K4208" s="304" t="s">
        <v>38257</v>
      </c>
      <c r="L4208" s="188">
        <v>4</v>
      </c>
      <c r="M4208" s="179" t="s">
        <v>151</v>
      </c>
    </row>
    <row r="4209" spans="1:13" ht="25.5">
      <c r="A4209" s="313" t="str">
        <f t="shared" si="65"/>
        <v>LinearFeatureArrangementCode_multipleArrangements</v>
      </c>
      <c r="B4209" s="330"/>
      <c r="C4209" s="334"/>
      <c r="D4209" s="188" t="s">
        <v>24742</v>
      </c>
      <c r="E4209" s="189" t="s">
        <v>24743</v>
      </c>
      <c r="F4209" s="162" t="s">
        <v>24744</v>
      </c>
      <c r="G4209" s="190"/>
      <c r="H4209" s="219"/>
      <c r="I4209" s="169">
        <v>103812</v>
      </c>
      <c r="J4209" s="304" t="str">
        <f>CONCATENATE([2]Cover!$D$6,"fdd/view?i=",I4209)</f>
        <v>https://www.dgiwg.org/FAD/fdd/view?i=103812</v>
      </c>
      <c r="K4209" s="304" t="s">
        <v>38258</v>
      </c>
      <c r="L4209" s="188">
        <v>3</v>
      </c>
      <c r="M4209" s="179" t="s">
        <v>151</v>
      </c>
    </row>
    <row r="4210" spans="1:13" ht="25.5">
      <c r="A4210" s="313" t="str">
        <f t="shared" si="65"/>
        <v>LinearFeatureArrangementCode_singleArrangement</v>
      </c>
      <c r="B4210" s="331"/>
      <c r="C4210" s="335"/>
      <c r="D4210" s="181" t="s">
        <v>24745</v>
      </c>
      <c r="E4210" s="192" t="s">
        <v>24746</v>
      </c>
      <c r="F4210" s="193" t="s">
        <v>24747</v>
      </c>
      <c r="G4210" s="194"/>
      <c r="H4210" s="220"/>
      <c r="I4210" s="169">
        <v>103810</v>
      </c>
      <c r="J4210" s="304" t="str">
        <f>CONCATENATE([2]Cover!$D$6,"fdd/view?i=",I4210)</f>
        <v>https://www.dgiwg.org/FAD/fdd/view?i=103810</v>
      </c>
      <c r="K4210" s="304" t="s">
        <v>38259</v>
      </c>
      <c r="L4210" s="181">
        <v>1</v>
      </c>
      <c r="M4210" s="179" t="s">
        <v>151</v>
      </c>
    </row>
    <row r="4211" spans="1:13" ht="25.5">
      <c r="A4211" s="313" t="str">
        <f t="shared" si="65"/>
        <v>LoadClassNumberValidityCode_construction</v>
      </c>
      <c r="B4211" s="332" t="str">
        <f>HYPERLINK("[#]Datatypes!A802:L802","LoadClassNumberValidityCode")</f>
        <v>LoadClassNumberValidityCode</v>
      </c>
      <c r="C4211" s="333" t="s">
        <v>12387</v>
      </c>
      <c r="D4211" s="202" t="s">
        <v>24748</v>
      </c>
      <c r="E4211" s="203" t="s">
        <v>24749</v>
      </c>
      <c r="F4211" s="204" t="s">
        <v>24750</v>
      </c>
      <c r="G4211" s="205"/>
      <c r="H4211" s="218"/>
      <c r="I4211" s="169">
        <v>119244</v>
      </c>
      <c r="J4211" s="304" t="str">
        <f>CONCATENATE([2]Cover!$D$6,"fdd/view?i=",I4211)</f>
        <v>https://www.dgiwg.org/FAD/fdd/view?i=119244</v>
      </c>
      <c r="K4211" s="304" t="s">
        <v>38260</v>
      </c>
      <c r="L4211" s="202">
        <v>1</v>
      </c>
      <c r="M4211" s="179" t="s">
        <v>151</v>
      </c>
    </row>
    <row r="4212" spans="1:13" ht="38.25">
      <c r="A4212" s="313" t="str">
        <f t="shared" si="65"/>
        <v>LoadClassNumberValidityCode_estimated</v>
      </c>
      <c r="B4212" s="330"/>
      <c r="C4212" s="334"/>
      <c r="D4212" s="188" t="s">
        <v>18299</v>
      </c>
      <c r="E4212" s="189" t="s">
        <v>18300</v>
      </c>
      <c r="F4212" s="162" t="s">
        <v>24751</v>
      </c>
      <c r="G4212" s="190"/>
      <c r="H4212" s="219"/>
      <c r="I4212" s="169">
        <v>119248</v>
      </c>
      <c r="J4212" s="304" t="str">
        <f>CONCATENATE([2]Cover!$D$6,"fdd/view?i=",I4212)</f>
        <v>https://www.dgiwg.org/FAD/fdd/view?i=119248</v>
      </c>
      <c r="K4212" s="304" t="s">
        <v>38261</v>
      </c>
      <c r="L4212" s="188">
        <v>6</v>
      </c>
      <c r="M4212" s="179" t="s">
        <v>151</v>
      </c>
    </row>
    <row r="4213" spans="1:13" ht="38.25">
      <c r="A4213" s="313" t="str">
        <f t="shared" si="65"/>
        <v>LoadClassNumberValidityCode_operations</v>
      </c>
      <c r="B4213" s="330"/>
      <c r="C4213" s="334"/>
      <c r="D4213" s="188" t="s">
        <v>19182</v>
      </c>
      <c r="E4213" s="189" t="s">
        <v>24752</v>
      </c>
      <c r="F4213" s="162" t="s">
        <v>24753</v>
      </c>
      <c r="G4213" s="190"/>
      <c r="H4213" s="219"/>
      <c r="I4213" s="169">
        <v>119246</v>
      </c>
      <c r="J4213" s="304" t="str">
        <f>CONCATENATE([2]Cover!$D$6,"fdd/view?i=",I4213)</f>
        <v>https://www.dgiwg.org/FAD/fdd/view?i=119246</v>
      </c>
      <c r="K4213" s="304" t="s">
        <v>38262</v>
      </c>
      <c r="L4213" s="188">
        <v>3</v>
      </c>
      <c r="M4213" s="179" t="s">
        <v>151</v>
      </c>
    </row>
    <row r="4214" spans="1:13" ht="25.5">
      <c r="A4214" s="313" t="str">
        <f t="shared" si="65"/>
        <v>LoadClassNumberValidityCode_reported</v>
      </c>
      <c r="B4214" s="330"/>
      <c r="C4214" s="334"/>
      <c r="D4214" s="188" t="s">
        <v>21016</v>
      </c>
      <c r="E4214" s="189" t="s">
        <v>21017</v>
      </c>
      <c r="F4214" s="162" t="s">
        <v>24754</v>
      </c>
      <c r="G4214" s="190"/>
      <c r="H4214" s="219"/>
      <c r="I4214" s="169">
        <v>119247</v>
      </c>
      <c r="J4214" s="304" t="str">
        <f>CONCATENATE([2]Cover!$D$6,"fdd/view?i=",I4214)</f>
        <v>https://www.dgiwg.org/FAD/fdd/view?i=119247</v>
      </c>
      <c r="K4214" s="304" t="s">
        <v>38263</v>
      </c>
      <c r="L4214" s="188">
        <v>5</v>
      </c>
      <c r="M4214" s="179" t="s">
        <v>151</v>
      </c>
    </row>
    <row r="4215" spans="1:13" ht="25.5">
      <c r="A4215" s="313" t="str">
        <f t="shared" si="65"/>
        <v>LoadClassNumberValidityCode_test</v>
      </c>
      <c r="B4215" s="331"/>
      <c r="C4215" s="335"/>
      <c r="D4215" s="181" t="s">
        <v>24755</v>
      </c>
      <c r="E4215" s="192" t="s">
        <v>24756</v>
      </c>
      <c r="F4215" s="193" t="s">
        <v>24757</v>
      </c>
      <c r="G4215" s="194"/>
      <c r="H4215" s="220"/>
      <c r="I4215" s="169">
        <v>119245</v>
      </c>
      <c r="J4215" s="304" t="str">
        <f>CONCATENATE([2]Cover!$D$6,"fdd/view?i=",I4215)</f>
        <v>https://www.dgiwg.org/FAD/fdd/view?i=119245</v>
      </c>
      <c r="K4215" s="304" t="s">
        <v>38264</v>
      </c>
      <c r="L4215" s="181">
        <v>2</v>
      </c>
      <c r="M4215" s="179" t="s">
        <v>151</v>
      </c>
    </row>
    <row r="4216" spans="1:13" ht="25.5">
      <c r="A4216" s="313" t="str">
        <f t="shared" si="65"/>
        <v>LocationRefToShorelineCode_atShoreline</v>
      </c>
      <c r="B4216" s="332" t="str">
        <f>HYPERLINK("[#]Datatypes!A804:L804","LocationRefToShorelineCode")</f>
        <v>LocationRefToShorelineCode</v>
      </c>
      <c r="C4216" s="333" t="s">
        <v>12389</v>
      </c>
      <c r="D4216" s="202" t="s">
        <v>24758</v>
      </c>
      <c r="E4216" s="203" t="s">
        <v>24759</v>
      </c>
      <c r="F4216" s="204" t="s">
        <v>24760</v>
      </c>
      <c r="G4216" s="204" t="s">
        <v>24761</v>
      </c>
      <c r="H4216" s="218"/>
      <c r="I4216" s="169">
        <v>108080</v>
      </c>
      <c r="J4216" s="304" t="str">
        <f>CONCATENATE([2]Cover!$D$6,"fdd/view?i=",I4216)</f>
        <v>https://www.dgiwg.org/FAD/fdd/view?i=108080</v>
      </c>
      <c r="K4216" s="304" t="s">
        <v>38265</v>
      </c>
      <c r="L4216" s="202">
        <v>3</v>
      </c>
      <c r="M4216" s="179" t="s">
        <v>151</v>
      </c>
    </row>
    <row r="4217" spans="1:13" ht="25.5">
      <c r="A4217" s="313" t="str">
        <f t="shared" si="65"/>
        <v>LocationRefToShorelineCode_inland</v>
      </c>
      <c r="B4217" s="330"/>
      <c r="C4217" s="334"/>
      <c r="D4217" s="188" t="s">
        <v>24762</v>
      </c>
      <c r="E4217" s="189" t="s">
        <v>24763</v>
      </c>
      <c r="F4217" s="162" t="s">
        <v>24764</v>
      </c>
      <c r="G4217" s="162" t="s">
        <v>24765</v>
      </c>
      <c r="H4217" s="219"/>
      <c r="I4217" s="169">
        <v>108079</v>
      </c>
      <c r="J4217" s="304" t="str">
        <f>CONCATENATE([2]Cover!$D$6,"fdd/view?i=",I4217)</f>
        <v>https://www.dgiwg.org/FAD/fdd/view?i=108079</v>
      </c>
      <c r="K4217" s="304" t="s">
        <v>38266</v>
      </c>
      <c r="L4217" s="188">
        <v>2</v>
      </c>
      <c r="M4217" s="179" t="s">
        <v>151</v>
      </c>
    </row>
    <row r="4218" spans="1:13" ht="25.5">
      <c r="A4218" s="313" t="str">
        <f t="shared" si="65"/>
        <v>LocationRefToShorelineCode_offshore</v>
      </c>
      <c r="B4218" s="331"/>
      <c r="C4218" s="335"/>
      <c r="D4218" s="181" t="s">
        <v>24766</v>
      </c>
      <c r="E4218" s="192" t="s">
        <v>24767</v>
      </c>
      <c r="F4218" s="193" t="s">
        <v>24768</v>
      </c>
      <c r="G4218" s="193" t="s">
        <v>24769</v>
      </c>
      <c r="H4218" s="220"/>
      <c r="I4218" s="169">
        <v>108078</v>
      </c>
      <c r="J4218" s="304" t="str">
        <f>CONCATENATE([2]Cover!$D$6,"fdd/view?i=",I4218)</f>
        <v>https://www.dgiwg.org/FAD/fdd/view?i=108078</v>
      </c>
      <c r="K4218" s="304" t="s">
        <v>38267</v>
      </c>
      <c r="L4218" s="181">
        <v>1</v>
      </c>
      <c r="M4218" s="179" t="s">
        <v>151</v>
      </c>
    </row>
    <row r="4219" spans="1:13" ht="25.5">
      <c r="A4219" s="313" t="str">
        <f t="shared" si="65"/>
        <v>LowVisHoldingPositionCatCode_catI</v>
      </c>
      <c r="B4219" s="332" t="str">
        <f>HYPERLINK("[#]Datatypes!A806:L806","LowVisHoldingPositionCatCode")</f>
        <v>LowVisHoldingPositionCatCode</v>
      </c>
      <c r="C4219" s="333" t="s">
        <v>8041</v>
      </c>
      <c r="D4219" s="202" t="s">
        <v>24770</v>
      </c>
      <c r="E4219" s="203" t="s">
        <v>24771</v>
      </c>
      <c r="F4219" s="204" t="s">
        <v>24772</v>
      </c>
      <c r="G4219" s="205"/>
      <c r="H4219" s="218"/>
      <c r="I4219" s="169">
        <v>119153</v>
      </c>
      <c r="J4219" s="304" t="str">
        <f>CONCATENATE([2]Cover!$D$6,"fdd/view?i=",I4219)</f>
        <v>https://www.dgiwg.org/FAD/fdd/view?i=119153</v>
      </c>
      <c r="K4219" s="304" t="s">
        <v>38268</v>
      </c>
      <c r="L4219" s="202">
        <v>2</v>
      </c>
      <c r="M4219" s="179" t="s">
        <v>151</v>
      </c>
    </row>
    <row r="4220" spans="1:13" ht="25.5">
      <c r="A4220" s="313" t="str">
        <f t="shared" si="65"/>
        <v>LowVisHoldingPositionCatCode_catII_III</v>
      </c>
      <c r="B4220" s="330"/>
      <c r="C4220" s="334"/>
      <c r="D4220" s="188" t="s">
        <v>24773</v>
      </c>
      <c r="E4220" s="189" t="s">
        <v>24774</v>
      </c>
      <c r="F4220" s="162" t="s">
        <v>24775</v>
      </c>
      <c r="G4220" s="190"/>
      <c r="H4220" s="219"/>
      <c r="I4220" s="169">
        <v>119154</v>
      </c>
      <c r="J4220" s="304" t="str">
        <f>CONCATENATE([2]Cover!$D$6,"fdd/view?i=",I4220)</f>
        <v>https://www.dgiwg.org/FAD/fdd/view?i=119154</v>
      </c>
      <c r="K4220" s="304" t="s">
        <v>38269</v>
      </c>
      <c r="L4220" s="188">
        <v>3</v>
      </c>
      <c r="M4220" s="179" t="s">
        <v>151</v>
      </c>
    </row>
    <row r="4221" spans="1:13" ht="25.5">
      <c r="A4221" s="313" t="str">
        <f t="shared" si="65"/>
        <v>LowVisHoldingPositionCatCode_none</v>
      </c>
      <c r="B4221" s="331"/>
      <c r="C4221" s="335"/>
      <c r="D4221" s="181" t="s">
        <v>22836</v>
      </c>
      <c r="E4221" s="192" t="s">
        <v>22837</v>
      </c>
      <c r="F4221" s="193" t="s">
        <v>24776</v>
      </c>
      <c r="G4221" s="194"/>
      <c r="H4221" s="220"/>
      <c r="I4221" s="169">
        <v>119152</v>
      </c>
      <c r="J4221" s="304" t="str">
        <f>CONCATENATE([2]Cover!$D$6,"fdd/view?i=",I4221)</f>
        <v>https://www.dgiwg.org/FAD/fdd/view?i=119152</v>
      </c>
      <c r="K4221" s="304" t="s">
        <v>38270</v>
      </c>
      <c r="L4221" s="181">
        <v>1</v>
      </c>
      <c r="M4221" s="179" t="s">
        <v>151</v>
      </c>
    </row>
    <row r="4222" spans="1:13" ht="25.5">
      <c r="A4222" s="313" t="str">
        <f t="shared" si="65"/>
        <v>MarineBiogeographyCode_feeding</v>
      </c>
      <c r="B4222" s="332" t="str">
        <f>HYPERLINK("[#]Datatypes!A814:L814","MarineBiogeographyCode")</f>
        <v>MarineBiogeographyCode</v>
      </c>
      <c r="C4222" s="333" t="s">
        <v>12398</v>
      </c>
      <c r="D4222" s="202" t="s">
        <v>24777</v>
      </c>
      <c r="E4222" s="203" t="s">
        <v>24778</v>
      </c>
      <c r="F4222" s="204" t="s">
        <v>24779</v>
      </c>
      <c r="G4222" s="205"/>
      <c r="H4222" s="218"/>
      <c r="I4222" s="169">
        <v>119364</v>
      </c>
      <c r="J4222" s="304" t="str">
        <f>CONCATENATE([2]Cover!$D$6,"fdd/view?i=",I4222)</f>
        <v>https://www.dgiwg.org/FAD/fdd/view?i=119364</v>
      </c>
      <c r="K4222" s="304" t="s">
        <v>38271</v>
      </c>
      <c r="L4222" s="202">
        <v>2</v>
      </c>
      <c r="M4222" s="179" t="s">
        <v>151</v>
      </c>
    </row>
    <row r="4223" spans="1:13" ht="25.5">
      <c r="A4223" s="313" t="str">
        <f t="shared" si="65"/>
        <v>MarineBiogeographyCode_general</v>
      </c>
      <c r="B4223" s="330"/>
      <c r="C4223" s="334"/>
      <c r="D4223" s="188" t="s">
        <v>24780</v>
      </c>
      <c r="E4223" s="189" t="s">
        <v>24781</v>
      </c>
      <c r="F4223" s="162" t="s">
        <v>24782</v>
      </c>
      <c r="G4223" s="162" t="s">
        <v>24783</v>
      </c>
      <c r="H4223" s="221" t="s">
        <v>24784</v>
      </c>
      <c r="I4223" s="169">
        <v>119363</v>
      </c>
      <c r="J4223" s="304" t="str">
        <f>CONCATENATE([2]Cover!$D$6,"fdd/view?i=",I4223)</f>
        <v>https://www.dgiwg.org/FAD/fdd/view?i=119363</v>
      </c>
      <c r="K4223" s="304" t="s">
        <v>38272</v>
      </c>
      <c r="L4223" s="188">
        <v>1</v>
      </c>
      <c r="M4223" s="179" t="s">
        <v>151</v>
      </c>
    </row>
    <row r="4224" spans="1:13" ht="25.5">
      <c r="A4224" s="313" t="str">
        <f t="shared" si="65"/>
        <v>MarineBiogeographyCode_spawning</v>
      </c>
      <c r="B4224" s="330"/>
      <c r="C4224" s="334"/>
      <c r="D4224" s="188" t="s">
        <v>24785</v>
      </c>
      <c r="E4224" s="189" t="s">
        <v>24786</v>
      </c>
      <c r="F4224" s="162" t="s">
        <v>24787</v>
      </c>
      <c r="G4224" s="190"/>
      <c r="H4224" s="219"/>
      <c r="I4224" s="169">
        <v>119365</v>
      </c>
      <c r="J4224" s="304" t="str">
        <f>CONCATENATE([2]Cover!$D$6,"fdd/view?i=",I4224)</f>
        <v>https://www.dgiwg.org/FAD/fdd/view?i=119365</v>
      </c>
      <c r="K4224" s="304" t="s">
        <v>38273</v>
      </c>
      <c r="L4224" s="188">
        <v>3</v>
      </c>
      <c r="M4224" s="179" t="s">
        <v>151</v>
      </c>
    </row>
    <row r="4225" spans="1:13" ht="25.5">
      <c r="A4225" s="313" t="str">
        <f t="shared" si="65"/>
        <v>MarineBiogeographyCode_wintering</v>
      </c>
      <c r="B4225" s="331"/>
      <c r="C4225" s="335"/>
      <c r="D4225" s="181" t="s">
        <v>24788</v>
      </c>
      <c r="E4225" s="192" t="s">
        <v>24789</v>
      </c>
      <c r="F4225" s="193" t="s">
        <v>24790</v>
      </c>
      <c r="G4225" s="194"/>
      <c r="H4225" s="220"/>
      <c r="I4225" s="169">
        <v>119366</v>
      </c>
      <c r="J4225" s="304" t="str">
        <f>CONCATENATE([2]Cover!$D$6,"fdd/view?i=",I4225)</f>
        <v>https://www.dgiwg.org/FAD/fdd/view?i=119366</v>
      </c>
      <c r="K4225" s="304" t="s">
        <v>38274</v>
      </c>
      <c r="L4225" s="181">
        <v>4</v>
      </c>
      <c r="M4225" s="179" t="s">
        <v>151</v>
      </c>
    </row>
    <row r="4226" spans="1:13" ht="25.5">
      <c r="A4226" s="313" t="str">
        <f t="shared" si="65"/>
        <v>MarineFarmEncloseMethodCode_fencing</v>
      </c>
      <c r="B4226" s="332" t="str">
        <f>HYPERLINK("[#]Datatypes!A816:L816","MarineFarmEncloseMethodCode")</f>
        <v>MarineFarmEncloseMethodCode</v>
      </c>
      <c r="C4226" s="333" t="s">
        <v>12400</v>
      </c>
      <c r="D4226" s="202" t="s">
        <v>24791</v>
      </c>
      <c r="E4226" s="203" t="s">
        <v>24792</v>
      </c>
      <c r="F4226" s="204" t="s">
        <v>24793</v>
      </c>
      <c r="G4226" s="205"/>
      <c r="H4226" s="218"/>
      <c r="I4226" s="169">
        <v>117934</v>
      </c>
      <c r="J4226" s="304" t="str">
        <f>CONCATENATE([2]Cover!$D$6,"fdd/view?i=",I4226)</f>
        <v>https://www.dgiwg.org/FAD/fdd/view?i=117934</v>
      </c>
      <c r="K4226" s="304" t="s">
        <v>38275</v>
      </c>
      <c r="L4226" s="202">
        <v>1</v>
      </c>
      <c r="M4226" s="179" t="s">
        <v>151</v>
      </c>
    </row>
    <row r="4227" spans="1:13" ht="25.5">
      <c r="A4227" s="313" t="str">
        <f t="shared" ref="A4227:A4290" si="66">HYPERLINK(J4227,K4227)</f>
        <v>MarineFarmEncloseMethodCode_fishingStakes</v>
      </c>
      <c r="B4227" s="330"/>
      <c r="C4227" s="334"/>
      <c r="D4227" s="188" t="s">
        <v>24794</v>
      </c>
      <c r="E4227" s="189" t="s">
        <v>2410</v>
      </c>
      <c r="F4227" s="162" t="s">
        <v>2411</v>
      </c>
      <c r="G4227" s="190"/>
      <c r="H4227" s="219"/>
      <c r="I4227" s="169">
        <v>117935</v>
      </c>
      <c r="J4227" s="304" t="str">
        <f>CONCATENATE([2]Cover!$D$6,"fdd/view?i=",I4227)</f>
        <v>https://www.dgiwg.org/FAD/fdd/view?i=117935</v>
      </c>
      <c r="K4227" s="304" t="s">
        <v>38276</v>
      </c>
      <c r="L4227" s="188">
        <v>2</v>
      </c>
      <c r="M4227" s="179" t="s">
        <v>151</v>
      </c>
    </row>
    <row r="4228" spans="1:13" ht="25.5">
      <c r="A4228" s="313" t="str">
        <f t="shared" si="66"/>
        <v>MarineFarmEncloseMethodCode_nets</v>
      </c>
      <c r="B4228" s="331"/>
      <c r="C4228" s="335"/>
      <c r="D4228" s="181" t="s">
        <v>24795</v>
      </c>
      <c r="E4228" s="192" t="s">
        <v>24796</v>
      </c>
      <c r="F4228" s="193" t="s">
        <v>24797</v>
      </c>
      <c r="G4228" s="194"/>
      <c r="H4228" s="220"/>
      <c r="I4228" s="169">
        <v>117936</v>
      </c>
      <c r="J4228" s="304" t="str">
        <f>CONCATENATE([2]Cover!$D$6,"fdd/view?i=",I4228)</f>
        <v>https://www.dgiwg.org/FAD/fdd/view?i=117936</v>
      </c>
      <c r="K4228" s="304" t="s">
        <v>38277</v>
      </c>
      <c r="L4228" s="181">
        <v>3</v>
      </c>
      <c r="M4228" s="179" t="s">
        <v>151</v>
      </c>
    </row>
    <row r="4229" spans="1:13" ht="25.5">
      <c r="A4229" s="313" t="str">
        <f t="shared" si="66"/>
        <v>MarineSpeciesCode_alaskaPollock</v>
      </c>
      <c r="B4229" s="332" t="str">
        <f>HYPERLINK("[#]Datatypes!A818:L818","MarineSpeciesCode")</f>
        <v>MarineSpeciesCode</v>
      </c>
      <c r="C4229" s="333" t="s">
        <v>12402</v>
      </c>
      <c r="D4229" s="202" t="s">
        <v>24798</v>
      </c>
      <c r="E4229" s="203" t="s">
        <v>24799</v>
      </c>
      <c r="F4229" s="204" t="s">
        <v>24800</v>
      </c>
      <c r="G4229" s="204" t="s">
        <v>24801</v>
      </c>
      <c r="H4229" s="222" t="s">
        <v>24802</v>
      </c>
      <c r="I4229" s="169">
        <v>206289</v>
      </c>
      <c r="J4229" s="304" t="str">
        <f>CONCATENATE([2]Cover!$D$6,"fdd/view?i=",I4229)</f>
        <v>https://www.dgiwg.org/FAD/fdd/view?i=206289</v>
      </c>
      <c r="K4229" s="304" t="s">
        <v>38278</v>
      </c>
      <c r="L4229" s="202">
        <v>1</v>
      </c>
      <c r="M4229" s="179" t="s">
        <v>1295</v>
      </c>
    </row>
    <row r="4230" spans="1:13" ht="38.25">
      <c r="A4230" s="313" t="str">
        <f t="shared" si="66"/>
        <v>MarineSpeciesCode_albacore</v>
      </c>
      <c r="B4230" s="330"/>
      <c r="C4230" s="334"/>
      <c r="D4230" s="188" t="s">
        <v>24803</v>
      </c>
      <c r="E4230" s="189" t="s">
        <v>24804</v>
      </c>
      <c r="F4230" s="162" t="s">
        <v>24805</v>
      </c>
      <c r="G4230" s="162" t="s">
        <v>24806</v>
      </c>
      <c r="H4230" s="219"/>
      <c r="I4230" s="169">
        <v>206290</v>
      </c>
      <c r="J4230" s="304" t="str">
        <f>CONCATENATE([2]Cover!$D$6,"fdd/view?i=",I4230)</f>
        <v>https://www.dgiwg.org/FAD/fdd/view?i=206290</v>
      </c>
      <c r="K4230" s="304" t="s">
        <v>38279</v>
      </c>
      <c r="L4230" s="188">
        <v>2</v>
      </c>
      <c r="M4230" s="179" t="s">
        <v>1295</v>
      </c>
    </row>
    <row r="4231" spans="1:13" ht="25.5">
      <c r="A4231" s="313" t="str">
        <f t="shared" si="66"/>
        <v>MarineSpeciesCode_almacoJack</v>
      </c>
      <c r="B4231" s="330"/>
      <c r="C4231" s="334"/>
      <c r="D4231" s="188" t="s">
        <v>24807</v>
      </c>
      <c r="E4231" s="189" t="s">
        <v>24808</v>
      </c>
      <c r="F4231" s="162" t="s">
        <v>24809</v>
      </c>
      <c r="G4231" s="162" t="s">
        <v>24810</v>
      </c>
      <c r="H4231" s="219"/>
      <c r="I4231" s="169">
        <v>206291</v>
      </c>
      <c r="J4231" s="304" t="str">
        <f>CONCATENATE([2]Cover!$D$6,"fdd/view?i=",I4231)</f>
        <v>https://www.dgiwg.org/FAD/fdd/view?i=206291</v>
      </c>
      <c r="K4231" s="304" t="s">
        <v>38280</v>
      </c>
      <c r="L4231" s="188">
        <v>3</v>
      </c>
      <c r="M4231" s="179" t="s">
        <v>1295</v>
      </c>
    </row>
    <row r="4232" spans="1:13" ht="38.25">
      <c r="A4232" s="313" t="str">
        <f t="shared" si="66"/>
        <v>MarineSpeciesCode_americanPlaice</v>
      </c>
      <c r="B4232" s="330"/>
      <c r="C4232" s="334"/>
      <c r="D4232" s="188" t="s">
        <v>24811</v>
      </c>
      <c r="E4232" s="189" t="s">
        <v>24812</v>
      </c>
      <c r="F4232" s="162" t="s">
        <v>24813</v>
      </c>
      <c r="G4232" s="162" t="s">
        <v>24814</v>
      </c>
      <c r="H4232" s="221" t="s">
        <v>24815</v>
      </c>
      <c r="I4232" s="169">
        <v>206292</v>
      </c>
      <c r="J4232" s="304" t="str">
        <f>CONCATENATE([2]Cover!$D$6,"fdd/view?i=",I4232)</f>
        <v>https://www.dgiwg.org/FAD/fdd/view?i=206292</v>
      </c>
      <c r="K4232" s="304" t="s">
        <v>38281</v>
      </c>
      <c r="L4232" s="188">
        <v>4</v>
      </c>
      <c r="M4232" s="179" t="s">
        <v>1295</v>
      </c>
    </row>
    <row r="4233" spans="1:13" ht="51">
      <c r="A4233" s="313" t="str">
        <f t="shared" si="66"/>
        <v>MarineSpeciesCode_angler</v>
      </c>
      <c r="B4233" s="330"/>
      <c r="C4233" s="334"/>
      <c r="D4233" s="188" t="s">
        <v>24816</v>
      </c>
      <c r="E4233" s="189" t="s">
        <v>24817</v>
      </c>
      <c r="F4233" s="162" t="s">
        <v>24818</v>
      </c>
      <c r="G4233" s="162" t="s">
        <v>24819</v>
      </c>
      <c r="H4233" s="221" t="s">
        <v>24820</v>
      </c>
      <c r="I4233" s="169">
        <v>206293</v>
      </c>
      <c r="J4233" s="304" t="str">
        <f>CONCATENATE([2]Cover!$D$6,"fdd/view?i=",I4233)</f>
        <v>https://www.dgiwg.org/FAD/fdd/view?i=206293</v>
      </c>
      <c r="K4233" s="304" t="s">
        <v>38282</v>
      </c>
      <c r="L4233" s="188">
        <v>5</v>
      </c>
      <c r="M4233" s="179" t="s">
        <v>1295</v>
      </c>
    </row>
    <row r="4234" spans="1:13" ht="51">
      <c r="A4234" s="313" t="str">
        <f t="shared" si="66"/>
        <v>MarineSpeciesCode_atlanticBluefinTuna</v>
      </c>
      <c r="B4234" s="330"/>
      <c r="C4234" s="334"/>
      <c r="D4234" s="188" t="s">
        <v>24821</v>
      </c>
      <c r="E4234" s="189" t="s">
        <v>24822</v>
      </c>
      <c r="F4234" s="162" t="s">
        <v>24823</v>
      </c>
      <c r="G4234" s="162" t="s">
        <v>24824</v>
      </c>
      <c r="H4234" s="221" t="s">
        <v>24825</v>
      </c>
      <c r="I4234" s="169">
        <v>206294</v>
      </c>
      <c r="J4234" s="304" t="str">
        <f>CONCATENATE([2]Cover!$D$6,"fdd/view?i=",I4234)</f>
        <v>https://www.dgiwg.org/FAD/fdd/view?i=206294</v>
      </c>
      <c r="K4234" s="304" t="s">
        <v>38283</v>
      </c>
      <c r="L4234" s="188">
        <v>6</v>
      </c>
      <c r="M4234" s="179" t="s">
        <v>1295</v>
      </c>
    </row>
    <row r="4235" spans="1:13" ht="38.25">
      <c r="A4235" s="313" t="str">
        <f t="shared" si="66"/>
        <v>MarineSpeciesCode_atlanticCod</v>
      </c>
      <c r="B4235" s="330"/>
      <c r="C4235" s="334"/>
      <c r="D4235" s="188" t="s">
        <v>24826</v>
      </c>
      <c r="E4235" s="189" t="s">
        <v>24827</v>
      </c>
      <c r="F4235" s="162" t="s">
        <v>24828</v>
      </c>
      <c r="G4235" s="162" t="s">
        <v>24829</v>
      </c>
      <c r="H4235" s="221" t="s">
        <v>24830</v>
      </c>
      <c r="I4235" s="169">
        <v>206295</v>
      </c>
      <c r="J4235" s="304" t="str">
        <f>CONCATENATE([2]Cover!$D$6,"fdd/view?i=",I4235)</f>
        <v>https://www.dgiwg.org/FAD/fdd/view?i=206295</v>
      </c>
      <c r="K4235" s="304" t="s">
        <v>38284</v>
      </c>
      <c r="L4235" s="188">
        <v>7</v>
      </c>
      <c r="M4235" s="179" t="s">
        <v>1295</v>
      </c>
    </row>
    <row r="4236" spans="1:13" ht="25.5">
      <c r="A4236" s="313" t="str">
        <f t="shared" si="66"/>
        <v>MarineSpeciesCode_atlanticHerring</v>
      </c>
      <c r="B4236" s="330"/>
      <c r="C4236" s="334"/>
      <c r="D4236" s="188" t="s">
        <v>24831</v>
      </c>
      <c r="E4236" s="189" t="s">
        <v>24832</v>
      </c>
      <c r="F4236" s="162" t="s">
        <v>24833</v>
      </c>
      <c r="G4236" s="162" t="s">
        <v>24834</v>
      </c>
      <c r="H4236" s="219"/>
      <c r="I4236" s="169">
        <v>206296</v>
      </c>
      <c r="J4236" s="304" t="str">
        <f>CONCATENATE([2]Cover!$D$6,"fdd/view?i=",I4236)</f>
        <v>https://www.dgiwg.org/FAD/fdd/view?i=206296</v>
      </c>
      <c r="K4236" s="304" t="s">
        <v>38285</v>
      </c>
      <c r="L4236" s="188">
        <v>8</v>
      </c>
      <c r="M4236" s="179" t="s">
        <v>1295</v>
      </c>
    </row>
    <row r="4237" spans="1:13" ht="63.75">
      <c r="A4237" s="313" t="str">
        <f t="shared" si="66"/>
        <v>MarineSpeciesCode_atlanticHorseMackerel</v>
      </c>
      <c r="B4237" s="330"/>
      <c r="C4237" s="334"/>
      <c r="D4237" s="188" t="s">
        <v>24835</v>
      </c>
      <c r="E4237" s="189" t="s">
        <v>24836</v>
      </c>
      <c r="F4237" s="162" t="s">
        <v>24837</v>
      </c>
      <c r="G4237" s="162" t="s">
        <v>24838</v>
      </c>
      <c r="H4237" s="221" t="s">
        <v>24839</v>
      </c>
      <c r="I4237" s="169">
        <v>206297</v>
      </c>
      <c r="J4237" s="304" t="str">
        <f>CONCATENATE([2]Cover!$D$6,"fdd/view?i=",I4237)</f>
        <v>https://www.dgiwg.org/FAD/fdd/view?i=206297</v>
      </c>
      <c r="K4237" s="304" t="s">
        <v>38286</v>
      </c>
      <c r="L4237" s="188">
        <v>9</v>
      </c>
      <c r="M4237" s="179" t="s">
        <v>1295</v>
      </c>
    </row>
    <row r="4238" spans="1:13" ht="25.5">
      <c r="A4238" s="313" t="str">
        <f t="shared" si="66"/>
        <v>MarineSpeciesCode_atlanticMackerel</v>
      </c>
      <c r="B4238" s="330"/>
      <c r="C4238" s="334"/>
      <c r="D4238" s="188" t="s">
        <v>24840</v>
      </c>
      <c r="E4238" s="189" t="s">
        <v>24841</v>
      </c>
      <c r="F4238" s="162" t="s">
        <v>24842</v>
      </c>
      <c r="G4238" s="162" t="s">
        <v>24843</v>
      </c>
      <c r="H4238" s="221" t="s">
        <v>24844</v>
      </c>
      <c r="I4238" s="169">
        <v>206298</v>
      </c>
      <c r="J4238" s="304" t="str">
        <f>CONCATENATE([2]Cover!$D$6,"fdd/view?i=",I4238)</f>
        <v>https://www.dgiwg.org/FAD/fdd/view?i=206298</v>
      </c>
      <c r="K4238" s="304" t="s">
        <v>38287</v>
      </c>
      <c r="L4238" s="188">
        <v>10</v>
      </c>
      <c r="M4238" s="179" t="s">
        <v>1295</v>
      </c>
    </row>
    <row r="4239" spans="1:13" ht="25.5">
      <c r="A4239" s="313" t="str">
        <f t="shared" si="66"/>
        <v>MarineSpeciesCode_atlanticPomfret</v>
      </c>
      <c r="B4239" s="330"/>
      <c r="C4239" s="334"/>
      <c r="D4239" s="188" t="s">
        <v>24845</v>
      </c>
      <c r="E4239" s="189" t="s">
        <v>24846</v>
      </c>
      <c r="F4239" s="162" t="s">
        <v>24847</v>
      </c>
      <c r="G4239" s="162" t="s">
        <v>24848</v>
      </c>
      <c r="H4239" s="219"/>
      <c r="I4239" s="169">
        <v>206299</v>
      </c>
      <c r="J4239" s="304" t="str">
        <f>CONCATENATE([2]Cover!$D$6,"fdd/view?i=",I4239)</f>
        <v>https://www.dgiwg.org/FAD/fdd/view?i=206299</v>
      </c>
      <c r="K4239" s="304" t="s">
        <v>38288</v>
      </c>
      <c r="L4239" s="188">
        <v>11</v>
      </c>
      <c r="M4239" s="179" t="s">
        <v>1295</v>
      </c>
    </row>
    <row r="4240" spans="1:13" ht="25.5">
      <c r="A4240" s="313" t="str">
        <f t="shared" si="66"/>
        <v>MarineSpeciesCode_atlanticSaury</v>
      </c>
      <c r="B4240" s="330"/>
      <c r="C4240" s="334"/>
      <c r="D4240" s="188" t="s">
        <v>24849</v>
      </c>
      <c r="E4240" s="189" t="s">
        <v>24850</v>
      </c>
      <c r="F4240" s="162" t="s">
        <v>24851</v>
      </c>
      <c r="G4240" s="162" t="s">
        <v>24852</v>
      </c>
      <c r="H4240" s="219"/>
      <c r="I4240" s="169">
        <v>206300</v>
      </c>
      <c r="J4240" s="304" t="str">
        <f>CONCATENATE([2]Cover!$D$6,"fdd/view?i=",I4240)</f>
        <v>https://www.dgiwg.org/FAD/fdd/view?i=206300</v>
      </c>
      <c r="K4240" s="304" t="s">
        <v>38289</v>
      </c>
      <c r="L4240" s="188">
        <v>12</v>
      </c>
      <c r="M4240" s="179" t="s">
        <v>1295</v>
      </c>
    </row>
    <row r="4241" spans="1:13" ht="51">
      <c r="A4241" s="313" t="str">
        <f t="shared" si="66"/>
        <v>MarineSpeciesCode_atlanticWolffish</v>
      </c>
      <c r="B4241" s="330"/>
      <c r="C4241" s="334"/>
      <c r="D4241" s="188" t="s">
        <v>24853</v>
      </c>
      <c r="E4241" s="189" t="s">
        <v>24854</v>
      </c>
      <c r="F4241" s="162" t="s">
        <v>24855</v>
      </c>
      <c r="G4241" s="162" t="s">
        <v>24856</v>
      </c>
      <c r="H4241" s="221" t="s">
        <v>24857</v>
      </c>
      <c r="I4241" s="169">
        <v>206301</v>
      </c>
      <c r="J4241" s="304" t="str">
        <f>CONCATENATE([2]Cover!$D$6,"fdd/view?i=",I4241)</f>
        <v>https://www.dgiwg.org/FAD/fdd/view?i=206301</v>
      </c>
      <c r="K4241" s="304" t="s">
        <v>38290</v>
      </c>
      <c r="L4241" s="188">
        <v>13</v>
      </c>
      <c r="M4241" s="179" t="s">
        <v>1295</v>
      </c>
    </row>
    <row r="4242" spans="1:13" ht="25.5">
      <c r="A4242" s="313" t="str">
        <f t="shared" si="66"/>
        <v>MarineSpeciesCode_baliSardinella</v>
      </c>
      <c r="B4242" s="330"/>
      <c r="C4242" s="334"/>
      <c r="D4242" s="188" t="s">
        <v>24858</v>
      </c>
      <c r="E4242" s="189" t="s">
        <v>24859</v>
      </c>
      <c r="F4242" s="162" t="s">
        <v>24860</v>
      </c>
      <c r="G4242" s="162" t="s">
        <v>24861</v>
      </c>
      <c r="H4242" s="219"/>
      <c r="I4242" s="169">
        <v>206302</v>
      </c>
      <c r="J4242" s="304" t="str">
        <f>CONCATENATE([2]Cover!$D$6,"fdd/view?i=",I4242)</f>
        <v>https://www.dgiwg.org/FAD/fdd/view?i=206302</v>
      </c>
      <c r="K4242" s="304" t="s">
        <v>38291</v>
      </c>
      <c r="L4242" s="188">
        <v>14</v>
      </c>
      <c r="M4242" s="179" t="s">
        <v>1295</v>
      </c>
    </row>
    <row r="4243" spans="1:13" ht="25.5">
      <c r="A4243" s="313" t="str">
        <f t="shared" si="66"/>
        <v>MarineSpeciesCode_beakedRedfish</v>
      </c>
      <c r="B4243" s="330"/>
      <c r="C4243" s="334"/>
      <c r="D4243" s="188" t="s">
        <v>24862</v>
      </c>
      <c r="E4243" s="189" t="s">
        <v>24863</v>
      </c>
      <c r="F4243" s="162" t="s">
        <v>24864</v>
      </c>
      <c r="G4243" s="162" t="s">
        <v>24865</v>
      </c>
      <c r="H4243" s="221" t="s">
        <v>24866</v>
      </c>
      <c r="I4243" s="169">
        <v>206303</v>
      </c>
      <c r="J4243" s="304" t="str">
        <f>CONCATENATE([2]Cover!$D$6,"fdd/view?i=",I4243)</f>
        <v>https://www.dgiwg.org/FAD/fdd/view?i=206303</v>
      </c>
      <c r="K4243" s="304" t="s">
        <v>38292</v>
      </c>
      <c r="L4243" s="188">
        <v>15</v>
      </c>
      <c r="M4243" s="179" t="s">
        <v>1295</v>
      </c>
    </row>
    <row r="4244" spans="1:13" ht="51">
      <c r="A4244" s="313" t="str">
        <f t="shared" si="66"/>
        <v>MarineSpeciesCode_bigeyeScad</v>
      </c>
      <c r="B4244" s="330"/>
      <c r="C4244" s="334"/>
      <c r="D4244" s="188" t="s">
        <v>24867</v>
      </c>
      <c r="E4244" s="189" t="s">
        <v>24868</v>
      </c>
      <c r="F4244" s="162" t="s">
        <v>24869</v>
      </c>
      <c r="G4244" s="162" t="s">
        <v>24870</v>
      </c>
      <c r="H4244" s="221" t="s">
        <v>24871</v>
      </c>
      <c r="I4244" s="169">
        <v>206305</v>
      </c>
      <c r="J4244" s="304" t="str">
        <f>CONCATENATE([2]Cover!$D$6,"fdd/view?i=",I4244)</f>
        <v>https://www.dgiwg.org/FAD/fdd/view?i=206305</v>
      </c>
      <c r="K4244" s="304" t="s">
        <v>38293</v>
      </c>
      <c r="L4244" s="188">
        <v>17</v>
      </c>
      <c r="M4244" s="179" t="s">
        <v>1295</v>
      </c>
    </row>
    <row r="4245" spans="1:13" ht="38.25">
      <c r="A4245" s="313" t="str">
        <f t="shared" si="66"/>
        <v>MarineSpeciesCode_bigeyeTuna</v>
      </c>
      <c r="B4245" s="330"/>
      <c r="C4245" s="334"/>
      <c r="D4245" s="188" t="s">
        <v>24872</v>
      </c>
      <c r="E4245" s="189" t="s">
        <v>24873</v>
      </c>
      <c r="F4245" s="162" t="s">
        <v>24874</v>
      </c>
      <c r="G4245" s="162" t="s">
        <v>24875</v>
      </c>
      <c r="H4245" s="219"/>
      <c r="I4245" s="169">
        <v>206304</v>
      </c>
      <c r="J4245" s="304" t="str">
        <f>CONCATENATE([2]Cover!$D$6,"fdd/view?i=",I4245)</f>
        <v>https://www.dgiwg.org/FAD/fdd/view?i=206304</v>
      </c>
      <c r="K4245" s="304" t="s">
        <v>38294</v>
      </c>
      <c r="L4245" s="188">
        <v>16</v>
      </c>
      <c r="M4245" s="179" t="s">
        <v>1295</v>
      </c>
    </row>
    <row r="4246" spans="1:13" ht="38.25">
      <c r="A4246" s="313" t="str">
        <f t="shared" si="66"/>
        <v>MarineSpeciesCode_blackBelliedAngler</v>
      </c>
      <c r="B4246" s="330"/>
      <c r="C4246" s="334"/>
      <c r="D4246" s="188" t="s">
        <v>24876</v>
      </c>
      <c r="E4246" s="189" t="s">
        <v>24877</v>
      </c>
      <c r="F4246" s="162" t="s">
        <v>24878</v>
      </c>
      <c r="G4246" s="162" t="s">
        <v>24879</v>
      </c>
      <c r="H4246" s="219"/>
      <c r="I4246" s="169">
        <v>206306</v>
      </c>
      <c r="J4246" s="304" t="str">
        <f>CONCATENATE([2]Cover!$D$6,"fdd/view?i=",I4246)</f>
        <v>https://www.dgiwg.org/FAD/fdd/view?i=206306</v>
      </c>
      <c r="K4246" s="304" t="s">
        <v>38295</v>
      </c>
      <c r="L4246" s="188">
        <v>18</v>
      </c>
      <c r="M4246" s="179" t="s">
        <v>1295</v>
      </c>
    </row>
    <row r="4247" spans="1:13" ht="25.5">
      <c r="A4247" s="313" t="str">
        <f t="shared" si="66"/>
        <v>MarineSpeciesCode_blackMarlin</v>
      </c>
      <c r="B4247" s="330"/>
      <c r="C4247" s="334"/>
      <c r="D4247" s="188" t="s">
        <v>24880</v>
      </c>
      <c r="E4247" s="189" t="s">
        <v>24881</v>
      </c>
      <c r="F4247" s="162" t="s">
        <v>24882</v>
      </c>
      <c r="G4247" s="162" t="s">
        <v>24883</v>
      </c>
      <c r="H4247" s="219"/>
      <c r="I4247" s="169">
        <v>206307</v>
      </c>
      <c r="J4247" s="304" t="str">
        <f>CONCATENATE([2]Cover!$D$6,"fdd/view?i=",I4247)</f>
        <v>https://www.dgiwg.org/FAD/fdd/view?i=206307</v>
      </c>
      <c r="K4247" s="304" t="s">
        <v>38296</v>
      </c>
      <c r="L4247" s="188">
        <v>19</v>
      </c>
      <c r="M4247" s="179" t="s">
        <v>1295</v>
      </c>
    </row>
    <row r="4248" spans="1:13" ht="51">
      <c r="A4248" s="313" t="str">
        <f t="shared" si="66"/>
        <v>MarineSpeciesCode_blackSkipjackTuna</v>
      </c>
      <c r="B4248" s="330"/>
      <c r="C4248" s="334"/>
      <c r="D4248" s="188" t="s">
        <v>24884</v>
      </c>
      <c r="E4248" s="189" t="s">
        <v>24885</v>
      </c>
      <c r="F4248" s="162" t="s">
        <v>24886</v>
      </c>
      <c r="G4248" s="162" t="s">
        <v>24887</v>
      </c>
      <c r="H4248" s="219"/>
      <c r="I4248" s="169">
        <v>206308</v>
      </c>
      <c r="J4248" s="304" t="str">
        <f>CONCATENATE([2]Cover!$D$6,"fdd/view?i=",I4248)</f>
        <v>https://www.dgiwg.org/FAD/fdd/view?i=206308</v>
      </c>
      <c r="K4248" s="304" t="s">
        <v>38297</v>
      </c>
      <c r="L4248" s="188">
        <v>20</v>
      </c>
      <c r="M4248" s="179" t="s">
        <v>1295</v>
      </c>
    </row>
    <row r="4249" spans="1:13" ht="51">
      <c r="A4249" s="313" t="str">
        <f t="shared" si="66"/>
        <v>MarineSpeciesCode_blackStreakedMonocleBream</v>
      </c>
      <c r="B4249" s="330"/>
      <c r="C4249" s="334"/>
      <c r="D4249" s="188" t="s">
        <v>24888</v>
      </c>
      <c r="E4249" s="189" t="s">
        <v>24889</v>
      </c>
      <c r="F4249" s="162" t="s">
        <v>24890</v>
      </c>
      <c r="G4249" s="162" t="s">
        <v>24891</v>
      </c>
      <c r="H4249" s="219"/>
      <c r="I4249" s="169">
        <v>206309</v>
      </c>
      <c r="J4249" s="304" t="str">
        <f>CONCATENATE([2]Cover!$D$6,"fdd/view?i=",I4249)</f>
        <v>https://www.dgiwg.org/FAD/fdd/view?i=206309</v>
      </c>
      <c r="K4249" s="304" t="s">
        <v>38298</v>
      </c>
      <c r="L4249" s="188">
        <v>21</v>
      </c>
      <c r="M4249" s="179" t="s">
        <v>1295</v>
      </c>
    </row>
    <row r="4250" spans="1:13" ht="25.5">
      <c r="A4250" s="313" t="str">
        <f t="shared" si="66"/>
        <v>MarineSpeciesCode_blueJackMackerel</v>
      </c>
      <c r="B4250" s="330"/>
      <c r="C4250" s="334"/>
      <c r="D4250" s="188" t="s">
        <v>24892</v>
      </c>
      <c r="E4250" s="189" t="s">
        <v>24893</v>
      </c>
      <c r="F4250" s="162" t="s">
        <v>24894</v>
      </c>
      <c r="G4250" s="162" t="s">
        <v>24895</v>
      </c>
      <c r="H4250" s="219"/>
      <c r="I4250" s="169">
        <v>206310</v>
      </c>
      <c r="J4250" s="304" t="str">
        <f>CONCATENATE([2]Cover!$D$6,"fdd/view?i=",I4250)</f>
        <v>https://www.dgiwg.org/FAD/fdd/view?i=206310</v>
      </c>
      <c r="K4250" s="304" t="s">
        <v>38299</v>
      </c>
      <c r="L4250" s="188">
        <v>22</v>
      </c>
      <c r="M4250" s="179" t="s">
        <v>1295</v>
      </c>
    </row>
    <row r="4251" spans="1:13" ht="51">
      <c r="A4251" s="313" t="str">
        <f t="shared" si="66"/>
        <v>MarineSpeciesCode_blueMarlin</v>
      </c>
      <c r="B4251" s="330"/>
      <c r="C4251" s="334"/>
      <c r="D4251" s="188" t="s">
        <v>24896</v>
      </c>
      <c r="E4251" s="189" t="s">
        <v>24897</v>
      </c>
      <c r="F4251" s="162" t="s">
        <v>24898</v>
      </c>
      <c r="G4251" s="162" t="s">
        <v>24899</v>
      </c>
      <c r="H4251" s="221" t="s">
        <v>24900</v>
      </c>
      <c r="I4251" s="169">
        <v>206311</v>
      </c>
      <c r="J4251" s="304" t="str">
        <f>CONCATENATE([2]Cover!$D$6,"fdd/view?i=",I4251)</f>
        <v>https://www.dgiwg.org/FAD/fdd/view?i=206311</v>
      </c>
      <c r="K4251" s="304" t="s">
        <v>38300</v>
      </c>
      <c r="L4251" s="188">
        <v>23</v>
      </c>
      <c r="M4251" s="179" t="s">
        <v>1295</v>
      </c>
    </row>
    <row r="4252" spans="1:13" ht="25.5">
      <c r="A4252" s="313" t="str">
        <f t="shared" si="66"/>
        <v>MarineSpeciesCode_blueShark</v>
      </c>
      <c r="B4252" s="330"/>
      <c r="C4252" s="334"/>
      <c r="D4252" s="188" t="s">
        <v>24901</v>
      </c>
      <c r="E4252" s="189" t="s">
        <v>24902</v>
      </c>
      <c r="F4252" s="162" t="s">
        <v>24903</v>
      </c>
      <c r="G4252" s="162" t="s">
        <v>24904</v>
      </c>
      <c r="H4252" s="219"/>
      <c r="I4252" s="169">
        <v>206312</v>
      </c>
      <c r="J4252" s="304" t="str">
        <f>CONCATENATE([2]Cover!$D$6,"fdd/view?i=",I4252)</f>
        <v>https://www.dgiwg.org/FAD/fdd/view?i=206312</v>
      </c>
      <c r="K4252" s="304" t="s">
        <v>38301</v>
      </c>
      <c r="L4252" s="188">
        <v>24</v>
      </c>
      <c r="M4252" s="179" t="s">
        <v>1295</v>
      </c>
    </row>
    <row r="4253" spans="1:13" ht="51">
      <c r="A4253" s="313" t="str">
        <f t="shared" si="66"/>
        <v>MarineSpeciesCode_bluespotMullet</v>
      </c>
      <c r="B4253" s="330"/>
      <c r="C4253" s="334"/>
      <c r="D4253" s="188" t="s">
        <v>24909</v>
      </c>
      <c r="E4253" s="189" t="s">
        <v>24910</v>
      </c>
      <c r="F4253" s="162" t="s">
        <v>24911</v>
      </c>
      <c r="G4253" s="162" t="s">
        <v>24912</v>
      </c>
      <c r="H4253" s="221" t="s">
        <v>24913</v>
      </c>
      <c r="I4253" s="169">
        <v>206314</v>
      </c>
      <c r="J4253" s="304" t="str">
        <f>CONCATENATE([2]Cover!$D$6,"fdd/view?i=",I4253)</f>
        <v>https://www.dgiwg.org/FAD/fdd/view?i=206314</v>
      </c>
      <c r="K4253" s="304" t="s">
        <v>38302</v>
      </c>
      <c r="L4253" s="188">
        <v>26</v>
      </c>
      <c r="M4253" s="179" t="s">
        <v>1295</v>
      </c>
    </row>
    <row r="4254" spans="1:13" ht="25.5">
      <c r="A4254" s="313" t="str">
        <f t="shared" si="66"/>
        <v>MarineSpeciesCode_blueWhitingPoutassou</v>
      </c>
      <c r="B4254" s="330"/>
      <c r="C4254" s="334"/>
      <c r="D4254" s="188" t="s">
        <v>24905</v>
      </c>
      <c r="E4254" s="189" t="s">
        <v>24906</v>
      </c>
      <c r="F4254" s="162" t="s">
        <v>24907</v>
      </c>
      <c r="G4254" s="162" t="s">
        <v>24908</v>
      </c>
      <c r="H4254" s="219"/>
      <c r="I4254" s="169">
        <v>206313</v>
      </c>
      <c r="J4254" s="304" t="str">
        <f>CONCATENATE([2]Cover!$D$6,"fdd/view?i=",I4254)</f>
        <v>https://www.dgiwg.org/FAD/fdd/view?i=206313</v>
      </c>
      <c r="K4254" s="304" t="s">
        <v>38303</v>
      </c>
      <c r="L4254" s="188">
        <v>25</v>
      </c>
      <c r="M4254" s="179" t="s">
        <v>1295</v>
      </c>
    </row>
    <row r="4255" spans="1:13" ht="25.5">
      <c r="A4255" s="313" t="str">
        <f t="shared" si="66"/>
        <v>MarineSpeciesCode_bombayDuck</v>
      </c>
      <c r="B4255" s="330"/>
      <c r="C4255" s="334"/>
      <c r="D4255" s="188" t="s">
        <v>24914</v>
      </c>
      <c r="E4255" s="189" t="s">
        <v>24915</v>
      </c>
      <c r="F4255" s="162" t="s">
        <v>24916</v>
      </c>
      <c r="G4255" s="162" t="s">
        <v>24917</v>
      </c>
      <c r="H4255" s="221" t="s">
        <v>24918</v>
      </c>
      <c r="I4255" s="169">
        <v>206315</v>
      </c>
      <c r="J4255" s="304" t="str">
        <f>CONCATENATE([2]Cover!$D$6,"fdd/view?i=",I4255)</f>
        <v>https://www.dgiwg.org/FAD/fdd/view?i=206315</v>
      </c>
      <c r="K4255" s="304" t="s">
        <v>38304</v>
      </c>
      <c r="L4255" s="188">
        <v>27</v>
      </c>
      <c r="M4255" s="179" t="s">
        <v>1295</v>
      </c>
    </row>
    <row r="4256" spans="1:13">
      <c r="A4256" s="313" t="str">
        <f t="shared" si="66"/>
        <v>MarineSpeciesCode_bulletTuna</v>
      </c>
      <c r="B4256" s="330"/>
      <c r="C4256" s="334"/>
      <c r="D4256" s="188" t="s">
        <v>24919</v>
      </c>
      <c r="E4256" s="189" t="s">
        <v>24920</v>
      </c>
      <c r="F4256" s="162" t="s">
        <v>24921</v>
      </c>
      <c r="G4256" s="162" t="s">
        <v>24922</v>
      </c>
      <c r="H4256" s="219"/>
      <c r="I4256" s="169">
        <v>206316</v>
      </c>
      <c r="J4256" s="304" t="str">
        <f>CONCATENATE([2]Cover!$D$6,"fdd/view?i=",I4256)</f>
        <v>https://www.dgiwg.org/FAD/fdd/view?i=206316</v>
      </c>
      <c r="K4256" s="304" t="s">
        <v>38305</v>
      </c>
      <c r="L4256" s="188">
        <v>28</v>
      </c>
      <c r="M4256" s="179" t="s">
        <v>1295</v>
      </c>
    </row>
    <row r="4257" spans="1:13">
      <c r="A4257" s="313" t="str">
        <f t="shared" si="66"/>
        <v>MarineSpeciesCode_capelin</v>
      </c>
      <c r="B4257" s="330"/>
      <c r="C4257" s="334"/>
      <c r="D4257" s="188" t="s">
        <v>24923</v>
      </c>
      <c r="E4257" s="189" t="s">
        <v>24924</v>
      </c>
      <c r="F4257" s="162" t="s">
        <v>24925</v>
      </c>
      <c r="G4257" s="162" t="s">
        <v>24926</v>
      </c>
      <c r="H4257" s="221" t="s">
        <v>24927</v>
      </c>
      <c r="I4257" s="169">
        <v>206317</v>
      </c>
      <c r="J4257" s="304" t="str">
        <f>CONCATENATE([2]Cover!$D$6,"fdd/view?i=",I4257)</f>
        <v>https://www.dgiwg.org/FAD/fdd/view?i=206317</v>
      </c>
      <c r="K4257" s="304" t="s">
        <v>38306</v>
      </c>
      <c r="L4257" s="188">
        <v>29</v>
      </c>
      <c r="M4257" s="179" t="s">
        <v>1295</v>
      </c>
    </row>
    <row r="4258" spans="1:13" ht="51">
      <c r="A4258" s="313" t="str">
        <f t="shared" si="66"/>
        <v>MarineSpeciesCode_chilhuilSeacatfish</v>
      </c>
      <c r="B4258" s="330"/>
      <c r="C4258" s="334"/>
      <c r="D4258" s="188" t="s">
        <v>24928</v>
      </c>
      <c r="E4258" s="189" t="s">
        <v>24929</v>
      </c>
      <c r="F4258" s="162" t="s">
        <v>24930</v>
      </c>
      <c r="G4258" s="162" t="s">
        <v>24931</v>
      </c>
      <c r="H4258" s="221" t="s">
        <v>24932</v>
      </c>
      <c r="I4258" s="169">
        <v>206318</v>
      </c>
      <c r="J4258" s="304" t="str">
        <f>CONCATENATE([2]Cover!$D$6,"fdd/view?i=",I4258)</f>
        <v>https://www.dgiwg.org/FAD/fdd/view?i=206318</v>
      </c>
      <c r="K4258" s="304" t="s">
        <v>38307</v>
      </c>
      <c r="L4258" s="188">
        <v>30</v>
      </c>
      <c r="M4258" s="179" t="s">
        <v>1295</v>
      </c>
    </row>
    <row r="4259" spans="1:13" ht="165.75">
      <c r="A4259" s="313" t="str">
        <f t="shared" si="66"/>
        <v>MarineSpeciesCode_chocolateHind</v>
      </c>
      <c r="B4259" s="330"/>
      <c r="C4259" s="334"/>
      <c r="D4259" s="188" t="s">
        <v>24933</v>
      </c>
      <c r="E4259" s="189" t="s">
        <v>24934</v>
      </c>
      <c r="F4259" s="162" t="s">
        <v>24935</v>
      </c>
      <c r="G4259" s="162" t="s">
        <v>24936</v>
      </c>
      <c r="H4259" s="221" t="s">
        <v>24937</v>
      </c>
      <c r="I4259" s="169">
        <v>206319</v>
      </c>
      <c r="J4259" s="304" t="str">
        <f>CONCATENATE([2]Cover!$D$6,"fdd/view?i=",I4259)</f>
        <v>https://www.dgiwg.org/FAD/fdd/view?i=206319</v>
      </c>
      <c r="K4259" s="304" t="s">
        <v>38308</v>
      </c>
      <c r="L4259" s="188">
        <v>31</v>
      </c>
      <c r="M4259" s="179" t="s">
        <v>1295</v>
      </c>
    </row>
    <row r="4260" spans="1:13" ht="51">
      <c r="A4260" s="313" t="str">
        <f t="shared" si="66"/>
        <v>MarineSpeciesCode_chubMackerel</v>
      </c>
      <c r="B4260" s="330"/>
      <c r="C4260" s="334"/>
      <c r="D4260" s="188" t="s">
        <v>24938</v>
      </c>
      <c r="E4260" s="189" t="s">
        <v>24939</v>
      </c>
      <c r="F4260" s="162" t="s">
        <v>24940</v>
      </c>
      <c r="G4260" s="162" t="s">
        <v>24941</v>
      </c>
      <c r="H4260" s="221" t="s">
        <v>24942</v>
      </c>
      <c r="I4260" s="169">
        <v>206320</v>
      </c>
      <c r="J4260" s="304" t="str">
        <f>CONCATENATE([2]Cover!$D$6,"fdd/view?i=",I4260)</f>
        <v>https://www.dgiwg.org/FAD/fdd/view?i=206320</v>
      </c>
      <c r="K4260" s="304" t="s">
        <v>38309</v>
      </c>
      <c r="L4260" s="188">
        <v>32</v>
      </c>
      <c r="M4260" s="179" t="s">
        <v>1295</v>
      </c>
    </row>
    <row r="4261" spans="1:13" ht="25.5">
      <c r="A4261" s="313" t="str">
        <f t="shared" si="66"/>
        <v>MarineSpeciesCode_clarkesBrotula</v>
      </c>
      <c r="B4261" s="330"/>
      <c r="C4261" s="334"/>
      <c r="D4261" s="188" t="s">
        <v>24943</v>
      </c>
      <c r="E4261" s="189" t="s">
        <v>24944</v>
      </c>
      <c r="F4261" s="162" t="s">
        <v>24945</v>
      </c>
      <c r="G4261" s="162" t="s">
        <v>24946</v>
      </c>
      <c r="H4261" s="221" t="s">
        <v>24947</v>
      </c>
      <c r="I4261" s="169">
        <v>206321</v>
      </c>
      <c r="J4261" s="304" t="str">
        <f>CONCATENATE([2]Cover!$D$6,"fdd/view?i=",I4261)</f>
        <v>https://www.dgiwg.org/FAD/fdd/view?i=206321</v>
      </c>
      <c r="K4261" s="304" t="s">
        <v>38310</v>
      </c>
      <c r="L4261" s="188">
        <v>33</v>
      </c>
      <c r="M4261" s="179" t="s">
        <v>1295</v>
      </c>
    </row>
    <row r="4262" spans="1:13" ht="25.5">
      <c r="A4262" s="313" t="str">
        <f t="shared" si="66"/>
        <v>MarineSpeciesCode_commonDab</v>
      </c>
      <c r="B4262" s="330"/>
      <c r="C4262" s="334"/>
      <c r="D4262" s="188" t="s">
        <v>24948</v>
      </c>
      <c r="E4262" s="189" t="s">
        <v>24949</v>
      </c>
      <c r="F4262" s="162" t="s">
        <v>24950</v>
      </c>
      <c r="G4262" s="162" t="s">
        <v>24951</v>
      </c>
      <c r="H4262" s="219"/>
      <c r="I4262" s="169">
        <v>206322</v>
      </c>
      <c r="J4262" s="304" t="str">
        <f>CONCATENATE([2]Cover!$D$6,"fdd/view?i=",I4262)</f>
        <v>https://www.dgiwg.org/FAD/fdd/view?i=206322</v>
      </c>
      <c r="K4262" s="304" t="s">
        <v>38311</v>
      </c>
      <c r="L4262" s="188">
        <v>34</v>
      </c>
      <c r="M4262" s="179" t="s">
        <v>1295</v>
      </c>
    </row>
    <row r="4263" spans="1:13" ht="63.75">
      <c r="A4263" s="313" t="str">
        <f t="shared" si="66"/>
        <v>MarineSpeciesCode_commonDolphinfish</v>
      </c>
      <c r="B4263" s="330"/>
      <c r="C4263" s="334"/>
      <c r="D4263" s="188" t="s">
        <v>24952</v>
      </c>
      <c r="E4263" s="189" t="s">
        <v>24953</v>
      </c>
      <c r="F4263" s="162" t="s">
        <v>24954</v>
      </c>
      <c r="G4263" s="162" t="s">
        <v>24955</v>
      </c>
      <c r="H4263" s="221" t="s">
        <v>24956</v>
      </c>
      <c r="I4263" s="169">
        <v>206323</v>
      </c>
      <c r="J4263" s="304" t="str">
        <f>CONCATENATE([2]Cover!$D$6,"fdd/view?i=",I4263)</f>
        <v>https://www.dgiwg.org/FAD/fdd/view?i=206323</v>
      </c>
      <c r="K4263" s="304" t="s">
        <v>38312</v>
      </c>
      <c r="L4263" s="188">
        <v>35</v>
      </c>
      <c r="M4263" s="179" t="s">
        <v>1295</v>
      </c>
    </row>
    <row r="4264" spans="1:13" ht="38.25">
      <c r="A4264" s="313" t="str">
        <f t="shared" si="66"/>
        <v>MarineSpeciesCode_commonShrimp</v>
      </c>
      <c r="B4264" s="330"/>
      <c r="C4264" s="334"/>
      <c r="D4264" s="188" t="s">
        <v>24957</v>
      </c>
      <c r="E4264" s="189" t="s">
        <v>24958</v>
      </c>
      <c r="F4264" s="162" t="s">
        <v>24959</v>
      </c>
      <c r="G4264" s="162" t="s">
        <v>24960</v>
      </c>
      <c r="H4264" s="221" t="s">
        <v>24961</v>
      </c>
      <c r="I4264" s="169">
        <v>206324</v>
      </c>
      <c r="J4264" s="304" t="str">
        <f>CONCATENATE([2]Cover!$D$6,"fdd/view?i=",I4264)</f>
        <v>https://www.dgiwg.org/FAD/fdd/view?i=206324</v>
      </c>
      <c r="K4264" s="304" t="s">
        <v>38313</v>
      </c>
      <c r="L4264" s="188">
        <v>36</v>
      </c>
      <c r="M4264" s="179" t="s">
        <v>1295</v>
      </c>
    </row>
    <row r="4265" spans="1:13" ht="25.5">
      <c r="A4265" s="313" t="str">
        <f t="shared" si="66"/>
        <v>MarineSpeciesCode_commonSole</v>
      </c>
      <c r="B4265" s="330"/>
      <c r="C4265" s="334"/>
      <c r="D4265" s="188" t="s">
        <v>24962</v>
      </c>
      <c r="E4265" s="189" t="s">
        <v>24963</v>
      </c>
      <c r="F4265" s="162" t="s">
        <v>24964</v>
      </c>
      <c r="G4265" s="162" t="s">
        <v>24965</v>
      </c>
      <c r="H4265" s="221" t="s">
        <v>24966</v>
      </c>
      <c r="I4265" s="169">
        <v>206325</v>
      </c>
      <c r="J4265" s="304" t="str">
        <f>CONCATENATE([2]Cover!$D$6,"fdd/view?i=",I4265)</f>
        <v>https://www.dgiwg.org/FAD/fdd/view?i=206325</v>
      </c>
      <c r="K4265" s="304" t="s">
        <v>38314</v>
      </c>
      <c r="L4265" s="188">
        <v>37</v>
      </c>
      <c r="M4265" s="179" t="s">
        <v>1295</v>
      </c>
    </row>
    <row r="4266" spans="1:13" ht="25.5">
      <c r="A4266" s="313" t="str">
        <f t="shared" si="66"/>
        <v>MarineSpeciesCode_cuttlefish</v>
      </c>
      <c r="B4266" s="330"/>
      <c r="C4266" s="334"/>
      <c r="D4266" s="188" t="s">
        <v>24967</v>
      </c>
      <c r="E4266" s="189" t="s">
        <v>24968</v>
      </c>
      <c r="F4266" s="162" t="s">
        <v>24969</v>
      </c>
      <c r="G4266" s="162" t="s">
        <v>24970</v>
      </c>
      <c r="H4266" s="221" t="s">
        <v>24971</v>
      </c>
      <c r="I4266" s="169">
        <v>206327</v>
      </c>
      <c r="J4266" s="304" t="str">
        <f>CONCATENATE([2]Cover!$D$6,"fdd/view?i=",I4266)</f>
        <v>https://www.dgiwg.org/FAD/fdd/view?i=206327</v>
      </c>
      <c r="K4266" s="304" t="s">
        <v>38315</v>
      </c>
      <c r="L4266" s="188">
        <v>38</v>
      </c>
      <c r="M4266" s="179" t="s">
        <v>1295</v>
      </c>
    </row>
    <row r="4267" spans="1:13" ht="51">
      <c r="A4267" s="313" t="str">
        <f t="shared" si="66"/>
        <v>MarineSpeciesCode_daggertoothPikeConger</v>
      </c>
      <c r="B4267" s="330"/>
      <c r="C4267" s="334"/>
      <c r="D4267" s="188" t="s">
        <v>24972</v>
      </c>
      <c r="E4267" s="189" t="s">
        <v>24973</v>
      </c>
      <c r="F4267" s="162" t="s">
        <v>24974</v>
      </c>
      <c r="G4267" s="162" t="s">
        <v>24975</v>
      </c>
      <c r="H4267" s="221" t="s">
        <v>24976</v>
      </c>
      <c r="I4267" s="169">
        <v>206328</v>
      </c>
      <c r="J4267" s="304" t="str">
        <f>CONCATENATE([2]Cover!$D$6,"fdd/view?i=",I4267)</f>
        <v>https://www.dgiwg.org/FAD/fdd/view?i=206328</v>
      </c>
      <c r="K4267" s="304" t="s">
        <v>38316</v>
      </c>
      <c r="L4267" s="188">
        <v>39</v>
      </c>
      <c r="M4267" s="179" t="s">
        <v>1295</v>
      </c>
    </row>
    <row r="4268" spans="1:13" ht="25.5">
      <c r="A4268" s="313" t="str">
        <f t="shared" si="66"/>
        <v>MarineSpeciesCode_dogteethWeakfish</v>
      </c>
      <c r="B4268" s="330"/>
      <c r="C4268" s="334"/>
      <c r="D4268" s="188" t="s">
        <v>24977</v>
      </c>
      <c r="E4268" s="189" t="s">
        <v>24978</v>
      </c>
      <c r="F4268" s="162" t="s">
        <v>24979</v>
      </c>
      <c r="G4268" s="162" t="s">
        <v>24980</v>
      </c>
      <c r="H4268" s="219"/>
      <c r="I4268" s="169">
        <v>206329</v>
      </c>
      <c r="J4268" s="304" t="str">
        <f>CONCATENATE([2]Cover!$D$6,"fdd/view?i=",I4268)</f>
        <v>https://www.dgiwg.org/FAD/fdd/view?i=206329</v>
      </c>
      <c r="K4268" s="304" t="s">
        <v>38317</v>
      </c>
      <c r="L4268" s="188">
        <v>40</v>
      </c>
      <c r="M4268" s="179" t="s">
        <v>1295</v>
      </c>
    </row>
    <row r="4269" spans="1:13" ht="38.25">
      <c r="A4269" s="313" t="str">
        <f t="shared" si="66"/>
        <v>MarineSpeciesCode_dogtoothTuna</v>
      </c>
      <c r="B4269" s="330"/>
      <c r="C4269" s="334"/>
      <c r="D4269" s="188" t="s">
        <v>24981</v>
      </c>
      <c r="E4269" s="189" t="s">
        <v>24982</v>
      </c>
      <c r="F4269" s="162" t="s">
        <v>24983</v>
      </c>
      <c r="G4269" s="162" t="s">
        <v>24984</v>
      </c>
      <c r="H4269" s="219"/>
      <c r="I4269" s="169">
        <v>206330</v>
      </c>
      <c r="J4269" s="304" t="str">
        <f>CONCATENATE([2]Cover!$D$6,"fdd/view?i=",I4269)</f>
        <v>https://www.dgiwg.org/FAD/fdd/view?i=206330</v>
      </c>
      <c r="K4269" s="304" t="s">
        <v>38318</v>
      </c>
      <c r="L4269" s="188">
        <v>41</v>
      </c>
      <c r="M4269" s="179" t="s">
        <v>1295</v>
      </c>
    </row>
    <row r="4270" spans="1:13" ht="25.5">
      <c r="A4270" s="313" t="str">
        <f t="shared" si="66"/>
        <v>MarineSpeciesCode_edibleCrab</v>
      </c>
      <c r="B4270" s="330"/>
      <c r="C4270" s="334"/>
      <c r="D4270" s="188" t="s">
        <v>24985</v>
      </c>
      <c r="E4270" s="189" t="s">
        <v>24986</v>
      </c>
      <c r="F4270" s="162" t="s">
        <v>24987</v>
      </c>
      <c r="G4270" s="162" t="s">
        <v>24988</v>
      </c>
      <c r="H4270" s="219"/>
      <c r="I4270" s="169">
        <v>206331</v>
      </c>
      <c r="J4270" s="304" t="str">
        <f>CONCATENATE([2]Cover!$D$6,"fdd/view?i=",I4270)</f>
        <v>https://www.dgiwg.org/FAD/fdd/view?i=206331</v>
      </c>
      <c r="K4270" s="304" t="s">
        <v>38319</v>
      </c>
      <c r="L4270" s="188">
        <v>42</v>
      </c>
      <c r="M4270" s="179" t="s">
        <v>1295</v>
      </c>
    </row>
    <row r="4271" spans="1:13" ht="25.5">
      <c r="A4271" s="313" t="str">
        <f t="shared" si="66"/>
        <v>MarineSpeciesCode_europeanAnchovy</v>
      </c>
      <c r="B4271" s="330"/>
      <c r="C4271" s="334"/>
      <c r="D4271" s="188" t="s">
        <v>24989</v>
      </c>
      <c r="E4271" s="189" t="s">
        <v>24990</v>
      </c>
      <c r="F4271" s="162" t="s">
        <v>24991</v>
      </c>
      <c r="G4271" s="162" t="s">
        <v>24992</v>
      </c>
      <c r="H4271" s="219"/>
      <c r="I4271" s="169">
        <v>206332</v>
      </c>
      <c r="J4271" s="304" t="str">
        <f>CONCATENATE([2]Cover!$D$6,"fdd/view?i=",I4271)</f>
        <v>https://www.dgiwg.org/FAD/fdd/view?i=206332</v>
      </c>
      <c r="K4271" s="304" t="s">
        <v>38320</v>
      </c>
      <c r="L4271" s="188">
        <v>43</v>
      </c>
      <c r="M4271" s="179" t="s">
        <v>1295</v>
      </c>
    </row>
    <row r="4272" spans="1:13" ht="38.25">
      <c r="A4272" s="313" t="str">
        <f t="shared" si="66"/>
        <v>MarineSpeciesCode_europeanConger</v>
      </c>
      <c r="B4272" s="330"/>
      <c r="C4272" s="334"/>
      <c r="D4272" s="188" t="s">
        <v>24993</v>
      </c>
      <c r="E4272" s="189" t="s">
        <v>24994</v>
      </c>
      <c r="F4272" s="162" t="s">
        <v>24995</v>
      </c>
      <c r="G4272" s="162" t="s">
        <v>24996</v>
      </c>
      <c r="H4272" s="219"/>
      <c r="I4272" s="169">
        <v>206333</v>
      </c>
      <c r="J4272" s="304" t="str">
        <f>CONCATENATE([2]Cover!$D$6,"fdd/view?i=",I4272)</f>
        <v>https://www.dgiwg.org/FAD/fdd/view?i=206333</v>
      </c>
      <c r="K4272" s="304" t="s">
        <v>38321</v>
      </c>
      <c r="L4272" s="188">
        <v>44</v>
      </c>
      <c r="M4272" s="179" t="s">
        <v>1295</v>
      </c>
    </row>
    <row r="4273" spans="1:13" ht="51">
      <c r="A4273" s="313" t="str">
        <f t="shared" si="66"/>
        <v>MarineSpeciesCode_europeanFlounder</v>
      </c>
      <c r="B4273" s="330"/>
      <c r="C4273" s="334"/>
      <c r="D4273" s="188" t="s">
        <v>24997</v>
      </c>
      <c r="E4273" s="189" t="s">
        <v>24998</v>
      </c>
      <c r="F4273" s="162" t="s">
        <v>24999</v>
      </c>
      <c r="G4273" s="162" t="s">
        <v>25000</v>
      </c>
      <c r="H4273" s="221" t="s">
        <v>25001</v>
      </c>
      <c r="I4273" s="169">
        <v>206334</v>
      </c>
      <c r="J4273" s="304" t="str">
        <f>CONCATENATE([2]Cover!$D$6,"fdd/view?i=",I4273)</f>
        <v>https://www.dgiwg.org/FAD/fdd/view?i=206334</v>
      </c>
      <c r="K4273" s="304" t="s">
        <v>38322</v>
      </c>
      <c r="L4273" s="188">
        <v>45</v>
      </c>
      <c r="M4273" s="179" t="s">
        <v>1295</v>
      </c>
    </row>
    <row r="4274" spans="1:13" ht="25.5">
      <c r="A4274" s="313" t="str">
        <f t="shared" si="66"/>
        <v>MarineSpeciesCode_europeanHake</v>
      </c>
      <c r="B4274" s="330"/>
      <c r="C4274" s="334"/>
      <c r="D4274" s="188" t="s">
        <v>25002</v>
      </c>
      <c r="E4274" s="189" t="s">
        <v>25003</v>
      </c>
      <c r="F4274" s="162" t="s">
        <v>25004</v>
      </c>
      <c r="G4274" s="162" t="s">
        <v>25005</v>
      </c>
      <c r="H4274" s="221" t="s">
        <v>25006</v>
      </c>
      <c r="I4274" s="169">
        <v>206335</v>
      </c>
      <c r="J4274" s="304" t="str">
        <f>CONCATENATE([2]Cover!$D$6,"fdd/view?i=",I4274)</f>
        <v>https://www.dgiwg.org/FAD/fdd/view?i=206335</v>
      </c>
      <c r="K4274" s="304" t="s">
        <v>38323</v>
      </c>
      <c r="L4274" s="188">
        <v>46</v>
      </c>
      <c r="M4274" s="179" t="s">
        <v>1295</v>
      </c>
    </row>
    <row r="4275" spans="1:13" ht="38.25">
      <c r="A4275" s="313" t="str">
        <f t="shared" si="66"/>
        <v>MarineSpeciesCode_europeanPilchard</v>
      </c>
      <c r="B4275" s="330"/>
      <c r="C4275" s="334"/>
      <c r="D4275" s="188" t="s">
        <v>25007</v>
      </c>
      <c r="E4275" s="189" t="s">
        <v>25008</v>
      </c>
      <c r="F4275" s="162" t="s">
        <v>25009</v>
      </c>
      <c r="G4275" s="162" t="s">
        <v>25010</v>
      </c>
      <c r="H4275" s="221" t="s">
        <v>25011</v>
      </c>
      <c r="I4275" s="169">
        <v>206336</v>
      </c>
      <c r="J4275" s="304" t="str">
        <f>CONCATENATE([2]Cover!$D$6,"fdd/view?i=",I4275)</f>
        <v>https://www.dgiwg.org/FAD/fdd/view?i=206336</v>
      </c>
      <c r="K4275" s="304" t="s">
        <v>38324</v>
      </c>
      <c r="L4275" s="188">
        <v>47</v>
      </c>
      <c r="M4275" s="179" t="s">
        <v>1295</v>
      </c>
    </row>
    <row r="4276" spans="1:13" ht="38.25">
      <c r="A4276" s="313" t="str">
        <f t="shared" si="66"/>
        <v>MarineSpeciesCode_europeanPlaice</v>
      </c>
      <c r="B4276" s="330"/>
      <c r="C4276" s="334"/>
      <c r="D4276" s="188" t="s">
        <v>25012</v>
      </c>
      <c r="E4276" s="189" t="s">
        <v>25013</v>
      </c>
      <c r="F4276" s="162" t="s">
        <v>25014</v>
      </c>
      <c r="G4276" s="162" t="s">
        <v>25015</v>
      </c>
      <c r="H4276" s="219"/>
      <c r="I4276" s="169">
        <v>206337</v>
      </c>
      <c r="J4276" s="304" t="str">
        <f>CONCATENATE([2]Cover!$D$6,"fdd/view?i=",I4276)</f>
        <v>https://www.dgiwg.org/FAD/fdd/view?i=206337</v>
      </c>
      <c r="K4276" s="304" t="s">
        <v>38325</v>
      </c>
      <c r="L4276" s="188">
        <v>48</v>
      </c>
      <c r="M4276" s="179" t="s">
        <v>1295</v>
      </c>
    </row>
    <row r="4277" spans="1:13" ht="25.5">
      <c r="A4277" s="313" t="str">
        <f t="shared" si="66"/>
        <v>MarineSpeciesCode_europeanSprat</v>
      </c>
      <c r="B4277" s="330"/>
      <c r="C4277" s="334"/>
      <c r="D4277" s="188" t="s">
        <v>25016</v>
      </c>
      <c r="E4277" s="189" t="s">
        <v>25017</v>
      </c>
      <c r="F4277" s="162" t="s">
        <v>25018</v>
      </c>
      <c r="G4277" s="162" t="s">
        <v>25019</v>
      </c>
      <c r="H4277" s="221" t="s">
        <v>25020</v>
      </c>
      <c r="I4277" s="169">
        <v>206338</v>
      </c>
      <c r="J4277" s="304" t="str">
        <f>CONCATENATE([2]Cover!$D$6,"fdd/view?i=",I4277)</f>
        <v>https://www.dgiwg.org/FAD/fdd/view?i=206338</v>
      </c>
      <c r="K4277" s="304" t="s">
        <v>38326</v>
      </c>
      <c r="L4277" s="188">
        <v>49</v>
      </c>
      <c r="M4277" s="179" t="s">
        <v>1295</v>
      </c>
    </row>
    <row r="4278" spans="1:13" ht="25.5">
      <c r="A4278" s="313" t="str">
        <f t="shared" si="66"/>
        <v>MarineSpeciesCode_flatheadGreyMullet</v>
      </c>
      <c r="B4278" s="330"/>
      <c r="C4278" s="334"/>
      <c r="D4278" s="188" t="s">
        <v>25021</v>
      </c>
      <c r="E4278" s="189" t="s">
        <v>25022</v>
      </c>
      <c r="F4278" s="162" t="s">
        <v>25023</v>
      </c>
      <c r="G4278" s="162" t="s">
        <v>25024</v>
      </c>
      <c r="H4278" s="219"/>
      <c r="I4278" s="169">
        <v>206339</v>
      </c>
      <c r="J4278" s="304" t="str">
        <f>CONCATENATE([2]Cover!$D$6,"fdd/view?i=",I4278)</f>
        <v>https://www.dgiwg.org/FAD/fdd/view?i=206339</v>
      </c>
      <c r="K4278" s="304" t="s">
        <v>38327</v>
      </c>
      <c r="L4278" s="188">
        <v>50</v>
      </c>
      <c r="M4278" s="179" t="s">
        <v>1295</v>
      </c>
    </row>
    <row r="4279" spans="1:13">
      <c r="A4279" s="313" t="str">
        <f t="shared" si="66"/>
        <v>MarineSpeciesCode_frigateTuna</v>
      </c>
      <c r="B4279" s="330"/>
      <c r="C4279" s="334"/>
      <c r="D4279" s="188" t="s">
        <v>25025</v>
      </c>
      <c r="E4279" s="189" t="s">
        <v>25026</v>
      </c>
      <c r="F4279" s="162" t="s">
        <v>25027</v>
      </c>
      <c r="G4279" s="162" t="s">
        <v>25028</v>
      </c>
      <c r="H4279" s="221" t="s">
        <v>25029</v>
      </c>
      <c r="I4279" s="169">
        <v>206340</v>
      </c>
      <c r="J4279" s="304" t="str">
        <f>CONCATENATE([2]Cover!$D$6,"fdd/view?i=",I4279)</f>
        <v>https://www.dgiwg.org/FAD/fdd/view?i=206340</v>
      </c>
      <c r="K4279" s="304" t="s">
        <v>38328</v>
      </c>
      <c r="L4279" s="188">
        <v>51</v>
      </c>
      <c r="M4279" s="179" t="s">
        <v>1295</v>
      </c>
    </row>
    <row r="4280" spans="1:13" ht="38.25">
      <c r="A4280" s="313" t="str">
        <f t="shared" si="66"/>
        <v>MarineSpeciesCode_garfish</v>
      </c>
      <c r="B4280" s="330"/>
      <c r="C4280" s="334"/>
      <c r="D4280" s="188" t="s">
        <v>25030</v>
      </c>
      <c r="E4280" s="189" t="s">
        <v>25031</v>
      </c>
      <c r="F4280" s="162" t="s">
        <v>25032</v>
      </c>
      <c r="G4280" s="162" t="s">
        <v>25033</v>
      </c>
      <c r="H4280" s="219"/>
      <c r="I4280" s="169">
        <v>206341</v>
      </c>
      <c r="J4280" s="304" t="str">
        <f>CONCATENATE([2]Cover!$D$6,"fdd/view?i=",I4280)</f>
        <v>https://www.dgiwg.org/FAD/fdd/view?i=206341</v>
      </c>
      <c r="K4280" s="304" t="s">
        <v>38329</v>
      </c>
      <c r="L4280" s="188">
        <v>52</v>
      </c>
      <c r="M4280" s="179" t="s">
        <v>1295</v>
      </c>
    </row>
    <row r="4281" spans="1:13" ht="38.25">
      <c r="A4281" s="313" t="str">
        <f t="shared" si="66"/>
        <v>MarineSpeciesCode_giantTrevally</v>
      </c>
      <c r="B4281" s="330"/>
      <c r="C4281" s="334"/>
      <c r="D4281" s="188" t="s">
        <v>25034</v>
      </c>
      <c r="E4281" s="189" t="s">
        <v>25035</v>
      </c>
      <c r="F4281" s="162" t="s">
        <v>25036</v>
      </c>
      <c r="G4281" s="162" t="s">
        <v>25037</v>
      </c>
      <c r="H4281" s="221" t="s">
        <v>25038</v>
      </c>
      <c r="I4281" s="169">
        <v>206342</v>
      </c>
      <c r="J4281" s="304" t="str">
        <f>CONCATENATE([2]Cover!$D$6,"fdd/view?i=",I4281)</f>
        <v>https://www.dgiwg.org/FAD/fdd/view?i=206342</v>
      </c>
      <c r="K4281" s="304" t="s">
        <v>38330</v>
      </c>
      <c r="L4281" s="188">
        <v>53</v>
      </c>
      <c r="M4281" s="179" t="s">
        <v>1295</v>
      </c>
    </row>
    <row r="4282" spans="1:13" ht="76.5">
      <c r="A4282" s="313" t="str">
        <f t="shared" si="66"/>
        <v>MarineSpeciesCode_goldenRedfish</v>
      </c>
      <c r="B4282" s="330"/>
      <c r="C4282" s="334"/>
      <c r="D4282" s="188" t="s">
        <v>25039</v>
      </c>
      <c r="E4282" s="189" t="s">
        <v>25040</v>
      </c>
      <c r="F4282" s="162" t="s">
        <v>25041</v>
      </c>
      <c r="G4282" s="162" t="s">
        <v>25042</v>
      </c>
      <c r="H4282" s="221" t="s">
        <v>25043</v>
      </c>
      <c r="I4282" s="169">
        <v>206343</v>
      </c>
      <c r="J4282" s="304" t="str">
        <f>CONCATENATE([2]Cover!$D$6,"fdd/view?i=",I4282)</f>
        <v>https://www.dgiwg.org/FAD/fdd/view?i=206343</v>
      </c>
      <c r="K4282" s="304" t="s">
        <v>38331</v>
      </c>
      <c r="L4282" s="188">
        <v>54</v>
      </c>
      <c r="M4282" s="179" t="s">
        <v>1295</v>
      </c>
    </row>
    <row r="4283" spans="1:13" ht="38.25">
      <c r="A4283" s="313" t="str">
        <f t="shared" si="66"/>
        <v>MarineSpeciesCode_goldenThreadfinBream</v>
      </c>
      <c r="B4283" s="330"/>
      <c r="C4283" s="334"/>
      <c r="D4283" s="188" t="s">
        <v>25044</v>
      </c>
      <c r="E4283" s="189" t="s">
        <v>25045</v>
      </c>
      <c r="F4283" s="162" t="s">
        <v>25046</v>
      </c>
      <c r="G4283" s="162" t="s">
        <v>25047</v>
      </c>
      <c r="H4283" s="221" t="s">
        <v>25048</v>
      </c>
      <c r="I4283" s="169">
        <v>206344</v>
      </c>
      <c r="J4283" s="304" t="str">
        <f>CONCATENATE([2]Cover!$D$6,"fdd/view?i=",I4283)</f>
        <v>https://www.dgiwg.org/FAD/fdd/view?i=206344</v>
      </c>
      <c r="K4283" s="304" t="s">
        <v>38332</v>
      </c>
      <c r="L4283" s="188">
        <v>55</v>
      </c>
      <c r="M4283" s="179" t="s">
        <v>1295</v>
      </c>
    </row>
    <row r="4284" spans="1:13" ht="38.25">
      <c r="A4284" s="313" t="str">
        <f t="shared" si="66"/>
        <v>MarineSpeciesCode_goldstripeSardinella</v>
      </c>
      <c r="B4284" s="330"/>
      <c r="C4284" s="334"/>
      <c r="D4284" s="188" t="s">
        <v>25049</v>
      </c>
      <c r="E4284" s="189" t="s">
        <v>25050</v>
      </c>
      <c r="F4284" s="162" t="s">
        <v>25051</v>
      </c>
      <c r="G4284" s="162" t="s">
        <v>25052</v>
      </c>
      <c r="H4284" s="219"/>
      <c r="I4284" s="169">
        <v>206345</v>
      </c>
      <c r="J4284" s="304" t="str">
        <f>CONCATENATE([2]Cover!$D$6,"fdd/view?i=",I4284)</f>
        <v>https://www.dgiwg.org/FAD/fdd/view?i=206345</v>
      </c>
      <c r="K4284" s="304" t="s">
        <v>38333</v>
      </c>
      <c r="L4284" s="188">
        <v>56</v>
      </c>
      <c r="M4284" s="179" t="s">
        <v>1295</v>
      </c>
    </row>
    <row r="4285" spans="1:13" ht="38.25">
      <c r="A4285" s="313" t="str">
        <f t="shared" si="66"/>
        <v>MarineSpeciesCode_greasyGrouper</v>
      </c>
      <c r="B4285" s="330"/>
      <c r="C4285" s="334"/>
      <c r="D4285" s="188" t="s">
        <v>25053</v>
      </c>
      <c r="E4285" s="189" t="s">
        <v>25054</v>
      </c>
      <c r="F4285" s="162" t="s">
        <v>25055</v>
      </c>
      <c r="G4285" s="162" t="s">
        <v>25056</v>
      </c>
      <c r="H4285" s="221" t="s">
        <v>25057</v>
      </c>
      <c r="I4285" s="169">
        <v>206346</v>
      </c>
      <c r="J4285" s="304" t="str">
        <f>CONCATENATE([2]Cover!$D$6,"fdd/view?i=",I4285)</f>
        <v>https://www.dgiwg.org/FAD/fdd/view?i=206346</v>
      </c>
      <c r="K4285" s="304" t="s">
        <v>38334</v>
      </c>
      <c r="L4285" s="188">
        <v>57</v>
      </c>
      <c r="M4285" s="179" t="s">
        <v>1295</v>
      </c>
    </row>
    <row r="4286" spans="1:13" ht="63.75">
      <c r="A4286" s="313" t="str">
        <f t="shared" si="66"/>
        <v>MarineSpeciesCode_greaterArgentine</v>
      </c>
      <c r="B4286" s="330"/>
      <c r="C4286" s="334"/>
      <c r="D4286" s="188" t="s">
        <v>25058</v>
      </c>
      <c r="E4286" s="189" t="s">
        <v>25059</v>
      </c>
      <c r="F4286" s="162" t="s">
        <v>25060</v>
      </c>
      <c r="G4286" s="162" t="s">
        <v>25061</v>
      </c>
      <c r="H4286" s="221" t="s">
        <v>25062</v>
      </c>
      <c r="I4286" s="169">
        <v>206347</v>
      </c>
      <c r="J4286" s="304" t="str">
        <f>CONCATENATE([2]Cover!$D$6,"fdd/view?i=",I4286)</f>
        <v>https://www.dgiwg.org/FAD/fdd/view?i=206347</v>
      </c>
      <c r="K4286" s="304" t="s">
        <v>38335</v>
      </c>
      <c r="L4286" s="188">
        <v>58</v>
      </c>
      <c r="M4286" s="179" t="s">
        <v>1295</v>
      </c>
    </row>
    <row r="4287" spans="1:13" ht="25.5">
      <c r="A4287" s="313" t="str">
        <f t="shared" si="66"/>
        <v>MarineSpeciesCode_greaterLizardfish</v>
      </c>
      <c r="B4287" s="330"/>
      <c r="C4287" s="334"/>
      <c r="D4287" s="188" t="s">
        <v>25063</v>
      </c>
      <c r="E4287" s="189" t="s">
        <v>25064</v>
      </c>
      <c r="F4287" s="162" t="s">
        <v>25065</v>
      </c>
      <c r="G4287" s="162" t="s">
        <v>25066</v>
      </c>
      <c r="H4287" s="219"/>
      <c r="I4287" s="169">
        <v>206348</v>
      </c>
      <c r="J4287" s="304" t="str">
        <f>CONCATENATE([2]Cover!$D$6,"fdd/view?i=",I4287)</f>
        <v>https://www.dgiwg.org/FAD/fdd/view?i=206348</v>
      </c>
      <c r="K4287" s="304" t="s">
        <v>38336</v>
      </c>
      <c r="L4287" s="188">
        <v>59</v>
      </c>
      <c r="M4287" s="179" t="s">
        <v>1295</v>
      </c>
    </row>
    <row r="4288" spans="1:13" ht="38.25">
      <c r="A4288" s="313" t="str">
        <f t="shared" si="66"/>
        <v>MarineSpeciesCode_greenJack</v>
      </c>
      <c r="B4288" s="330"/>
      <c r="C4288" s="334"/>
      <c r="D4288" s="188" t="s">
        <v>25067</v>
      </c>
      <c r="E4288" s="189" t="s">
        <v>25068</v>
      </c>
      <c r="F4288" s="162" t="s">
        <v>25069</v>
      </c>
      <c r="G4288" s="162" t="s">
        <v>25070</v>
      </c>
      <c r="H4288" s="221" t="s">
        <v>25071</v>
      </c>
      <c r="I4288" s="169">
        <v>206349</v>
      </c>
      <c r="J4288" s="304" t="str">
        <f>CONCATENATE([2]Cover!$D$6,"fdd/view?i=",I4288)</f>
        <v>https://www.dgiwg.org/FAD/fdd/view?i=206349</v>
      </c>
      <c r="K4288" s="304" t="s">
        <v>38337</v>
      </c>
      <c r="L4288" s="188">
        <v>60</v>
      </c>
      <c r="M4288" s="179" t="s">
        <v>1295</v>
      </c>
    </row>
    <row r="4289" spans="1:13" ht="51">
      <c r="A4289" s="313" t="str">
        <f t="shared" si="66"/>
        <v>MarineSpeciesCode_greenlandHalibut</v>
      </c>
      <c r="B4289" s="330"/>
      <c r="C4289" s="334"/>
      <c r="D4289" s="188" t="s">
        <v>25072</v>
      </c>
      <c r="E4289" s="189" t="s">
        <v>25073</v>
      </c>
      <c r="F4289" s="162" t="s">
        <v>25074</v>
      </c>
      <c r="G4289" s="162" t="s">
        <v>25075</v>
      </c>
      <c r="H4289" s="221" t="s">
        <v>25076</v>
      </c>
      <c r="I4289" s="169">
        <v>206350</v>
      </c>
      <c r="J4289" s="304" t="str">
        <f>CONCATENATE([2]Cover!$D$6,"fdd/view?i=",I4289)</f>
        <v>https://www.dgiwg.org/FAD/fdd/view?i=206350</v>
      </c>
      <c r="K4289" s="304" t="s">
        <v>38338</v>
      </c>
      <c r="L4289" s="188">
        <v>61</v>
      </c>
      <c r="M4289" s="179" t="s">
        <v>1295</v>
      </c>
    </row>
    <row r="4290" spans="1:13" ht="38.25">
      <c r="A4290" s="313" t="str">
        <f t="shared" si="66"/>
        <v>MarineSpeciesCode_gulfConeyRoosterHind</v>
      </c>
      <c r="B4290" s="330"/>
      <c r="C4290" s="334"/>
      <c r="D4290" s="188" t="s">
        <v>25077</v>
      </c>
      <c r="E4290" s="189" t="s">
        <v>25078</v>
      </c>
      <c r="F4290" s="162" t="s">
        <v>25079</v>
      </c>
      <c r="G4290" s="162" t="s">
        <v>25080</v>
      </c>
      <c r="H4290" s="219"/>
      <c r="I4290" s="169">
        <v>206351</v>
      </c>
      <c r="J4290" s="304" t="str">
        <f>CONCATENATE([2]Cover!$D$6,"fdd/view?i=",I4290)</f>
        <v>https://www.dgiwg.org/FAD/fdd/view?i=206351</v>
      </c>
      <c r="K4290" s="304" t="s">
        <v>38339</v>
      </c>
      <c r="L4290" s="188">
        <v>62</v>
      </c>
      <c r="M4290" s="179" t="s">
        <v>1295</v>
      </c>
    </row>
    <row r="4291" spans="1:13" ht="51">
      <c r="A4291" s="313" t="str">
        <f t="shared" ref="A4291:A4354" si="67">HYPERLINK(J4291,K4291)</f>
        <v>MarineSpeciesCode_haddock</v>
      </c>
      <c r="B4291" s="330"/>
      <c r="C4291" s="334"/>
      <c r="D4291" s="188" t="s">
        <v>25081</v>
      </c>
      <c r="E4291" s="189" t="s">
        <v>25082</v>
      </c>
      <c r="F4291" s="162" t="s">
        <v>25083</v>
      </c>
      <c r="G4291" s="162" t="s">
        <v>25084</v>
      </c>
      <c r="H4291" s="221" t="s">
        <v>25085</v>
      </c>
      <c r="I4291" s="169">
        <v>206352</v>
      </c>
      <c r="J4291" s="304" t="str">
        <f>CONCATENATE([2]Cover!$D$6,"fdd/view?i=",I4291)</f>
        <v>https://www.dgiwg.org/FAD/fdd/view?i=206352</v>
      </c>
      <c r="K4291" s="304" t="s">
        <v>38340</v>
      </c>
      <c r="L4291" s="188">
        <v>63</v>
      </c>
      <c r="M4291" s="179" t="s">
        <v>1295</v>
      </c>
    </row>
    <row r="4292" spans="1:13" ht="38.25">
      <c r="A4292" s="313" t="str">
        <f t="shared" si="67"/>
        <v>MarineSpeciesCode_haffaraSeabream</v>
      </c>
      <c r="B4292" s="330"/>
      <c r="C4292" s="334"/>
      <c r="D4292" s="188" t="s">
        <v>25086</v>
      </c>
      <c r="E4292" s="189" t="s">
        <v>25087</v>
      </c>
      <c r="F4292" s="162" t="s">
        <v>25088</v>
      </c>
      <c r="G4292" s="162" t="s">
        <v>25089</v>
      </c>
      <c r="H4292" s="219"/>
      <c r="I4292" s="169">
        <v>206353</v>
      </c>
      <c r="J4292" s="304" t="str">
        <f>CONCATENATE([2]Cover!$D$6,"fdd/view?i=",I4292)</f>
        <v>https://www.dgiwg.org/FAD/fdd/view?i=206353</v>
      </c>
      <c r="K4292" s="304" t="s">
        <v>38341</v>
      </c>
      <c r="L4292" s="188">
        <v>64</v>
      </c>
      <c r="M4292" s="179" t="s">
        <v>1295</v>
      </c>
    </row>
    <row r="4293" spans="1:13" ht="38.25">
      <c r="A4293" s="313" t="str">
        <f t="shared" si="67"/>
        <v>MarineSpeciesCode_indianHalibut</v>
      </c>
      <c r="B4293" s="330"/>
      <c r="C4293" s="334"/>
      <c r="D4293" s="188" t="s">
        <v>25090</v>
      </c>
      <c r="E4293" s="189" t="s">
        <v>25091</v>
      </c>
      <c r="F4293" s="162" t="s">
        <v>25092</v>
      </c>
      <c r="G4293" s="162" t="s">
        <v>25093</v>
      </c>
      <c r="H4293" s="221" t="s">
        <v>25094</v>
      </c>
      <c r="I4293" s="169">
        <v>206354</v>
      </c>
      <c r="J4293" s="304" t="str">
        <f>CONCATENATE([2]Cover!$D$6,"fdd/view?i=",I4293)</f>
        <v>https://www.dgiwg.org/FAD/fdd/view?i=206354</v>
      </c>
      <c r="K4293" s="304" t="s">
        <v>38342</v>
      </c>
      <c r="L4293" s="188">
        <v>65</v>
      </c>
      <c r="M4293" s="179" t="s">
        <v>1295</v>
      </c>
    </row>
    <row r="4294" spans="1:13" ht="25.5">
      <c r="A4294" s="313" t="str">
        <f t="shared" si="67"/>
        <v>MarineSpeciesCode_indianMackerel</v>
      </c>
      <c r="B4294" s="330"/>
      <c r="C4294" s="334"/>
      <c r="D4294" s="188" t="s">
        <v>25095</v>
      </c>
      <c r="E4294" s="189" t="s">
        <v>25096</v>
      </c>
      <c r="F4294" s="162" t="s">
        <v>25097</v>
      </c>
      <c r="G4294" s="162" t="s">
        <v>25098</v>
      </c>
      <c r="H4294" s="219"/>
      <c r="I4294" s="169">
        <v>206355</v>
      </c>
      <c r="J4294" s="304" t="str">
        <f>CONCATENATE([2]Cover!$D$6,"fdd/view?i=",I4294)</f>
        <v>https://www.dgiwg.org/FAD/fdd/view?i=206355</v>
      </c>
      <c r="K4294" s="304" t="s">
        <v>38343</v>
      </c>
      <c r="L4294" s="188">
        <v>66</v>
      </c>
      <c r="M4294" s="179" t="s">
        <v>1295</v>
      </c>
    </row>
    <row r="4295" spans="1:13" ht="51">
      <c r="A4295" s="313" t="str">
        <f t="shared" si="67"/>
        <v>MarineSpeciesCode_indianOilSardine</v>
      </c>
      <c r="B4295" s="330"/>
      <c r="C4295" s="334"/>
      <c r="D4295" s="188" t="s">
        <v>25099</v>
      </c>
      <c r="E4295" s="189" t="s">
        <v>25100</v>
      </c>
      <c r="F4295" s="162" t="s">
        <v>25101</v>
      </c>
      <c r="G4295" s="162" t="s">
        <v>25102</v>
      </c>
      <c r="H4295" s="219"/>
      <c r="I4295" s="169">
        <v>206356</v>
      </c>
      <c r="J4295" s="304" t="str">
        <f>CONCATENATE([2]Cover!$D$6,"fdd/view?i=",I4295)</f>
        <v>https://www.dgiwg.org/FAD/fdd/view?i=206356</v>
      </c>
      <c r="K4295" s="304" t="s">
        <v>38344</v>
      </c>
      <c r="L4295" s="188">
        <v>67</v>
      </c>
      <c r="M4295" s="179" t="s">
        <v>1295</v>
      </c>
    </row>
    <row r="4296" spans="1:13" ht="38.25">
      <c r="A4296" s="313" t="str">
        <f t="shared" si="67"/>
        <v>MarineSpeciesCode_indianScad</v>
      </c>
      <c r="B4296" s="330"/>
      <c r="C4296" s="334"/>
      <c r="D4296" s="188" t="s">
        <v>25103</v>
      </c>
      <c r="E4296" s="189" t="s">
        <v>25104</v>
      </c>
      <c r="F4296" s="162" t="s">
        <v>25105</v>
      </c>
      <c r="G4296" s="162" t="s">
        <v>25106</v>
      </c>
      <c r="H4296" s="221" t="s">
        <v>25107</v>
      </c>
      <c r="I4296" s="169">
        <v>206357</v>
      </c>
      <c r="J4296" s="304" t="str">
        <f>CONCATENATE([2]Cover!$D$6,"fdd/view?i=",I4296)</f>
        <v>https://www.dgiwg.org/FAD/fdd/view?i=206357</v>
      </c>
      <c r="K4296" s="304" t="s">
        <v>38345</v>
      </c>
      <c r="L4296" s="188">
        <v>68</v>
      </c>
      <c r="M4296" s="179" t="s">
        <v>1295</v>
      </c>
    </row>
    <row r="4297" spans="1:13" ht="38.25">
      <c r="A4297" s="313" t="str">
        <f t="shared" si="67"/>
        <v>MarineSpeciesCode_indoPacificSailfish</v>
      </c>
      <c r="B4297" s="330"/>
      <c r="C4297" s="334"/>
      <c r="D4297" s="188" t="s">
        <v>25108</v>
      </c>
      <c r="E4297" s="189" t="s">
        <v>25109</v>
      </c>
      <c r="F4297" s="162" t="s">
        <v>25110</v>
      </c>
      <c r="G4297" s="162" t="s">
        <v>25111</v>
      </c>
      <c r="H4297" s="221" t="s">
        <v>25112</v>
      </c>
      <c r="I4297" s="169">
        <v>206358</v>
      </c>
      <c r="J4297" s="304" t="str">
        <f>CONCATENATE([2]Cover!$D$6,"fdd/view?i=",I4297)</f>
        <v>https://www.dgiwg.org/FAD/fdd/view?i=206358</v>
      </c>
      <c r="K4297" s="304" t="s">
        <v>38346</v>
      </c>
      <c r="L4297" s="188">
        <v>69</v>
      </c>
      <c r="M4297" s="179" t="s">
        <v>1295</v>
      </c>
    </row>
    <row r="4298" spans="1:13" ht="38.25">
      <c r="A4298" s="313" t="str">
        <f t="shared" si="67"/>
        <v>MarineSpeciesCode_japaneseAnchovy</v>
      </c>
      <c r="B4298" s="330"/>
      <c r="C4298" s="334"/>
      <c r="D4298" s="188" t="s">
        <v>25113</v>
      </c>
      <c r="E4298" s="189" t="s">
        <v>25114</v>
      </c>
      <c r="F4298" s="162" t="s">
        <v>25115</v>
      </c>
      <c r="G4298" s="162" t="s">
        <v>25116</v>
      </c>
      <c r="H4298" s="221" t="s">
        <v>25117</v>
      </c>
      <c r="I4298" s="169">
        <v>206359</v>
      </c>
      <c r="J4298" s="304" t="str">
        <f>CONCATENATE([2]Cover!$D$6,"fdd/view?i=",I4298)</f>
        <v>https://www.dgiwg.org/FAD/fdd/view?i=206359</v>
      </c>
      <c r="K4298" s="304" t="s">
        <v>38347</v>
      </c>
      <c r="L4298" s="188">
        <v>70</v>
      </c>
      <c r="M4298" s="179" t="s">
        <v>1295</v>
      </c>
    </row>
    <row r="4299" spans="1:13" ht="25.5">
      <c r="A4299" s="313" t="str">
        <f t="shared" si="67"/>
        <v>MarineSpeciesCode_japaneseBobtailSquid</v>
      </c>
      <c r="B4299" s="330"/>
      <c r="C4299" s="334"/>
      <c r="D4299" s="188" t="s">
        <v>25118</v>
      </c>
      <c r="E4299" s="189" t="s">
        <v>25119</v>
      </c>
      <c r="F4299" s="162" t="s">
        <v>25120</v>
      </c>
      <c r="G4299" s="162" t="s">
        <v>25121</v>
      </c>
      <c r="H4299" s="219"/>
      <c r="I4299" s="169">
        <v>206360</v>
      </c>
      <c r="J4299" s="304" t="str">
        <f>CONCATENATE([2]Cover!$D$6,"fdd/view?i=",I4299)</f>
        <v>https://www.dgiwg.org/FAD/fdd/view?i=206360</v>
      </c>
      <c r="K4299" s="304" t="s">
        <v>38348</v>
      </c>
      <c r="L4299" s="188">
        <v>71</v>
      </c>
      <c r="M4299" s="179" t="s">
        <v>1295</v>
      </c>
    </row>
    <row r="4300" spans="1:13" ht="38.25">
      <c r="A4300" s="313" t="str">
        <f t="shared" si="67"/>
        <v>MarineSpeciesCode_japaneseFlyingSquid</v>
      </c>
      <c r="B4300" s="330"/>
      <c r="C4300" s="334"/>
      <c r="D4300" s="188" t="s">
        <v>25122</v>
      </c>
      <c r="E4300" s="189" t="s">
        <v>25123</v>
      </c>
      <c r="F4300" s="162" t="s">
        <v>25124</v>
      </c>
      <c r="G4300" s="162" t="s">
        <v>25125</v>
      </c>
      <c r="H4300" s="221" t="s">
        <v>25126</v>
      </c>
      <c r="I4300" s="169">
        <v>206326</v>
      </c>
      <c r="J4300" s="304" t="str">
        <f>CONCATENATE([2]Cover!$D$6,"fdd/view?i=",I4300)</f>
        <v>https://www.dgiwg.org/FAD/fdd/view?i=206326</v>
      </c>
      <c r="K4300" s="304" t="s">
        <v>38349</v>
      </c>
      <c r="L4300" s="188">
        <v>77</v>
      </c>
      <c r="M4300" s="179" t="s">
        <v>1295</v>
      </c>
    </row>
    <row r="4301" spans="1:13" ht="38.25">
      <c r="A4301" s="313" t="str">
        <f t="shared" si="67"/>
        <v>MarineSpeciesCode_japaneseJackMackerel</v>
      </c>
      <c r="B4301" s="330"/>
      <c r="C4301" s="334"/>
      <c r="D4301" s="188" t="s">
        <v>25127</v>
      </c>
      <c r="E4301" s="189" t="s">
        <v>25128</v>
      </c>
      <c r="F4301" s="162" t="s">
        <v>25129</v>
      </c>
      <c r="G4301" s="162" t="s">
        <v>25130</v>
      </c>
      <c r="H4301" s="219"/>
      <c r="I4301" s="169">
        <v>206361</v>
      </c>
      <c r="J4301" s="304" t="str">
        <f>CONCATENATE([2]Cover!$D$6,"fdd/view?i=",I4301)</f>
        <v>https://www.dgiwg.org/FAD/fdd/view?i=206361</v>
      </c>
      <c r="K4301" s="304" t="s">
        <v>38350</v>
      </c>
      <c r="L4301" s="188">
        <v>72</v>
      </c>
      <c r="M4301" s="179" t="s">
        <v>1295</v>
      </c>
    </row>
    <row r="4302" spans="1:13" ht="140.25">
      <c r="A4302" s="313" t="str">
        <f t="shared" si="67"/>
        <v>MarineSpeciesCode_japanesePilchard</v>
      </c>
      <c r="B4302" s="330"/>
      <c r="C4302" s="334"/>
      <c r="D4302" s="188" t="s">
        <v>25131</v>
      </c>
      <c r="E4302" s="189" t="s">
        <v>25132</v>
      </c>
      <c r="F4302" s="162" t="s">
        <v>25133</v>
      </c>
      <c r="G4302" s="162" t="s">
        <v>25134</v>
      </c>
      <c r="H4302" s="221" t="s">
        <v>25135</v>
      </c>
      <c r="I4302" s="169">
        <v>206362</v>
      </c>
      <c r="J4302" s="304" t="str">
        <f>CONCATENATE([2]Cover!$D$6,"fdd/view?i=",I4302)</f>
        <v>https://www.dgiwg.org/FAD/fdd/view?i=206362</v>
      </c>
      <c r="K4302" s="304" t="s">
        <v>38351</v>
      </c>
      <c r="L4302" s="188">
        <v>73</v>
      </c>
      <c r="M4302" s="179" t="s">
        <v>1295</v>
      </c>
    </row>
    <row r="4303" spans="1:13" ht="38.25">
      <c r="A4303" s="313" t="str">
        <f t="shared" si="67"/>
        <v>MarineSpeciesCode_japaneseSardinella</v>
      </c>
      <c r="B4303" s="330"/>
      <c r="C4303" s="334"/>
      <c r="D4303" s="188" t="s">
        <v>25136</v>
      </c>
      <c r="E4303" s="189" t="s">
        <v>25137</v>
      </c>
      <c r="F4303" s="162" t="s">
        <v>25138</v>
      </c>
      <c r="G4303" s="162" t="s">
        <v>25139</v>
      </c>
      <c r="H4303" s="219"/>
      <c r="I4303" s="169">
        <v>206363</v>
      </c>
      <c r="J4303" s="304" t="str">
        <f>CONCATENATE([2]Cover!$D$6,"fdd/view?i=",I4303)</f>
        <v>https://www.dgiwg.org/FAD/fdd/view?i=206363</v>
      </c>
      <c r="K4303" s="304" t="s">
        <v>38352</v>
      </c>
      <c r="L4303" s="188">
        <v>74</v>
      </c>
      <c r="M4303" s="179" t="s">
        <v>1295</v>
      </c>
    </row>
    <row r="4304" spans="1:13" ht="38.25">
      <c r="A4304" s="313" t="str">
        <f t="shared" si="67"/>
        <v>MarineSpeciesCode_japaneseScad</v>
      </c>
      <c r="B4304" s="330"/>
      <c r="C4304" s="334"/>
      <c r="D4304" s="188" t="s">
        <v>25140</v>
      </c>
      <c r="E4304" s="189" t="s">
        <v>25141</v>
      </c>
      <c r="F4304" s="162" t="s">
        <v>25142</v>
      </c>
      <c r="G4304" s="162" t="s">
        <v>25143</v>
      </c>
      <c r="H4304" s="221" t="s">
        <v>25144</v>
      </c>
      <c r="I4304" s="169">
        <v>206364</v>
      </c>
      <c r="J4304" s="304" t="str">
        <f>CONCATENATE([2]Cover!$D$6,"fdd/view?i=",I4304)</f>
        <v>https://www.dgiwg.org/FAD/fdd/view?i=206364</v>
      </c>
      <c r="K4304" s="304" t="s">
        <v>38353</v>
      </c>
      <c r="L4304" s="188">
        <v>75</v>
      </c>
      <c r="M4304" s="179" t="s">
        <v>1295</v>
      </c>
    </row>
    <row r="4305" spans="1:13" ht="51">
      <c r="A4305" s="313" t="str">
        <f t="shared" si="67"/>
        <v>MarineSpeciesCode_japaneseSpanishMackerel</v>
      </c>
      <c r="B4305" s="330"/>
      <c r="C4305" s="334"/>
      <c r="D4305" s="188" t="s">
        <v>25145</v>
      </c>
      <c r="E4305" s="189" t="s">
        <v>25146</v>
      </c>
      <c r="F4305" s="162" t="s">
        <v>25147</v>
      </c>
      <c r="G4305" s="162" t="s">
        <v>25148</v>
      </c>
      <c r="H4305" s="221" t="s">
        <v>25149</v>
      </c>
      <c r="I4305" s="169">
        <v>206365</v>
      </c>
      <c r="J4305" s="304" t="str">
        <f>CONCATENATE([2]Cover!$D$6,"fdd/view?i=",I4305)</f>
        <v>https://www.dgiwg.org/FAD/fdd/view?i=206365</v>
      </c>
      <c r="K4305" s="304" t="s">
        <v>38354</v>
      </c>
      <c r="L4305" s="188">
        <v>76</v>
      </c>
      <c r="M4305" s="179" t="s">
        <v>1295</v>
      </c>
    </row>
    <row r="4306" spans="1:13" ht="38.25">
      <c r="A4306" s="313" t="str">
        <f t="shared" si="67"/>
        <v>MarineSpeciesCode_japaneseThreadfinBream</v>
      </c>
      <c r="B4306" s="330"/>
      <c r="C4306" s="334"/>
      <c r="D4306" s="188" t="s">
        <v>25150</v>
      </c>
      <c r="E4306" s="189" t="s">
        <v>25151</v>
      </c>
      <c r="F4306" s="162" t="s">
        <v>25152</v>
      </c>
      <c r="G4306" s="162" t="s">
        <v>25153</v>
      </c>
      <c r="H4306" s="221" t="s">
        <v>25154</v>
      </c>
      <c r="I4306" s="169">
        <v>206366</v>
      </c>
      <c r="J4306" s="304" t="str">
        <f>CONCATENATE([2]Cover!$D$6,"fdd/view?i=",I4306)</f>
        <v>https://www.dgiwg.org/FAD/fdd/view?i=206366</v>
      </c>
      <c r="K4306" s="304" t="s">
        <v>38355</v>
      </c>
      <c r="L4306" s="188">
        <v>78</v>
      </c>
      <c r="M4306" s="179" t="s">
        <v>1295</v>
      </c>
    </row>
    <row r="4307" spans="1:13" ht="51">
      <c r="A4307" s="313" t="str">
        <f t="shared" si="67"/>
        <v>MarineSpeciesCode_javelinGrunter</v>
      </c>
      <c r="B4307" s="330"/>
      <c r="C4307" s="334"/>
      <c r="D4307" s="188" t="s">
        <v>25155</v>
      </c>
      <c r="E4307" s="189" t="s">
        <v>25156</v>
      </c>
      <c r="F4307" s="162" t="s">
        <v>25157</v>
      </c>
      <c r="G4307" s="162" t="s">
        <v>25158</v>
      </c>
      <c r="H4307" s="221" t="s">
        <v>25159</v>
      </c>
      <c r="I4307" s="169">
        <v>206367</v>
      </c>
      <c r="J4307" s="304" t="str">
        <f>CONCATENATE([2]Cover!$D$6,"fdd/view?i=",I4307)</f>
        <v>https://www.dgiwg.org/FAD/fdd/view?i=206367</v>
      </c>
      <c r="K4307" s="304" t="s">
        <v>38356</v>
      </c>
      <c r="L4307" s="188">
        <v>79</v>
      </c>
      <c r="M4307" s="179" t="s">
        <v>1295</v>
      </c>
    </row>
    <row r="4308" spans="1:13" ht="25.5">
      <c r="A4308" s="313" t="str">
        <f t="shared" si="67"/>
        <v>MarineSpeciesCode_kawakawa</v>
      </c>
      <c r="B4308" s="330"/>
      <c r="C4308" s="334"/>
      <c r="D4308" s="188" t="s">
        <v>25160</v>
      </c>
      <c r="E4308" s="189" t="s">
        <v>25161</v>
      </c>
      <c r="F4308" s="162" t="s">
        <v>25162</v>
      </c>
      <c r="G4308" s="162" t="s">
        <v>25163</v>
      </c>
      <c r="H4308" s="221" t="s">
        <v>25164</v>
      </c>
      <c r="I4308" s="169">
        <v>206368</v>
      </c>
      <c r="J4308" s="304" t="str">
        <f>CONCATENATE([2]Cover!$D$6,"fdd/view?i=",I4308)</f>
        <v>https://www.dgiwg.org/FAD/fdd/view?i=206368</v>
      </c>
      <c r="K4308" s="304" t="s">
        <v>38357</v>
      </c>
      <c r="L4308" s="188">
        <v>80</v>
      </c>
      <c r="M4308" s="179" t="s">
        <v>1295</v>
      </c>
    </row>
    <row r="4309" spans="1:13" ht="127.5">
      <c r="A4309" s="313" t="str">
        <f t="shared" si="67"/>
        <v>MarineSpeciesCode_kingSoldierBream</v>
      </c>
      <c r="B4309" s="330"/>
      <c r="C4309" s="334"/>
      <c r="D4309" s="188" t="s">
        <v>25165</v>
      </c>
      <c r="E4309" s="189" t="s">
        <v>25166</v>
      </c>
      <c r="F4309" s="162" t="s">
        <v>25167</v>
      </c>
      <c r="G4309" s="162" t="s">
        <v>25168</v>
      </c>
      <c r="H4309" s="221" t="s">
        <v>25169</v>
      </c>
      <c r="I4309" s="169">
        <v>206369</v>
      </c>
      <c r="J4309" s="304" t="str">
        <f>CONCATENATE([2]Cover!$D$6,"fdd/view?i=",I4309)</f>
        <v>https://www.dgiwg.org/FAD/fdd/view?i=206369</v>
      </c>
      <c r="K4309" s="304" t="s">
        <v>38358</v>
      </c>
      <c r="L4309" s="188">
        <v>81</v>
      </c>
      <c r="M4309" s="179" t="s">
        <v>1295</v>
      </c>
    </row>
    <row r="4310" spans="1:13" ht="25.5">
      <c r="A4310" s="313" t="str">
        <f t="shared" si="67"/>
        <v>MarineSpeciesCode_largeheadHairtail</v>
      </c>
      <c r="B4310" s="330"/>
      <c r="C4310" s="334"/>
      <c r="D4310" s="188" t="s">
        <v>25170</v>
      </c>
      <c r="E4310" s="189" t="s">
        <v>25171</v>
      </c>
      <c r="F4310" s="162" t="s">
        <v>25172</v>
      </c>
      <c r="G4310" s="162" t="s">
        <v>25173</v>
      </c>
      <c r="H4310" s="221" t="s">
        <v>25174</v>
      </c>
      <c r="I4310" s="169">
        <v>206370</v>
      </c>
      <c r="J4310" s="304" t="str">
        <f>CONCATENATE([2]Cover!$D$6,"fdd/view?i=",I4310)</f>
        <v>https://www.dgiwg.org/FAD/fdd/view?i=206370</v>
      </c>
      <c r="K4310" s="304" t="s">
        <v>38359</v>
      </c>
      <c r="L4310" s="188">
        <v>82</v>
      </c>
      <c r="M4310" s="179" t="s">
        <v>1295</v>
      </c>
    </row>
    <row r="4311" spans="1:13" ht="25.5">
      <c r="A4311" s="313" t="str">
        <f t="shared" si="67"/>
        <v>MarineSpeciesCode_lemonSole</v>
      </c>
      <c r="B4311" s="330"/>
      <c r="C4311" s="334"/>
      <c r="D4311" s="188" t="s">
        <v>25175</v>
      </c>
      <c r="E4311" s="189" t="s">
        <v>25176</v>
      </c>
      <c r="F4311" s="162" t="s">
        <v>25177</v>
      </c>
      <c r="G4311" s="162" t="s">
        <v>25178</v>
      </c>
      <c r="H4311" s="219"/>
      <c r="I4311" s="169">
        <v>206371</v>
      </c>
      <c r="J4311" s="304" t="str">
        <f>CONCATENATE([2]Cover!$D$6,"fdd/view?i=",I4311)</f>
        <v>https://www.dgiwg.org/FAD/fdd/view?i=206371</v>
      </c>
      <c r="K4311" s="304" t="s">
        <v>38360</v>
      </c>
      <c r="L4311" s="188">
        <v>83</v>
      </c>
      <c r="M4311" s="179" t="s">
        <v>1295</v>
      </c>
    </row>
    <row r="4312" spans="1:13" ht="38.25">
      <c r="A4312" s="313" t="str">
        <f t="shared" si="67"/>
        <v>MarineSpeciesCode_lesserSandeelSandlance</v>
      </c>
      <c r="B4312" s="330"/>
      <c r="C4312" s="334"/>
      <c r="D4312" s="188" t="s">
        <v>25179</v>
      </c>
      <c r="E4312" s="189" t="s">
        <v>25180</v>
      </c>
      <c r="F4312" s="162" t="s">
        <v>25181</v>
      </c>
      <c r="G4312" s="162" t="s">
        <v>25182</v>
      </c>
      <c r="H4312" s="221" t="s">
        <v>25183</v>
      </c>
      <c r="I4312" s="169">
        <v>206372</v>
      </c>
      <c r="J4312" s="304" t="str">
        <f>CONCATENATE([2]Cover!$D$6,"fdd/view?i=",I4312)</f>
        <v>https://www.dgiwg.org/FAD/fdd/view?i=206372</v>
      </c>
      <c r="K4312" s="304" t="s">
        <v>38361</v>
      </c>
      <c r="L4312" s="188">
        <v>84</v>
      </c>
      <c r="M4312" s="179" t="s">
        <v>1295</v>
      </c>
    </row>
    <row r="4313" spans="1:13" ht="38.25">
      <c r="A4313" s="313" t="str">
        <f t="shared" si="67"/>
        <v>MarineSpeciesCode_ling</v>
      </c>
      <c r="B4313" s="330"/>
      <c r="C4313" s="334"/>
      <c r="D4313" s="188" t="s">
        <v>25184</v>
      </c>
      <c r="E4313" s="189" t="s">
        <v>25185</v>
      </c>
      <c r="F4313" s="162" t="s">
        <v>25186</v>
      </c>
      <c r="G4313" s="162" t="s">
        <v>25187</v>
      </c>
      <c r="H4313" s="221" t="s">
        <v>25188</v>
      </c>
      <c r="I4313" s="169">
        <v>206373</v>
      </c>
      <c r="J4313" s="304" t="str">
        <f>CONCATENATE([2]Cover!$D$6,"fdd/view?i=",I4313)</f>
        <v>https://www.dgiwg.org/FAD/fdd/view?i=206373</v>
      </c>
      <c r="K4313" s="304" t="s">
        <v>38362</v>
      </c>
      <c r="L4313" s="188">
        <v>85</v>
      </c>
      <c r="M4313" s="179" t="s">
        <v>1295</v>
      </c>
    </row>
    <row r="4314" spans="1:13" ht="38.25">
      <c r="A4314" s="313" t="str">
        <f t="shared" si="67"/>
        <v>MarineSpeciesCode_longtailTuna</v>
      </c>
      <c r="B4314" s="330"/>
      <c r="C4314" s="334"/>
      <c r="D4314" s="188" t="s">
        <v>25189</v>
      </c>
      <c r="E4314" s="189" t="s">
        <v>25190</v>
      </c>
      <c r="F4314" s="162" t="s">
        <v>25191</v>
      </c>
      <c r="G4314" s="162" t="s">
        <v>25192</v>
      </c>
      <c r="H4314" s="221" t="s">
        <v>25193</v>
      </c>
      <c r="I4314" s="169">
        <v>206374</v>
      </c>
      <c r="J4314" s="304" t="str">
        <f>CONCATENATE([2]Cover!$D$6,"fdd/view?i=",I4314)</f>
        <v>https://www.dgiwg.org/FAD/fdd/view?i=206374</v>
      </c>
      <c r="K4314" s="304" t="s">
        <v>38363</v>
      </c>
      <c r="L4314" s="188">
        <v>86</v>
      </c>
      <c r="M4314" s="179" t="s">
        <v>1295</v>
      </c>
    </row>
    <row r="4315" spans="1:13" ht="51">
      <c r="A4315" s="313" t="str">
        <f t="shared" si="67"/>
        <v>MarineSpeciesCode_malabarBloodSnapper</v>
      </c>
      <c r="B4315" s="330"/>
      <c r="C4315" s="334"/>
      <c r="D4315" s="188" t="s">
        <v>25194</v>
      </c>
      <c r="E4315" s="189" t="s">
        <v>25195</v>
      </c>
      <c r="F4315" s="162" t="s">
        <v>25196</v>
      </c>
      <c r="G4315" s="162" t="s">
        <v>25197</v>
      </c>
      <c r="H4315" s="221" t="s">
        <v>25198</v>
      </c>
      <c r="I4315" s="169">
        <v>206375</v>
      </c>
      <c r="J4315" s="304" t="str">
        <f>CONCATENATE([2]Cover!$D$6,"fdd/view?i=",I4315)</f>
        <v>https://www.dgiwg.org/FAD/fdd/view?i=206375</v>
      </c>
      <c r="K4315" s="304" t="s">
        <v>38364</v>
      </c>
      <c r="L4315" s="188">
        <v>87</v>
      </c>
      <c r="M4315" s="179" t="s">
        <v>1295</v>
      </c>
    </row>
    <row r="4316" spans="1:13" ht="38.25">
      <c r="A4316" s="313" t="str">
        <f t="shared" si="67"/>
        <v>MarineSpeciesCode_megrim</v>
      </c>
      <c r="B4316" s="330"/>
      <c r="C4316" s="334"/>
      <c r="D4316" s="188" t="s">
        <v>25199</v>
      </c>
      <c r="E4316" s="189" t="s">
        <v>25200</v>
      </c>
      <c r="F4316" s="162" t="s">
        <v>25201</v>
      </c>
      <c r="G4316" s="162" t="s">
        <v>25202</v>
      </c>
      <c r="H4316" s="221" t="s">
        <v>25203</v>
      </c>
      <c r="I4316" s="169">
        <v>206376</v>
      </c>
      <c r="J4316" s="304" t="str">
        <f>CONCATENATE([2]Cover!$D$6,"fdd/view?i=",I4316)</f>
        <v>https://www.dgiwg.org/FAD/fdd/view?i=206376</v>
      </c>
      <c r="K4316" s="304" t="s">
        <v>38365</v>
      </c>
      <c r="L4316" s="188">
        <v>88</v>
      </c>
      <c r="M4316" s="179" t="s">
        <v>1295</v>
      </c>
    </row>
    <row r="4317" spans="1:13" ht="38.25">
      <c r="A4317" s="313" t="str">
        <f t="shared" si="67"/>
        <v>MarineSpeciesCode_mexicanBarracuda</v>
      </c>
      <c r="B4317" s="330"/>
      <c r="C4317" s="334"/>
      <c r="D4317" s="188" t="s">
        <v>25204</v>
      </c>
      <c r="E4317" s="189" t="s">
        <v>25205</v>
      </c>
      <c r="F4317" s="162" t="s">
        <v>25206</v>
      </c>
      <c r="G4317" s="162" t="s">
        <v>25207</v>
      </c>
      <c r="H4317" s="219"/>
      <c r="I4317" s="169">
        <v>206377</v>
      </c>
      <c r="J4317" s="304" t="str">
        <f>CONCATENATE([2]Cover!$D$6,"fdd/view?i=",I4317)</f>
        <v>https://www.dgiwg.org/FAD/fdd/view?i=206377</v>
      </c>
      <c r="K4317" s="304" t="s">
        <v>38366</v>
      </c>
      <c r="L4317" s="188">
        <v>89</v>
      </c>
      <c r="M4317" s="179" t="s">
        <v>1295</v>
      </c>
    </row>
    <row r="4318" spans="1:13" ht="38.25">
      <c r="A4318" s="313" t="str">
        <f t="shared" si="67"/>
        <v>MarineSpeciesCode_mexicanBarredSnapper</v>
      </c>
      <c r="B4318" s="330"/>
      <c r="C4318" s="334"/>
      <c r="D4318" s="188" t="s">
        <v>25208</v>
      </c>
      <c r="E4318" s="189" t="s">
        <v>25209</v>
      </c>
      <c r="F4318" s="162" t="s">
        <v>25210</v>
      </c>
      <c r="G4318" s="162" t="s">
        <v>25211</v>
      </c>
      <c r="H4318" s="221" t="s">
        <v>25212</v>
      </c>
      <c r="I4318" s="169">
        <v>206378</v>
      </c>
      <c r="J4318" s="304" t="str">
        <f>CONCATENATE([2]Cover!$D$6,"fdd/view?i=",I4318)</f>
        <v>https://www.dgiwg.org/FAD/fdd/view?i=206378</v>
      </c>
      <c r="K4318" s="304" t="s">
        <v>38367</v>
      </c>
      <c r="L4318" s="188">
        <v>90</v>
      </c>
      <c r="M4318" s="179" t="s">
        <v>1295</v>
      </c>
    </row>
    <row r="4319" spans="1:13" ht="38.25">
      <c r="A4319" s="313" t="str">
        <f t="shared" si="67"/>
        <v>MarineSpeciesCode_narrowBarredSpanishMackerel</v>
      </c>
      <c r="B4319" s="330"/>
      <c r="C4319" s="334"/>
      <c r="D4319" s="188" t="s">
        <v>25213</v>
      </c>
      <c r="E4319" s="189" t="s">
        <v>25214</v>
      </c>
      <c r="F4319" s="162" t="s">
        <v>25215</v>
      </c>
      <c r="G4319" s="162" t="s">
        <v>25216</v>
      </c>
      <c r="H4319" s="219"/>
      <c r="I4319" s="169">
        <v>206379</v>
      </c>
      <c r="J4319" s="304" t="str">
        <f>CONCATENATE([2]Cover!$D$6,"fdd/view?i=",I4319)</f>
        <v>https://www.dgiwg.org/FAD/fdd/view?i=206379</v>
      </c>
      <c r="K4319" s="304" t="s">
        <v>38368</v>
      </c>
      <c r="L4319" s="188">
        <v>91</v>
      </c>
      <c r="M4319" s="179" t="s">
        <v>1295</v>
      </c>
    </row>
    <row r="4320" spans="1:13" ht="114.75">
      <c r="A4320" s="313" t="str">
        <f t="shared" si="67"/>
        <v>MarineSpeciesCode_northernPrawn</v>
      </c>
      <c r="B4320" s="330"/>
      <c r="C4320" s="334"/>
      <c r="D4320" s="188" t="s">
        <v>25217</v>
      </c>
      <c r="E4320" s="189" t="s">
        <v>25218</v>
      </c>
      <c r="F4320" s="162" t="s">
        <v>25219</v>
      </c>
      <c r="G4320" s="162" t="s">
        <v>25220</v>
      </c>
      <c r="H4320" s="221" t="s">
        <v>25221</v>
      </c>
      <c r="I4320" s="169">
        <v>206380</v>
      </c>
      <c r="J4320" s="304" t="str">
        <f>CONCATENATE([2]Cover!$D$6,"fdd/view?i=",I4320)</f>
        <v>https://www.dgiwg.org/FAD/fdd/view?i=206380</v>
      </c>
      <c r="K4320" s="304" t="s">
        <v>38369</v>
      </c>
      <c r="L4320" s="188">
        <v>92</v>
      </c>
      <c r="M4320" s="179" t="s">
        <v>1295</v>
      </c>
    </row>
    <row r="4321" spans="1:13" ht="38.25">
      <c r="A4321" s="313" t="str">
        <f t="shared" si="67"/>
        <v>MarineSpeciesCode_norwayLobster</v>
      </c>
      <c r="B4321" s="330"/>
      <c r="C4321" s="334"/>
      <c r="D4321" s="188" t="s">
        <v>25222</v>
      </c>
      <c r="E4321" s="189" t="s">
        <v>25223</v>
      </c>
      <c r="F4321" s="162" t="s">
        <v>25224</v>
      </c>
      <c r="G4321" s="162" t="s">
        <v>25225</v>
      </c>
      <c r="H4321" s="219"/>
      <c r="I4321" s="169">
        <v>206381</v>
      </c>
      <c r="J4321" s="304" t="str">
        <f>CONCATENATE([2]Cover!$D$6,"fdd/view?i=",I4321)</f>
        <v>https://www.dgiwg.org/FAD/fdd/view?i=206381</v>
      </c>
      <c r="K4321" s="304" t="s">
        <v>38370</v>
      </c>
      <c r="L4321" s="188">
        <v>93</v>
      </c>
      <c r="M4321" s="179" t="s">
        <v>1295</v>
      </c>
    </row>
    <row r="4322" spans="1:13" ht="25.5">
      <c r="A4322" s="313" t="str">
        <f t="shared" si="67"/>
        <v>MarineSpeciesCode_oilfish</v>
      </c>
      <c r="B4322" s="330"/>
      <c r="C4322" s="334"/>
      <c r="D4322" s="188" t="s">
        <v>25226</v>
      </c>
      <c r="E4322" s="189" t="s">
        <v>25227</v>
      </c>
      <c r="F4322" s="162" t="s">
        <v>25228</v>
      </c>
      <c r="G4322" s="162" t="s">
        <v>25229</v>
      </c>
      <c r="H4322" s="219"/>
      <c r="I4322" s="169">
        <v>206382</v>
      </c>
      <c r="J4322" s="304" t="str">
        <f>CONCATENATE([2]Cover!$D$6,"fdd/view?i=",I4322)</f>
        <v>https://www.dgiwg.org/FAD/fdd/view?i=206382</v>
      </c>
      <c r="K4322" s="304" t="s">
        <v>38371</v>
      </c>
      <c r="L4322" s="188">
        <v>94</v>
      </c>
      <c r="M4322" s="179" t="s">
        <v>1295</v>
      </c>
    </row>
    <row r="4323" spans="1:13" ht="25.5">
      <c r="A4323" s="313" t="str">
        <f t="shared" si="67"/>
        <v>MarineSpeciesCode_okhotskAtkaMackerel</v>
      </c>
      <c r="B4323" s="330"/>
      <c r="C4323" s="334"/>
      <c r="D4323" s="188" t="s">
        <v>25230</v>
      </c>
      <c r="E4323" s="189" t="s">
        <v>25231</v>
      </c>
      <c r="F4323" s="162" t="s">
        <v>25232</v>
      </c>
      <c r="G4323" s="162" t="s">
        <v>25233</v>
      </c>
      <c r="H4323" s="221" t="s">
        <v>25234</v>
      </c>
      <c r="I4323" s="169">
        <v>206383</v>
      </c>
      <c r="J4323" s="304" t="str">
        <f>CONCATENATE([2]Cover!$D$6,"fdd/view?i=",I4323)</f>
        <v>https://www.dgiwg.org/FAD/fdd/view?i=206383</v>
      </c>
      <c r="K4323" s="304" t="s">
        <v>38372</v>
      </c>
      <c r="L4323" s="188">
        <v>95</v>
      </c>
      <c r="M4323" s="179" t="s">
        <v>1295</v>
      </c>
    </row>
    <row r="4324" spans="1:13" ht="38.25">
      <c r="A4324" s="313" t="str">
        <f t="shared" si="67"/>
        <v>MarineSpeciesCode_orangeRoughy</v>
      </c>
      <c r="B4324" s="330"/>
      <c r="C4324" s="334"/>
      <c r="D4324" s="188" t="s">
        <v>25235</v>
      </c>
      <c r="E4324" s="189" t="s">
        <v>25236</v>
      </c>
      <c r="F4324" s="162" t="s">
        <v>25237</v>
      </c>
      <c r="G4324" s="162" t="s">
        <v>25238</v>
      </c>
      <c r="H4324" s="221" t="s">
        <v>25239</v>
      </c>
      <c r="I4324" s="169">
        <v>206384</v>
      </c>
      <c r="J4324" s="304" t="str">
        <f>CONCATENATE([2]Cover!$D$6,"fdd/view?i=",I4324)</f>
        <v>https://www.dgiwg.org/FAD/fdd/view?i=206384</v>
      </c>
      <c r="K4324" s="304" t="s">
        <v>38373</v>
      </c>
      <c r="L4324" s="188">
        <v>96</v>
      </c>
      <c r="M4324" s="179" t="s">
        <v>1295</v>
      </c>
    </row>
    <row r="4325" spans="1:13" ht="25.5">
      <c r="A4325" s="313" t="str">
        <f t="shared" si="67"/>
        <v>MarineSpeciesCode_orangeSpottedGrouper</v>
      </c>
      <c r="B4325" s="330"/>
      <c r="C4325" s="334"/>
      <c r="D4325" s="188" t="s">
        <v>25240</v>
      </c>
      <c r="E4325" s="189" t="s">
        <v>25241</v>
      </c>
      <c r="F4325" s="162" t="s">
        <v>25242</v>
      </c>
      <c r="G4325" s="162" t="s">
        <v>25243</v>
      </c>
      <c r="H4325" s="221" t="s">
        <v>25244</v>
      </c>
      <c r="I4325" s="169">
        <v>206385</v>
      </c>
      <c r="J4325" s="304" t="str">
        <f>CONCATENATE([2]Cover!$D$6,"fdd/view?i=",I4325)</f>
        <v>https://www.dgiwg.org/FAD/fdd/view?i=206385</v>
      </c>
      <c r="K4325" s="304" t="s">
        <v>38374</v>
      </c>
      <c r="L4325" s="188">
        <v>97</v>
      </c>
      <c r="M4325" s="179" t="s">
        <v>1295</v>
      </c>
    </row>
    <row r="4326" spans="1:13" ht="25.5">
      <c r="A4326" s="313" t="str">
        <f t="shared" si="67"/>
        <v>MarineSpeciesCode_pacificAnchoveta</v>
      </c>
      <c r="B4326" s="330"/>
      <c r="C4326" s="334"/>
      <c r="D4326" s="188" t="s">
        <v>25245</v>
      </c>
      <c r="E4326" s="189" t="s">
        <v>25246</v>
      </c>
      <c r="F4326" s="162" t="s">
        <v>25247</v>
      </c>
      <c r="G4326" s="162" t="s">
        <v>25248</v>
      </c>
      <c r="H4326" s="219"/>
      <c r="I4326" s="169">
        <v>206386</v>
      </c>
      <c r="J4326" s="304" t="str">
        <f>CONCATENATE([2]Cover!$D$6,"fdd/view?i=",I4326)</f>
        <v>https://www.dgiwg.org/FAD/fdd/view?i=206386</v>
      </c>
      <c r="K4326" s="304" t="s">
        <v>38375</v>
      </c>
      <c r="L4326" s="188">
        <v>98</v>
      </c>
      <c r="M4326" s="179" t="s">
        <v>1295</v>
      </c>
    </row>
    <row r="4327" spans="1:13" ht="51">
      <c r="A4327" s="313" t="str">
        <f t="shared" si="67"/>
        <v>MarineSpeciesCode_pacificCod</v>
      </c>
      <c r="B4327" s="330"/>
      <c r="C4327" s="334"/>
      <c r="D4327" s="188" t="s">
        <v>25249</v>
      </c>
      <c r="E4327" s="189" t="s">
        <v>25250</v>
      </c>
      <c r="F4327" s="162" t="s">
        <v>25251</v>
      </c>
      <c r="G4327" s="162" t="s">
        <v>25252</v>
      </c>
      <c r="H4327" s="221" t="s">
        <v>25253</v>
      </c>
      <c r="I4327" s="169">
        <v>206387</v>
      </c>
      <c r="J4327" s="304" t="str">
        <f>CONCATENATE([2]Cover!$D$6,"fdd/view?i=",I4327)</f>
        <v>https://www.dgiwg.org/FAD/fdd/view?i=206387</v>
      </c>
      <c r="K4327" s="304" t="s">
        <v>38376</v>
      </c>
      <c r="L4327" s="188">
        <v>99</v>
      </c>
      <c r="M4327" s="179" t="s">
        <v>1295</v>
      </c>
    </row>
    <row r="4328" spans="1:13" ht="25.5">
      <c r="A4328" s="313" t="str">
        <f t="shared" si="67"/>
        <v>MarineSpeciesCode_pacificCrevalleJack</v>
      </c>
      <c r="B4328" s="330"/>
      <c r="C4328" s="334"/>
      <c r="D4328" s="188" t="s">
        <v>25254</v>
      </c>
      <c r="E4328" s="189" t="s">
        <v>25255</v>
      </c>
      <c r="F4328" s="162" t="s">
        <v>25256</v>
      </c>
      <c r="G4328" s="162" t="s">
        <v>25257</v>
      </c>
      <c r="H4328" s="219"/>
      <c r="I4328" s="169">
        <v>206388</v>
      </c>
      <c r="J4328" s="304" t="str">
        <f>CONCATENATE([2]Cover!$D$6,"fdd/view?i=",I4328)</f>
        <v>https://www.dgiwg.org/FAD/fdd/view?i=206388</v>
      </c>
      <c r="K4328" s="304" t="s">
        <v>38377</v>
      </c>
      <c r="L4328" s="188">
        <v>100</v>
      </c>
      <c r="M4328" s="179" t="s">
        <v>1295</v>
      </c>
    </row>
    <row r="4329" spans="1:13" ht="25.5">
      <c r="A4329" s="313" t="str">
        <f t="shared" si="67"/>
        <v>MarineSpeciesCode_pacificHerring</v>
      </c>
      <c r="B4329" s="330"/>
      <c r="C4329" s="334"/>
      <c r="D4329" s="188" t="s">
        <v>25258</v>
      </c>
      <c r="E4329" s="189" t="s">
        <v>25259</v>
      </c>
      <c r="F4329" s="162" t="s">
        <v>25260</v>
      </c>
      <c r="G4329" s="162" t="s">
        <v>25261</v>
      </c>
      <c r="H4329" s="219"/>
      <c r="I4329" s="169">
        <v>206389</v>
      </c>
      <c r="J4329" s="304" t="str">
        <f>CONCATENATE([2]Cover!$D$6,"fdd/view?i=",I4329)</f>
        <v>https://www.dgiwg.org/FAD/fdd/view?i=206389</v>
      </c>
      <c r="K4329" s="304" t="s">
        <v>38378</v>
      </c>
      <c r="L4329" s="188">
        <v>101</v>
      </c>
      <c r="M4329" s="179" t="s">
        <v>1295</v>
      </c>
    </row>
    <row r="4330" spans="1:13" ht="38.25">
      <c r="A4330" s="313" t="str">
        <f t="shared" si="67"/>
        <v>MarineSpeciesCode_pacificRedSnapper</v>
      </c>
      <c r="B4330" s="330"/>
      <c r="C4330" s="334"/>
      <c r="D4330" s="188" t="s">
        <v>25262</v>
      </c>
      <c r="E4330" s="189" t="s">
        <v>25263</v>
      </c>
      <c r="F4330" s="162" t="s">
        <v>25264</v>
      </c>
      <c r="G4330" s="162" t="s">
        <v>25265</v>
      </c>
      <c r="H4330" s="219"/>
      <c r="I4330" s="169">
        <v>206390</v>
      </c>
      <c r="J4330" s="304" t="str">
        <f>CONCATENATE([2]Cover!$D$6,"fdd/view?i=",I4330)</f>
        <v>https://www.dgiwg.org/FAD/fdd/view?i=206390</v>
      </c>
      <c r="K4330" s="304" t="s">
        <v>38379</v>
      </c>
      <c r="L4330" s="188">
        <v>102</v>
      </c>
      <c r="M4330" s="179" t="s">
        <v>1295</v>
      </c>
    </row>
    <row r="4331" spans="1:13" ht="38.25">
      <c r="A4331" s="313" t="str">
        <f t="shared" si="67"/>
        <v>MarineSpeciesCode_pacificSandlance</v>
      </c>
      <c r="B4331" s="330"/>
      <c r="C4331" s="334"/>
      <c r="D4331" s="188" t="s">
        <v>25266</v>
      </c>
      <c r="E4331" s="189" t="s">
        <v>25267</v>
      </c>
      <c r="F4331" s="162" t="s">
        <v>25268</v>
      </c>
      <c r="G4331" s="162" t="s">
        <v>25269</v>
      </c>
      <c r="H4331" s="219"/>
      <c r="I4331" s="169">
        <v>206391</v>
      </c>
      <c r="J4331" s="304" t="str">
        <f>CONCATENATE([2]Cover!$D$6,"fdd/view?i=",I4331)</f>
        <v>https://www.dgiwg.org/FAD/fdd/view?i=206391</v>
      </c>
      <c r="K4331" s="304" t="s">
        <v>38380</v>
      </c>
      <c r="L4331" s="188">
        <v>103</v>
      </c>
      <c r="M4331" s="179" t="s">
        <v>1295</v>
      </c>
    </row>
    <row r="4332" spans="1:13" ht="38.25">
      <c r="A4332" s="313" t="str">
        <f t="shared" si="67"/>
        <v>MarineSpeciesCode_pacificSaury</v>
      </c>
      <c r="B4332" s="330"/>
      <c r="C4332" s="334"/>
      <c r="D4332" s="188" t="s">
        <v>25270</v>
      </c>
      <c r="E4332" s="189" t="s">
        <v>25271</v>
      </c>
      <c r="F4332" s="162" t="s">
        <v>25272</v>
      </c>
      <c r="G4332" s="162" t="s">
        <v>25273</v>
      </c>
      <c r="H4332" s="219"/>
      <c r="I4332" s="169">
        <v>206392</v>
      </c>
      <c r="J4332" s="304" t="str">
        <f>CONCATENATE([2]Cover!$D$6,"fdd/view?i=",I4332)</f>
        <v>https://www.dgiwg.org/FAD/fdd/view?i=206392</v>
      </c>
      <c r="K4332" s="304" t="s">
        <v>38381</v>
      </c>
      <c r="L4332" s="188">
        <v>104</v>
      </c>
      <c r="M4332" s="179" t="s">
        <v>1295</v>
      </c>
    </row>
    <row r="4333" spans="1:13" ht="51">
      <c r="A4333" s="313" t="str">
        <f t="shared" si="67"/>
        <v>MarineSpeciesCode_pacificSierra</v>
      </c>
      <c r="B4333" s="330"/>
      <c r="C4333" s="334"/>
      <c r="D4333" s="188" t="s">
        <v>25274</v>
      </c>
      <c r="E4333" s="189" t="s">
        <v>25275</v>
      </c>
      <c r="F4333" s="162" t="s">
        <v>25276</v>
      </c>
      <c r="G4333" s="162" t="s">
        <v>25277</v>
      </c>
      <c r="H4333" s="221" t="s">
        <v>25278</v>
      </c>
      <c r="I4333" s="169">
        <v>206394</v>
      </c>
      <c r="J4333" s="304" t="str">
        <f>CONCATENATE([2]Cover!$D$6,"fdd/view?i=",I4333)</f>
        <v>https://www.dgiwg.org/FAD/fdd/view?i=206394</v>
      </c>
      <c r="K4333" s="304" t="s">
        <v>38382</v>
      </c>
      <c r="L4333" s="188">
        <v>106</v>
      </c>
      <c r="M4333" s="179" t="s">
        <v>1295</v>
      </c>
    </row>
    <row r="4334" spans="1:13" ht="25.5">
      <c r="A4334" s="313" t="str">
        <f t="shared" si="67"/>
        <v>MarineSpeciesCode_pacificTripletail</v>
      </c>
      <c r="B4334" s="330"/>
      <c r="C4334" s="334"/>
      <c r="D4334" s="188" t="s">
        <v>25279</v>
      </c>
      <c r="E4334" s="189" t="s">
        <v>25280</v>
      </c>
      <c r="F4334" s="162" t="s">
        <v>25281</v>
      </c>
      <c r="G4334" s="162" t="s">
        <v>25282</v>
      </c>
      <c r="H4334" s="219"/>
      <c r="I4334" s="169">
        <v>206393</v>
      </c>
      <c r="J4334" s="304" t="str">
        <f>CONCATENATE([2]Cover!$D$6,"fdd/view?i=",I4334)</f>
        <v>https://www.dgiwg.org/FAD/fdd/view?i=206393</v>
      </c>
      <c r="K4334" s="304" t="s">
        <v>38383</v>
      </c>
      <c r="L4334" s="188">
        <v>105</v>
      </c>
      <c r="M4334" s="179" t="s">
        <v>1295</v>
      </c>
    </row>
    <row r="4335" spans="1:13" ht="51">
      <c r="A4335" s="313" t="str">
        <f t="shared" si="67"/>
        <v>MarineSpeciesCode_pinkEarEmperor</v>
      </c>
      <c r="B4335" s="330"/>
      <c r="C4335" s="334"/>
      <c r="D4335" s="188" t="s">
        <v>25283</v>
      </c>
      <c r="E4335" s="189" t="s">
        <v>25284</v>
      </c>
      <c r="F4335" s="162" t="s">
        <v>25285</v>
      </c>
      <c r="G4335" s="162" t="s">
        <v>25286</v>
      </c>
      <c r="H4335" s="221" t="s">
        <v>25287</v>
      </c>
      <c r="I4335" s="169">
        <v>206395</v>
      </c>
      <c r="J4335" s="304" t="str">
        <f>CONCATENATE([2]Cover!$D$6,"fdd/view?i=",I4335)</f>
        <v>https://www.dgiwg.org/FAD/fdd/view?i=206395</v>
      </c>
      <c r="K4335" s="304" t="s">
        <v>38384</v>
      </c>
      <c r="L4335" s="188">
        <v>107</v>
      </c>
      <c r="M4335" s="179" t="s">
        <v>1295</v>
      </c>
    </row>
    <row r="4336" spans="1:13" ht="63.75">
      <c r="A4336" s="313" t="str">
        <f t="shared" si="67"/>
        <v>MarineSpeciesCode_polarCod</v>
      </c>
      <c r="B4336" s="330"/>
      <c r="C4336" s="334"/>
      <c r="D4336" s="188" t="s">
        <v>25288</v>
      </c>
      <c r="E4336" s="189" t="s">
        <v>25289</v>
      </c>
      <c r="F4336" s="162" t="s">
        <v>25290</v>
      </c>
      <c r="G4336" s="162" t="s">
        <v>25291</v>
      </c>
      <c r="H4336" s="221" t="s">
        <v>25292</v>
      </c>
      <c r="I4336" s="169">
        <v>206396</v>
      </c>
      <c r="J4336" s="304" t="str">
        <f>CONCATENATE([2]Cover!$D$6,"fdd/view?i=",I4336)</f>
        <v>https://www.dgiwg.org/FAD/fdd/view?i=206396</v>
      </c>
      <c r="K4336" s="304" t="s">
        <v>38385</v>
      </c>
      <c r="L4336" s="188">
        <v>108</v>
      </c>
      <c r="M4336" s="179" t="s">
        <v>1295</v>
      </c>
    </row>
    <row r="4337" spans="1:13" ht="51">
      <c r="A4337" s="313" t="str">
        <f t="shared" si="67"/>
        <v>MarineSpeciesCode_redEyeRoundHerring</v>
      </c>
      <c r="B4337" s="330"/>
      <c r="C4337" s="334"/>
      <c r="D4337" s="188" t="s">
        <v>25302</v>
      </c>
      <c r="E4337" s="189" t="s">
        <v>25303</v>
      </c>
      <c r="F4337" s="162" t="s">
        <v>25304</v>
      </c>
      <c r="G4337" s="162" t="s">
        <v>25305</v>
      </c>
      <c r="H4337" s="219"/>
      <c r="I4337" s="169">
        <v>206399</v>
      </c>
      <c r="J4337" s="304" t="str">
        <f>CONCATENATE([2]Cover!$D$6,"fdd/view?i=",I4337)</f>
        <v>https://www.dgiwg.org/FAD/fdd/view?i=206399</v>
      </c>
      <c r="K4337" s="304" t="s">
        <v>38386</v>
      </c>
      <c r="L4337" s="188">
        <v>111</v>
      </c>
      <c r="M4337" s="179" t="s">
        <v>1295</v>
      </c>
    </row>
    <row r="4338" spans="1:13" ht="63.75">
      <c r="A4338" s="313" t="str">
        <f t="shared" si="67"/>
        <v>MarineSpeciesCode_redKingCrab</v>
      </c>
      <c r="B4338" s="330"/>
      <c r="C4338" s="334"/>
      <c r="D4338" s="188" t="s">
        <v>25293</v>
      </c>
      <c r="E4338" s="189" t="s">
        <v>25294</v>
      </c>
      <c r="F4338" s="162" t="s">
        <v>25295</v>
      </c>
      <c r="G4338" s="162" t="s">
        <v>25296</v>
      </c>
      <c r="H4338" s="219"/>
      <c r="I4338" s="169">
        <v>206397</v>
      </c>
      <c r="J4338" s="304" t="str">
        <f>CONCATENATE([2]Cover!$D$6,"fdd/view?i=",I4338)</f>
        <v>https://www.dgiwg.org/FAD/fdd/view?i=206397</v>
      </c>
      <c r="K4338" s="304" t="s">
        <v>38387</v>
      </c>
      <c r="L4338" s="188">
        <v>109</v>
      </c>
      <c r="M4338" s="179" t="s">
        <v>1295</v>
      </c>
    </row>
    <row r="4339" spans="1:13" ht="38.25">
      <c r="A4339" s="313" t="str">
        <f t="shared" si="67"/>
        <v>MarineSpeciesCode_redSeacatfish</v>
      </c>
      <c r="B4339" s="330"/>
      <c r="C4339" s="334"/>
      <c r="D4339" s="188" t="s">
        <v>25297</v>
      </c>
      <c r="E4339" s="189" t="s">
        <v>25298</v>
      </c>
      <c r="F4339" s="162" t="s">
        <v>25299</v>
      </c>
      <c r="G4339" s="162" t="s">
        <v>25300</v>
      </c>
      <c r="H4339" s="221" t="s">
        <v>25301</v>
      </c>
      <c r="I4339" s="169">
        <v>206398</v>
      </c>
      <c r="J4339" s="304" t="str">
        <f>CONCATENATE([2]Cover!$D$6,"fdd/view?i=",I4339)</f>
        <v>https://www.dgiwg.org/FAD/fdd/view?i=206398</v>
      </c>
      <c r="K4339" s="304" t="s">
        <v>38388</v>
      </c>
      <c r="L4339" s="188">
        <v>110</v>
      </c>
      <c r="M4339" s="179" t="s">
        <v>1295</v>
      </c>
    </row>
    <row r="4340" spans="1:13" ht="25.5">
      <c r="A4340" s="313" t="str">
        <f t="shared" si="67"/>
        <v>MarineSpeciesCode_roundnoseGrenadier</v>
      </c>
      <c r="B4340" s="330"/>
      <c r="C4340" s="334"/>
      <c r="D4340" s="188" t="s">
        <v>25306</v>
      </c>
      <c r="E4340" s="189" t="s">
        <v>25307</v>
      </c>
      <c r="F4340" s="162" t="s">
        <v>25308</v>
      </c>
      <c r="G4340" s="162" t="s">
        <v>25309</v>
      </c>
      <c r="H4340" s="221" t="s">
        <v>25310</v>
      </c>
      <c r="I4340" s="169">
        <v>206400</v>
      </c>
      <c r="J4340" s="304" t="str">
        <f>CONCATENATE([2]Cover!$D$6,"fdd/view?i=",I4340)</f>
        <v>https://www.dgiwg.org/FAD/fdd/view?i=206400</v>
      </c>
      <c r="K4340" s="304" t="s">
        <v>38389</v>
      </c>
      <c r="L4340" s="188">
        <v>112</v>
      </c>
      <c r="M4340" s="179" t="s">
        <v>1295</v>
      </c>
    </row>
    <row r="4341" spans="1:13" ht="38.25">
      <c r="A4341" s="313" t="str">
        <f t="shared" si="67"/>
        <v>MarineSpeciesCode_saffronCod</v>
      </c>
      <c r="B4341" s="330"/>
      <c r="C4341" s="334"/>
      <c r="D4341" s="188" t="s">
        <v>25311</v>
      </c>
      <c r="E4341" s="189" t="s">
        <v>25312</v>
      </c>
      <c r="F4341" s="162" t="s">
        <v>25313</v>
      </c>
      <c r="G4341" s="162" t="s">
        <v>25314</v>
      </c>
      <c r="H4341" s="219"/>
      <c r="I4341" s="169">
        <v>206401</v>
      </c>
      <c r="J4341" s="304" t="str">
        <f>CONCATENATE([2]Cover!$D$6,"fdd/view?i=",I4341)</f>
        <v>https://www.dgiwg.org/FAD/fdd/view?i=206401</v>
      </c>
      <c r="K4341" s="304" t="s">
        <v>38390</v>
      </c>
      <c r="L4341" s="188">
        <v>113</v>
      </c>
      <c r="M4341" s="179" t="s">
        <v>1295</v>
      </c>
    </row>
    <row r="4342" spans="1:13" ht="38.25">
      <c r="A4342" s="313" t="str">
        <f t="shared" si="67"/>
        <v>MarineSpeciesCode_saithe</v>
      </c>
      <c r="B4342" s="330"/>
      <c r="C4342" s="334"/>
      <c r="D4342" s="188" t="s">
        <v>25315</v>
      </c>
      <c r="E4342" s="189" t="s">
        <v>25316</v>
      </c>
      <c r="F4342" s="162" t="s">
        <v>25317</v>
      </c>
      <c r="G4342" s="162" t="s">
        <v>25318</v>
      </c>
      <c r="H4342" s="221" t="s">
        <v>25319</v>
      </c>
      <c r="I4342" s="169">
        <v>206402</v>
      </c>
      <c r="J4342" s="304" t="str">
        <f>CONCATENATE([2]Cover!$D$6,"fdd/view?i=",I4342)</f>
        <v>https://www.dgiwg.org/FAD/fdd/view?i=206402</v>
      </c>
      <c r="K4342" s="304" t="s">
        <v>38391</v>
      </c>
      <c r="L4342" s="188">
        <v>114</v>
      </c>
      <c r="M4342" s="179" t="s">
        <v>1295</v>
      </c>
    </row>
    <row r="4343" spans="1:13" ht="38.25">
      <c r="A4343" s="313" t="str">
        <f t="shared" si="67"/>
        <v>MarineSpeciesCode_shortfinMako</v>
      </c>
      <c r="B4343" s="330"/>
      <c r="C4343" s="334"/>
      <c r="D4343" s="188" t="s">
        <v>25325</v>
      </c>
      <c r="E4343" s="189" t="s">
        <v>25326</v>
      </c>
      <c r="F4343" s="162" t="s">
        <v>25327</v>
      </c>
      <c r="G4343" s="162" t="s">
        <v>25328</v>
      </c>
      <c r="H4343" s="221" t="s">
        <v>25329</v>
      </c>
      <c r="I4343" s="169">
        <v>206404</v>
      </c>
      <c r="J4343" s="304" t="str">
        <f>CONCATENATE([2]Cover!$D$6,"fdd/view?i=",I4343)</f>
        <v>https://www.dgiwg.org/FAD/fdd/view?i=206404</v>
      </c>
      <c r="K4343" s="304" t="s">
        <v>38392</v>
      </c>
      <c r="L4343" s="188">
        <v>116</v>
      </c>
      <c r="M4343" s="179" t="s">
        <v>1295</v>
      </c>
    </row>
    <row r="4344" spans="1:13" ht="51">
      <c r="A4344" s="313" t="str">
        <f t="shared" si="67"/>
        <v>MarineSpeciesCode_shortMackerel</v>
      </c>
      <c r="B4344" s="330"/>
      <c r="C4344" s="334"/>
      <c r="D4344" s="188" t="s">
        <v>25320</v>
      </c>
      <c r="E4344" s="189" t="s">
        <v>25321</v>
      </c>
      <c r="F4344" s="162" t="s">
        <v>25322</v>
      </c>
      <c r="G4344" s="162" t="s">
        <v>25323</v>
      </c>
      <c r="H4344" s="221" t="s">
        <v>25324</v>
      </c>
      <c r="I4344" s="169">
        <v>206403</v>
      </c>
      <c r="J4344" s="304" t="str">
        <f>CONCATENATE([2]Cover!$D$6,"fdd/view?i=",I4344)</f>
        <v>https://www.dgiwg.org/FAD/fdd/view?i=206403</v>
      </c>
      <c r="K4344" s="304" t="s">
        <v>38393</v>
      </c>
      <c r="L4344" s="188">
        <v>115</v>
      </c>
      <c r="M4344" s="179" t="s">
        <v>1295</v>
      </c>
    </row>
    <row r="4345" spans="1:13" ht="25.5">
      <c r="A4345" s="313" t="str">
        <f t="shared" si="67"/>
        <v>MarineSpeciesCode_silkyShark</v>
      </c>
      <c r="B4345" s="330"/>
      <c r="C4345" s="334"/>
      <c r="D4345" s="188" t="s">
        <v>25330</v>
      </c>
      <c r="E4345" s="189" t="s">
        <v>25331</v>
      </c>
      <c r="F4345" s="162" t="s">
        <v>25332</v>
      </c>
      <c r="G4345" s="162" t="s">
        <v>25333</v>
      </c>
      <c r="H4345" s="219"/>
      <c r="I4345" s="169">
        <v>206405</v>
      </c>
      <c r="J4345" s="304" t="str">
        <f>CONCATENATE([2]Cover!$D$6,"fdd/view?i=",I4345)</f>
        <v>https://www.dgiwg.org/FAD/fdd/view?i=206405</v>
      </c>
      <c r="K4345" s="304" t="s">
        <v>38394</v>
      </c>
      <c r="L4345" s="188">
        <v>117</v>
      </c>
      <c r="M4345" s="179" t="s">
        <v>1295</v>
      </c>
    </row>
    <row r="4346" spans="1:13" ht="25.5">
      <c r="A4346" s="313" t="str">
        <f t="shared" si="67"/>
        <v>MarineSpeciesCode_silverPomfret</v>
      </c>
      <c r="B4346" s="330"/>
      <c r="C4346" s="334"/>
      <c r="D4346" s="188" t="s">
        <v>25334</v>
      </c>
      <c r="E4346" s="189" t="s">
        <v>25335</v>
      </c>
      <c r="F4346" s="162" t="s">
        <v>25336</v>
      </c>
      <c r="G4346" s="162" t="s">
        <v>25337</v>
      </c>
      <c r="H4346" s="221" t="s">
        <v>25338</v>
      </c>
      <c r="I4346" s="169">
        <v>206406</v>
      </c>
      <c r="J4346" s="304" t="str">
        <f>CONCATENATE([2]Cover!$D$6,"fdd/view?i=",I4346)</f>
        <v>https://www.dgiwg.org/FAD/fdd/view?i=206406</v>
      </c>
      <c r="K4346" s="304" t="s">
        <v>38395</v>
      </c>
      <c r="L4346" s="188">
        <v>118</v>
      </c>
      <c r="M4346" s="179" t="s">
        <v>1295</v>
      </c>
    </row>
    <row r="4347" spans="1:13" ht="76.5">
      <c r="A4347" s="313" t="str">
        <f t="shared" si="67"/>
        <v>MarineSpeciesCode_skipjackTuna</v>
      </c>
      <c r="B4347" s="330"/>
      <c r="C4347" s="334"/>
      <c r="D4347" s="188" t="s">
        <v>25339</v>
      </c>
      <c r="E4347" s="189" t="s">
        <v>25340</v>
      </c>
      <c r="F4347" s="162" t="s">
        <v>25341</v>
      </c>
      <c r="G4347" s="162" t="s">
        <v>25342</v>
      </c>
      <c r="H4347" s="221" t="s">
        <v>25343</v>
      </c>
      <c r="I4347" s="169">
        <v>206407</v>
      </c>
      <c r="J4347" s="304" t="str">
        <f>CONCATENATE([2]Cover!$D$6,"fdd/view?i=",I4347)</f>
        <v>https://www.dgiwg.org/FAD/fdd/view?i=206407</v>
      </c>
      <c r="K4347" s="304" t="s">
        <v>38396</v>
      </c>
      <c r="L4347" s="188">
        <v>119</v>
      </c>
      <c r="M4347" s="179" t="s">
        <v>1295</v>
      </c>
    </row>
    <row r="4348" spans="1:13" ht="25.5">
      <c r="A4348" s="313" t="str">
        <f t="shared" si="67"/>
        <v>MarineSpeciesCode_slenderRainbowSardine</v>
      </c>
      <c r="B4348" s="330"/>
      <c r="C4348" s="334"/>
      <c r="D4348" s="188" t="s">
        <v>25344</v>
      </c>
      <c r="E4348" s="189" t="s">
        <v>25345</v>
      </c>
      <c r="F4348" s="162" t="s">
        <v>25346</v>
      </c>
      <c r="G4348" s="162" t="s">
        <v>25347</v>
      </c>
      <c r="H4348" s="219"/>
      <c r="I4348" s="169">
        <v>206408</v>
      </c>
      <c r="J4348" s="304" t="str">
        <f>CONCATENATE([2]Cover!$D$6,"fdd/view?i=",I4348)</f>
        <v>https://www.dgiwg.org/FAD/fdd/view?i=206408</v>
      </c>
      <c r="K4348" s="304" t="s">
        <v>38397</v>
      </c>
      <c r="L4348" s="188">
        <v>120</v>
      </c>
      <c r="M4348" s="179" t="s">
        <v>1295</v>
      </c>
    </row>
    <row r="4349" spans="1:13" ht="25.5">
      <c r="A4349" s="313" t="str">
        <f t="shared" si="67"/>
        <v>MarineSpeciesCode_smallSandeelSandlance</v>
      </c>
      <c r="B4349" s="330"/>
      <c r="C4349" s="334"/>
      <c r="D4349" s="188" t="s">
        <v>25348</v>
      </c>
      <c r="E4349" s="189" t="s">
        <v>25349</v>
      </c>
      <c r="F4349" s="162" t="s">
        <v>25350</v>
      </c>
      <c r="G4349" s="162" t="s">
        <v>25351</v>
      </c>
      <c r="H4349" s="221" t="s">
        <v>25352</v>
      </c>
      <c r="I4349" s="169">
        <v>206409</v>
      </c>
      <c r="J4349" s="304" t="str">
        <f>CONCATENATE([2]Cover!$D$6,"fdd/view?i=",I4349)</f>
        <v>https://www.dgiwg.org/FAD/fdd/view?i=206409</v>
      </c>
      <c r="K4349" s="304" t="s">
        <v>38398</v>
      </c>
      <c r="L4349" s="188">
        <v>121</v>
      </c>
      <c r="M4349" s="179" t="s">
        <v>1295</v>
      </c>
    </row>
    <row r="4350" spans="1:13" ht="76.5">
      <c r="A4350" s="313" t="str">
        <f t="shared" si="67"/>
        <v>MarineSpeciesCode_smallSpottedCatshark</v>
      </c>
      <c r="B4350" s="330"/>
      <c r="C4350" s="334"/>
      <c r="D4350" s="188" t="s">
        <v>25353</v>
      </c>
      <c r="E4350" s="189" t="s">
        <v>25354</v>
      </c>
      <c r="F4350" s="162" t="s">
        <v>25355</v>
      </c>
      <c r="G4350" s="162" t="s">
        <v>25356</v>
      </c>
      <c r="H4350" s="221" t="s">
        <v>25357</v>
      </c>
      <c r="I4350" s="169">
        <v>206410</v>
      </c>
      <c r="J4350" s="304" t="str">
        <f>CONCATENATE([2]Cover!$D$6,"fdd/view?i=",I4350)</f>
        <v>https://www.dgiwg.org/FAD/fdd/view?i=206410</v>
      </c>
      <c r="K4350" s="304" t="s">
        <v>38399</v>
      </c>
      <c r="L4350" s="188">
        <v>122</v>
      </c>
      <c r="M4350" s="179" t="s">
        <v>1295</v>
      </c>
    </row>
    <row r="4351" spans="1:13" ht="25.5">
      <c r="A4351" s="313" t="str">
        <f t="shared" si="67"/>
        <v>MarineSpeciesCode_snubnoseEmperor</v>
      </c>
      <c r="B4351" s="330"/>
      <c r="C4351" s="334"/>
      <c r="D4351" s="188" t="s">
        <v>25358</v>
      </c>
      <c r="E4351" s="189" t="s">
        <v>25359</v>
      </c>
      <c r="F4351" s="162" t="s">
        <v>25360</v>
      </c>
      <c r="G4351" s="190"/>
      <c r="H4351" s="221" t="s">
        <v>25361</v>
      </c>
      <c r="I4351" s="169">
        <v>206411</v>
      </c>
      <c r="J4351" s="304" t="str">
        <f>CONCATENATE([2]Cover!$D$6,"fdd/view?i=",I4351)</f>
        <v>https://www.dgiwg.org/FAD/fdd/view?i=206411</v>
      </c>
      <c r="K4351" s="304" t="s">
        <v>38400</v>
      </c>
      <c r="L4351" s="188">
        <v>123</v>
      </c>
      <c r="M4351" s="179" t="s">
        <v>1295</v>
      </c>
    </row>
    <row r="4352" spans="1:13" ht="38.25">
      <c r="A4352" s="313" t="str">
        <f t="shared" si="67"/>
        <v>MarineSpeciesCode_spottailShark</v>
      </c>
      <c r="B4352" s="330"/>
      <c r="C4352" s="334"/>
      <c r="D4352" s="188" t="s">
        <v>25362</v>
      </c>
      <c r="E4352" s="189" t="s">
        <v>25363</v>
      </c>
      <c r="F4352" s="162" t="s">
        <v>25364</v>
      </c>
      <c r="G4352" s="162" t="s">
        <v>25365</v>
      </c>
      <c r="H4352" s="219"/>
      <c r="I4352" s="169">
        <v>206412</v>
      </c>
      <c r="J4352" s="304" t="str">
        <f>CONCATENATE([2]Cover!$D$6,"fdd/view?i=",I4352)</f>
        <v>https://www.dgiwg.org/FAD/fdd/view?i=206412</v>
      </c>
      <c r="K4352" s="304" t="s">
        <v>38401</v>
      </c>
      <c r="L4352" s="188">
        <v>124</v>
      </c>
      <c r="M4352" s="179" t="s">
        <v>1295</v>
      </c>
    </row>
    <row r="4353" spans="1:13" ht="25.5">
      <c r="A4353" s="313" t="str">
        <f t="shared" si="67"/>
        <v>MarineSpeciesCode_spottedRoseSnapper</v>
      </c>
      <c r="B4353" s="330"/>
      <c r="C4353" s="334"/>
      <c r="D4353" s="188" t="s">
        <v>25366</v>
      </c>
      <c r="E4353" s="189" t="s">
        <v>25367</v>
      </c>
      <c r="F4353" s="162" t="s">
        <v>25368</v>
      </c>
      <c r="G4353" s="162" t="s">
        <v>25369</v>
      </c>
      <c r="H4353" s="219"/>
      <c r="I4353" s="169">
        <v>206413</v>
      </c>
      <c r="J4353" s="304" t="str">
        <f>CONCATENATE([2]Cover!$D$6,"fdd/view?i=",I4353)</f>
        <v>https://www.dgiwg.org/FAD/fdd/view?i=206413</v>
      </c>
      <c r="K4353" s="304" t="s">
        <v>38402</v>
      </c>
      <c r="L4353" s="188">
        <v>125</v>
      </c>
      <c r="M4353" s="179" t="s">
        <v>1295</v>
      </c>
    </row>
    <row r="4354" spans="1:13" ht="25.5">
      <c r="A4354" s="313" t="str">
        <f t="shared" si="67"/>
        <v>MarineSpeciesCode_stripedMarlin</v>
      </c>
      <c r="B4354" s="330"/>
      <c r="C4354" s="334"/>
      <c r="D4354" s="188" t="s">
        <v>25370</v>
      </c>
      <c r="E4354" s="189" t="s">
        <v>25371</v>
      </c>
      <c r="F4354" s="162" t="s">
        <v>25372</v>
      </c>
      <c r="G4354" s="162" t="s">
        <v>25373</v>
      </c>
      <c r="H4354" s="219"/>
      <c r="I4354" s="169">
        <v>206414</v>
      </c>
      <c r="J4354" s="304" t="str">
        <f>CONCATENATE([2]Cover!$D$6,"fdd/view?i=",I4354)</f>
        <v>https://www.dgiwg.org/FAD/fdd/view?i=206414</v>
      </c>
      <c r="K4354" s="304" t="s">
        <v>38403</v>
      </c>
      <c r="L4354" s="188">
        <v>126</v>
      </c>
      <c r="M4354" s="179" t="s">
        <v>1295</v>
      </c>
    </row>
    <row r="4355" spans="1:13" ht="25.5">
      <c r="A4355" s="313" t="str">
        <f t="shared" ref="A4355:A4418" si="68">HYPERLINK(J4355,K4355)</f>
        <v>MarineSpeciesCode_swordfish</v>
      </c>
      <c r="B4355" s="330"/>
      <c r="C4355" s="334"/>
      <c r="D4355" s="188" t="s">
        <v>25374</v>
      </c>
      <c r="E4355" s="189" t="s">
        <v>25375</v>
      </c>
      <c r="F4355" s="162" t="s">
        <v>25376</v>
      </c>
      <c r="G4355" s="190"/>
      <c r="H4355" s="221" t="s">
        <v>25377</v>
      </c>
      <c r="I4355" s="169">
        <v>206415</v>
      </c>
      <c r="J4355" s="304" t="str">
        <f>CONCATENATE([2]Cover!$D$6,"fdd/view?i=",I4355)</f>
        <v>https://www.dgiwg.org/FAD/fdd/view?i=206415</v>
      </c>
      <c r="K4355" s="304" t="s">
        <v>38404</v>
      </c>
      <c r="L4355" s="188">
        <v>127</v>
      </c>
      <c r="M4355" s="179" t="s">
        <v>1295</v>
      </c>
    </row>
    <row r="4356" spans="1:13" ht="38.25">
      <c r="A4356" s="313" t="str">
        <f t="shared" si="68"/>
        <v>MarineSpeciesCode_talangQueenfish</v>
      </c>
      <c r="B4356" s="330"/>
      <c r="C4356" s="334"/>
      <c r="D4356" s="188" t="s">
        <v>25378</v>
      </c>
      <c r="E4356" s="189" t="s">
        <v>25379</v>
      </c>
      <c r="F4356" s="162" t="s">
        <v>25380</v>
      </c>
      <c r="G4356" s="162" t="s">
        <v>25381</v>
      </c>
      <c r="H4356" s="219"/>
      <c r="I4356" s="169">
        <v>206416</v>
      </c>
      <c r="J4356" s="304" t="str">
        <f>CONCATENATE([2]Cover!$D$6,"fdd/view?i=",I4356)</f>
        <v>https://www.dgiwg.org/FAD/fdd/view?i=206416</v>
      </c>
      <c r="K4356" s="304" t="s">
        <v>38405</v>
      </c>
      <c r="L4356" s="188">
        <v>128</v>
      </c>
      <c r="M4356" s="179" t="s">
        <v>1295</v>
      </c>
    </row>
    <row r="4357" spans="1:13" ht="25.5">
      <c r="A4357" s="313" t="str">
        <f t="shared" si="68"/>
        <v>MarineSpeciesCode_thresher</v>
      </c>
      <c r="B4357" s="330"/>
      <c r="C4357" s="334"/>
      <c r="D4357" s="188" t="s">
        <v>25382</v>
      </c>
      <c r="E4357" s="189" t="s">
        <v>25383</v>
      </c>
      <c r="F4357" s="162" t="s">
        <v>25384</v>
      </c>
      <c r="G4357" s="162" t="s">
        <v>25385</v>
      </c>
      <c r="H4357" s="221" t="s">
        <v>25386</v>
      </c>
      <c r="I4357" s="169">
        <v>206417</v>
      </c>
      <c r="J4357" s="304" t="str">
        <f>CONCATENATE([2]Cover!$D$6,"fdd/view?i=",I4357)</f>
        <v>https://www.dgiwg.org/FAD/fdd/view?i=206417</v>
      </c>
      <c r="K4357" s="304" t="s">
        <v>38406</v>
      </c>
      <c r="L4357" s="188">
        <v>129</v>
      </c>
      <c r="M4357" s="179" t="s">
        <v>1295</v>
      </c>
    </row>
    <row r="4358" spans="1:13" ht="51">
      <c r="A4358" s="313" t="str">
        <f t="shared" si="68"/>
        <v>MarineSpeciesCode_tigertoothCroaker</v>
      </c>
      <c r="B4358" s="330"/>
      <c r="C4358" s="334"/>
      <c r="D4358" s="188" t="s">
        <v>25387</v>
      </c>
      <c r="E4358" s="189" t="s">
        <v>25388</v>
      </c>
      <c r="F4358" s="162" t="s">
        <v>25389</v>
      </c>
      <c r="G4358" s="162" t="s">
        <v>25390</v>
      </c>
      <c r="H4358" s="221" t="s">
        <v>25391</v>
      </c>
      <c r="I4358" s="169">
        <v>206418</v>
      </c>
      <c r="J4358" s="304" t="str">
        <f>CONCATENATE([2]Cover!$D$6,"fdd/view?i=",I4358)</f>
        <v>https://www.dgiwg.org/FAD/fdd/view?i=206418</v>
      </c>
      <c r="K4358" s="304" t="s">
        <v>38407</v>
      </c>
      <c r="L4358" s="188">
        <v>130</v>
      </c>
      <c r="M4358" s="179" t="s">
        <v>1295</v>
      </c>
    </row>
    <row r="4359" spans="1:13" ht="63.75">
      <c r="A4359" s="313" t="str">
        <f t="shared" si="68"/>
        <v>MarineSpeciesCode_torpedoScad</v>
      </c>
      <c r="B4359" s="330"/>
      <c r="C4359" s="334"/>
      <c r="D4359" s="188" t="s">
        <v>25392</v>
      </c>
      <c r="E4359" s="189" t="s">
        <v>25393</v>
      </c>
      <c r="F4359" s="162" t="s">
        <v>25394</v>
      </c>
      <c r="G4359" s="162" t="s">
        <v>25395</v>
      </c>
      <c r="H4359" s="221" t="s">
        <v>25396</v>
      </c>
      <c r="I4359" s="169">
        <v>206419</v>
      </c>
      <c r="J4359" s="304" t="str">
        <f>CONCATENATE([2]Cover!$D$6,"fdd/view?i=",I4359)</f>
        <v>https://www.dgiwg.org/FAD/fdd/view?i=206419</v>
      </c>
      <c r="K4359" s="304" t="s">
        <v>38408</v>
      </c>
      <c r="L4359" s="188">
        <v>131</v>
      </c>
      <c r="M4359" s="179" t="s">
        <v>1295</v>
      </c>
    </row>
    <row r="4360" spans="1:13" ht="38.25">
      <c r="A4360" s="313" t="str">
        <f t="shared" si="68"/>
        <v>MarineSpeciesCode_tubGurnard</v>
      </c>
      <c r="B4360" s="330"/>
      <c r="C4360" s="334"/>
      <c r="D4360" s="188" t="s">
        <v>25397</v>
      </c>
      <c r="E4360" s="189" t="s">
        <v>25398</v>
      </c>
      <c r="F4360" s="162" t="s">
        <v>25399</v>
      </c>
      <c r="G4360" s="162" t="s">
        <v>25400</v>
      </c>
      <c r="H4360" s="219"/>
      <c r="I4360" s="169">
        <v>206420</v>
      </c>
      <c r="J4360" s="304" t="str">
        <f>CONCATENATE([2]Cover!$D$6,"fdd/view?i=",I4360)</f>
        <v>https://www.dgiwg.org/FAD/fdd/view?i=206420</v>
      </c>
      <c r="K4360" s="304" t="s">
        <v>38409</v>
      </c>
      <c r="L4360" s="188">
        <v>132</v>
      </c>
      <c r="M4360" s="179" t="s">
        <v>1295</v>
      </c>
    </row>
    <row r="4361" spans="1:13" ht="38.25">
      <c r="A4361" s="313" t="str">
        <f t="shared" si="68"/>
        <v>MarineSpeciesCode_turbot</v>
      </c>
      <c r="B4361" s="330"/>
      <c r="C4361" s="334"/>
      <c r="D4361" s="188" t="s">
        <v>25401</v>
      </c>
      <c r="E4361" s="189" t="s">
        <v>25402</v>
      </c>
      <c r="F4361" s="162" t="s">
        <v>25403</v>
      </c>
      <c r="G4361" s="162" t="s">
        <v>25404</v>
      </c>
      <c r="H4361" s="219"/>
      <c r="I4361" s="169">
        <v>206421</v>
      </c>
      <c r="J4361" s="304" t="str">
        <f>CONCATENATE([2]Cover!$D$6,"fdd/view?i=",I4361)</f>
        <v>https://www.dgiwg.org/FAD/fdd/view?i=206421</v>
      </c>
      <c r="K4361" s="304" t="s">
        <v>38410</v>
      </c>
      <c r="L4361" s="188">
        <v>133</v>
      </c>
      <c r="M4361" s="179" t="s">
        <v>1295</v>
      </c>
    </row>
    <row r="4362" spans="1:13" ht="38.25">
      <c r="A4362" s="313" t="str">
        <f t="shared" si="68"/>
        <v>MarineSpeciesCode_tusk</v>
      </c>
      <c r="B4362" s="330"/>
      <c r="C4362" s="334"/>
      <c r="D4362" s="188" t="s">
        <v>25405</v>
      </c>
      <c r="E4362" s="189" t="s">
        <v>25406</v>
      </c>
      <c r="F4362" s="162" t="s">
        <v>25407</v>
      </c>
      <c r="G4362" s="162" t="s">
        <v>25408</v>
      </c>
      <c r="H4362" s="221" t="s">
        <v>25409</v>
      </c>
      <c r="I4362" s="169">
        <v>206422</v>
      </c>
      <c r="J4362" s="304" t="str">
        <f>CONCATENATE([2]Cover!$D$6,"fdd/view?i=",I4362)</f>
        <v>https://www.dgiwg.org/FAD/fdd/view?i=206422</v>
      </c>
      <c r="K4362" s="304" t="s">
        <v>38411</v>
      </c>
      <c r="L4362" s="188">
        <v>134</v>
      </c>
      <c r="M4362" s="179" t="s">
        <v>1295</v>
      </c>
    </row>
    <row r="4363" spans="1:13" ht="51">
      <c r="A4363" s="313" t="str">
        <f t="shared" si="68"/>
        <v>MarineSpeciesCode_twobarSeabream</v>
      </c>
      <c r="B4363" s="330"/>
      <c r="C4363" s="334"/>
      <c r="D4363" s="188" t="s">
        <v>25410</v>
      </c>
      <c r="E4363" s="189" t="s">
        <v>25411</v>
      </c>
      <c r="F4363" s="162" t="s">
        <v>25412</v>
      </c>
      <c r="G4363" s="162" t="s">
        <v>25413</v>
      </c>
      <c r="H4363" s="221" t="s">
        <v>25414</v>
      </c>
      <c r="I4363" s="169">
        <v>206423</v>
      </c>
      <c r="J4363" s="304" t="str">
        <f>CONCATENATE([2]Cover!$D$6,"fdd/view?i=",I4363)</f>
        <v>https://www.dgiwg.org/FAD/fdd/view?i=206423</v>
      </c>
      <c r="K4363" s="304" t="s">
        <v>38412</v>
      </c>
      <c r="L4363" s="188">
        <v>135</v>
      </c>
      <c r="M4363" s="179" t="s">
        <v>1295</v>
      </c>
    </row>
    <row r="4364" spans="1:13" ht="38.25">
      <c r="A4364" s="313" t="str">
        <f t="shared" si="68"/>
        <v>MarineSpeciesCode_whiteTrevally</v>
      </c>
      <c r="B4364" s="330"/>
      <c r="C4364" s="334"/>
      <c r="D4364" s="188" t="s">
        <v>25415</v>
      </c>
      <c r="E4364" s="189" t="s">
        <v>25416</v>
      </c>
      <c r="F4364" s="162" t="s">
        <v>25417</v>
      </c>
      <c r="G4364" s="162" t="s">
        <v>25418</v>
      </c>
      <c r="H4364" s="219"/>
      <c r="I4364" s="169">
        <v>206424</v>
      </c>
      <c r="J4364" s="304" t="str">
        <f>CONCATENATE([2]Cover!$D$6,"fdd/view?i=",I4364)</f>
        <v>https://www.dgiwg.org/FAD/fdd/view?i=206424</v>
      </c>
      <c r="K4364" s="304" t="s">
        <v>38413</v>
      </c>
      <c r="L4364" s="188">
        <v>136</v>
      </c>
      <c r="M4364" s="179" t="s">
        <v>1295</v>
      </c>
    </row>
    <row r="4365" spans="1:13" ht="25.5">
      <c r="A4365" s="313" t="str">
        <f t="shared" si="68"/>
        <v>MarineSpeciesCode_whiting</v>
      </c>
      <c r="B4365" s="330"/>
      <c r="C4365" s="334"/>
      <c r="D4365" s="188" t="s">
        <v>25419</v>
      </c>
      <c r="E4365" s="189" t="s">
        <v>25420</v>
      </c>
      <c r="F4365" s="162" t="s">
        <v>25421</v>
      </c>
      <c r="G4365" s="162" t="s">
        <v>25422</v>
      </c>
      <c r="H4365" s="221" t="s">
        <v>25423</v>
      </c>
      <c r="I4365" s="169">
        <v>206425</v>
      </c>
      <c r="J4365" s="304" t="str">
        <f>CONCATENATE([2]Cover!$D$6,"fdd/view?i=",I4365)</f>
        <v>https://www.dgiwg.org/FAD/fdd/view?i=206425</v>
      </c>
      <c r="K4365" s="304" t="s">
        <v>38414</v>
      </c>
      <c r="L4365" s="188">
        <v>137</v>
      </c>
      <c r="M4365" s="179" t="s">
        <v>1295</v>
      </c>
    </row>
    <row r="4366" spans="1:13" ht="25.5">
      <c r="A4366" s="313" t="str">
        <f t="shared" si="68"/>
        <v>MarineSpeciesCode_witchFlounder</v>
      </c>
      <c r="B4366" s="330"/>
      <c r="C4366" s="334"/>
      <c r="D4366" s="188" t="s">
        <v>25424</v>
      </c>
      <c r="E4366" s="189" t="s">
        <v>25425</v>
      </c>
      <c r="F4366" s="162" t="s">
        <v>25426</v>
      </c>
      <c r="G4366" s="162" t="s">
        <v>25427</v>
      </c>
      <c r="H4366" s="221" t="s">
        <v>25428</v>
      </c>
      <c r="I4366" s="169">
        <v>206426</v>
      </c>
      <c r="J4366" s="304" t="str">
        <f>CONCATENATE([2]Cover!$D$6,"fdd/view?i=",I4366)</f>
        <v>https://www.dgiwg.org/FAD/fdd/view?i=206426</v>
      </c>
      <c r="K4366" s="304" t="s">
        <v>38415</v>
      </c>
      <c r="L4366" s="188">
        <v>138</v>
      </c>
      <c r="M4366" s="179" t="s">
        <v>1295</v>
      </c>
    </row>
    <row r="4367" spans="1:13" ht="63.75">
      <c r="A4367" s="313" t="str">
        <f t="shared" si="68"/>
        <v>MarineSpeciesCode_yellowCroaker</v>
      </c>
      <c r="B4367" s="330"/>
      <c r="C4367" s="334"/>
      <c r="D4367" s="188" t="s">
        <v>25429</v>
      </c>
      <c r="E4367" s="189" t="s">
        <v>25430</v>
      </c>
      <c r="F4367" s="162" t="s">
        <v>25431</v>
      </c>
      <c r="G4367" s="162" t="s">
        <v>25432</v>
      </c>
      <c r="H4367" s="219"/>
      <c r="I4367" s="169">
        <v>206427</v>
      </c>
      <c r="J4367" s="304" t="str">
        <f>CONCATENATE([2]Cover!$D$6,"fdd/view?i=",I4367)</f>
        <v>https://www.dgiwg.org/FAD/fdd/view?i=206427</v>
      </c>
      <c r="K4367" s="304" t="s">
        <v>38416</v>
      </c>
      <c r="L4367" s="188">
        <v>139</v>
      </c>
      <c r="M4367" s="179" t="s">
        <v>1295</v>
      </c>
    </row>
    <row r="4368" spans="1:13" ht="25.5">
      <c r="A4368" s="313" t="str">
        <f t="shared" si="68"/>
        <v>MarineSpeciesCode_yellowfinTuna</v>
      </c>
      <c r="B4368" s="330"/>
      <c r="C4368" s="334"/>
      <c r="D4368" s="188" t="s">
        <v>25441</v>
      </c>
      <c r="E4368" s="189" t="s">
        <v>25442</v>
      </c>
      <c r="F4368" s="162" t="s">
        <v>25443</v>
      </c>
      <c r="G4368" s="162" t="s">
        <v>25444</v>
      </c>
      <c r="H4368" s="219"/>
      <c r="I4368" s="169">
        <v>206430</v>
      </c>
      <c r="J4368" s="304" t="str">
        <f>CONCATENATE([2]Cover!$D$6,"fdd/view?i=",I4368)</f>
        <v>https://www.dgiwg.org/FAD/fdd/view?i=206430</v>
      </c>
      <c r="K4368" s="304" t="s">
        <v>38417</v>
      </c>
      <c r="L4368" s="188">
        <v>142</v>
      </c>
      <c r="M4368" s="179" t="s">
        <v>1295</v>
      </c>
    </row>
    <row r="4369" spans="1:13" ht="25.5">
      <c r="A4369" s="313" t="str">
        <f t="shared" si="68"/>
        <v>MarineSpeciesCode_yellowSnapper</v>
      </c>
      <c r="B4369" s="330"/>
      <c r="C4369" s="334"/>
      <c r="D4369" s="188" t="s">
        <v>25433</v>
      </c>
      <c r="E4369" s="189" t="s">
        <v>25434</v>
      </c>
      <c r="F4369" s="162" t="s">
        <v>25435</v>
      </c>
      <c r="G4369" s="190"/>
      <c r="H4369" s="221" t="s">
        <v>25436</v>
      </c>
      <c r="I4369" s="169">
        <v>206428</v>
      </c>
      <c r="J4369" s="304" t="str">
        <f>CONCATENATE([2]Cover!$D$6,"fdd/view?i=",I4369)</f>
        <v>https://www.dgiwg.org/FAD/fdd/view?i=206428</v>
      </c>
      <c r="K4369" s="304" t="s">
        <v>38418</v>
      </c>
      <c r="L4369" s="188">
        <v>140</v>
      </c>
      <c r="M4369" s="179" t="s">
        <v>1295</v>
      </c>
    </row>
    <row r="4370" spans="1:13" ht="51">
      <c r="A4370" s="313" t="str">
        <f t="shared" si="68"/>
        <v>MarineSpeciesCode_yellowStripedFlounder</v>
      </c>
      <c r="B4370" s="330"/>
      <c r="C4370" s="334"/>
      <c r="D4370" s="188" t="s">
        <v>25437</v>
      </c>
      <c r="E4370" s="189" t="s">
        <v>25438</v>
      </c>
      <c r="F4370" s="162" t="s">
        <v>25439</v>
      </c>
      <c r="G4370" s="162" t="s">
        <v>25440</v>
      </c>
      <c r="H4370" s="219"/>
      <c r="I4370" s="169">
        <v>206429</v>
      </c>
      <c r="J4370" s="304" t="str">
        <f>CONCATENATE([2]Cover!$D$6,"fdd/view?i=",I4370)</f>
        <v>https://www.dgiwg.org/FAD/fdd/view?i=206429</v>
      </c>
      <c r="K4370" s="304" t="s">
        <v>38419</v>
      </c>
      <c r="L4370" s="188">
        <v>141</v>
      </c>
      <c r="M4370" s="179" t="s">
        <v>1295</v>
      </c>
    </row>
    <row r="4371" spans="1:13" ht="51">
      <c r="A4371" s="313" t="str">
        <f t="shared" si="68"/>
        <v>MarineSpeciesCode_yellowstripedScad</v>
      </c>
      <c r="B4371" s="331"/>
      <c r="C4371" s="335"/>
      <c r="D4371" s="181" t="s">
        <v>25445</v>
      </c>
      <c r="E4371" s="192" t="s">
        <v>25446</v>
      </c>
      <c r="F4371" s="193" t="s">
        <v>25447</v>
      </c>
      <c r="G4371" s="193" t="s">
        <v>25448</v>
      </c>
      <c r="H4371" s="223" t="s">
        <v>25449</v>
      </c>
      <c r="I4371" s="169">
        <v>206431</v>
      </c>
      <c r="J4371" s="304" t="str">
        <f>CONCATENATE([2]Cover!$D$6,"fdd/view?i=",I4371)</f>
        <v>https://www.dgiwg.org/FAD/fdd/view?i=206431</v>
      </c>
      <c r="K4371" s="304" t="s">
        <v>38420</v>
      </c>
      <c r="L4371" s="181">
        <v>143</v>
      </c>
      <c r="M4371" s="179" t="s">
        <v>1295</v>
      </c>
    </row>
    <row r="4372" spans="1:13" ht="38.25">
      <c r="A4372" s="313" t="str">
        <f t="shared" si="68"/>
        <v>MarineSpeciesHabitatCode_demersal</v>
      </c>
      <c r="B4372" s="332" t="str">
        <f>HYPERLINK("[#]Datatypes!A820:L820","MarineSpeciesHabitatCode")</f>
        <v>MarineSpeciesHabitatCode</v>
      </c>
      <c r="C4372" s="333" t="s">
        <v>12404</v>
      </c>
      <c r="D4372" s="202" t="s">
        <v>25450</v>
      </c>
      <c r="E4372" s="203" t="s">
        <v>25451</v>
      </c>
      <c r="F4372" s="204" t="s">
        <v>25452</v>
      </c>
      <c r="G4372" s="204" t="s">
        <v>25453</v>
      </c>
      <c r="H4372" s="218"/>
      <c r="I4372" s="169">
        <v>119361</v>
      </c>
      <c r="J4372" s="304" t="str">
        <f>CONCATENATE([2]Cover!$D$6,"fdd/view?i=",I4372)</f>
        <v>https://www.dgiwg.org/FAD/fdd/view?i=119361</v>
      </c>
      <c r="K4372" s="304" t="s">
        <v>38421</v>
      </c>
      <c r="L4372" s="202">
        <v>1</v>
      </c>
      <c r="M4372" s="179" t="s">
        <v>151</v>
      </c>
    </row>
    <row r="4373" spans="1:13" ht="25.5">
      <c r="A4373" s="313" t="str">
        <f t="shared" si="68"/>
        <v>MarineSpeciesHabitatCode_pelagic</v>
      </c>
      <c r="B4373" s="331"/>
      <c r="C4373" s="335"/>
      <c r="D4373" s="181" t="s">
        <v>25454</v>
      </c>
      <c r="E4373" s="192" t="s">
        <v>25455</v>
      </c>
      <c r="F4373" s="193" t="s">
        <v>25456</v>
      </c>
      <c r="G4373" s="193" t="s">
        <v>25457</v>
      </c>
      <c r="H4373" s="220"/>
      <c r="I4373" s="169">
        <v>119362</v>
      </c>
      <c r="J4373" s="304" t="str">
        <f>CONCATENATE([2]Cover!$D$6,"fdd/view?i=",I4373)</f>
        <v>https://www.dgiwg.org/FAD/fdd/view?i=119362</v>
      </c>
      <c r="K4373" s="304" t="s">
        <v>38422</v>
      </c>
      <c r="L4373" s="181">
        <v>2</v>
      </c>
      <c r="M4373" s="179" t="s">
        <v>151</v>
      </c>
    </row>
    <row r="4374" spans="1:13" ht="25.5">
      <c r="A4374" s="313" t="str">
        <f t="shared" si="68"/>
        <v>MaritimeAggressiveActionCode_attack</v>
      </c>
      <c r="B4374" s="332" t="str">
        <f>HYPERLINK("[#]Datatypes!A822:L822","MaritimeAggressiveActionCode")</f>
        <v>MaritimeAggressiveActionCode</v>
      </c>
      <c r="C4374" s="333" t="s">
        <v>12406</v>
      </c>
      <c r="D4374" s="202" t="s">
        <v>25458</v>
      </c>
      <c r="E4374" s="203" t="s">
        <v>25459</v>
      </c>
      <c r="F4374" s="204" t="s">
        <v>25460</v>
      </c>
      <c r="G4374" s="204" t="s">
        <v>25461</v>
      </c>
      <c r="H4374" s="218"/>
      <c r="I4374" s="169">
        <v>118508</v>
      </c>
      <c r="J4374" s="304" t="str">
        <f>CONCATENATE([2]Cover!$D$6,"fdd/view?i=",I4374)</f>
        <v>https://www.dgiwg.org/FAD/fdd/view?i=118508</v>
      </c>
      <c r="K4374" s="304" t="s">
        <v>38423</v>
      </c>
      <c r="L4374" s="202">
        <v>3</v>
      </c>
      <c r="M4374" s="179" t="s">
        <v>151</v>
      </c>
    </row>
    <row r="4375" spans="1:13" ht="38.25">
      <c r="A4375" s="313" t="str">
        <f t="shared" si="68"/>
        <v>MaritimeAggressiveActionCode_pirateBoarding</v>
      </c>
      <c r="B4375" s="330"/>
      <c r="C4375" s="334"/>
      <c r="D4375" s="188" t="s">
        <v>25462</v>
      </c>
      <c r="E4375" s="189" t="s">
        <v>25463</v>
      </c>
      <c r="F4375" s="162" t="s">
        <v>25464</v>
      </c>
      <c r="G4375" s="190"/>
      <c r="H4375" s="219"/>
      <c r="I4375" s="169">
        <v>112610</v>
      </c>
      <c r="J4375" s="304" t="str">
        <f>CONCATENATE([2]Cover!$D$6,"fdd/view?i=",I4375)</f>
        <v>https://www.dgiwg.org/FAD/fdd/view?i=112610</v>
      </c>
      <c r="K4375" s="304" t="s">
        <v>38424</v>
      </c>
      <c r="L4375" s="188">
        <v>2</v>
      </c>
      <c r="M4375" s="179" t="s">
        <v>151</v>
      </c>
    </row>
    <row r="4376" spans="1:13" ht="25.5">
      <c r="A4376" s="313" t="str">
        <f t="shared" si="68"/>
        <v>MaritimeAggressiveActionCode_suspiciousApproach</v>
      </c>
      <c r="B4376" s="331"/>
      <c r="C4376" s="335"/>
      <c r="D4376" s="181" t="s">
        <v>25465</v>
      </c>
      <c r="E4376" s="192" t="s">
        <v>25466</v>
      </c>
      <c r="F4376" s="193" t="s">
        <v>25467</v>
      </c>
      <c r="G4376" s="194"/>
      <c r="H4376" s="220"/>
      <c r="I4376" s="169">
        <v>112608</v>
      </c>
      <c r="J4376" s="304" t="str">
        <f>CONCATENATE([2]Cover!$D$6,"fdd/view?i=",I4376)</f>
        <v>https://www.dgiwg.org/FAD/fdd/view?i=112608</v>
      </c>
      <c r="K4376" s="304" t="s">
        <v>38425</v>
      </c>
      <c r="L4376" s="181">
        <v>1</v>
      </c>
      <c r="M4376" s="179" t="s">
        <v>151</v>
      </c>
    </row>
    <row r="4377" spans="1:13" ht="25.5">
      <c r="A4377" s="313" t="str">
        <f t="shared" si="68"/>
        <v>MaritimeAggressorTransportCode_aircraft</v>
      </c>
      <c r="B4377" s="332" t="str">
        <f>HYPERLINK("[#]Datatypes!A824:L824","MaritimeAggressorTransportCode")</f>
        <v>MaritimeAggressorTransportCode</v>
      </c>
      <c r="C4377" s="333" t="s">
        <v>12408</v>
      </c>
      <c r="D4377" s="202" t="s">
        <v>25468</v>
      </c>
      <c r="E4377" s="203" t="s">
        <v>25469</v>
      </c>
      <c r="F4377" s="204" t="s">
        <v>25470</v>
      </c>
      <c r="G4377" s="205"/>
      <c r="H4377" s="218"/>
      <c r="I4377" s="169">
        <v>118509</v>
      </c>
      <c r="J4377" s="304" t="str">
        <f>CONCATENATE([2]Cover!$D$6,"fdd/view?i=",I4377)</f>
        <v>https://www.dgiwg.org/FAD/fdd/view?i=118509</v>
      </c>
      <c r="K4377" s="304" t="s">
        <v>38426</v>
      </c>
      <c r="L4377" s="202">
        <v>8</v>
      </c>
      <c r="M4377" s="179" t="s">
        <v>151</v>
      </c>
    </row>
    <row r="4378" spans="1:13" ht="25.5">
      <c r="A4378" s="313" t="str">
        <f t="shared" si="68"/>
        <v>MaritimeAggressorTransportCode_fishingBoat</v>
      </c>
      <c r="B4378" s="330"/>
      <c r="C4378" s="334"/>
      <c r="D4378" s="188" t="s">
        <v>25471</v>
      </c>
      <c r="E4378" s="189" t="s">
        <v>25472</v>
      </c>
      <c r="F4378" s="162" t="s">
        <v>25473</v>
      </c>
      <c r="G4378" s="190"/>
      <c r="H4378" s="219"/>
      <c r="I4378" s="169">
        <v>112618</v>
      </c>
      <c r="J4378" s="304" t="str">
        <f>CONCATENATE([2]Cover!$D$6,"fdd/view?i=",I4378)</f>
        <v>https://www.dgiwg.org/FAD/fdd/view?i=112618</v>
      </c>
      <c r="K4378" s="304" t="s">
        <v>38427</v>
      </c>
      <c r="L4378" s="188">
        <v>4</v>
      </c>
      <c r="M4378" s="179" t="s">
        <v>151</v>
      </c>
    </row>
    <row r="4379" spans="1:13" ht="25.5">
      <c r="A4379" s="313" t="str">
        <f t="shared" si="68"/>
        <v>MaritimeAggressorTransportCode_inflatableSmallCraft</v>
      </c>
      <c r="B4379" s="330"/>
      <c r="C4379" s="334"/>
      <c r="D4379" s="188" t="s">
        <v>25474</v>
      </c>
      <c r="E4379" s="189" t="s">
        <v>25475</v>
      </c>
      <c r="F4379" s="162" t="s">
        <v>25476</v>
      </c>
      <c r="G4379" s="190"/>
      <c r="H4379" s="219"/>
      <c r="I4379" s="169">
        <v>112616</v>
      </c>
      <c r="J4379" s="304" t="str">
        <f>CONCATENATE([2]Cover!$D$6,"fdd/view?i=",I4379)</f>
        <v>https://www.dgiwg.org/FAD/fdd/view?i=112616</v>
      </c>
      <c r="K4379" s="304" t="s">
        <v>38428</v>
      </c>
      <c r="L4379" s="188">
        <v>3</v>
      </c>
      <c r="M4379" s="179" t="s">
        <v>151</v>
      </c>
    </row>
    <row r="4380" spans="1:13" ht="25.5">
      <c r="A4380" s="313" t="str">
        <f t="shared" si="68"/>
        <v>MaritimeAggressorTransportCode_militaryTransport</v>
      </c>
      <c r="B4380" s="330"/>
      <c r="C4380" s="334"/>
      <c r="D4380" s="188" t="s">
        <v>25477</v>
      </c>
      <c r="E4380" s="189" t="s">
        <v>25478</v>
      </c>
      <c r="F4380" s="162" t="s">
        <v>25479</v>
      </c>
      <c r="G4380" s="190"/>
      <c r="H4380" s="219"/>
      <c r="I4380" s="169">
        <v>112624</v>
      </c>
      <c r="J4380" s="304" t="str">
        <f>CONCATENATE([2]Cover!$D$6,"fdd/view?i=",I4380)</f>
        <v>https://www.dgiwg.org/FAD/fdd/view?i=112624</v>
      </c>
      <c r="K4380" s="304" t="s">
        <v>38429</v>
      </c>
      <c r="L4380" s="188">
        <v>7</v>
      </c>
      <c r="M4380" s="179" t="s">
        <v>151</v>
      </c>
    </row>
    <row r="4381" spans="1:13" ht="25.5">
      <c r="A4381" s="313" t="str">
        <f t="shared" si="68"/>
        <v>MaritimeAggressorTransportCode_onFoot</v>
      </c>
      <c r="B4381" s="330"/>
      <c r="C4381" s="334"/>
      <c r="D4381" s="188" t="s">
        <v>25480</v>
      </c>
      <c r="E4381" s="189" t="s">
        <v>25481</v>
      </c>
      <c r="F4381" s="162" t="s">
        <v>25482</v>
      </c>
      <c r="G4381" s="190"/>
      <c r="H4381" s="219"/>
      <c r="I4381" s="169">
        <v>112612</v>
      </c>
      <c r="J4381" s="304" t="str">
        <f>CONCATENATE([2]Cover!$D$6,"fdd/view?i=",I4381)</f>
        <v>https://www.dgiwg.org/FAD/fdd/view?i=112612</v>
      </c>
      <c r="K4381" s="304" t="s">
        <v>38430</v>
      </c>
      <c r="L4381" s="188">
        <v>1</v>
      </c>
      <c r="M4381" s="179" t="s">
        <v>151</v>
      </c>
    </row>
    <row r="4382" spans="1:13" ht="25.5">
      <c r="A4382" s="313" t="str">
        <f t="shared" si="68"/>
        <v>MaritimeAggressorTransportCode_speedboat</v>
      </c>
      <c r="B4382" s="330"/>
      <c r="C4382" s="334"/>
      <c r="D4382" s="188" t="s">
        <v>25483</v>
      </c>
      <c r="E4382" s="189" t="s">
        <v>25484</v>
      </c>
      <c r="F4382" s="162" t="s">
        <v>25485</v>
      </c>
      <c r="G4382" s="190"/>
      <c r="H4382" s="219"/>
      <c r="I4382" s="169">
        <v>112622</v>
      </c>
      <c r="J4382" s="304" t="str">
        <f>CONCATENATE([2]Cover!$D$6,"fdd/view?i=",I4382)</f>
        <v>https://www.dgiwg.org/FAD/fdd/view?i=112622</v>
      </c>
      <c r="K4382" s="304" t="s">
        <v>38431</v>
      </c>
      <c r="L4382" s="188">
        <v>6</v>
      </c>
      <c r="M4382" s="179" t="s">
        <v>151</v>
      </c>
    </row>
    <row r="4383" spans="1:13" ht="25.5">
      <c r="A4383" s="313" t="str">
        <f t="shared" si="68"/>
        <v>MaritimeAggressorTransportCode_swim</v>
      </c>
      <c r="B4383" s="330"/>
      <c r="C4383" s="334"/>
      <c r="D4383" s="188" t="s">
        <v>18757</v>
      </c>
      <c r="E4383" s="189" t="s">
        <v>18758</v>
      </c>
      <c r="F4383" s="162" t="s">
        <v>25486</v>
      </c>
      <c r="G4383" s="190"/>
      <c r="H4383" s="219"/>
      <c r="I4383" s="169">
        <v>112614</v>
      </c>
      <c r="J4383" s="304" t="str">
        <f>CONCATENATE([2]Cover!$D$6,"fdd/view?i=",I4383)</f>
        <v>https://www.dgiwg.org/FAD/fdd/view?i=112614</v>
      </c>
      <c r="K4383" s="304" t="s">
        <v>38432</v>
      </c>
      <c r="L4383" s="188">
        <v>2</v>
      </c>
      <c r="M4383" s="179" t="s">
        <v>151</v>
      </c>
    </row>
    <row r="4384" spans="1:13" ht="25.5">
      <c r="A4384" s="313" t="str">
        <f t="shared" si="68"/>
        <v>MaritimeAggressorTransportCode_yacht</v>
      </c>
      <c r="B4384" s="331"/>
      <c r="C4384" s="335"/>
      <c r="D4384" s="181" t="s">
        <v>25487</v>
      </c>
      <c r="E4384" s="192" t="s">
        <v>25488</v>
      </c>
      <c r="F4384" s="193" t="s">
        <v>25489</v>
      </c>
      <c r="G4384" s="194"/>
      <c r="H4384" s="220"/>
      <c r="I4384" s="169">
        <v>112620</v>
      </c>
      <c r="J4384" s="304" t="str">
        <f>CONCATENATE([2]Cover!$D$6,"fdd/view?i=",I4384)</f>
        <v>https://www.dgiwg.org/FAD/fdd/view?i=112620</v>
      </c>
      <c r="K4384" s="304" t="s">
        <v>38433</v>
      </c>
      <c r="L4384" s="181">
        <v>5</v>
      </c>
      <c r="M4384" s="179" t="s">
        <v>151</v>
      </c>
    </row>
    <row r="4385" spans="1:13" ht="25.5">
      <c r="A4385" s="313" t="str">
        <f t="shared" si="68"/>
        <v>MaritimeAreaRestrictionCode_birdSanctuary</v>
      </c>
      <c r="B4385" s="332" t="str">
        <f>HYPERLINK("[#]Datatypes!A826:L826","MaritimeAreaRestrictionCode")</f>
        <v>MaritimeAreaRestrictionCode</v>
      </c>
      <c r="C4385" s="333" t="s">
        <v>12410</v>
      </c>
      <c r="D4385" s="202" t="s">
        <v>25490</v>
      </c>
      <c r="E4385" s="203" t="s">
        <v>25491</v>
      </c>
      <c r="F4385" s="204" t="s">
        <v>25492</v>
      </c>
      <c r="G4385" s="205"/>
      <c r="H4385" s="218"/>
      <c r="I4385" s="169">
        <v>111224</v>
      </c>
      <c r="J4385" s="304" t="str">
        <f>CONCATENATE([2]Cover!$D$6,"fdd/view?i=",I4385)</f>
        <v>https://www.dgiwg.org/FAD/fdd/view?i=111224</v>
      </c>
      <c r="K4385" s="304" t="s">
        <v>38434</v>
      </c>
      <c r="L4385" s="202">
        <v>2</v>
      </c>
      <c r="M4385" s="179" t="s">
        <v>151</v>
      </c>
    </row>
    <row r="4386" spans="1:13" ht="89.25">
      <c r="A4386" s="313" t="str">
        <f t="shared" si="68"/>
        <v>MaritimeAreaRestrictionCode_compassAdjustment</v>
      </c>
      <c r="B4386" s="330"/>
      <c r="C4386" s="334"/>
      <c r="D4386" s="188" t="s">
        <v>18578</v>
      </c>
      <c r="E4386" s="189" t="s">
        <v>18579</v>
      </c>
      <c r="F4386" s="162" t="s">
        <v>25493</v>
      </c>
      <c r="G4386" s="162" t="s">
        <v>25494</v>
      </c>
      <c r="H4386" s="221" t="s">
        <v>25495</v>
      </c>
      <c r="I4386" s="169">
        <v>111237</v>
      </c>
      <c r="J4386" s="304" t="str">
        <f>CONCATENATE([2]Cover!$D$6,"fdd/view?i=",I4386)</f>
        <v>https://www.dgiwg.org/FAD/fdd/view?i=111237</v>
      </c>
      <c r="K4386" s="304" t="s">
        <v>38435</v>
      </c>
      <c r="L4386" s="188">
        <v>15</v>
      </c>
      <c r="M4386" s="179" t="s">
        <v>151</v>
      </c>
    </row>
    <row r="4387" spans="1:13" ht="25.5">
      <c r="A4387" s="313" t="str">
        <f t="shared" si="68"/>
        <v>MaritimeAreaRestrictionCode_conserveManageZone</v>
      </c>
      <c r="B4387" s="330"/>
      <c r="C4387" s="334"/>
      <c r="D4387" s="188" t="s">
        <v>25496</v>
      </c>
      <c r="E4387" s="189" t="s">
        <v>25497</v>
      </c>
      <c r="F4387" s="162" t="s">
        <v>25498</v>
      </c>
      <c r="G4387" s="190"/>
      <c r="H4387" s="219"/>
      <c r="I4387" s="169">
        <v>111225</v>
      </c>
      <c r="J4387" s="304" t="str">
        <f>CONCATENATE([2]Cover!$D$6,"fdd/view?i=",I4387)</f>
        <v>https://www.dgiwg.org/FAD/fdd/view?i=111225</v>
      </c>
      <c r="K4387" s="304" t="s">
        <v>38436</v>
      </c>
      <c r="L4387" s="188">
        <v>3</v>
      </c>
      <c r="M4387" s="179" t="s">
        <v>151</v>
      </c>
    </row>
    <row r="4388" spans="1:13" ht="38.25">
      <c r="A4388" s="313" t="str">
        <f t="shared" si="68"/>
        <v>MaritimeAreaRestrictionCode_contiguousZone</v>
      </c>
      <c r="B4388" s="330"/>
      <c r="C4388" s="334"/>
      <c r="D4388" s="188" t="s">
        <v>25499</v>
      </c>
      <c r="E4388" s="189" t="s">
        <v>25500</v>
      </c>
      <c r="F4388" s="162" t="s">
        <v>25501</v>
      </c>
      <c r="G4388" s="162" t="s">
        <v>25502</v>
      </c>
      <c r="H4388" s="219"/>
      <c r="I4388" s="169">
        <v>111287</v>
      </c>
      <c r="J4388" s="304" t="str">
        <f>CONCATENATE([2]Cover!$D$6,"fdd/view?i=",I4388)</f>
        <v>https://www.dgiwg.org/FAD/fdd/view?i=111287</v>
      </c>
      <c r="K4388" s="304" t="s">
        <v>38437</v>
      </c>
      <c r="L4388" s="188">
        <v>38</v>
      </c>
      <c r="M4388" s="179" t="s">
        <v>151</v>
      </c>
    </row>
    <row r="4389" spans="1:13" ht="153">
      <c r="A4389" s="313" t="str">
        <f t="shared" si="68"/>
        <v>MaritimeAreaRestrictionCode_continentalShelfArea</v>
      </c>
      <c r="B4389" s="330"/>
      <c r="C4389" s="334"/>
      <c r="D4389" s="188" t="s">
        <v>25503</v>
      </c>
      <c r="E4389" s="189" t="s">
        <v>25504</v>
      </c>
      <c r="F4389" s="162" t="s">
        <v>25505</v>
      </c>
      <c r="G4389" s="162" t="s">
        <v>18220</v>
      </c>
      <c r="H4389" s="219"/>
      <c r="I4389" s="169">
        <v>111286</v>
      </c>
      <c r="J4389" s="304" t="str">
        <f>CONCATENATE([2]Cover!$D$6,"fdd/view?i=",I4389)</f>
        <v>https://www.dgiwg.org/FAD/fdd/view?i=111286</v>
      </c>
      <c r="K4389" s="304" t="s">
        <v>38438</v>
      </c>
      <c r="L4389" s="188">
        <v>37</v>
      </c>
      <c r="M4389" s="179" t="s">
        <v>151</v>
      </c>
    </row>
    <row r="4390" spans="1:13" ht="51">
      <c r="A4390" s="313" t="str">
        <f t="shared" si="68"/>
        <v>MaritimeAreaRestrictionCode_degaussingRange</v>
      </c>
      <c r="B4390" s="330"/>
      <c r="C4390" s="334"/>
      <c r="D4390" s="188" t="s">
        <v>18585</v>
      </c>
      <c r="E4390" s="189" t="s">
        <v>18586</v>
      </c>
      <c r="F4390" s="162" t="s">
        <v>25506</v>
      </c>
      <c r="G4390" s="190"/>
      <c r="H4390" s="219"/>
      <c r="I4390" s="169">
        <v>111238</v>
      </c>
      <c r="J4390" s="304" t="str">
        <f>CONCATENATE([2]Cover!$D$6,"fdd/view?i=",I4390)</f>
        <v>https://www.dgiwg.org/FAD/fdd/view?i=111238</v>
      </c>
      <c r="K4390" s="304" t="s">
        <v>38439</v>
      </c>
      <c r="L4390" s="188">
        <v>16</v>
      </c>
      <c r="M4390" s="179" t="s">
        <v>151</v>
      </c>
    </row>
    <row r="4391" spans="1:13" ht="25.5">
      <c r="A4391" s="313" t="str">
        <f t="shared" si="68"/>
        <v>MaritimeAreaRestrictionCode_dredgingArea</v>
      </c>
      <c r="B4391" s="330"/>
      <c r="C4391" s="334"/>
      <c r="D4391" s="188" t="s">
        <v>25507</v>
      </c>
      <c r="E4391" s="189" t="s">
        <v>25508</v>
      </c>
      <c r="F4391" s="162" t="s">
        <v>25509</v>
      </c>
      <c r="G4391" s="190"/>
      <c r="H4391" s="219"/>
      <c r="I4391" s="169">
        <v>111239</v>
      </c>
      <c r="J4391" s="304" t="str">
        <f>CONCATENATE([2]Cover!$D$6,"fdd/view?i=",I4391)</f>
        <v>https://www.dgiwg.org/FAD/fdd/view?i=111239</v>
      </c>
      <c r="K4391" s="304" t="s">
        <v>38440</v>
      </c>
      <c r="L4391" s="188">
        <v>17</v>
      </c>
      <c r="M4391" s="179" t="s">
        <v>151</v>
      </c>
    </row>
    <row r="4392" spans="1:13" ht="25.5">
      <c r="A4392" s="313" t="str">
        <f t="shared" si="68"/>
        <v>MaritimeAreaRestrictionCode_ecologicalReserve</v>
      </c>
      <c r="B4392" s="330"/>
      <c r="C4392" s="334"/>
      <c r="D4392" s="188" t="s">
        <v>25510</v>
      </c>
      <c r="E4392" s="189" t="s">
        <v>25511</v>
      </c>
      <c r="F4392" s="162" t="s">
        <v>25512</v>
      </c>
      <c r="G4392" s="190"/>
      <c r="H4392" s="219"/>
      <c r="I4392" s="169">
        <v>111226</v>
      </c>
      <c r="J4392" s="304" t="str">
        <f>CONCATENATE([2]Cover!$D$6,"fdd/view?i=",I4392)</f>
        <v>https://www.dgiwg.org/FAD/fdd/view?i=111226</v>
      </c>
      <c r="K4392" s="304" t="s">
        <v>38441</v>
      </c>
      <c r="L4392" s="188">
        <v>4</v>
      </c>
      <c r="M4392" s="179" t="s">
        <v>151</v>
      </c>
    </row>
    <row r="4393" spans="1:13" ht="51">
      <c r="A4393" s="313" t="str">
        <f t="shared" si="68"/>
        <v>MaritimeAreaRestrictionCode_exclusiveEconomicZone</v>
      </c>
      <c r="B4393" s="330"/>
      <c r="C4393" s="334"/>
      <c r="D4393" s="188" t="s">
        <v>25513</v>
      </c>
      <c r="E4393" s="189" t="s">
        <v>25514</v>
      </c>
      <c r="F4393" s="162" t="s">
        <v>25515</v>
      </c>
      <c r="G4393" s="190"/>
      <c r="H4393" s="219"/>
      <c r="I4393" s="169">
        <v>111284</v>
      </c>
      <c r="J4393" s="304" t="str">
        <f>CONCATENATE([2]Cover!$D$6,"fdd/view?i=",I4393)</f>
        <v>https://www.dgiwg.org/FAD/fdd/view?i=111284</v>
      </c>
      <c r="K4393" s="304" t="s">
        <v>38442</v>
      </c>
      <c r="L4393" s="188">
        <v>35</v>
      </c>
      <c r="M4393" s="179" t="s">
        <v>151</v>
      </c>
    </row>
    <row r="4394" spans="1:13" ht="114.75">
      <c r="A4394" s="313" t="str">
        <f t="shared" si="68"/>
        <v>MaritimeAreaRestrictionCode_extendContinentShelfArea</v>
      </c>
      <c r="B4394" s="330"/>
      <c r="C4394" s="334"/>
      <c r="D4394" s="188" t="s">
        <v>25516</v>
      </c>
      <c r="E4394" s="189" t="s">
        <v>25517</v>
      </c>
      <c r="F4394" s="162" t="s">
        <v>25518</v>
      </c>
      <c r="G4394" s="162" t="s">
        <v>18183</v>
      </c>
      <c r="H4394" s="219"/>
      <c r="I4394" s="169">
        <v>111285</v>
      </c>
      <c r="J4394" s="304" t="str">
        <f>CONCATENATE([2]Cover!$D$6,"fdd/view?i=",I4394)</f>
        <v>https://www.dgiwg.org/FAD/fdd/view?i=111285</v>
      </c>
      <c r="K4394" s="304" t="s">
        <v>38443</v>
      </c>
      <c r="L4394" s="188">
        <v>36</v>
      </c>
      <c r="M4394" s="179" t="s">
        <v>151</v>
      </c>
    </row>
    <row r="4395" spans="1:13" ht="25.5">
      <c r="A4395" s="313" t="str">
        <f t="shared" si="68"/>
        <v>MaritimeAreaRestrictionCode_fairway</v>
      </c>
      <c r="B4395" s="330"/>
      <c r="C4395" s="334"/>
      <c r="D4395" s="188" t="s">
        <v>18604</v>
      </c>
      <c r="E4395" s="189" t="s">
        <v>18605</v>
      </c>
      <c r="F4395" s="162" t="s">
        <v>25519</v>
      </c>
      <c r="G4395" s="190"/>
      <c r="H4395" s="219"/>
      <c r="I4395" s="169">
        <v>111240</v>
      </c>
      <c r="J4395" s="304" t="str">
        <f>CONCATENATE([2]Cover!$D$6,"fdd/view?i=",I4395)</f>
        <v>https://www.dgiwg.org/FAD/fdd/view?i=111240</v>
      </c>
      <c r="K4395" s="304" t="s">
        <v>38444</v>
      </c>
      <c r="L4395" s="188">
        <v>18</v>
      </c>
      <c r="M4395" s="179" t="s">
        <v>151</v>
      </c>
    </row>
    <row r="4396" spans="1:13" ht="25.5">
      <c r="A4396" s="313" t="str">
        <f t="shared" si="68"/>
        <v>MaritimeAreaRestrictionCode_fisheryZone</v>
      </c>
      <c r="B4396" s="330"/>
      <c r="C4396" s="334"/>
      <c r="D4396" s="188" t="s">
        <v>25524</v>
      </c>
      <c r="E4396" s="189" t="s">
        <v>25525</v>
      </c>
      <c r="F4396" s="162" t="s">
        <v>25526</v>
      </c>
      <c r="G4396" s="190"/>
      <c r="H4396" s="219"/>
      <c r="I4396" s="169">
        <v>111233</v>
      </c>
      <c r="J4396" s="304" t="str">
        <f>CONCATENATE([2]Cover!$D$6,"fdd/view?i=",I4396)</f>
        <v>https://www.dgiwg.org/FAD/fdd/view?i=111233</v>
      </c>
      <c r="K4396" s="304" t="s">
        <v>38445</v>
      </c>
      <c r="L4396" s="188">
        <v>11</v>
      </c>
      <c r="M4396" s="179" t="s">
        <v>151</v>
      </c>
    </row>
    <row r="4397" spans="1:13" ht="25.5">
      <c r="A4397" s="313" t="str">
        <f t="shared" si="68"/>
        <v>MaritimeAreaRestrictionCode_fishingGround</v>
      </c>
      <c r="B4397" s="330"/>
      <c r="C4397" s="334"/>
      <c r="D4397" s="188" t="s">
        <v>25527</v>
      </c>
      <c r="E4397" s="189" t="s">
        <v>25528</v>
      </c>
      <c r="F4397" s="162" t="s">
        <v>25529</v>
      </c>
      <c r="G4397" s="190"/>
      <c r="H4397" s="219"/>
      <c r="I4397" s="169">
        <v>111232</v>
      </c>
      <c r="J4397" s="304" t="str">
        <f>CONCATENATE([2]Cover!$D$6,"fdd/view?i=",I4397)</f>
        <v>https://www.dgiwg.org/FAD/fdd/view?i=111232</v>
      </c>
      <c r="K4397" s="304" t="s">
        <v>38446</v>
      </c>
      <c r="L4397" s="188">
        <v>10</v>
      </c>
      <c r="M4397" s="179" t="s">
        <v>151</v>
      </c>
    </row>
    <row r="4398" spans="1:13" ht="25.5">
      <c r="A4398" s="313" t="str">
        <f t="shared" si="68"/>
        <v>MaritimeAreaRestrictionCode_fishSanctuary</v>
      </c>
      <c r="B4398" s="330"/>
      <c r="C4398" s="334"/>
      <c r="D4398" s="188" t="s">
        <v>25520</v>
      </c>
      <c r="E4398" s="189" t="s">
        <v>25521</v>
      </c>
      <c r="F4398" s="162" t="s">
        <v>25522</v>
      </c>
      <c r="G4398" s="190"/>
      <c r="H4398" s="221" t="s">
        <v>25523</v>
      </c>
      <c r="I4398" s="169">
        <v>111227</v>
      </c>
      <c r="J4398" s="304" t="str">
        <f>CONCATENATE([2]Cover!$D$6,"fdd/view?i=",I4398)</f>
        <v>https://www.dgiwg.org/FAD/fdd/view?i=111227</v>
      </c>
      <c r="K4398" s="304" t="s">
        <v>38447</v>
      </c>
      <c r="L4398" s="188">
        <v>5</v>
      </c>
      <c r="M4398" s="179" t="s">
        <v>151</v>
      </c>
    </row>
    <row r="4399" spans="1:13" ht="25.5">
      <c r="A4399" s="313" t="str">
        <f t="shared" si="68"/>
        <v>MaritimeAreaRestrictionCode_foreignFishingRightsZone</v>
      </c>
      <c r="B4399" s="330"/>
      <c r="C4399" s="334"/>
      <c r="D4399" s="188" t="s">
        <v>25530</v>
      </c>
      <c r="E4399" s="189" t="s">
        <v>25531</v>
      </c>
      <c r="F4399" s="162" t="s">
        <v>25532</v>
      </c>
      <c r="G4399" s="190"/>
      <c r="H4399" s="219"/>
      <c r="I4399" s="169">
        <v>111234</v>
      </c>
      <c r="J4399" s="304" t="str">
        <f>CONCATENATE([2]Cover!$D$6,"fdd/view?i=",I4399)</f>
        <v>https://www.dgiwg.org/FAD/fdd/view?i=111234</v>
      </c>
      <c r="K4399" s="304" t="s">
        <v>38448</v>
      </c>
      <c r="L4399" s="188">
        <v>12</v>
      </c>
      <c r="M4399" s="179" t="s">
        <v>151</v>
      </c>
    </row>
    <row r="4400" spans="1:13" ht="25.5">
      <c r="A4400" s="313" t="str">
        <f t="shared" si="68"/>
        <v>MaritimeAreaRestrictionCode_formerMineDangerArea</v>
      </c>
      <c r="B4400" s="330"/>
      <c r="C4400" s="334"/>
      <c r="D4400" s="188" t="s">
        <v>25533</v>
      </c>
      <c r="E4400" s="189" t="s">
        <v>25534</v>
      </c>
      <c r="F4400" s="162" t="s">
        <v>25535</v>
      </c>
      <c r="G4400" s="162" t="s">
        <v>25536</v>
      </c>
      <c r="H4400" s="219"/>
      <c r="I4400" s="169">
        <v>111247</v>
      </c>
      <c r="J4400" s="304" t="str">
        <f>CONCATENATE([2]Cover!$D$6,"fdd/view?i=",I4400)</f>
        <v>https://www.dgiwg.org/FAD/fdd/view?i=111247</v>
      </c>
      <c r="K4400" s="304" t="s">
        <v>38449</v>
      </c>
      <c r="L4400" s="188">
        <v>25</v>
      </c>
      <c r="M4400" s="179" t="s">
        <v>151</v>
      </c>
    </row>
    <row r="4401" spans="1:13" ht="25.5">
      <c r="A4401" s="313" t="str">
        <f t="shared" si="68"/>
        <v>MaritimeAreaRestrictionCode_gamePreserve</v>
      </c>
      <c r="B4401" s="330"/>
      <c r="C4401" s="334"/>
      <c r="D4401" s="188" t="s">
        <v>25537</v>
      </c>
      <c r="E4401" s="189" t="s">
        <v>25538</v>
      </c>
      <c r="F4401" s="162" t="s">
        <v>25539</v>
      </c>
      <c r="G4401" s="190"/>
      <c r="H4401" s="219"/>
      <c r="I4401" s="169">
        <v>111228</v>
      </c>
      <c r="J4401" s="304" t="str">
        <f>CONCATENATE([2]Cover!$D$6,"fdd/view?i=",I4401)</f>
        <v>https://www.dgiwg.org/FAD/fdd/view?i=111228</v>
      </c>
      <c r="K4401" s="304" t="s">
        <v>38450</v>
      </c>
      <c r="L4401" s="188">
        <v>6</v>
      </c>
      <c r="M4401" s="179" t="s">
        <v>151</v>
      </c>
    </row>
    <row r="4402" spans="1:13" ht="38.25">
      <c r="A4402" s="313" t="str">
        <f t="shared" si="68"/>
        <v>MaritimeAreaRestrictionCode_historicWreckArea</v>
      </c>
      <c r="B4402" s="330"/>
      <c r="C4402" s="334"/>
      <c r="D4402" s="188" t="s">
        <v>25540</v>
      </c>
      <c r="E4402" s="189" t="s">
        <v>25541</v>
      </c>
      <c r="F4402" s="162" t="s">
        <v>25542</v>
      </c>
      <c r="G4402" s="190"/>
      <c r="H4402" s="219"/>
      <c r="I4402" s="169">
        <v>111241</v>
      </c>
      <c r="J4402" s="304" t="str">
        <f>CONCATENATE([2]Cover!$D$6,"fdd/view?i=",I4402)</f>
        <v>https://www.dgiwg.org/FAD/fdd/view?i=111241</v>
      </c>
      <c r="K4402" s="304" t="s">
        <v>38451</v>
      </c>
      <c r="L4402" s="188">
        <v>19</v>
      </c>
      <c r="M4402" s="179" t="s">
        <v>151</v>
      </c>
    </row>
    <row r="4403" spans="1:13" ht="38.25">
      <c r="A4403" s="313" t="str">
        <f t="shared" si="68"/>
        <v>MaritimeAreaRestrictionCode_icesFisheryZone</v>
      </c>
      <c r="B4403" s="330"/>
      <c r="C4403" s="334"/>
      <c r="D4403" s="188" t="s">
        <v>25549</v>
      </c>
      <c r="E4403" s="189" t="s">
        <v>25550</v>
      </c>
      <c r="F4403" s="162" t="s">
        <v>25551</v>
      </c>
      <c r="G4403" s="190"/>
      <c r="H4403" s="219"/>
      <c r="I4403" s="169">
        <v>111236</v>
      </c>
      <c r="J4403" s="304" t="str">
        <f>CONCATENATE([2]Cover!$D$6,"fdd/view?i=",I4403)</f>
        <v>https://www.dgiwg.org/FAD/fdd/view?i=111236</v>
      </c>
      <c r="K4403" s="304" t="s">
        <v>38452</v>
      </c>
      <c r="L4403" s="188">
        <v>14</v>
      </c>
      <c r="M4403" s="179" t="s">
        <v>151</v>
      </c>
    </row>
    <row r="4404" spans="1:13" ht="25.5">
      <c r="A4404" s="313" t="str">
        <f t="shared" si="68"/>
        <v>MaritimeAreaRestrictionCode_incinerationArea</v>
      </c>
      <c r="B4404" s="330"/>
      <c r="C4404" s="334"/>
      <c r="D4404" s="188" t="s">
        <v>25543</v>
      </c>
      <c r="E4404" s="189" t="s">
        <v>25544</v>
      </c>
      <c r="F4404" s="162" t="s">
        <v>25545</v>
      </c>
      <c r="G4404" s="190"/>
      <c r="H4404" s="219"/>
      <c r="I4404" s="169">
        <v>111242</v>
      </c>
      <c r="J4404" s="304" t="str">
        <f>CONCATENATE([2]Cover!$D$6,"fdd/view?i=",I4404)</f>
        <v>https://www.dgiwg.org/FAD/fdd/view?i=111242</v>
      </c>
      <c r="K4404" s="304" t="s">
        <v>38453</v>
      </c>
      <c r="L4404" s="188">
        <v>20</v>
      </c>
      <c r="M4404" s="179" t="s">
        <v>151</v>
      </c>
    </row>
    <row r="4405" spans="1:13" ht="25.5">
      <c r="A4405" s="313" t="str">
        <f t="shared" si="68"/>
        <v>MaritimeAreaRestrictionCode_internalWaters</v>
      </c>
      <c r="B4405" s="330"/>
      <c r="C4405" s="334"/>
      <c r="D4405" s="188" t="s">
        <v>25546</v>
      </c>
      <c r="E4405" s="189" t="s">
        <v>25547</v>
      </c>
      <c r="F4405" s="162" t="s">
        <v>25548</v>
      </c>
      <c r="G4405" s="190"/>
      <c r="H4405" s="219"/>
      <c r="I4405" s="169">
        <v>111289</v>
      </c>
      <c r="J4405" s="304" t="str">
        <f>CONCATENATE([2]Cover!$D$6,"fdd/view?i=",I4405)</f>
        <v>https://www.dgiwg.org/FAD/fdd/view?i=111289</v>
      </c>
      <c r="K4405" s="304" t="s">
        <v>38454</v>
      </c>
      <c r="L4405" s="188">
        <v>40</v>
      </c>
      <c r="M4405" s="179" t="s">
        <v>151</v>
      </c>
    </row>
    <row r="4406" spans="1:13" ht="76.5">
      <c r="A4406" s="313" t="str">
        <f t="shared" si="68"/>
        <v>MaritimeAreaRestrictionCode_jointEconomicDevelopZone</v>
      </c>
      <c r="B4406" s="330"/>
      <c r="C4406" s="334"/>
      <c r="D4406" s="188" t="s">
        <v>25552</v>
      </c>
      <c r="E4406" s="189" t="s">
        <v>25553</v>
      </c>
      <c r="F4406" s="162" t="s">
        <v>25554</v>
      </c>
      <c r="G4406" s="162" t="s">
        <v>25555</v>
      </c>
      <c r="H4406" s="221" t="s">
        <v>25556</v>
      </c>
      <c r="I4406" s="169">
        <v>111243</v>
      </c>
      <c r="J4406" s="304" t="str">
        <f>CONCATENATE([2]Cover!$D$6,"fdd/view?i=",I4406)</f>
        <v>https://www.dgiwg.org/FAD/fdd/view?i=111243</v>
      </c>
      <c r="K4406" s="304" t="s">
        <v>38455</v>
      </c>
      <c r="L4406" s="188">
        <v>21</v>
      </c>
      <c r="M4406" s="179" t="s">
        <v>151</v>
      </c>
    </row>
    <row r="4407" spans="1:13" ht="38.25">
      <c r="A4407" s="313" t="str">
        <f t="shared" si="68"/>
        <v>MaritimeAreaRestrictionCode_marineNatureReserve</v>
      </c>
      <c r="B4407" s="330"/>
      <c r="C4407" s="334"/>
      <c r="D4407" s="188" t="s">
        <v>25557</v>
      </c>
      <c r="E4407" s="189" t="s">
        <v>25558</v>
      </c>
      <c r="F4407" s="162" t="s">
        <v>25559</v>
      </c>
      <c r="G4407" s="190"/>
      <c r="H4407" s="221" t="s">
        <v>25560</v>
      </c>
      <c r="I4407" s="169">
        <v>111229</v>
      </c>
      <c r="J4407" s="304" t="str">
        <f>CONCATENATE([2]Cover!$D$6,"fdd/view?i=",I4407)</f>
        <v>https://www.dgiwg.org/FAD/fdd/view?i=111229</v>
      </c>
      <c r="K4407" s="304" t="s">
        <v>38456</v>
      </c>
      <c r="L4407" s="188">
        <v>7</v>
      </c>
      <c r="M4407" s="179" t="s">
        <v>151</v>
      </c>
    </row>
    <row r="4408" spans="1:13" ht="51">
      <c r="A4408" s="313" t="str">
        <f t="shared" si="68"/>
        <v>MaritimeAreaRestrictionCode_maritimeMassGrave</v>
      </c>
      <c r="B4408" s="330"/>
      <c r="C4408" s="334"/>
      <c r="D4408" s="188" t="s">
        <v>25561</v>
      </c>
      <c r="E4408" s="189" t="s">
        <v>25562</v>
      </c>
      <c r="F4408" s="162" t="s">
        <v>25563</v>
      </c>
      <c r="G4408" s="162" t="s">
        <v>25564</v>
      </c>
      <c r="H4408" s="219"/>
      <c r="I4408" s="169">
        <v>111244</v>
      </c>
      <c r="J4408" s="304" t="str">
        <f>CONCATENATE([2]Cover!$D$6,"fdd/view?i=",I4408)</f>
        <v>https://www.dgiwg.org/FAD/fdd/view?i=111244</v>
      </c>
      <c r="K4408" s="304" t="s">
        <v>38457</v>
      </c>
      <c r="L4408" s="188">
        <v>22</v>
      </c>
      <c r="M4408" s="179" t="s">
        <v>151</v>
      </c>
    </row>
    <row r="4409" spans="1:13" ht="38.25">
      <c r="A4409" s="313" t="str">
        <f t="shared" si="68"/>
        <v>MaritimeAreaRestrictionCode_marpolReportingArea</v>
      </c>
      <c r="B4409" s="330"/>
      <c r="C4409" s="334"/>
      <c r="D4409" s="188" t="s">
        <v>25565</v>
      </c>
      <c r="E4409" s="189" t="s">
        <v>25566</v>
      </c>
      <c r="F4409" s="162" t="s">
        <v>25567</v>
      </c>
      <c r="G4409" s="190"/>
      <c r="H4409" s="219"/>
      <c r="I4409" s="169">
        <v>111245</v>
      </c>
      <c r="J4409" s="304" t="str">
        <f>CONCATENATE([2]Cover!$D$6,"fdd/view?i=",I4409)</f>
        <v>https://www.dgiwg.org/FAD/fdd/view?i=111245</v>
      </c>
      <c r="K4409" s="304" t="s">
        <v>38458</v>
      </c>
      <c r="L4409" s="188">
        <v>23</v>
      </c>
      <c r="M4409" s="179" t="s">
        <v>151</v>
      </c>
    </row>
    <row r="4410" spans="1:13" ht="25.5">
      <c r="A4410" s="313" t="str">
        <f t="shared" si="68"/>
        <v>MaritimeAreaRestrictionCode_mineDangerArea</v>
      </c>
      <c r="B4410" s="330"/>
      <c r="C4410" s="334"/>
      <c r="D4410" s="188" t="s">
        <v>25568</v>
      </c>
      <c r="E4410" s="189" t="s">
        <v>25569</v>
      </c>
      <c r="F4410" s="162" t="s">
        <v>25570</v>
      </c>
      <c r="G4410" s="162" t="s">
        <v>25536</v>
      </c>
      <c r="H4410" s="219"/>
      <c r="I4410" s="169">
        <v>111246</v>
      </c>
      <c r="J4410" s="304" t="str">
        <f>CONCATENATE([2]Cover!$D$6,"fdd/view?i=",I4410)</f>
        <v>https://www.dgiwg.org/FAD/fdd/view?i=111246</v>
      </c>
      <c r="K4410" s="304" t="s">
        <v>38459</v>
      </c>
      <c r="L4410" s="188">
        <v>24</v>
      </c>
      <c r="M4410" s="179" t="s">
        <v>151</v>
      </c>
    </row>
    <row r="4411" spans="1:13" ht="25.5">
      <c r="A4411" s="313" t="str">
        <f t="shared" si="68"/>
        <v>MaritimeAreaRestrictionCode_naturalGasField</v>
      </c>
      <c r="B4411" s="330"/>
      <c r="C4411" s="334"/>
      <c r="D4411" s="188" t="s">
        <v>25571</v>
      </c>
      <c r="E4411" s="189" t="s">
        <v>25572</v>
      </c>
      <c r="F4411" s="162" t="s">
        <v>25573</v>
      </c>
      <c r="G4411" s="162" t="s">
        <v>25574</v>
      </c>
      <c r="H4411" s="219"/>
      <c r="I4411" s="169">
        <v>111248</v>
      </c>
      <c r="J4411" s="304" t="str">
        <f>CONCATENATE([2]Cover!$D$6,"fdd/view?i=",I4411)</f>
        <v>https://www.dgiwg.org/FAD/fdd/view?i=111248</v>
      </c>
      <c r="K4411" s="304" t="s">
        <v>38460</v>
      </c>
      <c r="L4411" s="188">
        <v>26</v>
      </c>
      <c r="M4411" s="179" t="s">
        <v>151</v>
      </c>
    </row>
    <row r="4412" spans="1:13" ht="25.5">
      <c r="A4412" s="313" t="str">
        <f t="shared" si="68"/>
        <v>MaritimeAreaRestrictionCode_natureReserve</v>
      </c>
      <c r="B4412" s="330"/>
      <c r="C4412" s="334"/>
      <c r="D4412" s="188" t="s">
        <v>25575</v>
      </c>
      <c r="E4412" s="189" t="s">
        <v>25576</v>
      </c>
      <c r="F4412" s="162" t="s">
        <v>25577</v>
      </c>
      <c r="G4412" s="162" t="s">
        <v>25578</v>
      </c>
      <c r="H4412" s="219"/>
      <c r="I4412" s="169">
        <v>111230</v>
      </c>
      <c r="J4412" s="304" t="str">
        <f>CONCATENATE([2]Cover!$D$6,"fdd/view?i=",I4412)</f>
        <v>https://www.dgiwg.org/FAD/fdd/view?i=111230</v>
      </c>
      <c r="K4412" s="304" t="s">
        <v>38461</v>
      </c>
      <c r="L4412" s="188">
        <v>8</v>
      </c>
      <c r="M4412" s="179" t="s">
        <v>151</v>
      </c>
    </row>
    <row r="4413" spans="1:13" ht="25.5">
      <c r="A4413" s="313" t="str">
        <f t="shared" si="68"/>
        <v>MaritimeAreaRestrictionCode_noWakeArea</v>
      </c>
      <c r="B4413" s="330"/>
      <c r="C4413" s="334"/>
      <c r="D4413" s="188" t="s">
        <v>25579</v>
      </c>
      <c r="E4413" s="189" t="s">
        <v>25580</v>
      </c>
      <c r="F4413" s="162" t="s">
        <v>25581</v>
      </c>
      <c r="G4413" s="190"/>
      <c r="H4413" s="219"/>
      <c r="I4413" s="169">
        <v>111325</v>
      </c>
      <c r="J4413" s="304" t="str">
        <f>CONCATENATE([2]Cover!$D$6,"fdd/view?i=",I4413)</f>
        <v>https://www.dgiwg.org/FAD/fdd/view?i=111325</v>
      </c>
      <c r="K4413" s="304" t="s">
        <v>38462</v>
      </c>
      <c r="L4413" s="188">
        <v>41</v>
      </c>
      <c r="M4413" s="179" t="s">
        <v>151</v>
      </c>
    </row>
    <row r="4414" spans="1:13" ht="25.5">
      <c r="A4414" s="313" t="str">
        <f t="shared" si="68"/>
        <v>MaritimeAreaRestrictionCode_petroleumField</v>
      </c>
      <c r="B4414" s="330"/>
      <c r="C4414" s="334"/>
      <c r="D4414" s="188" t="s">
        <v>25582</v>
      </c>
      <c r="E4414" s="189" t="s">
        <v>25583</v>
      </c>
      <c r="F4414" s="162" t="s">
        <v>25584</v>
      </c>
      <c r="G4414" s="162" t="s">
        <v>25574</v>
      </c>
      <c r="H4414" s="221" t="s">
        <v>16198</v>
      </c>
      <c r="I4414" s="169">
        <v>111249</v>
      </c>
      <c r="J4414" s="304" t="str">
        <f>CONCATENATE([2]Cover!$D$6,"fdd/view?i=",I4414)</f>
        <v>https://www.dgiwg.org/FAD/fdd/view?i=111249</v>
      </c>
      <c r="K4414" s="304" t="s">
        <v>38463</v>
      </c>
      <c r="L4414" s="188">
        <v>27</v>
      </c>
      <c r="M4414" s="179" t="s">
        <v>151</v>
      </c>
    </row>
    <row r="4415" spans="1:13" ht="25.5">
      <c r="A4415" s="313" t="str">
        <f t="shared" si="68"/>
        <v>MaritimeAreaRestrictionCode_reclamationArea</v>
      </c>
      <c r="B4415" s="330"/>
      <c r="C4415" s="334"/>
      <c r="D4415" s="188" t="s">
        <v>25585</v>
      </c>
      <c r="E4415" s="189" t="s">
        <v>25586</v>
      </c>
      <c r="F4415" s="162" t="s">
        <v>25587</v>
      </c>
      <c r="G4415" s="190"/>
      <c r="H4415" s="219"/>
      <c r="I4415" s="169">
        <v>111250</v>
      </c>
      <c r="J4415" s="304" t="str">
        <f>CONCATENATE([2]Cover!$D$6,"fdd/view?i=",I4415)</f>
        <v>https://www.dgiwg.org/FAD/fdd/view?i=111250</v>
      </c>
      <c r="K4415" s="304" t="s">
        <v>38464</v>
      </c>
      <c r="L4415" s="188">
        <v>28</v>
      </c>
      <c r="M4415" s="179" t="s">
        <v>151</v>
      </c>
    </row>
    <row r="4416" spans="1:13" ht="25.5">
      <c r="A4416" s="313" t="str">
        <f t="shared" si="68"/>
        <v>MaritimeAreaRestrictionCode_researchArea</v>
      </c>
      <c r="B4416" s="330"/>
      <c r="C4416" s="334"/>
      <c r="D4416" s="188" t="s">
        <v>25588</v>
      </c>
      <c r="E4416" s="189" t="s">
        <v>25589</v>
      </c>
      <c r="F4416" s="162" t="s">
        <v>25590</v>
      </c>
      <c r="G4416" s="190"/>
      <c r="H4416" s="219"/>
      <c r="I4416" s="169">
        <v>111251</v>
      </c>
      <c r="J4416" s="304" t="str">
        <f>CONCATENATE([2]Cover!$D$6,"fdd/view?i=",I4416)</f>
        <v>https://www.dgiwg.org/FAD/fdd/view?i=111251</v>
      </c>
      <c r="K4416" s="304" t="s">
        <v>38465</v>
      </c>
      <c r="L4416" s="188">
        <v>29</v>
      </c>
      <c r="M4416" s="179" t="s">
        <v>151</v>
      </c>
    </row>
    <row r="4417" spans="1:13" ht="25.5">
      <c r="A4417" s="313" t="str">
        <f t="shared" si="68"/>
        <v>MaritimeAreaRestrictionCode_sealSanctuary</v>
      </c>
      <c r="B4417" s="330"/>
      <c r="C4417" s="334"/>
      <c r="D4417" s="188" t="s">
        <v>25591</v>
      </c>
      <c r="E4417" s="189" t="s">
        <v>25592</v>
      </c>
      <c r="F4417" s="162" t="s">
        <v>25593</v>
      </c>
      <c r="G4417" s="190"/>
      <c r="H4417" s="219"/>
      <c r="I4417" s="169">
        <v>111231</v>
      </c>
      <c r="J4417" s="304" t="str">
        <f>CONCATENATE([2]Cover!$D$6,"fdd/view?i=",I4417)</f>
        <v>https://www.dgiwg.org/FAD/fdd/view?i=111231</v>
      </c>
      <c r="K4417" s="304" t="s">
        <v>38466</v>
      </c>
      <c r="L4417" s="188">
        <v>9</v>
      </c>
      <c r="M4417" s="179" t="s">
        <v>151</v>
      </c>
    </row>
    <row r="4418" spans="1:13" ht="25.5">
      <c r="A4418" s="313" t="str">
        <f t="shared" si="68"/>
        <v>MaritimeAreaRestrictionCode_strandingDangerArea</v>
      </c>
      <c r="B4418" s="330"/>
      <c r="C4418" s="334"/>
      <c r="D4418" s="188" t="s">
        <v>25594</v>
      </c>
      <c r="E4418" s="189" t="s">
        <v>25595</v>
      </c>
      <c r="F4418" s="162" t="s">
        <v>25596</v>
      </c>
      <c r="G4418" s="190"/>
      <c r="H4418" s="219"/>
      <c r="I4418" s="169">
        <v>111252</v>
      </c>
      <c r="J4418" s="304" t="str">
        <f>CONCATENATE([2]Cover!$D$6,"fdd/view?i=",I4418)</f>
        <v>https://www.dgiwg.org/FAD/fdd/view?i=111252</v>
      </c>
      <c r="K4418" s="304" t="s">
        <v>38467</v>
      </c>
      <c r="L4418" s="188">
        <v>30</v>
      </c>
      <c r="M4418" s="179" t="s">
        <v>151</v>
      </c>
    </row>
    <row r="4419" spans="1:13" ht="25.5">
      <c r="A4419" s="313" t="str">
        <f t="shared" ref="A4419:A4482" si="69">HYPERLINK(J4419,K4419)</f>
        <v>MaritimeAreaRestrictionCode_swimmingArea</v>
      </c>
      <c r="B4419" s="330"/>
      <c r="C4419" s="334"/>
      <c r="D4419" s="188" t="s">
        <v>25597</v>
      </c>
      <c r="E4419" s="189" t="s">
        <v>25598</v>
      </c>
      <c r="F4419" s="162" t="s">
        <v>25599</v>
      </c>
      <c r="G4419" s="190"/>
      <c r="H4419" s="219"/>
      <c r="I4419" s="169">
        <v>111253</v>
      </c>
      <c r="J4419" s="304" t="str">
        <f>CONCATENATE([2]Cover!$D$6,"fdd/view?i=",I4419)</f>
        <v>https://www.dgiwg.org/FAD/fdd/view?i=111253</v>
      </c>
      <c r="K4419" s="304" t="s">
        <v>38468</v>
      </c>
      <c r="L4419" s="188">
        <v>31</v>
      </c>
      <c r="M4419" s="179" t="s">
        <v>151</v>
      </c>
    </row>
    <row r="4420" spans="1:13" ht="25.5">
      <c r="A4420" s="313" t="str">
        <f t="shared" si="69"/>
        <v>MaritimeAreaRestrictionCode_swingingArea</v>
      </c>
      <c r="B4420" s="330"/>
      <c r="C4420" s="334"/>
      <c r="D4420" s="188" t="s">
        <v>25600</v>
      </c>
      <c r="E4420" s="189" t="s">
        <v>25601</v>
      </c>
      <c r="F4420" s="162" t="s">
        <v>25602</v>
      </c>
      <c r="G4420" s="190"/>
      <c r="H4420" s="221" t="s">
        <v>25603</v>
      </c>
      <c r="I4420" s="169">
        <v>111254</v>
      </c>
      <c r="J4420" s="304" t="str">
        <f>CONCATENATE([2]Cover!$D$6,"fdd/view?i=",I4420)</f>
        <v>https://www.dgiwg.org/FAD/fdd/view?i=111254</v>
      </c>
      <c r="K4420" s="304" t="s">
        <v>38469</v>
      </c>
      <c r="L4420" s="188">
        <v>32</v>
      </c>
      <c r="M4420" s="179" t="s">
        <v>151</v>
      </c>
    </row>
    <row r="4421" spans="1:13" ht="25.5">
      <c r="A4421" s="313" t="str">
        <f t="shared" si="69"/>
        <v>MaritimeAreaRestrictionCode_territorialSeaArea</v>
      </c>
      <c r="B4421" s="330"/>
      <c r="C4421" s="334"/>
      <c r="D4421" s="188" t="s">
        <v>25604</v>
      </c>
      <c r="E4421" s="189" t="s">
        <v>25605</v>
      </c>
      <c r="F4421" s="162" t="s">
        <v>25606</v>
      </c>
      <c r="G4421" s="190"/>
      <c r="H4421" s="219"/>
      <c r="I4421" s="169">
        <v>111288</v>
      </c>
      <c r="J4421" s="304" t="str">
        <f>CONCATENATE([2]Cover!$D$6,"fdd/view?i=",I4421)</f>
        <v>https://www.dgiwg.org/FAD/fdd/view?i=111288</v>
      </c>
      <c r="K4421" s="304" t="s">
        <v>38470</v>
      </c>
      <c r="L4421" s="188">
        <v>39</v>
      </c>
      <c r="M4421" s="179" t="s">
        <v>151</v>
      </c>
    </row>
    <row r="4422" spans="1:13" ht="51">
      <c r="A4422" s="313" t="str">
        <f t="shared" si="69"/>
        <v>MaritimeAreaRestrictionCode_trafficServicesLimit</v>
      </c>
      <c r="B4422" s="330"/>
      <c r="C4422" s="334"/>
      <c r="D4422" s="188" t="s">
        <v>25607</v>
      </c>
      <c r="E4422" s="189" t="s">
        <v>25608</v>
      </c>
      <c r="F4422" s="162" t="s">
        <v>25609</v>
      </c>
      <c r="G4422" s="162" t="s">
        <v>25610</v>
      </c>
      <c r="H4422" s="219"/>
      <c r="I4422" s="169">
        <v>111326</v>
      </c>
      <c r="J4422" s="304" t="str">
        <f>CONCATENATE([2]Cover!$D$6,"fdd/view?i=",I4422)</f>
        <v>https://www.dgiwg.org/FAD/fdd/view?i=111326</v>
      </c>
      <c r="K4422" s="304" t="s">
        <v>38471</v>
      </c>
      <c r="L4422" s="188">
        <v>42</v>
      </c>
      <c r="M4422" s="179" t="s">
        <v>151</v>
      </c>
    </row>
    <row r="4423" spans="1:13" ht="25.5">
      <c r="A4423" s="313" t="str">
        <f t="shared" si="69"/>
        <v>MaritimeAreaRestrictionCode_unilateralFishingZone</v>
      </c>
      <c r="B4423" s="330"/>
      <c r="C4423" s="334"/>
      <c r="D4423" s="188" t="s">
        <v>25611</v>
      </c>
      <c r="E4423" s="189" t="s">
        <v>25612</v>
      </c>
      <c r="F4423" s="162" t="s">
        <v>25613</v>
      </c>
      <c r="G4423" s="190"/>
      <c r="H4423" s="219"/>
      <c r="I4423" s="169">
        <v>111235</v>
      </c>
      <c r="J4423" s="304" t="str">
        <f>CONCATENATE([2]Cover!$D$6,"fdd/view?i=",I4423)</f>
        <v>https://www.dgiwg.org/FAD/fdd/view?i=111235</v>
      </c>
      <c r="K4423" s="304" t="s">
        <v>38472</v>
      </c>
      <c r="L4423" s="188">
        <v>13</v>
      </c>
      <c r="M4423" s="179" t="s">
        <v>151</v>
      </c>
    </row>
    <row r="4424" spans="1:13" ht="25.5">
      <c r="A4424" s="313" t="str">
        <f t="shared" si="69"/>
        <v>MaritimeAreaRestrictionCode_unrestrictedArea</v>
      </c>
      <c r="B4424" s="330"/>
      <c r="C4424" s="334"/>
      <c r="D4424" s="188" t="s">
        <v>25614</v>
      </c>
      <c r="E4424" s="189" t="s">
        <v>25615</v>
      </c>
      <c r="F4424" s="162" t="s">
        <v>25616</v>
      </c>
      <c r="G4424" s="190"/>
      <c r="H4424" s="219"/>
      <c r="I4424" s="169">
        <v>111223</v>
      </c>
      <c r="J4424" s="304" t="str">
        <f>CONCATENATE([2]Cover!$D$6,"fdd/view?i=",I4424)</f>
        <v>https://www.dgiwg.org/FAD/fdd/view?i=111223</v>
      </c>
      <c r="K4424" s="304" t="s">
        <v>38473</v>
      </c>
      <c r="L4424" s="188">
        <v>1</v>
      </c>
      <c r="M4424" s="179" t="s">
        <v>151</v>
      </c>
    </row>
    <row r="4425" spans="1:13" ht="25.5">
      <c r="A4425" s="313" t="str">
        <f t="shared" si="69"/>
        <v>MaritimeAreaRestrictionCode_waitingArea</v>
      </c>
      <c r="B4425" s="330"/>
      <c r="C4425" s="334"/>
      <c r="D4425" s="188" t="s">
        <v>25617</v>
      </c>
      <c r="E4425" s="189" t="s">
        <v>25618</v>
      </c>
      <c r="F4425" s="162" t="s">
        <v>25619</v>
      </c>
      <c r="G4425" s="190"/>
      <c r="H4425" s="219"/>
      <c r="I4425" s="169">
        <v>111255</v>
      </c>
      <c r="J4425" s="304" t="str">
        <f>CONCATENATE([2]Cover!$D$6,"fdd/view?i=",I4425)</f>
        <v>https://www.dgiwg.org/FAD/fdd/view?i=111255</v>
      </c>
      <c r="K4425" s="304" t="s">
        <v>38474</v>
      </c>
      <c r="L4425" s="188">
        <v>33</v>
      </c>
      <c r="M4425" s="179" t="s">
        <v>151</v>
      </c>
    </row>
    <row r="4426" spans="1:13" ht="25.5">
      <c r="A4426" s="313" t="str">
        <f t="shared" si="69"/>
        <v>MaritimeAreaRestrictionCode_waterSkiingArea</v>
      </c>
      <c r="B4426" s="331"/>
      <c r="C4426" s="335"/>
      <c r="D4426" s="181" t="s">
        <v>25620</v>
      </c>
      <c r="E4426" s="192" t="s">
        <v>25621</v>
      </c>
      <c r="F4426" s="193" t="s">
        <v>25622</v>
      </c>
      <c r="G4426" s="194"/>
      <c r="H4426" s="220"/>
      <c r="I4426" s="169">
        <v>111256</v>
      </c>
      <c r="J4426" s="304" t="str">
        <f>CONCATENATE([2]Cover!$D$6,"fdd/view?i=",I4426)</f>
        <v>https://www.dgiwg.org/FAD/fdd/view?i=111256</v>
      </c>
      <c r="K4426" s="304" t="s">
        <v>38475</v>
      </c>
      <c r="L4426" s="181">
        <v>34</v>
      </c>
      <c r="M4426" s="179" t="s">
        <v>151</v>
      </c>
    </row>
    <row r="4427" spans="1:13" ht="25.5">
      <c r="A4427" s="313" t="str">
        <f t="shared" si="69"/>
        <v>MaritimeCautionTypeCode_cargoTransshipment</v>
      </c>
      <c r="B4427" s="332" t="str">
        <f>HYPERLINK("[#]Datatypes!A830:L830","MaritimeCautionTypeCode")</f>
        <v>MaritimeCautionTypeCode</v>
      </c>
      <c r="C4427" s="333" t="s">
        <v>12415</v>
      </c>
      <c r="D4427" s="202" t="s">
        <v>25623</v>
      </c>
      <c r="E4427" s="203" t="s">
        <v>25624</v>
      </c>
      <c r="F4427" s="204" t="s">
        <v>25625</v>
      </c>
      <c r="G4427" s="205"/>
      <c r="H4427" s="218"/>
      <c r="I4427" s="169">
        <v>111149</v>
      </c>
      <c r="J4427" s="304" t="str">
        <f>CONCATENATE([2]Cover!$D$6,"fdd/view?i=",I4427)</f>
        <v>https://www.dgiwg.org/FAD/fdd/view?i=111149</v>
      </c>
      <c r="K4427" s="304" t="s">
        <v>38476</v>
      </c>
      <c r="L4427" s="202">
        <v>1</v>
      </c>
      <c r="M4427" s="179" t="s">
        <v>151</v>
      </c>
    </row>
    <row r="4428" spans="1:13" ht="38.25">
      <c r="A4428" s="313" t="str">
        <f t="shared" si="69"/>
        <v>MaritimeCautionTypeCode_clearingLine</v>
      </c>
      <c r="B4428" s="330"/>
      <c r="C4428" s="334"/>
      <c r="D4428" s="188" t="s">
        <v>18575</v>
      </c>
      <c r="E4428" s="189" t="s">
        <v>18576</v>
      </c>
      <c r="F4428" s="162" t="s">
        <v>25626</v>
      </c>
      <c r="G4428" s="162" t="s">
        <v>25627</v>
      </c>
      <c r="H4428" s="219"/>
      <c r="I4428" s="169">
        <v>111319</v>
      </c>
      <c r="J4428" s="304" t="str">
        <f>CONCATENATE([2]Cover!$D$6,"fdd/view?i=",I4428)</f>
        <v>https://www.dgiwg.org/FAD/fdd/view?i=111319</v>
      </c>
      <c r="K4428" s="304" t="s">
        <v>38477</v>
      </c>
      <c r="L4428" s="188">
        <v>10</v>
      </c>
      <c r="M4428" s="179" t="s">
        <v>151</v>
      </c>
    </row>
    <row r="4429" spans="1:13" ht="25.5">
      <c r="A4429" s="313" t="str">
        <f t="shared" si="69"/>
        <v>MaritimeCautionTypeCode_colregsDemarcationLine</v>
      </c>
      <c r="B4429" s="330"/>
      <c r="C4429" s="334"/>
      <c r="D4429" s="188" t="s">
        <v>25628</v>
      </c>
      <c r="E4429" s="189" t="s">
        <v>25629</v>
      </c>
      <c r="F4429" s="162" t="s">
        <v>25630</v>
      </c>
      <c r="G4429" s="190"/>
      <c r="H4429" s="219"/>
      <c r="I4429" s="169">
        <v>111320</v>
      </c>
      <c r="J4429" s="304" t="str">
        <f>CONCATENATE([2]Cover!$D$6,"fdd/view?i=",I4429)</f>
        <v>https://www.dgiwg.org/FAD/fdd/view?i=111320</v>
      </c>
      <c r="K4429" s="304" t="s">
        <v>38478</v>
      </c>
      <c r="L4429" s="188">
        <v>11</v>
      </c>
      <c r="M4429" s="179" t="s">
        <v>151</v>
      </c>
    </row>
    <row r="4430" spans="1:13" ht="25.5">
      <c r="A4430" s="313" t="str">
        <f t="shared" si="69"/>
        <v>MaritimeCautionTypeCode_harbourArea</v>
      </c>
      <c r="B4430" s="330"/>
      <c r="C4430" s="334"/>
      <c r="D4430" s="188" t="s">
        <v>25631</v>
      </c>
      <c r="E4430" s="189" t="s">
        <v>25632</v>
      </c>
      <c r="F4430" s="162" t="s">
        <v>25633</v>
      </c>
      <c r="G4430" s="190"/>
      <c r="H4430" s="219"/>
      <c r="I4430" s="169">
        <v>111321</v>
      </c>
      <c r="J4430" s="304" t="str">
        <f>CONCATENATE([2]Cover!$D$6,"fdd/view?i=",I4430)</f>
        <v>https://www.dgiwg.org/FAD/fdd/view?i=111321</v>
      </c>
      <c r="K4430" s="304" t="s">
        <v>38479</v>
      </c>
      <c r="L4430" s="188">
        <v>12</v>
      </c>
      <c r="M4430" s="179" t="s">
        <v>151</v>
      </c>
    </row>
    <row r="4431" spans="1:13" ht="25.5">
      <c r="A4431" s="313" t="str">
        <f t="shared" si="69"/>
        <v>MaritimeCautionTypeCode_iceAdvisory</v>
      </c>
      <c r="B4431" s="330"/>
      <c r="C4431" s="334"/>
      <c r="D4431" s="188" t="s">
        <v>25634</v>
      </c>
      <c r="E4431" s="189" t="s">
        <v>25635</v>
      </c>
      <c r="F4431" s="162" t="s">
        <v>25636</v>
      </c>
      <c r="G4431" s="190"/>
      <c r="H4431" s="219"/>
      <c r="I4431" s="169">
        <v>111150</v>
      </c>
      <c r="J4431" s="304" t="str">
        <f>CONCATENATE([2]Cover!$D$6,"fdd/view?i=",I4431)</f>
        <v>https://www.dgiwg.org/FAD/fdd/view?i=111150</v>
      </c>
      <c r="K4431" s="304" t="s">
        <v>38480</v>
      </c>
      <c r="L4431" s="188">
        <v>2</v>
      </c>
      <c r="M4431" s="179" t="s">
        <v>151</v>
      </c>
    </row>
    <row r="4432" spans="1:13" ht="25.5">
      <c r="A4432" s="313" t="str">
        <f t="shared" si="69"/>
        <v>MaritimeCautionTypeCode_intakeArea</v>
      </c>
      <c r="B4432" s="330"/>
      <c r="C4432" s="334"/>
      <c r="D4432" s="188" t="s">
        <v>25637</v>
      </c>
      <c r="E4432" s="189" t="s">
        <v>25638</v>
      </c>
      <c r="F4432" s="162" t="s">
        <v>25639</v>
      </c>
      <c r="G4432" s="190"/>
      <c r="H4432" s="219"/>
      <c r="I4432" s="169">
        <v>111151</v>
      </c>
      <c r="J4432" s="304" t="str">
        <f>CONCATENATE([2]Cover!$D$6,"fdd/view?i=",I4432)</f>
        <v>https://www.dgiwg.org/FAD/fdd/view?i=111151</v>
      </c>
      <c r="K4432" s="304" t="s">
        <v>38481</v>
      </c>
      <c r="L4432" s="188">
        <v>3</v>
      </c>
      <c r="M4432" s="179" t="s">
        <v>151</v>
      </c>
    </row>
    <row r="4433" spans="1:13" ht="63.75">
      <c r="A4433" s="313" t="str">
        <f t="shared" si="69"/>
        <v>MaritimeCautionTypeCode_oceanCurrentMargin</v>
      </c>
      <c r="B4433" s="330"/>
      <c r="C4433" s="334"/>
      <c r="D4433" s="188" t="s">
        <v>25640</v>
      </c>
      <c r="E4433" s="189" t="s">
        <v>25641</v>
      </c>
      <c r="F4433" s="162" t="s">
        <v>25642</v>
      </c>
      <c r="G4433" s="162" t="s">
        <v>25643</v>
      </c>
      <c r="H4433" s="219"/>
      <c r="I4433" s="169">
        <v>112765</v>
      </c>
      <c r="J4433" s="304" t="str">
        <f>CONCATENATE([2]Cover!$D$6,"fdd/view?i=",I4433)</f>
        <v>https://www.dgiwg.org/FAD/fdd/view?i=112765</v>
      </c>
      <c r="K4433" s="304" t="s">
        <v>38482</v>
      </c>
      <c r="L4433" s="188">
        <v>13</v>
      </c>
      <c r="M4433" s="179" t="s">
        <v>151</v>
      </c>
    </row>
    <row r="4434" spans="1:13" ht="38.25">
      <c r="A4434" s="313" t="str">
        <f t="shared" si="69"/>
        <v>MaritimeCautionTypeCode_outfallArea</v>
      </c>
      <c r="B4434" s="330"/>
      <c r="C4434" s="334"/>
      <c r="D4434" s="188" t="s">
        <v>25644</v>
      </c>
      <c r="E4434" s="189" t="s">
        <v>25645</v>
      </c>
      <c r="F4434" s="162" t="s">
        <v>25646</v>
      </c>
      <c r="G4434" s="190"/>
      <c r="H4434" s="219"/>
      <c r="I4434" s="169">
        <v>111152</v>
      </c>
      <c r="J4434" s="304" t="str">
        <f>CONCATENATE([2]Cover!$D$6,"fdd/view?i=",I4434)</f>
        <v>https://www.dgiwg.org/FAD/fdd/view?i=111152</v>
      </c>
      <c r="K4434" s="304" t="s">
        <v>38483</v>
      </c>
      <c r="L4434" s="188">
        <v>4</v>
      </c>
      <c r="M4434" s="179" t="s">
        <v>151</v>
      </c>
    </row>
    <row r="4435" spans="1:13" ht="25.5">
      <c r="A4435" s="313" t="str">
        <f t="shared" si="69"/>
        <v>MaritimeCautionTypeCode_pollutionZone</v>
      </c>
      <c r="B4435" s="330"/>
      <c r="C4435" s="334"/>
      <c r="D4435" s="188" t="s">
        <v>25647</v>
      </c>
      <c r="E4435" s="189" t="s">
        <v>25648</v>
      </c>
      <c r="F4435" s="162" t="s">
        <v>25649</v>
      </c>
      <c r="G4435" s="190"/>
      <c r="H4435" s="219"/>
      <c r="I4435" s="169">
        <v>111153</v>
      </c>
      <c r="J4435" s="304" t="str">
        <f>CONCATENATE([2]Cover!$D$6,"fdd/view?i=",I4435)</f>
        <v>https://www.dgiwg.org/FAD/fdd/view?i=111153</v>
      </c>
      <c r="K4435" s="304" t="s">
        <v>38484</v>
      </c>
      <c r="L4435" s="188">
        <v>5</v>
      </c>
      <c r="M4435" s="179" t="s">
        <v>151</v>
      </c>
    </row>
    <row r="4436" spans="1:13" ht="25.5">
      <c r="A4436" s="313" t="str">
        <f t="shared" si="69"/>
        <v>MaritimeCautionTypeCode_submarineCable</v>
      </c>
      <c r="B4436" s="330"/>
      <c r="C4436" s="334"/>
      <c r="D4436" s="188" t="s">
        <v>25650</v>
      </c>
      <c r="E4436" s="189" t="s">
        <v>25651</v>
      </c>
      <c r="F4436" s="162" t="s">
        <v>25652</v>
      </c>
      <c r="G4436" s="190"/>
      <c r="H4436" s="219"/>
      <c r="I4436" s="169">
        <v>111154</v>
      </c>
      <c r="J4436" s="304" t="str">
        <f>CONCATENATE([2]Cover!$D$6,"fdd/view?i=",I4436)</f>
        <v>https://www.dgiwg.org/FAD/fdd/view?i=111154</v>
      </c>
      <c r="K4436" s="304" t="s">
        <v>38485</v>
      </c>
      <c r="L4436" s="188">
        <v>6</v>
      </c>
      <c r="M4436" s="179" t="s">
        <v>151</v>
      </c>
    </row>
    <row r="4437" spans="1:13" ht="25.5">
      <c r="A4437" s="313" t="str">
        <f t="shared" si="69"/>
        <v>MaritimeCautionTypeCode_submarinePipeline</v>
      </c>
      <c r="B4437" s="330"/>
      <c r="C4437" s="334"/>
      <c r="D4437" s="188" t="s">
        <v>25653</v>
      </c>
      <c r="E4437" s="189" t="s">
        <v>25654</v>
      </c>
      <c r="F4437" s="162" t="s">
        <v>25655</v>
      </c>
      <c r="G4437" s="190"/>
      <c r="H4437" s="219"/>
      <c r="I4437" s="169">
        <v>111155</v>
      </c>
      <c r="J4437" s="304" t="str">
        <f>CONCATENATE([2]Cover!$D$6,"fdd/view?i=",I4437)</f>
        <v>https://www.dgiwg.org/FAD/fdd/view?i=111155</v>
      </c>
      <c r="K4437" s="304" t="s">
        <v>38486</v>
      </c>
      <c r="L4437" s="188">
        <v>7</v>
      </c>
      <c r="M4437" s="179" t="s">
        <v>151</v>
      </c>
    </row>
    <row r="4438" spans="1:13" ht="25.5">
      <c r="A4438" s="313" t="str">
        <f t="shared" si="69"/>
        <v>MaritimeCautionTypeCode_submarineSewer</v>
      </c>
      <c r="B4438" s="330"/>
      <c r="C4438" s="334"/>
      <c r="D4438" s="188" t="s">
        <v>25656</v>
      </c>
      <c r="E4438" s="189" t="s">
        <v>25657</v>
      </c>
      <c r="F4438" s="162" t="s">
        <v>25658</v>
      </c>
      <c r="G4438" s="190"/>
      <c r="H4438" s="219"/>
      <c r="I4438" s="169">
        <v>111156</v>
      </c>
      <c r="J4438" s="304" t="str">
        <f>CONCATENATE([2]Cover!$D$6,"fdd/view?i=",I4438)</f>
        <v>https://www.dgiwg.org/FAD/fdd/view?i=111156</v>
      </c>
      <c r="K4438" s="304" t="s">
        <v>38487</v>
      </c>
      <c r="L4438" s="188">
        <v>8</v>
      </c>
      <c r="M4438" s="179" t="s">
        <v>151</v>
      </c>
    </row>
    <row r="4439" spans="1:13" ht="76.5">
      <c r="A4439" s="313" t="str">
        <f t="shared" si="69"/>
        <v>MaritimeCautionTypeCode_unexplodedOrdnance</v>
      </c>
      <c r="B4439" s="330"/>
      <c r="C4439" s="334"/>
      <c r="D4439" s="188" t="s">
        <v>19303</v>
      </c>
      <c r="E4439" s="189" t="s">
        <v>25659</v>
      </c>
      <c r="F4439" s="162" t="s">
        <v>25660</v>
      </c>
      <c r="G4439" s="162" t="s">
        <v>25661</v>
      </c>
      <c r="H4439" s="219"/>
      <c r="I4439" s="169">
        <v>111157</v>
      </c>
      <c r="J4439" s="304" t="str">
        <f>CONCATENATE([2]Cover!$D$6,"fdd/view?i=",I4439)</f>
        <v>https://www.dgiwg.org/FAD/fdd/view?i=111157</v>
      </c>
      <c r="K4439" s="304" t="s">
        <v>38488</v>
      </c>
      <c r="L4439" s="188">
        <v>9</v>
      </c>
      <c r="M4439" s="179" t="s">
        <v>151</v>
      </c>
    </row>
    <row r="4440" spans="1:13" ht="25.5">
      <c r="A4440" s="313" t="str">
        <f t="shared" si="69"/>
        <v>MaritimeCautionTypeCode_unsurveyedArea</v>
      </c>
      <c r="B4440" s="330"/>
      <c r="C4440" s="334"/>
      <c r="D4440" s="188" t="s">
        <v>25662</v>
      </c>
      <c r="E4440" s="189" t="s">
        <v>25663</v>
      </c>
      <c r="F4440" s="162" t="s">
        <v>25664</v>
      </c>
      <c r="G4440" s="190"/>
      <c r="H4440" s="219"/>
      <c r="I4440" s="169">
        <v>207790</v>
      </c>
      <c r="J4440" s="304" t="str">
        <f>CONCATENATE([2]Cover!$D$6,"fdd/view?i=",I4440)</f>
        <v>https://www.dgiwg.org/FAD/fdd/view?i=207790</v>
      </c>
      <c r="K4440" s="304" t="s">
        <v>38489</v>
      </c>
      <c r="L4440" s="188">
        <v>15</v>
      </c>
      <c r="M4440" s="179" t="s">
        <v>1295</v>
      </c>
    </row>
    <row r="4441" spans="1:13" ht="76.5">
      <c r="A4441" s="313" t="str">
        <f t="shared" si="69"/>
        <v>MaritimeCautionTypeCode_worksInProgressArea</v>
      </c>
      <c r="B4441" s="331"/>
      <c r="C4441" s="335"/>
      <c r="D4441" s="181" t="s">
        <v>25665</v>
      </c>
      <c r="E4441" s="192" t="s">
        <v>25666</v>
      </c>
      <c r="F4441" s="193" t="s">
        <v>25667</v>
      </c>
      <c r="G4441" s="193" t="s">
        <v>25668</v>
      </c>
      <c r="H4441" s="220"/>
      <c r="I4441" s="169">
        <v>112766</v>
      </c>
      <c r="J4441" s="304" t="str">
        <f>CONCATENATE([2]Cover!$D$6,"fdd/view?i=",I4441)</f>
        <v>https://www.dgiwg.org/FAD/fdd/view?i=112766</v>
      </c>
      <c r="K4441" s="304" t="s">
        <v>38490</v>
      </c>
      <c r="L4441" s="181">
        <v>14</v>
      </c>
      <c r="M4441" s="179" t="s">
        <v>151</v>
      </c>
    </row>
    <row r="4442" spans="1:13" ht="38.25">
      <c r="A4442" s="313" t="str">
        <f t="shared" si="69"/>
        <v>MaritimeGeoLimitTypeCode_contiguousZoneLimit</v>
      </c>
      <c r="B4442" s="332" t="str">
        <f>HYPERLINK("[#]Datatypes!A832:L832","MaritimeGeoLimitTypeCode")</f>
        <v>MaritimeGeoLimitTypeCode</v>
      </c>
      <c r="C4442" s="333" t="s">
        <v>12417</v>
      </c>
      <c r="D4442" s="202" t="s">
        <v>25669</v>
      </c>
      <c r="E4442" s="203" t="s">
        <v>25670</v>
      </c>
      <c r="F4442" s="204" t="s">
        <v>25671</v>
      </c>
      <c r="G4442" s="204" t="s">
        <v>25502</v>
      </c>
      <c r="H4442" s="218"/>
      <c r="I4442" s="169">
        <v>111127</v>
      </c>
      <c r="J4442" s="304" t="str">
        <f>CONCATENATE([2]Cover!$D$6,"fdd/view?i=",I4442)</f>
        <v>https://www.dgiwg.org/FAD/fdd/view?i=111127</v>
      </c>
      <c r="K4442" s="304" t="s">
        <v>38491</v>
      </c>
      <c r="L4442" s="202">
        <v>5</v>
      </c>
      <c r="M4442" s="179" t="s">
        <v>151</v>
      </c>
    </row>
    <row r="4443" spans="1:13" ht="153">
      <c r="A4443" s="313" t="str">
        <f t="shared" si="69"/>
        <v>MaritimeGeoLimitTypeCode_continentalShelfLimit</v>
      </c>
      <c r="B4443" s="330"/>
      <c r="C4443" s="334"/>
      <c r="D4443" s="188" t="s">
        <v>25672</v>
      </c>
      <c r="E4443" s="189" t="s">
        <v>25673</v>
      </c>
      <c r="F4443" s="162" t="s">
        <v>25674</v>
      </c>
      <c r="G4443" s="162" t="s">
        <v>18220</v>
      </c>
      <c r="H4443" s="219"/>
      <c r="I4443" s="169">
        <v>111128</v>
      </c>
      <c r="J4443" s="304" t="str">
        <f>CONCATENATE([2]Cover!$D$6,"fdd/view?i=",I4443)</f>
        <v>https://www.dgiwg.org/FAD/fdd/view?i=111128</v>
      </c>
      <c r="K4443" s="304" t="s">
        <v>38492</v>
      </c>
      <c r="L4443" s="188">
        <v>6</v>
      </c>
      <c r="M4443" s="179" t="s">
        <v>151</v>
      </c>
    </row>
    <row r="4444" spans="1:13" ht="25.5">
      <c r="A4444" s="313" t="str">
        <f t="shared" si="69"/>
        <v>MaritimeGeoLimitTypeCode_customsBoundary</v>
      </c>
      <c r="B4444" s="330"/>
      <c r="C4444" s="334"/>
      <c r="D4444" s="188" t="s">
        <v>25675</v>
      </c>
      <c r="E4444" s="189" t="s">
        <v>25676</v>
      </c>
      <c r="F4444" s="162" t="s">
        <v>25677</v>
      </c>
      <c r="G4444" s="190"/>
      <c r="H4444" s="219"/>
      <c r="I4444" s="169">
        <v>111322</v>
      </c>
      <c r="J4444" s="304" t="str">
        <f>CONCATENATE([2]Cover!$D$6,"fdd/view?i=",I4444)</f>
        <v>https://www.dgiwg.org/FAD/fdd/view?i=111322</v>
      </c>
      <c r="K4444" s="304" t="s">
        <v>38493</v>
      </c>
      <c r="L4444" s="188">
        <v>9</v>
      </c>
      <c r="M4444" s="179" t="s">
        <v>151</v>
      </c>
    </row>
    <row r="4445" spans="1:13" ht="63.75">
      <c r="A4445" s="313" t="str">
        <f t="shared" si="69"/>
        <v>MaritimeGeoLimitTypeCode_exclusiveEcoZoneLimit</v>
      </c>
      <c r="B4445" s="330"/>
      <c r="C4445" s="334"/>
      <c r="D4445" s="188" t="s">
        <v>25678</v>
      </c>
      <c r="E4445" s="189" t="s">
        <v>25679</v>
      </c>
      <c r="F4445" s="162" t="s">
        <v>25680</v>
      </c>
      <c r="G4445" s="190"/>
      <c r="H4445" s="219"/>
      <c r="I4445" s="169">
        <v>111130</v>
      </c>
      <c r="J4445" s="304" t="str">
        <f>CONCATENATE([2]Cover!$D$6,"fdd/view?i=",I4445)</f>
        <v>https://www.dgiwg.org/FAD/fdd/view?i=111130</v>
      </c>
      <c r="K4445" s="304" t="s">
        <v>38494</v>
      </c>
      <c r="L4445" s="188">
        <v>8</v>
      </c>
      <c r="M4445" s="179" t="s">
        <v>151</v>
      </c>
    </row>
    <row r="4446" spans="1:13" ht="114.75">
      <c r="A4446" s="313" t="str">
        <f t="shared" si="69"/>
        <v>MaritimeGeoLimitTypeCode_extendContinentShelfLimit</v>
      </c>
      <c r="B4446" s="330"/>
      <c r="C4446" s="334"/>
      <c r="D4446" s="188" t="s">
        <v>25681</v>
      </c>
      <c r="E4446" s="189" t="s">
        <v>25682</v>
      </c>
      <c r="F4446" s="162" t="s">
        <v>25683</v>
      </c>
      <c r="G4446" s="162" t="s">
        <v>18183</v>
      </c>
      <c r="H4446" s="219"/>
      <c r="I4446" s="169">
        <v>111129</v>
      </c>
      <c r="J4446" s="304" t="str">
        <f>CONCATENATE([2]Cover!$D$6,"fdd/view?i=",I4446)</f>
        <v>https://www.dgiwg.org/FAD/fdd/view?i=111129</v>
      </c>
      <c r="K4446" s="304" t="s">
        <v>38495</v>
      </c>
      <c r="L4446" s="188">
        <v>7</v>
      </c>
      <c r="M4446" s="179" t="s">
        <v>151</v>
      </c>
    </row>
    <row r="4447" spans="1:13" ht="25.5">
      <c r="A4447" s="313" t="str">
        <f t="shared" si="69"/>
        <v>MaritimeGeoLimitTypeCode_internationalBoundary</v>
      </c>
      <c r="B4447" s="330"/>
      <c r="C4447" s="334"/>
      <c r="D4447" s="188" t="s">
        <v>25684</v>
      </c>
      <c r="E4447" s="189" t="s">
        <v>25685</v>
      </c>
      <c r="F4447" s="162" t="s">
        <v>25686</v>
      </c>
      <c r="G4447" s="190"/>
      <c r="H4447" s="219"/>
      <c r="I4447" s="169">
        <v>111123</v>
      </c>
      <c r="J4447" s="304" t="str">
        <f>CONCATENATE([2]Cover!$D$6,"fdd/view?i=",I4447)</f>
        <v>https://www.dgiwg.org/FAD/fdd/view?i=111123</v>
      </c>
      <c r="K4447" s="304" t="s">
        <v>38496</v>
      </c>
      <c r="L4447" s="188">
        <v>1</v>
      </c>
      <c r="M4447" s="179" t="s">
        <v>151</v>
      </c>
    </row>
    <row r="4448" spans="1:13" ht="25.5">
      <c r="A4448" s="313" t="str">
        <f t="shared" si="69"/>
        <v>MaritimeGeoLimitTypeCode_territorialSeaBaseline</v>
      </c>
      <c r="B4448" s="330"/>
      <c r="C4448" s="334"/>
      <c r="D4448" s="188" t="s">
        <v>25687</v>
      </c>
      <c r="E4448" s="189" t="s">
        <v>25688</v>
      </c>
      <c r="F4448" s="162" t="s">
        <v>25689</v>
      </c>
      <c r="G4448" s="190"/>
      <c r="H4448" s="221" t="s">
        <v>25690</v>
      </c>
      <c r="I4448" s="169">
        <v>111124</v>
      </c>
      <c r="J4448" s="304" t="str">
        <f>CONCATENATE([2]Cover!$D$6,"fdd/view?i=",I4448)</f>
        <v>https://www.dgiwg.org/FAD/fdd/view?i=111124</v>
      </c>
      <c r="K4448" s="304" t="s">
        <v>38497</v>
      </c>
      <c r="L4448" s="188">
        <v>2</v>
      </c>
      <c r="M4448" s="179" t="s">
        <v>151</v>
      </c>
    </row>
    <row r="4449" spans="1:13" ht="25.5">
      <c r="A4449" s="313" t="str">
        <f t="shared" si="69"/>
        <v>MaritimeGeoLimitTypeCode_territorialWatersLimitSov</v>
      </c>
      <c r="B4449" s="330"/>
      <c r="C4449" s="334"/>
      <c r="D4449" s="188" t="s">
        <v>25691</v>
      </c>
      <c r="E4449" s="189" t="s">
        <v>25692</v>
      </c>
      <c r="F4449" s="162" t="s">
        <v>25693</v>
      </c>
      <c r="G4449" s="190"/>
      <c r="H4449" s="219"/>
      <c r="I4449" s="169">
        <v>111126</v>
      </c>
      <c r="J4449" s="304" t="str">
        <f>CONCATENATE([2]Cover!$D$6,"fdd/view?i=",I4449)</f>
        <v>https://www.dgiwg.org/FAD/fdd/view?i=111126</v>
      </c>
      <c r="K4449" s="304" t="s">
        <v>38498</v>
      </c>
      <c r="L4449" s="188">
        <v>4</v>
      </c>
      <c r="M4449" s="179" t="s">
        <v>151</v>
      </c>
    </row>
    <row r="4450" spans="1:13" ht="25.5">
      <c r="A4450" s="313" t="str">
        <f t="shared" si="69"/>
        <v>MaritimeGeoLimitTypeCode_threeNauticalMileLimit</v>
      </c>
      <c r="B4450" s="331"/>
      <c r="C4450" s="335"/>
      <c r="D4450" s="181" t="s">
        <v>25694</v>
      </c>
      <c r="E4450" s="192" t="s">
        <v>25695</v>
      </c>
      <c r="F4450" s="193" t="s">
        <v>25696</v>
      </c>
      <c r="G4450" s="194"/>
      <c r="H4450" s="220"/>
      <c r="I4450" s="169">
        <v>111125</v>
      </c>
      <c r="J4450" s="304" t="str">
        <f>CONCATENATE([2]Cover!$D$6,"fdd/view?i=",I4450)</f>
        <v>https://www.dgiwg.org/FAD/fdd/view?i=111125</v>
      </c>
      <c r="K4450" s="304" t="s">
        <v>38499</v>
      </c>
      <c r="L4450" s="181">
        <v>3</v>
      </c>
      <c r="M4450" s="179" t="s">
        <v>151</v>
      </c>
    </row>
    <row r="4451" spans="1:13" ht="25.5">
      <c r="A4451" s="313" t="str">
        <f t="shared" si="69"/>
        <v>MaritimeLightTypeCode_airObstructionLight</v>
      </c>
      <c r="B4451" s="332" t="str">
        <f>HYPERLINK("[#]Datatypes!A834:L834","MaritimeLightTypeCode")</f>
        <v>MaritimeLightTypeCode</v>
      </c>
      <c r="C4451" s="333" t="s">
        <v>12419</v>
      </c>
      <c r="D4451" s="202" t="s">
        <v>25697</v>
      </c>
      <c r="E4451" s="203" t="s">
        <v>25698</v>
      </c>
      <c r="F4451" s="204" t="s">
        <v>25699</v>
      </c>
      <c r="G4451" s="205"/>
      <c r="H4451" s="218"/>
      <c r="I4451" s="169">
        <v>104880</v>
      </c>
      <c r="J4451" s="304" t="str">
        <f>CONCATENATE([2]Cover!$D$6,"fdd/view?i=",I4451)</f>
        <v>https://www.dgiwg.org/FAD/fdd/view?i=104880</v>
      </c>
      <c r="K4451" s="304" t="s">
        <v>38500</v>
      </c>
      <c r="L4451" s="202">
        <v>6</v>
      </c>
      <c r="M4451" s="179" t="s">
        <v>151</v>
      </c>
    </row>
    <row r="4452" spans="1:13" ht="25.5">
      <c r="A4452" s="313" t="str">
        <f t="shared" si="69"/>
        <v>MaritimeLightTypeCode_bearingLight</v>
      </c>
      <c r="B4452" s="330"/>
      <c r="C4452" s="334"/>
      <c r="D4452" s="188" t="s">
        <v>25700</v>
      </c>
      <c r="E4452" s="189" t="s">
        <v>25701</v>
      </c>
      <c r="F4452" s="162" t="s">
        <v>25702</v>
      </c>
      <c r="G4452" s="190"/>
      <c r="H4452" s="219"/>
      <c r="I4452" s="169">
        <v>104887</v>
      </c>
      <c r="J4452" s="304" t="str">
        <f>CONCATENATE([2]Cover!$D$6,"fdd/view?i=",I4452)</f>
        <v>https://www.dgiwg.org/FAD/fdd/view?i=104887</v>
      </c>
      <c r="K4452" s="304" t="s">
        <v>38501</v>
      </c>
      <c r="L4452" s="188">
        <v>13</v>
      </c>
      <c r="M4452" s="179" t="s">
        <v>151</v>
      </c>
    </row>
    <row r="4453" spans="1:13" ht="25.5">
      <c r="A4453" s="313" t="str">
        <f t="shared" si="69"/>
        <v>MaritimeLightTypeCode_directionalFunction</v>
      </c>
      <c r="B4453" s="330"/>
      <c r="C4453" s="334"/>
      <c r="D4453" s="188" t="s">
        <v>25703</v>
      </c>
      <c r="E4453" s="189" t="s">
        <v>25704</v>
      </c>
      <c r="F4453" s="162" t="s">
        <v>25705</v>
      </c>
      <c r="G4453" s="190"/>
      <c r="H4453" s="219"/>
      <c r="I4453" s="169">
        <v>104875</v>
      </c>
      <c r="J4453" s="304" t="str">
        <f>CONCATENATE([2]Cover!$D$6,"fdd/view?i=",I4453)</f>
        <v>https://www.dgiwg.org/FAD/fdd/view?i=104875</v>
      </c>
      <c r="K4453" s="304" t="s">
        <v>38502</v>
      </c>
      <c r="L4453" s="188">
        <v>1</v>
      </c>
      <c r="M4453" s="179" t="s">
        <v>151</v>
      </c>
    </row>
    <row r="4454" spans="1:13" ht="25.5">
      <c r="A4454" s="313" t="str">
        <f t="shared" si="69"/>
        <v>MaritimeLightTypeCode_emergencyLight</v>
      </c>
      <c r="B4454" s="330"/>
      <c r="C4454" s="334"/>
      <c r="D4454" s="188" t="s">
        <v>25706</v>
      </c>
      <c r="E4454" s="189" t="s">
        <v>25707</v>
      </c>
      <c r="F4454" s="162" t="s">
        <v>25708</v>
      </c>
      <c r="G4454" s="190"/>
      <c r="H4454" s="219"/>
      <c r="I4454" s="169">
        <v>104886</v>
      </c>
      <c r="J4454" s="304" t="str">
        <f>CONCATENATE([2]Cover!$D$6,"fdd/view?i=",I4454)</f>
        <v>https://www.dgiwg.org/FAD/fdd/view?i=104886</v>
      </c>
      <c r="K4454" s="304" t="s">
        <v>38503</v>
      </c>
      <c r="L4454" s="188">
        <v>12</v>
      </c>
      <c r="M4454" s="179" t="s">
        <v>151</v>
      </c>
    </row>
    <row r="4455" spans="1:13">
      <c r="A4455" s="313" t="str">
        <f t="shared" si="69"/>
        <v>MaritimeLightTypeCode_floodLight</v>
      </c>
      <c r="B4455" s="330"/>
      <c r="C4455" s="334"/>
      <c r="D4455" s="188" t="s">
        <v>25709</v>
      </c>
      <c r="E4455" s="189" t="s">
        <v>25710</v>
      </c>
      <c r="F4455" s="162" t="s">
        <v>25711</v>
      </c>
      <c r="G4455" s="190"/>
      <c r="H4455" s="219"/>
      <c r="I4455" s="169">
        <v>104882</v>
      </c>
      <c r="J4455" s="304" t="str">
        <f>CONCATENATE([2]Cover!$D$6,"fdd/view?i=",I4455)</f>
        <v>https://www.dgiwg.org/FAD/fdd/view?i=104882</v>
      </c>
      <c r="K4455" s="304" t="s">
        <v>38504</v>
      </c>
      <c r="L4455" s="188">
        <v>8</v>
      </c>
      <c r="M4455" s="179" t="s">
        <v>151</v>
      </c>
    </row>
    <row r="4456" spans="1:13" ht="25.5">
      <c r="A4456" s="313" t="str">
        <f t="shared" si="69"/>
        <v>MaritimeLightTypeCode_fogDetectorLight</v>
      </c>
      <c r="B4456" s="330"/>
      <c r="C4456" s="334"/>
      <c r="D4456" s="188" t="s">
        <v>25712</v>
      </c>
      <c r="E4456" s="189" t="s">
        <v>25713</v>
      </c>
      <c r="F4456" s="162" t="s">
        <v>25714</v>
      </c>
      <c r="G4456" s="190"/>
      <c r="H4456" s="219"/>
      <c r="I4456" s="169">
        <v>104881</v>
      </c>
      <c r="J4456" s="304" t="str">
        <f>CONCATENATE([2]Cover!$D$6,"fdd/view?i=",I4456)</f>
        <v>https://www.dgiwg.org/FAD/fdd/view?i=104881</v>
      </c>
      <c r="K4456" s="304" t="s">
        <v>38505</v>
      </c>
      <c r="L4456" s="188">
        <v>7</v>
      </c>
      <c r="M4456" s="179" t="s">
        <v>151</v>
      </c>
    </row>
    <row r="4457" spans="1:13" ht="25.5">
      <c r="A4457" s="313" t="str">
        <f t="shared" si="69"/>
        <v>MaritimeLightTypeCode_front</v>
      </c>
      <c r="B4457" s="330"/>
      <c r="C4457" s="334"/>
      <c r="D4457" s="188" t="s">
        <v>25715</v>
      </c>
      <c r="E4457" s="189" t="s">
        <v>25716</v>
      </c>
      <c r="F4457" s="162" t="s">
        <v>25717</v>
      </c>
      <c r="G4457" s="190"/>
      <c r="H4457" s="219"/>
      <c r="I4457" s="169">
        <v>110213</v>
      </c>
      <c r="J4457" s="304" t="str">
        <f>CONCATENATE([2]Cover!$D$6,"fdd/view?i=",I4457)</f>
        <v>https://www.dgiwg.org/FAD/fdd/view?i=110213</v>
      </c>
      <c r="K4457" s="304" t="s">
        <v>38506</v>
      </c>
      <c r="L4457" s="188">
        <v>19</v>
      </c>
      <c r="M4457" s="179" t="s">
        <v>151</v>
      </c>
    </row>
    <row r="4458" spans="1:13" ht="25.5">
      <c r="A4458" s="313" t="str">
        <f t="shared" si="69"/>
        <v>MaritimeLightTypeCode_horizontallyDisposed</v>
      </c>
      <c r="B4458" s="330"/>
      <c r="C4458" s="334"/>
      <c r="D4458" s="188" t="s">
        <v>25718</v>
      </c>
      <c r="E4458" s="189" t="s">
        <v>25719</v>
      </c>
      <c r="F4458" s="162" t="s">
        <v>25720</v>
      </c>
      <c r="G4458" s="190"/>
      <c r="H4458" s="219"/>
      <c r="I4458" s="169">
        <v>104891</v>
      </c>
      <c r="J4458" s="304" t="str">
        <f>CONCATENATE([2]Cover!$D$6,"fdd/view?i=",I4458)</f>
        <v>https://www.dgiwg.org/FAD/fdd/view?i=104891</v>
      </c>
      <c r="K4458" s="304" t="s">
        <v>38507</v>
      </c>
      <c r="L4458" s="188">
        <v>17</v>
      </c>
      <c r="M4458" s="179" t="s">
        <v>151</v>
      </c>
    </row>
    <row r="4459" spans="1:13" ht="25.5">
      <c r="A4459" s="313" t="str">
        <f t="shared" si="69"/>
        <v>MaritimeLightTypeCode_leadingLight</v>
      </c>
      <c r="B4459" s="330"/>
      <c r="C4459" s="334"/>
      <c r="D4459" s="188" t="s">
        <v>25721</v>
      </c>
      <c r="E4459" s="189" t="s">
        <v>25722</v>
      </c>
      <c r="F4459" s="162" t="s">
        <v>25723</v>
      </c>
      <c r="G4459" s="190"/>
      <c r="H4459" s="219"/>
      <c r="I4459" s="169">
        <v>104878</v>
      </c>
      <c r="J4459" s="304" t="str">
        <f>CONCATENATE([2]Cover!$D$6,"fdd/view?i=",I4459)</f>
        <v>https://www.dgiwg.org/FAD/fdd/view?i=104878</v>
      </c>
      <c r="K4459" s="304" t="s">
        <v>38508</v>
      </c>
      <c r="L4459" s="188">
        <v>4</v>
      </c>
      <c r="M4459" s="179" t="s">
        <v>151</v>
      </c>
    </row>
    <row r="4460" spans="1:13" ht="25.5">
      <c r="A4460" s="313" t="str">
        <f t="shared" si="69"/>
        <v>MaritimeLightTypeCode_lower</v>
      </c>
      <c r="B4460" s="330"/>
      <c r="C4460" s="334"/>
      <c r="D4460" s="188" t="s">
        <v>25724</v>
      </c>
      <c r="E4460" s="189" t="s">
        <v>25725</v>
      </c>
      <c r="F4460" s="162" t="s">
        <v>25726</v>
      </c>
      <c r="G4460" s="190"/>
      <c r="H4460" s="219"/>
      <c r="I4460" s="169">
        <v>104890</v>
      </c>
      <c r="J4460" s="304" t="str">
        <f>CONCATENATE([2]Cover!$D$6,"fdd/view?i=",I4460)</f>
        <v>https://www.dgiwg.org/FAD/fdd/view?i=104890</v>
      </c>
      <c r="K4460" s="304" t="s">
        <v>38509</v>
      </c>
      <c r="L4460" s="188">
        <v>16</v>
      </c>
      <c r="M4460" s="179" t="s">
        <v>151</v>
      </c>
    </row>
    <row r="4461" spans="1:13" ht="38.25">
      <c r="A4461" s="313" t="str">
        <f t="shared" si="69"/>
        <v>MaritimeLightTypeCode_moireEffectLight</v>
      </c>
      <c r="B4461" s="330"/>
      <c r="C4461" s="334"/>
      <c r="D4461" s="188" t="s">
        <v>25727</v>
      </c>
      <c r="E4461" s="189" t="s">
        <v>25728</v>
      </c>
      <c r="F4461" s="162" t="s">
        <v>25729</v>
      </c>
      <c r="G4461" s="162" t="s">
        <v>25730</v>
      </c>
      <c r="H4461" s="219"/>
      <c r="I4461" s="169">
        <v>110215</v>
      </c>
      <c r="J4461" s="304" t="str">
        <f>CONCATENATE([2]Cover!$D$6,"fdd/view?i=",I4461)</f>
        <v>https://www.dgiwg.org/FAD/fdd/view?i=110215</v>
      </c>
      <c r="K4461" s="304" t="s">
        <v>38510</v>
      </c>
      <c r="L4461" s="188">
        <v>21</v>
      </c>
      <c r="M4461" s="179" t="s">
        <v>151</v>
      </c>
    </row>
    <row r="4462" spans="1:13" ht="102">
      <c r="A4462" s="313" t="str">
        <f t="shared" si="69"/>
        <v>MaritimeLightTypeCode_occasionalLight</v>
      </c>
      <c r="B4462" s="330"/>
      <c r="C4462" s="334"/>
      <c r="D4462" s="188" t="s">
        <v>25731</v>
      </c>
      <c r="E4462" s="189" t="s">
        <v>25732</v>
      </c>
      <c r="F4462" s="162" t="s">
        <v>25733</v>
      </c>
      <c r="G4462" s="162" t="s">
        <v>25734</v>
      </c>
      <c r="H4462" s="219"/>
      <c r="I4462" s="169">
        <v>206544</v>
      </c>
      <c r="J4462" s="304" t="str">
        <f>CONCATENATE([2]Cover!$D$6,"fdd/view?i=",I4462)</f>
        <v>https://www.dgiwg.org/FAD/fdd/view?i=206544</v>
      </c>
      <c r="K4462" s="304" t="s">
        <v>38511</v>
      </c>
      <c r="L4462" s="188">
        <v>25</v>
      </c>
      <c r="M4462" s="179" t="s">
        <v>1295</v>
      </c>
    </row>
    <row r="4463" spans="1:13" ht="25.5">
      <c r="A4463" s="313" t="str">
        <f t="shared" si="69"/>
        <v>MaritimeLightTypeCode_rear</v>
      </c>
      <c r="B4463" s="330"/>
      <c r="C4463" s="334"/>
      <c r="D4463" s="188" t="s">
        <v>25735</v>
      </c>
      <c r="E4463" s="189" t="s">
        <v>25736</v>
      </c>
      <c r="F4463" s="162" t="s">
        <v>25737</v>
      </c>
      <c r="G4463" s="190"/>
      <c r="H4463" s="219"/>
      <c r="I4463" s="169">
        <v>110214</v>
      </c>
      <c r="J4463" s="304" t="str">
        <f>CONCATENATE([2]Cover!$D$6,"fdd/view?i=",I4463)</f>
        <v>https://www.dgiwg.org/FAD/fdd/view?i=110214</v>
      </c>
      <c r="K4463" s="304" t="s">
        <v>38512</v>
      </c>
      <c r="L4463" s="188">
        <v>20</v>
      </c>
      <c r="M4463" s="179" t="s">
        <v>151</v>
      </c>
    </row>
    <row r="4464" spans="1:13" ht="25.5">
      <c r="A4464" s="313" t="str">
        <f t="shared" si="69"/>
        <v>MaritimeLightTypeCode_sectoredLight</v>
      </c>
      <c r="B4464" s="330"/>
      <c r="C4464" s="334"/>
      <c r="D4464" s="188" t="s">
        <v>25738</v>
      </c>
      <c r="E4464" s="189" t="s">
        <v>25739</v>
      </c>
      <c r="F4464" s="162" t="s">
        <v>25740</v>
      </c>
      <c r="G4464" s="190"/>
      <c r="H4464" s="219"/>
      <c r="I4464" s="169">
        <v>110216</v>
      </c>
      <c r="J4464" s="304" t="str">
        <f>CONCATENATE([2]Cover!$D$6,"fdd/view?i=",I4464)</f>
        <v>https://www.dgiwg.org/FAD/fdd/view?i=110216</v>
      </c>
      <c r="K4464" s="304" t="s">
        <v>38513</v>
      </c>
      <c r="L4464" s="188">
        <v>22</v>
      </c>
      <c r="M4464" s="179" t="s">
        <v>151</v>
      </c>
    </row>
    <row r="4465" spans="1:13">
      <c r="A4465" s="313" t="str">
        <f t="shared" si="69"/>
        <v>MaritimeLightTypeCode_spotlight</v>
      </c>
      <c r="B4465" s="330"/>
      <c r="C4465" s="334"/>
      <c r="D4465" s="188" t="s">
        <v>25741</v>
      </c>
      <c r="E4465" s="189" t="s">
        <v>25742</v>
      </c>
      <c r="F4465" s="162" t="s">
        <v>25743</v>
      </c>
      <c r="G4465" s="190"/>
      <c r="H4465" s="219"/>
      <c r="I4465" s="169">
        <v>104885</v>
      </c>
      <c r="J4465" s="304" t="str">
        <f>CONCATENATE([2]Cover!$D$6,"fdd/view?i=",I4465)</f>
        <v>https://www.dgiwg.org/FAD/fdd/view?i=104885</v>
      </c>
      <c r="K4465" s="304" t="s">
        <v>38514</v>
      </c>
      <c r="L4465" s="188">
        <v>11</v>
      </c>
      <c r="M4465" s="179" t="s">
        <v>151</v>
      </c>
    </row>
    <row r="4466" spans="1:13" ht="25.5">
      <c r="A4466" s="313" t="str">
        <f t="shared" si="69"/>
        <v>MaritimeLightTypeCode_stripLight</v>
      </c>
      <c r="B4466" s="330"/>
      <c r="C4466" s="334"/>
      <c r="D4466" s="188" t="s">
        <v>25744</v>
      </c>
      <c r="E4466" s="189" t="s">
        <v>25745</v>
      </c>
      <c r="F4466" s="162" t="s">
        <v>25746</v>
      </c>
      <c r="G4466" s="190"/>
      <c r="H4466" s="219"/>
      <c r="I4466" s="169">
        <v>104883</v>
      </c>
      <c r="J4466" s="304" t="str">
        <f>CONCATENATE([2]Cover!$D$6,"fdd/view?i=",I4466)</f>
        <v>https://www.dgiwg.org/FAD/fdd/view?i=104883</v>
      </c>
      <c r="K4466" s="304" t="s">
        <v>38515</v>
      </c>
      <c r="L4466" s="188">
        <v>9</v>
      </c>
      <c r="M4466" s="179" t="s">
        <v>151</v>
      </c>
    </row>
    <row r="4467" spans="1:13" ht="25.5">
      <c r="A4467" s="313" t="str">
        <f t="shared" si="69"/>
        <v>MaritimeLightTypeCode_subsidiaryLight</v>
      </c>
      <c r="B4467" s="330"/>
      <c r="C4467" s="334"/>
      <c r="D4467" s="188" t="s">
        <v>25747</v>
      </c>
      <c r="E4467" s="189" t="s">
        <v>25748</v>
      </c>
      <c r="F4467" s="162" t="s">
        <v>25749</v>
      </c>
      <c r="G4467" s="190"/>
      <c r="H4467" s="219"/>
      <c r="I4467" s="169">
        <v>104884</v>
      </c>
      <c r="J4467" s="304" t="str">
        <f>CONCATENATE([2]Cover!$D$6,"fdd/view?i=",I4467)</f>
        <v>https://www.dgiwg.org/FAD/fdd/view?i=104884</v>
      </c>
      <c r="K4467" s="304" t="s">
        <v>38516</v>
      </c>
      <c r="L4467" s="188">
        <v>10</v>
      </c>
      <c r="M4467" s="179" t="s">
        <v>151</v>
      </c>
    </row>
    <row r="4468" spans="1:13" ht="25.5">
      <c r="A4468" s="313" t="str">
        <f t="shared" si="69"/>
        <v>MaritimeLightTypeCode_upper</v>
      </c>
      <c r="B4468" s="330"/>
      <c r="C4468" s="334"/>
      <c r="D4468" s="188" t="s">
        <v>25750</v>
      </c>
      <c r="E4468" s="189" t="s">
        <v>25751</v>
      </c>
      <c r="F4468" s="162" t="s">
        <v>25752</v>
      </c>
      <c r="G4468" s="190"/>
      <c r="H4468" s="219"/>
      <c r="I4468" s="169">
        <v>104888</v>
      </c>
      <c r="J4468" s="304" t="str">
        <f>CONCATENATE([2]Cover!$D$6,"fdd/view?i=",I4468)</f>
        <v>https://www.dgiwg.org/FAD/fdd/view?i=104888</v>
      </c>
      <c r="K4468" s="304" t="s">
        <v>38517</v>
      </c>
      <c r="L4468" s="188">
        <v>14</v>
      </c>
      <c r="M4468" s="179" t="s">
        <v>151</v>
      </c>
    </row>
    <row r="4469" spans="1:13" ht="25.5">
      <c r="A4469" s="313" t="str">
        <f t="shared" si="69"/>
        <v>MaritimeLightTypeCode_verticallyDisposed</v>
      </c>
      <c r="B4469" s="331"/>
      <c r="C4469" s="335"/>
      <c r="D4469" s="181" t="s">
        <v>25753</v>
      </c>
      <c r="E4469" s="192" t="s">
        <v>25754</v>
      </c>
      <c r="F4469" s="193" t="s">
        <v>25755</v>
      </c>
      <c r="G4469" s="194"/>
      <c r="H4469" s="220"/>
      <c r="I4469" s="169">
        <v>104892</v>
      </c>
      <c r="J4469" s="304" t="str">
        <f>CONCATENATE([2]Cover!$D$6,"fdd/view?i=",I4469)</f>
        <v>https://www.dgiwg.org/FAD/fdd/view?i=104892</v>
      </c>
      <c r="K4469" s="304" t="s">
        <v>38518</v>
      </c>
      <c r="L4469" s="181">
        <v>18</v>
      </c>
      <c r="M4469" s="179" t="s">
        <v>151</v>
      </c>
    </row>
    <row r="4470" spans="1:13" ht="51">
      <c r="A4470" s="313" t="str">
        <f t="shared" si="69"/>
        <v>MariNavBeaconStructTypeCode_articulatedBeacon</v>
      </c>
      <c r="B4470" s="332" t="str">
        <f>HYPERLINK("[#]Datatypes!A836:L836","MariNavBeaconStructTypeCode")</f>
        <v>MariNavBeaconStructTypeCode</v>
      </c>
      <c r="C4470" s="333" t="s">
        <v>12421</v>
      </c>
      <c r="D4470" s="202" t="s">
        <v>25756</v>
      </c>
      <c r="E4470" s="203" t="s">
        <v>25757</v>
      </c>
      <c r="F4470" s="204" t="s">
        <v>25758</v>
      </c>
      <c r="G4470" s="204" t="s">
        <v>25759</v>
      </c>
      <c r="H4470" s="222" t="s">
        <v>25760</v>
      </c>
      <c r="I4470" s="169">
        <v>207774</v>
      </c>
      <c r="J4470" s="304" t="str">
        <f>CONCATENATE([2]Cover!$D$6,"fdd/view?i=",I4470)</f>
        <v>https://www.dgiwg.org/FAD/fdd/view?i=207774</v>
      </c>
      <c r="K4470" s="304" t="s">
        <v>38519</v>
      </c>
      <c r="L4470" s="202">
        <v>1</v>
      </c>
      <c r="M4470" s="179" t="s">
        <v>1295</v>
      </c>
    </row>
    <row r="4471" spans="1:13" ht="25.5">
      <c r="A4471" s="313" t="str">
        <f t="shared" si="69"/>
        <v>MariNavBeaconStructTypeCode_beaconTower</v>
      </c>
      <c r="B4471" s="330"/>
      <c r="C4471" s="334"/>
      <c r="D4471" s="188" t="s">
        <v>25761</v>
      </c>
      <c r="E4471" s="189" t="s">
        <v>25762</v>
      </c>
      <c r="F4471" s="162" t="s">
        <v>25763</v>
      </c>
      <c r="G4471" s="190"/>
      <c r="H4471" s="219"/>
      <c r="I4471" s="169">
        <v>207775</v>
      </c>
      <c r="J4471" s="304" t="str">
        <f>CONCATENATE([2]Cover!$D$6,"fdd/view?i=",I4471)</f>
        <v>https://www.dgiwg.org/FAD/fdd/view?i=207775</v>
      </c>
      <c r="K4471" s="304" t="s">
        <v>38520</v>
      </c>
      <c r="L4471" s="188">
        <v>2</v>
      </c>
      <c r="M4471" s="179" t="s">
        <v>1295</v>
      </c>
    </row>
    <row r="4472" spans="1:13" ht="25.5">
      <c r="A4472" s="313" t="str">
        <f t="shared" si="69"/>
        <v>MariNavBeaconStructTypeCode_cairn</v>
      </c>
      <c r="B4472" s="330"/>
      <c r="C4472" s="334"/>
      <c r="D4472" s="188" t="s">
        <v>25764</v>
      </c>
      <c r="E4472" s="189" t="s">
        <v>1782</v>
      </c>
      <c r="F4472" s="162" t="s">
        <v>25765</v>
      </c>
      <c r="G4472" s="190"/>
      <c r="H4472" s="219"/>
      <c r="I4472" s="169">
        <v>207776</v>
      </c>
      <c r="J4472" s="304" t="str">
        <f>CONCATENATE([2]Cover!$D$6,"fdd/view?i=",I4472)</f>
        <v>https://www.dgiwg.org/FAD/fdd/view?i=207776</v>
      </c>
      <c r="K4472" s="304" t="s">
        <v>38521</v>
      </c>
      <c r="L4472" s="188">
        <v>3</v>
      </c>
      <c r="M4472" s="179" t="s">
        <v>1295</v>
      </c>
    </row>
    <row r="4473" spans="1:13" ht="38.25">
      <c r="A4473" s="313" t="str">
        <f t="shared" si="69"/>
        <v>MariNavBeaconStructTypeCode_latticeBeacon</v>
      </c>
      <c r="B4473" s="330"/>
      <c r="C4473" s="334"/>
      <c r="D4473" s="188" t="s">
        <v>25766</v>
      </c>
      <c r="E4473" s="189" t="s">
        <v>25767</v>
      </c>
      <c r="F4473" s="162" t="s">
        <v>25768</v>
      </c>
      <c r="G4473" s="190"/>
      <c r="H4473" s="219"/>
      <c r="I4473" s="169">
        <v>207777</v>
      </c>
      <c r="J4473" s="304" t="str">
        <f>CONCATENATE([2]Cover!$D$6,"fdd/view?i=",I4473)</f>
        <v>https://www.dgiwg.org/FAD/fdd/view?i=207777</v>
      </c>
      <c r="K4473" s="304" t="s">
        <v>38522</v>
      </c>
      <c r="L4473" s="188">
        <v>4</v>
      </c>
      <c r="M4473" s="179" t="s">
        <v>1295</v>
      </c>
    </row>
    <row r="4474" spans="1:13" ht="38.25">
      <c r="A4474" s="313" t="str">
        <f t="shared" si="69"/>
        <v>MariNavBeaconStructTypeCode_pileBeacon</v>
      </c>
      <c r="B4474" s="330"/>
      <c r="C4474" s="334"/>
      <c r="D4474" s="188" t="s">
        <v>25769</v>
      </c>
      <c r="E4474" s="189" t="s">
        <v>25770</v>
      </c>
      <c r="F4474" s="162" t="s">
        <v>25771</v>
      </c>
      <c r="G4474" s="162" t="s">
        <v>25772</v>
      </c>
      <c r="H4474" s="219"/>
      <c r="I4474" s="169">
        <v>207778</v>
      </c>
      <c r="J4474" s="304" t="str">
        <f>CONCATENATE([2]Cover!$D$6,"fdd/view?i=",I4474)</f>
        <v>https://www.dgiwg.org/FAD/fdd/view?i=207778</v>
      </c>
      <c r="K4474" s="304" t="s">
        <v>38523</v>
      </c>
      <c r="L4474" s="188">
        <v>5</v>
      </c>
      <c r="M4474" s="179" t="s">
        <v>1295</v>
      </c>
    </row>
    <row r="4475" spans="1:13" ht="25.5">
      <c r="A4475" s="313" t="str">
        <f t="shared" si="69"/>
        <v>MariNavBeaconStructTypeCode_withy</v>
      </c>
      <c r="B4475" s="331"/>
      <c r="C4475" s="335"/>
      <c r="D4475" s="181" t="s">
        <v>25773</v>
      </c>
      <c r="E4475" s="192" t="s">
        <v>25774</v>
      </c>
      <c r="F4475" s="193" t="s">
        <v>25775</v>
      </c>
      <c r="G4475" s="194"/>
      <c r="H4475" s="220"/>
      <c r="I4475" s="169">
        <v>207779</v>
      </c>
      <c r="J4475" s="304" t="str">
        <f>CONCATENATE([2]Cover!$D$6,"fdd/view?i=",I4475)</f>
        <v>https://www.dgiwg.org/FAD/fdd/view?i=207779</v>
      </c>
      <c r="K4475" s="304" t="s">
        <v>38524</v>
      </c>
      <c r="L4475" s="181">
        <v>6</v>
      </c>
      <c r="M4475" s="179" t="s">
        <v>1295</v>
      </c>
    </row>
    <row r="4476" spans="1:13" ht="25.5">
      <c r="A4476" s="313" t="str">
        <f t="shared" si="69"/>
        <v>MaritimeNavBeaconTypeCode_aeronauticalAnchorage</v>
      </c>
      <c r="B4476" s="332" t="str">
        <f>HYPERLINK("[#]Datatypes!A838:L838","MaritimeNavBeaconTypeCode")</f>
        <v>MaritimeNavBeaconTypeCode</v>
      </c>
      <c r="C4476" s="333" t="s">
        <v>12423</v>
      </c>
      <c r="D4476" s="202" t="s">
        <v>18539</v>
      </c>
      <c r="E4476" s="203" t="s">
        <v>18540</v>
      </c>
      <c r="F4476" s="204" t="s">
        <v>25776</v>
      </c>
      <c r="G4476" s="205"/>
      <c r="H4476" s="218"/>
      <c r="I4476" s="169">
        <v>102223</v>
      </c>
      <c r="J4476" s="304" t="str">
        <f>CONCATENATE([2]Cover!$D$6,"fdd/view?i=",I4476)</f>
        <v>https://www.dgiwg.org/FAD/fdd/view?i=102223</v>
      </c>
      <c r="K4476" s="304" t="s">
        <v>38525</v>
      </c>
      <c r="L4476" s="202">
        <v>31</v>
      </c>
      <c r="M4476" s="179" t="s">
        <v>151</v>
      </c>
    </row>
    <row r="4477" spans="1:13" ht="25.5">
      <c r="A4477" s="313" t="str">
        <f t="shared" si="69"/>
        <v>MaritimeNavBeaconTypeCode_anchorage</v>
      </c>
      <c r="B4477" s="330"/>
      <c r="C4477" s="334"/>
      <c r="D4477" s="188" t="s">
        <v>18543</v>
      </c>
      <c r="E4477" s="189" t="s">
        <v>1527</v>
      </c>
      <c r="F4477" s="162" t="s">
        <v>25777</v>
      </c>
      <c r="G4477" s="190"/>
      <c r="H4477" s="219"/>
      <c r="I4477" s="169">
        <v>102301</v>
      </c>
      <c r="J4477" s="304" t="str">
        <f>CONCATENATE([2]Cover!$D$6,"fdd/view?i=",I4477)</f>
        <v>https://www.dgiwg.org/FAD/fdd/view?i=102301</v>
      </c>
      <c r="K4477" s="304" t="s">
        <v>38526</v>
      </c>
      <c r="L4477" s="188">
        <v>118</v>
      </c>
      <c r="M4477" s="179" t="s">
        <v>151</v>
      </c>
    </row>
    <row r="4478" spans="1:13" ht="25.5">
      <c r="A4478" s="313" t="str">
        <f t="shared" si="69"/>
        <v>MaritimeNavBeaconTypeCode_anchoringProhibited</v>
      </c>
      <c r="B4478" s="330"/>
      <c r="C4478" s="334"/>
      <c r="D4478" s="188" t="s">
        <v>18545</v>
      </c>
      <c r="E4478" s="189" t="s">
        <v>18546</v>
      </c>
      <c r="F4478" s="162" t="s">
        <v>25778</v>
      </c>
      <c r="G4478" s="190"/>
      <c r="H4478" s="219"/>
      <c r="J4478" s="304" t="str">
        <f>CONCATENATE([2]Cover!$D$6,"fdd/view?i=",I4478)</f>
        <v>https://www.dgiwg.org/FAD/fdd/view?i=</v>
      </c>
      <c r="K4478" s="304" t="s">
        <v>38527</v>
      </c>
      <c r="L4478" s="188">
        <v>56</v>
      </c>
      <c r="M4478" s="179" t="s">
        <v>151</v>
      </c>
    </row>
    <row r="4479" spans="1:13" ht="25.5">
      <c r="A4479" s="313" t="str">
        <f t="shared" si="69"/>
        <v>MaritimeNavBeaconTypeCode_artificialReef</v>
      </c>
      <c r="B4479" s="330"/>
      <c r="C4479" s="334"/>
      <c r="D4479" s="188" t="s">
        <v>18556</v>
      </c>
      <c r="E4479" s="189" t="s">
        <v>18557</v>
      </c>
      <c r="F4479" s="162" t="s">
        <v>25779</v>
      </c>
      <c r="G4479" s="190"/>
      <c r="H4479" s="219"/>
      <c r="I4479" s="169">
        <v>102297</v>
      </c>
      <c r="J4479" s="304" t="str">
        <f>CONCATENATE([2]Cover!$D$6,"fdd/view?i=",I4479)</f>
        <v>https://www.dgiwg.org/FAD/fdd/view?i=102297</v>
      </c>
      <c r="K4479" s="304" t="s">
        <v>38528</v>
      </c>
      <c r="L4479" s="188">
        <v>114</v>
      </c>
      <c r="M4479" s="179" t="s">
        <v>151</v>
      </c>
    </row>
    <row r="4480" spans="1:13" ht="25.5">
      <c r="A4480" s="313" t="str">
        <f t="shared" si="69"/>
        <v>MaritimeNavBeaconTypeCode_barge</v>
      </c>
      <c r="B4480" s="330"/>
      <c r="C4480" s="334"/>
      <c r="D4480" s="188" t="s">
        <v>18559</v>
      </c>
      <c r="E4480" s="189" t="s">
        <v>18560</v>
      </c>
      <c r="F4480" s="162" t="s">
        <v>25780</v>
      </c>
      <c r="G4480" s="190"/>
      <c r="H4480" s="219"/>
      <c r="I4480" s="169">
        <v>102235</v>
      </c>
      <c r="J4480" s="304" t="str">
        <f>CONCATENATE([2]Cover!$D$6,"fdd/view?i=",I4480)</f>
        <v>https://www.dgiwg.org/FAD/fdd/view?i=102235</v>
      </c>
      <c r="K4480" s="304" t="s">
        <v>38529</v>
      </c>
      <c r="L4480" s="188">
        <v>48</v>
      </c>
      <c r="M4480" s="179" t="s">
        <v>151</v>
      </c>
    </row>
    <row r="4481" spans="1:13" ht="25.5">
      <c r="A4481" s="313" t="str">
        <f t="shared" si="69"/>
        <v>MaritimeNavBeaconTypeCode_berthingPermitted</v>
      </c>
      <c r="B4481" s="330"/>
      <c r="C4481" s="334"/>
      <c r="D4481" s="188" t="s">
        <v>18562</v>
      </c>
      <c r="E4481" s="189" t="s">
        <v>18563</v>
      </c>
      <c r="F4481" s="162" t="s">
        <v>25781</v>
      </c>
      <c r="G4481" s="190"/>
      <c r="H4481" s="219"/>
      <c r="I4481" s="169">
        <v>102255</v>
      </c>
      <c r="J4481" s="304" t="str">
        <f>CONCATENATE([2]Cover!$D$6,"fdd/view?i=",I4481)</f>
        <v>https://www.dgiwg.org/FAD/fdd/view?i=102255</v>
      </c>
      <c r="K4481" s="304" t="s">
        <v>38530</v>
      </c>
      <c r="L4481" s="188">
        <v>68</v>
      </c>
      <c r="M4481" s="179" t="s">
        <v>151</v>
      </c>
    </row>
    <row r="4482" spans="1:13" ht="25.5">
      <c r="A4482" s="313" t="str">
        <f t="shared" si="69"/>
        <v>MaritimeNavBeaconTypeCode_berthingProhibited</v>
      </c>
      <c r="B4482" s="330"/>
      <c r="C4482" s="334"/>
      <c r="D4482" s="188" t="s">
        <v>18565</v>
      </c>
      <c r="E4482" s="189" t="s">
        <v>18566</v>
      </c>
      <c r="F4482" s="162" t="s">
        <v>25782</v>
      </c>
      <c r="G4482" s="190"/>
      <c r="H4482" s="219"/>
      <c r="J4482" s="304" t="str">
        <f>CONCATENATE([2]Cover!$D$6,"fdd/view?i=",I4482)</f>
        <v>https://www.dgiwg.org/FAD/fdd/view?i=</v>
      </c>
      <c r="K4482" s="304" t="s">
        <v>38531</v>
      </c>
      <c r="L4482" s="188">
        <v>57</v>
      </c>
      <c r="M4482" s="179" t="s">
        <v>151</v>
      </c>
    </row>
    <row r="4483" spans="1:13" ht="38.25">
      <c r="A4483" s="313" t="str">
        <f t="shared" ref="A4483:A4546" si="70">HYPERLINK(J4483,K4483)</f>
        <v>MaritimeNavBeaconTypeCode_bifurcation</v>
      </c>
      <c r="B4483" s="330"/>
      <c r="C4483" s="334"/>
      <c r="D4483" s="188" t="s">
        <v>18568</v>
      </c>
      <c r="E4483" s="189" t="s">
        <v>18569</v>
      </c>
      <c r="F4483" s="162" t="s">
        <v>25783</v>
      </c>
      <c r="G4483" s="190"/>
      <c r="H4483" s="219"/>
      <c r="I4483" s="169">
        <v>207806</v>
      </c>
      <c r="J4483" s="304" t="str">
        <f>CONCATENATE([2]Cover!$D$6,"fdd/view?i=",I4483)</f>
        <v>https://www.dgiwg.org/FAD/fdd/view?i=207806</v>
      </c>
      <c r="K4483" s="304" t="s">
        <v>38532</v>
      </c>
      <c r="L4483" s="188">
        <v>22</v>
      </c>
      <c r="M4483" s="179" t="s">
        <v>1295</v>
      </c>
    </row>
    <row r="4484" spans="1:13" ht="25.5">
      <c r="A4484" s="313" t="str">
        <f t="shared" si="70"/>
        <v>MaritimeNavBeaconTypeCode_cable</v>
      </c>
      <c r="B4484" s="330"/>
      <c r="C4484" s="334"/>
      <c r="D4484" s="188" t="s">
        <v>18136</v>
      </c>
      <c r="E4484" s="189" t="s">
        <v>1774</v>
      </c>
      <c r="F4484" s="162" t="s">
        <v>25784</v>
      </c>
      <c r="G4484" s="190"/>
      <c r="H4484" s="219"/>
      <c r="I4484" s="169">
        <v>102236</v>
      </c>
      <c r="J4484" s="304" t="str">
        <f>CONCATENATE([2]Cover!$D$6,"fdd/view?i=",I4484)</f>
        <v>https://www.dgiwg.org/FAD/fdd/view?i=102236</v>
      </c>
      <c r="K4484" s="304" t="s">
        <v>38533</v>
      </c>
      <c r="L4484" s="188">
        <v>49</v>
      </c>
      <c r="M4484" s="179" t="s">
        <v>151</v>
      </c>
    </row>
    <row r="4485" spans="1:13" ht="25.5">
      <c r="A4485" s="313" t="str">
        <f t="shared" si="70"/>
        <v>MaritimeNavBeaconTypeCode_channelEdgeGradient</v>
      </c>
      <c r="B4485" s="330"/>
      <c r="C4485" s="334"/>
      <c r="D4485" s="188" t="s">
        <v>18572</v>
      </c>
      <c r="E4485" s="189" t="s">
        <v>18573</v>
      </c>
      <c r="F4485" s="162" t="s">
        <v>25785</v>
      </c>
      <c r="G4485" s="190"/>
      <c r="H4485" s="219"/>
      <c r="I4485" s="169">
        <v>102257</v>
      </c>
      <c r="J4485" s="304" t="str">
        <f>CONCATENATE([2]Cover!$D$6,"fdd/view?i=",I4485)</f>
        <v>https://www.dgiwg.org/FAD/fdd/view?i=102257</v>
      </c>
      <c r="K4485" s="304" t="s">
        <v>38534</v>
      </c>
      <c r="L4485" s="188">
        <v>70</v>
      </c>
      <c r="M4485" s="179" t="s">
        <v>151</v>
      </c>
    </row>
    <row r="4486" spans="1:13" ht="25.5">
      <c r="A4486" s="313" t="str">
        <f t="shared" si="70"/>
        <v>MaritimeNavBeaconTypeCode_clearingLine</v>
      </c>
      <c r="B4486" s="330"/>
      <c r="C4486" s="334"/>
      <c r="D4486" s="188" t="s">
        <v>18575</v>
      </c>
      <c r="E4486" s="189" t="s">
        <v>18576</v>
      </c>
      <c r="F4486" s="162" t="s">
        <v>25786</v>
      </c>
      <c r="G4486" s="190"/>
      <c r="H4486" s="219"/>
      <c r="I4486" s="169">
        <v>102261</v>
      </c>
      <c r="J4486" s="304" t="str">
        <f>CONCATENATE([2]Cover!$D$6,"fdd/view?i=",I4486)</f>
        <v>https://www.dgiwg.org/FAD/fdd/view?i=102261</v>
      </c>
      <c r="K4486" s="304" t="s">
        <v>38535</v>
      </c>
      <c r="L4486" s="188">
        <v>74</v>
      </c>
      <c r="M4486" s="179" t="s">
        <v>151</v>
      </c>
    </row>
    <row r="4487" spans="1:13" ht="25.5">
      <c r="A4487" s="313" t="str">
        <f t="shared" si="70"/>
        <v>MaritimeNavBeaconTypeCode_compassAdjustment</v>
      </c>
      <c r="B4487" s="330"/>
      <c r="C4487" s="334"/>
      <c r="D4487" s="188" t="s">
        <v>18578</v>
      </c>
      <c r="E4487" s="189" t="s">
        <v>18579</v>
      </c>
      <c r="F4487" s="162" t="s">
        <v>25787</v>
      </c>
      <c r="G4487" s="190"/>
      <c r="H4487" s="219"/>
      <c r="I4487" s="169">
        <v>207815</v>
      </c>
      <c r="J4487" s="304" t="str">
        <f>CONCATENATE([2]Cover!$D$6,"fdd/view?i=",I4487)</f>
        <v>https://www.dgiwg.org/FAD/fdd/view?i=207815</v>
      </c>
      <c r="K4487" s="304" t="s">
        <v>38536</v>
      </c>
      <c r="L4487" s="188">
        <v>32</v>
      </c>
      <c r="M4487" s="179" t="s">
        <v>1295</v>
      </c>
    </row>
    <row r="4488" spans="1:13" ht="25.5">
      <c r="A4488" s="313" t="str">
        <f t="shared" si="70"/>
        <v>MaritimeNavBeaconTypeCode_control</v>
      </c>
      <c r="B4488" s="330"/>
      <c r="C4488" s="334"/>
      <c r="D4488" s="188" t="s">
        <v>18582</v>
      </c>
      <c r="E4488" s="189" t="s">
        <v>18583</v>
      </c>
      <c r="F4488" s="162" t="s">
        <v>25788</v>
      </c>
      <c r="G4488" s="190"/>
      <c r="H4488" s="219"/>
      <c r="I4488" s="169">
        <v>102302</v>
      </c>
      <c r="J4488" s="304" t="str">
        <f>CONCATENATE([2]Cover!$D$6,"fdd/view?i=",I4488)</f>
        <v>https://www.dgiwg.org/FAD/fdd/view?i=102302</v>
      </c>
      <c r="K4488" s="304" t="s">
        <v>38537</v>
      </c>
      <c r="L4488" s="188">
        <v>119</v>
      </c>
      <c r="M4488" s="179" t="s">
        <v>151</v>
      </c>
    </row>
    <row r="4489" spans="1:13" ht="25.5">
      <c r="A4489" s="313" t="str">
        <f t="shared" si="70"/>
        <v>MaritimeNavBeaconTypeCode_degaussingRange</v>
      </c>
      <c r="B4489" s="330"/>
      <c r="C4489" s="334"/>
      <c r="D4489" s="188" t="s">
        <v>18585</v>
      </c>
      <c r="E4489" s="189" t="s">
        <v>18586</v>
      </c>
      <c r="F4489" s="162" t="s">
        <v>25789</v>
      </c>
      <c r="G4489" s="190"/>
      <c r="H4489" s="219"/>
      <c r="I4489" s="169">
        <v>102234</v>
      </c>
      <c r="J4489" s="304" t="str">
        <f>CONCATENATE([2]Cover!$D$6,"fdd/view?i=",I4489)</f>
        <v>https://www.dgiwg.org/FAD/fdd/view?i=102234</v>
      </c>
      <c r="K4489" s="304" t="s">
        <v>38538</v>
      </c>
      <c r="L4489" s="188">
        <v>47</v>
      </c>
      <c r="M4489" s="179" t="s">
        <v>151</v>
      </c>
    </row>
    <row r="4490" spans="1:13" ht="25.5">
      <c r="A4490" s="313" t="str">
        <f t="shared" si="70"/>
        <v>MaritimeNavBeaconTypeCode_diving</v>
      </c>
      <c r="B4490" s="330"/>
      <c r="C4490" s="334"/>
      <c r="D4490" s="188" t="s">
        <v>18588</v>
      </c>
      <c r="E4490" s="189" t="s">
        <v>18589</v>
      </c>
      <c r="F4490" s="162" t="s">
        <v>25790</v>
      </c>
      <c r="G4490" s="190"/>
      <c r="H4490" s="219"/>
      <c r="I4490" s="169">
        <v>102268</v>
      </c>
      <c r="J4490" s="304" t="str">
        <f>CONCATENATE([2]Cover!$D$6,"fdd/view?i=",I4490)</f>
        <v>https://www.dgiwg.org/FAD/fdd/view?i=102268</v>
      </c>
      <c r="K4490" s="304" t="s">
        <v>38539</v>
      </c>
      <c r="L4490" s="188">
        <v>81</v>
      </c>
      <c r="M4490" s="179" t="s">
        <v>151</v>
      </c>
    </row>
    <row r="4491" spans="1:13" ht="38.25">
      <c r="A4491" s="313" t="str">
        <f t="shared" si="70"/>
        <v>MaritimeNavBeaconTypeCode_eastCardinal</v>
      </c>
      <c r="B4491" s="330"/>
      <c r="C4491" s="334"/>
      <c r="D4491" s="188" t="s">
        <v>18591</v>
      </c>
      <c r="E4491" s="189" t="s">
        <v>18592</v>
      </c>
      <c r="F4491" s="162" t="s">
        <v>25791</v>
      </c>
      <c r="G4491" s="190"/>
      <c r="H4491" s="219"/>
      <c r="I4491" s="169">
        <v>102282</v>
      </c>
      <c r="J4491" s="304" t="str">
        <f>CONCATENATE([2]Cover!$D$6,"fdd/view?i=",I4491)</f>
        <v>https://www.dgiwg.org/FAD/fdd/view?i=102282</v>
      </c>
      <c r="K4491" s="304" t="s">
        <v>38540</v>
      </c>
      <c r="L4491" s="188">
        <v>97</v>
      </c>
      <c r="M4491" s="179" t="s">
        <v>151</v>
      </c>
    </row>
    <row r="4492" spans="1:13" ht="25.5">
      <c r="A4492" s="313" t="str">
        <f t="shared" si="70"/>
        <v>MaritimeNavBeaconTypeCode_entryProhibited</v>
      </c>
      <c r="B4492" s="330"/>
      <c r="C4492" s="334"/>
      <c r="D4492" s="188" t="s">
        <v>18594</v>
      </c>
      <c r="E4492" s="189" t="s">
        <v>18595</v>
      </c>
      <c r="F4492" s="162" t="s">
        <v>25792</v>
      </c>
      <c r="G4492" s="190"/>
      <c r="H4492" s="219"/>
      <c r="I4492" s="169">
        <v>102285</v>
      </c>
      <c r="J4492" s="304" t="str">
        <f>CONCATENATE([2]Cover!$D$6,"fdd/view?i=",I4492)</f>
        <v>https://www.dgiwg.org/FAD/fdd/view?i=102285</v>
      </c>
      <c r="K4492" s="304" t="s">
        <v>38541</v>
      </c>
      <c r="L4492" s="188">
        <v>102</v>
      </c>
      <c r="M4492" s="179" t="s">
        <v>151</v>
      </c>
    </row>
    <row r="4493" spans="1:13" ht="25.5">
      <c r="A4493" s="313" t="str">
        <f t="shared" si="70"/>
        <v>MaritimeNavBeaconTypeCode_exerciseArea</v>
      </c>
      <c r="B4493" s="330"/>
      <c r="C4493" s="334"/>
      <c r="D4493" s="188" t="s">
        <v>18597</v>
      </c>
      <c r="E4493" s="189" t="s">
        <v>18598</v>
      </c>
      <c r="F4493" s="162" t="s">
        <v>25793</v>
      </c>
      <c r="G4493" s="190"/>
      <c r="H4493" s="219"/>
      <c r="I4493" s="169">
        <v>207813</v>
      </c>
      <c r="J4493" s="304" t="str">
        <f>CONCATENATE([2]Cover!$D$6,"fdd/view?i=",I4493)</f>
        <v>https://www.dgiwg.org/FAD/fdd/view?i=207813</v>
      </c>
      <c r="K4493" s="304" t="s">
        <v>38542</v>
      </c>
      <c r="L4493" s="188">
        <v>29</v>
      </c>
      <c r="M4493" s="179" t="s">
        <v>1295</v>
      </c>
    </row>
    <row r="4494" spans="1:13" ht="25.5">
      <c r="A4494" s="313" t="str">
        <f t="shared" si="70"/>
        <v>MaritimeNavBeaconTypeCode_explosiveAnchorage</v>
      </c>
      <c r="B4494" s="330"/>
      <c r="C4494" s="334"/>
      <c r="D4494" s="188" t="s">
        <v>18601</v>
      </c>
      <c r="E4494" s="189" t="s">
        <v>18602</v>
      </c>
      <c r="F4494" s="162" t="s">
        <v>25794</v>
      </c>
      <c r="G4494" s="190"/>
      <c r="H4494" s="219"/>
      <c r="I4494" s="169">
        <v>207814</v>
      </c>
      <c r="J4494" s="304" t="str">
        <f>CONCATENATE([2]Cover!$D$6,"fdd/view?i=",I4494)</f>
        <v>https://www.dgiwg.org/FAD/fdd/view?i=207814</v>
      </c>
      <c r="K4494" s="304" t="s">
        <v>38543</v>
      </c>
      <c r="L4494" s="188">
        <v>30</v>
      </c>
      <c r="M4494" s="179" t="s">
        <v>1295</v>
      </c>
    </row>
    <row r="4495" spans="1:13" ht="25.5">
      <c r="A4495" s="313" t="str">
        <f t="shared" si="70"/>
        <v>MaritimeNavBeaconTypeCode_fairway</v>
      </c>
      <c r="B4495" s="330"/>
      <c r="C4495" s="334"/>
      <c r="D4495" s="188" t="s">
        <v>18604</v>
      </c>
      <c r="E4495" s="189" t="s">
        <v>18605</v>
      </c>
      <c r="F4495" s="162" t="s">
        <v>25795</v>
      </c>
      <c r="G4495" s="162" t="s">
        <v>18607</v>
      </c>
      <c r="H4495" s="219"/>
      <c r="I4495" s="169">
        <v>207804</v>
      </c>
      <c r="J4495" s="304" t="str">
        <f>CONCATENATE([2]Cover!$D$6,"fdd/view?i=",I4495)</f>
        <v>https://www.dgiwg.org/FAD/fdd/view?i=207804</v>
      </c>
      <c r="K4495" s="304" t="s">
        <v>38544</v>
      </c>
      <c r="L4495" s="188">
        <v>20</v>
      </c>
      <c r="M4495" s="179" t="s">
        <v>1295</v>
      </c>
    </row>
    <row r="4496" spans="1:13" ht="25.5">
      <c r="A4496" s="313" t="str">
        <f t="shared" si="70"/>
        <v>MaritimeNavBeaconTypeCode_ferryCrossing</v>
      </c>
      <c r="B4496" s="330"/>
      <c r="C4496" s="334"/>
      <c r="D4496" s="188" t="s">
        <v>18608</v>
      </c>
      <c r="E4496" s="189" t="s">
        <v>2332</v>
      </c>
      <c r="F4496" s="162" t="s">
        <v>25796</v>
      </c>
      <c r="G4496" s="162" t="s">
        <v>18610</v>
      </c>
      <c r="H4496" s="219"/>
      <c r="I4496" s="169">
        <v>102259</v>
      </c>
      <c r="J4496" s="304" t="str">
        <f>CONCATENATE([2]Cover!$D$6,"fdd/view?i=",I4496)</f>
        <v>https://www.dgiwg.org/FAD/fdd/view?i=102259</v>
      </c>
      <c r="K4496" s="304" t="s">
        <v>38545</v>
      </c>
      <c r="L4496" s="188">
        <v>72</v>
      </c>
      <c r="M4496" s="179" t="s">
        <v>151</v>
      </c>
    </row>
    <row r="4497" spans="1:13" ht="25.5">
      <c r="A4497" s="313" t="str">
        <f t="shared" si="70"/>
        <v>MaritimeNavBeaconTypeCode_firingDangerArea</v>
      </c>
      <c r="B4497" s="330"/>
      <c r="C4497" s="334"/>
      <c r="D4497" s="188" t="s">
        <v>18611</v>
      </c>
      <c r="E4497" s="189" t="s">
        <v>18612</v>
      </c>
      <c r="F4497" s="162" t="s">
        <v>25797</v>
      </c>
      <c r="G4497" s="190"/>
      <c r="H4497" s="219"/>
      <c r="I4497" s="169">
        <v>102231</v>
      </c>
      <c r="J4497" s="304" t="str">
        <f>CONCATENATE([2]Cover!$D$6,"fdd/view?i=",I4497)</f>
        <v>https://www.dgiwg.org/FAD/fdd/view?i=102231</v>
      </c>
      <c r="K4497" s="304" t="s">
        <v>38546</v>
      </c>
      <c r="L4497" s="188">
        <v>44</v>
      </c>
      <c r="M4497" s="179" t="s">
        <v>151</v>
      </c>
    </row>
    <row r="4498" spans="1:13" ht="25.5">
      <c r="A4498" s="313" t="str">
        <f t="shared" si="70"/>
        <v>MaritimeNavBeaconTypeCode_fishTrap</v>
      </c>
      <c r="B4498" s="330"/>
      <c r="C4498" s="334"/>
      <c r="D4498" s="188" t="s">
        <v>18614</v>
      </c>
      <c r="E4498" s="189" t="s">
        <v>18615</v>
      </c>
      <c r="F4498" s="162" t="s">
        <v>25798</v>
      </c>
      <c r="G4498" s="190"/>
      <c r="H4498" s="219"/>
      <c r="I4498" s="169">
        <v>207816</v>
      </c>
      <c r="J4498" s="304" t="str">
        <f>CONCATENATE([2]Cover!$D$6,"fdd/view?i=",I4498)</f>
        <v>https://www.dgiwg.org/FAD/fdd/view?i=207816</v>
      </c>
      <c r="K4498" s="304" t="s">
        <v>38547</v>
      </c>
      <c r="L4498" s="188">
        <v>33</v>
      </c>
      <c r="M4498" s="179" t="s">
        <v>1295</v>
      </c>
    </row>
    <row r="4499" spans="1:13" ht="25.5">
      <c r="A4499" s="313" t="str">
        <f t="shared" si="70"/>
        <v>MaritimeNavBeaconTypeCode_foulGround</v>
      </c>
      <c r="B4499" s="330"/>
      <c r="C4499" s="334"/>
      <c r="D4499" s="188" t="s">
        <v>18617</v>
      </c>
      <c r="E4499" s="189" t="s">
        <v>2464</v>
      </c>
      <c r="F4499" s="162" t="s">
        <v>25799</v>
      </c>
      <c r="G4499" s="190"/>
      <c r="H4499" s="219"/>
      <c r="I4499" s="169">
        <v>102263</v>
      </c>
      <c r="J4499" s="304" t="str">
        <f>CONCATENATE([2]Cover!$D$6,"fdd/view?i=",I4499)</f>
        <v>https://www.dgiwg.org/FAD/fdd/view?i=102263</v>
      </c>
      <c r="K4499" s="304" t="s">
        <v>38548</v>
      </c>
      <c r="L4499" s="188">
        <v>76</v>
      </c>
      <c r="M4499" s="179" t="s">
        <v>151</v>
      </c>
    </row>
    <row r="4500" spans="1:13" ht="25.5">
      <c r="A4500" s="313" t="str">
        <f t="shared" si="70"/>
        <v>MaritimeNavBeaconTypeCode_generalWarning</v>
      </c>
      <c r="B4500" s="330"/>
      <c r="C4500" s="334"/>
      <c r="D4500" s="188" t="s">
        <v>18619</v>
      </c>
      <c r="E4500" s="189" t="s">
        <v>18620</v>
      </c>
      <c r="F4500" s="162" t="s">
        <v>25800</v>
      </c>
      <c r="G4500" s="190"/>
      <c r="H4500" s="219"/>
      <c r="I4500" s="169">
        <v>102300</v>
      </c>
      <c r="J4500" s="304" t="str">
        <f>CONCATENATE([2]Cover!$D$6,"fdd/view?i=",I4500)</f>
        <v>https://www.dgiwg.org/FAD/fdd/view?i=102300</v>
      </c>
      <c r="K4500" s="304" t="s">
        <v>38549</v>
      </c>
      <c r="L4500" s="188">
        <v>117</v>
      </c>
      <c r="M4500" s="179" t="s">
        <v>151</v>
      </c>
    </row>
    <row r="4501" spans="1:13" ht="25.5">
      <c r="A4501" s="313" t="str">
        <f t="shared" si="70"/>
        <v>MaritimeNavBeaconTypeCode_gpsMark</v>
      </c>
      <c r="B4501" s="330"/>
      <c r="C4501" s="334"/>
      <c r="D4501" s="188" t="s">
        <v>18622</v>
      </c>
      <c r="E4501" s="189" t="s">
        <v>18623</v>
      </c>
      <c r="F4501" s="162" t="s">
        <v>25801</v>
      </c>
      <c r="G4501" s="190"/>
      <c r="H4501" s="219"/>
      <c r="J4501" s="304" t="str">
        <f>CONCATENATE([2]Cover!$D$6,"fdd/view?i=",I4501)</f>
        <v>https://www.dgiwg.org/FAD/fdd/view?i=</v>
      </c>
      <c r="K4501" s="304" t="s">
        <v>38550</v>
      </c>
      <c r="L4501" s="188">
        <v>79</v>
      </c>
      <c r="M4501" s="179" t="s">
        <v>151</v>
      </c>
    </row>
    <row r="4502" spans="1:13" ht="25.5">
      <c r="A4502" s="313" t="str">
        <f t="shared" si="70"/>
        <v>MaritimeNavBeaconTypeCode_heliport</v>
      </c>
      <c r="B4502" s="330"/>
      <c r="C4502" s="334"/>
      <c r="D4502" s="188" t="s">
        <v>15225</v>
      </c>
      <c r="E4502" s="189" t="s">
        <v>2691</v>
      </c>
      <c r="F4502" s="162" t="s">
        <v>25802</v>
      </c>
      <c r="G4502" s="190"/>
      <c r="H4502" s="219"/>
      <c r="I4502" s="169">
        <v>102265</v>
      </c>
      <c r="J4502" s="304" t="str">
        <f>CONCATENATE([2]Cover!$D$6,"fdd/view?i=",I4502)</f>
        <v>https://www.dgiwg.org/FAD/fdd/view?i=102265</v>
      </c>
      <c r="K4502" s="304" t="s">
        <v>38551</v>
      </c>
      <c r="L4502" s="188">
        <v>78</v>
      </c>
      <c r="M4502" s="179" t="s">
        <v>151</v>
      </c>
    </row>
    <row r="4503" spans="1:13" ht="25.5">
      <c r="A4503" s="313" t="str">
        <f t="shared" si="70"/>
        <v>MaritimeNavBeaconTypeCode_isolatedDanger</v>
      </c>
      <c r="B4503" s="330"/>
      <c r="C4503" s="334"/>
      <c r="D4503" s="188" t="s">
        <v>18631</v>
      </c>
      <c r="E4503" s="189" t="s">
        <v>18632</v>
      </c>
      <c r="F4503" s="162" t="s">
        <v>25803</v>
      </c>
      <c r="G4503" s="190"/>
      <c r="H4503" s="219"/>
      <c r="J4503" s="304" t="str">
        <f>CONCATENATE([2]Cover!$D$6,"fdd/view?i=",I4503)</f>
        <v>https://www.dgiwg.org/FAD/fdd/view?i=</v>
      </c>
      <c r="K4503" s="304" t="s">
        <v>38552</v>
      </c>
      <c r="L4503" s="188">
        <v>123</v>
      </c>
      <c r="M4503" s="179" t="s">
        <v>151</v>
      </c>
    </row>
    <row r="4504" spans="1:13" ht="25.5">
      <c r="A4504" s="313" t="str">
        <f t="shared" si="70"/>
        <v>MaritimeNavBeaconTypeCode_junction</v>
      </c>
      <c r="B4504" s="330"/>
      <c r="C4504" s="334"/>
      <c r="D4504" s="188" t="s">
        <v>18634</v>
      </c>
      <c r="E4504" s="189" t="s">
        <v>18635</v>
      </c>
      <c r="F4504" s="162" t="s">
        <v>25804</v>
      </c>
      <c r="G4504" s="190"/>
      <c r="H4504" s="219"/>
      <c r="I4504" s="169">
        <v>207807</v>
      </c>
      <c r="J4504" s="304" t="str">
        <f>CONCATENATE([2]Cover!$D$6,"fdd/view?i=",I4504)</f>
        <v>https://www.dgiwg.org/FAD/fdd/view?i=207807</v>
      </c>
      <c r="K4504" s="304" t="s">
        <v>38553</v>
      </c>
      <c r="L4504" s="188">
        <v>23</v>
      </c>
      <c r="M4504" s="179" t="s">
        <v>1295</v>
      </c>
    </row>
    <row r="4505" spans="1:13" ht="25.5">
      <c r="A4505" s="313" t="str">
        <f t="shared" si="70"/>
        <v>MaritimeNavBeaconTypeCode_landfall</v>
      </c>
      <c r="B4505" s="330"/>
      <c r="C4505" s="334"/>
      <c r="D4505" s="188" t="s">
        <v>18638</v>
      </c>
      <c r="E4505" s="189" t="s">
        <v>18639</v>
      </c>
      <c r="F4505" s="162" t="s">
        <v>25805</v>
      </c>
      <c r="G4505" s="190"/>
      <c r="H4505" s="219"/>
      <c r="I4505" s="169">
        <v>207803</v>
      </c>
      <c r="J4505" s="304" t="str">
        <f>CONCATENATE([2]Cover!$D$6,"fdd/view?i=",I4505)</f>
        <v>https://www.dgiwg.org/FAD/fdd/view?i=207803</v>
      </c>
      <c r="K4505" s="304" t="s">
        <v>38554</v>
      </c>
      <c r="L4505" s="188">
        <v>11</v>
      </c>
      <c r="M4505" s="179" t="s">
        <v>1295</v>
      </c>
    </row>
    <row r="4506" spans="1:13" ht="25.5">
      <c r="A4506" s="313" t="str">
        <f t="shared" si="70"/>
        <v>MaritimeNavBeaconTypeCode_leadingLine</v>
      </c>
      <c r="B4506" s="330"/>
      <c r="C4506" s="334"/>
      <c r="D4506" s="188" t="s">
        <v>18646</v>
      </c>
      <c r="E4506" s="189" t="s">
        <v>2999</v>
      </c>
      <c r="F4506" s="162" t="s">
        <v>25806</v>
      </c>
      <c r="G4506" s="162" t="s">
        <v>18648</v>
      </c>
      <c r="H4506" s="219"/>
      <c r="I4506" s="169">
        <v>102240</v>
      </c>
      <c r="J4506" s="304" t="str">
        <f>CONCATENATE([2]Cover!$D$6,"fdd/view?i=",I4506)</f>
        <v>https://www.dgiwg.org/FAD/fdd/view?i=102240</v>
      </c>
      <c r="K4506" s="304" t="s">
        <v>38555</v>
      </c>
      <c r="L4506" s="188">
        <v>53</v>
      </c>
      <c r="M4506" s="179" t="s">
        <v>151</v>
      </c>
    </row>
    <row r="4507" spans="1:13" ht="25.5">
      <c r="A4507" s="313" t="str">
        <f t="shared" si="70"/>
        <v>MaritimeNavBeaconTypeCode_marineFarm</v>
      </c>
      <c r="B4507" s="330"/>
      <c r="C4507" s="334"/>
      <c r="D4507" s="188" t="s">
        <v>18652</v>
      </c>
      <c r="E4507" s="189" t="s">
        <v>18653</v>
      </c>
      <c r="F4507" s="162" t="s">
        <v>25807</v>
      </c>
      <c r="G4507" s="190"/>
      <c r="H4507" s="219"/>
      <c r="I4507" s="169">
        <v>102296</v>
      </c>
      <c r="J4507" s="304" t="str">
        <f>CONCATENATE([2]Cover!$D$6,"fdd/view?i=",I4507)</f>
        <v>https://www.dgiwg.org/FAD/fdd/view?i=102296</v>
      </c>
      <c r="K4507" s="304" t="s">
        <v>38556</v>
      </c>
      <c r="L4507" s="188">
        <v>113</v>
      </c>
      <c r="M4507" s="179" t="s">
        <v>151</v>
      </c>
    </row>
    <row r="4508" spans="1:13" ht="25.5">
      <c r="A4508" s="313" t="str">
        <f t="shared" si="70"/>
        <v>MaritimeNavBeaconTypeCode_markerShip</v>
      </c>
      <c r="B4508" s="330"/>
      <c r="C4508" s="334"/>
      <c r="D4508" s="188" t="s">
        <v>18655</v>
      </c>
      <c r="E4508" s="189" t="s">
        <v>18656</v>
      </c>
      <c r="F4508" s="162" t="s">
        <v>25808</v>
      </c>
      <c r="G4508" s="190"/>
      <c r="H4508" s="219"/>
      <c r="I4508" s="169">
        <v>102233</v>
      </c>
      <c r="J4508" s="304" t="str">
        <f>CONCATENATE([2]Cover!$D$6,"fdd/view?i=",I4508)</f>
        <v>https://www.dgiwg.org/FAD/fdd/view?i=102233</v>
      </c>
      <c r="K4508" s="304" t="s">
        <v>38557</v>
      </c>
      <c r="L4508" s="188">
        <v>46</v>
      </c>
      <c r="M4508" s="179" t="s">
        <v>151</v>
      </c>
    </row>
    <row r="4509" spans="1:13" ht="25.5">
      <c r="A4509" s="313" t="str">
        <f t="shared" si="70"/>
        <v>MaritimeNavBeaconTypeCode_maximumVesselsDraught</v>
      </c>
      <c r="B4509" s="330"/>
      <c r="C4509" s="334"/>
      <c r="D4509" s="188" t="s">
        <v>25809</v>
      </c>
      <c r="E4509" s="189" t="s">
        <v>25810</v>
      </c>
      <c r="F4509" s="162" t="s">
        <v>25811</v>
      </c>
      <c r="G4509" s="190"/>
      <c r="H4509" s="219"/>
      <c r="I4509" s="169">
        <v>102252</v>
      </c>
      <c r="J4509" s="304" t="str">
        <f>CONCATENATE([2]Cover!$D$6,"fdd/view?i=",I4509)</f>
        <v>https://www.dgiwg.org/FAD/fdd/view?i=102252</v>
      </c>
      <c r="K4509" s="304" t="s">
        <v>38558</v>
      </c>
      <c r="L4509" s="188">
        <v>65</v>
      </c>
      <c r="M4509" s="179" t="s">
        <v>151</v>
      </c>
    </row>
    <row r="4510" spans="1:13" ht="25.5">
      <c r="A4510" s="313" t="str">
        <f t="shared" si="70"/>
        <v>MaritimeNavBeaconTypeCode_measuredDistance</v>
      </c>
      <c r="B4510" s="330"/>
      <c r="C4510" s="334"/>
      <c r="D4510" s="188" t="s">
        <v>18661</v>
      </c>
      <c r="E4510" s="189" t="s">
        <v>18662</v>
      </c>
      <c r="F4510" s="162" t="s">
        <v>25812</v>
      </c>
      <c r="G4510" s="190"/>
      <c r="H4510" s="219"/>
      <c r="I4510" s="169">
        <v>102241</v>
      </c>
      <c r="J4510" s="304" t="str">
        <f>CONCATENATE([2]Cover!$D$6,"fdd/view?i=",I4510)</f>
        <v>https://www.dgiwg.org/FAD/fdd/view?i=102241</v>
      </c>
      <c r="K4510" s="304" t="s">
        <v>38559</v>
      </c>
      <c r="L4510" s="188">
        <v>54</v>
      </c>
      <c r="M4510" s="179" t="s">
        <v>151</v>
      </c>
    </row>
    <row r="4511" spans="1:13" ht="25.5">
      <c r="A4511" s="313" t="str">
        <f t="shared" si="70"/>
        <v>MaritimeNavBeaconTypeCode_midChannel</v>
      </c>
      <c r="B4511" s="330"/>
      <c r="C4511" s="334"/>
      <c r="D4511" s="188" t="s">
        <v>18664</v>
      </c>
      <c r="E4511" s="189" t="s">
        <v>18665</v>
      </c>
      <c r="F4511" s="162" t="s">
        <v>25813</v>
      </c>
      <c r="G4511" s="190"/>
      <c r="H4511" s="219"/>
      <c r="I4511" s="169">
        <v>207805</v>
      </c>
      <c r="J4511" s="304" t="str">
        <f>CONCATENATE([2]Cover!$D$6,"fdd/view?i=",I4511)</f>
        <v>https://www.dgiwg.org/FAD/fdd/view?i=207805</v>
      </c>
      <c r="K4511" s="304" t="s">
        <v>38560</v>
      </c>
      <c r="L4511" s="188">
        <v>21</v>
      </c>
      <c r="M4511" s="179" t="s">
        <v>1295</v>
      </c>
    </row>
    <row r="4512" spans="1:13" ht="25.5">
      <c r="A4512" s="313" t="str">
        <f t="shared" si="70"/>
        <v>MaritimeNavBeaconTypeCode_mooring</v>
      </c>
      <c r="B4512" s="330"/>
      <c r="C4512" s="334"/>
      <c r="D4512" s="188" t="s">
        <v>18008</v>
      </c>
      <c r="E4512" s="189" t="s">
        <v>18009</v>
      </c>
      <c r="F4512" s="162" t="s">
        <v>25814</v>
      </c>
      <c r="G4512" s="190"/>
      <c r="H4512" s="219"/>
      <c r="I4512" s="169">
        <v>102221</v>
      </c>
      <c r="J4512" s="304" t="str">
        <f>CONCATENATE([2]Cover!$D$6,"fdd/view?i=",I4512)</f>
        <v>https://www.dgiwg.org/FAD/fdd/view?i=102221</v>
      </c>
      <c r="K4512" s="304" t="s">
        <v>38561</v>
      </c>
      <c r="L4512" s="188">
        <v>7</v>
      </c>
      <c r="M4512" s="179" t="s">
        <v>151</v>
      </c>
    </row>
    <row r="4513" spans="1:13" ht="38.25">
      <c r="A4513" s="313" t="str">
        <f t="shared" si="70"/>
        <v>MaritimeNavBeaconTypeCode_northCardinal</v>
      </c>
      <c r="B4513" s="330"/>
      <c r="C4513" s="334"/>
      <c r="D4513" s="188" t="s">
        <v>18671</v>
      </c>
      <c r="E4513" s="189" t="s">
        <v>18672</v>
      </c>
      <c r="F4513" s="162" t="s">
        <v>25815</v>
      </c>
      <c r="G4513" s="190"/>
      <c r="H4513" s="219"/>
      <c r="I4513" s="169">
        <v>102283</v>
      </c>
      <c r="J4513" s="304" t="str">
        <f>CONCATENATE([2]Cover!$D$6,"fdd/view?i=",I4513)</f>
        <v>https://www.dgiwg.org/FAD/fdd/view?i=102283</v>
      </c>
      <c r="K4513" s="304" t="s">
        <v>38562</v>
      </c>
      <c r="L4513" s="188">
        <v>98</v>
      </c>
      <c r="M4513" s="179" t="s">
        <v>151</v>
      </c>
    </row>
    <row r="4514" spans="1:13" ht="25.5">
      <c r="A4514" s="313" t="str">
        <f t="shared" si="70"/>
        <v>MaritimeNavBeaconTypeCode_notice</v>
      </c>
      <c r="B4514" s="330"/>
      <c r="C4514" s="334"/>
      <c r="D4514" s="188" t="s">
        <v>18674</v>
      </c>
      <c r="E4514" s="189" t="s">
        <v>18675</v>
      </c>
      <c r="F4514" s="162" t="s">
        <v>25816</v>
      </c>
      <c r="G4514" s="190"/>
      <c r="H4514" s="219"/>
      <c r="I4514" s="169">
        <v>102299</v>
      </c>
      <c r="J4514" s="304" t="str">
        <f>CONCATENATE([2]Cover!$D$6,"fdd/view?i=",I4514)</f>
        <v>https://www.dgiwg.org/FAD/fdd/view?i=102299</v>
      </c>
      <c r="K4514" s="304" t="s">
        <v>38563</v>
      </c>
      <c r="L4514" s="188">
        <v>116</v>
      </c>
      <c r="M4514" s="179" t="s">
        <v>151</v>
      </c>
    </row>
    <row r="4515" spans="1:13" ht="25.5">
      <c r="A4515" s="313" t="str">
        <f t="shared" si="70"/>
        <v>MaritimeNavBeaconTypeCode_obstruction</v>
      </c>
      <c r="B4515" s="330"/>
      <c r="C4515" s="334"/>
      <c r="D4515" s="188" t="s">
        <v>18677</v>
      </c>
      <c r="E4515" s="189" t="s">
        <v>18678</v>
      </c>
      <c r="F4515" s="162" t="s">
        <v>25817</v>
      </c>
      <c r="G4515" s="190"/>
      <c r="H4515" s="219"/>
      <c r="I4515" s="169">
        <v>207809</v>
      </c>
      <c r="J4515" s="304" t="str">
        <f>CONCATENATE([2]Cover!$D$6,"fdd/view?i=",I4515)</f>
        <v>https://www.dgiwg.org/FAD/fdd/view?i=207809</v>
      </c>
      <c r="K4515" s="304" t="s">
        <v>38564</v>
      </c>
      <c r="L4515" s="188">
        <v>25</v>
      </c>
      <c r="M4515" s="179" t="s">
        <v>1295</v>
      </c>
    </row>
    <row r="4516" spans="1:13" ht="25.5">
      <c r="A4516" s="313" t="str">
        <f t="shared" si="70"/>
        <v>MaritimeNavBeaconTypeCode_outfall</v>
      </c>
      <c r="B4516" s="330"/>
      <c r="C4516" s="334"/>
      <c r="D4516" s="188" t="s">
        <v>18684</v>
      </c>
      <c r="E4516" s="189" t="s">
        <v>18685</v>
      </c>
      <c r="F4516" s="162" t="s">
        <v>25818</v>
      </c>
      <c r="G4516" s="190"/>
      <c r="H4516" s="219"/>
      <c r="I4516" s="169">
        <v>102237</v>
      </c>
      <c r="J4516" s="304" t="str">
        <f>CONCATENATE([2]Cover!$D$6,"fdd/view?i=",I4516)</f>
        <v>https://www.dgiwg.org/FAD/fdd/view?i=102237</v>
      </c>
      <c r="K4516" s="304" t="s">
        <v>38565</v>
      </c>
      <c r="L4516" s="188">
        <v>50</v>
      </c>
      <c r="M4516" s="179" t="s">
        <v>151</v>
      </c>
    </row>
    <row r="4517" spans="1:13" ht="25.5">
      <c r="A4517" s="313" t="str">
        <f t="shared" si="70"/>
        <v>MaritimeNavBeaconTypeCode_overheadPowerCable</v>
      </c>
      <c r="B4517" s="330"/>
      <c r="C4517" s="334"/>
      <c r="D4517" s="188" t="s">
        <v>18687</v>
      </c>
      <c r="E4517" s="189" t="s">
        <v>18688</v>
      </c>
      <c r="F4517" s="162" t="s">
        <v>25819</v>
      </c>
      <c r="G4517" s="190"/>
      <c r="H4517" s="219"/>
      <c r="I4517" s="169">
        <v>102256</v>
      </c>
      <c r="J4517" s="304" t="str">
        <f>CONCATENATE([2]Cover!$D$6,"fdd/view?i=",I4517)</f>
        <v>https://www.dgiwg.org/FAD/fdd/view?i=102256</v>
      </c>
      <c r="K4517" s="304" t="s">
        <v>38566</v>
      </c>
      <c r="L4517" s="188">
        <v>69</v>
      </c>
      <c r="M4517" s="179" t="s">
        <v>151</v>
      </c>
    </row>
    <row r="4518" spans="1:13" ht="25.5">
      <c r="A4518" s="313" t="str">
        <f t="shared" si="70"/>
        <v>MaritimeNavBeaconTypeCode_overtakingProhibited</v>
      </c>
      <c r="B4518" s="330"/>
      <c r="C4518" s="334"/>
      <c r="D4518" s="188" t="s">
        <v>18690</v>
      </c>
      <c r="E4518" s="189" t="s">
        <v>18691</v>
      </c>
      <c r="F4518" s="162" t="s">
        <v>25820</v>
      </c>
      <c r="G4518" s="190"/>
      <c r="H4518" s="219"/>
      <c r="J4518" s="304" t="str">
        <f>CONCATENATE([2]Cover!$D$6,"fdd/view?i=",I4518)</f>
        <v>https://www.dgiwg.org/FAD/fdd/view?i=</v>
      </c>
      <c r="K4518" s="304" t="s">
        <v>38567</v>
      </c>
      <c r="L4518" s="188">
        <v>58</v>
      </c>
      <c r="M4518" s="179" t="s">
        <v>151</v>
      </c>
    </row>
    <row r="4519" spans="1:13" ht="25.5">
      <c r="A4519" s="313" t="str">
        <f t="shared" si="70"/>
        <v>MaritimeNavBeaconTypeCode_pipeline</v>
      </c>
      <c r="B4519" s="330"/>
      <c r="C4519" s="334"/>
      <c r="D4519" s="188" t="s">
        <v>18693</v>
      </c>
      <c r="E4519" s="189" t="s">
        <v>3413</v>
      </c>
      <c r="F4519" s="162" t="s">
        <v>25821</v>
      </c>
      <c r="G4519" s="190"/>
      <c r="H4519" s="219"/>
      <c r="I4519" s="169">
        <v>102260</v>
      </c>
      <c r="J4519" s="304" t="str">
        <f>CONCATENATE([2]Cover!$D$6,"fdd/view?i=",I4519)</f>
        <v>https://www.dgiwg.org/FAD/fdd/view?i=102260</v>
      </c>
      <c r="K4519" s="304" t="s">
        <v>38568</v>
      </c>
      <c r="L4519" s="188">
        <v>73</v>
      </c>
      <c r="M4519" s="179" t="s">
        <v>151</v>
      </c>
    </row>
    <row r="4520" spans="1:13" ht="25.5">
      <c r="A4520" s="313" t="str">
        <f t="shared" si="70"/>
        <v>MaritimeNavBeaconTypeCode_portHandEdge</v>
      </c>
      <c r="B4520" s="330"/>
      <c r="C4520" s="334"/>
      <c r="D4520" s="188" t="s">
        <v>18695</v>
      </c>
      <c r="E4520" s="189" t="s">
        <v>18696</v>
      </c>
      <c r="F4520" s="162" t="s">
        <v>25822</v>
      </c>
      <c r="G4520" s="162" t="s">
        <v>18698</v>
      </c>
      <c r="H4520" s="219"/>
      <c r="I4520" s="169">
        <v>102279</v>
      </c>
      <c r="J4520" s="304" t="str">
        <f>CONCATENATE([2]Cover!$D$6,"fdd/view?i=",I4520)</f>
        <v>https://www.dgiwg.org/FAD/fdd/view?i=102279</v>
      </c>
      <c r="K4520" s="304" t="s">
        <v>38569</v>
      </c>
      <c r="L4520" s="188">
        <v>94</v>
      </c>
      <c r="M4520" s="179" t="s">
        <v>151</v>
      </c>
    </row>
    <row r="4521" spans="1:13" ht="25.5">
      <c r="A4521" s="313" t="str">
        <f t="shared" si="70"/>
        <v>MaritimeNavBeaconTypeCode_preferredChannelPort</v>
      </c>
      <c r="B4521" s="330"/>
      <c r="C4521" s="334"/>
      <c r="D4521" s="188" t="s">
        <v>18699</v>
      </c>
      <c r="E4521" s="189" t="s">
        <v>18700</v>
      </c>
      <c r="F4521" s="162" t="s">
        <v>25823</v>
      </c>
      <c r="G4521" s="190"/>
      <c r="H4521" s="219"/>
      <c r="I4521" s="169">
        <v>102276</v>
      </c>
      <c r="J4521" s="304" t="str">
        <f>CONCATENATE([2]Cover!$D$6,"fdd/view?i=",I4521)</f>
        <v>https://www.dgiwg.org/FAD/fdd/view?i=102276</v>
      </c>
      <c r="K4521" s="304" t="s">
        <v>38570</v>
      </c>
      <c r="L4521" s="188">
        <v>91</v>
      </c>
      <c r="M4521" s="179" t="s">
        <v>151</v>
      </c>
    </row>
    <row r="4522" spans="1:13" ht="25.5">
      <c r="A4522" s="313" t="str">
        <f t="shared" si="70"/>
        <v>MaritimeNavBeaconTypeCode_preferredChannelStarboard</v>
      </c>
      <c r="B4522" s="330"/>
      <c r="C4522" s="334"/>
      <c r="D4522" s="188" t="s">
        <v>18702</v>
      </c>
      <c r="E4522" s="189" t="s">
        <v>18703</v>
      </c>
      <c r="F4522" s="162" t="s">
        <v>25824</v>
      </c>
      <c r="G4522" s="190"/>
      <c r="H4522" s="219"/>
      <c r="I4522" s="169">
        <v>102277</v>
      </c>
      <c r="J4522" s="304" t="str">
        <f>CONCATENATE([2]Cover!$D$6,"fdd/view?i=",I4522)</f>
        <v>https://www.dgiwg.org/FAD/fdd/view?i=102277</v>
      </c>
      <c r="K4522" s="304" t="s">
        <v>38571</v>
      </c>
      <c r="L4522" s="188">
        <v>92</v>
      </c>
      <c r="M4522" s="179" t="s">
        <v>151</v>
      </c>
    </row>
    <row r="4523" spans="1:13" ht="25.5">
      <c r="A4523" s="313" t="str">
        <f t="shared" si="70"/>
        <v>MaritimeNavBeaconTypeCode_private</v>
      </c>
      <c r="B4523" s="330"/>
      <c r="C4523" s="334"/>
      <c r="D4523" s="188" t="s">
        <v>15756</v>
      </c>
      <c r="E4523" s="189" t="s">
        <v>15757</v>
      </c>
      <c r="F4523" s="162" t="s">
        <v>25825</v>
      </c>
      <c r="G4523" s="190"/>
      <c r="H4523" s="219"/>
      <c r="I4523" s="169">
        <v>102271</v>
      </c>
      <c r="J4523" s="304" t="str">
        <f>CONCATENATE([2]Cover!$D$6,"fdd/view?i=",I4523)</f>
        <v>https://www.dgiwg.org/FAD/fdd/view?i=102271</v>
      </c>
      <c r="K4523" s="304" t="s">
        <v>38572</v>
      </c>
      <c r="L4523" s="188">
        <v>86</v>
      </c>
      <c r="M4523" s="179" t="s">
        <v>151</v>
      </c>
    </row>
    <row r="4524" spans="1:13" ht="25.5">
      <c r="A4524" s="313" t="str">
        <f t="shared" si="70"/>
        <v>MaritimeNavBeaconTypeCode_quarantine</v>
      </c>
      <c r="B4524" s="330"/>
      <c r="C4524" s="334"/>
      <c r="D4524" s="188" t="s">
        <v>18706</v>
      </c>
      <c r="E4524" s="189" t="s">
        <v>18707</v>
      </c>
      <c r="F4524" s="162" t="s">
        <v>25826</v>
      </c>
      <c r="G4524" s="190"/>
      <c r="H4524" s="219"/>
      <c r="I4524" s="169">
        <v>207812</v>
      </c>
      <c r="J4524" s="304" t="str">
        <f>CONCATENATE([2]Cover!$D$6,"fdd/view?i=",I4524)</f>
        <v>https://www.dgiwg.org/FAD/fdd/view?i=207812</v>
      </c>
      <c r="K4524" s="304" t="s">
        <v>38573</v>
      </c>
      <c r="L4524" s="188">
        <v>28</v>
      </c>
      <c r="M4524" s="179" t="s">
        <v>1295</v>
      </c>
    </row>
    <row r="4525" spans="1:13" ht="25.5">
      <c r="A4525" s="313" t="str">
        <f t="shared" si="70"/>
        <v>MaritimeNavBeaconTypeCode_recording</v>
      </c>
      <c r="B4525" s="330"/>
      <c r="C4525" s="334"/>
      <c r="D4525" s="188" t="s">
        <v>18709</v>
      </c>
      <c r="E4525" s="189" t="s">
        <v>18710</v>
      </c>
      <c r="F4525" s="162" t="s">
        <v>25827</v>
      </c>
      <c r="G4525" s="190"/>
      <c r="H4525" s="219"/>
      <c r="I4525" s="169">
        <v>102238</v>
      </c>
      <c r="J4525" s="304" t="str">
        <f>CONCATENATE([2]Cover!$D$6,"fdd/view?i=",I4525)</f>
        <v>https://www.dgiwg.org/FAD/fdd/view?i=102238</v>
      </c>
      <c r="K4525" s="304" t="s">
        <v>38574</v>
      </c>
      <c r="L4525" s="188">
        <v>51</v>
      </c>
      <c r="M4525" s="179" t="s">
        <v>151</v>
      </c>
    </row>
    <row r="4526" spans="1:13" ht="25.5">
      <c r="A4526" s="313" t="str">
        <f t="shared" si="70"/>
        <v>MaritimeNavBeaconTypeCode_recreationZone</v>
      </c>
      <c r="B4526" s="330"/>
      <c r="C4526" s="334"/>
      <c r="D4526" s="188" t="s">
        <v>18712</v>
      </c>
      <c r="E4526" s="189" t="s">
        <v>18713</v>
      </c>
      <c r="F4526" s="162" t="s">
        <v>25828</v>
      </c>
      <c r="G4526" s="190"/>
      <c r="H4526" s="219"/>
      <c r="I4526" s="169">
        <v>102239</v>
      </c>
      <c r="J4526" s="304" t="str">
        <f>CONCATENATE([2]Cover!$D$6,"fdd/view?i=",I4526)</f>
        <v>https://www.dgiwg.org/FAD/fdd/view?i=102239</v>
      </c>
      <c r="K4526" s="304" t="s">
        <v>38575</v>
      </c>
      <c r="L4526" s="188">
        <v>52</v>
      </c>
      <c r="M4526" s="179" t="s">
        <v>151</v>
      </c>
    </row>
    <row r="4527" spans="1:13" ht="25.5">
      <c r="A4527" s="313" t="str">
        <f t="shared" si="70"/>
        <v>MaritimeNavBeaconTypeCode_reducedWake</v>
      </c>
      <c r="B4527" s="330"/>
      <c r="C4527" s="334"/>
      <c r="D4527" s="188" t="s">
        <v>18715</v>
      </c>
      <c r="E4527" s="189" t="s">
        <v>18716</v>
      </c>
      <c r="F4527" s="162" t="s">
        <v>25829</v>
      </c>
      <c r="G4527" s="190"/>
      <c r="H4527" s="219"/>
      <c r="I4527" s="169">
        <v>102247</v>
      </c>
      <c r="J4527" s="304" t="str">
        <f>CONCATENATE([2]Cover!$D$6,"fdd/view?i=",I4527)</f>
        <v>https://www.dgiwg.org/FAD/fdd/view?i=102247</v>
      </c>
      <c r="K4527" s="304" t="s">
        <v>38576</v>
      </c>
      <c r="L4527" s="188">
        <v>60</v>
      </c>
      <c r="M4527" s="179" t="s">
        <v>151</v>
      </c>
    </row>
    <row r="4528" spans="1:13" ht="25.5">
      <c r="A4528" s="313" t="str">
        <f t="shared" si="70"/>
        <v>MaritimeNavBeaconTypeCode_refuge</v>
      </c>
      <c r="B4528" s="330"/>
      <c r="C4528" s="334"/>
      <c r="D4528" s="188" t="s">
        <v>18718</v>
      </c>
      <c r="E4528" s="189" t="s">
        <v>18719</v>
      </c>
      <c r="F4528" s="162" t="s">
        <v>25830</v>
      </c>
      <c r="G4528" s="190"/>
      <c r="H4528" s="219"/>
      <c r="I4528" s="169">
        <v>102262</v>
      </c>
      <c r="J4528" s="304" t="str">
        <f>CONCATENATE([2]Cover!$D$6,"fdd/view?i=",I4528)</f>
        <v>https://www.dgiwg.org/FAD/fdd/view?i=102262</v>
      </c>
      <c r="K4528" s="304" t="s">
        <v>38577</v>
      </c>
      <c r="L4528" s="188">
        <v>75</v>
      </c>
      <c r="M4528" s="179" t="s">
        <v>151</v>
      </c>
    </row>
    <row r="4529" spans="1:13" ht="25.5">
      <c r="A4529" s="313" t="str">
        <f t="shared" si="70"/>
        <v>MaritimeNavBeaconTypeCode_restrictedHorizClearance</v>
      </c>
      <c r="B4529" s="330"/>
      <c r="C4529" s="334"/>
      <c r="D4529" s="188" t="s">
        <v>18721</v>
      </c>
      <c r="E4529" s="189" t="s">
        <v>9769</v>
      </c>
      <c r="F4529" s="162" t="s">
        <v>25831</v>
      </c>
      <c r="G4529" s="190"/>
      <c r="H4529" s="219"/>
      <c r="J4529" s="304" t="str">
        <f>CONCATENATE([2]Cover!$D$6,"fdd/view?i=",I4529)</f>
        <v>https://www.dgiwg.org/FAD/fdd/view?i=</v>
      </c>
      <c r="K4529" s="304" t="s">
        <v>38578</v>
      </c>
      <c r="L4529" s="188">
        <v>66</v>
      </c>
      <c r="M4529" s="179" t="s">
        <v>151</v>
      </c>
    </row>
    <row r="4530" spans="1:13" ht="25.5">
      <c r="A4530" s="313" t="str">
        <f t="shared" si="70"/>
        <v>MaritimeNavBeaconTypeCode_restrictedVerClearance</v>
      </c>
      <c r="B4530" s="330"/>
      <c r="C4530" s="334"/>
      <c r="D4530" s="188" t="s">
        <v>25832</v>
      </c>
      <c r="E4530" s="189" t="s">
        <v>18724</v>
      </c>
      <c r="F4530" s="162" t="s">
        <v>25833</v>
      </c>
      <c r="G4530" s="190"/>
      <c r="H4530" s="219"/>
      <c r="J4530" s="304" t="str">
        <f>CONCATENATE([2]Cover!$D$6,"fdd/view?i=",I4530)</f>
        <v>https://www.dgiwg.org/FAD/fdd/view?i=</v>
      </c>
      <c r="K4530" s="304" t="s">
        <v>38579</v>
      </c>
      <c r="L4530" s="188">
        <v>64</v>
      </c>
      <c r="M4530" s="179" t="s">
        <v>151</v>
      </c>
    </row>
    <row r="4531" spans="1:13" ht="25.5">
      <c r="A4531" s="313" t="str">
        <f t="shared" si="70"/>
        <v>MaritimeNavBeaconTypeCode_safeWater</v>
      </c>
      <c r="B4531" s="330"/>
      <c r="C4531" s="334"/>
      <c r="D4531" s="188" t="s">
        <v>18726</v>
      </c>
      <c r="E4531" s="189" t="s">
        <v>18727</v>
      </c>
      <c r="F4531" s="162" t="s">
        <v>25834</v>
      </c>
      <c r="G4531" s="190"/>
      <c r="H4531" s="219"/>
      <c r="J4531" s="304" t="str">
        <f>CONCATENATE([2]Cover!$D$6,"fdd/view?i=",I4531)</f>
        <v>https://www.dgiwg.org/FAD/fdd/view?i=</v>
      </c>
      <c r="K4531" s="304" t="s">
        <v>38580</v>
      </c>
      <c r="L4531" s="188">
        <v>122</v>
      </c>
      <c r="M4531" s="179" t="s">
        <v>151</v>
      </c>
    </row>
    <row r="4532" spans="1:13" ht="25.5">
      <c r="A4532" s="313" t="str">
        <f t="shared" si="70"/>
        <v>MaritimeNavBeaconTypeCode_seaplaneLanding</v>
      </c>
      <c r="B4532" s="330"/>
      <c r="C4532" s="334"/>
      <c r="D4532" s="188" t="s">
        <v>18729</v>
      </c>
      <c r="E4532" s="189" t="s">
        <v>18730</v>
      </c>
      <c r="F4532" s="162" t="s">
        <v>25835</v>
      </c>
      <c r="G4532" s="190"/>
      <c r="H4532" s="219"/>
      <c r="I4532" s="169">
        <v>102267</v>
      </c>
      <c r="J4532" s="304" t="str">
        <f>CONCATENATE([2]Cover!$D$6,"fdd/view?i=",I4532)</f>
        <v>https://www.dgiwg.org/FAD/fdd/view?i=102267</v>
      </c>
      <c r="K4532" s="304" t="s">
        <v>38581</v>
      </c>
      <c r="L4532" s="188">
        <v>80</v>
      </c>
      <c r="M4532" s="179" t="s">
        <v>151</v>
      </c>
    </row>
    <row r="4533" spans="1:13" ht="25.5">
      <c r="A4533" s="313" t="str">
        <f t="shared" si="70"/>
        <v>MaritimeNavBeaconTypeCode_soundShipsSiren</v>
      </c>
      <c r="B4533" s="330"/>
      <c r="C4533" s="334"/>
      <c r="D4533" s="188" t="s">
        <v>18732</v>
      </c>
      <c r="E4533" s="189" t="s">
        <v>18733</v>
      </c>
      <c r="F4533" s="162" t="s">
        <v>25836</v>
      </c>
      <c r="G4533" s="190"/>
      <c r="H4533" s="219"/>
      <c r="I4533" s="169">
        <v>102250</v>
      </c>
      <c r="J4533" s="304" t="str">
        <f>CONCATENATE([2]Cover!$D$6,"fdd/view?i=",I4533)</f>
        <v>https://www.dgiwg.org/FAD/fdd/view?i=102250</v>
      </c>
      <c r="K4533" s="304" t="s">
        <v>38582</v>
      </c>
      <c r="L4533" s="188">
        <v>63</v>
      </c>
      <c r="M4533" s="179" t="s">
        <v>151</v>
      </c>
    </row>
    <row r="4534" spans="1:13" ht="38.25">
      <c r="A4534" s="313" t="str">
        <f t="shared" si="70"/>
        <v>MaritimeNavBeaconTypeCode_southCardinal</v>
      </c>
      <c r="B4534" s="330"/>
      <c r="C4534" s="334"/>
      <c r="D4534" s="188" t="s">
        <v>18735</v>
      </c>
      <c r="E4534" s="189" t="s">
        <v>18736</v>
      </c>
      <c r="F4534" s="162" t="s">
        <v>25837</v>
      </c>
      <c r="G4534" s="190"/>
      <c r="H4534" s="219"/>
      <c r="I4534" s="169">
        <v>102281</v>
      </c>
      <c r="J4534" s="304" t="str">
        <f>CONCATENATE([2]Cover!$D$6,"fdd/view?i=",I4534)</f>
        <v>https://www.dgiwg.org/FAD/fdd/view?i=102281</v>
      </c>
      <c r="K4534" s="304" t="s">
        <v>38583</v>
      </c>
      <c r="L4534" s="188">
        <v>96</v>
      </c>
      <c r="M4534" s="179" t="s">
        <v>151</v>
      </c>
    </row>
    <row r="4535" spans="1:13" ht="38.25">
      <c r="A4535" s="313" t="str">
        <f t="shared" si="70"/>
        <v>MaritimeNavBeaconTypeCode_special</v>
      </c>
      <c r="B4535" s="330"/>
      <c r="C4535" s="334"/>
      <c r="D4535" s="188" t="s">
        <v>18738</v>
      </c>
      <c r="E4535" s="189" t="s">
        <v>18739</v>
      </c>
      <c r="F4535" s="162" t="s">
        <v>25838</v>
      </c>
      <c r="G4535" s="190"/>
      <c r="H4535" s="219"/>
      <c r="I4535" s="169">
        <v>102298</v>
      </c>
      <c r="J4535" s="304" t="str">
        <f>CONCATENATE([2]Cover!$D$6,"fdd/view?i=",I4535)</f>
        <v>https://www.dgiwg.org/FAD/fdd/view?i=102298</v>
      </c>
      <c r="K4535" s="304" t="s">
        <v>38584</v>
      </c>
      <c r="L4535" s="188">
        <v>115</v>
      </c>
      <c r="M4535" s="179" t="s">
        <v>151</v>
      </c>
    </row>
    <row r="4536" spans="1:13" ht="25.5">
      <c r="A4536" s="313" t="str">
        <f t="shared" si="70"/>
        <v>MaritimeNavBeaconTypeCode_speedLimit</v>
      </c>
      <c r="B4536" s="330"/>
      <c r="C4536" s="334"/>
      <c r="D4536" s="188" t="s">
        <v>18742</v>
      </c>
      <c r="E4536" s="189" t="s">
        <v>18743</v>
      </c>
      <c r="F4536" s="162" t="s">
        <v>25839</v>
      </c>
      <c r="G4536" s="190"/>
      <c r="H4536" s="219"/>
      <c r="I4536" s="169">
        <v>102248</v>
      </c>
      <c r="J4536" s="304" t="str">
        <f>CONCATENATE([2]Cover!$D$6,"fdd/view?i=",I4536)</f>
        <v>https://www.dgiwg.org/FAD/fdd/view?i=102248</v>
      </c>
      <c r="K4536" s="304" t="s">
        <v>38585</v>
      </c>
      <c r="L4536" s="188">
        <v>61</v>
      </c>
      <c r="M4536" s="179" t="s">
        <v>151</v>
      </c>
    </row>
    <row r="4537" spans="1:13" ht="25.5">
      <c r="A4537" s="313" t="str">
        <f t="shared" si="70"/>
        <v>MaritimeNavBeaconTypeCode_spoilGround</v>
      </c>
      <c r="B4537" s="330"/>
      <c r="C4537" s="334"/>
      <c r="D4537" s="188" t="s">
        <v>18745</v>
      </c>
      <c r="E4537" s="189" t="s">
        <v>18746</v>
      </c>
      <c r="F4537" s="162" t="s">
        <v>25840</v>
      </c>
      <c r="G4537" s="190"/>
      <c r="H4537" s="219"/>
      <c r="I4537" s="169">
        <v>102224</v>
      </c>
      <c r="J4537" s="304" t="str">
        <f>CONCATENATE([2]Cover!$D$6,"fdd/view?i=",I4537)</f>
        <v>https://www.dgiwg.org/FAD/fdd/view?i=102224</v>
      </c>
      <c r="K4537" s="304" t="s">
        <v>38586</v>
      </c>
      <c r="L4537" s="188">
        <v>34</v>
      </c>
      <c r="M4537" s="179" t="s">
        <v>151</v>
      </c>
    </row>
    <row r="4538" spans="1:13" ht="38.25">
      <c r="A4538" s="313" t="str">
        <f t="shared" si="70"/>
        <v>MaritimeNavBeaconTypeCode_starboardHandEdge</v>
      </c>
      <c r="B4538" s="330"/>
      <c r="C4538" s="334"/>
      <c r="D4538" s="188" t="s">
        <v>18748</v>
      </c>
      <c r="E4538" s="189" t="s">
        <v>18749</v>
      </c>
      <c r="F4538" s="162" t="s">
        <v>25841</v>
      </c>
      <c r="G4538" s="162" t="s">
        <v>18698</v>
      </c>
      <c r="H4538" s="219"/>
      <c r="I4538" s="169">
        <v>102278</v>
      </c>
      <c r="J4538" s="304" t="str">
        <f>CONCATENATE([2]Cover!$D$6,"fdd/view?i=",I4538)</f>
        <v>https://www.dgiwg.org/FAD/fdd/view?i=102278</v>
      </c>
      <c r="K4538" s="304" t="s">
        <v>38587</v>
      </c>
      <c r="L4538" s="188">
        <v>93</v>
      </c>
      <c r="M4538" s="179" t="s">
        <v>151</v>
      </c>
    </row>
    <row r="4539" spans="1:13" ht="25.5">
      <c r="A4539" s="313" t="str">
        <f t="shared" si="70"/>
        <v>MaritimeNavBeaconTypeCode_stop</v>
      </c>
      <c r="B4539" s="330"/>
      <c r="C4539" s="334"/>
      <c r="D4539" s="188" t="s">
        <v>18751</v>
      </c>
      <c r="E4539" s="189" t="s">
        <v>18752</v>
      </c>
      <c r="F4539" s="162" t="s">
        <v>25842</v>
      </c>
      <c r="G4539" s="190"/>
      <c r="H4539" s="219"/>
      <c r="I4539" s="169">
        <v>102249</v>
      </c>
      <c r="J4539" s="304" t="str">
        <f>CONCATENATE([2]Cover!$D$6,"fdd/view?i=",I4539)</f>
        <v>https://www.dgiwg.org/FAD/fdd/view?i=102249</v>
      </c>
      <c r="K4539" s="304" t="s">
        <v>38588</v>
      </c>
      <c r="L4539" s="188">
        <v>62</v>
      </c>
      <c r="M4539" s="179" t="s">
        <v>151</v>
      </c>
    </row>
    <row r="4540" spans="1:13" ht="25.5">
      <c r="A4540" s="313" t="str">
        <f t="shared" si="70"/>
        <v>MaritimeNavBeaconTypeCode_strongCurrentWarning</v>
      </c>
      <c r="B4540" s="330"/>
      <c r="C4540" s="334"/>
      <c r="D4540" s="188" t="s">
        <v>18754</v>
      </c>
      <c r="E4540" s="189" t="s">
        <v>18755</v>
      </c>
      <c r="F4540" s="162" t="s">
        <v>25843</v>
      </c>
      <c r="G4540" s="190"/>
      <c r="H4540" s="219"/>
      <c r="I4540" s="169">
        <v>102254</v>
      </c>
      <c r="J4540" s="304" t="str">
        <f>CONCATENATE([2]Cover!$D$6,"fdd/view?i=",I4540)</f>
        <v>https://www.dgiwg.org/FAD/fdd/view?i=102254</v>
      </c>
      <c r="K4540" s="304" t="s">
        <v>38589</v>
      </c>
      <c r="L4540" s="188">
        <v>67</v>
      </c>
      <c r="M4540" s="179" t="s">
        <v>151</v>
      </c>
    </row>
    <row r="4541" spans="1:13" ht="25.5">
      <c r="A4541" s="313" t="str">
        <f t="shared" si="70"/>
        <v>MaritimeNavBeaconTypeCode_swim</v>
      </c>
      <c r="B4541" s="330"/>
      <c r="C4541" s="334"/>
      <c r="D4541" s="188" t="s">
        <v>18757</v>
      </c>
      <c r="E4541" s="189" t="s">
        <v>18758</v>
      </c>
      <c r="F4541" s="162" t="s">
        <v>25844</v>
      </c>
      <c r="G4541" s="190"/>
      <c r="H4541" s="219"/>
      <c r="I4541" s="169">
        <v>102272</v>
      </c>
      <c r="J4541" s="304" t="str">
        <f>CONCATENATE([2]Cover!$D$6,"fdd/view?i=",I4541)</f>
        <v>https://www.dgiwg.org/FAD/fdd/view?i=102272</v>
      </c>
      <c r="K4541" s="304" t="s">
        <v>38590</v>
      </c>
      <c r="L4541" s="188">
        <v>87</v>
      </c>
      <c r="M4541" s="179" t="s">
        <v>151</v>
      </c>
    </row>
    <row r="4542" spans="1:13" ht="25.5">
      <c r="A4542" s="313" t="str">
        <f t="shared" si="70"/>
        <v>MaritimeNavBeaconTypeCode_target</v>
      </c>
      <c r="B4542" s="330"/>
      <c r="C4542" s="334"/>
      <c r="D4542" s="188" t="s">
        <v>18760</v>
      </c>
      <c r="E4542" s="189" t="s">
        <v>18761</v>
      </c>
      <c r="F4542" s="162" t="s">
        <v>25845</v>
      </c>
      <c r="G4542" s="190"/>
      <c r="H4542" s="219"/>
      <c r="I4542" s="169">
        <v>102232</v>
      </c>
      <c r="J4542" s="304" t="str">
        <f>CONCATENATE([2]Cover!$D$6,"fdd/view?i=",I4542)</f>
        <v>https://www.dgiwg.org/FAD/fdd/view?i=102232</v>
      </c>
      <c r="K4542" s="304" t="s">
        <v>38591</v>
      </c>
      <c r="L4542" s="188">
        <v>45</v>
      </c>
      <c r="M4542" s="179" t="s">
        <v>151</v>
      </c>
    </row>
    <row r="4543" spans="1:13" ht="25.5">
      <c r="A4543" s="313" t="str">
        <f t="shared" si="70"/>
        <v>MaritimeNavBeaconTypeCode_telegraphCable</v>
      </c>
      <c r="B4543" s="330"/>
      <c r="C4543" s="334"/>
      <c r="D4543" s="188" t="s">
        <v>18763</v>
      </c>
      <c r="E4543" s="189" t="s">
        <v>18764</v>
      </c>
      <c r="F4543" s="162" t="s">
        <v>25846</v>
      </c>
      <c r="G4543" s="190"/>
      <c r="H4543" s="219"/>
      <c r="I4543" s="169">
        <v>207810</v>
      </c>
      <c r="J4543" s="304" t="str">
        <f>CONCATENATE([2]Cover!$D$6,"fdd/view?i=",I4543)</f>
        <v>https://www.dgiwg.org/FAD/fdd/view?i=207810</v>
      </c>
      <c r="K4543" s="304" t="s">
        <v>38592</v>
      </c>
      <c r="L4543" s="188">
        <v>26</v>
      </c>
      <c r="M4543" s="179" t="s">
        <v>1295</v>
      </c>
    </row>
    <row r="4544" spans="1:13" ht="25.5">
      <c r="A4544" s="313" t="str">
        <f t="shared" si="70"/>
        <v>MaritimeNavBeaconTypeCode_telephone</v>
      </c>
      <c r="B4544" s="330"/>
      <c r="C4544" s="334"/>
      <c r="D4544" s="188" t="s">
        <v>13371</v>
      </c>
      <c r="E4544" s="189" t="s">
        <v>11848</v>
      </c>
      <c r="F4544" s="162" t="s">
        <v>25847</v>
      </c>
      <c r="G4544" s="190"/>
      <c r="H4544" s="219"/>
      <c r="I4544" s="169">
        <v>102258</v>
      </c>
      <c r="J4544" s="304" t="str">
        <f>CONCATENATE([2]Cover!$D$6,"fdd/view?i=",I4544)</f>
        <v>https://www.dgiwg.org/FAD/fdd/view?i=102258</v>
      </c>
      <c r="K4544" s="304" t="s">
        <v>38593</v>
      </c>
      <c r="L4544" s="188">
        <v>71</v>
      </c>
      <c r="M4544" s="179" t="s">
        <v>151</v>
      </c>
    </row>
    <row r="4545" spans="1:13" ht="25.5">
      <c r="A4545" s="313" t="str">
        <f t="shared" si="70"/>
        <v>MaritimeNavBeaconTypeCode_trot</v>
      </c>
      <c r="B4545" s="330"/>
      <c r="C4545" s="334"/>
      <c r="D4545" s="188" t="s">
        <v>18767</v>
      </c>
      <c r="E4545" s="189" t="s">
        <v>18768</v>
      </c>
      <c r="F4545" s="162" t="s">
        <v>25848</v>
      </c>
      <c r="G4545" s="190"/>
      <c r="H4545" s="219"/>
      <c r="I4545" s="169">
        <v>207817</v>
      </c>
      <c r="J4545" s="304" t="str">
        <f>CONCATENATE([2]Cover!$D$6,"fdd/view?i=",I4545)</f>
        <v>https://www.dgiwg.org/FAD/fdd/view?i=207817</v>
      </c>
      <c r="K4545" s="304" t="s">
        <v>38594</v>
      </c>
      <c r="L4545" s="188">
        <v>39</v>
      </c>
      <c r="M4545" s="179" t="s">
        <v>1295</v>
      </c>
    </row>
    <row r="4546" spans="1:13">
      <c r="A4546" s="313" t="str">
        <f t="shared" si="70"/>
        <v>MaritimeNavBeaconTypeCode_tss</v>
      </c>
      <c r="B4546" s="330"/>
      <c r="C4546" s="334"/>
      <c r="D4546" s="188" t="s">
        <v>18770</v>
      </c>
      <c r="E4546" s="189" t="s">
        <v>18771</v>
      </c>
      <c r="F4546" s="162" t="s">
        <v>25849</v>
      </c>
      <c r="G4546" s="190"/>
      <c r="H4546" s="219"/>
      <c r="I4546" s="169">
        <v>102242</v>
      </c>
      <c r="J4546" s="304" t="str">
        <f>CONCATENATE([2]Cover!$D$6,"fdd/view?i=",I4546)</f>
        <v>https://www.dgiwg.org/FAD/fdd/view?i=102242</v>
      </c>
      <c r="K4546" s="304" t="s">
        <v>38595</v>
      </c>
      <c r="L4546" s="188">
        <v>55</v>
      </c>
      <c r="M4546" s="179" t="s">
        <v>151</v>
      </c>
    </row>
    <row r="4547" spans="1:13" ht="25.5">
      <c r="A4547" s="313" t="str">
        <f t="shared" ref="A4547:A4610" si="71">HYPERLINK(J4547,K4547)</f>
        <v>MaritimeNavBeaconTypeCode_twoWayTrafficProhibited</v>
      </c>
      <c r="B4547" s="330"/>
      <c r="C4547" s="334"/>
      <c r="D4547" s="188" t="s">
        <v>18773</v>
      </c>
      <c r="E4547" s="189" t="s">
        <v>18774</v>
      </c>
      <c r="F4547" s="162" t="s">
        <v>25850</v>
      </c>
      <c r="G4547" s="190"/>
      <c r="H4547" s="219"/>
      <c r="J4547" s="304" t="str">
        <f>CONCATENATE([2]Cover!$D$6,"fdd/view?i=",I4547)</f>
        <v>https://www.dgiwg.org/FAD/fdd/view?i=</v>
      </c>
      <c r="K4547" s="304" t="s">
        <v>38596</v>
      </c>
      <c r="L4547" s="188">
        <v>59</v>
      </c>
      <c r="M4547" s="179" t="s">
        <v>151</v>
      </c>
    </row>
    <row r="4548" spans="1:13" ht="25.5">
      <c r="A4548" s="313" t="str">
        <f t="shared" si="71"/>
        <v>MaritimeNavBeaconTypeCode_warping</v>
      </c>
      <c r="B4548" s="330"/>
      <c r="C4548" s="334"/>
      <c r="D4548" s="188" t="s">
        <v>18776</v>
      </c>
      <c r="E4548" s="189" t="s">
        <v>18777</v>
      </c>
      <c r="F4548" s="162" t="s">
        <v>25851</v>
      </c>
      <c r="G4548" s="190"/>
      <c r="H4548" s="219"/>
      <c r="I4548" s="169">
        <v>207811</v>
      </c>
      <c r="J4548" s="304" t="str">
        <f>CONCATENATE([2]Cover!$D$6,"fdd/view?i=",I4548)</f>
        <v>https://www.dgiwg.org/FAD/fdd/view?i=207811</v>
      </c>
      <c r="K4548" s="304" t="s">
        <v>38597</v>
      </c>
      <c r="L4548" s="188">
        <v>27</v>
      </c>
      <c r="M4548" s="179" t="s">
        <v>1295</v>
      </c>
    </row>
    <row r="4549" spans="1:13" ht="25.5">
      <c r="A4549" s="313" t="str">
        <f t="shared" si="71"/>
        <v>MaritimeNavBeaconTypeCode_wavemeter</v>
      </c>
      <c r="B4549" s="330"/>
      <c r="C4549" s="334"/>
      <c r="D4549" s="188" t="s">
        <v>18783</v>
      </c>
      <c r="E4549" s="189" t="s">
        <v>18784</v>
      </c>
      <c r="F4549" s="162" t="s">
        <v>25852</v>
      </c>
      <c r="G4549" s="190"/>
      <c r="H4549" s="219"/>
      <c r="I4549" s="169">
        <v>207818</v>
      </c>
      <c r="J4549" s="304" t="str">
        <f>CONCATENATE([2]Cover!$D$6,"fdd/view?i=",I4549)</f>
        <v>https://www.dgiwg.org/FAD/fdd/view?i=207818</v>
      </c>
      <c r="K4549" s="304" t="s">
        <v>38598</v>
      </c>
      <c r="L4549" s="188">
        <v>101</v>
      </c>
      <c r="M4549" s="179" t="s">
        <v>1295</v>
      </c>
    </row>
    <row r="4550" spans="1:13" ht="25.5">
      <c r="A4550" s="313" t="str">
        <f t="shared" si="71"/>
        <v>MaritimeNavBeaconTypeCode_wellhead</v>
      </c>
      <c r="B4550" s="330"/>
      <c r="C4550" s="334"/>
      <c r="D4550" s="188" t="s">
        <v>18786</v>
      </c>
      <c r="E4550" s="189" t="s">
        <v>18787</v>
      </c>
      <c r="F4550" s="162" t="s">
        <v>25853</v>
      </c>
      <c r="G4550" s="190"/>
      <c r="H4550" s="219"/>
      <c r="I4550" s="169">
        <v>102294</v>
      </c>
      <c r="J4550" s="304" t="str">
        <f>CONCATENATE([2]Cover!$D$6,"fdd/view?i=",I4550)</f>
        <v>https://www.dgiwg.org/FAD/fdd/view?i=102294</v>
      </c>
      <c r="K4550" s="304" t="s">
        <v>38599</v>
      </c>
      <c r="L4550" s="188">
        <v>111</v>
      </c>
      <c r="M4550" s="179" t="s">
        <v>151</v>
      </c>
    </row>
    <row r="4551" spans="1:13" ht="38.25">
      <c r="A4551" s="313" t="str">
        <f t="shared" si="71"/>
        <v>MaritimeNavBeaconTypeCode_westCardinal</v>
      </c>
      <c r="B4551" s="330"/>
      <c r="C4551" s="334"/>
      <c r="D4551" s="188" t="s">
        <v>18789</v>
      </c>
      <c r="E4551" s="189" t="s">
        <v>18790</v>
      </c>
      <c r="F4551" s="162" t="s">
        <v>25854</v>
      </c>
      <c r="G4551" s="190"/>
      <c r="H4551" s="219"/>
      <c r="I4551" s="169">
        <v>102280</v>
      </c>
      <c r="J4551" s="304" t="str">
        <f>CONCATENATE([2]Cover!$D$6,"fdd/view?i=",I4551)</f>
        <v>https://www.dgiwg.org/FAD/fdd/view?i=102280</v>
      </c>
      <c r="K4551" s="304" t="s">
        <v>38600</v>
      </c>
      <c r="L4551" s="188">
        <v>95</v>
      </c>
      <c r="M4551" s="179" t="s">
        <v>151</v>
      </c>
    </row>
    <row r="4552" spans="1:13" ht="25.5">
      <c r="A4552" s="313" t="str">
        <f t="shared" si="71"/>
        <v>MaritimeNavBeaconTypeCode_workInProgress</v>
      </c>
      <c r="B4552" s="330"/>
      <c r="C4552" s="334"/>
      <c r="D4552" s="188" t="s">
        <v>15223</v>
      </c>
      <c r="E4552" s="189" t="s">
        <v>18792</v>
      </c>
      <c r="F4552" s="162" t="s">
        <v>25855</v>
      </c>
      <c r="G4552" s="190"/>
      <c r="H4552" s="219"/>
      <c r="I4552" s="169">
        <v>102286</v>
      </c>
      <c r="J4552" s="304" t="str">
        <f>CONCATENATE([2]Cover!$D$6,"fdd/view?i=",I4552)</f>
        <v>https://www.dgiwg.org/FAD/fdd/view?i=102286</v>
      </c>
      <c r="K4552" s="304" t="s">
        <v>38601</v>
      </c>
      <c r="L4552" s="188">
        <v>103</v>
      </c>
      <c r="M4552" s="179" t="s">
        <v>151</v>
      </c>
    </row>
    <row r="4553" spans="1:13" ht="25.5">
      <c r="A4553" s="313" t="str">
        <f t="shared" si="71"/>
        <v>MaritimeNavBeaconTypeCode_wreck</v>
      </c>
      <c r="B4553" s="330"/>
      <c r="C4553" s="334"/>
      <c r="D4553" s="188" t="s">
        <v>18794</v>
      </c>
      <c r="E4553" s="189" t="s">
        <v>4632</v>
      </c>
      <c r="F4553" s="162" t="s">
        <v>25856</v>
      </c>
      <c r="G4553" s="190"/>
      <c r="H4553" s="219"/>
      <c r="I4553" s="169">
        <v>207808</v>
      </c>
      <c r="J4553" s="304" t="str">
        <f>CONCATENATE([2]Cover!$D$6,"fdd/view?i=",I4553)</f>
        <v>https://www.dgiwg.org/FAD/fdd/view?i=207808</v>
      </c>
      <c r="K4553" s="304" t="s">
        <v>38602</v>
      </c>
      <c r="L4553" s="188">
        <v>24</v>
      </c>
      <c r="M4553" s="179" t="s">
        <v>1295</v>
      </c>
    </row>
    <row r="4554" spans="1:13" ht="25.5">
      <c r="A4554" s="313" t="str">
        <f t="shared" si="71"/>
        <v>MaritimeNavBeaconTypeCode_yachting</v>
      </c>
      <c r="B4554" s="331"/>
      <c r="C4554" s="335"/>
      <c r="D4554" s="181" t="s">
        <v>18796</v>
      </c>
      <c r="E4554" s="192" t="s">
        <v>18797</v>
      </c>
      <c r="F4554" s="193" t="s">
        <v>25857</v>
      </c>
      <c r="G4554" s="194"/>
      <c r="H4554" s="220"/>
      <c r="I4554" s="169">
        <v>102264</v>
      </c>
      <c r="J4554" s="304" t="str">
        <f>CONCATENATE([2]Cover!$D$6,"fdd/view?i=",I4554)</f>
        <v>https://www.dgiwg.org/FAD/fdd/view?i=102264</v>
      </c>
      <c r="K4554" s="304" t="s">
        <v>38603</v>
      </c>
      <c r="L4554" s="181">
        <v>77</v>
      </c>
      <c r="M4554" s="179" t="s">
        <v>151</v>
      </c>
    </row>
    <row r="4555" spans="1:13" ht="25.5">
      <c r="A4555" s="313" t="str">
        <f t="shared" si="71"/>
        <v>MaritimeNavLineFeaturesCode_directionalLight</v>
      </c>
      <c r="B4555" s="332" t="str">
        <f>HYPERLINK("[#]Datatypes!A840:L840","MaritimeNavLineFeaturesCode")</f>
        <v>MaritimeNavLineFeaturesCode</v>
      </c>
      <c r="C4555" s="333" t="s">
        <v>12425</v>
      </c>
      <c r="D4555" s="202" t="s">
        <v>25858</v>
      </c>
      <c r="E4555" s="203" t="s">
        <v>25859</v>
      </c>
      <c r="F4555" s="204" t="s">
        <v>25860</v>
      </c>
      <c r="G4555" s="205"/>
      <c r="H4555" s="218"/>
      <c r="I4555" s="169">
        <v>104770</v>
      </c>
      <c r="J4555" s="304" t="str">
        <f>CONCATENATE([2]Cover!$D$6,"fdd/view?i=",I4555)</f>
        <v>https://www.dgiwg.org/FAD/fdd/view?i=104770</v>
      </c>
      <c r="K4555" s="304" t="s">
        <v>38604</v>
      </c>
      <c r="L4555" s="202">
        <v>2</v>
      </c>
      <c r="M4555" s="179" t="s">
        <v>151</v>
      </c>
    </row>
    <row r="4556" spans="1:13" ht="25.5">
      <c r="A4556" s="313" t="str">
        <f t="shared" si="71"/>
        <v>MaritimeNavLineFeaturesCode_directionalRadiobeacon</v>
      </c>
      <c r="B4556" s="330"/>
      <c r="C4556" s="334"/>
      <c r="D4556" s="188" t="s">
        <v>25861</v>
      </c>
      <c r="E4556" s="189" t="s">
        <v>25862</v>
      </c>
      <c r="F4556" s="162" t="s">
        <v>25863</v>
      </c>
      <c r="G4556" s="190"/>
      <c r="H4556" s="219"/>
      <c r="I4556" s="169">
        <v>104775</v>
      </c>
      <c r="J4556" s="304" t="str">
        <f>CONCATENATE([2]Cover!$D$6,"fdd/view?i=",I4556)</f>
        <v>https://www.dgiwg.org/FAD/fdd/view?i=104775</v>
      </c>
      <c r="K4556" s="304" t="s">
        <v>38605</v>
      </c>
      <c r="L4556" s="188">
        <v>7</v>
      </c>
      <c r="M4556" s="179" t="s">
        <v>151</v>
      </c>
    </row>
    <row r="4557" spans="1:13" ht="25.5">
      <c r="A4557" s="313" t="str">
        <f t="shared" si="71"/>
        <v>MaritimeNavLineFeaturesCode_leadingRadioTranspondBeac</v>
      </c>
      <c r="B4557" s="330"/>
      <c r="C4557" s="334"/>
      <c r="D4557" s="188" t="s">
        <v>25864</v>
      </c>
      <c r="E4557" s="189" t="s">
        <v>25865</v>
      </c>
      <c r="F4557" s="162" t="s">
        <v>25866</v>
      </c>
      <c r="G4557" s="190"/>
      <c r="H4557" s="219"/>
      <c r="I4557" s="169">
        <v>104777</v>
      </c>
      <c r="J4557" s="304" t="str">
        <f>CONCATENATE([2]Cover!$D$6,"fdd/view?i=",I4557)</f>
        <v>https://www.dgiwg.org/FAD/fdd/view?i=104777</v>
      </c>
      <c r="K4557" s="304" t="s">
        <v>38606</v>
      </c>
      <c r="L4557" s="188">
        <v>9</v>
      </c>
      <c r="M4557" s="179" t="s">
        <v>151</v>
      </c>
    </row>
    <row r="4558" spans="1:13" ht="25.5">
      <c r="A4558" s="313" t="str">
        <f t="shared" si="71"/>
        <v>MaritimeNavLineFeaturesCode_measuredDistanceMarkers</v>
      </c>
      <c r="B4558" s="330"/>
      <c r="C4558" s="334"/>
      <c r="D4558" s="188" t="s">
        <v>25867</v>
      </c>
      <c r="E4558" s="189" t="s">
        <v>25868</v>
      </c>
      <c r="F4558" s="162" t="s">
        <v>25869</v>
      </c>
      <c r="G4558" s="190"/>
      <c r="H4558" s="219"/>
      <c r="I4558" s="169">
        <v>104774</v>
      </c>
      <c r="J4558" s="304" t="str">
        <f>CONCATENATE([2]Cover!$D$6,"fdd/view?i=",I4558)</f>
        <v>https://www.dgiwg.org/FAD/fdd/view?i=104774</v>
      </c>
      <c r="K4558" s="304" t="s">
        <v>38607</v>
      </c>
      <c r="L4558" s="188">
        <v>6</v>
      </c>
      <c r="M4558" s="179" t="s">
        <v>151</v>
      </c>
    </row>
    <row r="4559" spans="1:13" ht="25.5">
      <c r="A4559" s="313" t="str">
        <f t="shared" si="71"/>
        <v>MaritimeNavLineFeaturesCode_moireEffectLight</v>
      </c>
      <c r="B4559" s="330"/>
      <c r="C4559" s="334"/>
      <c r="D4559" s="188" t="s">
        <v>25727</v>
      </c>
      <c r="E4559" s="189" t="s">
        <v>25728</v>
      </c>
      <c r="F4559" s="162" t="s">
        <v>25870</v>
      </c>
      <c r="G4559" s="190"/>
      <c r="H4559" s="219"/>
      <c r="I4559" s="169">
        <v>104776</v>
      </c>
      <c r="J4559" s="304" t="str">
        <f>CONCATENATE([2]Cover!$D$6,"fdd/view?i=",I4559)</f>
        <v>https://www.dgiwg.org/FAD/fdd/view?i=104776</v>
      </c>
      <c r="K4559" s="304" t="s">
        <v>38608</v>
      </c>
      <c r="L4559" s="188">
        <v>8</v>
      </c>
      <c r="M4559" s="179" t="s">
        <v>151</v>
      </c>
    </row>
    <row r="4560" spans="1:13" ht="25.5">
      <c r="A4560" s="313" t="str">
        <f t="shared" si="71"/>
        <v>MaritimeNavLineFeaturesCode_oneOtherThanDirectionLight</v>
      </c>
      <c r="B4560" s="330"/>
      <c r="C4560" s="334"/>
      <c r="D4560" s="188" t="s">
        <v>25871</v>
      </c>
      <c r="E4560" s="189" t="s">
        <v>25872</v>
      </c>
      <c r="F4560" s="162" t="s">
        <v>25873</v>
      </c>
      <c r="G4560" s="190"/>
      <c r="H4560" s="219"/>
      <c r="I4560" s="169">
        <v>104769</v>
      </c>
      <c r="J4560" s="304" t="str">
        <f>CONCATENATE([2]Cover!$D$6,"fdd/view?i=",I4560)</f>
        <v>https://www.dgiwg.org/FAD/fdd/view?i=104769</v>
      </c>
      <c r="K4560" s="304" t="s">
        <v>38609</v>
      </c>
      <c r="L4560" s="188">
        <v>1</v>
      </c>
      <c r="M4560" s="179" t="s">
        <v>151</v>
      </c>
    </row>
    <row r="4561" spans="1:13" ht="25.5">
      <c r="A4561" s="313" t="str">
        <f t="shared" si="71"/>
        <v>MaritimeNavLineFeaturesCode_twoBeaconsOrMore</v>
      </c>
      <c r="B4561" s="330"/>
      <c r="C4561" s="334"/>
      <c r="D4561" s="188" t="s">
        <v>25874</v>
      </c>
      <c r="E4561" s="189" t="s">
        <v>25875</v>
      </c>
      <c r="F4561" s="162" t="s">
        <v>25876</v>
      </c>
      <c r="G4561" s="190"/>
      <c r="H4561" s="219"/>
      <c r="I4561" s="169">
        <v>104772</v>
      </c>
      <c r="J4561" s="304" t="str">
        <f>CONCATENATE([2]Cover!$D$6,"fdd/view?i=",I4561)</f>
        <v>https://www.dgiwg.org/FAD/fdd/view?i=104772</v>
      </c>
      <c r="K4561" s="304" t="s">
        <v>38610</v>
      </c>
      <c r="L4561" s="188">
        <v>4</v>
      </c>
      <c r="M4561" s="179" t="s">
        <v>151</v>
      </c>
    </row>
    <row r="4562" spans="1:13" ht="25.5">
      <c r="A4562" s="313" t="str">
        <f t="shared" si="71"/>
        <v>MaritimeNavLineFeaturesCode_twoLightsOrMore</v>
      </c>
      <c r="B4562" s="330"/>
      <c r="C4562" s="334"/>
      <c r="D4562" s="188" t="s">
        <v>25877</v>
      </c>
      <c r="E4562" s="189" t="s">
        <v>25878</v>
      </c>
      <c r="F4562" s="162" t="s">
        <v>25879</v>
      </c>
      <c r="G4562" s="190"/>
      <c r="H4562" s="219"/>
      <c r="I4562" s="169">
        <v>104771</v>
      </c>
      <c r="J4562" s="304" t="str">
        <f>CONCATENATE([2]Cover!$D$6,"fdd/view?i=",I4562)</f>
        <v>https://www.dgiwg.org/FAD/fdd/view?i=104771</v>
      </c>
      <c r="K4562" s="304" t="s">
        <v>38611</v>
      </c>
      <c r="L4562" s="188">
        <v>3</v>
      </c>
      <c r="M4562" s="179" t="s">
        <v>151</v>
      </c>
    </row>
    <row r="4563" spans="1:13" ht="25.5">
      <c r="A4563" s="313" t="str">
        <f t="shared" si="71"/>
        <v>MaritimeNavLineFeaturesCode_twoNotTwoLightsOrBeacons</v>
      </c>
      <c r="B4563" s="331"/>
      <c r="C4563" s="335"/>
      <c r="D4563" s="181" t="s">
        <v>25880</v>
      </c>
      <c r="E4563" s="192" t="s">
        <v>25881</v>
      </c>
      <c r="F4563" s="193" t="s">
        <v>25882</v>
      </c>
      <c r="G4563" s="194"/>
      <c r="H4563" s="220"/>
      <c r="I4563" s="169">
        <v>104773</v>
      </c>
      <c r="J4563" s="304" t="str">
        <f>CONCATENATE([2]Cover!$D$6,"fdd/view?i=",I4563)</f>
        <v>https://www.dgiwg.org/FAD/fdd/view?i=104773</v>
      </c>
      <c r="K4563" s="304" t="s">
        <v>38612</v>
      </c>
      <c r="L4563" s="181">
        <v>5</v>
      </c>
      <c r="M4563" s="179" t="s">
        <v>151</v>
      </c>
    </row>
    <row r="4564" spans="1:13" ht="25.5">
      <c r="A4564" s="313" t="str">
        <f t="shared" si="71"/>
        <v>MaritimeNavRestrictionCode_anchoringProhibited</v>
      </c>
      <c r="B4564" s="332" t="str">
        <f>HYPERLINK("[#]Datatypes!A842:L842","MaritimeNavRestrictionCode")</f>
        <v>MaritimeNavRestrictionCode</v>
      </c>
      <c r="C4564" s="333" t="s">
        <v>12427</v>
      </c>
      <c r="D4564" s="202" t="s">
        <v>18545</v>
      </c>
      <c r="E4564" s="203" t="s">
        <v>18546</v>
      </c>
      <c r="F4564" s="204" t="s">
        <v>25883</v>
      </c>
      <c r="G4564" s="205"/>
      <c r="H4564" s="218"/>
      <c r="I4564" s="169">
        <v>111193</v>
      </c>
      <c r="J4564" s="304" t="str">
        <f>CONCATENATE([2]Cover!$D$6,"fdd/view?i=",I4564)</f>
        <v>https://www.dgiwg.org/FAD/fdd/view?i=111193</v>
      </c>
      <c r="K4564" s="304" t="s">
        <v>38613</v>
      </c>
      <c r="L4564" s="202">
        <v>1</v>
      </c>
      <c r="M4564" s="179" t="s">
        <v>151</v>
      </c>
    </row>
    <row r="4565" spans="1:13" ht="25.5">
      <c r="A4565" s="313" t="str">
        <f t="shared" si="71"/>
        <v>MaritimeNavRestrictionCode_anchoringRestricted</v>
      </c>
      <c r="B4565" s="330"/>
      <c r="C4565" s="334"/>
      <c r="D4565" s="188" t="s">
        <v>25884</v>
      </c>
      <c r="E4565" s="189" t="s">
        <v>25885</v>
      </c>
      <c r="F4565" s="162" t="s">
        <v>25886</v>
      </c>
      <c r="G4565" s="190"/>
      <c r="H4565" s="219"/>
      <c r="I4565" s="169">
        <v>111194</v>
      </c>
      <c r="J4565" s="304" t="str">
        <f>CONCATENATE([2]Cover!$D$6,"fdd/view?i=",I4565)</f>
        <v>https://www.dgiwg.org/FAD/fdd/view?i=111194</v>
      </c>
      <c r="K4565" s="304" t="s">
        <v>38614</v>
      </c>
      <c r="L4565" s="188">
        <v>2</v>
      </c>
      <c r="M4565" s="179" t="s">
        <v>151</v>
      </c>
    </row>
    <row r="4566" spans="1:13" ht="25.5">
      <c r="A4566" s="313" t="str">
        <f t="shared" si="71"/>
        <v>MaritimeNavRestrictionCode_artifactRemovalProhib</v>
      </c>
      <c r="B4566" s="330"/>
      <c r="C4566" s="334"/>
      <c r="D4566" s="188" t="s">
        <v>25887</v>
      </c>
      <c r="E4566" s="189" t="s">
        <v>25888</v>
      </c>
      <c r="F4566" s="162" t="s">
        <v>25889</v>
      </c>
      <c r="G4566" s="190"/>
      <c r="H4566" s="219"/>
      <c r="I4566" s="169">
        <v>111214</v>
      </c>
      <c r="J4566" s="304" t="str">
        <f>CONCATENATE([2]Cover!$D$6,"fdd/view?i=",I4566)</f>
        <v>https://www.dgiwg.org/FAD/fdd/view?i=111214</v>
      </c>
      <c r="K4566" s="304" t="s">
        <v>38615</v>
      </c>
      <c r="L4566" s="188">
        <v>22</v>
      </c>
      <c r="M4566" s="179" t="s">
        <v>151</v>
      </c>
    </row>
    <row r="4567" spans="1:13" ht="25.5">
      <c r="A4567" s="313" t="str">
        <f t="shared" si="71"/>
        <v>MaritimeNavRestrictionCode_avoidanceArea</v>
      </c>
      <c r="B4567" s="330"/>
      <c r="C4567" s="334"/>
      <c r="D4567" s="188" t="s">
        <v>25890</v>
      </c>
      <c r="E4567" s="189" t="s">
        <v>25891</v>
      </c>
      <c r="F4567" s="162" t="s">
        <v>25892</v>
      </c>
      <c r="G4567" s="190"/>
      <c r="H4567" s="219"/>
      <c r="I4567" s="169">
        <v>111206</v>
      </c>
      <c r="J4567" s="304" t="str">
        <f>CONCATENATE([2]Cover!$D$6,"fdd/view?i=",I4567)</f>
        <v>https://www.dgiwg.org/FAD/fdd/view?i=111206</v>
      </c>
      <c r="K4567" s="304" t="s">
        <v>38616</v>
      </c>
      <c r="L4567" s="188">
        <v>14</v>
      </c>
      <c r="M4567" s="179" t="s">
        <v>151</v>
      </c>
    </row>
    <row r="4568" spans="1:13" ht="25.5">
      <c r="A4568" s="313" t="str">
        <f t="shared" si="71"/>
        <v>MaritimeNavRestrictionCode_cargoTranshipmentProhib</v>
      </c>
      <c r="B4568" s="330"/>
      <c r="C4568" s="334"/>
      <c r="D4568" s="188" t="s">
        <v>25893</v>
      </c>
      <c r="E4568" s="189" t="s">
        <v>25894</v>
      </c>
      <c r="F4568" s="162" t="s">
        <v>25895</v>
      </c>
      <c r="G4568" s="190"/>
      <c r="H4568" s="219"/>
      <c r="I4568" s="169">
        <v>111215</v>
      </c>
      <c r="J4568" s="304" t="str">
        <f>CONCATENATE([2]Cover!$D$6,"fdd/view?i=",I4568)</f>
        <v>https://www.dgiwg.org/FAD/fdd/view?i=111215</v>
      </c>
      <c r="K4568" s="304" t="s">
        <v>38617</v>
      </c>
      <c r="L4568" s="188">
        <v>23</v>
      </c>
      <c r="M4568" s="179" t="s">
        <v>151</v>
      </c>
    </row>
    <row r="4569" spans="1:13" ht="25.5">
      <c r="A4569" s="313" t="str">
        <f t="shared" si="71"/>
        <v>MaritimeNavRestrictionCode_constructionProhibited</v>
      </c>
      <c r="B4569" s="330"/>
      <c r="C4569" s="334"/>
      <c r="D4569" s="188" t="s">
        <v>25896</v>
      </c>
      <c r="E4569" s="189" t="s">
        <v>25897</v>
      </c>
      <c r="F4569" s="162" t="s">
        <v>25898</v>
      </c>
      <c r="G4569" s="190"/>
      <c r="H4569" s="219"/>
      <c r="I4569" s="169">
        <v>111207</v>
      </c>
      <c r="J4569" s="304" t="str">
        <f>CONCATENATE([2]Cover!$D$6,"fdd/view?i=",I4569)</f>
        <v>https://www.dgiwg.org/FAD/fdd/view?i=111207</v>
      </c>
      <c r="K4569" s="304" t="s">
        <v>38618</v>
      </c>
      <c r="L4569" s="188">
        <v>15</v>
      </c>
      <c r="M4569" s="179" t="s">
        <v>151</v>
      </c>
    </row>
    <row r="4570" spans="1:13" ht="25.5">
      <c r="A4570" s="313" t="str">
        <f t="shared" si="71"/>
        <v>MaritimeNavRestrictionCode_dischargingProhibited</v>
      </c>
      <c r="B4570" s="330"/>
      <c r="C4570" s="334"/>
      <c r="D4570" s="188" t="s">
        <v>25899</v>
      </c>
      <c r="E4570" s="189" t="s">
        <v>25900</v>
      </c>
      <c r="F4570" s="162" t="s">
        <v>25901</v>
      </c>
      <c r="G4570" s="190"/>
      <c r="H4570" s="219"/>
      <c r="I4570" s="169">
        <v>111208</v>
      </c>
      <c r="J4570" s="304" t="str">
        <f>CONCATENATE([2]Cover!$D$6,"fdd/view?i=",I4570)</f>
        <v>https://www.dgiwg.org/FAD/fdd/view?i=111208</v>
      </c>
      <c r="K4570" s="304" t="s">
        <v>38619</v>
      </c>
      <c r="L4570" s="188">
        <v>16</v>
      </c>
      <c r="M4570" s="179" t="s">
        <v>151</v>
      </c>
    </row>
    <row r="4571" spans="1:13" ht="38.25">
      <c r="A4571" s="313" t="str">
        <f t="shared" si="71"/>
        <v>MaritimeNavRestrictionCode_dischargingRestricted</v>
      </c>
      <c r="B4571" s="330"/>
      <c r="C4571" s="334"/>
      <c r="D4571" s="188" t="s">
        <v>25902</v>
      </c>
      <c r="E4571" s="189" t="s">
        <v>25903</v>
      </c>
      <c r="F4571" s="162" t="s">
        <v>25904</v>
      </c>
      <c r="G4571" s="190"/>
      <c r="H4571" s="219"/>
      <c r="I4571" s="169">
        <v>111209</v>
      </c>
      <c r="J4571" s="304" t="str">
        <f>CONCATENATE([2]Cover!$D$6,"fdd/view?i=",I4571)</f>
        <v>https://www.dgiwg.org/FAD/fdd/view?i=111209</v>
      </c>
      <c r="K4571" s="304" t="s">
        <v>38620</v>
      </c>
      <c r="L4571" s="188">
        <v>17</v>
      </c>
      <c r="M4571" s="179" t="s">
        <v>151</v>
      </c>
    </row>
    <row r="4572" spans="1:13" ht="25.5">
      <c r="A4572" s="313" t="str">
        <f t="shared" si="71"/>
        <v>MaritimeNavRestrictionCode_divingProhibited</v>
      </c>
      <c r="B4572" s="330"/>
      <c r="C4572" s="334"/>
      <c r="D4572" s="188" t="s">
        <v>25905</v>
      </c>
      <c r="E4572" s="189" t="s">
        <v>25906</v>
      </c>
      <c r="F4572" s="162" t="s">
        <v>25907</v>
      </c>
      <c r="G4572" s="190"/>
      <c r="H4572" s="219"/>
      <c r="I4572" s="169">
        <v>111203</v>
      </c>
      <c r="J4572" s="304" t="str">
        <f>CONCATENATE([2]Cover!$D$6,"fdd/view?i=",I4572)</f>
        <v>https://www.dgiwg.org/FAD/fdd/view?i=111203</v>
      </c>
      <c r="K4572" s="304" t="s">
        <v>38621</v>
      </c>
      <c r="L4572" s="188">
        <v>11</v>
      </c>
      <c r="M4572" s="179" t="s">
        <v>151</v>
      </c>
    </row>
    <row r="4573" spans="1:13" ht="25.5">
      <c r="A4573" s="313" t="str">
        <f t="shared" si="71"/>
        <v>MaritimeNavRestrictionCode_divingRestricted</v>
      </c>
      <c r="B4573" s="330"/>
      <c r="C4573" s="334"/>
      <c r="D4573" s="188" t="s">
        <v>25908</v>
      </c>
      <c r="E4573" s="189" t="s">
        <v>25909</v>
      </c>
      <c r="F4573" s="162" t="s">
        <v>25910</v>
      </c>
      <c r="G4573" s="190"/>
      <c r="H4573" s="219"/>
      <c r="I4573" s="169">
        <v>111204</v>
      </c>
      <c r="J4573" s="304" t="str">
        <f>CONCATENATE([2]Cover!$D$6,"fdd/view?i=",I4573)</f>
        <v>https://www.dgiwg.org/FAD/fdd/view?i=111204</v>
      </c>
      <c r="K4573" s="304" t="s">
        <v>38622</v>
      </c>
      <c r="L4573" s="188">
        <v>12</v>
      </c>
      <c r="M4573" s="179" t="s">
        <v>151</v>
      </c>
    </row>
    <row r="4574" spans="1:13" ht="25.5">
      <c r="A4574" s="313" t="str">
        <f t="shared" si="71"/>
        <v>MaritimeNavRestrictionCode_draggingProhibited</v>
      </c>
      <c r="B4574" s="330"/>
      <c r="C4574" s="334"/>
      <c r="D4574" s="188" t="s">
        <v>25911</v>
      </c>
      <c r="E4574" s="189" t="s">
        <v>25912</v>
      </c>
      <c r="F4574" s="162" t="s">
        <v>25913</v>
      </c>
      <c r="G4574" s="190"/>
      <c r="H4574" s="219"/>
      <c r="I4574" s="169">
        <v>111216</v>
      </c>
      <c r="J4574" s="304" t="str">
        <f>CONCATENATE([2]Cover!$D$6,"fdd/view?i=",I4574)</f>
        <v>https://www.dgiwg.org/FAD/fdd/view?i=111216</v>
      </c>
      <c r="K4574" s="304" t="s">
        <v>38623</v>
      </c>
      <c r="L4574" s="188">
        <v>24</v>
      </c>
      <c r="M4574" s="179" t="s">
        <v>151</v>
      </c>
    </row>
    <row r="4575" spans="1:13" ht="25.5">
      <c r="A4575" s="313" t="str">
        <f t="shared" si="71"/>
        <v>MaritimeNavRestrictionCode_dredgingProhibited</v>
      </c>
      <c r="B4575" s="330"/>
      <c r="C4575" s="334"/>
      <c r="D4575" s="188" t="s">
        <v>25914</v>
      </c>
      <c r="E4575" s="189" t="s">
        <v>25915</v>
      </c>
      <c r="F4575" s="162" t="s">
        <v>25916</v>
      </c>
      <c r="G4575" s="190"/>
      <c r="H4575" s="219"/>
      <c r="I4575" s="169">
        <v>111201</v>
      </c>
      <c r="J4575" s="304" t="str">
        <f>CONCATENATE([2]Cover!$D$6,"fdd/view?i=",I4575)</f>
        <v>https://www.dgiwg.org/FAD/fdd/view?i=111201</v>
      </c>
      <c r="K4575" s="304" t="s">
        <v>38624</v>
      </c>
      <c r="L4575" s="188">
        <v>9</v>
      </c>
      <c r="M4575" s="179" t="s">
        <v>151</v>
      </c>
    </row>
    <row r="4576" spans="1:13" ht="25.5">
      <c r="A4576" s="313" t="str">
        <f t="shared" si="71"/>
        <v>MaritimeNavRestrictionCode_dredgingRestricted</v>
      </c>
      <c r="B4576" s="330"/>
      <c r="C4576" s="334"/>
      <c r="D4576" s="188" t="s">
        <v>25917</v>
      </c>
      <c r="E4576" s="189" t="s">
        <v>25918</v>
      </c>
      <c r="F4576" s="162" t="s">
        <v>25919</v>
      </c>
      <c r="G4576" s="190"/>
      <c r="H4576" s="219"/>
      <c r="I4576" s="169">
        <v>111202</v>
      </c>
      <c r="J4576" s="304" t="str">
        <f>CONCATENATE([2]Cover!$D$6,"fdd/view?i=",I4576)</f>
        <v>https://www.dgiwg.org/FAD/fdd/view?i=111202</v>
      </c>
      <c r="K4576" s="304" t="s">
        <v>38625</v>
      </c>
      <c r="L4576" s="188">
        <v>10</v>
      </c>
      <c r="M4576" s="179" t="s">
        <v>151</v>
      </c>
    </row>
    <row r="4577" spans="1:13" ht="25.5">
      <c r="A4577" s="313" t="str">
        <f t="shared" si="71"/>
        <v>MaritimeNavRestrictionCode_drillingProhibited</v>
      </c>
      <c r="B4577" s="330"/>
      <c r="C4577" s="334"/>
      <c r="D4577" s="188" t="s">
        <v>25920</v>
      </c>
      <c r="E4577" s="189" t="s">
        <v>25921</v>
      </c>
      <c r="F4577" s="162" t="s">
        <v>25922</v>
      </c>
      <c r="G4577" s="190"/>
      <c r="H4577" s="219"/>
      <c r="I4577" s="169">
        <v>111212</v>
      </c>
      <c r="J4577" s="304" t="str">
        <f>CONCATENATE([2]Cover!$D$6,"fdd/view?i=",I4577)</f>
        <v>https://www.dgiwg.org/FAD/fdd/view?i=111212</v>
      </c>
      <c r="K4577" s="304" t="s">
        <v>38626</v>
      </c>
      <c r="L4577" s="188">
        <v>20</v>
      </c>
      <c r="M4577" s="179" t="s">
        <v>151</v>
      </c>
    </row>
    <row r="4578" spans="1:13" ht="38.25">
      <c r="A4578" s="313" t="str">
        <f t="shared" si="71"/>
        <v>MaritimeNavRestrictionCode_drillingRestricted</v>
      </c>
      <c r="B4578" s="330"/>
      <c r="C4578" s="334"/>
      <c r="D4578" s="188" t="s">
        <v>25923</v>
      </c>
      <c r="E4578" s="189" t="s">
        <v>25924</v>
      </c>
      <c r="F4578" s="162" t="s">
        <v>25925</v>
      </c>
      <c r="G4578" s="190"/>
      <c r="H4578" s="219"/>
      <c r="I4578" s="169">
        <v>111213</v>
      </c>
      <c r="J4578" s="304" t="str">
        <f>CONCATENATE([2]Cover!$D$6,"fdd/view?i=",I4578)</f>
        <v>https://www.dgiwg.org/FAD/fdd/view?i=111213</v>
      </c>
      <c r="K4578" s="304" t="s">
        <v>38627</v>
      </c>
      <c r="L4578" s="188">
        <v>21</v>
      </c>
      <c r="M4578" s="179" t="s">
        <v>151</v>
      </c>
    </row>
    <row r="4579" spans="1:13" ht="25.5">
      <c r="A4579" s="313" t="str">
        <f t="shared" si="71"/>
        <v>MaritimeNavRestrictionCode_entryProhibited</v>
      </c>
      <c r="B4579" s="330"/>
      <c r="C4579" s="334"/>
      <c r="D4579" s="188" t="s">
        <v>18594</v>
      </c>
      <c r="E4579" s="189" t="s">
        <v>18595</v>
      </c>
      <c r="F4579" s="162" t="s">
        <v>25926</v>
      </c>
      <c r="G4579" s="190"/>
      <c r="H4579" s="219"/>
      <c r="I4579" s="169">
        <v>111199</v>
      </c>
      <c r="J4579" s="304" t="str">
        <f>CONCATENATE([2]Cover!$D$6,"fdd/view?i=",I4579)</f>
        <v>https://www.dgiwg.org/FAD/fdd/view?i=111199</v>
      </c>
      <c r="K4579" s="304" t="s">
        <v>38628</v>
      </c>
      <c r="L4579" s="188">
        <v>7</v>
      </c>
      <c r="M4579" s="179" t="s">
        <v>151</v>
      </c>
    </row>
    <row r="4580" spans="1:13" ht="25.5">
      <c r="A4580" s="313" t="str">
        <f t="shared" si="71"/>
        <v>MaritimeNavRestrictionCode_entryRestricted</v>
      </c>
      <c r="B4580" s="330"/>
      <c r="C4580" s="334"/>
      <c r="D4580" s="188" t="s">
        <v>25927</v>
      </c>
      <c r="E4580" s="189" t="s">
        <v>25928</v>
      </c>
      <c r="F4580" s="162" t="s">
        <v>25929</v>
      </c>
      <c r="G4580" s="190"/>
      <c r="H4580" s="219"/>
      <c r="I4580" s="169">
        <v>111200</v>
      </c>
      <c r="J4580" s="304" t="str">
        <f>CONCATENATE([2]Cover!$D$6,"fdd/view?i=",I4580)</f>
        <v>https://www.dgiwg.org/FAD/fdd/view?i=111200</v>
      </c>
      <c r="K4580" s="304" t="s">
        <v>38629</v>
      </c>
      <c r="L4580" s="188">
        <v>8</v>
      </c>
      <c r="M4580" s="179" t="s">
        <v>151</v>
      </c>
    </row>
    <row r="4581" spans="1:13" ht="38.25">
      <c r="A4581" s="313" t="str">
        <f t="shared" si="71"/>
        <v>MaritimeNavRestrictionCode_exploreDevelopProhibited</v>
      </c>
      <c r="B4581" s="330"/>
      <c r="C4581" s="334"/>
      <c r="D4581" s="188" t="s">
        <v>25930</v>
      </c>
      <c r="E4581" s="189" t="s">
        <v>25931</v>
      </c>
      <c r="F4581" s="162" t="s">
        <v>25932</v>
      </c>
      <c r="G4581" s="190"/>
      <c r="H4581" s="219"/>
      <c r="I4581" s="169">
        <v>111210</v>
      </c>
      <c r="J4581" s="304" t="str">
        <f>CONCATENATE([2]Cover!$D$6,"fdd/view?i=",I4581)</f>
        <v>https://www.dgiwg.org/FAD/fdd/view?i=111210</v>
      </c>
      <c r="K4581" s="304" t="s">
        <v>38630</v>
      </c>
      <c r="L4581" s="188">
        <v>18</v>
      </c>
      <c r="M4581" s="179" t="s">
        <v>151</v>
      </c>
    </row>
    <row r="4582" spans="1:13" ht="38.25">
      <c r="A4582" s="313" t="str">
        <f t="shared" si="71"/>
        <v>MaritimeNavRestrictionCode_exploreDevelopRestricted</v>
      </c>
      <c r="B4582" s="330"/>
      <c r="C4582" s="334"/>
      <c r="D4582" s="188" t="s">
        <v>25933</v>
      </c>
      <c r="E4582" s="189" t="s">
        <v>25934</v>
      </c>
      <c r="F4582" s="162" t="s">
        <v>25935</v>
      </c>
      <c r="G4582" s="190"/>
      <c r="H4582" s="219"/>
      <c r="I4582" s="169">
        <v>111211</v>
      </c>
      <c r="J4582" s="304" t="str">
        <f>CONCATENATE([2]Cover!$D$6,"fdd/view?i=",I4582)</f>
        <v>https://www.dgiwg.org/FAD/fdd/view?i=111211</v>
      </c>
      <c r="K4582" s="304" t="s">
        <v>38631</v>
      </c>
      <c r="L4582" s="188">
        <v>19</v>
      </c>
      <c r="M4582" s="179" t="s">
        <v>151</v>
      </c>
    </row>
    <row r="4583" spans="1:13" ht="25.5">
      <c r="A4583" s="313" t="str">
        <f t="shared" si="71"/>
        <v>MaritimeNavRestrictionCode_fishingProhibited</v>
      </c>
      <c r="B4583" s="330"/>
      <c r="C4583" s="334"/>
      <c r="D4583" s="188" t="s">
        <v>25936</v>
      </c>
      <c r="E4583" s="189" t="s">
        <v>25937</v>
      </c>
      <c r="F4583" s="162" t="s">
        <v>25938</v>
      </c>
      <c r="G4583" s="190"/>
      <c r="H4583" s="219"/>
      <c r="I4583" s="169">
        <v>111195</v>
      </c>
      <c r="J4583" s="304" t="str">
        <f>CONCATENATE([2]Cover!$D$6,"fdd/view?i=",I4583)</f>
        <v>https://www.dgiwg.org/FAD/fdd/view?i=111195</v>
      </c>
      <c r="K4583" s="304" t="s">
        <v>38632</v>
      </c>
      <c r="L4583" s="188">
        <v>3</v>
      </c>
      <c r="M4583" s="179" t="s">
        <v>151</v>
      </c>
    </row>
    <row r="4584" spans="1:13" ht="25.5">
      <c r="A4584" s="313" t="str">
        <f t="shared" si="71"/>
        <v>MaritimeNavRestrictionCode_fishingRestricted</v>
      </c>
      <c r="B4584" s="330"/>
      <c r="C4584" s="334"/>
      <c r="D4584" s="188" t="s">
        <v>25939</v>
      </c>
      <c r="E4584" s="189" t="s">
        <v>25940</v>
      </c>
      <c r="F4584" s="162" t="s">
        <v>25941</v>
      </c>
      <c r="G4584" s="190"/>
      <c r="H4584" s="219"/>
      <c r="I4584" s="169">
        <v>111196</v>
      </c>
      <c r="J4584" s="304" t="str">
        <f>CONCATENATE([2]Cover!$D$6,"fdd/view?i=",I4584)</f>
        <v>https://www.dgiwg.org/FAD/fdd/view?i=111196</v>
      </c>
      <c r="K4584" s="304" t="s">
        <v>38633</v>
      </c>
      <c r="L4584" s="188">
        <v>4</v>
      </c>
      <c r="M4584" s="179" t="s">
        <v>151</v>
      </c>
    </row>
    <row r="4585" spans="1:13" ht="25.5">
      <c r="A4585" s="313" t="str">
        <f t="shared" si="71"/>
        <v>MaritimeNavRestrictionCode_landingProhibited</v>
      </c>
      <c r="B4585" s="330"/>
      <c r="C4585" s="334"/>
      <c r="D4585" s="188" t="s">
        <v>25942</v>
      </c>
      <c r="E4585" s="189" t="s">
        <v>25943</v>
      </c>
      <c r="F4585" s="162" t="s">
        <v>25944</v>
      </c>
      <c r="G4585" s="190"/>
      <c r="H4585" s="219"/>
      <c r="I4585" s="169">
        <v>111218</v>
      </c>
      <c r="J4585" s="304" t="str">
        <f>CONCATENATE([2]Cover!$D$6,"fdd/view?i=",I4585)</f>
        <v>https://www.dgiwg.org/FAD/fdd/view?i=111218</v>
      </c>
      <c r="K4585" s="304" t="s">
        <v>38634</v>
      </c>
      <c r="L4585" s="188">
        <v>26</v>
      </c>
      <c r="M4585" s="179" t="s">
        <v>151</v>
      </c>
    </row>
    <row r="4586" spans="1:13" ht="25.5">
      <c r="A4586" s="313" t="str">
        <f t="shared" si="71"/>
        <v>MaritimeNavRestrictionCode_limitedSpeedArea</v>
      </c>
      <c r="B4586" s="330"/>
      <c r="C4586" s="334"/>
      <c r="D4586" s="188" t="s">
        <v>25945</v>
      </c>
      <c r="E4586" s="189" t="s">
        <v>25946</v>
      </c>
      <c r="F4586" s="162" t="s">
        <v>25947</v>
      </c>
      <c r="G4586" s="190"/>
      <c r="H4586" s="219"/>
      <c r="I4586" s="169">
        <v>111219</v>
      </c>
      <c r="J4586" s="304" t="str">
        <f>CONCATENATE([2]Cover!$D$6,"fdd/view?i=",I4586)</f>
        <v>https://www.dgiwg.org/FAD/fdd/view?i=111219</v>
      </c>
      <c r="K4586" s="304" t="s">
        <v>38635</v>
      </c>
      <c r="L4586" s="188">
        <v>27</v>
      </c>
      <c r="M4586" s="179" t="s">
        <v>151</v>
      </c>
    </row>
    <row r="4587" spans="1:13" ht="25.5">
      <c r="A4587" s="313" t="str">
        <f t="shared" si="71"/>
        <v>MaritimeNavRestrictionCode_navigationalAidSafetyZone</v>
      </c>
      <c r="B4587" s="330"/>
      <c r="C4587" s="334"/>
      <c r="D4587" s="188" t="s">
        <v>25948</v>
      </c>
      <c r="E4587" s="189" t="s">
        <v>25949</v>
      </c>
      <c r="F4587" s="162" t="s">
        <v>25950</v>
      </c>
      <c r="G4587" s="190"/>
      <c r="H4587" s="219"/>
      <c r="I4587" s="169">
        <v>111220</v>
      </c>
      <c r="J4587" s="304" t="str">
        <f>CONCATENATE([2]Cover!$D$6,"fdd/view?i=",I4587)</f>
        <v>https://www.dgiwg.org/FAD/fdd/view?i=111220</v>
      </c>
      <c r="K4587" s="304" t="s">
        <v>38636</v>
      </c>
      <c r="L4587" s="188">
        <v>28</v>
      </c>
      <c r="M4587" s="179" t="s">
        <v>151</v>
      </c>
    </row>
    <row r="4588" spans="1:13" ht="51">
      <c r="A4588" s="313" t="str">
        <f t="shared" si="71"/>
        <v>MaritimeNavRestrictionCode_offshoreSafetyZone</v>
      </c>
      <c r="B4588" s="330"/>
      <c r="C4588" s="334"/>
      <c r="D4588" s="188" t="s">
        <v>25951</v>
      </c>
      <c r="E4588" s="189" t="s">
        <v>25952</v>
      </c>
      <c r="F4588" s="162" t="s">
        <v>25953</v>
      </c>
      <c r="G4588" s="190"/>
      <c r="H4588" s="219"/>
      <c r="I4588" s="169">
        <v>111221</v>
      </c>
      <c r="J4588" s="304" t="str">
        <f>CONCATENATE([2]Cover!$D$6,"fdd/view?i=",I4588)</f>
        <v>https://www.dgiwg.org/FAD/fdd/view?i=111221</v>
      </c>
      <c r="K4588" s="304" t="s">
        <v>38637</v>
      </c>
      <c r="L4588" s="188">
        <v>29</v>
      </c>
      <c r="M4588" s="179" t="s">
        <v>151</v>
      </c>
    </row>
    <row r="4589" spans="1:13" ht="38.25">
      <c r="A4589" s="313" t="str">
        <f t="shared" si="71"/>
        <v>MaritimeNavRestrictionCode_reducedWakeArea</v>
      </c>
      <c r="B4589" s="330"/>
      <c r="C4589" s="334"/>
      <c r="D4589" s="188" t="s">
        <v>25954</v>
      </c>
      <c r="E4589" s="189" t="s">
        <v>25955</v>
      </c>
      <c r="F4589" s="162" t="s">
        <v>25956</v>
      </c>
      <c r="G4589" s="162" t="s">
        <v>25957</v>
      </c>
      <c r="H4589" s="219"/>
      <c r="I4589" s="169">
        <v>111205</v>
      </c>
      <c r="J4589" s="304" t="str">
        <f>CONCATENATE([2]Cover!$D$6,"fdd/view?i=",I4589)</f>
        <v>https://www.dgiwg.org/FAD/fdd/view?i=111205</v>
      </c>
      <c r="K4589" s="304" t="s">
        <v>38638</v>
      </c>
      <c r="L4589" s="188">
        <v>13</v>
      </c>
      <c r="M4589" s="179" t="s">
        <v>151</v>
      </c>
    </row>
    <row r="4590" spans="1:13" ht="25.5">
      <c r="A4590" s="313" t="str">
        <f t="shared" si="71"/>
        <v>MaritimeNavRestrictionCode_shippingProhibited</v>
      </c>
      <c r="B4590" s="330"/>
      <c r="C4590" s="334"/>
      <c r="D4590" s="188" t="s">
        <v>25958</v>
      </c>
      <c r="E4590" s="189" t="s">
        <v>25959</v>
      </c>
      <c r="F4590" s="162" t="s">
        <v>25960</v>
      </c>
      <c r="G4590" s="162" t="s">
        <v>25961</v>
      </c>
      <c r="H4590" s="219"/>
      <c r="I4590" s="169">
        <v>111222</v>
      </c>
      <c r="J4590" s="304" t="str">
        <f>CONCATENATE([2]Cover!$D$6,"fdd/view?i=",I4590)</f>
        <v>https://www.dgiwg.org/FAD/fdd/view?i=111222</v>
      </c>
      <c r="K4590" s="304" t="s">
        <v>38639</v>
      </c>
      <c r="L4590" s="188">
        <v>30</v>
      </c>
      <c r="M4590" s="179" t="s">
        <v>151</v>
      </c>
    </row>
    <row r="4591" spans="1:13" ht="25.5">
      <c r="A4591" s="313" t="str">
        <f t="shared" si="71"/>
        <v>MaritimeNavRestrictionCode_stoppingProhibited</v>
      </c>
      <c r="B4591" s="330"/>
      <c r="C4591" s="334"/>
      <c r="D4591" s="188" t="s">
        <v>25962</v>
      </c>
      <c r="E4591" s="189" t="s">
        <v>25963</v>
      </c>
      <c r="F4591" s="162" t="s">
        <v>25964</v>
      </c>
      <c r="G4591" s="190"/>
      <c r="H4591" s="219"/>
      <c r="I4591" s="169">
        <v>111217</v>
      </c>
      <c r="J4591" s="304" t="str">
        <f>CONCATENATE([2]Cover!$D$6,"fdd/view?i=",I4591)</f>
        <v>https://www.dgiwg.org/FAD/fdd/view?i=111217</v>
      </c>
      <c r="K4591" s="304" t="s">
        <v>38640</v>
      </c>
      <c r="L4591" s="188">
        <v>25</v>
      </c>
      <c r="M4591" s="179" t="s">
        <v>151</v>
      </c>
    </row>
    <row r="4592" spans="1:13" ht="25.5">
      <c r="A4592" s="313" t="str">
        <f t="shared" si="71"/>
        <v>MaritimeNavRestrictionCode_trawlingProhibited</v>
      </c>
      <c r="B4592" s="330"/>
      <c r="C4592" s="334"/>
      <c r="D4592" s="188" t="s">
        <v>25965</v>
      </c>
      <c r="E4592" s="189" t="s">
        <v>25966</v>
      </c>
      <c r="F4592" s="162" t="s">
        <v>25967</v>
      </c>
      <c r="G4592" s="190"/>
      <c r="H4592" s="219"/>
      <c r="I4592" s="169">
        <v>111197</v>
      </c>
      <c r="J4592" s="304" t="str">
        <f>CONCATENATE([2]Cover!$D$6,"fdd/view?i=",I4592)</f>
        <v>https://www.dgiwg.org/FAD/fdd/view?i=111197</v>
      </c>
      <c r="K4592" s="304" t="s">
        <v>38641</v>
      </c>
      <c r="L4592" s="188">
        <v>5</v>
      </c>
      <c r="M4592" s="179" t="s">
        <v>151</v>
      </c>
    </row>
    <row r="4593" spans="1:13" ht="25.5">
      <c r="A4593" s="313" t="str">
        <f t="shared" si="71"/>
        <v>MaritimeNavRestrictionCode_trawlingRestricted</v>
      </c>
      <c r="B4593" s="331"/>
      <c r="C4593" s="335"/>
      <c r="D4593" s="181" t="s">
        <v>25968</v>
      </c>
      <c r="E4593" s="192" t="s">
        <v>25969</v>
      </c>
      <c r="F4593" s="193" t="s">
        <v>25970</v>
      </c>
      <c r="G4593" s="194"/>
      <c r="H4593" s="220"/>
      <c r="I4593" s="169">
        <v>111198</v>
      </c>
      <c r="J4593" s="304" t="str">
        <f>CONCATENATE([2]Cover!$D$6,"fdd/view?i=",I4593)</f>
        <v>https://www.dgiwg.org/FAD/fdd/view?i=111198</v>
      </c>
      <c r="K4593" s="304" t="s">
        <v>38642</v>
      </c>
      <c r="L4593" s="181">
        <v>6</v>
      </c>
      <c r="M4593" s="179" t="s">
        <v>151</v>
      </c>
    </row>
    <row r="4594" spans="1:13" ht="114.75">
      <c r="A4594" s="313" t="str">
        <f t="shared" si="71"/>
        <v>MaritimeRadiobeaconTypeCode_automatedIdentSystem</v>
      </c>
      <c r="B4594" s="332" t="str">
        <f>HYPERLINK("[#]Datatypes!A844:L844","MaritimeRadiobeaconTypeCode")</f>
        <v>MaritimeRadiobeaconTypeCode</v>
      </c>
      <c r="C4594" s="333" t="s">
        <v>12429</v>
      </c>
      <c r="D4594" s="202" t="s">
        <v>25971</v>
      </c>
      <c r="E4594" s="203" t="s">
        <v>25972</v>
      </c>
      <c r="F4594" s="204" t="s">
        <v>25973</v>
      </c>
      <c r="G4594" s="204" t="s">
        <v>25974</v>
      </c>
      <c r="H4594" s="218"/>
      <c r="I4594" s="169">
        <v>114327</v>
      </c>
      <c r="J4594" s="304" t="str">
        <f>CONCATENATE([2]Cover!$D$6,"fdd/view?i=",I4594)</f>
        <v>https://www.dgiwg.org/FAD/fdd/view?i=114327</v>
      </c>
      <c r="K4594" s="304" t="s">
        <v>38643</v>
      </c>
      <c r="L4594" s="202">
        <v>1</v>
      </c>
      <c r="M4594" s="179" t="s">
        <v>151</v>
      </c>
    </row>
    <row r="4595" spans="1:13" ht="38.25">
      <c r="A4595" s="313" t="str">
        <f t="shared" si="71"/>
        <v>MaritimeRadiobeaconTypeCode_circularRadiobeacon</v>
      </c>
      <c r="B4595" s="330"/>
      <c r="C4595" s="334"/>
      <c r="D4595" s="188" t="s">
        <v>25975</v>
      </c>
      <c r="E4595" s="189" t="s">
        <v>25976</v>
      </c>
      <c r="F4595" s="162" t="s">
        <v>25977</v>
      </c>
      <c r="G4595" s="190"/>
      <c r="H4595" s="219"/>
      <c r="I4595" s="169">
        <v>114328</v>
      </c>
      <c r="J4595" s="304" t="str">
        <f>CONCATENATE([2]Cover!$D$6,"fdd/view?i=",I4595)</f>
        <v>https://www.dgiwg.org/FAD/fdd/view?i=114328</v>
      </c>
      <c r="K4595" s="304" t="s">
        <v>38644</v>
      </c>
      <c r="L4595" s="188">
        <v>2</v>
      </c>
      <c r="M4595" s="179" t="s">
        <v>151</v>
      </c>
    </row>
    <row r="4596" spans="1:13" ht="25.5">
      <c r="A4596" s="313" t="str">
        <f t="shared" si="71"/>
        <v>MaritimeRadiobeaconTypeCode_directionalRadiobeacon</v>
      </c>
      <c r="B4596" s="330"/>
      <c r="C4596" s="334"/>
      <c r="D4596" s="188" t="s">
        <v>25861</v>
      </c>
      <c r="E4596" s="189" t="s">
        <v>25862</v>
      </c>
      <c r="F4596" s="162" t="s">
        <v>25978</v>
      </c>
      <c r="G4596" s="190"/>
      <c r="H4596" s="219"/>
      <c r="I4596" s="169">
        <v>114329</v>
      </c>
      <c r="J4596" s="304" t="str">
        <f>CONCATENATE([2]Cover!$D$6,"fdd/view?i=",I4596)</f>
        <v>https://www.dgiwg.org/FAD/fdd/view?i=114329</v>
      </c>
      <c r="K4596" s="304" t="s">
        <v>38645</v>
      </c>
      <c r="L4596" s="188">
        <v>3</v>
      </c>
      <c r="M4596" s="179" t="s">
        <v>151</v>
      </c>
    </row>
    <row r="4597" spans="1:13" ht="51">
      <c r="A4597" s="313" t="str">
        <f t="shared" si="71"/>
        <v>MaritimeRadiobeaconTypeCode_loranC</v>
      </c>
      <c r="B4597" s="330"/>
      <c r="C4597" s="334"/>
      <c r="D4597" s="188" t="s">
        <v>25979</v>
      </c>
      <c r="E4597" s="189" t="s">
        <v>25980</v>
      </c>
      <c r="F4597" s="162" t="s">
        <v>25981</v>
      </c>
      <c r="G4597" s="162" t="s">
        <v>25982</v>
      </c>
      <c r="H4597" s="219"/>
      <c r="I4597" s="169">
        <v>114330</v>
      </c>
      <c r="J4597" s="304" t="str">
        <f>CONCATENATE([2]Cover!$D$6,"fdd/view?i=",I4597)</f>
        <v>https://www.dgiwg.org/FAD/fdd/view?i=114330</v>
      </c>
      <c r="K4597" s="304" t="s">
        <v>38646</v>
      </c>
      <c r="L4597" s="188">
        <v>4</v>
      </c>
      <c r="M4597" s="179" t="s">
        <v>151</v>
      </c>
    </row>
    <row r="4598" spans="1:13" ht="51">
      <c r="A4598" s="313" t="str">
        <f t="shared" si="71"/>
        <v>MaritimeRadiobeaconTypeCode_qtgStation</v>
      </c>
      <c r="B4598" s="330"/>
      <c r="C4598" s="334"/>
      <c r="D4598" s="188" t="s">
        <v>25983</v>
      </c>
      <c r="E4598" s="189" t="s">
        <v>25984</v>
      </c>
      <c r="F4598" s="162" t="s">
        <v>25985</v>
      </c>
      <c r="G4598" s="162" t="s">
        <v>25986</v>
      </c>
      <c r="H4598" s="219"/>
      <c r="I4598" s="169">
        <v>114331</v>
      </c>
      <c r="J4598" s="304" t="str">
        <f>CONCATENATE([2]Cover!$D$6,"fdd/view?i=",I4598)</f>
        <v>https://www.dgiwg.org/FAD/fdd/view?i=114331</v>
      </c>
      <c r="K4598" s="304" t="s">
        <v>38647</v>
      </c>
      <c r="L4598" s="188">
        <v>5</v>
      </c>
      <c r="M4598" s="179" t="s">
        <v>151</v>
      </c>
    </row>
    <row r="4599" spans="1:13" ht="140.25">
      <c r="A4599" s="313" t="str">
        <f t="shared" si="71"/>
        <v>MaritimeRadiobeaconTypeCode_radarMarker</v>
      </c>
      <c r="B4599" s="330"/>
      <c r="C4599" s="334"/>
      <c r="D4599" s="188" t="s">
        <v>25987</v>
      </c>
      <c r="E4599" s="189" t="s">
        <v>25988</v>
      </c>
      <c r="F4599" s="162" t="s">
        <v>25989</v>
      </c>
      <c r="G4599" s="162" t="s">
        <v>25990</v>
      </c>
      <c r="H4599" s="219"/>
      <c r="I4599" s="169">
        <v>114332</v>
      </c>
      <c r="J4599" s="304" t="str">
        <f>CONCATENATE([2]Cover!$D$6,"fdd/view?i=",I4599)</f>
        <v>https://www.dgiwg.org/FAD/fdd/view?i=114332</v>
      </c>
      <c r="K4599" s="304" t="s">
        <v>38648</v>
      </c>
      <c r="L4599" s="188">
        <v>6</v>
      </c>
      <c r="M4599" s="179" t="s">
        <v>151</v>
      </c>
    </row>
    <row r="4600" spans="1:13" ht="127.5">
      <c r="A4600" s="313" t="str">
        <f t="shared" si="71"/>
        <v>MaritimeRadiobeaconTypeCode_radarResponderBeacon</v>
      </c>
      <c r="B4600" s="330"/>
      <c r="C4600" s="334"/>
      <c r="D4600" s="188" t="s">
        <v>25991</v>
      </c>
      <c r="E4600" s="189" t="s">
        <v>25992</v>
      </c>
      <c r="F4600" s="162" t="s">
        <v>25993</v>
      </c>
      <c r="G4600" s="162" t="s">
        <v>25994</v>
      </c>
      <c r="H4600" s="219"/>
      <c r="I4600" s="169">
        <v>114333</v>
      </c>
      <c r="J4600" s="304" t="str">
        <f>CONCATENATE([2]Cover!$D$6,"fdd/view?i=",I4600)</f>
        <v>https://www.dgiwg.org/FAD/fdd/view?i=114333</v>
      </c>
      <c r="K4600" s="304" t="s">
        <v>38649</v>
      </c>
      <c r="L4600" s="188">
        <v>7</v>
      </c>
      <c r="M4600" s="179" t="s">
        <v>151</v>
      </c>
    </row>
    <row r="4601" spans="1:13" ht="25.5">
      <c r="A4601" s="313" t="str">
        <f t="shared" si="71"/>
        <v>MaritimeRadiobeaconTypeCode_radioDirectFindStation</v>
      </c>
      <c r="B4601" s="330"/>
      <c r="C4601" s="334"/>
      <c r="D4601" s="188" t="s">
        <v>25995</v>
      </c>
      <c r="E4601" s="189" t="s">
        <v>25996</v>
      </c>
      <c r="F4601" s="162" t="s">
        <v>25997</v>
      </c>
      <c r="G4601" s="190"/>
      <c r="H4601" s="219"/>
      <c r="I4601" s="169">
        <v>114334</v>
      </c>
      <c r="J4601" s="304" t="str">
        <f>CONCATENATE([2]Cover!$D$6,"fdd/view?i=",I4601)</f>
        <v>https://www.dgiwg.org/FAD/fdd/view?i=114334</v>
      </c>
      <c r="K4601" s="304" t="s">
        <v>38650</v>
      </c>
      <c r="L4601" s="188">
        <v>8</v>
      </c>
      <c r="M4601" s="179" t="s">
        <v>151</v>
      </c>
    </row>
    <row r="4602" spans="1:13" ht="51">
      <c r="A4602" s="313" t="str">
        <f t="shared" si="71"/>
        <v>MaritimeRadiobeaconTypeCode_rotatingPatRadiobeacon</v>
      </c>
      <c r="B4602" s="331"/>
      <c r="C4602" s="335"/>
      <c r="D4602" s="181" t="s">
        <v>25998</v>
      </c>
      <c r="E4602" s="192" t="s">
        <v>25999</v>
      </c>
      <c r="F4602" s="193" t="s">
        <v>26000</v>
      </c>
      <c r="G4602" s="193" t="s">
        <v>26001</v>
      </c>
      <c r="H4602" s="223" t="s">
        <v>26002</v>
      </c>
      <c r="I4602" s="169">
        <v>114335</v>
      </c>
      <c r="J4602" s="304" t="str">
        <f>CONCATENATE([2]Cover!$D$6,"fdd/view?i=",I4602)</f>
        <v>https://www.dgiwg.org/FAD/fdd/view?i=114335</v>
      </c>
      <c r="K4602" s="304" t="s">
        <v>38651</v>
      </c>
      <c r="L4602" s="181">
        <v>9</v>
      </c>
      <c r="M4602" s="179" t="s">
        <v>151</v>
      </c>
    </row>
    <row r="4603" spans="1:13" ht="25.5">
      <c r="A4603" s="313" t="str">
        <f t="shared" si="71"/>
        <v>MaritimeStationTypeCode_berthingControlStation</v>
      </c>
      <c r="B4603" s="332" t="str">
        <f>HYPERLINK("[#]Datatypes!A846:L846","MaritimeStationTypeCode")</f>
        <v>MaritimeStationTypeCode</v>
      </c>
      <c r="C4603" s="333" t="s">
        <v>12431</v>
      </c>
      <c r="D4603" s="202" t="s">
        <v>26003</v>
      </c>
      <c r="E4603" s="203" t="s">
        <v>26004</v>
      </c>
      <c r="F4603" s="204" t="s">
        <v>26005</v>
      </c>
      <c r="G4603" s="205"/>
      <c r="H4603" s="218"/>
      <c r="I4603" s="169">
        <v>207791</v>
      </c>
      <c r="J4603" s="304" t="str">
        <f>CONCATENATE([2]Cover!$D$6,"fdd/view?i=",I4603)</f>
        <v>https://www.dgiwg.org/FAD/fdd/view?i=207791</v>
      </c>
      <c r="K4603" s="304" t="s">
        <v>38652</v>
      </c>
      <c r="L4603" s="202">
        <v>49</v>
      </c>
      <c r="M4603" s="179" t="s">
        <v>1295</v>
      </c>
    </row>
    <row r="4604" spans="1:13" ht="25.5">
      <c r="A4604" s="313" t="str">
        <f t="shared" si="71"/>
        <v>MaritimeStationTypeCode_bridgeSignalStation</v>
      </c>
      <c r="B4604" s="330"/>
      <c r="C4604" s="334"/>
      <c r="D4604" s="188" t="s">
        <v>26006</v>
      </c>
      <c r="E4604" s="189" t="s">
        <v>26007</v>
      </c>
      <c r="F4604" s="162" t="s">
        <v>26008</v>
      </c>
      <c r="G4604" s="190"/>
      <c r="H4604" s="219"/>
      <c r="I4604" s="169">
        <v>108255</v>
      </c>
      <c r="J4604" s="304" t="str">
        <f>CONCATENATE([2]Cover!$D$6,"fdd/view?i=",I4604)</f>
        <v>https://www.dgiwg.org/FAD/fdd/view?i=108255</v>
      </c>
      <c r="K4604" s="304" t="s">
        <v>38653</v>
      </c>
      <c r="L4604" s="188">
        <v>29</v>
      </c>
      <c r="M4604" s="179" t="s">
        <v>151</v>
      </c>
    </row>
    <row r="4605" spans="1:13" ht="25.5">
      <c r="A4605" s="313" t="str">
        <f t="shared" si="71"/>
        <v>MaritimeStationTypeCode_cableWarningStation</v>
      </c>
      <c r="B4605" s="330"/>
      <c r="C4605" s="334"/>
      <c r="D4605" s="188" t="s">
        <v>26009</v>
      </c>
      <c r="E4605" s="189" t="s">
        <v>26010</v>
      </c>
      <c r="F4605" s="162" t="s">
        <v>26011</v>
      </c>
      <c r="G4605" s="190"/>
      <c r="H4605" s="219"/>
      <c r="I4605" s="169">
        <v>207792</v>
      </c>
      <c r="J4605" s="304" t="str">
        <f>CONCATENATE([2]Cover!$D$6,"fdd/view?i=",I4605)</f>
        <v>https://www.dgiwg.org/FAD/fdd/view?i=207792</v>
      </c>
      <c r="K4605" s="304" t="s">
        <v>38654</v>
      </c>
      <c r="L4605" s="188">
        <v>50</v>
      </c>
      <c r="M4605" s="179" t="s">
        <v>1295</v>
      </c>
    </row>
    <row r="4606" spans="1:13" ht="25.5">
      <c r="A4606" s="313" t="str">
        <f t="shared" si="71"/>
        <v>MaritimeStationTypeCode_clockStation</v>
      </c>
      <c r="B4606" s="330"/>
      <c r="C4606" s="334"/>
      <c r="D4606" s="188" t="s">
        <v>26012</v>
      </c>
      <c r="E4606" s="189" t="s">
        <v>26013</v>
      </c>
      <c r="F4606" s="162" t="s">
        <v>26014</v>
      </c>
      <c r="G4606" s="190"/>
      <c r="H4606" s="219"/>
      <c r="I4606" s="169">
        <v>207793</v>
      </c>
      <c r="J4606" s="304" t="str">
        <f>CONCATENATE([2]Cover!$D$6,"fdd/view?i=",I4606)</f>
        <v>https://www.dgiwg.org/FAD/fdd/view?i=207793</v>
      </c>
      <c r="K4606" s="304" t="s">
        <v>38655</v>
      </c>
      <c r="L4606" s="188">
        <v>51</v>
      </c>
      <c r="M4606" s="179" t="s">
        <v>1295</v>
      </c>
    </row>
    <row r="4607" spans="1:13" ht="25.5">
      <c r="A4607" s="313" t="str">
        <f t="shared" si="71"/>
        <v>MaritimeStationTypeCode_coastGuardStation</v>
      </c>
      <c r="B4607" s="330"/>
      <c r="C4607" s="334"/>
      <c r="D4607" s="188" t="s">
        <v>26015</v>
      </c>
      <c r="E4607" s="189" t="s">
        <v>26016</v>
      </c>
      <c r="F4607" s="162" t="s">
        <v>26017</v>
      </c>
      <c r="G4607" s="190"/>
      <c r="H4607" s="219"/>
      <c r="I4607" s="169">
        <v>108228</v>
      </c>
      <c r="J4607" s="304" t="str">
        <f>CONCATENATE([2]Cover!$D$6,"fdd/view?i=",I4607)</f>
        <v>https://www.dgiwg.org/FAD/fdd/view?i=108228</v>
      </c>
      <c r="K4607" s="304" t="s">
        <v>38656</v>
      </c>
      <c r="L4607" s="188">
        <v>1</v>
      </c>
      <c r="M4607" s="179" t="s">
        <v>151</v>
      </c>
    </row>
    <row r="4608" spans="1:13" ht="25.5">
      <c r="A4608" s="313" t="str">
        <f t="shared" si="71"/>
        <v>MaritimeStationTypeCode_dangerWarningStation</v>
      </c>
      <c r="B4608" s="330"/>
      <c r="C4608" s="334"/>
      <c r="D4608" s="188" t="s">
        <v>26018</v>
      </c>
      <c r="E4608" s="189" t="s">
        <v>26019</v>
      </c>
      <c r="F4608" s="162" t="s">
        <v>26020</v>
      </c>
      <c r="G4608" s="190"/>
      <c r="H4608" s="219"/>
      <c r="I4608" s="169">
        <v>207794</v>
      </c>
      <c r="J4608" s="304" t="str">
        <f>CONCATENATE([2]Cover!$D$6,"fdd/view?i=",I4608)</f>
        <v>https://www.dgiwg.org/FAD/fdd/view?i=207794</v>
      </c>
      <c r="K4608" s="304" t="s">
        <v>38657</v>
      </c>
      <c r="L4608" s="188">
        <v>52</v>
      </c>
      <c r="M4608" s="179" t="s">
        <v>1295</v>
      </c>
    </row>
    <row r="4609" spans="1:13" ht="25.5">
      <c r="A4609" s="313" t="str">
        <f t="shared" si="71"/>
        <v>MaritimeStationTypeCode_distressWarningStation</v>
      </c>
      <c r="B4609" s="330"/>
      <c r="C4609" s="334"/>
      <c r="D4609" s="188" t="s">
        <v>26021</v>
      </c>
      <c r="E4609" s="189" t="s">
        <v>26022</v>
      </c>
      <c r="F4609" s="162" t="s">
        <v>26023</v>
      </c>
      <c r="G4609" s="190"/>
      <c r="H4609" s="219"/>
      <c r="I4609" s="169">
        <v>207795</v>
      </c>
      <c r="J4609" s="304" t="str">
        <f>CONCATENATE([2]Cover!$D$6,"fdd/view?i=",I4609)</f>
        <v>https://www.dgiwg.org/FAD/fdd/view?i=207795</v>
      </c>
      <c r="K4609" s="304" t="s">
        <v>38658</v>
      </c>
      <c r="L4609" s="188">
        <v>53</v>
      </c>
      <c r="M4609" s="179" t="s">
        <v>1295</v>
      </c>
    </row>
    <row r="4610" spans="1:13" ht="25.5">
      <c r="A4610" s="313" t="str">
        <f t="shared" si="71"/>
        <v>MaritimeStationTypeCode_divingWarningStation</v>
      </c>
      <c r="B4610" s="330"/>
      <c r="C4610" s="334"/>
      <c r="D4610" s="188" t="s">
        <v>26024</v>
      </c>
      <c r="E4610" s="189" t="s">
        <v>26025</v>
      </c>
      <c r="F4610" s="162" t="s">
        <v>26026</v>
      </c>
      <c r="G4610" s="190"/>
      <c r="H4610" s="219"/>
      <c r="I4610" s="169">
        <v>207796</v>
      </c>
      <c r="J4610" s="304" t="str">
        <f>CONCATENATE([2]Cover!$D$6,"fdd/view?i=",I4610)</f>
        <v>https://www.dgiwg.org/FAD/fdd/view?i=207796</v>
      </c>
      <c r="K4610" s="304" t="s">
        <v>38659</v>
      </c>
      <c r="L4610" s="188">
        <v>54</v>
      </c>
      <c r="M4610" s="179" t="s">
        <v>1295</v>
      </c>
    </row>
    <row r="4611" spans="1:13" ht="25.5">
      <c r="A4611" s="313" t="str">
        <f t="shared" ref="A4611:A4674" si="72">HYPERLINK(J4611,K4611)</f>
        <v>MaritimeStationTypeCode_dockControlStation</v>
      </c>
      <c r="B4611" s="330"/>
      <c r="C4611" s="334"/>
      <c r="D4611" s="188" t="s">
        <v>26027</v>
      </c>
      <c r="E4611" s="189" t="s">
        <v>26028</v>
      </c>
      <c r="F4611" s="162" t="s">
        <v>26029</v>
      </c>
      <c r="G4611" s="190"/>
      <c r="H4611" s="219"/>
      <c r="I4611" s="169">
        <v>207797</v>
      </c>
      <c r="J4611" s="304" t="str">
        <f>CONCATENATE([2]Cover!$D$6,"fdd/view?i=",I4611)</f>
        <v>https://www.dgiwg.org/FAD/fdd/view?i=207797</v>
      </c>
      <c r="K4611" s="304" t="s">
        <v>38660</v>
      </c>
      <c r="L4611" s="188">
        <v>55</v>
      </c>
      <c r="M4611" s="179" t="s">
        <v>1295</v>
      </c>
    </row>
    <row r="4612" spans="1:13" ht="25.5">
      <c r="A4612" s="313" t="str">
        <f t="shared" si="72"/>
        <v>MaritimeStationTypeCode_dredgingOperationsStation</v>
      </c>
      <c r="B4612" s="330"/>
      <c r="C4612" s="334"/>
      <c r="D4612" s="188" t="s">
        <v>26030</v>
      </c>
      <c r="E4612" s="189" t="s">
        <v>26031</v>
      </c>
      <c r="F4612" s="162" t="s">
        <v>26032</v>
      </c>
      <c r="G4612" s="190"/>
      <c r="H4612" s="219"/>
      <c r="I4612" s="169">
        <v>207798</v>
      </c>
      <c r="J4612" s="304" t="str">
        <f>CONCATENATE([2]Cover!$D$6,"fdd/view?i=",I4612)</f>
        <v>https://www.dgiwg.org/FAD/fdd/view?i=207798</v>
      </c>
      <c r="K4612" s="304" t="s">
        <v>38661</v>
      </c>
      <c r="L4612" s="188">
        <v>56</v>
      </c>
      <c r="M4612" s="179" t="s">
        <v>1295</v>
      </c>
    </row>
    <row r="4613" spans="1:13" ht="25.5">
      <c r="A4613" s="313" t="str">
        <f t="shared" si="72"/>
        <v>MaritimeStationTypeCode_fireboatStation</v>
      </c>
      <c r="B4613" s="330"/>
      <c r="C4613" s="334"/>
      <c r="D4613" s="188" t="s">
        <v>26033</v>
      </c>
      <c r="E4613" s="189" t="s">
        <v>26034</v>
      </c>
      <c r="F4613" s="162" t="s">
        <v>26035</v>
      </c>
      <c r="G4613" s="190"/>
      <c r="H4613" s="219"/>
      <c r="I4613" s="169">
        <v>108229</v>
      </c>
      <c r="J4613" s="304" t="str">
        <f>CONCATENATE([2]Cover!$D$6,"fdd/view?i=",I4613)</f>
        <v>https://www.dgiwg.org/FAD/fdd/view?i=108229</v>
      </c>
      <c r="K4613" s="304" t="s">
        <v>38662</v>
      </c>
      <c r="L4613" s="188">
        <v>2</v>
      </c>
      <c r="M4613" s="179" t="s">
        <v>151</v>
      </c>
    </row>
    <row r="4614" spans="1:13" ht="25.5">
      <c r="A4614" s="313" t="str">
        <f t="shared" si="72"/>
        <v>MaritimeStationTypeCode_floodBarrageControlStation</v>
      </c>
      <c r="B4614" s="330"/>
      <c r="C4614" s="334"/>
      <c r="D4614" s="188" t="s">
        <v>26036</v>
      </c>
      <c r="E4614" s="189" t="s">
        <v>26037</v>
      </c>
      <c r="F4614" s="162" t="s">
        <v>26038</v>
      </c>
      <c r="G4614" s="190"/>
      <c r="H4614" s="219"/>
      <c r="I4614" s="169">
        <v>207799</v>
      </c>
      <c r="J4614" s="304" t="str">
        <f>CONCATENATE([2]Cover!$D$6,"fdd/view?i=",I4614)</f>
        <v>https://www.dgiwg.org/FAD/fdd/view?i=207799</v>
      </c>
      <c r="K4614" s="304" t="s">
        <v>38663</v>
      </c>
      <c r="L4614" s="188">
        <v>57</v>
      </c>
      <c r="M4614" s="179" t="s">
        <v>1295</v>
      </c>
    </row>
    <row r="4615" spans="1:13" ht="38.25">
      <c r="A4615" s="313" t="str">
        <f t="shared" si="72"/>
        <v>MaritimeStationTypeCode_fogSignal</v>
      </c>
      <c r="B4615" s="330"/>
      <c r="C4615" s="334"/>
      <c r="D4615" s="188" t="s">
        <v>26039</v>
      </c>
      <c r="E4615" s="189" t="s">
        <v>2441</v>
      </c>
      <c r="F4615" s="162" t="s">
        <v>2442</v>
      </c>
      <c r="G4615" s="190"/>
      <c r="H4615" s="219"/>
      <c r="I4615" s="169">
        <v>108249</v>
      </c>
      <c r="J4615" s="304" t="str">
        <f>CONCATENATE([2]Cover!$D$6,"fdd/view?i=",I4615)</f>
        <v>https://www.dgiwg.org/FAD/fdd/view?i=108249</v>
      </c>
      <c r="K4615" s="304" t="s">
        <v>38664</v>
      </c>
      <c r="L4615" s="188">
        <v>22</v>
      </c>
      <c r="M4615" s="179" t="s">
        <v>151</v>
      </c>
    </row>
    <row r="4616" spans="1:13" ht="25.5">
      <c r="A4616" s="313" t="str">
        <f t="shared" si="72"/>
        <v>MaritimeStationTypeCode_iceSignalStation</v>
      </c>
      <c r="B4616" s="330"/>
      <c r="C4616" s="334"/>
      <c r="D4616" s="188" t="s">
        <v>26040</v>
      </c>
      <c r="E4616" s="189" t="s">
        <v>26041</v>
      </c>
      <c r="F4616" s="162" t="s">
        <v>26042</v>
      </c>
      <c r="G4616" s="190"/>
      <c r="H4616" s="219"/>
      <c r="I4616" s="169">
        <v>108231</v>
      </c>
      <c r="J4616" s="304" t="str">
        <f>CONCATENATE([2]Cover!$D$6,"fdd/view?i=",I4616)</f>
        <v>https://www.dgiwg.org/FAD/fdd/view?i=108231</v>
      </c>
      <c r="K4616" s="304" t="s">
        <v>38665</v>
      </c>
      <c r="L4616" s="188">
        <v>4</v>
      </c>
      <c r="M4616" s="179" t="s">
        <v>151</v>
      </c>
    </row>
    <row r="4617" spans="1:13" ht="25.5">
      <c r="A4617" s="313" t="str">
        <f t="shared" si="72"/>
        <v>MaritimeStationTypeCode_internatPortSigStation</v>
      </c>
      <c r="B4617" s="330"/>
      <c r="C4617" s="334"/>
      <c r="D4617" s="188" t="s">
        <v>26043</v>
      </c>
      <c r="E4617" s="189" t="s">
        <v>26044</v>
      </c>
      <c r="F4617" s="162" t="s">
        <v>26045</v>
      </c>
      <c r="G4617" s="190"/>
      <c r="H4617" s="219"/>
      <c r="I4617" s="169">
        <v>108258</v>
      </c>
      <c r="J4617" s="304" t="str">
        <f>CONCATENATE([2]Cover!$D$6,"fdd/view?i=",I4617)</f>
        <v>https://www.dgiwg.org/FAD/fdd/view?i=108258</v>
      </c>
      <c r="K4617" s="304" t="s">
        <v>38666</v>
      </c>
      <c r="L4617" s="188">
        <v>32</v>
      </c>
      <c r="M4617" s="179" t="s">
        <v>151</v>
      </c>
    </row>
    <row r="4618" spans="1:13" ht="25.5">
      <c r="A4618" s="313" t="str">
        <f t="shared" si="72"/>
        <v>MaritimeStationTypeCode_lockSignalStation</v>
      </c>
      <c r="B4618" s="330"/>
      <c r="C4618" s="334"/>
      <c r="D4618" s="188" t="s">
        <v>26046</v>
      </c>
      <c r="E4618" s="189" t="s">
        <v>26047</v>
      </c>
      <c r="F4618" s="162" t="s">
        <v>26048</v>
      </c>
      <c r="G4618" s="190"/>
      <c r="H4618" s="219"/>
      <c r="I4618" s="169">
        <v>108256</v>
      </c>
      <c r="J4618" s="304" t="str">
        <f>CONCATENATE([2]Cover!$D$6,"fdd/view?i=",I4618)</f>
        <v>https://www.dgiwg.org/FAD/fdd/view?i=108256</v>
      </c>
      <c r="K4618" s="304" t="s">
        <v>38667</v>
      </c>
      <c r="L4618" s="188">
        <v>30</v>
      </c>
      <c r="M4618" s="179" t="s">
        <v>151</v>
      </c>
    </row>
    <row r="4619" spans="1:13" ht="25.5">
      <c r="A4619" s="313" t="str">
        <f t="shared" si="72"/>
        <v>MaritimeStationTypeCode_maritimeObstWarnStation</v>
      </c>
      <c r="B4619" s="330"/>
      <c r="C4619" s="334"/>
      <c r="D4619" s="188" t="s">
        <v>26049</v>
      </c>
      <c r="E4619" s="189" t="s">
        <v>26050</v>
      </c>
      <c r="F4619" s="162" t="s">
        <v>26051</v>
      </c>
      <c r="G4619" s="190"/>
      <c r="H4619" s="219"/>
      <c r="I4619" s="169">
        <v>207800</v>
      </c>
      <c r="J4619" s="304" t="str">
        <f>CONCATENATE([2]Cover!$D$6,"fdd/view?i=",I4619)</f>
        <v>https://www.dgiwg.org/FAD/fdd/view?i=207800</v>
      </c>
      <c r="K4619" s="304" t="s">
        <v>38668</v>
      </c>
      <c r="L4619" s="188">
        <v>58</v>
      </c>
      <c r="M4619" s="179" t="s">
        <v>1295</v>
      </c>
    </row>
    <row r="4620" spans="1:13" ht="25.5">
      <c r="A4620" s="313" t="str">
        <f t="shared" si="72"/>
        <v>MaritimeStationTypeCode_militaryPracticeSigStation</v>
      </c>
      <c r="B4620" s="330"/>
      <c r="C4620" s="334"/>
      <c r="D4620" s="188" t="s">
        <v>26052</v>
      </c>
      <c r="E4620" s="189" t="s">
        <v>26053</v>
      </c>
      <c r="F4620" s="162" t="s">
        <v>26054</v>
      </c>
      <c r="G4620" s="190"/>
      <c r="H4620" s="219"/>
      <c r="I4620" s="169">
        <v>108259</v>
      </c>
      <c r="J4620" s="304" t="str">
        <f>CONCATENATE([2]Cover!$D$6,"fdd/view?i=",I4620)</f>
        <v>https://www.dgiwg.org/FAD/fdd/view?i=108259</v>
      </c>
      <c r="K4620" s="304" t="s">
        <v>38669</v>
      </c>
      <c r="L4620" s="188">
        <v>33</v>
      </c>
      <c r="M4620" s="179" t="s">
        <v>151</v>
      </c>
    </row>
    <row r="4621" spans="1:13" ht="25.5">
      <c r="A4621" s="313" t="str">
        <f t="shared" si="72"/>
        <v>MaritimeStationTypeCode_pilotLookoutStation</v>
      </c>
      <c r="B4621" s="330"/>
      <c r="C4621" s="334"/>
      <c r="D4621" s="188" t="s">
        <v>26055</v>
      </c>
      <c r="E4621" s="189" t="s">
        <v>26056</v>
      </c>
      <c r="F4621" s="162" t="s">
        <v>26057</v>
      </c>
      <c r="G4621" s="190"/>
      <c r="H4621" s="219"/>
      <c r="I4621" s="169">
        <v>108263</v>
      </c>
      <c r="J4621" s="304" t="str">
        <f>CONCATENATE([2]Cover!$D$6,"fdd/view?i=",I4621)</f>
        <v>https://www.dgiwg.org/FAD/fdd/view?i=108263</v>
      </c>
      <c r="K4621" s="304" t="s">
        <v>38670</v>
      </c>
      <c r="L4621" s="188">
        <v>37</v>
      </c>
      <c r="M4621" s="179" t="s">
        <v>151</v>
      </c>
    </row>
    <row r="4622" spans="1:13" ht="25.5">
      <c r="A4622" s="313" t="str">
        <f t="shared" si="72"/>
        <v>MaritimeStationTypeCode_pilotStation</v>
      </c>
      <c r="B4622" s="330"/>
      <c r="C4622" s="334"/>
      <c r="D4622" s="188" t="s">
        <v>21964</v>
      </c>
      <c r="E4622" s="189" t="s">
        <v>21965</v>
      </c>
      <c r="F4622" s="162" t="s">
        <v>26058</v>
      </c>
      <c r="G4622" s="190"/>
      <c r="H4622" s="219"/>
      <c r="I4622" s="169">
        <v>108238</v>
      </c>
      <c r="J4622" s="304" t="str">
        <f>CONCATENATE([2]Cover!$D$6,"fdd/view?i=",I4622)</f>
        <v>https://www.dgiwg.org/FAD/fdd/view?i=108238</v>
      </c>
      <c r="K4622" s="304" t="s">
        <v>38671</v>
      </c>
      <c r="L4622" s="188">
        <v>11</v>
      </c>
      <c r="M4622" s="179" t="s">
        <v>151</v>
      </c>
    </row>
    <row r="4623" spans="1:13" ht="25.5">
      <c r="A4623" s="313" t="str">
        <f t="shared" si="72"/>
        <v>MaritimeStationTypeCode_portControlStation</v>
      </c>
      <c r="B4623" s="330"/>
      <c r="C4623" s="334"/>
      <c r="D4623" s="188" t="s">
        <v>26059</v>
      </c>
      <c r="E4623" s="189" t="s">
        <v>26060</v>
      </c>
      <c r="F4623" s="162" t="s">
        <v>26061</v>
      </c>
      <c r="G4623" s="190"/>
      <c r="H4623" s="219"/>
      <c r="I4623" s="169">
        <v>108233</v>
      </c>
      <c r="J4623" s="304" t="str">
        <f>CONCATENATE([2]Cover!$D$6,"fdd/view?i=",I4623)</f>
        <v>https://www.dgiwg.org/FAD/fdd/view?i=108233</v>
      </c>
      <c r="K4623" s="304" t="s">
        <v>38672</v>
      </c>
      <c r="L4623" s="188">
        <v>6</v>
      </c>
      <c r="M4623" s="179" t="s">
        <v>151</v>
      </c>
    </row>
    <row r="4624" spans="1:13" ht="38.25">
      <c r="A4624" s="313" t="str">
        <f t="shared" si="72"/>
        <v>MaritimeStationTypeCode_portEntryDepartControl</v>
      </c>
      <c r="B4624" s="330"/>
      <c r="C4624" s="334"/>
      <c r="D4624" s="188" t="s">
        <v>26062</v>
      </c>
      <c r="E4624" s="189" t="s">
        <v>26063</v>
      </c>
      <c r="F4624" s="162" t="s">
        <v>26064</v>
      </c>
      <c r="G4624" s="190"/>
      <c r="H4624" s="219"/>
      <c r="I4624" s="169">
        <v>207801</v>
      </c>
      <c r="J4624" s="304" t="str">
        <f>CONCATENATE([2]Cover!$D$6,"fdd/view?i=",I4624)</f>
        <v>https://www.dgiwg.org/FAD/fdd/view?i=207801</v>
      </c>
      <c r="K4624" s="304" t="s">
        <v>38673</v>
      </c>
      <c r="L4624" s="188">
        <v>59</v>
      </c>
      <c r="M4624" s="179" t="s">
        <v>1295</v>
      </c>
    </row>
    <row r="4625" spans="1:13" ht="25.5">
      <c r="A4625" s="313" t="str">
        <f t="shared" si="72"/>
        <v>MaritimeStationTypeCode_radarSurveillanceStation</v>
      </c>
      <c r="B4625" s="330"/>
      <c r="C4625" s="334"/>
      <c r="D4625" s="188" t="s">
        <v>26065</v>
      </c>
      <c r="E4625" s="189" t="s">
        <v>26066</v>
      </c>
      <c r="F4625" s="162" t="s">
        <v>26067</v>
      </c>
      <c r="G4625" s="190"/>
      <c r="H4625" s="219"/>
      <c r="I4625" s="169">
        <v>108262</v>
      </c>
      <c r="J4625" s="304" t="str">
        <f>CONCATENATE([2]Cover!$D$6,"fdd/view?i=",I4625)</f>
        <v>https://www.dgiwg.org/FAD/fdd/view?i=108262</v>
      </c>
      <c r="K4625" s="304" t="s">
        <v>38674</v>
      </c>
      <c r="L4625" s="188">
        <v>36</v>
      </c>
      <c r="M4625" s="179" t="s">
        <v>151</v>
      </c>
    </row>
    <row r="4626" spans="1:13" ht="25.5">
      <c r="A4626" s="313" t="str">
        <f t="shared" si="72"/>
        <v>MaritimeStationTypeCode_rescueStation</v>
      </c>
      <c r="B4626" s="330"/>
      <c r="C4626" s="334"/>
      <c r="D4626" s="188" t="s">
        <v>26068</v>
      </c>
      <c r="E4626" s="189" t="s">
        <v>26069</v>
      </c>
      <c r="F4626" s="162" t="s">
        <v>26070</v>
      </c>
      <c r="G4626" s="190"/>
      <c r="H4626" s="219"/>
      <c r="I4626" s="169">
        <v>108232</v>
      </c>
      <c r="J4626" s="304" t="str">
        <f>CONCATENATE([2]Cover!$D$6,"fdd/view?i=",I4626)</f>
        <v>https://www.dgiwg.org/FAD/fdd/view?i=108232</v>
      </c>
      <c r="K4626" s="304" t="s">
        <v>38675</v>
      </c>
      <c r="L4626" s="188">
        <v>5</v>
      </c>
      <c r="M4626" s="179" t="s">
        <v>151</v>
      </c>
    </row>
    <row r="4627" spans="1:13" ht="38.25">
      <c r="A4627" s="313" t="str">
        <f t="shared" si="72"/>
        <v>MaritimeStationTypeCode_semaphoreStation</v>
      </c>
      <c r="B4627" s="330"/>
      <c r="C4627" s="334"/>
      <c r="D4627" s="188" t="s">
        <v>26071</v>
      </c>
      <c r="E4627" s="189" t="s">
        <v>26072</v>
      </c>
      <c r="F4627" s="162" t="s">
        <v>26073</v>
      </c>
      <c r="G4627" s="190"/>
      <c r="H4627" s="219"/>
      <c r="I4627" s="169">
        <v>206542</v>
      </c>
      <c r="J4627" s="304" t="str">
        <f>CONCATENATE([2]Cover!$D$6,"fdd/view?i=",I4627)</f>
        <v>https://www.dgiwg.org/FAD/fdd/view?i=206542</v>
      </c>
      <c r="K4627" s="304" t="s">
        <v>38676</v>
      </c>
      <c r="L4627" s="188">
        <v>48</v>
      </c>
      <c r="M4627" s="179" t="s">
        <v>1295</v>
      </c>
    </row>
    <row r="4628" spans="1:13" ht="38.25">
      <c r="A4628" s="313" t="str">
        <f t="shared" si="72"/>
        <v>MaritimeStationTypeCode_signalMast</v>
      </c>
      <c r="B4628" s="330"/>
      <c r="C4628" s="334"/>
      <c r="D4628" s="188" t="s">
        <v>26074</v>
      </c>
      <c r="E4628" s="189" t="s">
        <v>26075</v>
      </c>
      <c r="F4628" s="162" t="s">
        <v>26076</v>
      </c>
      <c r="G4628" s="162" t="s">
        <v>26077</v>
      </c>
      <c r="H4628" s="219"/>
      <c r="I4628" s="169">
        <v>108241</v>
      </c>
      <c r="J4628" s="304" t="str">
        <f>CONCATENATE([2]Cover!$D$6,"fdd/view?i=",I4628)</f>
        <v>https://www.dgiwg.org/FAD/fdd/view?i=108241</v>
      </c>
      <c r="K4628" s="304" t="s">
        <v>38677</v>
      </c>
      <c r="L4628" s="188">
        <v>14</v>
      </c>
      <c r="M4628" s="179" t="s">
        <v>151</v>
      </c>
    </row>
    <row r="4629" spans="1:13" ht="25.5">
      <c r="A4629" s="313" t="str">
        <f t="shared" si="72"/>
        <v>MaritimeStationTypeCode_signalStation</v>
      </c>
      <c r="B4629" s="330"/>
      <c r="C4629" s="334"/>
      <c r="D4629" s="188" t="s">
        <v>26078</v>
      </c>
      <c r="E4629" s="189" t="s">
        <v>26079</v>
      </c>
      <c r="F4629" s="162" t="s">
        <v>26080</v>
      </c>
      <c r="G4629" s="190"/>
      <c r="H4629" s="219"/>
      <c r="I4629" s="169">
        <v>108240</v>
      </c>
      <c r="J4629" s="304" t="str">
        <f>CONCATENATE([2]Cover!$D$6,"fdd/view?i=",I4629)</f>
        <v>https://www.dgiwg.org/FAD/fdd/view?i=108240</v>
      </c>
      <c r="K4629" s="304" t="s">
        <v>38678</v>
      </c>
      <c r="L4629" s="188">
        <v>13</v>
      </c>
      <c r="M4629" s="179" t="s">
        <v>151</v>
      </c>
    </row>
    <row r="4630" spans="1:13" ht="25.5">
      <c r="A4630" s="313" t="str">
        <f t="shared" si="72"/>
        <v>MaritimeStationTypeCode_stormSignalStation</v>
      </c>
      <c r="B4630" s="330"/>
      <c r="C4630" s="334"/>
      <c r="D4630" s="188" t="s">
        <v>26081</v>
      </c>
      <c r="E4630" s="189" t="s">
        <v>26082</v>
      </c>
      <c r="F4630" s="162" t="s">
        <v>26083</v>
      </c>
      <c r="G4630" s="190"/>
      <c r="H4630" s="219"/>
      <c r="I4630" s="169">
        <v>108242</v>
      </c>
      <c r="J4630" s="304" t="str">
        <f>CONCATENATE([2]Cover!$D$6,"fdd/view?i=",I4630)</f>
        <v>https://www.dgiwg.org/FAD/fdd/view?i=108242</v>
      </c>
      <c r="K4630" s="304" t="s">
        <v>38679</v>
      </c>
      <c r="L4630" s="188">
        <v>15</v>
      </c>
      <c r="M4630" s="179" t="s">
        <v>151</v>
      </c>
    </row>
    <row r="4631" spans="1:13" ht="25.5">
      <c r="A4631" s="313" t="str">
        <f t="shared" si="72"/>
        <v>MaritimeStationTypeCode_tidalStreamStation</v>
      </c>
      <c r="B4631" s="330"/>
      <c r="C4631" s="334"/>
      <c r="D4631" s="188" t="s">
        <v>26084</v>
      </c>
      <c r="E4631" s="189" t="s">
        <v>26085</v>
      </c>
      <c r="F4631" s="162" t="s">
        <v>26086</v>
      </c>
      <c r="G4631" s="190"/>
      <c r="H4631" s="219"/>
      <c r="I4631" s="169">
        <v>108253</v>
      </c>
      <c r="J4631" s="304" t="str">
        <f>CONCATENATE([2]Cover!$D$6,"fdd/view?i=",I4631)</f>
        <v>https://www.dgiwg.org/FAD/fdd/view?i=108253</v>
      </c>
      <c r="K4631" s="304" t="s">
        <v>38680</v>
      </c>
      <c r="L4631" s="188">
        <v>27</v>
      </c>
      <c r="M4631" s="179" t="s">
        <v>151</v>
      </c>
    </row>
    <row r="4632" spans="1:13" ht="25.5">
      <c r="A4632" s="313" t="str">
        <f t="shared" si="72"/>
        <v>MaritimeStationTypeCode_tideScaleStation</v>
      </c>
      <c r="B4632" s="330"/>
      <c r="C4632" s="334"/>
      <c r="D4632" s="188" t="s">
        <v>26087</v>
      </c>
      <c r="E4632" s="189" t="s">
        <v>26088</v>
      </c>
      <c r="F4632" s="162" t="s">
        <v>26089</v>
      </c>
      <c r="G4632" s="190"/>
      <c r="H4632" s="219"/>
      <c r="I4632" s="169">
        <v>207802</v>
      </c>
      <c r="J4632" s="304" t="str">
        <f>CONCATENATE([2]Cover!$D$6,"fdd/view?i=",I4632)</f>
        <v>https://www.dgiwg.org/FAD/fdd/view?i=207802</v>
      </c>
      <c r="K4632" s="304" t="s">
        <v>38681</v>
      </c>
      <c r="L4632" s="188">
        <v>60</v>
      </c>
      <c r="M4632" s="179" t="s">
        <v>1295</v>
      </c>
    </row>
    <row r="4633" spans="1:13" ht="25.5">
      <c r="A4633" s="313" t="str">
        <f t="shared" si="72"/>
        <v>MaritimeStationTypeCode_tideStation</v>
      </c>
      <c r="B4633" s="330"/>
      <c r="C4633" s="334"/>
      <c r="D4633" s="188" t="s">
        <v>26090</v>
      </c>
      <c r="E4633" s="189" t="s">
        <v>26091</v>
      </c>
      <c r="F4633" s="162" t="s">
        <v>26092</v>
      </c>
      <c r="G4633" s="190"/>
      <c r="H4633" s="219"/>
      <c r="I4633" s="169">
        <v>108244</v>
      </c>
      <c r="J4633" s="304" t="str">
        <f>CONCATENATE([2]Cover!$D$6,"fdd/view?i=",I4633)</f>
        <v>https://www.dgiwg.org/FAD/fdd/view?i=108244</v>
      </c>
      <c r="K4633" s="304" t="s">
        <v>38682</v>
      </c>
      <c r="L4633" s="188">
        <v>17</v>
      </c>
      <c r="M4633" s="179" t="s">
        <v>151</v>
      </c>
    </row>
    <row r="4634" spans="1:13" ht="25.5">
      <c r="A4634" s="313" t="str">
        <f t="shared" si="72"/>
        <v>MaritimeStationTypeCode_timeBallStation</v>
      </c>
      <c r="B4634" s="330"/>
      <c r="C4634" s="334"/>
      <c r="D4634" s="188" t="s">
        <v>26093</v>
      </c>
      <c r="E4634" s="189" t="s">
        <v>26094</v>
      </c>
      <c r="F4634" s="162" t="s">
        <v>26095</v>
      </c>
      <c r="G4634" s="190"/>
      <c r="H4634" s="219"/>
      <c r="I4634" s="169">
        <v>108245</v>
      </c>
      <c r="J4634" s="304" t="str">
        <f>CONCATENATE([2]Cover!$D$6,"fdd/view?i=",I4634)</f>
        <v>https://www.dgiwg.org/FAD/fdd/view?i=108245</v>
      </c>
      <c r="K4634" s="304" t="s">
        <v>38683</v>
      </c>
      <c r="L4634" s="188">
        <v>18</v>
      </c>
      <c r="M4634" s="179" t="s">
        <v>151</v>
      </c>
    </row>
    <row r="4635" spans="1:13" ht="25.5">
      <c r="A4635" s="313" t="str">
        <f t="shared" si="72"/>
        <v>MaritimeStationTypeCode_timeSignalStation</v>
      </c>
      <c r="B4635" s="330"/>
      <c r="C4635" s="334"/>
      <c r="D4635" s="188" t="s">
        <v>26096</v>
      </c>
      <c r="E4635" s="189" t="s">
        <v>26097</v>
      </c>
      <c r="F4635" s="162" t="s">
        <v>26098</v>
      </c>
      <c r="G4635" s="162" t="s">
        <v>26099</v>
      </c>
      <c r="H4635" s="219"/>
      <c r="I4635" s="169">
        <v>108246</v>
      </c>
      <c r="J4635" s="304" t="str">
        <f>CONCATENATE([2]Cover!$D$6,"fdd/view?i=",I4635)</f>
        <v>https://www.dgiwg.org/FAD/fdd/view?i=108246</v>
      </c>
      <c r="K4635" s="304" t="s">
        <v>38684</v>
      </c>
      <c r="L4635" s="188">
        <v>19</v>
      </c>
      <c r="M4635" s="179" t="s">
        <v>151</v>
      </c>
    </row>
    <row r="4636" spans="1:13" ht="25.5">
      <c r="A4636" s="313" t="str">
        <f t="shared" si="72"/>
        <v>MaritimeStationTypeCode_trafficSignalStation</v>
      </c>
      <c r="B4636" s="330"/>
      <c r="C4636" s="334"/>
      <c r="D4636" s="188" t="s">
        <v>26100</v>
      </c>
      <c r="E4636" s="189" t="s">
        <v>26101</v>
      </c>
      <c r="F4636" s="162" t="s">
        <v>26102</v>
      </c>
      <c r="G4636" s="190"/>
      <c r="H4636" s="219"/>
      <c r="I4636" s="169">
        <v>108254</v>
      </c>
      <c r="J4636" s="304" t="str">
        <f>CONCATENATE([2]Cover!$D$6,"fdd/view?i=",I4636)</f>
        <v>https://www.dgiwg.org/FAD/fdd/view?i=108254</v>
      </c>
      <c r="K4636" s="304" t="s">
        <v>38685</v>
      </c>
      <c r="L4636" s="188">
        <v>28</v>
      </c>
      <c r="M4636" s="179" t="s">
        <v>151</v>
      </c>
    </row>
    <row r="4637" spans="1:13" ht="25.5">
      <c r="A4637" s="313" t="str">
        <f t="shared" si="72"/>
        <v>MaritimeStationTypeCode_unmannedOceanoStation</v>
      </c>
      <c r="B4637" s="330"/>
      <c r="C4637" s="334"/>
      <c r="D4637" s="188" t="s">
        <v>26103</v>
      </c>
      <c r="E4637" s="189" t="s">
        <v>26104</v>
      </c>
      <c r="F4637" s="162" t="s">
        <v>26105</v>
      </c>
      <c r="G4637" s="190"/>
      <c r="H4637" s="219"/>
      <c r="I4637" s="169">
        <v>108247</v>
      </c>
      <c r="J4637" s="304" t="str">
        <f>CONCATENATE([2]Cover!$D$6,"fdd/view?i=",I4637)</f>
        <v>https://www.dgiwg.org/FAD/fdd/view?i=108247</v>
      </c>
      <c r="K4637" s="304" t="s">
        <v>38686</v>
      </c>
      <c r="L4637" s="188">
        <v>20</v>
      </c>
      <c r="M4637" s="179" t="s">
        <v>151</v>
      </c>
    </row>
    <row r="4638" spans="1:13" ht="25.5">
      <c r="A4638" s="313" t="str">
        <f t="shared" si="72"/>
        <v>MaritimeStationTypeCode_warningSignalStation</v>
      </c>
      <c r="B4638" s="330"/>
      <c r="C4638" s="334"/>
      <c r="D4638" s="188" t="s">
        <v>26106</v>
      </c>
      <c r="E4638" s="189" t="s">
        <v>26107</v>
      </c>
      <c r="F4638" s="162" t="s">
        <v>26108</v>
      </c>
      <c r="G4638" s="190"/>
      <c r="H4638" s="219"/>
      <c r="I4638" s="169">
        <v>108261</v>
      </c>
      <c r="J4638" s="304" t="str">
        <f>CONCATENATE([2]Cover!$D$6,"fdd/view?i=",I4638)</f>
        <v>https://www.dgiwg.org/FAD/fdd/view?i=108261</v>
      </c>
      <c r="K4638" s="304" t="s">
        <v>38687</v>
      </c>
      <c r="L4638" s="188">
        <v>35</v>
      </c>
      <c r="M4638" s="179" t="s">
        <v>151</v>
      </c>
    </row>
    <row r="4639" spans="1:13" ht="25.5">
      <c r="A4639" s="313" t="str">
        <f t="shared" si="72"/>
        <v>MaritimeStationTypeCode_waterPoliceStation</v>
      </c>
      <c r="B4639" s="330"/>
      <c r="C4639" s="334"/>
      <c r="D4639" s="188" t="s">
        <v>26109</v>
      </c>
      <c r="E4639" s="189" t="s">
        <v>26110</v>
      </c>
      <c r="F4639" s="162" t="s">
        <v>26111</v>
      </c>
      <c r="G4639" s="190"/>
      <c r="H4639" s="219"/>
      <c r="I4639" s="169">
        <v>108230</v>
      </c>
      <c r="J4639" s="304" t="str">
        <f>CONCATENATE([2]Cover!$D$6,"fdd/view?i=",I4639)</f>
        <v>https://www.dgiwg.org/FAD/fdd/view?i=108230</v>
      </c>
      <c r="K4639" s="304" t="s">
        <v>38688</v>
      </c>
      <c r="L4639" s="188">
        <v>3</v>
      </c>
      <c r="M4639" s="179" t="s">
        <v>151</v>
      </c>
    </row>
    <row r="4640" spans="1:13" ht="25.5">
      <c r="A4640" s="313" t="str">
        <f t="shared" si="72"/>
        <v>MaritimeStationTypeCode_weatherSignalStation</v>
      </c>
      <c r="B4640" s="331"/>
      <c r="C4640" s="335"/>
      <c r="D4640" s="181" t="s">
        <v>26112</v>
      </c>
      <c r="E4640" s="192" t="s">
        <v>26113</v>
      </c>
      <c r="F4640" s="193" t="s">
        <v>26114</v>
      </c>
      <c r="G4640" s="194"/>
      <c r="H4640" s="220"/>
      <c r="I4640" s="169">
        <v>108248</v>
      </c>
      <c r="J4640" s="304" t="str">
        <f>CONCATENATE([2]Cover!$D$6,"fdd/view?i=",I4640)</f>
        <v>https://www.dgiwg.org/FAD/fdd/view?i=108248</v>
      </c>
      <c r="K4640" s="304" t="s">
        <v>38689</v>
      </c>
      <c r="L4640" s="181">
        <v>21</v>
      </c>
      <c r="M4640" s="179" t="s">
        <v>151</v>
      </c>
    </row>
    <row r="4641" spans="1:13">
      <c r="A4641" s="313" t="str">
        <f t="shared" si="72"/>
        <v>TrafficSchemePartCode_boundary</v>
      </c>
      <c r="B4641" s="332" t="str">
        <f>HYPERLINK("[#]Datatypes!A848:L848","TrafficSchemePartCode")</f>
        <v>TrafficSchemePartCode</v>
      </c>
      <c r="C4641" s="333" t="s">
        <v>12433</v>
      </c>
      <c r="D4641" s="202" t="s">
        <v>26115</v>
      </c>
      <c r="E4641" s="203" t="s">
        <v>26116</v>
      </c>
      <c r="F4641" s="204" t="s">
        <v>26117</v>
      </c>
      <c r="G4641" s="205"/>
      <c r="H4641" s="218"/>
      <c r="I4641" s="169">
        <v>108752</v>
      </c>
      <c r="J4641" s="304" t="str">
        <f>CONCATENATE([2]Cover!$D$6,"fdd/view?i=",I4641)</f>
        <v>https://www.dgiwg.org/FAD/fdd/view?i=108752</v>
      </c>
      <c r="K4641" s="304" t="s">
        <v>38690</v>
      </c>
      <c r="L4641" s="202">
        <v>2</v>
      </c>
      <c r="M4641" s="179" t="s">
        <v>151</v>
      </c>
    </row>
    <row r="4642" spans="1:13">
      <c r="A4642" s="313" t="str">
        <f t="shared" si="72"/>
        <v>TrafficSchemePartCode_crossing</v>
      </c>
      <c r="B4642" s="330"/>
      <c r="C4642" s="334"/>
      <c r="D4642" s="188" t="s">
        <v>18018</v>
      </c>
      <c r="E4642" s="189" t="s">
        <v>1974</v>
      </c>
      <c r="F4642" s="162" t="s">
        <v>26118</v>
      </c>
      <c r="G4642" s="190"/>
      <c r="H4642" s="219"/>
      <c r="I4642" s="169">
        <v>111267</v>
      </c>
      <c r="J4642" s="304" t="str">
        <f>CONCATENATE([2]Cover!$D$6,"fdd/view?i=",I4642)</f>
        <v>https://www.dgiwg.org/FAD/fdd/view?i=111267</v>
      </c>
      <c r="K4642" s="304" t="s">
        <v>38691</v>
      </c>
      <c r="L4642" s="188">
        <v>10</v>
      </c>
      <c r="M4642" s="179" t="s">
        <v>151</v>
      </c>
    </row>
    <row r="4643" spans="1:13" ht="63.75">
      <c r="A4643" s="313" t="str">
        <f t="shared" si="72"/>
        <v>TrafficSchemePartCode_inboundLane</v>
      </c>
      <c r="B4643" s="330"/>
      <c r="C4643" s="334"/>
      <c r="D4643" s="188" t="s">
        <v>26119</v>
      </c>
      <c r="E4643" s="189" t="s">
        <v>26120</v>
      </c>
      <c r="F4643" s="162" t="s">
        <v>26121</v>
      </c>
      <c r="G4643" s="162" t="s">
        <v>26122</v>
      </c>
      <c r="H4643" s="219"/>
      <c r="I4643" s="169">
        <v>108756</v>
      </c>
      <c r="J4643" s="304" t="str">
        <f>CONCATENATE([2]Cover!$D$6,"fdd/view?i=",I4643)</f>
        <v>https://www.dgiwg.org/FAD/fdd/view?i=108756</v>
      </c>
      <c r="K4643" s="304" t="s">
        <v>38692</v>
      </c>
      <c r="L4643" s="188">
        <v>6</v>
      </c>
      <c r="M4643" s="179" t="s">
        <v>151</v>
      </c>
    </row>
    <row r="4644" spans="1:13" ht="51">
      <c r="A4644" s="313" t="str">
        <f t="shared" si="72"/>
        <v>TrafficSchemePartCode_inshoreTrafficZone</v>
      </c>
      <c r="B4644" s="330"/>
      <c r="C4644" s="334"/>
      <c r="D4644" s="188" t="s">
        <v>26123</v>
      </c>
      <c r="E4644" s="189" t="s">
        <v>26124</v>
      </c>
      <c r="F4644" s="162" t="s">
        <v>26125</v>
      </c>
      <c r="G4644" s="190"/>
      <c r="H4644" s="219"/>
      <c r="I4644" s="169">
        <v>111160</v>
      </c>
      <c r="J4644" s="304" t="str">
        <f>CONCATENATE([2]Cover!$D$6,"fdd/view?i=",I4644)</f>
        <v>https://www.dgiwg.org/FAD/fdd/view?i=111160</v>
      </c>
      <c r="K4644" s="304" t="s">
        <v>38693</v>
      </c>
      <c r="L4644" s="188">
        <v>12</v>
      </c>
      <c r="M4644" s="179" t="s">
        <v>151</v>
      </c>
    </row>
    <row r="4645" spans="1:13" ht="25.5">
      <c r="A4645" s="313" t="str">
        <f t="shared" si="72"/>
        <v>TrafficSchemePartCode_lanePart</v>
      </c>
      <c r="B4645" s="330"/>
      <c r="C4645" s="334"/>
      <c r="D4645" s="188" t="s">
        <v>26126</v>
      </c>
      <c r="E4645" s="189" t="s">
        <v>26127</v>
      </c>
      <c r="F4645" s="162" t="s">
        <v>26128</v>
      </c>
      <c r="G4645" s="190"/>
      <c r="H4645" s="219"/>
      <c r="I4645" s="169">
        <v>111265</v>
      </c>
      <c r="J4645" s="304" t="str">
        <f>CONCATENATE([2]Cover!$D$6,"fdd/view?i=",I4645)</f>
        <v>https://www.dgiwg.org/FAD/fdd/view?i=111265</v>
      </c>
      <c r="K4645" s="304" t="s">
        <v>38694</v>
      </c>
      <c r="L4645" s="188">
        <v>8</v>
      </c>
      <c r="M4645" s="179" t="s">
        <v>151</v>
      </c>
    </row>
    <row r="4646" spans="1:13" ht="38.25">
      <c r="A4646" s="313" t="str">
        <f t="shared" si="72"/>
        <v>TrafficSchemePartCode_line</v>
      </c>
      <c r="B4646" s="330"/>
      <c r="C4646" s="334"/>
      <c r="D4646" s="188" t="s">
        <v>26129</v>
      </c>
      <c r="E4646" s="189" t="s">
        <v>26130</v>
      </c>
      <c r="F4646" s="162" t="s">
        <v>26131</v>
      </c>
      <c r="G4646" s="190"/>
      <c r="H4646" s="219"/>
      <c r="I4646" s="169">
        <v>108754</v>
      </c>
      <c r="J4646" s="304" t="str">
        <f>CONCATENATE([2]Cover!$D$6,"fdd/view?i=",I4646)</f>
        <v>https://www.dgiwg.org/FAD/fdd/view?i=108754</v>
      </c>
      <c r="K4646" s="304" t="s">
        <v>38695</v>
      </c>
      <c r="L4646" s="188">
        <v>4</v>
      </c>
      <c r="M4646" s="179" t="s">
        <v>151</v>
      </c>
    </row>
    <row r="4647" spans="1:13" ht="63.75">
      <c r="A4647" s="313" t="str">
        <f t="shared" si="72"/>
        <v>TrafficSchemePartCode_outboundLane</v>
      </c>
      <c r="B4647" s="330"/>
      <c r="C4647" s="334"/>
      <c r="D4647" s="188" t="s">
        <v>26132</v>
      </c>
      <c r="E4647" s="189" t="s">
        <v>26133</v>
      </c>
      <c r="F4647" s="162" t="s">
        <v>26134</v>
      </c>
      <c r="G4647" s="162" t="s">
        <v>26135</v>
      </c>
      <c r="H4647" s="219"/>
      <c r="I4647" s="169">
        <v>108757</v>
      </c>
      <c r="J4647" s="304" t="str">
        <f>CONCATENATE([2]Cover!$D$6,"fdd/view?i=",I4647)</f>
        <v>https://www.dgiwg.org/FAD/fdd/view?i=108757</v>
      </c>
      <c r="K4647" s="304" t="s">
        <v>38696</v>
      </c>
      <c r="L4647" s="188">
        <v>7</v>
      </c>
      <c r="M4647" s="179" t="s">
        <v>151</v>
      </c>
    </row>
    <row r="4648" spans="1:13" ht="25.5">
      <c r="A4648" s="313" t="str">
        <f t="shared" si="72"/>
        <v>TrafficSchemePartCode_point</v>
      </c>
      <c r="B4648" s="330"/>
      <c r="C4648" s="334"/>
      <c r="D4648" s="188" t="s">
        <v>24641</v>
      </c>
      <c r="E4648" s="189" t="s">
        <v>12627</v>
      </c>
      <c r="F4648" s="162" t="s">
        <v>26136</v>
      </c>
      <c r="G4648" s="190"/>
      <c r="H4648" s="219"/>
      <c r="I4648" s="169">
        <v>108755</v>
      </c>
      <c r="J4648" s="304" t="str">
        <f>CONCATENATE([2]Cover!$D$6,"fdd/view?i=",I4648)</f>
        <v>https://www.dgiwg.org/FAD/fdd/view?i=108755</v>
      </c>
      <c r="K4648" s="304" t="s">
        <v>38697</v>
      </c>
      <c r="L4648" s="188">
        <v>5</v>
      </c>
      <c r="M4648" s="179" t="s">
        <v>151</v>
      </c>
    </row>
    <row r="4649" spans="1:13" ht="38.25">
      <c r="A4649" s="313" t="str">
        <f t="shared" si="72"/>
        <v>TrafficSchemePartCode_precautionaryArea</v>
      </c>
      <c r="B4649" s="330"/>
      <c r="C4649" s="334"/>
      <c r="D4649" s="188" t="s">
        <v>26137</v>
      </c>
      <c r="E4649" s="189" t="s">
        <v>26138</v>
      </c>
      <c r="F4649" s="162" t="s">
        <v>26139</v>
      </c>
      <c r="G4649" s="162" t="s">
        <v>26140</v>
      </c>
      <c r="H4649" s="219"/>
      <c r="I4649" s="169">
        <v>111268</v>
      </c>
      <c r="J4649" s="304" t="str">
        <f>CONCATENATE([2]Cover!$D$6,"fdd/view?i=",I4649)</f>
        <v>https://www.dgiwg.org/FAD/fdd/view?i=111268</v>
      </c>
      <c r="K4649" s="304" t="s">
        <v>38698</v>
      </c>
      <c r="L4649" s="188">
        <v>11</v>
      </c>
      <c r="M4649" s="179" t="s">
        <v>151</v>
      </c>
    </row>
    <row r="4650" spans="1:13" ht="25.5">
      <c r="A4650" s="313" t="str">
        <f t="shared" si="72"/>
        <v>TrafficSchemePartCode_roundabout</v>
      </c>
      <c r="B4650" s="330"/>
      <c r="C4650" s="334"/>
      <c r="D4650" s="188" t="s">
        <v>26141</v>
      </c>
      <c r="E4650" s="189" t="s">
        <v>26142</v>
      </c>
      <c r="F4650" s="162" t="s">
        <v>26143</v>
      </c>
      <c r="G4650" s="190"/>
      <c r="H4650" s="219"/>
      <c r="I4650" s="169">
        <v>111266</v>
      </c>
      <c r="J4650" s="304" t="str">
        <f>CONCATENATE([2]Cover!$D$6,"fdd/view?i=",I4650)</f>
        <v>https://www.dgiwg.org/FAD/fdd/view?i=111266</v>
      </c>
      <c r="K4650" s="304" t="s">
        <v>38699</v>
      </c>
      <c r="L4650" s="188">
        <v>9</v>
      </c>
      <c r="M4650" s="179" t="s">
        <v>151</v>
      </c>
    </row>
    <row r="4651" spans="1:13" ht="38.25">
      <c r="A4651" s="313" t="str">
        <f t="shared" si="72"/>
        <v>TrafficSchemePartCode_separationZone</v>
      </c>
      <c r="B4651" s="331"/>
      <c r="C4651" s="335"/>
      <c r="D4651" s="181" t="s">
        <v>26144</v>
      </c>
      <c r="E4651" s="192" t="s">
        <v>26145</v>
      </c>
      <c r="F4651" s="193" t="s">
        <v>26146</v>
      </c>
      <c r="G4651" s="194"/>
      <c r="H4651" s="220"/>
      <c r="I4651" s="169">
        <v>108753</v>
      </c>
      <c r="J4651" s="304" t="str">
        <f>CONCATENATE([2]Cover!$D$6,"fdd/view?i=",I4651)</f>
        <v>https://www.dgiwg.org/FAD/fdd/view?i=108753</v>
      </c>
      <c r="K4651" s="304" t="s">
        <v>38700</v>
      </c>
      <c r="L4651" s="181">
        <v>3</v>
      </c>
      <c r="M4651" s="179" t="s">
        <v>151</v>
      </c>
    </row>
    <row r="4652" spans="1:13" ht="191.25">
      <c r="A4652" s="313" t="str">
        <f t="shared" si="72"/>
        <v>MarkerRadioBeaconClassCode_boneShapedFanMarker</v>
      </c>
      <c r="B4652" s="332" t="str">
        <f>HYPERLINK("[#]Datatypes!A850:L850","MarkerRadioBeaconClassCode")</f>
        <v>MarkerRadioBeaconClassCode</v>
      </c>
      <c r="C4652" s="333" t="s">
        <v>12435</v>
      </c>
      <c r="D4652" s="202" t="s">
        <v>26147</v>
      </c>
      <c r="E4652" s="203" t="s">
        <v>26148</v>
      </c>
      <c r="F4652" s="204" t="s">
        <v>26149</v>
      </c>
      <c r="G4652" s="204" t="s">
        <v>26150</v>
      </c>
      <c r="H4652" s="218"/>
      <c r="I4652" s="169">
        <v>119639</v>
      </c>
      <c r="J4652" s="304" t="str">
        <f>CONCATENATE([2]Cover!$D$6,"fdd/view?i=",I4652)</f>
        <v>https://www.dgiwg.org/FAD/fdd/view?i=119639</v>
      </c>
      <c r="K4652" s="304" t="s">
        <v>38701</v>
      </c>
      <c r="L4652" s="202">
        <v>4</v>
      </c>
      <c r="M4652" s="179" t="s">
        <v>151</v>
      </c>
    </row>
    <row r="4653" spans="1:13" ht="25.5">
      <c r="A4653" s="313" t="str">
        <f t="shared" si="72"/>
        <v>MarkerRadioBeaconClassCode_fanMarker</v>
      </c>
      <c r="B4653" s="330"/>
      <c r="C4653" s="334"/>
      <c r="D4653" s="188" t="s">
        <v>26151</v>
      </c>
      <c r="E4653" s="189" t="s">
        <v>26152</v>
      </c>
      <c r="F4653" s="162" t="s">
        <v>26153</v>
      </c>
      <c r="G4653" s="190"/>
      <c r="H4653" s="219"/>
      <c r="I4653" s="169">
        <v>115128</v>
      </c>
      <c r="J4653" s="304" t="str">
        <f>CONCATENATE([2]Cover!$D$6,"fdd/view?i=",I4653)</f>
        <v>https://www.dgiwg.org/FAD/fdd/view?i=115128</v>
      </c>
      <c r="K4653" s="304" t="s">
        <v>38702</v>
      </c>
      <c r="L4653" s="188">
        <v>1</v>
      </c>
      <c r="M4653" s="179" t="s">
        <v>151</v>
      </c>
    </row>
    <row r="4654" spans="1:13" ht="38.25">
      <c r="A4654" s="313" t="str">
        <f t="shared" si="72"/>
        <v>MarkerRadioBeaconClassCode_lowPoweredFanMarker</v>
      </c>
      <c r="B4654" s="330"/>
      <c r="C4654" s="334"/>
      <c r="D4654" s="188" t="s">
        <v>26154</v>
      </c>
      <c r="E4654" s="189" t="s">
        <v>26155</v>
      </c>
      <c r="F4654" s="162" t="s">
        <v>26156</v>
      </c>
      <c r="G4654" s="162" t="s">
        <v>26157</v>
      </c>
      <c r="H4654" s="219"/>
      <c r="I4654" s="169">
        <v>115129</v>
      </c>
      <c r="J4654" s="304" t="str">
        <f>CONCATENATE([2]Cover!$D$6,"fdd/view?i=",I4654)</f>
        <v>https://www.dgiwg.org/FAD/fdd/view?i=115129</v>
      </c>
      <c r="K4654" s="304" t="s">
        <v>38703</v>
      </c>
      <c r="L4654" s="188">
        <v>2</v>
      </c>
      <c r="M4654" s="179" t="s">
        <v>151</v>
      </c>
    </row>
    <row r="4655" spans="1:13" ht="25.5">
      <c r="A4655" s="313" t="str">
        <f t="shared" si="72"/>
        <v>MarkerRadioBeaconClassCode_zMarker</v>
      </c>
      <c r="B4655" s="331"/>
      <c r="C4655" s="335"/>
      <c r="D4655" s="181" t="s">
        <v>26158</v>
      </c>
      <c r="E4655" s="192" t="s">
        <v>26159</v>
      </c>
      <c r="F4655" s="193" t="s">
        <v>26160</v>
      </c>
      <c r="G4655" s="194"/>
      <c r="H4655" s="220"/>
      <c r="I4655" s="169">
        <v>115130</v>
      </c>
      <c r="J4655" s="304" t="str">
        <f>CONCATENATE([2]Cover!$D$6,"fdd/view?i=",I4655)</f>
        <v>https://www.dgiwg.org/FAD/fdd/view?i=115130</v>
      </c>
      <c r="K4655" s="304" t="s">
        <v>38704</v>
      </c>
      <c r="L4655" s="181">
        <v>3</v>
      </c>
      <c r="M4655" s="179" t="s">
        <v>151</v>
      </c>
    </row>
    <row r="4656" spans="1:13" ht="63.75">
      <c r="A4656" s="313" t="str">
        <f t="shared" si="72"/>
        <v>MarkerRadioBeaconTypeCode_backcourse</v>
      </c>
      <c r="B4656" s="332" t="str">
        <f>HYPERLINK("[#]Datatypes!A852:L852","MarkerRadioBeaconTypeCode")</f>
        <v>MarkerRadioBeaconTypeCode</v>
      </c>
      <c r="C4656" s="333" t="s">
        <v>12437</v>
      </c>
      <c r="D4656" s="202" t="s">
        <v>26161</v>
      </c>
      <c r="E4656" s="203" t="s">
        <v>26162</v>
      </c>
      <c r="F4656" s="204" t="s">
        <v>26163</v>
      </c>
      <c r="G4656" s="204" t="s">
        <v>26164</v>
      </c>
      <c r="H4656" s="218"/>
      <c r="I4656" s="169">
        <v>115337</v>
      </c>
      <c r="J4656" s="304" t="str">
        <f>CONCATENATE([2]Cover!$D$6,"fdd/view?i=",I4656)</f>
        <v>https://www.dgiwg.org/FAD/fdd/view?i=115337</v>
      </c>
      <c r="K4656" s="304" t="s">
        <v>38705</v>
      </c>
      <c r="L4656" s="202">
        <v>1</v>
      </c>
      <c r="M4656" s="179" t="s">
        <v>151</v>
      </c>
    </row>
    <row r="4657" spans="1:13" ht="102">
      <c r="A4657" s="313" t="str">
        <f t="shared" si="72"/>
        <v>MarkerRadioBeaconTypeCode_inner</v>
      </c>
      <c r="B4657" s="330"/>
      <c r="C4657" s="334"/>
      <c r="D4657" s="188" t="s">
        <v>26165</v>
      </c>
      <c r="E4657" s="189" t="s">
        <v>26166</v>
      </c>
      <c r="F4657" s="162" t="s">
        <v>26167</v>
      </c>
      <c r="G4657" s="162" t="s">
        <v>26168</v>
      </c>
      <c r="H4657" s="219"/>
      <c r="I4657" s="169">
        <v>115338</v>
      </c>
      <c r="J4657" s="304" t="str">
        <f>CONCATENATE([2]Cover!$D$6,"fdd/view?i=",I4657)</f>
        <v>https://www.dgiwg.org/FAD/fdd/view?i=115338</v>
      </c>
      <c r="K4657" s="304" t="s">
        <v>38706</v>
      </c>
      <c r="L4657" s="188">
        <v>2</v>
      </c>
      <c r="M4657" s="179" t="s">
        <v>151</v>
      </c>
    </row>
    <row r="4658" spans="1:13" ht="140.25">
      <c r="A4658" s="313" t="str">
        <f t="shared" si="72"/>
        <v>MarkerRadioBeaconTypeCode_middle</v>
      </c>
      <c r="B4658" s="330"/>
      <c r="C4658" s="334"/>
      <c r="D4658" s="188" t="s">
        <v>26169</v>
      </c>
      <c r="E4658" s="189" t="s">
        <v>26170</v>
      </c>
      <c r="F4658" s="162" t="s">
        <v>26171</v>
      </c>
      <c r="G4658" s="162" t="s">
        <v>26172</v>
      </c>
      <c r="H4658" s="219"/>
      <c r="I4658" s="169">
        <v>115339</v>
      </c>
      <c r="J4658" s="304" t="str">
        <f>CONCATENATE([2]Cover!$D$6,"fdd/view?i=",I4658)</f>
        <v>https://www.dgiwg.org/FAD/fdd/view?i=115339</v>
      </c>
      <c r="K4658" s="304" t="s">
        <v>38707</v>
      </c>
      <c r="L4658" s="188">
        <v>3</v>
      </c>
      <c r="M4658" s="179" t="s">
        <v>151</v>
      </c>
    </row>
    <row r="4659" spans="1:13" ht="89.25">
      <c r="A4659" s="313" t="str">
        <f t="shared" si="72"/>
        <v>MarkerRadioBeaconTypeCode_outer</v>
      </c>
      <c r="B4659" s="331"/>
      <c r="C4659" s="335"/>
      <c r="D4659" s="181" t="s">
        <v>26173</v>
      </c>
      <c r="E4659" s="192" t="s">
        <v>26174</v>
      </c>
      <c r="F4659" s="193" t="s">
        <v>26175</v>
      </c>
      <c r="G4659" s="193" t="s">
        <v>26176</v>
      </c>
      <c r="H4659" s="220"/>
      <c r="I4659" s="169">
        <v>115340</v>
      </c>
      <c r="J4659" s="304" t="str">
        <f>CONCATENATE([2]Cover!$D$6,"fdd/view?i=",I4659)</f>
        <v>https://www.dgiwg.org/FAD/fdd/view?i=115340</v>
      </c>
      <c r="K4659" s="304" t="s">
        <v>38708</v>
      </c>
      <c r="L4659" s="181">
        <v>4</v>
      </c>
      <c r="M4659" s="179" t="s">
        <v>151</v>
      </c>
    </row>
    <row r="4660" spans="1:13" ht="38.25">
      <c r="A4660" s="313" t="str">
        <f t="shared" si="72"/>
        <v>MedicalFacilityTypeCode_chemicalDependency</v>
      </c>
      <c r="B4660" s="332" t="str">
        <f>HYPERLINK("[#]Datatypes!A854:L854","MedicalFacilityTypeCode")</f>
        <v>MedicalFacilityTypeCode</v>
      </c>
      <c r="C4660" s="333" t="s">
        <v>12439</v>
      </c>
      <c r="D4660" s="202" t="s">
        <v>26177</v>
      </c>
      <c r="E4660" s="203" t="s">
        <v>26178</v>
      </c>
      <c r="F4660" s="204" t="s">
        <v>26179</v>
      </c>
      <c r="G4660" s="205"/>
      <c r="H4660" s="218"/>
      <c r="I4660" s="169">
        <v>204668</v>
      </c>
      <c r="J4660" s="304" t="str">
        <f>CONCATENATE([2]Cover!$D$6,"fdd/view?i=",I4660)</f>
        <v>https://www.dgiwg.org/FAD/fdd/view?i=204668</v>
      </c>
      <c r="K4660" s="304" t="s">
        <v>38709</v>
      </c>
      <c r="L4660" s="202">
        <v>3</v>
      </c>
      <c r="M4660" s="179" t="s">
        <v>1295</v>
      </c>
    </row>
    <row r="4661" spans="1:13" ht="25.5">
      <c r="A4661" s="313" t="str">
        <f t="shared" si="72"/>
        <v>MedicalFacilityTypeCode_chronicDisease</v>
      </c>
      <c r="B4661" s="330"/>
      <c r="C4661" s="334"/>
      <c r="D4661" s="188" t="s">
        <v>26180</v>
      </c>
      <c r="E4661" s="189" t="s">
        <v>26181</v>
      </c>
      <c r="F4661" s="162" t="s">
        <v>26182</v>
      </c>
      <c r="G4661" s="162" t="s">
        <v>26183</v>
      </c>
      <c r="H4661" s="219"/>
      <c r="I4661" s="169">
        <v>204669</v>
      </c>
      <c r="J4661" s="304" t="str">
        <f>CONCATENATE([2]Cover!$D$6,"fdd/view?i=",I4661)</f>
        <v>https://www.dgiwg.org/FAD/fdd/view?i=204669</v>
      </c>
      <c r="K4661" s="304" t="s">
        <v>38710</v>
      </c>
      <c r="L4661" s="188">
        <v>4</v>
      </c>
      <c r="M4661" s="179" t="s">
        <v>1295</v>
      </c>
    </row>
    <row r="4662" spans="1:13" ht="38.25">
      <c r="A4662" s="313" t="str">
        <f t="shared" si="72"/>
        <v>MedicalFacilityTypeCode_eyeEarNoseThroat</v>
      </c>
      <c r="B4662" s="330"/>
      <c r="C4662" s="334"/>
      <c r="D4662" s="188" t="s">
        <v>26184</v>
      </c>
      <c r="E4662" s="189" t="s">
        <v>26185</v>
      </c>
      <c r="F4662" s="162" t="s">
        <v>26186</v>
      </c>
      <c r="G4662" s="190"/>
      <c r="H4662" s="219"/>
      <c r="I4662" s="169">
        <v>204670</v>
      </c>
      <c r="J4662" s="304" t="str">
        <f>CONCATENATE([2]Cover!$D$6,"fdd/view?i=",I4662)</f>
        <v>https://www.dgiwg.org/FAD/fdd/view?i=204670</v>
      </c>
      <c r="K4662" s="304" t="s">
        <v>38711</v>
      </c>
      <c r="L4662" s="188">
        <v>5</v>
      </c>
      <c r="M4662" s="179" t="s">
        <v>1295</v>
      </c>
    </row>
    <row r="4663" spans="1:13" ht="38.25">
      <c r="A4663" s="313" t="str">
        <f t="shared" si="72"/>
        <v>MedicalFacilityTypeCode_generalMedicalSurgical</v>
      </c>
      <c r="B4663" s="330"/>
      <c r="C4663" s="334"/>
      <c r="D4663" s="188" t="s">
        <v>26187</v>
      </c>
      <c r="E4663" s="189" t="s">
        <v>26188</v>
      </c>
      <c r="F4663" s="162" t="s">
        <v>26189</v>
      </c>
      <c r="G4663" s="190"/>
      <c r="H4663" s="219"/>
      <c r="I4663" s="169">
        <v>204666</v>
      </c>
      <c r="J4663" s="304" t="str">
        <f>CONCATENATE([2]Cover!$D$6,"fdd/view?i=",I4663)</f>
        <v>https://www.dgiwg.org/FAD/fdd/view?i=204666</v>
      </c>
      <c r="K4663" s="304" t="s">
        <v>38712</v>
      </c>
      <c r="L4663" s="188">
        <v>1</v>
      </c>
      <c r="M4663" s="179" t="s">
        <v>1295</v>
      </c>
    </row>
    <row r="4664" spans="1:13" ht="25.5">
      <c r="A4664" s="313" t="str">
        <f t="shared" si="72"/>
        <v>MedicalFacilityTypeCode_intellectDisablementCare</v>
      </c>
      <c r="B4664" s="330"/>
      <c r="C4664" s="334"/>
      <c r="D4664" s="188" t="s">
        <v>26190</v>
      </c>
      <c r="E4664" s="189" t="s">
        <v>26191</v>
      </c>
      <c r="F4664" s="162" t="s">
        <v>26192</v>
      </c>
      <c r="G4664" s="190"/>
      <c r="H4664" s="219"/>
      <c r="I4664" s="169">
        <v>204671</v>
      </c>
      <c r="J4664" s="304" t="str">
        <f>CONCATENATE([2]Cover!$D$6,"fdd/view?i=",I4664)</f>
        <v>https://www.dgiwg.org/FAD/fdd/view?i=204671</v>
      </c>
      <c r="K4664" s="304" t="s">
        <v>38713</v>
      </c>
      <c r="L4664" s="188">
        <v>6</v>
      </c>
      <c r="M4664" s="179" t="s">
        <v>1295</v>
      </c>
    </row>
    <row r="4665" spans="1:13" ht="63.75">
      <c r="A4665" s="313" t="str">
        <f t="shared" si="72"/>
        <v>MedicalFacilityTypeCode_longTermAcuteCare</v>
      </c>
      <c r="B4665" s="330"/>
      <c r="C4665" s="334"/>
      <c r="D4665" s="188" t="s">
        <v>26193</v>
      </c>
      <c r="E4665" s="189" t="s">
        <v>26194</v>
      </c>
      <c r="F4665" s="162" t="s">
        <v>26195</v>
      </c>
      <c r="G4665" s="190"/>
      <c r="H4665" s="219"/>
      <c r="I4665" s="169">
        <v>204667</v>
      </c>
      <c r="J4665" s="304" t="str">
        <f>CONCATENATE([2]Cover!$D$6,"fdd/view?i=",I4665)</f>
        <v>https://www.dgiwg.org/FAD/fdd/view?i=204667</v>
      </c>
      <c r="K4665" s="304" t="s">
        <v>38714</v>
      </c>
      <c r="L4665" s="188">
        <v>2</v>
      </c>
      <c r="M4665" s="179" t="s">
        <v>1295</v>
      </c>
    </row>
    <row r="4666" spans="1:13" ht="89.25">
      <c r="A4666" s="313" t="str">
        <f t="shared" si="72"/>
        <v>MedicalFacilityTypeCode_obstetricsGynecology</v>
      </c>
      <c r="B4666" s="330"/>
      <c r="C4666" s="334"/>
      <c r="D4666" s="188" t="s">
        <v>26196</v>
      </c>
      <c r="E4666" s="189" t="s">
        <v>26197</v>
      </c>
      <c r="F4666" s="162" t="s">
        <v>26198</v>
      </c>
      <c r="G4666" s="162" t="s">
        <v>26199</v>
      </c>
      <c r="H4666" s="219"/>
      <c r="I4666" s="169">
        <v>204672</v>
      </c>
      <c r="J4666" s="304" t="str">
        <f>CONCATENATE([2]Cover!$D$6,"fdd/view?i=",I4666)</f>
        <v>https://www.dgiwg.org/FAD/fdd/view?i=204672</v>
      </c>
      <c r="K4666" s="304" t="s">
        <v>38715</v>
      </c>
      <c r="L4666" s="188">
        <v>7</v>
      </c>
      <c r="M4666" s="179" t="s">
        <v>1295</v>
      </c>
    </row>
    <row r="4667" spans="1:13" ht="51">
      <c r="A4667" s="313" t="str">
        <f t="shared" si="72"/>
        <v>MedicalFacilityTypeCode_orthopedics</v>
      </c>
      <c r="B4667" s="330"/>
      <c r="C4667" s="334"/>
      <c r="D4667" s="188" t="s">
        <v>26200</v>
      </c>
      <c r="E4667" s="189" t="s">
        <v>26201</v>
      </c>
      <c r="F4667" s="162" t="s">
        <v>26202</v>
      </c>
      <c r="G4667" s="162" t="s">
        <v>26203</v>
      </c>
      <c r="H4667" s="219"/>
      <c r="I4667" s="169">
        <v>204673</v>
      </c>
      <c r="J4667" s="304" t="str">
        <f>CONCATENATE([2]Cover!$D$6,"fdd/view?i=",I4667)</f>
        <v>https://www.dgiwg.org/FAD/fdd/view?i=204673</v>
      </c>
      <c r="K4667" s="304" t="s">
        <v>38716</v>
      </c>
      <c r="L4667" s="188">
        <v>8</v>
      </c>
      <c r="M4667" s="179" t="s">
        <v>1295</v>
      </c>
    </row>
    <row r="4668" spans="1:13" ht="25.5">
      <c r="A4668" s="313" t="str">
        <f t="shared" si="72"/>
        <v>MedicalFacilityTypeCode_pedChronicDisease</v>
      </c>
      <c r="B4668" s="330"/>
      <c r="C4668" s="334"/>
      <c r="D4668" s="188" t="s">
        <v>26204</v>
      </c>
      <c r="E4668" s="189" t="s">
        <v>26205</v>
      </c>
      <c r="F4668" s="162" t="s">
        <v>26206</v>
      </c>
      <c r="G4668" s="162" t="s">
        <v>26183</v>
      </c>
      <c r="H4668" s="219"/>
      <c r="I4668" s="169">
        <v>204681</v>
      </c>
      <c r="J4668" s="304" t="str">
        <f>CONCATENATE([2]Cover!$D$6,"fdd/view?i=",I4668)</f>
        <v>https://www.dgiwg.org/FAD/fdd/view?i=204681</v>
      </c>
      <c r="K4668" s="304" t="s">
        <v>38717</v>
      </c>
      <c r="L4668" s="188">
        <v>16</v>
      </c>
      <c r="M4668" s="179" t="s">
        <v>1295</v>
      </c>
    </row>
    <row r="4669" spans="1:13" ht="51">
      <c r="A4669" s="313" t="str">
        <f t="shared" si="72"/>
        <v>MedicalFacilityTypeCode_pedEyeEarNoseThroat</v>
      </c>
      <c r="B4669" s="330"/>
      <c r="C4669" s="334"/>
      <c r="D4669" s="188" t="s">
        <v>26207</v>
      </c>
      <c r="E4669" s="189" t="s">
        <v>26208</v>
      </c>
      <c r="F4669" s="162" t="s">
        <v>26209</v>
      </c>
      <c r="G4669" s="190"/>
      <c r="H4669" s="219"/>
      <c r="I4669" s="169">
        <v>204682</v>
      </c>
      <c r="J4669" s="304" t="str">
        <f>CONCATENATE([2]Cover!$D$6,"fdd/view?i=",I4669)</f>
        <v>https://www.dgiwg.org/FAD/fdd/view?i=204682</v>
      </c>
      <c r="K4669" s="304" t="s">
        <v>38718</v>
      </c>
      <c r="L4669" s="188">
        <v>17</v>
      </c>
      <c r="M4669" s="179" t="s">
        <v>1295</v>
      </c>
    </row>
    <row r="4670" spans="1:13" ht="102">
      <c r="A4670" s="313" t="str">
        <f t="shared" si="72"/>
        <v>MedicalFacilityTypeCode_pedMedicalSurgical</v>
      </c>
      <c r="B4670" s="330"/>
      <c r="C4670" s="334"/>
      <c r="D4670" s="188" t="s">
        <v>26210</v>
      </c>
      <c r="E4670" s="189" t="s">
        <v>26211</v>
      </c>
      <c r="F4670" s="162" t="s">
        <v>26212</v>
      </c>
      <c r="G4670" s="162" t="s">
        <v>26213</v>
      </c>
      <c r="H4670" s="219"/>
      <c r="I4670" s="169">
        <v>204680</v>
      </c>
      <c r="J4670" s="304" t="str">
        <f>CONCATENATE([2]Cover!$D$6,"fdd/view?i=",I4670)</f>
        <v>https://www.dgiwg.org/FAD/fdd/view?i=204680</v>
      </c>
      <c r="K4670" s="304" t="s">
        <v>38719</v>
      </c>
      <c r="L4670" s="188">
        <v>15</v>
      </c>
      <c r="M4670" s="179" t="s">
        <v>1295</v>
      </c>
    </row>
    <row r="4671" spans="1:13" ht="51">
      <c r="A4671" s="313" t="str">
        <f t="shared" si="72"/>
        <v>MedicalFacilityTypeCode_pedOrthopedic</v>
      </c>
      <c r="B4671" s="330"/>
      <c r="C4671" s="334"/>
      <c r="D4671" s="188" t="s">
        <v>26214</v>
      </c>
      <c r="E4671" s="189" t="s">
        <v>26215</v>
      </c>
      <c r="F4671" s="162" t="s">
        <v>26216</v>
      </c>
      <c r="G4671" s="162" t="s">
        <v>26203</v>
      </c>
      <c r="H4671" s="219"/>
      <c r="I4671" s="169">
        <v>204683</v>
      </c>
      <c r="J4671" s="304" t="str">
        <f>CONCATENATE([2]Cover!$D$6,"fdd/view?i=",I4671)</f>
        <v>https://www.dgiwg.org/FAD/fdd/view?i=204683</v>
      </c>
      <c r="K4671" s="304" t="s">
        <v>38720</v>
      </c>
      <c r="L4671" s="188">
        <v>18</v>
      </c>
      <c r="M4671" s="179" t="s">
        <v>1295</v>
      </c>
    </row>
    <row r="4672" spans="1:13" ht="51">
      <c r="A4672" s="313" t="str">
        <f t="shared" si="72"/>
        <v>MedicalFacilityTypeCode_pedPsychiatric</v>
      </c>
      <c r="B4672" s="330"/>
      <c r="C4672" s="334"/>
      <c r="D4672" s="188" t="s">
        <v>26217</v>
      </c>
      <c r="E4672" s="189" t="s">
        <v>26218</v>
      </c>
      <c r="F4672" s="162" t="s">
        <v>26219</v>
      </c>
      <c r="G4672" s="162" t="s">
        <v>26220</v>
      </c>
      <c r="H4672" s="219"/>
      <c r="I4672" s="169">
        <v>204684</v>
      </c>
      <c r="J4672" s="304" t="str">
        <f>CONCATENATE([2]Cover!$D$6,"fdd/view?i=",I4672)</f>
        <v>https://www.dgiwg.org/FAD/fdd/view?i=204684</v>
      </c>
      <c r="K4672" s="304" t="s">
        <v>38721</v>
      </c>
      <c r="L4672" s="188">
        <v>19</v>
      </c>
      <c r="M4672" s="179" t="s">
        <v>1295</v>
      </c>
    </row>
    <row r="4673" spans="1:13" ht="38.25">
      <c r="A4673" s="313" t="str">
        <f t="shared" si="72"/>
        <v>MedicalFacilityTypeCode_pedRehabilitation</v>
      </c>
      <c r="B4673" s="330"/>
      <c r="C4673" s="334"/>
      <c r="D4673" s="188" t="s">
        <v>26221</v>
      </c>
      <c r="E4673" s="189" t="s">
        <v>26222</v>
      </c>
      <c r="F4673" s="162" t="s">
        <v>26223</v>
      </c>
      <c r="G4673" s="190"/>
      <c r="H4673" s="219"/>
      <c r="I4673" s="169">
        <v>204685</v>
      </c>
      <c r="J4673" s="304" t="str">
        <f>CONCATENATE([2]Cover!$D$6,"fdd/view?i=",I4673)</f>
        <v>https://www.dgiwg.org/FAD/fdd/view?i=204685</v>
      </c>
      <c r="K4673" s="304" t="s">
        <v>38722</v>
      </c>
      <c r="L4673" s="188">
        <v>20</v>
      </c>
      <c r="M4673" s="179" t="s">
        <v>1295</v>
      </c>
    </row>
    <row r="4674" spans="1:13" ht="51">
      <c r="A4674" s="313" t="str">
        <f t="shared" si="72"/>
        <v>MedicalFacilityTypeCode_pedRespiratoryDisease</v>
      </c>
      <c r="B4674" s="330"/>
      <c r="C4674" s="334"/>
      <c r="D4674" s="188" t="s">
        <v>26224</v>
      </c>
      <c r="E4674" s="189" t="s">
        <v>26225</v>
      </c>
      <c r="F4674" s="162" t="s">
        <v>26226</v>
      </c>
      <c r="G4674" s="190"/>
      <c r="H4674" s="219"/>
      <c r="I4674" s="169">
        <v>204686</v>
      </c>
      <c r="J4674" s="304" t="str">
        <f>CONCATENATE([2]Cover!$D$6,"fdd/view?i=",I4674)</f>
        <v>https://www.dgiwg.org/FAD/fdd/view?i=204686</v>
      </c>
      <c r="K4674" s="304" t="s">
        <v>38723</v>
      </c>
      <c r="L4674" s="188">
        <v>21</v>
      </c>
      <c r="M4674" s="179" t="s">
        <v>1295</v>
      </c>
    </row>
    <row r="4675" spans="1:13" ht="51">
      <c r="A4675" s="313" t="str">
        <f t="shared" ref="A4675:A4738" si="73">HYPERLINK(J4675,K4675)</f>
        <v>MedicalFacilityTypeCode_pedSpecialtyCare</v>
      </c>
      <c r="B4675" s="330"/>
      <c r="C4675" s="334"/>
      <c r="D4675" s="188" t="s">
        <v>26227</v>
      </c>
      <c r="E4675" s="189" t="s">
        <v>26228</v>
      </c>
      <c r="F4675" s="162" t="s">
        <v>26229</v>
      </c>
      <c r="G4675" s="190"/>
      <c r="H4675" s="219"/>
      <c r="I4675" s="169">
        <v>204687</v>
      </c>
      <c r="J4675" s="304" t="str">
        <f>CONCATENATE([2]Cover!$D$6,"fdd/view?i=",I4675)</f>
        <v>https://www.dgiwg.org/FAD/fdd/view?i=204687</v>
      </c>
      <c r="K4675" s="304" t="s">
        <v>38724</v>
      </c>
      <c r="L4675" s="188">
        <v>22</v>
      </c>
      <c r="M4675" s="179" t="s">
        <v>1295</v>
      </c>
    </row>
    <row r="4676" spans="1:13" ht="38.25">
      <c r="A4676" s="313" t="str">
        <f t="shared" si="73"/>
        <v>MedicalFacilityTypeCode_pedUnitWithinInstitution</v>
      </c>
      <c r="B4676" s="330"/>
      <c r="C4676" s="334"/>
      <c r="D4676" s="188" t="s">
        <v>26230</v>
      </c>
      <c r="E4676" s="189" t="s">
        <v>26231</v>
      </c>
      <c r="F4676" s="162" t="s">
        <v>26232</v>
      </c>
      <c r="G4676" s="162" t="s">
        <v>26233</v>
      </c>
      <c r="H4676" s="219"/>
      <c r="I4676" s="169">
        <v>204688</v>
      </c>
      <c r="J4676" s="304" t="str">
        <f>CONCATENATE([2]Cover!$D$6,"fdd/view?i=",I4676)</f>
        <v>https://www.dgiwg.org/FAD/fdd/view?i=204688</v>
      </c>
      <c r="K4676" s="304" t="s">
        <v>38725</v>
      </c>
      <c r="L4676" s="188">
        <v>23</v>
      </c>
      <c r="M4676" s="179" t="s">
        <v>1295</v>
      </c>
    </row>
    <row r="4677" spans="1:13" ht="51">
      <c r="A4677" s="313" t="str">
        <f t="shared" si="73"/>
        <v>MedicalFacilityTypeCode_psychiatric</v>
      </c>
      <c r="B4677" s="330"/>
      <c r="C4677" s="334"/>
      <c r="D4677" s="188" t="s">
        <v>26234</v>
      </c>
      <c r="E4677" s="189" t="s">
        <v>26235</v>
      </c>
      <c r="F4677" s="162" t="s">
        <v>26236</v>
      </c>
      <c r="G4677" s="162" t="s">
        <v>26220</v>
      </c>
      <c r="H4677" s="219"/>
      <c r="I4677" s="169">
        <v>204674</v>
      </c>
      <c r="J4677" s="304" t="str">
        <f>CONCATENATE([2]Cover!$D$6,"fdd/view?i=",I4677)</f>
        <v>https://www.dgiwg.org/FAD/fdd/view?i=204674</v>
      </c>
      <c r="K4677" s="304" t="s">
        <v>38726</v>
      </c>
      <c r="L4677" s="188">
        <v>9</v>
      </c>
      <c r="M4677" s="179" t="s">
        <v>1295</v>
      </c>
    </row>
    <row r="4678" spans="1:13" ht="38.25">
      <c r="A4678" s="313" t="str">
        <f t="shared" si="73"/>
        <v>MedicalFacilityTypeCode_rehabilitation</v>
      </c>
      <c r="B4678" s="330"/>
      <c r="C4678" s="334"/>
      <c r="D4678" s="188" t="s">
        <v>26237</v>
      </c>
      <c r="E4678" s="189" t="s">
        <v>26238</v>
      </c>
      <c r="F4678" s="162" t="s">
        <v>26239</v>
      </c>
      <c r="G4678" s="190"/>
      <c r="H4678" s="219"/>
      <c r="I4678" s="169">
        <v>204675</v>
      </c>
      <c r="J4678" s="304" t="str">
        <f>CONCATENATE([2]Cover!$D$6,"fdd/view?i=",I4678)</f>
        <v>https://www.dgiwg.org/FAD/fdd/view?i=204675</v>
      </c>
      <c r="K4678" s="304" t="s">
        <v>38727</v>
      </c>
      <c r="L4678" s="188">
        <v>10</v>
      </c>
      <c r="M4678" s="179" t="s">
        <v>1295</v>
      </c>
    </row>
    <row r="4679" spans="1:13" ht="38.25">
      <c r="A4679" s="313" t="str">
        <f t="shared" si="73"/>
        <v>MedicalFacilityTypeCode_respiratoryDisease</v>
      </c>
      <c r="B4679" s="330"/>
      <c r="C4679" s="334"/>
      <c r="D4679" s="188" t="s">
        <v>26240</v>
      </c>
      <c r="E4679" s="189" t="s">
        <v>26241</v>
      </c>
      <c r="F4679" s="162" t="s">
        <v>26242</v>
      </c>
      <c r="G4679" s="190"/>
      <c r="H4679" s="219"/>
      <c r="I4679" s="169">
        <v>204676</v>
      </c>
      <c r="J4679" s="304" t="str">
        <f>CONCATENATE([2]Cover!$D$6,"fdd/view?i=",I4679)</f>
        <v>https://www.dgiwg.org/FAD/fdd/view?i=204676</v>
      </c>
      <c r="K4679" s="304" t="s">
        <v>38728</v>
      </c>
      <c r="L4679" s="188">
        <v>11</v>
      </c>
      <c r="M4679" s="179" t="s">
        <v>1295</v>
      </c>
    </row>
    <row r="4680" spans="1:13" ht="38.25">
      <c r="A4680" s="313" t="str">
        <f t="shared" si="73"/>
        <v>MedicalFacilityTypeCode_specialtyCare</v>
      </c>
      <c r="B4680" s="330"/>
      <c r="C4680" s="334"/>
      <c r="D4680" s="188" t="s">
        <v>26243</v>
      </c>
      <c r="E4680" s="189" t="s">
        <v>26244</v>
      </c>
      <c r="F4680" s="162" t="s">
        <v>26245</v>
      </c>
      <c r="G4680" s="190"/>
      <c r="H4680" s="219"/>
      <c r="I4680" s="169">
        <v>204677</v>
      </c>
      <c r="J4680" s="304" t="str">
        <f>CONCATENATE([2]Cover!$D$6,"fdd/view?i=",I4680)</f>
        <v>https://www.dgiwg.org/FAD/fdd/view?i=204677</v>
      </c>
      <c r="K4680" s="304" t="s">
        <v>38729</v>
      </c>
      <c r="L4680" s="188">
        <v>12</v>
      </c>
      <c r="M4680" s="179" t="s">
        <v>1295</v>
      </c>
    </row>
    <row r="4681" spans="1:13" ht="38.25">
      <c r="A4681" s="313" t="str">
        <f t="shared" si="73"/>
        <v>MedicalFacilityTypeCode_unitWithinInstIntDisabled</v>
      </c>
      <c r="B4681" s="330"/>
      <c r="C4681" s="334"/>
      <c r="D4681" s="188" t="s">
        <v>26250</v>
      </c>
      <c r="E4681" s="189" t="s">
        <v>26251</v>
      </c>
      <c r="F4681" s="162" t="s">
        <v>26252</v>
      </c>
      <c r="G4681" s="190"/>
      <c r="H4681" s="219"/>
      <c r="I4681" s="169">
        <v>204679</v>
      </c>
      <c r="J4681" s="304" t="str">
        <f>CONCATENATE([2]Cover!$D$6,"fdd/view?i=",I4681)</f>
        <v>https://www.dgiwg.org/FAD/fdd/view?i=204679</v>
      </c>
      <c r="K4681" s="304" t="s">
        <v>38730</v>
      </c>
      <c r="L4681" s="188">
        <v>14</v>
      </c>
      <c r="M4681" s="179" t="s">
        <v>1295</v>
      </c>
    </row>
    <row r="4682" spans="1:13" ht="38.25">
      <c r="A4682" s="313" t="str">
        <f t="shared" si="73"/>
        <v>MedicalFacilityTypeCode_unitWithinInstitution</v>
      </c>
      <c r="B4682" s="331"/>
      <c r="C4682" s="335"/>
      <c r="D4682" s="181" t="s">
        <v>26246</v>
      </c>
      <c r="E4682" s="192" t="s">
        <v>26247</v>
      </c>
      <c r="F4682" s="193" t="s">
        <v>26248</v>
      </c>
      <c r="G4682" s="193" t="s">
        <v>26249</v>
      </c>
      <c r="H4682" s="220"/>
      <c r="I4682" s="169">
        <v>204678</v>
      </c>
      <c r="J4682" s="304" t="str">
        <f>CONCATENATE([2]Cover!$D$6,"fdd/view?i=",I4682)</f>
        <v>https://www.dgiwg.org/FAD/fdd/view?i=204678</v>
      </c>
      <c r="K4682" s="304" t="s">
        <v>38731</v>
      </c>
      <c r="L4682" s="181">
        <v>13</v>
      </c>
      <c r="M4682" s="179" t="s">
        <v>1295</v>
      </c>
    </row>
    <row r="4683" spans="1:13" ht="38.25">
      <c r="A4683" s="313" t="str">
        <f t="shared" si="73"/>
        <v>MemorandumTypeCode_aeronauticalSON</v>
      </c>
      <c r="B4683" s="332" t="str">
        <f>HYPERLINK("[#]Datatypes!A856:L856","MemorandumTypeCode")</f>
        <v>MemorandumTypeCode</v>
      </c>
      <c r="C4683" s="333" t="s">
        <v>12441</v>
      </c>
      <c r="D4683" s="202" t="s">
        <v>26253</v>
      </c>
      <c r="E4683" s="203" t="s">
        <v>26254</v>
      </c>
      <c r="F4683" s="204" t="s">
        <v>26255</v>
      </c>
      <c r="G4683" s="204" t="s">
        <v>26256</v>
      </c>
      <c r="H4683" s="218"/>
      <c r="I4683" s="169">
        <v>112682</v>
      </c>
      <c r="J4683" s="304" t="str">
        <f>CONCATENATE([2]Cover!$D$6,"fdd/view?i=",I4683)</f>
        <v>https://www.dgiwg.org/FAD/fdd/view?i=112682</v>
      </c>
      <c r="K4683" s="304" t="s">
        <v>38732</v>
      </c>
      <c r="L4683" s="202">
        <v>2</v>
      </c>
      <c r="M4683" s="179" t="s">
        <v>151</v>
      </c>
    </row>
    <row r="4684" spans="1:13">
      <c r="A4684" s="313" t="str">
        <f t="shared" si="73"/>
        <v>MemorandumTypeCode_general</v>
      </c>
      <c r="B4684" s="330"/>
      <c r="C4684" s="334"/>
      <c r="D4684" s="188" t="s">
        <v>24780</v>
      </c>
      <c r="E4684" s="189" t="s">
        <v>24781</v>
      </c>
      <c r="F4684" s="162" t="s">
        <v>26257</v>
      </c>
      <c r="G4684" s="190"/>
      <c r="H4684" s="219"/>
      <c r="I4684" s="169">
        <v>112680</v>
      </c>
      <c r="J4684" s="304" t="str">
        <f>CONCATENATE([2]Cover!$D$6,"fdd/view?i=",I4684)</f>
        <v>https://www.dgiwg.org/FAD/fdd/view?i=112680</v>
      </c>
      <c r="K4684" s="304" t="s">
        <v>38733</v>
      </c>
      <c r="L4684" s="188">
        <v>1</v>
      </c>
      <c r="M4684" s="179" t="s">
        <v>151</v>
      </c>
    </row>
    <row r="4685" spans="1:13" ht="38.25">
      <c r="A4685" s="313" t="str">
        <f t="shared" si="73"/>
        <v>MemorandumTypeCode_geographicNaming</v>
      </c>
      <c r="B4685" s="330"/>
      <c r="C4685" s="334"/>
      <c r="D4685" s="188" t="s">
        <v>26258</v>
      </c>
      <c r="E4685" s="189" t="s">
        <v>26259</v>
      </c>
      <c r="F4685" s="162" t="s">
        <v>26260</v>
      </c>
      <c r="G4685" s="162" t="s">
        <v>26261</v>
      </c>
      <c r="H4685" s="219"/>
      <c r="I4685" s="169">
        <v>112688</v>
      </c>
      <c r="J4685" s="304" t="str">
        <f>CONCATENATE([2]Cover!$D$6,"fdd/view?i=",I4685)</f>
        <v>https://www.dgiwg.org/FAD/fdd/view?i=112688</v>
      </c>
      <c r="K4685" s="304" t="s">
        <v>38734</v>
      </c>
      <c r="L4685" s="188">
        <v>5</v>
      </c>
      <c r="M4685" s="179" t="s">
        <v>151</v>
      </c>
    </row>
    <row r="4686" spans="1:13" ht="38.25">
      <c r="A4686" s="313" t="str">
        <f t="shared" si="73"/>
        <v>MemorandumTypeCode_landSON</v>
      </c>
      <c r="B4686" s="330"/>
      <c r="C4686" s="334"/>
      <c r="D4686" s="188" t="s">
        <v>26262</v>
      </c>
      <c r="E4686" s="189" t="s">
        <v>26263</v>
      </c>
      <c r="F4686" s="162" t="s">
        <v>26264</v>
      </c>
      <c r="G4686" s="162" t="s">
        <v>26265</v>
      </c>
      <c r="H4686" s="219"/>
      <c r="I4686" s="169">
        <v>112686</v>
      </c>
      <c r="J4686" s="304" t="str">
        <f>CONCATENATE([2]Cover!$D$6,"fdd/view?i=",I4686)</f>
        <v>https://www.dgiwg.org/FAD/fdd/view?i=112686</v>
      </c>
      <c r="K4686" s="304" t="s">
        <v>38735</v>
      </c>
      <c r="L4686" s="188">
        <v>4</v>
      </c>
      <c r="M4686" s="179" t="s">
        <v>151</v>
      </c>
    </row>
    <row r="4687" spans="1:13" ht="38.25">
      <c r="A4687" s="313" t="str">
        <f t="shared" si="73"/>
        <v>MemorandumTypeCode_maritimeSON</v>
      </c>
      <c r="B4687" s="331"/>
      <c r="C4687" s="335"/>
      <c r="D4687" s="181" t="s">
        <v>26266</v>
      </c>
      <c r="E4687" s="192" t="s">
        <v>26267</v>
      </c>
      <c r="F4687" s="193" t="s">
        <v>26268</v>
      </c>
      <c r="G4687" s="193" t="s">
        <v>26269</v>
      </c>
      <c r="H4687" s="220"/>
      <c r="I4687" s="169">
        <v>112684</v>
      </c>
      <c r="J4687" s="304" t="str">
        <f>CONCATENATE([2]Cover!$D$6,"fdd/view?i=",I4687)</f>
        <v>https://www.dgiwg.org/FAD/fdd/view?i=112684</v>
      </c>
      <c r="K4687" s="304" t="s">
        <v>38736</v>
      </c>
      <c r="L4687" s="181">
        <v>3</v>
      </c>
      <c r="M4687" s="179" t="s">
        <v>151</v>
      </c>
    </row>
    <row r="4688" spans="1:13" ht="25.5">
      <c r="A4688" s="313" t="str">
        <f t="shared" si="73"/>
        <v>MlsChannelCode_chan500</v>
      </c>
      <c r="B4688" s="332" t="str">
        <f>HYPERLINK("[#]Datatypes!A862:L862","MlsChannelCode")</f>
        <v>MlsChannelCode</v>
      </c>
      <c r="C4688" s="333" t="s">
        <v>12448</v>
      </c>
      <c r="D4688" s="202" t="s">
        <v>26270</v>
      </c>
      <c r="E4688" s="203" t="s">
        <v>26271</v>
      </c>
      <c r="F4688" s="204" t="s">
        <v>26272</v>
      </c>
      <c r="G4688" s="204" t="s">
        <v>13413</v>
      </c>
      <c r="H4688" s="218"/>
      <c r="I4688" s="169">
        <v>115131</v>
      </c>
      <c r="J4688" s="304" t="str">
        <f>CONCATENATE([2]Cover!$D$6,"fdd/view?i=",I4688)</f>
        <v>https://www.dgiwg.org/FAD/fdd/view?i=115131</v>
      </c>
      <c r="K4688" s="304" t="s">
        <v>38737</v>
      </c>
      <c r="L4688" s="202">
        <v>1</v>
      </c>
      <c r="M4688" s="179" t="s">
        <v>151</v>
      </c>
    </row>
    <row r="4689" spans="1:13" ht="25.5">
      <c r="A4689" s="313" t="str">
        <f t="shared" si="73"/>
        <v>MlsChannelCode_chan501</v>
      </c>
      <c r="B4689" s="330"/>
      <c r="C4689" s="334"/>
      <c r="D4689" s="188" t="s">
        <v>26273</v>
      </c>
      <c r="E4689" s="189" t="s">
        <v>26274</v>
      </c>
      <c r="F4689" s="162" t="s">
        <v>26275</v>
      </c>
      <c r="G4689" s="162" t="s">
        <v>13413</v>
      </c>
      <c r="H4689" s="219"/>
      <c r="I4689" s="169">
        <v>115132</v>
      </c>
      <c r="J4689" s="304" t="str">
        <f>CONCATENATE([2]Cover!$D$6,"fdd/view?i=",I4689)</f>
        <v>https://www.dgiwg.org/FAD/fdd/view?i=115132</v>
      </c>
      <c r="K4689" s="304" t="s">
        <v>38738</v>
      </c>
      <c r="L4689" s="188">
        <v>2</v>
      </c>
      <c r="M4689" s="179" t="s">
        <v>151</v>
      </c>
    </row>
    <row r="4690" spans="1:13" ht="25.5">
      <c r="A4690" s="313" t="str">
        <f t="shared" si="73"/>
        <v>MlsChannelCode_chan502</v>
      </c>
      <c r="B4690" s="330"/>
      <c r="C4690" s="334"/>
      <c r="D4690" s="188" t="s">
        <v>26276</v>
      </c>
      <c r="E4690" s="189" t="s">
        <v>26277</v>
      </c>
      <c r="F4690" s="162" t="s">
        <v>26278</v>
      </c>
      <c r="G4690" s="162" t="s">
        <v>13413</v>
      </c>
      <c r="H4690" s="219"/>
      <c r="I4690" s="169">
        <v>115133</v>
      </c>
      <c r="J4690" s="304" t="str">
        <f>CONCATENATE([2]Cover!$D$6,"fdd/view?i=",I4690)</f>
        <v>https://www.dgiwg.org/FAD/fdd/view?i=115133</v>
      </c>
      <c r="K4690" s="304" t="s">
        <v>38739</v>
      </c>
      <c r="L4690" s="188">
        <v>3</v>
      </c>
      <c r="M4690" s="179" t="s">
        <v>151</v>
      </c>
    </row>
    <row r="4691" spans="1:13" ht="25.5">
      <c r="A4691" s="313" t="str">
        <f t="shared" si="73"/>
        <v>MlsChannelCode_chan503</v>
      </c>
      <c r="B4691" s="330"/>
      <c r="C4691" s="334"/>
      <c r="D4691" s="188" t="s">
        <v>26279</v>
      </c>
      <c r="E4691" s="189" t="s">
        <v>26280</v>
      </c>
      <c r="F4691" s="162" t="s">
        <v>26281</v>
      </c>
      <c r="G4691" s="162" t="s">
        <v>13413</v>
      </c>
      <c r="H4691" s="219"/>
      <c r="I4691" s="169">
        <v>115134</v>
      </c>
      <c r="J4691" s="304" t="str">
        <f>CONCATENATE([2]Cover!$D$6,"fdd/view?i=",I4691)</f>
        <v>https://www.dgiwg.org/FAD/fdd/view?i=115134</v>
      </c>
      <c r="K4691" s="304" t="s">
        <v>38740</v>
      </c>
      <c r="L4691" s="188">
        <v>4</v>
      </c>
      <c r="M4691" s="179" t="s">
        <v>151</v>
      </c>
    </row>
    <row r="4692" spans="1:13" ht="25.5">
      <c r="A4692" s="313" t="str">
        <f t="shared" si="73"/>
        <v>MlsChannelCode_chan504</v>
      </c>
      <c r="B4692" s="330"/>
      <c r="C4692" s="334"/>
      <c r="D4692" s="188" t="s">
        <v>26282</v>
      </c>
      <c r="E4692" s="189" t="s">
        <v>26283</v>
      </c>
      <c r="F4692" s="162" t="s">
        <v>26284</v>
      </c>
      <c r="G4692" s="162" t="s">
        <v>13413</v>
      </c>
      <c r="H4692" s="219"/>
      <c r="I4692" s="169">
        <v>115135</v>
      </c>
      <c r="J4692" s="304" t="str">
        <f>CONCATENATE([2]Cover!$D$6,"fdd/view?i=",I4692)</f>
        <v>https://www.dgiwg.org/FAD/fdd/view?i=115135</v>
      </c>
      <c r="K4692" s="304" t="s">
        <v>38741</v>
      </c>
      <c r="L4692" s="188">
        <v>5</v>
      </c>
      <c r="M4692" s="179" t="s">
        <v>151</v>
      </c>
    </row>
    <row r="4693" spans="1:13" ht="25.5">
      <c r="A4693" s="313" t="str">
        <f t="shared" si="73"/>
        <v>MlsChannelCode_chan505</v>
      </c>
      <c r="B4693" s="330"/>
      <c r="C4693" s="334"/>
      <c r="D4693" s="188" t="s">
        <v>26285</v>
      </c>
      <c r="E4693" s="189" t="s">
        <v>26286</v>
      </c>
      <c r="F4693" s="162" t="s">
        <v>26287</v>
      </c>
      <c r="G4693" s="162" t="s">
        <v>13413</v>
      </c>
      <c r="H4693" s="219"/>
      <c r="I4693" s="169">
        <v>115136</v>
      </c>
      <c r="J4693" s="304" t="str">
        <f>CONCATENATE([2]Cover!$D$6,"fdd/view?i=",I4693)</f>
        <v>https://www.dgiwg.org/FAD/fdd/view?i=115136</v>
      </c>
      <c r="K4693" s="304" t="s">
        <v>38742</v>
      </c>
      <c r="L4693" s="188">
        <v>6</v>
      </c>
      <c r="M4693" s="179" t="s">
        <v>151</v>
      </c>
    </row>
    <row r="4694" spans="1:13" ht="25.5">
      <c r="A4694" s="313" t="str">
        <f t="shared" si="73"/>
        <v>MlsChannelCode_chan506</v>
      </c>
      <c r="B4694" s="330"/>
      <c r="C4694" s="334"/>
      <c r="D4694" s="188" t="s">
        <v>26288</v>
      </c>
      <c r="E4694" s="189" t="s">
        <v>26289</v>
      </c>
      <c r="F4694" s="162" t="s">
        <v>26290</v>
      </c>
      <c r="G4694" s="162" t="s">
        <v>13413</v>
      </c>
      <c r="H4694" s="219"/>
      <c r="I4694" s="169">
        <v>115137</v>
      </c>
      <c r="J4694" s="304" t="str">
        <f>CONCATENATE([2]Cover!$D$6,"fdd/view?i=",I4694)</f>
        <v>https://www.dgiwg.org/FAD/fdd/view?i=115137</v>
      </c>
      <c r="K4694" s="304" t="s">
        <v>38743</v>
      </c>
      <c r="L4694" s="188">
        <v>7</v>
      </c>
      <c r="M4694" s="179" t="s">
        <v>151</v>
      </c>
    </row>
    <row r="4695" spans="1:13" ht="25.5">
      <c r="A4695" s="313" t="str">
        <f t="shared" si="73"/>
        <v>MlsChannelCode_chan507</v>
      </c>
      <c r="B4695" s="330"/>
      <c r="C4695" s="334"/>
      <c r="D4695" s="188" t="s">
        <v>26291</v>
      </c>
      <c r="E4695" s="189" t="s">
        <v>26292</v>
      </c>
      <c r="F4695" s="162" t="s">
        <v>26293</v>
      </c>
      <c r="G4695" s="162" t="s">
        <v>13413</v>
      </c>
      <c r="H4695" s="219"/>
      <c r="I4695" s="169">
        <v>115138</v>
      </c>
      <c r="J4695" s="304" t="str">
        <f>CONCATENATE([2]Cover!$D$6,"fdd/view?i=",I4695)</f>
        <v>https://www.dgiwg.org/FAD/fdd/view?i=115138</v>
      </c>
      <c r="K4695" s="304" t="s">
        <v>38744</v>
      </c>
      <c r="L4695" s="188">
        <v>8</v>
      </c>
      <c r="M4695" s="179" t="s">
        <v>151</v>
      </c>
    </row>
    <row r="4696" spans="1:13" ht="25.5">
      <c r="A4696" s="313" t="str">
        <f t="shared" si="73"/>
        <v>MlsChannelCode_chan508</v>
      </c>
      <c r="B4696" s="330"/>
      <c r="C4696" s="334"/>
      <c r="D4696" s="188" t="s">
        <v>26294</v>
      </c>
      <c r="E4696" s="189" t="s">
        <v>26295</v>
      </c>
      <c r="F4696" s="162" t="s">
        <v>26296</v>
      </c>
      <c r="G4696" s="162" t="s">
        <v>13413</v>
      </c>
      <c r="H4696" s="219"/>
      <c r="I4696" s="169">
        <v>115139</v>
      </c>
      <c r="J4696" s="304" t="str">
        <f>CONCATENATE([2]Cover!$D$6,"fdd/view?i=",I4696)</f>
        <v>https://www.dgiwg.org/FAD/fdd/view?i=115139</v>
      </c>
      <c r="K4696" s="304" t="s">
        <v>38745</v>
      </c>
      <c r="L4696" s="188">
        <v>9</v>
      </c>
      <c r="M4696" s="179" t="s">
        <v>151</v>
      </c>
    </row>
    <row r="4697" spans="1:13" ht="25.5">
      <c r="A4697" s="313" t="str">
        <f t="shared" si="73"/>
        <v>MlsChannelCode_chan509</v>
      </c>
      <c r="B4697" s="330"/>
      <c r="C4697" s="334"/>
      <c r="D4697" s="188" t="s">
        <v>26297</v>
      </c>
      <c r="E4697" s="189" t="s">
        <v>26298</v>
      </c>
      <c r="F4697" s="162" t="s">
        <v>26299</v>
      </c>
      <c r="G4697" s="162" t="s">
        <v>13413</v>
      </c>
      <c r="H4697" s="219"/>
      <c r="I4697" s="169">
        <v>115140</v>
      </c>
      <c r="J4697" s="304" t="str">
        <f>CONCATENATE([2]Cover!$D$6,"fdd/view?i=",I4697)</f>
        <v>https://www.dgiwg.org/FAD/fdd/view?i=115140</v>
      </c>
      <c r="K4697" s="304" t="s">
        <v>38746</v>
      </c>
      <c r="L4697" s="188">
        <v>10</v>
      </c>
      <c r="M4697" s="179" t="s">
        <v>151</v>
      </c>
    </row>
    <row r="4698" spans="1:13" ht="25.5">
      <c r="A4698" s="313" t="str">
        <f t="shared" si="73"/>
        <v>MlsChannelCode_chan510</v>
      </c>
      <c r="B4698" s="330"/>
      <c r="C4698" s="334"/>
      <c r="D4698" s="188" t="s">
        <v>26300</v>
      </c>
      <c r="E4698" s="189" t="s">
        <v>26301</v>
      </c>
      <c r="F4698" s="162" t="s">
        <v>26302</v>
      </c>
      <c r="G4698" s="162" t="s">
        <v>13413</v>
      </c>
      <c r="H4698" s="219"/>
      <c r="I4698" s="169">
        <v>115141</v>
      </c>
      <c r="J4698" s="304" t="str">
        <f>CONCATENATE([2]Cover!$D$6,"fdd/view?i=",I4698)</f>
        <v>https://www.dgiwg.org/FAD/fdd/view?i=115141</v>
      </c>
      <c r="K4698" s="304" t="s">
        <v>38747</v>
      </c>
      <c r="L4698" s="188">
        <v>11</v>
      </c>
      <c r="M4698" s="179" t="s">
        <v>151</v>
      </c>
    </row>
    <row r="4699" spans="1:13" ht="25.5">
      <c r="A4699" s="313" t="str">
        <f t="shared" si="73"/>
        <v>MlsChannelCode_chan511</v>
      </c>
      <c r="B4699" s="330"/>
      <c r="C4699" s="334"/>
      <c r="D4699" s="188" t="s">
        <v>26303</v>
      </c>
      <c r="E4699" s="189" t="s">
        <v>26304</v>
      </c>
      <c r="F4699" s="162" t="s">
        <v>26305</v>
      </c>
      <c r="G4699" s="162" t="s">
        <v>13413</v>
      </c>
      <c r="H4699" s="219"/>
      <c r="I4699" s="169">
        <v>115142</v>
      </c>
      <c r="J4699" s="304" t="str">
        <f>CONCATENATE([2]Cover!$D$6,"fdd/view?i=",I4699)</f>
        <v>https://www.dgiwg.org/FAD/fdd/view?i=115142</v>
      </c>
      <c r="K4699" s="304" t="s">
        <v>38748</v>
      </c>
      <c r="L4699" s="188">
        <v>12</v>
      </c>
      <c r="M4699" s="179" t="s">
        <v>151</v>
      </c>
    </row>
    <row r="4700" spans="1:13" ht="25.5">
      <c r="A4700" s="313" t="str">
        <f t="shared" si="73"/>
        <v>MlsChannelCode_chan512</v>
      </c>
      <c r="B4700" s="330"/>
      <c r="C4700" s="334"/>
      <c r="D4700" s="188" t="s">
        <v>26306</v>
      </c>
      <c r="E4700" s="189" t="s">
        <v>26307</v>
      </c>
      <c r="F4700" s="162" t="s">
        <v>26308</v>
      </c>
      <c r="G4700" s="162" t="s">
        <v>13413</v>
      </c>
      <c r="H4700" s="219"/>
      <c r="I4700" s="169">
        <v>115143</v>
      </c>
      <c r="J4700" s="304" t="str">
        <f>CONCATENATE([2]Cover!$D$6,"fdd/view?i=",I4700)</f>
        <v>https://www.dgiwg.org/FAD/fdd/view?i=115143</v>
      </c>
      <c r="K4700" s="304" t="s">
        <v>38749</v>
      </c>
      <c r="L4700" s="188">
        <v>13</v>
      </c>
      <c r="M4700" s="179" t="s">
        <v>151</v>
      </c>
    </row>
    <row r="4701" spans="1:13" ht="25.5">
      <c r="A4701" s="313" t="str">
        <f t="shared" si="73"/>
        <v>MlsChannelCode_chan513</v>
      </c>
      <c r="B4701" s="330"/>
      <c r="C4701" s="334"/>
      <c r="D4701" s="188" t="s">
        <v>26309</v>
      </c>
      <c r="E4701" s="189" t="s">
        <v>26310</v>
      </c>
      <c r="F4701" s="162" t="s">
        <v>26311</v>
      </c>
      <c r="G4701" s="162" t="s">
        <v>13413</v>
      </c>
      <c r="H4701" s="219"/>
      <c r="I4701" s="169">
        <v>115144</v>
      </c>
      <c r="J4701" s="304" t="str">
        <f>CONCATENATE([2]Cover!$D$6,"fdd/view?i=",I4701)</f>
        <v>https://www.dgiwg.org/FAD/fdd/view?i=115144</v>
      </c>
      <c r="K4701" s="304" t="s">
        <v>38750</v>
      </c>
      <c r="L4701" s="188">
        <v>14</v>
      </c>
      <c r="M4701" s="179" t="s">
        <v>151</v>
      </c>
    </row>
    <row r="4702" spans="1:13" ht="25.5">
      <c r="A4702" s="313" t="str">
        <f t="shared" si="73"/>
        <v>MlsChannelCode_chan514</v>
      </c>
      <c r="B4702" s="330"/>
      <c r="C4702" s="334"/>
      <c r="D4702" s="188" t="s">
        <v>26312</v>
      </c>
      <c r="E4702" s="189" t="s">
        <v>26313</v>
      </c>
      <c r="F4702" s="162" t="s">
        <v>26314</v>
      </c>
      <c r="G4702" s="162" t="s">
        <v>13413</v>
      </c>
      <c r="H4702" s="219"/>
      <c r="I4702" s="169">
        <v>115145</v>
      </c>
      <c r="J4702" s="304" t="str">
        <f>CONCATENATE([2]Cover!$D$6,"fdd/view?i=",I4702)</f>
        <v>https://www.dgiwg.org/FAD/fdd/view?i=115145</v>
      </c>
      <c r="K4702" s="304" t="s">
        <v>38751</v>
      </c>
      <c r="L4702" s="188">
        <v>15</v>
      </c>
      <c r="M4702" s="179" t="s">
        <v>151</v>
      </c>
    </row>
    <row r="4703" spans="1:13" ht="25.5">
      <c r="A4703" s="313" t="str">
        <f t="shared" si="73"/>
        <v>MlsChannelCode_chan515</v>
      </c>
      <c r="B4703" s="330"/>
      <c r="C4703" s="334"/>
      <c r="D4703" s="188" t="s">
        <v>26315</v>
      </c>
      <c r="E4703" s="189" t="s">
        <v>26316</v>
      </c>
      <c r="F4703" s="162" t="s">
        <v>26317</v>
      </c>
      <c r="G4703" s="162" t="s">
        <v>13413</v>
      </c>
      <c r="H4703" s="219"/>
      <c r="I4703" s="169">
        <v>115146</v>
      </c>
      <c r="J4703" s="304" t="str">
        <f>CONCATENATE([2]Cover!$D$6,"fdd/view?i=",I4703)</f>
        <v>https://www.dgiwg.org/FAD/fdd/view?i=115146</v>
      </c>
      <c r="K4703" s="304" t="s">
        <v>38752</v>
      </c>
      <c r="L4703" s="188">
        <v>16</v>
      </c>
      <c r="M4703" s="179" t="s">
        <v>151</v>
      </c>
    </row>
    <row r="4704" spans="1:13" ht="25.5">
      <c r="A4704" s="313" t="str">
        <f t="shared" si="73"/>
        <v>MlsChannelCode_chan516</v>
      </c>
      <c r="B4704" s="330"/>
      <c r="C4704" s="334"/>
      <c r="D4704" s="188" t="s">
        <v>26318</v>
      </c>
      <c r="E4704" s="189" t="s">
        <v>26319</v>
      </c>
      <c r="F4704" s="162" t="s">
        <v>26320</v>
      </c>
      <c r="G4704" s="162" t="s">
        <v>13413</v>
      </c>
      <c r="H4704" s="219"/>
      <c r="I4704" s="169">
        <v>115147</v>
      </c>
      <c r="J4704" s="304" t="str">
        <f>CONCATENATE([2]Cover!$D$6,"fdd/view?i=",I4704)</f>
        <v>https://www.dgiwg.org/FAD/fdd/view?i=115147</v>
      </c>
      <c r="K4704" s="304" t="s">
        <v>38753</v>
      </c>
      <c r="L4704" s="188">
        <v>17</v>
      </c>
      <c r="M4704" s="179" t="s">
        <v>151</v>
      </c>
    </row>
    <row r="4705" spans="1:13" ht="25.5">
      <c r="A4705" s="313" t="str">
        <f t="shared" si="73"/>
        <v>MlsChannelCode_chan517</v>
      </c>
      <c r="B4705" s="330"/>
      <c r="C4705" s="334"/>
      <c r="D4705" s="188" t="s">
        <v>26321</v>
      </c>
      <c r="E4705" s="189" t="s">
        <v>26322</v>
      </c>
      <c r="F4705" s="162" t="s">
        <v>26323</v>
      </c>
      <c r="G4705" s="162" t="s">
        <v>13413</v>
      </c>
      <c r="H4705" s="219"/>
      <c r="I4705" s="169">
        <v>115148</v>
      </c>
      <c r="J4705" s="304" t="str">
        <f>CONCATENATE([2]Cover!$D$6,"fdd/view?i=",I4705)</f>
        <v>https://www.dgiwg.org/FAD/fdd/view?i=115148</v>
      </c>
      <c r="K4705" s="304" t="s">
        <v>38754</v>
      </c>
      <c r="L4705" s="188">
        <v>18</v>
      </c>
      <c r="M4705" s="179" t="s">
        <v>151</v>
      </c>
    </row>
    <row r="4706" spans="1:13" ht="25.5">
      <c r="A4706" s="313" t="str">
        <f t="shared" si="73"/>
        <v>MlsChannelCode_chan518</v>
      </c>
      <c r="B4706" s="330"/>
      <c r="C4706" s="334"/>
      <c r="D4706" s="188" t="s">
        <v>26324</v>
      </c>
      <c r="E4706" s="189" t="s">
        <v>26325</v>
      </c>
      <c r="F4706" s="162" t="s">
        <v>26326</v>
      </c>
      <c r="G4706" s="162" t="s">
        <v>13413</v>
      </c>
      <c r="H4706" s="219"/>
      <c r="I4706" s="169">
        <v>115149</v>
      </c>
      <c r="J4706" s="304" t="str">
        <f>CONCATENATE([2]Cover!$D$6,"fdd/view?i=",I4706)</f>
        <v>https://www.dgiwg.org/FAD/fdd/view?i=115149</v>
      </c>
      <c r="K4706" s="304" t="s">
        <v>38755</v>
      </c>
      <c r="L4706" s="188">
        <v>19</v>
      </c>
      <c r="M4706" s="179" t="s">
        <v>151</v>
      </c>
    </row>
    <row r="4707" spans="1:13" ht="25.5">
      <c r="A4707" s="313" t="str">
        <f t="shared" si="73"/>
        <v>MlsChannelCode_chan519</v>
      </c>
      <c r="B4707" s="330"/>
      <c r="C4707" s="334"/>
      <c r="D4707" s="188" t="s">
        <v>26327</v>
      </c>
      <c r="E4707" s="189" t="s">
        <v>26328</v>
      </c>
      <c r="F4707" s="162" t="s">
        <v>26329</v>
      </c>
      <c r="G4707" s="162" t="s">
        <v>13413</v>
      </c>
      <c r="H4707" s="219"/>
      <c r="I4707" s="169">
        <v>115150</v>
      </c>
      <c r="J4707" s="304" t="str">
        <f>CONCATENATE([2]Cover!$D$6,"fdd/view?i=",I4707)</f>
        <v>https://www.dgiwg.org/FAD/fdd/view?i=115150</v>
      </c>
      <c r="K4707" s="304" t="s">
        <v>38756</v>
      </c>
      <c r="L4707" s="188">
        <v>20</v>
      </c>
      <c r="M4707" s="179" t="s">
        <v>151</v>
      </c>
    </row>
    <row r="4708" spans="1:13" ht="25.5">
      <c r="A4708" s="313" t="str">
        <f t="shared" si="73"/>
        <v>MlsChannelCode_chan520</v>
      </c>
      <c r="B4708" s="330"/>
      <c r="C4708" s="334"/>
      <c r="D4708" s="188" t="s">
        <v>26330</v>
      </c>
      <c r="E4708" s="189" t="s">
        <v>26331</v>
      </c>
      <c r="F4708" s="162" t="s">
        <v>26332</v>
      </c>
      <c r="G4708" s="162" t="s">
        <v>13413</v>
      </c>
      <c r="H4708" s="219"/>
      <c r="I4708" s="169">
        <v>115151</v>
      </c>
      <c r="J4708" s="304" t="str">
        <f>CONCATENATE([2]Cover!$D$6,"fdd/view?i=",I4708)</f>
        <v>https://www.dgiwg.org/FAD/fdd/view?i=115151</v>
      </c>
      <c r="K4708" s="304" t="s">
        <v>38757</v>
      </c>
      <c r="L4708" s="188">
        <v>21</v>
      </c>
      <c r="M4708" s="179" t="s">
        <v>151</v>
      </c>
    </row>
    <row r="4709" spans="1:13" ht="25.5">
      <c r="A4709" s="313" t="str">
        <f t="shared" si="73"/>
        <v>MlsChannelCode_chan521</v>
      </c>
      <c r="B4709" s="330"/>
      <c r="C4709" s="334"/>
      <c r="D4709" s="188" t="s">
        <v>26333</v>
      </c>
      <c r="E4709" s="189" t="s">
        <v>26334</v>
      </c>
      <c r="F4709" s="162" t="s">
        <v>26335</v>
      </c>
      <c r="G4709" s="162" t="s">
        <v>13413</v>
      </c>
      <c r="H4709" s="219"/>
      <c r="I4709" s="169">
        <v>115152</v>
      </c>
      <c r="J4709" s="304" t="str">
        <f>CONCATENATE([2]Cover!$D$6,"fdd/view?i=",I4709)</f>
        <v>https://www.dgiwg.org/FAD/fdd/view?i=115152</v>
      </c>
      <c r="K4709" s="304" t="s">
        <v>38758</v>
      </c>
      <c r="L4709" s="188">
        <v>22</v>
      </c>
      <c r="M4709" s="179" t="s">
        <v>151</v>
      </c>
    </row>
    <row r="4710" spans="1:13" ht="25.5">
      <c r="A4710" s="313" t="str">
        <f t="shared" si="73"/>
        <v>MlsChannelCode_chan522</v>
      </c>
      <c r="B4710" s="330"/>
      <c r="C4710" s="334"/>
      <c r="D4710" s="188" t="s">
        <v>26336</v>
      </c>
      <c r="E4710" s="189" t="s">
        <v>26337</v>
      </c>
      <c r="F4710" s="162" t="s">
        <v>26338</v>
      </c>
      <c r="G4710" s="162" t="s">
        <v>13413</v>
      </c>
      <c r="H4710" s="219"/>
      <c r="I4710" s="169">
        <v>115153</v>
      </c>
      <c r="J4710" s="304" t="str">
        <f>CONCATENATE([2]Cover!$D$6,"fdd/view?i=",I4710)</f>
        <v>https://www.dgiwg.org/FAD/fdd/view?i=115153</v>
      </c>
      <c r="K4710" s="304" t="s">
        <v>38759</v>
      </c>
      <c r="L4710" s="188">
        <v>23</v>
      </c>
      <c r="M4710" s="179" t="s">
        <v>151</v>
      </c>
    </row>
    <row r="4711" spans="1:13" ht="25.5">
      <c r="A4711" s="313" t="str">
        <f t="shared" si="73"/>
        <v>MlsChannelCode_chan523</v>
      </c>
      <c r="B4711" s="330"/>
      <c r="C4711" s="334"/>
      <c r="D4711" s="188" t="s">
        <v>26339</v>
      </c>
      <c r="E4711" s="189" t="s">
        <v>26340</v>
      </c>
      <c r="F4711" s="162" t="s">
        <v>26341</v>
      </c>
      <c r="G4711" s="162" t="s">
        <v>13413</v>
      </c>
      <c r="H4711" s="219"/>
      <c r="I4711" s="169">
        <v>115154</v>
      </c>
      <c r="J4711" s="304" t="str">
        <f>CONCATENATE([2]Cover!$D$6,"fdd/view?i=",I4711)</f>
        <v>https://www.dgiwg.org/FAD/fdd/view?i=115154</v>
      </c>
      <c r="K4711" s="304" t="s">
        <v>38760</v>
      </c>
      <c r="L4711" s="188">
        <v>24</v>
      </c>
      <c r="M4711" s="179" t="s">
        <v>151</v>
      </c>
    </row>
    <row r="4712" spans="1:13" ht="25.5">
      <c r="A4712" s="313" t="str">
        <f t="shared" si="73"/>
        <v>MlsChannelCode_chan524</v>
      </c>
      <c r="B4712" s="330"/>
      <c r="C4712" s="334"/>
      <c r="D4712" s="188" t="s">
        <v>26342</v>
      </c>
      <c r="E4712" s="189" t="s">
        <v>26343</v>
      </c>
      <c r="F4712" s="162" t="s">
        <v>26344</v>
      </c>
      <c r="G4712" s="162" t="s">
        <v>13413</v>
      </c>
      <c r="H4712" s="219"/>
      <c r="I4712" s="169">
        <v>115155</v>
      </c>
      <c r="J4712" s="304" t="str">
        <f>CONCATENATE([2]Cover!$D$6,"fdd/view?i=",I4712)</f>
        <v>https://www.dgiwg.org/FAD/fdd/view?i=115155</v>
      </c>
      <c r="K4712" s="304" t="s">
        <v>38761</v>
      </c>
      <c r="L4712" s="188">
        <v>25</v>
      </c>
      <c r="M4712" s="179" t="s">
        <v>151</v>
      </c>
    </row>
    <row r="4713" spans="1:13" ht="25.5">
      <c r="A4713" s="313" t="str">
        <f t="shared" si="73"/>
        <v>MlsChannelCode_chan525</v>
      </c>
      <c r="B4713" s="330"/>
      <c r="C4713" s="334"/>
      <c r="D4713" s="188" t="s">
        <v>26345</v>
      </c>
      <c r="E4713" s="189" t="s">
        <v>26346</v>
      </c>
      <c r="F4713" s="162" t="s">
        <v>26347</v>
      </c>
      <c r="G4713" s="162" t="s">
        <v>13413</v>
      </c>
      <c r="H4713" s="219"/>
      <c r="I4713" s="169">
        <v>115156</v>
      </c>
      <c r="J4713" s="304" t="str">
        <f>CONCATENATE([2]Cover!$D$6,"fdd/view?i=",I4713)</f>
        <v>https://www.dgiwg.org/FAD/fdd/view?i=115156</v>
      </c>
      <c r="K4713" s="304" t="s">
        <v>38762</v>
      </c>
      <c r="L4713" s="188">
        <v>26</v>
      </c>
      <c r="M4713" s="179" t="s">
        <v>151</v>
      </c>
    </row>
    <row r="4714" spans="1:13" ht="25.5">
      <c r="A4714" s="313" t="str">
        <f t="shared" si="73"/>
        <v>MlsChannelCode_chan526</v>
      </c>
      <c r="B4714" s="330"/>
      <c r="C4714" s="334"/>
      <c r="D4714" s="188" t="s">
        <v>26348</v>
      </c>
      <c r="E4714" s="189" t="s">
        <v>26349</v>
      </c>
      <c r="F4714" s="162" t="s">
        <v>26350</v>
      </c>
      <c r="G4714" s="162" t="s">
        <v>13413</v>
      </c>
      <c r="H4714" s="219"/>
      <c r="I4714" s="169">
        <v>115157</v>
      </c>
      <c r="J4714" s="304" t="str">
        <f>CONCATENATE([2]Cover!$D$6,"fdd/view?i=",I4714)</f>
        <v>https://www.dgiwg.org/FAD/fdd/view?i=115157</v>
      </c>
      <c r="K4714" s="304" t="s">
        <v>38763</v>
      </c>
      <c r="L4714" s="188">
        <v>27</v>
      </c>
      <c r="M4714" s="179" t="s">
        <v>151</v>
      </c>
    </row>
    <row r="4715" spans="1:13" ht="25.5">
      <c r="A4715" s="313" t="str">
        <f t="shared" si="73"/>
        <v>MlsChannelCode_chan527</v>
      </c>
      <c r="B4715" s="330"/>
      <c r="C4715" s="334"/>
      <c r="D4715" s="188" t="s">
        <v>26351</v>
      </c>
      <c r="E4715" s="189" t="s">
        <v>26352</v>
      </c>
      <c r="F4715" s="162" t="s">
        <v>26353</v>
      </c>
      <c r="G4715" s="162" t="s">
        <v>13413</v>
      </c>
      <c r="H4715" s="219"/>
      <c r="I4715" s="169">
        <v>115158</v>
      </c>
      <c r="J4715" s="304" t="str">
        <f>CONCATENATE([2]Cover!$D$6,"fdd/view?i=",I4715)</f>
        <v>https://www.dgiwg.org/FAD/fdd/view?i=115158</v>
      </c>
      <c r="K4715" s="304" t="s">
        <v>38764</v>
      </c>
      <c r="L4715" s="188">
        <v>28</v>
      </c>
      <c r="M4715" s="179" t="s">
        <v>151</v>
      </c>
    </row>
    <row r="4716" spans="1:13" ht="25.5">
      <c r="A4716" s="313" t="str">
        <f t="shared" si="73"/>
        <v>MlsChannelCode_chan528</v>
      </c>
      <c r="B4716" s="330"/>
      <c r="C4716" s="334"/>
      <c r="D4716" s="188" t="s">
        <v>26354</v>
      </c>
      <c r="E4716" s="189" t="s">
        <v>26355</v>
      </c>
      <c r="F4716" s="162" t="s">
        <v>26356</v>
      </c>
      <c r="G4716" s="162" t="s">
        <v>13413</v>
      </c>
      <c r="H4716" s="219"/>
      <c r="I4716" s="169">
        <v>115159</v>
      </c>
      <c r="J4716" s="304" t="str">
        <f>CONCATENATE([2]Cover!$D$6,"fdd/view?i=",I4716)</f>
        <v>https://www.dgiwg.org/FAD/fdd/view?i=115159</v>
      </c>
      <c r="K4716" s="304" t="s">
        <v>38765</v>
      </c>
      <c r="L4716" s="188">
        <v>29</v>
      </c>
      <c r="M4716" s="179" t="s">
        <v>151</v>
      </c>
    </row>
    <row r="4717" spans="1:13" ht="25.5">
      <c r="A4717" s="313" t="str">
        <f t="shared" si="73"/>
        <v>MlsChannelCode_chan529</v>
      </c>
      <c r="B4717" s="330"/>
      <c r="C4717" s="334"/>
      <c r="D4717" s="188" t="s">
        <v>26357</v>
      </c>
      <c r="E4717" s="189" t="s">
        <v>26358</v>
      </c>
      <c r="F4717" s="162" t="s">
        <v>26359</v>
      </c>
      <c r="G4717" s="162" t="s">
        <v>13413</v>
      </c>
      <c r="H4717" s="219"/>
      <c r="I4717" s="169">
        <v>115160</v>
      </c>
      <c r="J4717" s="304" t="str">
        <f>CONCATENATE([2]Cover!$D$6,"fdd/view?i=",I4717)</f>
        <v>https://www.dgiwg.org/FAD/fdd/view?i=115160</v>
      </c>
      <c r="K4717" s="304" t="s">
        <v>38766</v>
      </c>
      <c r="L4717" s="188">
        <v>30</v>
      </c>
      <c r="M4717" s="179" t="s">
        <v>151</v>
      </c>
    </row>
    <row r="4718" spans="1:13" ht="25.5">
      <c r="A4718" s="313" t="str">
        <f t="shared" si="73"/>
        <v>MlsChannelCode_chan530</v>
      </c>
      <c r="B4718" s="330"/>
      <c r="C4718" s="334"/>
      <c r="D4718" s="188" t="s">
        <v>26360</v>
      </c>
      <c r="E4718" s="189" t="s">
        <v>26361</v>
      </c>
      <c r="F4718" s="162" t="s">
        <v>26362</v>
      </c>
      <c r="G4718" s="162" t="s">
        <v>13413</v>
      </c>
      <c r="H4718" s="219"/>
      <c r="I4718" s="169">
        <v>115161</v>
      </c>
      <c r="J4718" s="304" t="str">
        <f>CONCATENATE([2]Cover!$D$6,"fdd/view?i=",I4718)</f>
        <v>https://www.dgiwg.org/FAD/fdd/view?i=115161</v>
      </c>
      <c r="K4718" s="304" t="s">
        <v>38767</v>
      </c>
      <c r="L4718" s="188">
        <v>31</v>
      </c>
      <c r="M4718" s="179" t="s">
        <v>151</v>
      </c>
    </row>
    <row r="4719" spans="1:13" ht="25.5">
      <c r="A4719" s="313" t="str">
        <f t="shared" si="73"/>
        <v>MlsChannelCode_chan531</v>
      </c>
      <c r="B4719" s="330"/>
      <c r="C4719" s="334"/>
      <c r="D4719" s="188" t="s">
        <v>26363</v>
      </c>
      <c r="E4719" s="189" t="s">
        <v>26364</v>
      </c>
      <c r="F4719" s="162" t="s">
        <v>26365</v>
      </c>
      <c r="G4719" s="162" t="s">
        <v>13413</v>
      </c>
      <c r="H4719" s="219"/>
      <c r="I4719" s="169">
        <v>115162</v>
      </c>
      <c r="J4719" s="304" t="str">
        <f>CONCATENATE([2]Cover!$D$6,"fdd/view?i=",I4719)</f>
        <v>https://www.dgiwg.org/FAD/fdd/view?i=115162</v>
      </c>
      <c r="K4719" s="304" t="s">
        <v>38768</v>
      </c>
      <c r="L4719" s="188">
        <v>32</v>
      </c>
      <c r="M4719" s="179" t="s">
        <v>151</v>
      </c>
    </row>
    <row r="4720" spans="1:13" ht="25.5">
      <c r="A4720" s="313" t="str">
        <f t="shared" si="73"/>
        <v>MlsChannelCode_chan532</v>
      </c>
      <c r="B4720" s="330"/>
      <c r="C4720" s="334"/>
      <c r="D4720" s="188" t="s">
        <v>26366</v>
      </c>
      <c r="E4720" s="189" t="s">
        <v>26367</v>
      </c>
      <c r="F4720" s="162" t="s">
        <v>26368</v>
      </c>
      <c r="G4720" s="162" t="s">
        <v>13413</v>
      </c>
      <c r="H4720" s="219"/>
      <c r="I4720" s="169">
        <v>115163</v>
      </c>
      <c r="J4720" s="304" t="str">
        <f>CONCATENATE([2]Cover!$D$6,"fdd/view?i=",I4720)</f>
        <v>https://www.dgiwg.org/FAD/fdd/view?i=115163</v>
      </c>
      <c r="K4720" s="304" t="s">
        <v>38769</v>
      </c>
      <c r="L4720" s="188">
        <v>33</v>
      </c>
      <c r="M4720" s="179" t="s">
        <v>151</v>
      </c>
    </row>
    <row r="4721" spans="1:13" ht="25.5">
      <c r="A4721" s="313" t="str">
        <f t="shared" si="73"/>
        <v>MlsChannelCode_chan533</v>
      </c>
      <c r="B4721" s="330"/>
      <c r="C4721" s="334"/>
      <c r="D4721" s="188" t="s">
        <v>26369</v>
      </c>
      <c r="E4721" s="189" t="s">
        <v>26370</v>
      </c>
      <c r="F4721" s="162" t="s">
        <v>26371</v>
      </c>
      <c r="G4721" s="162" t="s">
        <v>13413</v>
      </c>
      <c r="H4721" s="219"/>
      <c r="I4721" s="169">
        <v>115164</v>
      </c>
      <c r="J4721" s="304" t="str">
        <f>CONCATENATE([2]Cover!$D$6,"fdd/view?i=",I4721)</f>
        <v>https://www.dgiwg.org/FAD/fdd/view?i=115164</v>
      </c>
      <c r="K4721" s="304" t="s">
        <v>38770</v>
      </c>
      <c r="L4721" s="188">
        <v>34</v>
      </c>
      <c r="M4721" s="179" t="s">
        <v>151</v>
      </c>
    </row>
    <row r="4722" spans="1:13" ht="25.5">
      <c r="A4722" s="313" t="str">
        <f t="shared" si="73"/>
        <v>MlsChannelCode_chan534</v>
      </c>
      <c r="B4722" s="330"/>
      <c r="C4722" s="334"/>
      <c r="D4722" s="188" t="s">
        <v>26372</v>
      </c>
      <c r="E4722" s="189" t="s">
        <v>26373</v>
      </c>
      <c r="F4722" s="162" t="s">
        <v>26374</v>
      </c>
      <c r="G4722" s="162" t="s">
        <v>13413</v>
      </c>
      <c r="H4722" s="219"/>
      <c r="I4722" s="169">
        <v>115165</v>
      </c>
      <c r="J4722" s="304" t="str">
        <f>CONCATENATE([2]Cover!$D$6,"fdd/view?i=",I4722)</f>
        <v>https://www.dgiwg.org/FAD/fdd/view?i=115165</v>
      </c>
      <c r="K4722" s="304" t="s">
        <v>38771</v>
      </c>
      <c r="L4722" s="188">
        <v>35</v>
      </c>
      <c r="M4722" s="179" t="s">
        <v>151</v>
      </c>
    </row>
    <row r="4723" spans="1:13" ht="25.5">
      <c r="A4723" s="313" t="str">
        <f t="shared" si="73"/>
        <v>MlsChannelCode_chan535</v>
      </c>
      <c r="B4723" s="330"/>
      <c r="C4723" s="334"/>
      <c r="D4723" s="188" t="s">
        <v>26375</v>
      </c>
      <c r="E4723" s="189" t="s">
        <v>26376</v>
      </c>
      <c r="F4723" s="162" t="s">
        <v>26377</v>
      </c>
      <c r="G4723" s="162" t="s">
        <v>13413</v>
      </c>
      <c r="H4723" s="219"/>
      <c r="I4723" s="169">
        <v>115166</v>
      </c>
      <c r="J4723" s="304" t="str">
        <f>CONCATENATE([2]Cover!$D$6,"fdd/view?i=",I4723)</f>
        <v>https://www.dgiwg.org/FAD/fdd/view?i=115166</v>
      </c>
      <c r="K4723" s="304" t="s">
        <v>38772</v>
      </c>
      <c r="L4723" s="188">
        <v>36</v>
      </c>
      <c r="M4723" s="179" t="s">
        <v>151</v>
      </c>
    </row>
    <row r="4724" spans="1:13" ht="25.5">
      <c r="A4724" s="313" t="str">
        <f t="shared" si="73"/>
        <v>MlsChannelCode_chan536</v>
      </c>
      <c r="B4724" s="330"/>
      <c r="C4724" s="334"/>
      <c r="D4724" s="188" t="s">
        <v>26378</v>
      </c>
      <c r="E4724" s="189" t="s">
        <v>26379</v>
      </c>
      <c r="F4724" s="162" t="s">
        <v>26380</v>
      </c>
      <c r="G4724" s="162" t="s">
        <v>13413</v>
      </c>
      <c r="H4724" s="219"/>
      <c r="I4724" s="169">
        <v>115167</v>
      </c>
      <c r="J4724" s="304" t="str">
        <f>CONCATENATE([2]Cover!$D$6,"fdd/view?i=",I4724)</f>
        <v>https://www.dgiwg.org/FAD/fdd/view?i=115167</v>
      </c>
      <c r="K4724" s="304" t="s">
        <v>38773</v>
      </c>
      <c r="L4724" s="188">
        <v>37</v>
      </c>
      <c r="M4724" s="179" t="s">
        <v>151</v>
      </c>
    </row>
    <row r="4725" spans="1:13" ht="25.5">
      <c r="A4725" s="313" t="str">
        <f t="shared" si="73"/>
        <v>MlsChannelCode_chan537</v>
      </c>
      <c r="B4725" s="330"/>
      <c r="C4725" s="334"/>
      <c r="D4725" s="188" t="s">
        <v>26381</v>
      </c>
      <c r="E4725" s="189" t="s">
        <v>26382</v>
      </c>
      <c r="F4725" s="162" t="s">
        <v>26383</v>
      </c>
      <c r="G4725" s="162" t="s">
        <v>13413</v>
      </c>
      <c r="H4725" s="219"/>
      <c r="I4725" s="169">
        <v>115168</v>
      </c>
      <c r="J4725" s="304" t="str">
        <f>CONCATENATE([2]Cover!$D$6,"fdd/view?i=",I4725)</f>
        <v>https://www.dgiwg.org/FAD/fdd/view?i=115168</v>
      </c>
      <c r="K4725" s="304" t="s">
        <v>38774</v>
      </c>
      <c r="L4725" s="188">
        <v>38</v>
      </c>
      <c r="M4725" s="179" t="s">
        <v>151</v>
      </c>
    </row>
    <row r="4726" spans="1:13" ht="25.5">
      <c r="A4726" s="313" t="str">
        <f t="shared" si="73"/>
        <v>MlsChannelCode_chan538</v>
      </c>
      <c r="B4726" s="330"/>
      <c r="C4726" s="334"/>
      <c r="D4726" s="188" t="s">
        <v>26384</v>
      </c>
      <c r="E4726" s="189" t="s">
        <v>26385</v>
      </c>
      <c r="F4726" s="162" t="s">
        <v>26386</v>
      </c>
      <c r="G4726" s="162" t="s">
        <v>13413</v>
      </c>
      <c r="H4726" s="219"/>
      <c r="I4726" s="169">
        <v>115169</v>
      </c>
      <c r="J4726" s="304" t="str">
        <f>CONCATENATE([2]Cover!$D$6,"fdd/view?i=",I4726)</f>
        <v>https://www.dgiwg.org/FAD/fdd/view?i=115169</v>
      </c>
      <c r="K4726" s="304" t="s">
        <v>38775</v>
      </c>
      <c r="L4726" s="188">
        <v>39</v>
      </c>
      <c r="M4726" s="179" t="s">
        <v>151</v>
      </c>
    </row>
    <row r="4727" spans="1:13" ht="25.5">
      <c r="A4727" s="313" t="str">
        <f t="shared" si="73"/>
        <v>MlsChannelCode_chan539</v>
      </c>
      <c r="B4727" s="330"/>
      <c r="C4727" s="334"/>
      <c r="D4727" s="188" t="s">
        <v>26387</v>
      </c>
      <c r="E4727" s="189" t="s">
        <v>26388</v>
      </c>
      <c r="F4727" s="162" t="s">
        <v>26389</v>
      </c>
      <c r="G4727" s="162" t="s">
        <v>13413</v>
      </c>
      <c r="H4727" s="219"/>
      <c r="I4727" s="169">
        <v>115170</v>
      </c>
      <c r="J4727" s="304" t="str">
        <f>CONCATENATE([2]Cover!$D$6,"fdd/view?i=",I4727)</f>
        <v>https://www.dgiwg.org/FAD/fdd/view?i=115170</v>
      </c>
      <c r="K4727" s="304" t="s">
        <v>38776</v>
      </c>
      <c r="L4727" s="188">
        <v>40</v>
      </c>
      <c r="M4727" s="179" t="s">
        <v>151</v>
      </c>
    </row>
    <row r="4728" spans="1:13" ht="25.5">
      <c r="A4728" s="313" t="str">
        <f t="shared" si="73"/>
        <v>MlsChannelCode_chan540</v>
      </c>
      <c r="B4728" s="330"/>
      <c r="C4728" s="334"/>
      <c r="D4728" s="188" t="s">
        <v>26390</v>
      </c>
      <c r="E4728" s="189" t="s">
        <v>26391</v>
      </c>
      <c r="F4728" s="162" t="s">
        <v>26392</v>
      </c>
      <c r="G4728" s="162" t="s">
        <v>13413</v>
      </c>
      <c r="H4728" s="219"/>
      <c r="I4728" s="169">
        <v>115171</v>
      </c>
      <c r="J4728" s="304" t="str">
        <f>CONCATENATE([2]Cover!$D$6,"fdd/view?i=",I4728)</f>
        <v>https://www.dgiwg.org/FAD/fdd/view?i=115171</v>
      </c>
      <c r="K4728" s="304" t="s">
        <v>38777</v>
      </c>
      <c r="L4728" s="188">
        <v>41</v>
      </c>
      <c r="M4728" s="179" t="s">
        <v>151</v>
      </c>
    </row>
    <row r="4729" spans="1:13" ht="25.5">
      <c r="A4729" s="313" t="str">
        <f t="shared" si="73"/>
        <v>MlsChannelCode_chan541</v>
      </c>
      <c r="B4729" s="330"/>
      <c r="C4729" s="334"/>
      <c r="D4729" s="188" t="s">
        <v>26393</v>
      </c>
      <c r="E4729" s="189" t="s">
        <v>26394</v>
      </c>
      <c r="F4729" s="162" t="s">
        <v>26395</v>
      </c>
      <c r="G4729" s="162" t="s">
        <v>13413</v>
      </c>
      <c r="H4729" s="219"/>
      <c r="I4729" s="169">
        <v>115172</v>
      </c>
      <c r="J4729" s="304" t="str">
        <f>CONCATENATE([2]Cover!$D$6,"fdd/view?i=",I4729)</f>
        <v>https://www.dgiwg.org/FAD/fdd/view?i=115172</v>
      </c>
      <c r="K4729" s="304" t="s">
        <v>38778</v>
      </c>
      <c r="L4729" s="188">
        <v>42</v>
      </c>
      <c r="M4729" s="179" t="s">
        <v>151</v>
      </c>
    </row>
    <row r="4730" spans="1:13" ht="25.5">
      <c r="A4730" s="313" t="str">
        <f t="shared" si="73"/>
        <v>MlsChannelCode_chan542</v>
      </c>
      <c r="B4730" s="330"/>
      <c r="C4730" s="334"/>
      <c r="D4730" s="188" t="s">
        <v>26396</v>
      </c>
      <c r="E4730" s="189" t="s">
        <v>26397</v>
      </c>
      <c r="F4730" s="162" t="s">
        <v>26398</v>
      </c>
      <c r="G4730" s="162" t="s">
        <v>13413</v>
      </c>
      <c r="H4730" s="219"/>
      <c r="I4730" s="169">
        <v>115173</v>
      </c>
      <c r="J4730" s="304" t="str">
        <f>CONCATENATE([2]Cover!$D$6,"fdd/view?i=",I4730)</f>
        <v>https://www.dgiwg.org/FAD/fdd/view?i=115173</v>
      </c>
      <c r="K4730" s="304" t="s">
        <v>38779</v>
      </c>
      <c r="L4730" s="188">
        <v>43</v>
      </c>
      <c r="M4730" s="179" t="s">
        <v>151</v>
      </c>
    </row>
    <row r="4731" spans="1:13" ht="25.5">
      <c r="A4731" s="313" t="str">
        <f t="shared" si="73"/>
        <v>MlsChannelCode_chan543</v>
      </c>
      <c r="B4731" s="330"/>
      <c r="C4731" s="334"/>
      <c r="D4731" s="188" t="s">
        <v>26399</v>
      </c>
      <c r="E4731" s="189" t="s">
        <v>26400</v>
      </c>
      <c r="F4731" s="162" t="s">
        <v>26401</v>
      </c>
      <c r="G4731" s="162" t="s">
        <v>13413</v>
      </c>
      <c r="H4731" s="219"/>
      <c r="I4731" s="169">
        <v>115174</v>
      </c>
      <c r="J4731" s="304" t="str">
        <f>CONCATENATE([2]Cover!$D$6,"fdd/view?i=",I4731)</f>
        <v>https://www.dgiwg.org/FAD/fdd/view?i=115174</v>
      </c>
      <c r="K4731" s="304" t="s">
        <v>38780</v>
      </c>
      <c r="L4731" s="188">
        <v>44</v>
      </c>
      <c r="M4731" s="179" t="s">
        <v>151</v>
      </c>
    </row>
    <row r="4732" spans="1:13" ht="25.5">
      <c r="A4732" s="313" t="str">
        <f t="shared" si="73"/>
        <v>MlsChannelCode_chan544</v>
      </c>
      <c r="B4732" s="330"/>
      <c r="C4732" s="334"/>
      <c r="D4732" s="188" t="s">
        <v>26402</v>
      </c>
      <c r="E4732" s="189" t="s">
        <v>26403</v>
      </c>
      <c r="F4732" s="162" t="s">
        <v>26404</v>
      </c>
      <c r="G4732" s="162" t="s">
        <v>13413</v>
      </c>
      <c r="H4732" s="219"/>
      <c r="I4732" s="169">
        <v>115175</v>
      </c>
      <c r="J4732" s="304" t="str">
        <f>CONCATENATE([2]Cover!$D$6,"fdd/view?i=",I4732)</f>
        <v>https://www.dgiwg.org/FAD/fdd/view?i=115175</v>
      </c>
      <c r="K4732" s="304" t="s">
        <v>38781</v>
      </c>
      <c r="L4732" s="188">
        <v>45</v>
      </c>
      <c r="M4732" s="179" t="s">
        <v>151</v>
      </c>
    </row>
    <row r="4733" spans="1:13" ht="25.5">
      <c r="A4733" s="313" t="str">
        <f t="shared" si="73"/>
        <v>MlsChannelCode_chan545</v>
      </c>
      <c r="B4733" s="330"/>
      <c r="C4733" s="334"/>
      <c r="D4733" s="188" t="s">
        <v>26405</v>
      </c>
      <c r="E4733" s="189" t="s">
        <v>26406</v>
      </c>
      <c r="F4733" s="162" t="s">
        <v>26407</v>
      </c>
      <c r="G4733" s="162" t="s">
        <v>13413</v>
      </c>
      <c r="H4733" s="219"/>
      <c r="I4733" s="169">
        <v>115176</v>
      </c>
      <c r="J4733" s="304" t="str">
        <f>CONCATENATE([2]Cover!$D$6,"fdd/view?i=",I4733)</f>
        <v>https://www.dgiwg.org/FAD/fdd/view?i=115176</v>
      </c>
      <c r="K4733" s="304" t="s">
        <v>38782</v>
      </c>
      <c r="L4733" s="188">
        <v>46</v>
      </c>
      <c r="M4733" s="179" t="s">
        <v>151</v>
      </c>
    </row>
    <row r="4734" spans="1:13" ht="25.5">
      <c r="A4734" s="313" t="str">
        <f t="shared" si="73"/>
        <v>MlsChannelCode_chan546</v>
      </c>
      <c r="B4734" s="330"/>
      <c r="C4734" s="334"/>
      <c r="D4734" s="188" t="s">
        <v>26408</v>
      </c>
      <c r="E4734" s="189" t="s">
        <v>26409</v>
      </c>
      <c r="F4734" s="162" t="s">
        <v>26410</v>
      </c>
      <c r="G4734" s="162" t="s">
        <v>13413</v>
      </c>
      <c r="H4734" s="219"/>
      <c r="I4734" s="169">
        <v>115177</v>
      </c>
      <c r="J4734" s="304" t="str">
        <f>CONCATENATE([2]Cover!$D$6,"fdd/view?i=",I4734)</f>
        <v>https://www.dgiwg.org/FAD/fdd/view?i=115177</v>
      </c>
      <c r="K4734" s="304" t="s">
        <v>38783</v>
      </c>
      <c r="L4734" s="188">
        <v>47</v>
      </c>
      <c r="M4734" s="179" t="s">
        <v>151</v>
      </c>
    </row>
    <row r="4735" spans="1:13" ht="25.5">
      <c r="A4735" s="313" t="str">
        <f t="shared" si="73"/>
        <v>MlsChannelCode_chan547</v>
      </c>
      <c r="B4735" s="330"/>
      <c r="C4735" s="334"/>
      <c r="D4735" s="188" t="s">
        <v>26411</v>
      </c>
      <c r="E4735" s="189" t="s">
        <v>26412</v>
      </c>
      <c r="F4735" s="162" t="s">
        <v>26413</v>
      </c>
      <c r="G4735" s="162" t="s">
        <v>13413</v>
      </c>
      <c r="H4735" s="219"/>
      <c r="I4735" s="169">
        <v>115178</v>
      </c>
      <c r="J4735" s="304" t="str">
        <f>CONCATENATE([2]Cover!$D$6,"fdd/view?i=",I4735)</f>
        <v>https://www.dgiwg.org/FAD/fdd/view?i=115178</v>
      </c>
      <c r="K4735" s="304" t="s">
        <v>38784</v>
      </c>
      <c r="L4735" s="188">
        <v>48</v>
      </c>
      <c r="M4735" s="179" t="s">
        <v>151</v>
      </c>
    </row>
    <row r="4736" spans="1:13" ht="25.5">
      <c r="A4736" s="313" t="str">
        <f t="shared" si="73"/>
        <v>MlsChannelCode_chan548</v>
      </c>
      <c r="B4736" s="330"/>
      <c r="C4736" s="334"/>
      <c r="D4736" s="188" t="s">
        <v>26414</v>
      </c>
      <c r="E4736" s="189" t="s">
        <v>26415</v>
      </c>
      <c r="F4736" s="162" t="s">
        <v>26416</v>
      </c>
      <c r="G4736" s="162" t="s">
        <v>13413</v>
      </c>
      <c r="H4736" s="219"/>
      <c r="I4736" s="169">
        <v>115179</v>
      </c>
      <c r="J4736" s="304" t="str">
        <f>CONCATENATE([2]Cover!$D$6,"fdd/view?i=",I4736)</f>
        <v>https://www.dgiwg.org/FAD/fdd/view?i=115179</v>
      </c>
      <c r="K4736" s="304" t="s">
        <v>38785</v>
      </c>
      <c r="L4736" s="188">
        <v>49</v>
      </c>
      <c r="M4736" s="179" t="s">
        <v>151</v>
      </c>
    </row>
    <row r="4737" spans="1:13" ht="25.5">
      <c r="A4737" s="313" t="str">
        <f t="shared" si="73"/>
        <v>MlsChannelCode_chan549</v>
      </c>
      <c r="B4737" s="330"/>
      <c r="C4737" s="334"/>
      <c r="D4737" s="188" t="s">
        <v>26417</v>
      </c>
      <c r="E4737" s="189" t="s">
        <v>26418</v>
      </c>
      <c r="F4737" s="162" t="s">
        <v>26419</v>
      </c>
      <c r="G4737" s="162" t="s">
        <v>13413</v>
      </c>
      <c r="H4737" s="219"/>
      <c r="I4737" s="169">
        <v>115180</v>
      </c>
      <c r="J4737" s="304" t="str">
        <f>CONCATENATE([2]Cover!$D$6,"fdd/view?i=",I4737)</f>
        <v>https://www.dgiwg.org/FAD/fdd/view?i=115180</v>
      </c>
      <c r="K4737" s="304" t="s">
        <v>38786</v>
      </c>
      <c r="L4737" s="188">
        <v>50</v>
      </c>
      <c r="M4737" s="179" t="s">
        <v>151</v>
      </c>
    </row>
    <row r="4738" spans="1:13" ht="25.5">
      <c r="A4738" s="313" t="str">
        <f t="shared" si="73"/>
        <v>MlsChannelCode_chan550</v>
      </c>
      <c r="B4738" s="330"/>
      <c r="C4738" s="334"/>
      <c r="D4738" s="188" t="s">
        <v>26420</v>
      </c>
      <c r="E4738" s="189" t="s">
        <v>26421</v>
      </c>
      <c r="F4738" s="162" t="s">
        <v>26422</v>
      </c>
      <c r="G4738" s="162" t="s">
        <v>13413</v>
      </c>
      <c r="H4738" s="219"/>
      <c r="I4738" s="169">
        <v>115181</v>
      </c>
      <c r="J4738" s="304" t="str">
        <f>CONCATENATE([2]Cover!$D$6,"fdd/view?i=",I4738)</f>
        <v>https://www.dgiwg.org/FAD/fdd/view?i=115181</v>
      </c>
      <c r="K4738" s="304" t="s">
        <v>38787</v>
      </c>
      <c r="L4738" s="188">
        <v>51</v>
      </c>
      <c r="M4738" s="179" t="s">
        <v>151</v>
      </c>
    </row>
    <row r="4739" spans="1:13" ht="25.5">
      <c r="A4739" s="313" t="str">
        <f t="shared" ref="A4739:A4802" si="74">HYPERLINK(J4739,K4739)</f>
        <v>MlsChannelCode_chan551</v>
      </c>
      <c r="B4739" s="330"/>
      <c r="C4739" s="334"/>
      <c r="D4739" s="188" t="s">
        <v>26423</v>
      </c>
      <c r="E4739" s="189" t="s">
        <v>26424</v>
      </c>
      <c r="F4739" s="162" t="s">
        <v>26425</v>
      </c>
      <c r="G4739" s="162" t="s">
        <v>13413</v>
      </c>
      <c r="H4739" s="219"/>
      <c r="I4739" s="169">
        <v>115182</v>
      </c>
      <c r="J4739" s="304" t="str">
        <f>CONCATENATE([2]Cover!$D$6,"fdd/view?i=",I4739)</f>
        <v>https://www.dgiwg.org/FAD/fdd/view?i=115182</v>
      </c>
      <c r="K4739" s="304" t="s">
        <v>38788</v>
      </c>
      <c r="L4739" s="188">
        <v>52</v>
      </c>
      <c r="M4739" s="179" t="s">
        <v>151</v>
      </c>
    </row>
    <row r="4740" spans="1:13" ht="25.5">
      <c r="A4740" s="313" t="str">
        <f t="shared" si="74"/>
        <v>MlsChannelCode_chan552</v>
      </c>
      <c r="B4740" s="330"/>
      <c r="C4740" s="334"/>
      <c r="D4740" s="188" t="s">
        <v>26426</v>
      </c>
      <c r="E4740" s="189" t="s">
        <v>26427</v>
      </c>
      <c r="F4740" s="162" t="s">
        <v>26428</v>
      </c>
      <c r="G4740" s="162" t="s">
        <v>13413</v>
      </c>
      <c r="H4740" s="219"/>
      <c r="I4740" s="169">
        <v>115183</v>
      </c>
      <c r="J4740" s="304" t="str">
        <f>CONCATENATE([2]Cover!$D$6,"fdd/view?i=",I4740)</f>
        <v>https://www.dgiwg.org/FAD/fdd/view?i=115183</v>
      </c>
      <c r="K4740" s="304" t="s">
        <v>38789</v>
      </c>
      <c r="L4740" s="188">
        <v>53</v>
      </c>
      <c r="M4740" s="179" t="s">
        <v>151</v>
      </c>
    </row>
    <row r="4741" spans="1:13" ht="25.5">
      <c r="A4741" s="313" t="str">
        <f t="shared" si="74"/>
        <v>MlsChannelCode_chan553</v>
      </c>
      <c r="B4741" s="330"/>
      <c r="C4741" s="334"/>
      <c r="D4741" s="188" t="s">
        <v>26429</v>
      </c>
      <c r="E4741" s="189" t="s">
        <v>26430</v>
      </c>
      <c r="F4741" s="162" t="s">
        <v>26431</v>
      </c>
      <c r="G4741" s="162" t="s">
        <v>13413</v>
      </c>
      <c r="H4741" s="219"/>
      <c r="I4741" s="169">
        <v>115184</v>
      </c>
      <c r="J4741" s="304" t="str">
        <f>CONCATENATE([2]Cover!$D$6,"fdd/view?i=",I4741)</f>
        <v>https://www.dgiwg.org/FAD/fdd/view?i=115184</v>
      </c>
      <c r="K4741" s="304" t="s">
        <v>38790</v>
      </c>
      <c r="L4741" s="188">
        <v>54</v>
      </c>
      <c r="M4741" s="179" t="s">
        <v>151</v>
      </c>
    </row>
    <row r="4742" spans="1:13" ht="25.5">
      <c r="A4742" s="313" t="str">
        <f t="shared" si="74"/>
        <v>MlsChannelCode_chan554</v>
      </c>
      <c r="B4742" s="330"/>
      <c r="C4742" s="334"/>
      <c r="D4742" s="188" t="s">
        <v>26432</v>
      </c>
      <c r="E4742" s="189" t="s">
        <v>26433</v>
      </c>
      <c r="F4742" s="162" t="s">
        <v>26434</v>
      </c>
      <c r="G4742" s="162" t="s">
        <v>13413</v>
      </c>
      <c r="H4742" s="219"/>
      <c r="I4742" s="169">
        <v>115185</v>
      </c>
      <c r="J4742" s="304" t="str">
        <f>CONCATENATE([2]Cover!$D$6,"fdd/view?i=",I4742)</f>
        <v>https://www.dgiwg.org/FAD/fdd/view?i=115185</v>
      </c>
      <c r="K4742" s="304" t="s">
        <v>38791</v>
      </c>
      <c r="L4742" s="188">
        <v>55</v>
      </c>
      <c r="M4742" s="179" t="s">
        <v>151</v>
      </c>
    </row>
    <row r="4743" spans="1:13" ht="25.5">
      <c r="A4743" s="313" t="str">
        <f t="shared" si="74"/>
        <v>MlsChannelCode_chan555</v>
      </c>
      <c r="B4743" s="330"/>
      <c r="C4743" s="334"/>
      <c r="D4743" s="188" t="s">
        <v>26435</v>
      </c>
      <c r="E4743" s="189" t="s">
        <v>26436</v>
      </c>
      <c r="F4743" s="162" t="s">
        <v>26437</v>
      </c>
      <c r="G4743" s="162" t="s">
        <v>13413</v>
      </c>
      <c r="H4743" s="219"/>
      <c r="I4743" s="169">
        <v>115186</v>
      </c>
      <c r="J4743" s="304" t="str">
        <f>CONCATENATE([2]Cover!$D$6,"fdd/view?i=",I4743)</f>
        <v>https://www.dgiwg.org/FAD/fdd/view?i=115186</v>
      </c>
      <c r="K4743" s="304" t="s">
        <v>38792</v>
      </c>
      <c r="L4743" s="188">
        <v>56</v>
      </c>
      <c r="M4743" s="179" t="s">
        <v>151</v>
      </c>
    </row>
    <row r="4744" spans="1:13" ht="25.5">
      <c r="A4744" s="313" t="str">
        <f t="shared" si="74"/>
        <v>MlsChannelCode_chan556</v>
      </c>
      <c r="B4744" s="330"/>
      <c r="C4744" s="334"/>
      <c r="D4744" s="188" t="s">
        <v>26438</v>
      </c>
      <c r="E4744" s="189" t="s">
        <v>26439</v>
      </c>
      <c r="F4744" s="162" t="s">
        <v>26440</v>
      </c>
      <c r="G4744" s="162" t="s">
        <v>13413</v>
      </c>
      <c r="H4744" s="219"/>
      <c r="I4744" s="169">
        <v>115187</v>
      </c>
      <c r="J4744" s="304" t="str">
        <f>CONCATENATE([2]Cover!$D$6,"fdd/view?i=",I4744)</f>
        <v>https://www.dgiwg.org/FAD/fdd/view?i=115187</v>
      </c>
      <c r="K4744" s="304" t="s">
        <v>38793</v>
      </c>
      <c r="L4744" s="188">
        <v>57</v>
      </c>
      <c r="M4744" s="179" t="s">
        <v>151</v>
      </c>
    </row>
    <row r="4745" spans="1:13" ht="25.5">
      <c r="A4745" s="313" t="str">
        <f t="shared" si="74"/>
        <v>MlsChannelCode_chan557</v>
      </c>
      <c r="B4745" s="330"/>
      <c r="C4745" s="334"/>
      <c r="D4745" s="188" t="s">
        <v>26441</v>
      </c>
      <c r="E4745" s="189" t="s">
        <v>26442</v>
      </c>
      <c r="F4745" s="162" t="s">
        <v>26443</v>
      </c>
      <c r="G4745" s="162" t="s">
        <v>13413</v>
      </c>
      <c r="H4745" s="219"/>
      <c r="I4745" s="169">
        <v>115188</v>
      </c>
      <c r="J4745" s="304" t="str">
        <f>CONCATENATE([2]Cover!$D$6,"fdd/view?i=",I4745)</f>
        <v>https://www.dgiwg.org/FAD/fdd/view?i=115188</v>
      </c>
      <c r="K4745" s="304" t="s">
        <v>38794</v>
      </c>
      <c r="L4745" s="188">
        <v>58</v>
      </c>
      <c r="M4745" s="179" t="s">
        <v>151</v>
      </c>
    </row>
    <row r="4746" spans="1:13" ht="25.5">
      <c r="A4746" s="313" t="str">
        <f t="shared" si="74"/>
        <v>MlsChannelCode_chan558</v>
      </c>
      <c r="B4746" s="330"/>
      <c r="C4746" s="334"/>
      <c r="D4746" s="188" t="s">
        <v>26444</v>
      </c>
      <c r="E4746" s="189" t="s">
        <v>26445</v>
      </c>
      <c r="F4746" s="162" t="s">
        <v>26446</v>
      </c>
      <c r="G4746" s="162" t="s">
        <v>13413</v>
      </c>
      <c r="H4746" s="219"/>
      <c r="I4746" s="169">
        <v>115189</v>
      </c>
      <c r="J4746" s="304" t="str">
        <f>CONCATENATE([2]Cover!$D$6,"fdd/view?i=",I4746)</f>
        <v>https://www.dgiwg.org/FAD/fdd/view?i=115189</v>
      </c>
      <c r="K4746" s="304" t="s">
        <v>38795</v>
      </c>
      <c r="L4746" s="188">
        <v>59</v>
      </c>
      <c r="M4746" s="179" t="s">
        <v>151</v>
      </c>
    </row>
    <row r="4747" spans="1:13" ht="25.5">
      <c r="A4747" s="313" t="str">
        <f t="shared" si="74"/>
        <v>MlsChannelCode_chan559</v>
      </c>
      <c r="B4747" s="330"/>
      <c r="C4747" s="334"/>
      <c r="D4747" s="188" t="s">
        <v>26447</v>
      </c>
      <c r="E4747" s="189" t="s">
        <v>26448</v>
      </c>
      <c r="F4747" s="162" t="s">
        <v>26449</v>
      </c>
      <c r="G4747" s="162" t="s">
        <v>13413</v>
      </c>
      <c r="H4747" s="219"/>
      <c r="I4747" s="169">
        <v>115190</v>
      </c>
      <c r="J4747" s="304" t="str">
        <f>CONCATENATE([2]Cover!$D$6,"fdd/view?i=",I4747)</f>
        <v>https://www.dgiwg.org/FAD/fdd/view?i=115190</v>
      </c>
      <c r="K4747" s="304" t="s">
        <v>38796</v>
      </c>
      <c r="L4747" s="188">
        <v>60</v>
      </c>
      <c r="M4747" s="179" t="s">
        <v>151</v>
      </c>
    </row>
    <row r="4748" spans="1:13" ht="25.5">
      <c r="A4748" s="313" t="str">
        <f t="shared" si="74"/>
        <v>MlsChannelCode_chan560</v>
      </c>
      <c r="B4748" s="330"/>
      <c r="C4748" s="334"/>
      <c r="D4748" s="188" t="s">
        <v>26450</v>
      </c>
      <c r="E4748" s="189" t="s">
        <v>26451</v>
      </c>
      <c r="F4748" s="162" t="s">
        <v>26452</v>
      </c>
      <c r="G4748" s="162" t="s">
        <v>13413</v>
      </c>
      <c r="H4748" s="219"/>
      <c r="I4748" s="169">
        <v>115191</v>
      </c>
      <c r="J4748" s="304" t="str">
        <f>CONCATENATE([2]Cover!$D$6,"fdd/view?i=",I4748)</f>
        <v>https://www.dgiwg.org/FAD/fdd/view?i=115191</v>
      </c>
      <c r="K4748" s="304" t="s">
        <v>38797</v>
      </c>
      <c r="L4748" s="188">
        <v>61</v>
      </c>
      <c r="M4748" s="179" t="s">
        <v>151</v>
      </c>
    </row>
    <row r="4749" spans="1:13" ht="25.5">
      <c r="A4749" s="313" t="str">
        <f t="shared" si="74"/>
        <v>MlsChannelCode_chan561</v>
      </c>
      <c r="B4749" s="330"/>
      <c r="C4749" s="334"/>
      <c r="D4749" s="188" t="s">
        <v>26453</v>
      </c>
      <c r="E4749" s="189" t="s">
        <v>26454</v>
      </c>
      <c r="F4749" s="162" t="s">
        <v>26455</v>
      </c>
      <c r="G4749" s="162" t="s">
        <v>13413</v>
      </c>
      <c r="H4749" s="219"/>
      <c r="I4749" s="169">
        <v>115192</v>
      </c>
      <c r="J4749" s="304" t="str">
        <f>CONCATENATE([2]Cover!$D$6,"fdd/view?i=",I4749)</f>
        <v>https://www.dgiwg.org/FAD/fdd/view?i=115192</v>
      </c>
      <c r="K4749" s="304" t="s">
        <v>38798</v>
      </c>
      <c r="L4749" s="188">
        <v>62</v>
      </c>
      <c r="M4749" s="179" t="s">
        <v>151</v>
      </c>
    </row>
    <row r="4750" spans="1:13" ht="25.5">
      <c r="A4750" s="313" t="str">
        <f t="shared" si="74"/>
        <v>MlsChannelCode_chan562</v>
      </c>
      <c r="B4750" s="330"/>
      <c r="C4750" s="334"/>
      <c r="D4750" s="188" t="s">
        <v>26456</v>
      </c>
      <c r="E4750" s="189" t="s">
        <v>26457</v>
      </c>
      <c r="F4750" s="162" t="s">
        <v>26458</v>
      </c>
      <c r="G4750" s="162" t="s">
        <v>13413</v>
      </c>
      <c r="H4750" s="219"/>
      <c r="I4750" s="169">
        <v>115193</v>
      </c>
      <c r="J4750" s="304" t="str">
        <f>CONCATENATE([2]Cover!$D$6,"fdd/view?i=",I4750)</f>
        <v>https://www.dgiwg.org/FAD/fdd/view?i=115193</v>
      </c>
      <c r="K4750" s="304" t="s">
        <v>38799</v>
      </c>
      <c r="L4750" s="188">
        <v>63</v>
      </c>
      <c r="M4750" s="179" t="s">
        <v>151</v>
      </c>
    </row>
    <row r="4751" spans="1:13" ht="25.5">
      <c r="A4751" s="313" t="str">
        <f t="shared" si="74"/>
        <v>MlsChannelCode_chan563</v>
      </c>
      <c r="B4751" s="330"/>
      <c r="C4751" s="334"/>
      <c r="D4751" s="188" t="s">
        <v>26459</v>
      </c>
      <c r="E4751" s="189" t="s">
        <v>26460</v>
      </c>
      <c r="F4751" s="162" t="s">
        <v>26461</v>
      </c>
      <c r="G4751" s="162" t="s">
        <v>13413</v>
      </c>
      <c r="H4751" s="219"/>
      <c r="I4751" s="169">
        <v>115194</v>
      </c>
      <c r="J4751" s="304" t="str">
        <f>CONCATENATE([2]Cover!$D$6,"fdd/view?i=",I4751)</f>
        <v>https://www.dgiwg.org/FAD/fdd/view?i=115194</v>
      </c>
      <c r="K4751" s="304" t="s">
        <v>38800</v>
      </c>
      <c r="L4751" s="188">
        <v>64</v>
      </c>
      <c r="M4751" s="179" t="s">
        <v>151</v>
      </c>
    </row>
    <row r="4752" spans="1:13" ht="25.5">
      <c r="A4752" s="313" t="str">
        <f t="shared" si="74"/>
        <v>MlsChannelCode_chan564</v>
      </c>
      <c r="B4752" s="330"/>
      <c r="C4752" s="334"/>
      <c r="D4752" s="188" t="s">
        <v>26462</v>
      </c>
      <c r="E4752" s="189" t="s">
        <v>26463</v>
      </c>
      <c r="F4752" s="162" t="s">
        <v>26464</v>
      </c>
      <c r="G4752" s="162" t="s">
        <v>13413</v>
      </c>
      <c r="H4752" s="219"/>
      <c r="I4752" s="169">
        <v>115195</v>
      </c>
      <c r="J4752" s="304" t="str">
        <f>CONCATENATE([2]Cover!$D$6,"fdd/view?i=",I4752)</f>
        <v>https://www.dgiwg.org/FAD/fdd/view?i=115195</v>
      </c>
      <c r="K4752" s="304" t="s">
        <v>38801</v>
      </c>
      <c r="L4752" s="188">
        <v>65</v>
      </c>
      <c r="M4752" s="179" t="s">
        <v>151</v>
      </c>
    </row>
    <row r="4753" spans="1:13" ht="25.5">
      <c r="A4753" s="313" t="str">
        <f t="shared" si="74"/>
        <v>MlsChannelCode_chan565</v>
      </c>
      <c r="B4753" s="330"/>
      <c r="C4753" s="334"/>
      <c r="D4753" s="188" t="s">
        <v>26465</v>
      </c>
      <c r="E4753" s="189" t="s">
        <v>26466</v>
      </c>
      <c r="F4753" s="162" t="s">
        <v>26467</v>
      </c>
      <c r="G4753" s="162" t="s">
        <v>13413</v>
      </c>
      <c r="H4753" s="219"/>
      <c r="I4753" s="169">
        <v>115196</v>
      </c>
      <c r="J4753" s="304" t="str">
        <f>CONCATENATE([2]Cover!$D$6,"fdd/view?i=",I4753)</f>
        <v>https://www.dgiwg.org/FAD/fdd/view?i=115196</v>
      </c>
      <c r="K4753" s="304" t="s">
        <v>38802</v>
      </c>
      <c r="L4753" s="188">
        <v>66</v>
      </c>
      <c r="M4753" s="179" t="s">
        <v>151</v>
      </c>
    </row>
    <row r="4754" spans="1:13" ht="25.5">
      <c r="A4754" s="313" t="str">
        <f t="shared" si="74"/>
        <v>MlsChannelCode_chan566</v>
      </c>
      <c r="B4754" s="330"/>
      <c r="C4754" s="334"/>
      <c r="D4754" s="188" t="s">
        <v>26468</v>
      </c>
      <c r="E4754" s="189" t="s">
        <v>26469</v>
      </c>
      <c r="F4754" s="162" t="s">
        <v>26470</v>
      </c>
      <c r="G4754" s="162" t="s">
        <v>13413</v>
      </c>
      <c r="H4754" s="219"/>
      <c r="I4754" s="169">
        <v>115197</v>
      </c>
      <c r="J4754" s="304" t="str">
        <f>CONCATENATE([2]Cover!$D$6,"fdd/view?i=",I4754)</f>
        <v>https://www.dgiwg.org/FAD/fdd/view?i=115197</v>
      </c>
      <c r="K4754" s="304" t="s">
        <v>38803</v>
      </c>
      <c r="L4754" s="188">
        <v>67</v>
      </c>
      <c r="M4754" s="179" t="s">
        <v>151</v>
      </c>
    </row>
    <row r="4755" spans="1:13" ht="25.5">
      <c r="A4755" s="313" t="str">
        <f t="shared" si="74"/>
        <v>MlsChannelCode_chan567</v>
      </c>
      <c r="B4755" s="330"/>
      <c r="C4755" s="334"/>
      <c r="D4755" s="188" t="s">
        <v>26471</v>
      </c>
      <c r="E4755" s="189" t="s">
        <v>26472</v>
      </c>
      <c r="F4755" s="162" t="s">
        <v>26473</v>
      </c>
      <c r="G4755" s="162" t="s">
        <v>13413</v>
      </c>
      <c r="H4755" s="219"/>
      <c r="I4755" s="169">
        <v>115198</v>
      </c>
      <c r="J4755" s="304" t="str">
        <f>CONCATENATE([2]Cover!$D$6,"fdd/view?i=",I4755)</f>
        <v>https://www.dgiwg.org/FAD/fdd/view?i=115198</v>
      </c>
      <c r="K4755" s="304" t="s">
        <v>38804</v>
      </c>
      <c r="L4755" s="188">
        <v>68</v>
      </c>
      <c r="M4755" s="179" t="s">
        <v>151</v>
      </c>
    </row>
    <row r="4756" spans="1:13" ht="25.5">
      <c r="A4756" s="313" t="str">
        <f t="shared" si="74"/>
        <v>MlsChannelCode_chan568</v>
      </c>
      <c r="B4756" s="330"/>
      <c r="C4756" s="334"/>
      <c r="D4756" s="188" t="s">
        <v>26474</v>
      </c>
      <c r="E4756" s="189" t="s">
        <v>26475</v>
      </c>
      <c r="F4756" s="162" t="s">
        <v>26476</v>
      </c>
      <c r="G4756" s="162" t="s">
        <v>13413</v>
      </c>
      <c r="H4756" s="219"/>
      <c r="I4756" s="169">
        <v>115199</v>
      </c>
      <c r="J4756" s="304" t="str">
        <f>CONCATENATE([2]Cover!$D$6,"fdd/view?i=",I4756)</f>
        <v>https://www.dgiwg.org/FAD/fdd/view?i=115199</v>
      </c>
      <c r="K4756" s="304" t="s">
        <v>38805</v>
      </c>
      <c r="L4756" s="188">
        <v>69</v>
      </c>
      <c r="M4756" s="179" t="s">
        <v>151</v>
      </c>
    </row>
    <row r="4757" spans="1:13" ht="25.5">
      <c r="A4757" s="313" t="str">
        <f t="shared" si="74"/>
        <v>MlsChannelCode_chan569</v>
      </c>
      <c r="B4757" s="330"/>
      <c r="C4757" s="334"/>
      <c r="D4757" s="188" t="s">
        <v>26477</v>
      </c>
      <c r="E4757" s="189" t="s">
        <v>26478</v>
      </c>
      <c r="F4757" s="162" t="s">
        <v>26479</v>
      </c>
      <c r="G4757" s="162" t="s">
        <v>13413</v>
      </c>
      <c r="H4757" s="219"/>
      <c r="I4757" s="169">
        <v>115200</v>
      </c>
      <c r="J4757" s="304" t="str">
        <f>CONCATENATE([2]Cover!$D$6,"fdd/view?i=",I4757)</f>
        <v>https://www.dgiwg.org/FAD/fdd/view?i=115200</v>
      </c>
      <c r="K4757" s="304" t="s">
        <v>38806</v>
      </c>
      <c r="L4757" s="188">
        <v>70</v>
      </c>
      <c r="M4757" s="179" t="s">
        <v>151</v>
      </c>
    </row>
    <row r="4758" spans="1:13" ht="25.5">
      <c r="A4758" s="313" t="str">
        <f t="shared" si="74"/>
        <v>MlsChannelCode_chan570</v>
      </c>
      <c r="B4758" s="330"/>
      <c r="C4758" s="334"/>
      <c r="D4758" s="188" t="s">
        <v>26480</v>
      </c>
      <c r="E4758" s="189" t="s">
        <v>26481</v>
      </c>
      <c r="F4758" s="162" t="s">
        <v>26482</v>
      </c>
      <c r="G4758" s="162" t="s">
        <v>13413</v>
      </c>
      <c r="H4758" s="219"/>
      <c r="I4758" s="169">
        <v>115201</v>
      </c>
      <c r="J4758" s="304" t="str">
        <f>CONCATENATE([2]Cover!$D$6,"fdd/view?i=",I4758)</f>
        <v>https://www.dgiwg.org/FAD/fdd/view?i=115201</v>
      </c>
      <c r="K4758" s="304" t="s">
        <v>38807</v>
      </c>
      <c r="L4758" s="188">
        <v>71</v>
      </c>
      <c r="M4758" s="179" t="s">
        <v>151</v>
      </c>
    </row>
    <row r="4759" spans="1:13" ht="25.5">
      <c r="A4759" s="313" t="str">
        <f t="shared" si="74"/>
        <v>MlsChannelCode_chan571</v>
      </c>
      <c r="B4759" s="330"/>
      <c r="C4759" s="334"/>
      <c r="D4759" s="188" t="s">
        <v>26483</v>
      </c>
      <c r="E4759" s="189" t="s">
        <v>26484</v>
      </c>
      <c r="F4759" s="162" t="s">
        <v>26485</v>
      </c>
      <c r="G4759" s="162" t="s">
        <v>13413</v>
      </c>
      <c r="H4759" s="219"/>
      <c r="I4759" s="169">
        <v>115202</v>
      </c>
      <c r="J4759" s="304" t="str">
        <f>CONCATENATE([2]Cover!$D$6,"fdd/view?i=",I4759)</f>
        <v>https://www.dgiwg.org/FAD/fdd/view?i=115202</v>
      </c>
      <c r="K4759" s="304" t="s">
        <v>38808</v>
      </c>
      <c r="L4759" s="188">
        <v>72</v>
      </c>
      <c r="M4759" s="179" t="s">
        <v>151</v>
      </c>
    </row>
    <row r="4760" spans="1:13" ht="25.5">
      <c r="A4760" s="313" t="str">
        <f t="shared" si="74"/>
        <v>MlsChannelCode_chan572</v>
      </c>
      <c r="B4760" s="330"/>
      <c r="C4760" s="334"/>
      <c r="D4760" s="188" t="s">
        <v>26486</v>
      </c>
      <c r="E4760" s="189" t="s">
        <v>26487</v>
      </c>
      <c r="F4760" s="162" t="s">
        <v>26488</v>
      </c>
      <c r="G4760" s="162" t="s">
        <v>13413</v>
      </c>
      <c r="H4760" s="219"/>
      <c r="I4760" s="169">
        <v>115203</v>
      </c>
      <c r="J4760" s="304" t="str">
        <f>CONCATENATE([2]Cover!$D$6,"fdd/view?i=",I4760)</f>
        <v>https://www.dgiwg.org/FAD/fdd/view?i=115203</v>
      </c>
      <c r="K4760" s="304" t="s">
        <v>38809</v>
      </c>
      <c r="L4760" s="188">
        <v>73</v>
      </c>
      <c r="M4760" s="179" t="s">
        <v>151</v>
      </c>
    </row>
    <row r="4761" spans="1:13" ht="25.5">
      <c r="A4761" s="313" t="str">
        <f t="shared" si="74"/>
        <v>MlsChannelCode_chan573</v>
      </c>
      <c r="B4761" s="330"/>
      <c r="C4761" s="334"/>
      <c r="D4761" s="188" t="s">
        <v>26489</v>
      </c>
      <c r="E4761" s="189" t="s">
        <v>26490</v>
      </c>
      <c r="F4761" s="162" t="s">
        <v>26491</v>
      </c>
      <c r="G4761" s="162" t="s">
        <v>13413</v>
      </c>
      <c r="H4761" s="219"/>
      <c r="I4761" s="169">
        <v>115204</v>
      </c>
      <c r="J4761" s="304" t="str">
        <f>CONCATENATE([2]Cover!$D$6,"fdd/view?i=",I4761)</f>
        <v>https://www.dgiwg.org/FAD/fdd/view?i=115204</v>
      </c>
      <c r="K4761" s="304" t="s">
        <v>38810</v>
      </c>
      <c r="L4761" s="188">
        <v>74</v>
      </c>
      <c r="M4761" s="179" t="s">
        <v>151</v>
      </c>
    </row>
    <row r="4762" spans="1:13" ht="25.5">
      <c r="A4762" s="313" t="str">
        <f t="shared" si="74"/>
        <v>MlsChannelCode_chan574</v>
      </c>
      <c r="B4762" s="330"/>
      <c r="C4762" s="334"/>
      <c r="D4762" s="188" t="s">
        <v>26492</v>
      </c>
      <c r="E4762" s="189" t="s">
        <v>26493</v>
      </c>
      <c r="F4762" s="162" t="s">
        <v>26494</v>
      </c>
      <c r="G4762" s="162" t="s">
        <v>13413</v>
      </c>
      <c r="H4762" s="219"/>
      <c r="I4762" s="169">
        <v>115205</v>
      </c>
      <c r="J4762" s="304" t="str">
        <f>CONCATENATE([2]Cover!$D$6,"fdd/view?i=",I4762)</f>
        <v>https://www.dgiwg.org/FAD/fdd/view?i=115205</v>
      </c>
      <c r="K4762" s="304" t="s">
        <v>38811</v>
      </c>
      <c r="L4762" s="188">
        <v>75</v>
      </c>
      <c r="M4762" s="179" t="s">
        <v>151</v>
      </c>
    </row>
    <row r="4763" spans="1:13" ht="25.5">
      <c r="A4763" s="313" t="str">
        <f t="shared" si="74"/>
        <v>MlsChannelCode_chan575</v>
      </c>
      <c r="B4763" s="330"/>
      <c r="C4763" s="334"/>
      <c r="D4763" s="188" t="s">
        <v>26495</v>
      </c>
      <c r="E4763" s="189" t="s">
        <v>26496</v>
      </c>
      <c r="F4763" s="162" t="s">
        <v>26497</v>
      </c>
      <c r="G4763" s="162" t="s">
        <v>13413</v>
      </c>
      <c r="H4763" s="219"/>
      <c r="I4763" s="169">
        <v>115206</v>
      </c>
      <c r="J4763" s="304" t="str">
        <f>CONCATENATE([2]Cover!$D$6,"fdd/view?i=",I4763)</f>
        <v>https://www.dgiwg.org/FAD/fdd/view?i=115206</v>
      </c>
      <c r="K4763" s="304" t="s">
        <v>38812</v>
      </c>
      <c r="L4763" s="188">
        <v>76</v>
      </c>
      <c r="M4763" s="179" t="s">
        <v>151</v>
      </c>
    </row>
    <row r="4764" spans="1:13" ht="25.5">
      <c r="A4764" s="313" t="str">
        <f t="shared" si="74"/>
        <v>MlsChannelCode_chan576</v>
      </c>
      <c r="B4764" s="330"/>
      <c r="C4764" s="334"/>
      <c r="D4764" s="188" t="s">
        <v>26498</v>
      </c>
      <c r="E4764" s="189" t="s">
        <v>26499</v>
      </c>
      <c r="F4764" s="162" t="s">
        <v>26500</v>
      </c>
      <c r="G4764" s="162" t="s">
        <v>13413</v>
      </c>
      <c r="H4764" s="219"/>
      <c r="I4764" s="169">
        <v>115207</v>
      </c>
      <c r="J4764" s="304" t="str">
        <f>CONCATENATE([2]Cover!$D$6,"fdd/view?i=",I4764)</f>
        <v>https://www.dgiwg.org/FAD/fdd/view?i=115207</v>
      </c>
      <c r="K4764" s="304" t="s">
        <v>38813</v>
      </c>
      <c r="L4764" s="188">
        <v>77</v>
      </c>
      <c r="M4764" s="179" t="s">
        <v>151</v>
      </c>
    </row>
    <row r="4765" spans="1:13" ht="25.5">
      <c r="A4765" s="313" t="str">
        <f t="shared" si="74"/>
        <v>MlsChannelCode_chan577</v>
      </c>
      <c r="B4765" s="330"/>
      <c r="C4765" s="334"/>
      <c r="D4765" s="188" t="s">
        <v>26501</v>
      </c>
      <c r="E4765" s="189" t="s">
        <v>26502</v>
      </c>
      <c r="F4765" s="162" t="s">
        <v>26503</v>
      </c>
      <c r="G4765" s="162" t="s">
        <v>13413</v>
      </c>
      <c r="H4765" s="219"/>
      <c r="I4765" s="169">
        <v>115208</v>
      </c>
      <c r="J4765" s="304" t="str">
        <f>CONCATENATE([2]Cover!$D$6,"fdd/view?i=",I4765)</f>
        <v>https://www.dgiwg.org/FAD/fdd/view?i=115208</v>
      </c>
      <c r="K4765" s="304" t="s">
        <v>38814</v>
      </c>
      <c r="L4765" s="188">
        <v>78</v>
      </c>
      <c r="M4765" s="179" t="s">
        <v>151</v>
      </c>
    </row>
    <row r="4766" spans="1:13" ht="25.5">
      <c r="A4766" s="313" t="str">
        <f t="shared" si="74"/>
        <v>MlsChannelCode_chan578</v>
      </c>
      <c r="B4766" s="330"/>
      <c r="C4766" s="334"/>
      <c r="D4766" s="188" t="s">
        <v>26504</v>
      </c>
      <c r="E4766" s="189" t="s">
        <v>26505</v>
      </c>
      <c r="F4766" s="162" t="s">
        <v>26506</v>
      </c>
      <c r="G4766" s="162" t="s">
        <v>13413</v>
      </c>
      <c r="H4766" s="219"/>
      <c r="I4766" s="169">
        <v>115209</v>
      </c>
      <c r="J4766" s="304" t="str">
        <f>CONCATENATE([2]Cover!$D$6,"fdd/view?i=",I4766)</f>
        <v>https://www.dgiwg.org/FAD/fdd/view?i=115209</v>
      </c>
      <c r="K4766" s="304" t="s">
        <v>38815</v>
      </c>
      <c r="L4766" s="188">
        <v>79</v>
      </c>
      <c r="M4766" s="179" t="s">
        <v>151</v>
      </c>
    </row>
    <row r="4767" spans="1:13" ht="25.5">
      <c r="A4767" s="313" t="str">
        <f t="shared" si="74"/>
        <v>MlsChannelCode_chan579</v>
      </c>
      <c r="B4767" s="330"/>
      <c r="C4767" s="334"/>
      <c r="D4767" s="188" t="s">
        <v>26507</v>
      </c>
      <c r="E4767" s="189" t="s">
        <v>26508</v>
      </c>
      <c r="F4767" s="162" t="s">
        <v>26509</v>
      </c>
      <c r="G4767" s="162" t="s">
        <v>13413</v>
      </c>
      <c r="H4767" s="219"/>
      <c r="I4767" s="169">
        <v>115210</v>
      </c>
      <c r="J4767" s="304" t="str">
        <f>CONCATENATE([2]Cover!$D$6,"fdd/view?i=",I4767)</f>
        <v>https://www.dgiwg.org/FAD/fdd/view?i=115210</v>
      </c>
      <c r="K4767" s="304" t="s">
        <v>38816</v>
      </c>
      <c r="L4767" s="188">
        <v>80</v>
      </c>
      <c r="M4767" s="179" t="s">
        <v>151</v>
      </c>
    </row>
    <row r="4768" spans="1:13" ht="25.5">
      <c r="A4768" s="313" t="str">
        <f t="shared" si="74"/>
        <v>MlsChannelCode_chan580</v>
      </c>
      <c r="B4768" s="330"/>
      <c r="C4768" s="334"/>
      <c r="D4768" s="188" t="s">
        <v>26510</v>
      </c>
      <c r="E4768" s="189" t="s">
        <v>26511</v>
      </c>
      <c r="F4768" s="162" t="s">
        <v>26512</v>
      </c>
      <c r="G4768" s="162" t="s">
        <v>13413</v>
      </c>
      <c r="H4768" s="219"/>
      <c r="I4768" s="169">
        <v>115211</v>
      </c>
      <c r="J4768" s="304" t="str">
        <f>CONCATENATE([2]Cover!$D$6,"fdd/view?i=",I4768)</f>
        <v>https://www.dgiwg.org/FAD/fdd/view?i=115211</v>
      </c>
      <c r="K4768" s="304" t="s">
        <v>38817</v>
      </c>
      <c r="L4768" s="188">
        <v>81</v>
      </c>
      <c r="M4768" s="179" t="s">
        <v>151</v>
      </c>
    </row>
    <row r="4769" spans="1:13" ht="25.5">
      <c r="A4769" s="313" t="str">
        <f t="shared" si="74"/>
        <v>MlsChannelCode_chan581</v>
      </c>
      <c r="B4769" s="330"/>
      <c r="C4769" s="334"/>
      <c r="D4769" s="188" t="s">
        <v>26513</v>
      </c>
      <c r="E4769" s="189" t="s">
        <v>26514</v>
      </c>
      <c r="F4769" s="162" t="s">
        <v>26515</v>
      </c>
      <c r="G4769" s="162" t="s">
        <v>13413</v>
      </c>
      <c r="H4769" s="219"/>
      <c r="I4769" s="169">
        <v>115212</v>
      </c>
      <c r="J4769" s="304" t="str">
        <f>CONCATENATE([2]Cover!$D$6,"fdd/view?i=",I4769)</f>
        <v>https://www.dgiwg.org/FAD/fdd/view?i=115212</v>
      </c>
      <c r="K4769" s="304" t="s">
        <v>38818</v>
      </c>
      <c r="L4769" s="188">
        <v>82</v>
      </c>
      <c r="M4769" s="179" t="s">
        <v>151</v>
      </c>
    </row>
    <row r="4770" spans="1:13" ht="25.5">
      <c r="A4770" s="313" t="str">
        <f t="shared" si="74"/>
        <v>MlsChannelCode_chan582</v>
      </c>
      <c r="B4770" s="330"/>
      <c r="C4770" s="334"/>
      <c r="D4770" s="188" t="s">
        <v>26516</v>
      </c>
      <c r="E4770" s="189" t="s">
        <v>26517</v>
      </c>
      <c r="F4770" s="162" t="s">
        <v>26518</v>
      </c>
      <c r="G4770" s="162" t="s">
        <v>13413</v>
      </c>
      <c r="H4770" s="219"/>
      <c r="I4770" s="169">
        <v>115213</v>
      </c>
      <c r="J4770" s="304" t="str">
        <f>CONCATENATE([2]Cover!$D$6,"fdd/view?i=",I4770)</f>
        <v>https://www.dgiwg.org/FAD/fdd/view?i=115213</v>
      </c>
      <c r="K4770" s="304" t="s">
        <v>38819</v>
      </c>
      <c r="L4770" s="188">
        <v>83</v>
      </c>
      <c r="M4770" s="179" t="s">
        <v>151</v>
      </c>
    </row>
    <row r="4771" spans="1:13" ht="25.5">
      <c r="A4771" s="313" t="str">
        <f t="shared" si="74"/>
        <v>MlsChannelCode_chan583</v>
      </c>
      <c r="B4771" s="330"/>
      <c r="C4771" s="334"/>
      <c r="D4771" s="188" t="s">
        <v>26519</v>
      </c>
      <c r="E4771" s="189" t="s">
        <v>26520</v>
      </c>
      <c r="F4771" s="162" t="s">
        <v>26521</v>
      </c>
      <c r="G4771" s="162" t="s">
        <v>13413</v>
      </c>
      <c r="H4771" s="219"/>
      <c r="I4771" s="169">
        <v>115214</v>
      </c>
      <c r="J4771" s="304" t="str">
        <f>CONCATENATE([2]Cover!$D$6,"fdd/view?i=",I4771)</f>
        <v>https://www.dgiwg.org/FAD/fdd/view?i=115214</v>
      </c>
      <c r="K4771" s="304" t="s">
        <v>38820</v>
      </c>
      <c r="L4771" s="188">
        <v>84</v>
      </c>
      <c r="M4771" s="179" t="s">
        <v>151</v>
      </c>
    </row>
    <row r="4772" spans="1:13" ht="25.5">
      <c r="A4772" s="313" t="str">
        <f t="shared" si="74"/>
        <v>MlsChannelCode_chan584</v>
      </c>
      <c r="B4772" s="330"/>
      <c r="C4772" s="334"/>
      <c r="D4772" s="188" t="s">
        <v>26522</v>
      </c>
      <c r="E4772" s="189" t="s">
        <v>26523</v>
      </c>
      <c r="F4772" s="162" t="s">
        <v>26524</v>
      </c>
      <c r="G4772" s="162" t="s">
        <v>13413</v>
      </c>
      <c r="H4772" s="219"/>
      <c r="I4772" s="169">
        <v>115215</v>
      </c>
      <c r="J4772" s="304" t="str">
        <f>CONCATENATE([2]Cover!$D$6,"fdd/view?i=",I4772)</f>
        <v>https://www.dgiwg.org/FAD/fdd/view?i=115215</v>
      </c>
      <c r="K4772" s="304" t="s">
        <v>38821</v>
      </c>
      <c r="L4772" s="188">
        <v>85</v>
      </c>
      <c r="M4772" s="179" t="s">
        <v>151</v>
      </c>
    </row>
    <row r="4773" spans="1:13" ht="25.5">
      <c r="A4773" s="313" t="str">
        <f t="shared" si="74"/>
        <v>MlsChannelCode_chan585</v>
      </c>
      <c r="B4773" s="330"/>
      <c r="C4773" s="334"/>
      <c r="D4773" s="188" t="s">
        <v>26525</v>
      </c>
      <c r="E4773" s="189" t="s">
        <v>26526</v>
      </c>
      <c r="F4773" s="162" t="s">
        <v>26527</v>
      </c>
      <c r="G4773" s="162" t="s">
        <v>13413</v>
      </c>
      <c r="H4773" s="219"/>
      <c r="I4773" s="169">
        <v>115216</v>
      </c>
      <c r="J4773" s="304" t="str">
        <f>CONCATENATE([2]Cover!$D$6,"fdd/view?i=",I4773)</f>
        <v>https://www.dgiwg.org/FAD/fdd/view?i=115216</v>
      </c>
      <c r="K4773" s="304" t="s">
        <v>38822</v>
      </c>
      <c r="L4773" s="188">
        <v>86</v>
      </c>
      <c r="M4773" s="179" t="s">
        <v>151</v>
      </c>
    </row>
    <row r="4774" spans="1:13" ht="25.5">
      <c r="A4774" s="313" t="str">
        <f t="shared" si="74"/>
        <v>MlsChannelCode_chan586</v>
      </c>
      <c r="B4774" s="330"/>
      <c r="C4774" s="334"/>
      <c r="D4774" s="188" t="s">
        <v>26528</v>
      </c>
      <c r="E4774" s="189" t="s">
        <v>26529</v>
      </c>
      <c r="F4774" s="162" t="s">
        <v>26530</v>
      </c>
      <c r="G4774" s="162" t="s">
        <v>13413</v>
      </c>
      <c r="H4774" s="219"/>
      <c r="I4774" s="169">
        <v>115217</v>
      </c>
      <c r="J4774" s="304" t="str">
        <f>CONCATENATE([2]Cover!$D$6,"fdd/view?i=",I4774)</f>
        <v>https://www.dgiwg.org/FAD/fdd/view?i=115217</v>
      </c>
      <c r="K4774" s="304" t="s">
        <v>38823</v>
      </c>
      <c r="L4774" s="188">
        <v>87</v>
      </c>
      <c r="M4774" s="179" t="s">
        <v>151</v>
      </c>
    </row>
    <row r="4775" spans="1:13" ht="25.5">
      <c r="A4775" s="313" t="str">
        <f t="shared" si="74"/>
        <v>MlsChannelCode_chan587</v>
      </c>
      <c r="B4775" s="330"/>
      <c r="C4775" s="334"/>
      <c r="D4775" s="188" t="s">
        <v>26531</v>
      </c>
      <c r="E4775" s="189" t="s">
        <v>26532</v>
      </c>
      <c r="F4775" s="162" t="s">
        <v>26533</v>
      </c>
      <c r="G4775" s="162" t="s">
        <v>13413</v>
      </c>
      <c r="H4775" s="219"/>
      <c r="I4775" s="169">
        <v>115218</v>
      </c>
      <c r="J4775" s="304" t="str">
        <f>CONCATENATE([2]Cover!$D$6,"fdd/view?i=",I4775)</f>
        <v>https://www.dgiwg.org/FAD/fdd/view?i=115218</v>
      </c>
      <c r="K4775" s="304" t="s">
        <v>38824</v>
      </c>
      <c r="L4775" s="188">
        <v>88</v>
      </c>
      <c r="M4775" s="179" t="s">
        <v>151</v>
      </c>
    </row>
    <row r="4776" spans="1:13" ht="25.5">
      <c r="A4776" s="313" t="str">
        <f t="shared" si="74"/>
        <v>MlsChannelCode_chan588</v>
      </c>
      <c r="B4776" s="330"/>
      <c r="C4776" s="334"/>
      <c r="D4776" s="188" t="s">
        <v>26534</v>
      </c>
      <c r="E4776" s="189" t="s">
        <v>26535</v>
      </c>
      <c r="F4776" s="162" t="s">
        <v>26536</v>
      </c>
      <c r="G4776" s="162" t="s">
        <v>13413</v>
      </c>
      <c r="H4776" s="219"/>
      <c r="I4776" s="169">
        <v>115219</v>
      </c>
      <c r="J4776" s="304" t="str">
        <f>CONCATENATE([2]Cover!$D$6,"fdd/view?i=",I4776)</f>
        <v>https://www.dgiwg.org/FAD/fdd/view?i=115219</v>
      </c>
      <c r="K4776" s="304" t="s">
        <v>38825</v>
      </c>
      <c r="L4776" s="188">
        <v>89</v>
      </c>
      <c r="M4776" s="179" t="s">
        <v>151</v>
      </c>
    </row>
    <row r="4777" spans="1:13" ht="25.5">
      <c r="A4777" s="313" t="str">
        <f t="shared" si="74"/>
        <v>MlsChannelCode_chan589</v>
      </c>
      <c r="B4777" s="330"/>
      <c r="C4777" s="334"/>
      <c r="D4777" s="188" t="s">
        <v>26537</v>
      </c>
      <c r="E4777" s="189" t="s">
        <v>26538</v>
      </c>
      <c r="F4777" s="162" t="s">
        <v>26539</v>
      </c>
      <c r="G4777" s="162" t="s">
        <v>13413</v>
      </c>
      <c r="H4777" s="219"/>
      <c r="I4777" s="169">
        <v>115220</v>
      </c>
      <c r="J4777" s="304" t="str">
        <f>CONCATENATE([2]Cover!$D$6,"fdd/view?i=",I4777)</f>
        <v>https://www.dgiwg.org/FAD/fdd/view?i=115220</v>
      </c>
      <c r="K4777" s="304" t="s">
        <v>38826</v>
      </c>
      <c r="L4777" s="188">
        <v>90</v>
      </c>
      <c r="M4777" s="179" t="s">
        <v>151</v>
      </c>
    </row>
    <row r="4778" spans="1:13" ht="25.5">
      <c r="A4778" s="313" t="str">
        <f t="shared" si="74"/>
        <v>MlsChannelCode_chan590</v>
      </c>
      <c r="B4778" s="330"/>
      <c r="C4778" s="334"/>
      <c r="D4778" s="188" t="s">
        <v>26540</v>
      </c>
      <c r="E4778" s="189" t="s">
        <v>26541</v>
      </c>
      <c r="F4778" s="162" t="s">
        <v>26542</v>
      </c>
      <c r="G4778" s="162" t="s">
        <v>13413</v>
      </c>
      <c r="H4778" s="219"/>
      <c r="I4778" s="169">
        <v>115221</v>
      </c>
      <c r="J4778" s="304" t="str">
        <f>CONCATENATE([2]Cover!$D$6,"fdd/view?i=",I4778)</f>
        <v>https://www.dgiwg.org/FAD/fdd/view?i=115221</v>
      </c>
      <c r="K4778" s="304" t="s">
        <v>38827</v>
      </c>
      <c r="L4778" s="188">
        <v>91</v>
      </c>
      <c r="M4778" s="179" t="s">
        <v>151</v>
      </c>
    </row>
    <row r="4779" spans="1:13" ht="25.5">
      <c r="A4779" s="313" t="str">
        <f t="shared" si="74"/>
        <v>MlsChannelCode_chan591</v>
      </c>
      <c r="B4779" s="330"/>
      <c r="C4779" s="334"/>
      <c r="D4779" s="188" t="s">
        <v>26543</v>
      </c>
      <c r="E4779" s="189" t="s">
        <v>26544</v>
      </c>
      <c r="F4779" s="162" t="s">
        <v>26545</v>
      </c>
      <c r="G4779" s="162" t="s">
        <v>13413</v>
      </c>
      <c r="H4779" s="219"/>
      <c r="I4779" s="169">
        <v>115222</v>
      </c>
      <c r="J4779" s="304" t="str">
        <f>CONCATENATE([2]Cover!$D$6,"fdd/view?i=",I4779)</f>
        <v>https://www.dgiwg.org/FAD/fdd/view?i=115222</v>
      </c>
      <c r="K4779" s="304" t="s">
        <v>38828</v>
      </c>
      <c r="L4779" s="188">
        <v>92</v>
      </c>
      <c r="M4779" s="179" t="s">
        <v>151</v>
      </c>
    </row>
    <row r="4780" spans="1:13" ht="25.5">
      <c r="A4780" s="313" t="str">
        <f t="shared" si="74"/>
        <v>MlsChannelCode_chan592</v>
      </c>
      <c r="B4780" s="330"/>
      <c r="C4780" s="334"/>
      <c r="D4780" s="188" t="s">
        <v>26546</v>
      </c>
      <c r="E4780" s="189" t="s">
        <v>26547</v>
      </c>
      <c r="F4780" s="162" t="s">
        <v>26548</v>
      </c>
      <c r="G4780" s="162" t="s">
        <v>13413</v>
      </c>
      <c r="H4780" s="219"/>
      <c r="I4780" s="169">
        <v>115223</v>
      </c>
      <c r="J4780" s="304" t="str">
        <f>CONCATENATE([2]Cover!$D$6,"fdd/view?i=",I4780)</f>
        <v>https://www.dgiwg.org/FAD/fdd/view?i=115223</v>
      </c>
      <c r="K4780" s="304" t="s">
        <v>38829</v>
      </c>
      <c r="L4780" s="188">
        <v>93</v>
      </c>
      <c r="M4780" s="179" t="s">
        <v>151</v>
      </c>
    </row>
    <row r="4781" spans="1:13" ht="25.5">
      <c r="A4781" s="313" t="str">
        <f t="shared" si="74"/>
        <v>MlsChannelCode_chan593</v>
      </c>
      <c r="B4781" s="330"/>
      <c r="C4781" s="334"/>
      <c r="D4781" s="188" t="s">
        <v>26549</v>
      </c>
      <c r="E4781" s="189" t="s">
        <v>26550</v>
      </c>
      <c r="F4781" s="162" t="s">
        <v>26551</v>
      </c>
      <c r="G4781" s="162" t="s">
        <v>13413</v>
      </c>
      <c r="H4781" s="219"/>
      <c r="I4781" s="169">
        <v>115224</v>
      </c>
      <c r="J4781" s="304" t="str">
        <f>CONCATENATE([2]Cover!$D$6,"fdd/view?i=",I4781)</f>
        <v>https://www.dgiwg.org/FAD/fdd/view?i=115224</v>
      </c>
      <c r="K4781" s="304" t="s">
        <v>38830</v>
      </c>
      <c r="L4781" s="188">
        <v>94</v>
      </c>
      <c r="M4781" s="179" t="s">
        <v>151</v>
      </c>
    </row>
    <row r="4782" spans="1:13" ht="25.5">
      <c r="A4782" s="313" t="str">
        <f t="shared" si="74"/>
        <v>MlsChannelCode_chan594</v>
      </c>
      <c r="B4782" s="330"/>
      <c r="C4782" s="334"/>
      <c r="D4782" s="188" t="s">
        <v>26552</v>
      </c>
      <c r="E4782" s="189" t="s">
        <v>26553</v>
      </c>
      <c r="F4782" s="162" t="s">
        <v>26554</v>
      </c>
      <c r="G4782" s="162" t="s">
        <v>13413</v>
      </c>
      <c r="H4782" s="219"/>
      <c r="I4782" s="169">
        <v>115225</v>
      </c>
      <c r="J4782" s="304" t="str">
        <f>CONCATENATE([2]Cover!$D$6,"fdd/view?i=",I4782)</f>
        <v>https://www.dgiwg.org/FAD/fdd/view?i=115225</v>
      </c>
      <c r="K4782" s="304" t="s">
        <v>38831</v>
      </c>
      <c r="L4782" s="188">
        <v>95</v>
      </c>
      <c r="M4782" s="179" t="s">
        <v>151</v>
      </c>
    </row>
    <row r="4783" spans="1:13" ht="25.5">
      <c r="A4783" s="313" t="str">
        <f t="shared" si="74"/>
        <v>MlsChannelCode_chan595</v>
      </c>
      <c r="B4783" s="330"/>
      <c r="C4783" s="334"/>
      <c r="D4783" s="188" t="s">
        <v>26555</v>
      </c>
      <c r="E4783" s="189" t="s">
        <v>26556</v>
      </c>
      <c r="F4783" s="162" t="s">
        <v>26557</v>
      </c>
      <c r="G4783" s="162" t="s">
        <v>13413</v>
      </c>
      <c r="H4783" s="219"/>
      <c r="I4783" s="169">
        <v>115226</v>
      </c>
      <c r="J4783" s="304" t="str">
        <f>CONCATENATE([2]Cover!$D$6,"fdd/view?i=",I4783)</f>
        <v>https://www.dgiwg.org/FAD/fdd/view?i=115226</v>
      </c>
      <c r="K4783" s="304" t="s">
        <v>38832</v>
      </c>
      <c r="L4783" s="188">
        <v>96</v>
      </c>
      <c r="M4783" s="179" t="s">
        <v>151</v>
      </c>
    </row>
    <row r="4784" spans="1:13" ht="25.5">
      <c r="A4784" s="313" t="str">
        <f t="shared" si="74"/>
        <v>MlsChannelCode_chan596</v>
      </c>
      <c r="B4784" s="330"/>
      <c r="C4784" s="334"/>
      <c r="D4784" s="188" t="s">
        <v>26558</v>
      </c>
      <c r="E4784" s="189" t="s">
        <v>26559</v>
      </c>
      <c r="F4784" s="162" t="s">
        <v>26560</v>
      </c>
      <c r="G4784" s="162" t="s">
        <v>13413</v>
      </c>
      <c r="H4784" s="219"/>
      <c r="I4784" s="169">
        <v>115227</v>
      </c>
      <c r="J4784" s="304" t="str">
        <f>CONCATENATE([2]Cover!$D$6,"fdd/view?i=",I4784)</f>
        <v>https://www.dgiwg.org/FAD/fdd/view?i=115227</v>
      </c>
      <c r="K4784" s="304" t="s">
        <v>38833</v>
      </c>
      <c r="L4784" s="188">
        <v>97</v>
      </c>
      <c r="M4784" s="179" t="s">
        <v>151</v>
      </c>
    </row>
    <row r="4785" spans="1:13" ht="25.5">
      <c r="A4785" s="313" t="str">
        <f t="shared" si="74"/>
        <v>MlsChannelCode_chan597</v>
      </c>
      <c r="B4785" s="330"/>
      <c r="C4785" s="334"/>
      <c r="D4785" s="188" t="s">
        <v>26561</v>
      </c>
      <c r="E4785" s="189" t="s">
        <v>26562</v>
      </c>
      <c r="F4785" s="162" t="s">
        <v>26563</v>
      </c>
      <c r="G4785" s="162" t="s">
        <v>13413</v>
      </c>
      <c r="H4785" s="219"/>
      <c r="I4785" s="169">
        <v>115228</v>
      </c>
      <c r="J4785" s="304" t="str">
        <f>CONCATENATE([2]Cover!$D$6,"fdd/view?i=",I4785)</f>
        <v>https://www.dgiwg.org/FAD/fdd/view?i=115228</v>
      </c>
      <c r="K4785" s="304" t="s">
        <v>38834</v>
      </c>
      <c r="L4785" s="188">
        <v>98</v>
      </c>
      <c r="M4785" s="179" t="s">
        <v>151</v>
      </c>
    </row>
    <row r="4786" spans="1:13" ht="25.5">
      <c r="A4786" s="313" t="str">
        <f t="shared" si="74"/>
        <v>MlsChannelCode_chan598</v>
      </c>
      <c r="B4786" s="330"/>
      <c r="C4786" s="334"/>
      <c r="D4786" s="188" t="s">
        <v>26564</v>
      </c>
      <c r="E4786" s="189" t="s">
        <v>26565</v>
      </c>
      <c r="F4786" s="162" t="s">
        <v>26566</v>
      </c>
      <c r="G4786" s="162" t="s">
        <v>13413</v>
      </c>
      <c r="H4786" s="219"/>
      <c r="I4786" s="169">
        <v>115229</v>
      </c>
      <c r="J4786" s="304" t="str">
        <f>CONCATENATE([2]Cover!$D$6,"fdd/view?i=",I4786)</f>
        <v>https://www.dgiwg.org/FAD/fdd/view?i=115229</v>
      </c>
      <c r="K4786" s="304" t="s">
        <v>38835</v>
      </c>
      <c r="L4786" s="188">
        <v>99</v>
      </c>
      <c r="M4786" s="179" t="s">
        <v>151</v>
      </c>
    </row>
    <row r="4787" spans="1:13" ht="25.5">
      <c r="A4787" s="313" t="str">
        <f t="shared" si="74"/>
        <v>MlsChannelCode_chan599</v>
      </c>
      <c r="B4787" s="330"/>
      <c r="C4787" s="334"/>
      <c r="D4787" s="188" t="s">
        <v>26567</v>
      </c>
      <c r="E4787" s="189" t="s">
        <v>26568</v>
      </c>
      <c r="F4787" s="162" t="s">
        <v>26569</v>
      </c>
      <c r="G4787" s="162" t="s">
        <v>13413</v>
      </c>
      <c r="H4787" s="219"/>
      <c r="I4787" s="169">
        <v>115230</v>
      </c>
      <c r="J4787" s="304" t="str">
        <f>CONCATENATE([2]Cover!$D$6,"fdd/view?i=",I4787)</f>
        <v>https://www.dgiwg.org/FAD/fdd/view?i=115230</v>
      </c>
      <c r="K4787" s="304" t="s">
        <v>38836</v>
      </c>
      <c r="L4787" s="188">
        <v>100</v>
      </c>
      <c r="M4787" s="179" t="s">
        <v>151</v>
      </c>
    </row>
    <row r="4788" spans="1:13" ht="25.5">
      <c r="A4788" s="313" t="str">
        <f t="shared" si="74"/>
        <v>MlsChannelCode_chan600</v>
      </c>
      <c r="B4788" s="330"/>
      <c r="C4788" s="334"/>
      <c r="D4788" s="188" t="s">
        <v>26570</v>
      </c>
      <c r="E4788" s="189" t="s">
        <v>26571</v>
      </c>
      <c r="F4788" s="162" t="s">
        <v>26572</v>
      </c>
      <c r="G4788" s="162" t="s">
        <v>13413</v>
      </c>
      <c r="H4788" s="219"/>
      <c r="I4788" s="169">
        <v>115231</v>
      </c>
      <c r="J4788" s="304" t="str">
        <f>CONCATENATE([2]Cover!$D$6,"fdd/view?i=",I4788)</f>
        <v>https://www.dgiwg.org/FAD/fdd/view?i=115231</v>
      </c>
      <c r="K4788" s="304" t="s">
        <v>38837</v>
      </c>
      <c r="L4788" s="188">
        <v>101</v>
      </c>
      <c r="M4788" s="179" t="s">
        <v>151</v>
      </c>
    </row>
    <row r="4789" spans="1:13" ht="25.5">
      <c r="A4789" s="313" t="str">
        <f t="shared" si="74"/>
        <v>MlsChannelCode_chan601</v>
      </c>
      <c r="B4789" s="330"/>
      <c r="C4789" s="334"/>
      <c r="D4789" s="188" t="s">
        <v>26573</v>
      </c>
      <c r="E4789" s="189" t="s">
        <v>26574</v>
      </c>
      <c r="F4789" s="162" t="s">
        <v>26575</v>
      </c>
      <c r="G4789" s="162" t="s">
        <v>13413</v>
      </c>
      <c r="H4789" s="219"/>
      <c r="I4789" s="169">
        <v>115232</v>
      </c>
      <c r="J4789" s="304" t="str">
        <f>CONCATENATE([2]Cover!$D$6,"fdd/view?i=",I4789)</f>
        <v>https://www.dgiwg.org/FAD/fdd/view?i=115232</v>
      </c>
      <c r="K4789" s="304" t="s">
        <v>38838</v>
      </c>
      <c r="L4789" s="188">
        <v>102</v>
      </c>
      <c r="M4789" s="179" t="s">
        <v>151</v>
      </c>
    </row>
    <row r="4790" spans="1:13" ht="25.5">
      <c r="A4790" s="313" t="str">
        <f t="shared" si="74"/>
        <v>MlsChannelCode_chan602</v>
      </c>
      <c r="B4790" s="330"/>
      <c r="C4790" s="334"/>
      <c r="D4790" s="188" t="s">
        <v>26576</v>
      </c>
      <c r="E4790" s="189" t="s">
        <v>26577</v>
      </c>
      <c r="F4790" s="162" t="s">
        <v>26578</v>
      </c>
      <c r="G4790" s="162" t="s">
        <v>13413</v>
      </c>
      <c r="H4790" s="219"/>
      <c r="I4790" s="169">
        <v>115233</v>
      </c>
      <c r="J4790" s="304" t="str">
        <f>CONCATENATE([2]Cover!$D$6,"fdd/view?i=",I4790)</f>
        <v>https://www.dgiwg.org/FAD/fdd/view?i=115233</v>
      </c>
      <c r="K4790" s="304" t="s">
        <v>38839</v>
      </c>
      <c r="L4790" s="188">
        <v>103</v>
      </c>
      <c r="M4790" s="179" t="s">
        <v>151</v>
      </c>
    </row>
    <row r="4791" spans="1:13" ht="25.5">
      <c r="A4791" s="313" t="str">
        <f t="shared" si="74"/>
        <v>MlsChannelCode_chan603</v>
      </c>
      <c r="B4791" s="330"/>
      <c r="C4791" s="334"/>
      <c r="D4791" s="188" t="s">
        <v>26579</v>
      </c>
      <c r="E4791" s="189" t="s">
        <v>26580</v>
      </c>
      <c r="F4791" s="162" t="s">
        <v>26581</v>
      </c>
      <c r="G4791" s="162" t="s">
        <v>13413</v>
      </c>
      <c r="H4791" s="219"/>
      <c r="I4791" s="169">
        <v>115234</v>
      </c>
      <c r="J4791" s="304" t="str">
        <f>CONCATENATE([2]Cover!$D$6,"fdd/view?i=",I4791)</f>
        <v>https://www.dgiwg.org/FAD/fdd/view?i=115234</v>
      </c>
      <c r="K4791" s="304" t="s">
        <v>38840</v>
      </c>
      <c r="L4791" s="188">
        <v>104</v>
      </c>
      <c r="M4791" s="179" t="s">
        <v>151</v>
      </c>
    </row>
    <row r="4792" spans="1:13" ht="25.5">
      <c r="A4792" s="313" t="str">
        <f t="shared" si="74"/>
        <v>MlsChannelCode_chan604</v>
      </c>
      <c r="B4792" s="330"/>
      <c r="C4792" s="334"/>
      <c r="D4792" s="188" t="s">
        <v>26582</v>
      </c>
      <c r="E4792" s="189" t="s">
        <v>26583</v>
      </c>
      <c r="F4792" s="162" t="s">
        <v>26584</v>
      </c>
      <c r="G4792" s="162" t="s">
        <v>13413</v>
      </c>
      <c r="H4792" s="219"/>
      <c r="I4792" s="169">
        <v>115235</v>
      </c>
      <c r="J4792" s="304" t="str">
        <f>CONCATENATE([2]Cover!$D$6,"fdd/view?i=",I4792)</f>
        <v>https://www.dgiwg.org/FAD/fdd/view?i=115235</v>
      </c>
      <c r="K4792" s="304" t="s">
        <v>38841</v>
      </c>
      <c r="L4792" s="188">
        <v>105</v>
      </c>
      <c r="M4792" s="179" t="s">
        <v>151</v>
      </c>
    </row>
    <row r="4793" spans="1:13" ht="25.5">
      <c r="A4793" s="313" t="str">
        <f t="shared" si="74"/>
        <v>MlsChannelCode_chan605</v>
      </c>
      <c r="B4793" s="330"/>
      <c r="C4793" s="334"/>
      <c r="D4793" s="188" t="s">
        <v>26585</v>
      </c>
      <c r="E4793" s="189" t="s">
        <v>26586</v>
      </c>
      <c r="F4793" s="162" t="s">
        <v>26587</v>
      </c>
      <c r="G4793" s="162" t="s">
        <v>13413</v>
      </c>
      <c r="H4793" s="219"/>
      <c r="I4793" s="169">
        <v>115236</v>
      </c>
      <c r="J4793" s="304" t="str">
        <f>CONCATENATE([2]Cover!$D$6,"fdd/view?i=",I4793)</f>
        <v>https://www.dgiwg.org/FAD/fdd/view?i=115236</v>
      </c>
      <c r="K4793" s="304" t="s">
        <v>38842</v>
      </c>
      <c r="L4793" s="188">
        <v>106</v>
      </c>
      <c r="M4793" s="179" t="s">
        <v>151</v>
      </c>
    </row>
    <row r="4794" spans="1:13" ht="25.5">
      <c r="A4794" s="313" t="str">
        <f t="shared" si="74"/>
        <v>MlsChannelCode_chan606</v>
      </c>
      <c r="B4794" s="330"/>
      <c r="C4794" s="334"/>
      <c r="D4794" s="188" t="s">
        <v>26588</v>
      </c>
      <c r="E4794" s="189" t="s">
        <v>26589</v>
      </c>
      <c r="F4794" s="162" t="s">
        <v>26590</v>
      </c>
      <c r="G4794" s="162" t="s">
        <v>13413</v>
      </c>
      <c r="H4794" s="219"/>
      <c r="I4794" s="169">
        <v>115237</v>
      </c>
      <c r="J4794" s="304" t="str">
        <f>CONCATENATE([2]Cover!$D$6,"fdd/view?i=",I4794)</f>
        <v>https://www.dgiwg.org/FAD/fdd/view?i=115237</v>
      </c>
      <c r="K4794" s="304" t="s">
        <v>38843</v>
      </c>
      <c r="L4794" s="188">
        <v>107</v>
      </c>
      <c r="M4794" s="179" t="s">
        <v>151</v>
      </c>
    </row>
    <row r="4795" spans="1:13" ht="25.5">
      <c r="A4795" s="313" t="str">
        <f t="shared" si="74"/>
        <v>MlsChannelCode_chan607</v>
      </c>
      <c r="B4795" s="330"/>
      <c r="C4795" s="334"/>
      <c r="D4795" s="188" t="s">
        <v>26591</v>
      </c>
      <c r="E4795" s="189" t="s">
        <v>26592</v>
      </c>
      <c r="F4795" s="162" t="s">
        <v>26593</v>
      </c>
      <c r="G4795" s="162" t="s">
        <v>13413</v>
      </c>
      <c r="H4795" s="219"/>
      <c r="I4795" s="169">
        <v>115238</v>
      </c>
      <c r="J4795" s="304" t="str">
        <f>CONCATENATE([2]Cover!$D$6,"fdd/view?i=",I4795)</f>
        <v>https://www.dgiwg.org/FAD/fdd/view?i=115238</v>
      </c>
      <c r="K4795" s="304" t="s">
        <v>38844</v>
      </c>
      <c r="L4795" s="188">
        <v>108</v>
      </c>
      <c r="M4795" s="179" t="s">
        <v>151</v>
      </c>
    </row>
    <row r="4796" spans="1:13" ht="25.5">
      <c r="A4796" s="313" t="str">
        <f t="shared" si="74"/>
        <v>MlsChannelCode_chan608</v>
      </c>
      <c r="B4796" s="330"/>
      <c r="C4796" s="334"/>
      <c r="D4796" s="188" t="s">
        <v>26594</v>
      </c>
      <c r="E4796" s="189" t="s">
        <v>26595</v>
      </c>
      <c r="F4796" s="162" t="s">
        <v>26596</v>
      </c>
      <c r="G4796" s="162" t="s">
        <v>13413</v>
      </c>
      <c r="H4796" s="219"/>
      <c r="I4796" s="169">
        <v>115239</v>
      </c>
      <c r="J4796" s="304" t="str">
        <f>CONCATENATE([2]Cover!$D$6,"fdd/view?i=",I4796)</f>
        <v>https://www.dgiwg.org/FAD/fdd/view?i=115239</v>
      </c>
      <c r="K4796" s="304" t="s">
        <v>38845</v>
      </c>
      <c r="L4796" s="188">
        <v>109</v>
      </c>
      <c r="M4796" s="179" t="s">
        <v>151</v>
      </c>
    </row>
    <row r="4797" spans="1:13" ht="25.5">
      <c r="A4797" s="313" t="str">
        <f t="shared" si="74"/>
        <v>MlsChannelCode_chan609</v>
      </c>
      <c r="B4797" s="330"/>
      <c r="C4797" s="334"/>
      <c r="D4797" s="188" t="s">
        <v>26597</v>
      </c>
      <c r="E4797" s="189" t="s">
        <v>26598</v>
      </c>
      <c r="F4797" s="162" t="s">
        <v>26599</v>
      </c>
      <c r="G4797" s="162" t="s">
        <v>13413</v>
      </c>
      <c r="H4797" s="219"/>
      <c r="I4797" s="169">
        <v>115240</v>
      </c>
      <c r="J4797" s="304" t="str">
        <f>CONCATENATE([2]Cover!$D$6,"fdd/view?i=",I4797)</f>
        <v>https://www.dgiwg.org/FAD/fdd/view?i=115240</v>
      </c>
      <c r="K4797" s="304" t="s">
        <v>38846</v>
      </c>
      <c r="L4797" s="188">
        <v>110</v>
      </c>
      <c r="M4797" s="179" t="s">
        <v>151</v>
      </c>
    </row>
    <row r="4798" spans="1:13" ht="25.5">
      <c r="A4798" s="313" t="str">
        <f t="shared" si="74"/>
        <v>MlsChannelCode_chan610</v>
      </c>
      <c r="B4798" s="330"/>
      <c r="C4798" s="334"/>
      <c r="D4798" s="188" t="s">
        <v>26600</v>
      </c>
      <c r="E4798" s="189" t="s">
        <v>26601</v>
      </c>
      <c r="F4798" s="162" t="s">
        <v>26602</v>
      </c>
      <c r="G4798" s="162" t="s">
        <v>13413</v>
      </c>
      <c r="H4798" s="219"/>
      <c r="I4798" s="169">
        <v>115241</v>
      </c>
      <c r="J4798" s="304" t="str">
        <f>CONCATENATE([2]Cover!$D$6,"fdd/view?i=",I4798)</f>
        <v>https://www.dgiwg.org/FAD/fdd/view?i=115241</v>
      </c>
      <c r="K4798" s="304" t="s">
        <v>38847</v>
      </c>
      <c r="L4798" s="188">
        <v>111</v>
      </c>
      <c r="M4798" s="179" t="s">
        <v>151</v>
      </c>
    </row>
    <row r="4799" spans="1:13" ht="25.5">
      <c r="A4799" s="313" t="str">
        <f t="shared" si="74"/>
        <v>MlsChannelCode_chan611</v>
      </c>
      <c r="B4799" s="330"/>
      <c r="C4799" s="334"/>
      <c r="D4799" s="188" t="s">
        <v>26603</v>
      </c>
      <c r="E4799" s="189" t="s">
        <v>26604</v>
      </c>
      <c r="F4799" s="162" t="s">
        <v>26605</v>
      </c>
      <c r="G4799" s="162" t="s">
        <v>13413</v>
      </c>
      <c r="H4799" s="219"/>
      <c r="I4799" s="169">
        <v>115242</v>
      </c>
      <c r="J4799" s="304" t="str">
        <f>CONCATENATE([2]Cover!$D$6,"fdd/view?i=",I4799)</f>
        <v>https://www.dgiwg.org/FAD/fdd/view?i=115242</v>
      </c>
      <c r="K4799" s="304" t="s">
        <v>38848</v>
      </c>
      <c r="L4799" s="188">
        <v>112</v>
      </c>
      <c r="M4799" s="179" t="s">
        <v>151</v>
      </c>
    </row>
    <row r="4800" spans="1:13" ht="25.5">
      <c r="A4800" s="313" t="str">
        <f t="shared" si="74"/>
        <v>MlsChannelCode_chan612</v>
      </c>
      <c r="B4800" s="330"/>
      <c r="C4800" s="334"/>
      <c r="D4800" s="188" t="s">
        <v>26606</v>
      </c>
      <c r="E4800" s="189" t="s">
        <v>26607</v>
      </c>
      <c r="F4800" s="162" t="s">
        <v>26608</v>
      </c>
      <c r="G4800" s="162" t="s">
        <v>13413</v>
      </c>
      <c r="H4800" s="219"/>
      <c r="I4800" s="169">
        <v>115243</v>
      </c>
      <c r="J4800" s="304" t="str">
        <f>CONCATENATE([2]Cover!$D$6,"fdd/view?i=",I4800)</f>
        <v>https://www.dgiwg.org/FAD/fdd/view?i=115243</v>
      </c>
      <c r="K4800" s="304" t="s">
        <v>38849</v>
      </c>
      <c r="L4800" s="188">
        <v>113</v>
      </c>
      <c r="M4800" s="179" t="s">
        <v>151</v>
      </c>
    </row>
    <row r="4801" spans="1:13" ht="25.5">
      <c r="A4801" s="313" t="str">
        <f t="shared" si="74"/>
        <v>MlsChannelCode_chan613</v>
      </c>
      <c r="B4801" s="330"/>
      <c r="C4801" s="334"/>
      <c r="D4801" s="188" t="s">
        <v>26609</v>
      </c>
      <c r="E4801" s="189" t="s">
        <v>26610</v>
      </c>
      <c r="F4801" s="162" t="s">
        <v>26611</v>
      </c>
      <c r="G4801" s="162" t="s">
        <v>13413</v>
      </c>
      <c r="H4801" s="219"/>
      <c r="I4801" s="169">
        <v>115244</v>
      </c>
      <c r="J4801" s="304" t="str">
        <f>CONCATENATE([2]Cover!$D$6,"fdd/view?i=",I4801)</f>
        <v>https://www.dgiwg.org/FAD/fdd/view?i=115244</v>
      </c>
      <c r="K4801" s="304" t="s">
        <v>38850</v>
      </c>
      <c r="L4801" s="188">
        <v>114</v>
      </c>
      <c r="M4801" s="179" t="s">
        <v>151</v>
      </c>
    </row>
    <row r="4802" spans="1:13" ht="25.5">
      <c r="A4802" s="313" t="str">
        <f t="shared" si="74"/>
        <v>MlsChannelCode_chan614</v>
      </c>
      <c r="B4802" s="330"/>
      <c r="C4802" s="334"/>
      <c r="D4802" s="188" t="s">
        <v>26612</v>
      </c>
      <c r="E4802" s="189" t="s">
        <v>26613</v>
      </c>
      <c r="F4802" s="162" t="s">
        <v>26614</v>
      </c>
      <c r="G4802" s="162" t="s">
        <v>13413</v>
      </c>
      <c r="H4802" s="219"/>
      <c r="I4802" s="169">
        <v>115245</v>
      </c>
      <c r="J4802" s="304" t="str">
        <f>CONCATENATE([2]Cover!$D$6,"fdd/view?i=",I4802)</f>
        <v>https://www.dgiwg.org/FAD/fdd/view?i=115245</v>
      </c>
      <c r="K4802" s="304" t="s">
        <v>38851</v>
      </c>
      <c r="L4802" s="188">
        <v>115</v>
      </c>
      <c r="M4802" s="179" t="s">
        <v>151</v>
      </c>
    </row>
    <row r="4803" spans="1:13" ht="25.5">
      <c r="A4803" s="313" t="str">
        <f t="shared" ref="A4803:A4866" si="75">HYPERLINK(J4803,K4803)</f>
        <v>MlsChannelCode_chan615</v>
      </c>
      <c r="B4803" s="330"/>
      <c r="C4803" s="334"/>
      <c r="D4803" s="188" t="s">
        <v>26615</v>
      </c>
      <c r="E4803" s="189" t="s">
        <v>26616</v>
      </c>
      <c r="F4803" s="162" t="s">
        <v>26617</v>
      </c>
      <c r="G4803" s="162" t="s">
        <v>13413</v>
      </c>
      <c r="H4803" s="219"/>
      <c r="I4803" s="169">
        <v>115246</v>
      </c>
      <c r="J4803" s="304" t="str">
        <f>CONCATENATE([2]Cover!$D$6,"fdd/view?i=",I4803)</f>
        <v>https://www.dgiwg.org/FAD/fdd/view?i=115246</v>
      </c>
      <c r="K4803" s="304" t="s">
        <v>38852</v>
      </c>
      <c r="L4803" s="188">
        <v>116</v>
      </c>
      <c r="M4803" s="179" t="s">
        <v>151</v>
      </c>
    </row>
    <row r="4804" spans="1:13" ht="25.5">
      <c r="A4804" s="313" t="str">
        <f t="shared" si="75"/>
        <v>MlsChannelCode_chan616</v>
      </c>
      <c r="B4804" s="330"/>
      <c r="C4804" s="334"/>
      <c r="D4804" s="188" t="s">
        <v>26618</v>
      </c>
      <c r="E4804" s="189" t="s">
        <v>26619</v>
      </c>
      <c r="F4804" s="162" t="s">
        <v>26620</v>
      </c>
      <c r="G4804" s="162" t="s">
        <v>13413</v>
      </c>
      <c r="H4804" s="219"/>
      <c r="I4804" s="169">
        <v>115247</v>
      </c>
      <c r="J4804" s="304" t="str">
        <f>CONCATENATE([2]Cover!$D$6,"fdd/view?i=",I4804)</f>
        <v>https://www.dgiwg.org/FAD/fdd/view?i=115247</v>
      </c>
      <c r="K4804" s="304" t="s">
        <v>38853</v>
      </c>
      <c r="L4804" s="188">
        <v>117</v>
      </c>
      <c r="M4804" s="179" t="s">
        <v>151</v>
      </c>
    </row>
    <row r="4805" spans="1:13" ht="25.5">
      <c r="A4805" s="313" t="str">
        <f t="shared" si="75"/>
        <v>MlsChannelCode_chan617</v>
      </c>
      <c r="B4805" s="330"/>
      <c r="C4805" s="334"/>
      <c r="D4805" s="188" t="s">
        <v>26621</v>
      </c>
      <c r="E4805" s="189" t="s">
        <v>26622</v>
      </c>
      <c r="F4805" s="162" t="s">
        <v>26623</v>
      </c>
      <c r="G4805" s="162" t="s">
        <v>13413</v>
      </c>
      <c r="H4805" s="219"/>
      <c r="I4805" s="169">
        <v>115248</v>
      </c>
      <c r="J4805" s="304" t="str">
        <f>CONCATENATE([2]Cover!$D$6,"fdd/view?i=",I4805)</f>
        <v>https://www.dgiwg.org/FAD/fdd/view?i=115248</v>
      </c>
      <c r="K4805" s="304" t="s">
        <v>38854</v>
      </c>
      <c r="L4805" s="188">
        <v>118</v>
      </c>
      <c r="M4805" s="179" t="s">
        <v>151</v>
      </c>
    </row>
    <row r="4806" spans="1:13" ht="25.5">
      <c r="A4806" s="313" t="str">
        <f t="shared" si="75"/>
        <v>MlsChannelCode_chan618</v>
      </c>
      <c r="B4806" s="330"/>
      <c r="C4806" s="334"/>
      <c r="D4806" s="188" t="s">
        <v>26624</v>
      </c>
      <c r="E4806" s="189" t="s">
        <v>26625</v>
      </c>
      <c r="F4806" s="162" t="s">
        <v>26626</v>
      </c>
      <c r="G4806" s="162" t="s">
        <v>13413</v>
      </c>
      <c r="H4806" s="219"/>
      <c r="I4806" s="169">
        <v>115249</v>
      </c>
      <c r="J4806" s="304" t="str">
        <f>CONCATENATE([2]Cover!$D$6,"fdd/view?i=",I4806)</f>
        <v>https://www.dgiwg.org/FAD/fdd/view?i=115249</v>
      </c>
      <c r="K4806" s="304" t="s">
        <v>38855</v>
      </c>
      <c r="L4806" s="188">
        <v>119</v>
      </c>
      <c r="M4806" s="179" t="s">
        <v>151</v>
      </c>
    </row>
    <row r="4807" spans="1:13" ht="25.5">
      <c r="A4807" s="313" t="str">
        <f t="shared" si="75"/>
        <v>MlsChannelCode_chan619</v>
      </c>
      <c r="B4807" s="330"/>
      <c r="C4807" s="334"/>
      <c r="D4807" s="188" t="s">
        <v>26627</v>
      </c>
      <c r="E4807" s="189" t="s">
        <v>26628</v>
      </c>
      <c r="F4807" s="162" t="s">
        <v>26629</v>
      </c>
      <c r="G4807" s="162" t="s">
        <v>13413</v>
      </c>
      <c r="H4807" s="219"/>
      <c r="I4807" s="169">
        <v>115250</v>
      </c>
      <c r="J4807" s="304" t="str">
        <f>CONCATENATE([2]Cover!$D$6,"fdd/view?i=",I4807)</f>
        <v>https://www.dgiwg.org/FAD/fdd/view?i=115250</v>
      </c>
      <c r="K4807" s="304" t="s">
        <v>38856</v>
      </c>
      <c r="L4807" s="188">
        <v>120</v>
      </c>
      <c r="M4807" s="179" t="s">
        <v>151</v>
      </c>
    </row>
    <row r="4808" spans="1:13" ht="25.5">
      <c r="A4808" s="313" t="str">
        <f t="shared" si="75"/>
        <v>MlsChannelCode_chan620</v>
      </c>
      <c r="B4808" s="330"/>
      <c r="C4808" s="334"/>
      <c r="D4808" s="188" t="s">
        <v>26630</v>
      </c>
      <c r="E4808" s="189" t="s">
        <v>26631</v>
      </c>
      <c r="F4808" s="162" t="s">
        <v>26632</v>
      </c>
      <c r="G4808" s="162" t="s">
        <v>13413</v>
      </c>
      <c r="H4808" s="219"/>
      <c r="I4808" s="169">
        <v>115251</v>
      </c>
      <c r="J4808" s="304" t="str">
        <f>CONCATENATE([2]Cover!$D$6,"fdd/view?i=",I4808)</f>
        <v>https://www.dgiwg.org/FAD/fdd/view?i=115251</v>
      </c>
      <c r="K4808" s="304" t="s">
        <v>38857</v>
      </c>
      <c r="L4808" s="188">
        <v>121</v>
      </c>
      <c r="M4808" s="179" t="s">
        <v>151</v>
      </c>
    </row>
    <row r="4809" spans="1:13" ht="25.5">
      <c r="A4809" s="313" t="str">
        <f t="shared" si="75"/>
        <v>MlsChannelCode_chan621</v>
      </c>
      <c r="B4809" s="330"/>
      <c r="C4809" s="334"/>
      <c r="D4809" s="188" t="s">
        <v>26633</v>
      </c>
      <c r="E4809" s="189" t="s">
        <v>26634</v>
      </c>
      <c r="F4809" s="162" t="s">
        <v>26635</v>
      </c>
      <c r="G4809" s="162" t="s">
        <v>13413</v>
      </c>
      <c r="H4809" s="219"/>
      <c r="I4809" s="169">
        <v>115252</v>
      </c>
      <c r="J4809" s="304" t="str">
        <f>CONCATENATE([2]Cover!$D$6,"fdd/view?i=",I4809)</f>
        <v>https://www.dgiwg.org/FAD/fdd/view?i=115252</v>
      </c>
      <c r="K4809" s="304" t="s">
        <v>38858</v>
      </c>
      <c r="L4809" s="188">
        <v>122</v>
      </c>
      <c r="M4809" s="179" t="s">
        <v>151</v>
      </c>
    </row>
    <row r="4810" spans="1:13" ht="25.5">
      <c r="A4810" s="313" t="str">
        <f t="shared" si="75"/>
        <v>MlsChannelCode_chan622</v>
      </c>
      <c r="B4810" s="330"/>
      <c r="C4810" s="334"/>
      <c r="D4810" s="188" t="s">
        <v>26636</v>
      </c>
      <c r="E4810" s="189" t="s">
        <v>26637</v>
      </c>
      <c r="F4810" s="162" t="s">
        <v>26638</v>
      </c>
      <c r="G4810" s="162" t="s">
        <v>13413</v>
      </c>
      <c r="H4810" s="219"/>
      <c r="I4810" s="169">
        <v>115253</v>
      </c>
      <c r="J4810" s="304" t="str">
        <f>CONCATENATE([2]Cover!$D$6,"fdd/view?i=",I4810)</f>
        <v>https://www.dgiwg.org/FAD/fdd/view?i=115253</v>
      </c>
      <c r="K4810" s="304" t="s">
        <v>38859</v>
      </c>
      <c r="L4810" s="188">
        <v>123</v>
      </c>
      <c r="M4810" s="179" t="s">
        <v>151</v>
      </c>
    </row>
    <row r="4811" spans="1:13" ht="25.5">
      <c r="A4811" s="313" t="str">
        <f t="shared" si="75"/>
        <v>MlsChannelCode_chan623</v>
      </c>
      <c r="B4811" s="330"/>
      <c r="C4811" s="334"/>
      <c r="D4811" s="188" t="s">
        <v>26639</v>
      </c>
      <c r="E4811" s="189" t="s">
        <v>26640</v>
      </c>
      <c r="F4811" s="162" t="s">
        <v>26641</v>
      </c>
      <c r="G4811" s="162" t="s">
        <v>13413</v>
      </c>
      <c r="H4811" s="219"/>
      <c r="I4811" s="169">
        <v>115254</v>
      </c>
      <c r="J4811" s="304" t="str">
        <f>CONCATENATE([2]Cover!$D$6,"fdd/view?i=",I4811)</f>
        <v>https://www.dgiwg.org/FAD/fdd/view?i=115254</v>
      </c>
      <c r="K4811" s="304" t="s">
        <v>38860</v>
      </c>
      <c r="L4811" s="188">
        <v>124</v>
      </c>
      <c r="M4811" s="179" t="s">
        <v>151</v>
      </c>
    </row>
    <row r="4812" spans="1:13" ht="25.5">
      <c r="A4812" s="313" t="str">
        <f t="shared" si="75"/>
        <v>MlsChannelCode_chan624</v>
      </c>
      <c r="B4812" s="330"/>
      <c r="C4812" s="334"/>
      <c r="D4812" s="188" t="s">
        <v>26642</v>
      </c>
      <c r="E4812" s="189" t="s">
        <v>26643</v>
      </c>
      <c r="F4812" s="162" t="s">
        <v>26644</v>
      </c>
      <c r="G4812" s="162" t="s">
        <v>13413</v>
      </c>
      <c r="H4812" s="219"/>
      <c r="I4812" s="169">
        <v>115255</v>
      </c>
      <c r="J4812" s="304" t="str">
        <f>CONCATENATE([2]Cover!$D$6,"fdd/view?i=",I4812)</f>
        <v>https://www.dgiwg.org/FAD/fdd/view?i=115255</v>
      </c>
      <c r="K4812" s="304" t="s">
        <v>38861</v>
      </c>
      <c r="L4812" s="188">
        <v>125</v>
      </c>
      <c r="M4812" s="179" t="s">
        <v>151</v>
      </c>
    </row>
    <row r="4813" spans="1:13" ht="25.5">
      <c r="A4813" s="313" t="str">
        <f t="shared" si="75"/>
        <v>MlsChannelCode_chan625</v>
      </c>
      <c r="B4813" s="330"/>
      <c r="C4813" s="334"/>
      <c r="D4813" s="188" t="s">
        <v>26645</v>
      </c>
      <c r="E4813" s="189" t="s">
        <v>26646</v>
      </c>
      <c r="F4813" s="162" t="s">
        <v>26647</v>
      </c>
      <c r="G4813" s="162" t="s">
        <v>13413</v>
      </c>
      <c r="H4813" s="219"/>
      <c r="I4813" s="169">
        <v>115256</v>
      </c>
      <c r="J4813" s="304" t="str">
        <f>CONCATENATE([2]Cover!$D$6,"fdd/view?i=",I4813)</f>
        <v>https://www.dgiwg.org/FAD/fdd/view?i=115256</v>
      </c>
      <c r="K4813" s="304" t="s">
        <v>38862</v>
      </c>
      <c r="L4813" s="188">
        <v>126</v>
      </c>
      <c r="M4813" s="179" t="s">
        <v>151</v>
      </c>
    </row>
    <row r="4814" spans="1:13" ht="25.5">
      <c r="A4814" s="313" t="str">
        <f t="shared" si="75"/>
        <v>MlsChannelCode_chan626</v>
      </c>
      <c r="B4814" s="330"/>
      <c r="C4814" s="334"/>
      <c r="D4814" s="188" t="s">
        <v>26648</v>
      </c>
      <c r="E4814" s="189" t="s">
        <v>26649</v>
      </c>
      <c r="F4814" s="162" t="s">
        <v>26650</v>
      </c>
      <c r="G4814" s="162" t="s">
        <v>13413</v>
      </c>
      <c r="H4814" s="219"/>
      <c r="I4814" s="169">
        <v>115257</v>
      </c>
      <c r="J4814" s="304" t="str">
        <f>CONCATENATE([2]Cover!$D$6,"fdd/view?i=",I4814)</f>
        <v>https://www.dgiwg.org/FAD/fdd/view?i=115257</v>
      </c>
      <c r="K4814" s="304" t="s">
        <v>38863</v>
      </c>
      <c r="L4814" s="188">
        <v>127</v>
      </c>
      <c r="M4814" s="179" t="s">
        <v>151</v>
      </c>
    </row>
    <row r="4815" spans="1:13" ht="25.5">
      <c r="A4815" s="313" t="str">
        <f t="shared" si="75"/>
        <v>MlsChannelCode_chan627</v>
      </c>
      <c r="B4815" s="330"/>
      <c r="C4815" s="334"/>
      <c r="D4815" s="188" t="s">
        <v>26651</v>
      </c>
      <c r="E4815" s="189" t="s">
        <v>26652</v>
      </c>
      <c r="F4815" s="162" t="s">
        <v>26653</v>
      </c>
      <c r="G4815" s="162" t="s">
        <v>13413</v>
      </c>
      <c r="H4815" s="219"/>
      <c r="I4815" s="169">
        <v>115258</v>
      </c>
      <c r="J4815" s="304" t="str">
        <f>CONCATENATE([2]Cover!$D$6,"fdd/view?i=",I4815)</f>
        <v>https://www.dgiwg.org/FAD/fdd/view?i=115258</v>
      </c>
      <c r="K4815" s="304" t="s">
        <v>38864</v>
      </c>
      <c r="L4815" s="188">
        <v>128</v>
      </c>
      <c r="M4815" s="179" t="s">
        <v>151</v>
      </c>
    </row>
    <row r="4816" spans="1:13" ht="25.5">
      <c r="A4816" s="313" t="str">
        <f t="shared" si="75"/>
        <v>MlsChannelCode_chan628</v>
      </c>
      <c r="B4816" s="330"/>
      <c r="C4816" s="334"/>
      <c r="D4816" s="188" t="s">
        <v>26654</v>
      </c>
      <c r="E4816" s="189" t="s">
        <v>26655</v>
      </c>
      <c r="F4816" s="162" t="s">
        <v>26656</v>
      </c>
      <c r="G4816" s="162" t="s">
        <v>13413</v>
      </c>
      <c r="H4816" s="219"/>
      <c r="I4816" s="169">
        <v>115259</v>
      </c>
      <c r="J4816" s="304" t="str">
        <f>CONCATENATE([2]Cover!$D$6,"fdd/view?i=",I4816)</f>
        <v>https://www.dgiwg.org/FAD/fdd/view?i=115259</v>
      </c>
      <c r="K4816" s="304" t="s">
        <v>38865</v>
      </c>
      <c r="L4816" s="188">
        <v>129</v>
      </c>
      <c r="M4816" s="179" t="s">
        <v>151</v>
      </c>
    </row>
    <row r="4817" spans="1:13" ht="25.5">
      <c r="A4817" s="313" t="str">
        <f t="shared" si="75"/>
        <v>MlsChannelCode_chan629</v>
      </c>
      <c r="B4817" s="330"/>
      <c r="C4817" s="334"/>
      <c r="D4817" s="188" t="s">
        <v>26657</v>
      </c>
      <c r="E4817" s="189" t="s">
        <v>26658</v>
      </c>
      <c r="F4817" s="162" t="s">
        <v>26659</v>
      </c>
      <c r="G4817" s="162" t="s">
        <v>13413</v>
      </c>
      <c r="H4817" s="219"/>
      <c r="I4817" s="169">
        <v>115260</v>
      </c>
      <c r="J4817" s="304" t="str">
        <f>CONCATENATE([2]Cover!$D$6,"fdd/view?i=",I4817)</f>
        <v>https://www.dgiwg.org/FAD/fdd/view?i=115260</v>
      </c>
      <c r="K4817" s="304" t="s">
        <v>38866</v>
      </c>
      <c r="L4817" s="188">
        <v>130</v>
      </c>
      <c r="M4817" s="179" t="s">
        <v>151</v>
      </c>
    </row>
    <row r="4818" spans="1:13" ht="25.5">
      <c r="A4818" s="313" t="str">
        <f t="shared" si="75"/>
        <v>MlsChannelCode_chan630</v>
      </c>
      <c r="B4818" s="330"/>
      <c r="C4818" s="334"/>
      <c r="D4818" s="188" t="s">
        <v>26660</v>
      </c>
      <c r="E4818" s="189" t="s">
        <v>26661</v>
      </c>
      <c r="F4818" s="162" t="s">
        <v>26662</v>
      </c>
      <c r="G4818" s="162" t="s">
        <v>13413</v>
      </c>
      <c r="H4818" s="219"/>
      <c r="I4818" s="169">
        <v>115261</v>
      </c>
      <c r="J4818" s="304" t="str">
        <f>CONCATENATE([2]Cover!$D$6,"fdd/view?i=",I4818)</f>
        <v>https://www.dgiwg.org/FAD/fdd/view?i=115261</v>
      </c>
      <c r="K4818" s="304" t="s">
        <v>38867</v>
      </c>
      <c r="L4818" s="188">
        <v>131</v>
      </c>
      <c r="M4818" s="179" t="s">
        <v>151</v>
      </c>
    </row>
    <row r="4819" spans="1:13" ht="25.5">
      <c r="A4819" s="313" t="str">
        <f t="shared" si="75"/>
        <v>MlsChannelCode_chan631</v>
      </c>
      <c r="B4819" s="330"/>
      <c r="C4819" s="334"/>
      <c r="D4819" s="188" t="s">
        <v>26663</v>
      </c>
      <c r="E4819" s="189" t="s">
        <v>26664</v>
      </c>
      <c r="F4819" s="162" t="s">
        <v>26665</v>
      </c>
      <c r="G4819" s="162" t="s">
        <v>13413</v>
      </c>
      <c r="H4819" s="219"/>
      <c r="I4819" s="169">
        <v>115262</v>
      </c>
      <c r="J4819" s="304" t="str">
        <f>CONCATENATE([2]Cover!$D$6,"fdd/view?i=",I4819)</f>
        <v>https://www.dgiwg.org/FAD/fdd/view?i=115262</v>
      </c>
      <c r="K4819" s="304" t="s">
        <v>38868</v>
      </c>
      <c r="L4819" s="188">
        <v>132</v>
      </c>
      <c r="M4819" s="179" t="s">
        <v>151</v>
      </c>
    </row>
    <row r="4820" spans="1:13" ht="25.5">
      <c r="A4820" s="313" t="str">
        <f t="shared" si="75"/>
        <v>MlsChannelCode_chan632</v>
      </c>
      <c r="B4820" s="330"/>
      <c r="C4820" s="334"/>
      <c r="D4820" s="188" t="s">
        <v>26666</v>
      </c>
      <c r="E4820" s="189" t="s">
        <v>26667</v>
      </c>
      <c r="F4820" s="162" t="s">
        <v>26668</v>
      </c>
      <c r="G4820" s="162" t="s">
        <v>13413</v>
      </c>
      <c r="H4820" s="219"/>
      <c r="I4820" s="169">
        <v>115263</v>
      </c>
      <c r="J4820" s="304" t="str">
        <f>CONCATENATE([2]Cover!$D$6,"fdd/view?i=",I4820)</f>
        <v>https://www.dgiwg.org/FAD/fdd/view?i=115263</v>
      </c>
      <c r="K4820" s="304" t="s">
        <v>38869</v>
      </c>
      <c r="L4820" s="188">
        <v>133</v>
      </c>
      <c r="M4820" s="179" t="s">
        <v>151</v>
      </c>
    </row>
    <row r="4821" spans="1:13" ht="25.5">
      <c r="A4821" s="313" t="str">
        <f t="shared" si="75"/>
        <v>MlsChannelCode_chan633</v>
      </c>
      <c r="B4821" s="330"/>
      <c r="C4821" s="334"/>
      <c r="D4821" s="188" t="s">
        <v>26669</v>
      </c>
      <c r="E4821" s="189" t="s">
        <v>26670</v>
      </c>
      <c r="F4821" s="162" t="s">
        <v>26671</v>
      </c>
      <c r="G4821" s="162" t="s">
        <v>13413</v>
      </c>
      <c r="H4821" s="219"/>
      <c r="I4821" s="169">
        <v>115264</v>
      </c>
      <c r="J4821" s="304" t="str">
        <f>CONCATENATE([2]Cover!$D$6,"fdd/view?i=",I4821)</f>
        <v>https://www.dgiwg.org/FAD/fdd/view?i=115264</v>
      </c>
      <c r="K4821" s="304" t="s">
        <v>38870</v>
      </c>
      <c r="L4821" s="188">
        <v>134</v>
      </c>
      <c r="M4821" s="179" t="s">
        <v>151</v>
      </c>
    </row>
    <row r="4822" spans="1:13" ht="25.5">
      <c r="A4822" s="313" t="str">
        <f t="shared" si="75"/>
        <v>MlsChannelCode_chan634</v>
      </c>
      <c r="B4822" s="330"/>
      <c r="C4822" s="334"/>
      <c r="D4822" s="188" t="s">
        <v>26672</v>
      </c>
      <c r="E4822" s="189" t="s">
        <v>26673</v>
      </c>
      <c r="F4822" s="162" t="s">
        <v>26674</v>
      </c>
      <c r="G4822" s="162" t="s">
        <v>13413</v>
      </c>
      <c r="H4822" s="219"/>
      <c r="I4822" s="169">
        <v>115265</v>
      </c>
      <c r="J4822" s="304" t="str">
        <f>CONCATENATE([2]Cover!$D$6,"fdd/view?i=",I4822)</f>
        <v>https://www.dgiwg.org/FAD/fdd/view?i=115265</v>
      </c>
      <c r="K4822" s="304" t="s">
        <v>38871</v>
      </c>
      <c r="L4822" s="188">
        <v>135</v>
      </c>
      <c r="M4822" s="179" t="s">
        <v>151</v>
      </c>
    </row>
    <row r="4823" spans="1:13" ht="25.5">
      <c r="A4823" s="313" t="str">
        <f t="shared" si="75"/>
        <v>MlsChannelCode_chan635</v>
      </c>
      <c r="B4823" s="330"/>
      <c r="C4823" s="334"/>
      <c r="D4823" s="188" t="s">
        <v>26675</v>
      </c>
      <c r="E4823" s="189" t="s">
        <v>26676</v>
      </c>
      <c r="F4823" s="162" t="s">
        <v>26677</v>
      </c>
      <c r="G4823" s="162" t="s">
        <v>13413</v>
      </c>
      <c r="H4823" s="219"/>
      <c r="I4823" s="169">
        <v>115266</v>
      </c>
      <c r="J4823" s="304" t="str">
        <f>CONCATENATE([2]Cover!$D$6,"fdd/view?i=",I4823)</f>
        <v>https://www.dgiwg.org/FAD/fdd/view?i=115266</v>
      </c>
      <c r="K4823" s="304" t="s">
        <v>38872</v>
      </c>
      <c r="L4823" s="188">
        <v>136</v>
      </c>
      <c r="M4823" s="179" t="s">
        <v>151</v>
      </c>
    </row>
    <row r="4824" spans="1:13" ht="25.5">
      <c r="A4824" s="313" t="str">
        <f t="shared" si="75"/>
        <v>MlsChannelCode_chan636</v>
      </c>
      <c r="B4824" s="330"/>
      <c r="C4824" s="334"/>
      <c r="D4824" s="188" t="s">
        <v>26678</v>
      </c>
      <c r="E4824" s="189" t="s">
        <v>26679</v>
      </c>
      <c r="F4824" s="162" t="s">
        <v>26680</v>
      </c>
      <c r="G4824" s="162" t="s">
        <v>13413</v>
      </c>
      <c r="H4824" s="219"/>
      <c r="I4824" s="169">
        <v>115267</v>
      </c>
      <c r="J4824" s="304" t="str">
        <f>CONCATENATE([2]Cover!$D$6,"fdd/view?i=",I4824)</f>
        <v>https://www.dgiwg.org/FAD/fdd/view?i=115267</v>
      </c>
      <c r="K4824" s="304" t="s">
        <v>38873</v>
      </c>
      <c r="L4824" s="188">
        <v>137</v>
      </c>
      <c r="M4824" s="179" t="s">
        <v>151</v>
      </c>
    </row>
    <row r="4825" spans="1:13" ht="25.5">
      <c r="A4825" s="313" t="str">
        <f t="shared" si="75"/>
        <v>MlsChannelCode_chan637</v>
      </c>
      <c r="B4825" s="330"/>
      <c r="C4825" s="334"/>
      <c r="D4825" s="188" t="s">
        <v>26681</v>
      </c>
      <c r="E4825" s="189" t="s">
        <v>26682</v>
      </c>
      <c r="F4825" s="162" t="s">
        <v>26683</v>
      </c>
      <c r="G4825" s="162" t="s">
        <v>13413</v>
      </c>
      <c r="H4825" s="219"/>
      <c r="I4825" s="169">
        <v>115268</v>
      </c>
      <c r="J4825" s="304" t="str">
        <f>CONCATENATE([2]Cover!$D$6,"fdd/view?i=",I4825)</f>
        <v>https://www.dgiwg.org/FAD/fdd/view?i=115268</v>
      </c>
      <c r="K4825" s="304" t="s">
        <v>38874</v>
      </c>
      <c r="L4825" s="188">
        <v>138</v>
      </c>
      <c r="M4825" s="179" t="s">
        <v>151</v>
      </c>
    </row>
    <row r="4826" spans="1:13" ht="25.5">
      <c r="A4826" s="313" t="str">
        <f t="shared" si="75"/>
        <v>MlsChannelCode_chan638</v>
      </c>
      <c r="B4826" s="330"/>
      <c r="C4826" s="334"/>
      <c r="D4826" s="188" t="s">
        <v>26684</v>
      </c>
      <c r="E4826" s="189" t="s">
        <v>26685</v>
      </c>
      <c r="F4826" s="162" t="s">
        <v>26686</v>
      </c>
      <c r="G4826" s="162" t="s">
        <v>13413</v>
      </c>
      <c r="H4826" s="219"/>
      <c r="I4826" s="169">
        <v>115269</v>
      </c>
      <c r="J4826" s="304" t="str">
        <f>CONCATENATE([2]Cover!$D$6,"fdd/view?i=",I4826)</f>
        <v>https://www.dgiwg.org/FAD/fdd/view?i=115269</v>
      </c>
      <c r="K4826" s="304" t="s">
        <v>38875</v>
      </c>
      <c r="L4826" s="188">
        <v>139</v>
      </c>
      <c r="M4826" s="179" t="s">
        <v>151</v>
      </c>
    </row>
    <row r="4827" spans="1:13" ht="25.5">
      <c r="A4827" s="313" t="str">
        <f t="shared" si="75"/>
        <v>MlsChannelCode_chan639</v>
      </c>
      <c r="B4827" s="330"/>
      <c r="C4827" s="334"/>
      <c r="D4827" s="188" t="s">
        <v>26687</v>
      </c>
      <c r="E4827" s="189" t="s">
        <v>26688</v>
      </c>
      <c r="F4827" s="162" t="s">
        <v>26689</v>
      </c>
      <c r="G4827" s="162" t="s">
        <v>13413</v>
      </c>
      <c r="H4827" s="219"/>
      <c r="I4827" s="169">
        <v>115270</v>
      </c>
      <c r="J4827" s="304" t="str">
        <f>CONCATENATE([2]Cover!$D$6,"fdd/view?i=",I4827)</f>
        <v>https://www.dgiwg.org/FAD/fdd/view?i=115270</v>
      </c>
      <c r="K4827" s="304" t="s">
        <v>38876</v>
      </c>
      <c r="L4827" s="188">
        <v>140</v>
      </c>
      <c r="M4827" s="179" t="s">
        <v>151</v>
      </c>
    </row>
    <row r="4828" spans="1:13" ht="25.5">
      <c r="A4828" s="313" t="str">
        <f t="shared" si="75"/>
        <v>MlsChannelCode_chan640</v>
      </c>
      <c r="B4828" s="330"/>
      <c r="C4828" s="334"/>
      <c r="D4828" s="188" t="s">
        <v>26690</v>
      </c>
      <c r="E4828" s="189" t="s">
        <v>26691</v>
      </c>
      <c r="F4828" s="162" t="s">
        <v>26692</v>
      </c>
      <c r="G4828" s="162" t="s">
        <v>13413</v>
      </c>
      <c r="H4828" s="219"/>
      <c r="I4828" s="169">
        <v>115271</v>
      </c>
      <c r="J4828" s="304" t="str">
        <f>CONCATENATE([2]Cover!$D$6,"fdd/view?i=",I4828)</f>
        <v>https://www.dgiwg.org/FAD/fdd/view?i=115271</v>
      </c>
      <c r="K4828" s="304" t="s">
        <v>38877</v>
      </c>
      <c r="L4828" s="188">
        <v>141</v>
      </c>
      <c r="M4828" s="179" t="s">
        <v>151</v>
      </c>
    </row>
    <row r="4829" spans="1:13" ht="25.5">
      <c r="A4829" s="313" t="str">
        <f t="shared" si="75"/>
        <v>MlsChannelCode_chan641</v>
      </c>
      <c r="B4829" s="330"/>
      <c r="C4829" s="334"/>
      <c r="D4829" s="188" t="s">
        <v>26693</v>
      </c>
      <c r="E4829" s="189" t="s">
        <v>26694</v>
      </c>
      <c r="F4829" s="162" t="s">
        <v>26695</v>
      </c>
      <c r="G4829" s="162" t="s">
        <v>13413</v>
      </c>
      <c r="H4829" s="219"/>
      <c r="I4829" s="169">
        <v>115272</v>
      </c>
      <c r="J4829" s="304" t="str">
        <f>CONCATENATE([2]Cover!$D$6,"fdd/view?i=",I4829)</f>
        <v>https://www.dgiwg.org/FAD/fdd/view?i=115272</v>
      </c>
      <c r="K4829" s="304" t="s">
        <v>38878</v>
      </c>
      <c r="L4829" s="188">
        <v>142</v>
      </c>
      <c r="M4829" s="179" t="s">
        <v>151</v>
      </c>
    </row>
    <row r="4830" spans="1:13" ht="25.5">
      <c r="A4830" s="313" t="str">
        <f t="shared" si="75"/>
        <v>MlsChannelCode_chan642</v>
      </c>
      <c r="B4830" s="330"/>
      <c r="C4830" s="334"/>
      <c r="D4830" s="188" t="s">
        <v>26696</v>
      </c>
      <c r="E4830" s="189" t="s">
        <v>26697</v>
      </c>
      <c r="F4830" s="162" t="s">
        <v>26698</v>
      </c>
      <c r="G4830" s="162" t="s">
        <v>13413</v>
      </c>
      <c r="H4830" s="219"/>
      <c r="I4830" s="169">
        <v>115273</v>
      </c>
      <c r="J4830" s="304" t="str">
        <f>CONCATENATE([2]Cover!$D$6,"fdd/view?i=",I4830)</f>
        <v>https://www.dgiwg.org/FAD/fdd/view?i=115273</v>
      </c>
      <c r="K4830" s="304" t="s">
        <v>38879</v>
      </c>
      <c r="L4830" s="188">
        <v>143</v>
      </c>
      <c r="M4830" s="179" t="s">
        <v>151</v>
      </c>
    </row>
    <row r="4831" spans="1:13" ht="25.5">
      <c r="A4831" s="313" t="str">
        <f t="shared" si="75"/>
        <v>MlsChannelCode_chan643</v>
      </c>
      <c r="B4831" s="330"/>
      <c r="C4831" s="334"/>
      <c r="D4831" s="188" t="s">
        <v>26699</v>
      </c>
      <c r="E4831" s="189" t="s">
        <v>26700</v>
      </c>
      <c r="F4831" s="162" t="s">
        <v>26701</v>
      </c>
      <c r="G4831" s="162" t="s">
        <v>13413</v>
      </c>
      <c r="H4831" s="219"/>
      <c r="I4831" s="169">
        <v>115274</v>
      </c>
      <c r="J4831" s="304" t="str">
        <f>CONCATENATE([2]Cover!$D$6,"fdd/view?i=",I4831)</f>
        <v>https://www.dgiwg.org/FAD/fdd/view?i=115274</v>
      </c>
      <c r="K4831" s="304" t="s">
        <v>38880</v>
      </c>
      <c r="L4831" s="188">
        <v>144</v>
      </c>
      <c r="M4831" s="179" t="s">
        <v>151</v>
      </c>
    </row>
    <row r="4832" spans="1:13" ht="25.5">
      <c r="A4832" s="313" t="str">
        <f t="shared" si="75"/>
        <v>MlsChannelCode_chan644</v>
      </c>
      <c r="B4832" s="330"/>
      <c r="C4832" s="334"/>
      <c r="D4832" s="188" t="s">
        <v>26702</v>
      </c>
      <c r="E4832" s="189" t="s">
        <v>26703</v>
      </c>
      <c r="F4832" s="162" t="s">
        <v>26704</v>
      </c>
      <c r="G4832" s="162" t="s">
        <v>13413</v>
      </c>
      <c r="H4832" s="219"/>
      <c r="I4832" s="169">
        <v>115275</v>
      </c>
      <c r="J4832" s="304" t="str">
        <f>CONCATENATE([2]Cover!$D$6,"fdd/view?i=",I4832)</f>
        <v>https://www.dgiwg.org/FAD/fdd/view?i=115275</v>
      </c>
      <c r="K4832" s="304" t="s">
        <v>38881</v>
      </c>
      <c r="L4832" s="188">
        <v>145</v>
      </c>
      <c r="M4832" s="179" t="s">
        <v>151</v>
      </c>
    </row>
    <row r="4833" spans="1:13" ht="25.5">
      <c r="A4833" s="313" t="str">
        <f t="shared" si="75"/>
        <v>MlsChannelCode_chan645</v>
      </c>
      <c r="B4833" s="330"/>
      <c r="C4833" s="334"/>
      <c r="D4833" s="188" t="s">
        <v>26705</v>
      </c>
      <c r="E4833" s="189" t="s">
        <v>26706</v>
      </c>
      <c r="F4833" s="162" t="s">
        <v>26707</v>
      </c>
      <c r="G4833" s="162" t="s">
        <v>13413</v>
      </c>
      <c r="H4833" s="219"/>
      <c r="I4833" s="169">
        <v>115276</v>
      </c>
      <c r="J4833" s="304" t="str">
        <f>CONCATENATE([2]Cover!$D$6,"fdd/view?i=",I4833)</f>
        <v>https://www.dgiwg.org/FAD/fdd/view?i=115276</v>
      </c>
      <c r="K4833" s="304" t="s">
        <v>38882</v>
      </c>
      <c r="L4833" s="188">
        <v>146</v>
      </c>
      <c r="M4833" s="179" t="s">
        <v>151</v>
      </c>
    </row>
    <row r="4834" spans="1:13" ht="25.5">
      <c r="A4834" s="313" t="str">
        <f t="shared" si="75"/>
        <v>MlsChannelCode_chan646</v>
      </c>
      <c r="B4834" s="330"/>
      <c r="C4834" s="334"/>
      <c r="D4834" s="188" t="s">
        <v>26708</v>
      </c>
      <c r="E4834" s="189" t="s">
        <v>26709</v>
      </c>
      <c r="F4834" s="162" t="s">
        <v>26710</v>
      </c>
      <c r="G4834" s="162" t="s">
        <v>13413</v>
      </c>
      <c r="H4834" s="219"/>
      <c r="I4834" s="169">
        <v>115277</v>
      </c>
      <c r="J4834" s="304" t="str">
        <f>CONCATENATE([2]Cover!$D$6,"fdd/view?i=",I4834)</f>
        <v>https://www.dgiwg.org/FAD/fdd/view?i=115277</v>
      </c>
      <c r="K4834" s="304" t="s">
        <v>38883</v>
      </c>
      <c r="L4834" s="188">
        <v>147</v>
      </c>
      <c r="M4834" s="179" t="s">
        <v>151</v>
      </c>
    </row>
    <row r="4835" spans="1:13" ht="25.5">
      <c r="A4835" s="313" t="str">
        <f t="shared" si="75"/>
        <v>MlsChannelCode_chan647</v>
      </c>
      <c r="B4835" s="330"/>
      <c r="C4835" s="334"/>
      <c r="D4835" s="188" t="s">
        <v>26711</v>
      </c>
      <c r="E4835" s="189" t="s">
        <v>26712</v>
      </c>
      <c r="F4835" s="162" t="s">
        <v>26713</v>
      </c>
      <c r="G4835" s="162" t="s">
        <v>13413</v>
      </c>
      <c r="H4835" s="219"/>
      <c r="I4835" s="169">
        <v>115278</v>
      </c>
      <c r="J4835" s="304" t="str">
        <f>CONCATENATE([2]Cover!$D$6,"fdd/view?i=",I4835)</f>
        <v>https://www.dgiwg.org/FAD/fdd/view?i=115278</v>
      </c>
      <c r="K4835" s="304" t="s">
        <v>38884</v>
      </c>
      <c r="L4835" s="188">
        <v>148</v>
      </c>
      <c r="M4835" s="179" t="s">
        <v>151</v>
      </c>
    </row>
    <row r="4836" spans="1:13" ht="25.5">
      <c r="A4836" s="313" t="str">
        <f t="shared" si="75"/>
        <v>MlsChannelCode_chan648</v>
      </c>
      <c r="B4836" s="330"/>
      <c r="C4836" s="334"/>
      <c r="D4836" s="188" t="s">
        <v>26714</v>
      </c>
      <c r="E4836" s="189" t="s">
        <v>26715</v>
      </c>
      <c r="F4836" s="162" t="s">
        <v>26716</v>
      </c>
      <c r="G4836" s="162" t="s">
        <v>13413</v>
      </c>
      <c r="H4836" s="219"/>
      <c r="I4836" s="169">
        <v>115279</v>
      </c>
      <c r="J4836" s="304" t="str">
        <f>CONCATENATE([2]Cover!$D$6,"fdd/view?i=",I4836)</f>
        <v>https://www.dgiwg.org/FAD/fdd/view?i=115279</v>
      </c>
      <c r="K4836" s="304" t="s">
        <v>38885</v>
      </c>
      <c r="L4836" s="188">
        <v>149</v>
      </c>
      <c r="M4836" s="179" t="s">
        <v>151</v>
      </c>
    </row>
    <row r="4837" spans="1:13" ht="25.5">
      <c r="A4837" s="313" t="str">
        <f t="shared" si="75"/>
        <v>MlsChannelCode_chan649</v>
      </c>
      <c r="B4837" s="330"/>
      <c r="C4837" s="334"/>
      <c r="D4837" s="188" t="s">
        <v>26717</v>
      </c>
      <c r="E4837" s="189" t="s">
        <v>26718</v>
      </c>
      <c r="F4837" s="162" t="s">
        <v>26719</v>
      </c>
      <c r="G4837" s="162" t="s">
        <v>13413</v>
      </c>
      <c r="H4837" s="219"/>
      <c r="I4837" s="169">
        <v>115280</v>
      </c>
      <c r="J4837" s="304" t="str">
        <f>CONCATENATE([2]Cover!$D$6,"fdd/view?i=",I4837)</f>
        <v>https://www.dgiwg.org/FAD/fdd/view?i=115280</v>
      </c>
      <c r="K4837" s="304" t="s">
        <v>38886</v>
      </c>
      <c r="L4837" s="188">
        <v>150</v>
      </c>
      <c r="M4837" s="179" t="s">
        <v>151</v>
      </c>
    </row>
    <row r="4838" spans="1:13" ht="25.5">
      <c r="A4838" s="313" t="str">
        <f t="shared" si="75"/>
        <v>MlsChannelCode_chan650</v>
      </c>
      <c r="B4838" s="330"/>
      <c r="C4838" s="334"/>
      <c r="D4838" s="188" t="s">
        <v>26720</v>
      </c>
      <c r="E4838" s="189" t="s">
        <v>26721</v>
      </c>
      <c r="F4838" s="162" t="s">
        <v>26722</v>
      </c>
      <c r="G4838" s="162" t="s">
        <v>13413</v>
      </c>
      <c r="H4838" s="219"/>
      <c r="I4838" s="169">
        <v>115281</v>
      </c>
      <c r="J4838" s="304" t="str">
        <f>CONCATENATE([2]Cover!$D$6,"fdd/view?i=",I4838)</f>
        <v>https://www.dgiwg.org/FAD/fdd/view?i=115281</v>
      </c>
      <c r="K4838" s="304" t="s">
        <v>38887</v>
      </c>
      <c r="L4838" s="188">
        <v>151</v>
      </c>
      <c r="M4838" s="179" t="s">
        <v>151</v>
      </c>
    </row>
    <row r="4839" spans="1:13" ht="25.5">
      <c r="A4839" s="313" t="str">
        <f t="shared" si="75"/>
        <v>MlsChannelCode_chan651</v>
      </c>
      <c r="B4839" s="330"/>
      <c r="C4839" s="334"/>
      <c r="D4839" s="188" t="s">
        <v>26723</v>
      </c>
      <c r="E4839" s="189" t="s">
        <v>26724</v>
      </c>
      <c r="F4839" s="162" t="s">
        <v>26725</v>
      </c>
      <c r="G4839" s="162" t="s">
        <v>13413</v>
      </c>
      <c r="H4839" s="219"/>
      <c r="I4839" s="169">
        <v>115282</v>
      </c>
      <c r="J4839" s="304" t="str">
        <f>CONCATENATE([2]Cover!$D$6,"fdd/view?i=",I4839)</f>
        <v>https://www.dgiwg.org/FAD/fdd/view?i=115282</v>
      </c>
      <c r="K4839" s="304" t="s">
        <v>38888</v>
      </c>
      <c r="L4839" s="188">
        <v>152</v>
      </c>
      <c r="M4839" s="179" t="s">
        <v>151</v>
      </c>
    </row>
    <row r="4840" spans="1:13" ht="25.5">
      <c r="A4840" s="313" t="str">
        <f t="shared" si="75"/>
        <v>MlsChannelCode_chan652</v>
      </c>
      <c r="B4840" s="330"/>
      <c r="C4840" s="334"/>
      <c r="D4840" s="188" t="s">
        <v>26726</v>
      </c>
      <c r="E4840" s="189" t="s">
        <v>26727</v>
      </c>
      <c r="F4840" s="162" t="s">
        <v>26728</v>
      </c>
      <c r="G4840" s="162" t="s">
        <v>13413</v>
      </c>
      <c r="H4840" s="219"/>
      <c r="I4840" s="169">
        <v>115283</v>
      </c>
      <c r="J4840" s="304" t="str">
        <f>CONCATENATE([2]Cover!$D$6,"fdd/view?i=",I4840)</f>
        <v>https://www.dgiwg.org/FAD/fdd/view?i=115283</v>
      </c>
      <c r="K4840" s="304" t="s">
        <v>38889</v>
      </c>
      <c r="L4840" s="188">
        <v>153</v>
      </c>
      <c r="M4840" s="179" t="s">
        <v>151</v>
      </c>
    </row>
    <row r="4841" spans="1:13" ht="25.5">
      <c r="A4841" s="313" t="str">
        <f t="shared" si="75"/>
        <v>MlsChannelCode_chan653</v>
      </c>
      <c r="B4841" s="330"/>
      <c r="C4841" s="334"/>
      <c r="D4841" s="188" t="s">
        <v>26729</v>
      </c>
      <c r="E4841" s="189" t="s">
        <v>26730</v>
      </c>
      <c r="F4841" s="162" t="s">
        <v>26731</v>
      </c>
      <c r="G4841" s="162" t="s">
        <v>13413</v>
      </c>
      <c r="H4841" s="219"/>
      <c r="I4841" s="169">
        <v>115284</v>
      </c>
      <c r="J4841" s="304" t="str">
        <f>CONCATENATE([2]Cover!$D$6,"fdd/view?i=",I4841)</f>
        <v>https://www.dgiwg.org/FAD/fdd/view?i=115284</v>
      </c>
      <c r="K4841" s="304" t="s">
        <v>38890</v>
      </c>
      <c r="L4841" s="188">
        <v>154</v>
      </c>
      <c r="M4841" s="179" t="s">
        <v>151</v>
      </c>
    </row>
    <row r="4842" spans="1:13" ht="25.5">
      <c r="A4842" s="313" t="str">
        <f t="shared" si="75"/>
        <v>MlsChannelCode_chan654</v>
      </c>
      <c r="B4842" s="330"/>
      <c r="C4842" s="334"/>
      <c r="D4842" s="188" t="s">
        <v>26732</v>
      </c>
      <c r="E4842" s="189" t="s">
        <v>26733</v>
      </c>
      <c r="F4842" s="162" t="s">
        <v>26734</v>
      </c>
      <c r="G4842" s="162" t="s">
        <v>13413</v>
      </c>
      <c r="H4842" s="219"/>
      <c r="I4842" s="169">
        <v>115285</v>
      </c>
      <c r="J4842" s="304" t="str">
        <f>CONCATENATE([2]Cover!$D$6,"fdd/view?i=",I4842)</f>
        <v>https://www.dgiwg.org/FAD/fdd/view?i=115285</v>
      </c>
      <c r="K4842" s="304" t="s">
        <v>38891</v>
      </c>
      <c r="L4842" s="188">
        <v>155</v>
      </c>
      <c r="M4842" s="179" t="s">
        <v>151</v>
      </c>
    </row>
    <row r="4843" spans="1:13" ht="25.5">
      <c r="A4843" s="313" t="str">
        <f t="shared" si="75"/>
        <v>MlsChannelCode_chan655</v>
      </c>
      <c r="B4843" s="330"/>
      <c r="C4843" s="334"/>
      <c r="D4843" s="188" t="s">
        <v>26735</v>
      </c>
      <c r="E4843" s="189" t="s">
        <v>26736</v>
      </c>
      <c r="F4843" s="162" t="s">
        <v>26737</v>
      </c>
      <c r="G4843" s="162" t="s">
        <v>13413</v>
      </c>
      <c r="H4843" s="219"/>
      <c r="I4843" s="169">
        <v>115286</v>
      </c>
      <c r="J4843" s="304" t="str">
        <f>CONCATENATE([2]Cover!$D$6,"fdd/view?i=",I4843)</f>
        <v>https://www.dgiwg.org/FAD/fdd/view?i=115286</v>
      </c>
      <c r="K4843" s="304" t="s">
        <v>38892</v>
      </c>
      <c r="L4843" s="188">
        <v>156</v>
      </c>
      <c r="M4843" s="179" t="s">
        <v>151</v>
      </c>
    </row>
    <row r="4844" spans="1:13" ht="25.5">
      <c r="A4844" s="313" t="str">
        <f t="shared" si="75"/>
        <v>MlsChannelCode_chan656</v>
      </c>
      <c r="B4844" s="330"/>
      <c r="C4844" s="334"/>
      <c r="D4844" s="188" t="s">
        <v>26738</v>
      </c>
      <c r="E4844" s="189" t="s">
        <v>26739</v>
      </c>
      <c r="F4844" s="162" t="s">
        <v>26740</v>
      </c>
      <c r="G4844" s="162" t="s">
        <v>13413</v>
      </c>
      <c r="H4844" s="219"/>
      <c r="I4844" s="169">
        <v>115287</v>
      </c>
      <c r="J4844" s="304" t="str">
        <f>CONCATENATE([2]Cover!$D$6,"fdd/view?i=",I4844)</f>
        <v>https://www.dgiwg.org/FAD/fdd/view?i=115287</v>
      </c>
      <c r="K4844" s="304" t="s">
        <v>38893</v>
      </c>
      <c r="L4844" s="188">
        <v>157</v>
      </c>
      <c r="M4844" s="179" t="s">
        <v>151</v>
      </c>
    </row>
    <row r="4845" spans="1:13" ht="25.5">
      <c r="A4845" s="313" t="str">
        <f t="shared" si="75"/>
        <v>MlsChannelCode_chan657</v>
      </c>
      <c r="B4845" s="330"/>
      <c r="C4845" s="334"/>
      <c r="D4845" s="188" t="s">
        <v>26741</v>
      </c>
      <c r="E4845" s="189" t="s">
        <v>26742</v>
      </c>
      <c r="F4845" s="162" t="s">
        <v>26743</v>
      </c>
      <c r="G4845" s="162" t="s">
        <v>13413</v>
      </c>
      <c r="H4845" s="219"/>
      <c r="I4845" s="169">
        <v>115288</v>
      </c>
      <c r="J4845" s="304" t="str">
        <f>CONCATENATE([2]Cover!$D$6,"fdd/view?i=",I4845)</f>
        <v>https://www.dgiwg.org/FAD/fdd/view?i=115288</v>
      </c>
      <c r="K4845" s="304" t="s">
        <v>38894</v>
      </c>
      <c r="L4845" s="188">
        <v>158</v>
      </c>
      <c r="M4845" s="179" t="s">
        <v>151</v>
      </c>
    </row>
    <row r="4846" spans="1:13" ht="25.5">
      <c r="A4846" s="313" t="str">
        <f t="shared" si="75"/>
        <v>MlsChannelCode_chan658</v>
      </c>
      <c r="B4846" s="330"/>
      <c r="C4846" s="334"/>
      <c r="D4846" s="188" t="s">
        <v>26744</v>
      </c>
      <c r="E4846" s="189" t="s">
        <v>26745</v>
      </c>
      <c r="F4846" s="162" t="s">
        <v>26746</v>
      </c>
      <c r="G4846" s="162" t="s">
        <v>13413</v>
      </c>
      <c r="H4846" s="219"/>
      <c r="I4846" s="169">
        <v>115289</v>
      </c>
      <c r="J4846" s="304" t="str">
        <f>CONCATENATE([2]Cover!$D$6,"fdd/view?i=",I4846)</f>
        <v>https://www.dgiwg.org/FAD/fdd/view?i=115289</v>
      </c>
      <c r="K4846" s="304" t="s">
        <v>38895</v>
      </c>
      <c r="L4846" s="188">
        <v>159</v>
      </c>
      <c r="M4846" s="179" t="s">
        <v>151</v>
      </c>
    </row>
    <row r="4847" spans="1:13" ht="25.5">
      <c r="A4847" s="313" t="str">
        <f t="shared" si="75"/>
        <v>MlsChannelCode_chan659</v>
      </c>
      <c r="B4847" s="330"/>
      <c r="C4847" s="334"/>
      <c r="D4847" s="188" t="s">
        <v>26747</v>
      </c>
      <c r="E4847" s="189" t="s">
        <v>26748</v>
      </c>
      <c r="F4847" s="162" t="s">
        <v>26749</v>
      </c>
      <c r="G4847" s="162" t="s">
        <v>13413</v>
      </c>
      <c r="H4847" s="219"/>
      <c r="I4847" s="169">
        <v>115290</v>
      </c>
      <c r="J4847" s="304" t="str">
        <f>CONCATENATE([2]Cover!$D$6,"fdd/view?i=",I4847)</f>
        <v>https://www.dgiwg.org/FAD/fdd/view?i=115290</v>
      </c>
      <c r="K4847" s="304" t="s">
        <v>38896</v>
      </c>
      <c r="L4847" s="188">
        <v>160</v>
      </c>
      <c r="M4847" s="179" t="s">
        <v>151</v>
      </c>
    </row>
    <row r="4848" spans="1:13" ht="25.5">
      <c r="A4848" s="313" t="str">
        <f t="shared" si="75"/>
        <v>MlsChannelCode_chan660</v>
      </c>
      <c r="B4848" s="330"/>
      <c r="C4848" s="334"/>
      <c r="D4848" s="188" t="s">
        <v>26750</v>
      </c>
      <c r="E4848" s="189" t="s">
        <v>26751</v>
      </c>
      <c r="F4848" s="162" t="s">
        <v>26752</v>
      </c>
      <c r="G4848" s="162" t="s">
        <v>13413</v>
      </c>
      <c r="H4848" s="219"/>
      <c r="I4848" s="169">
        <v>115291</v>
      </c>
      <c r="J4848" s="304" t="str">
        <f>CONCATENATE([2]Cover!$D$6,"fdd/view?i=",I4848)</f>
        <v>https://www.dgiwg.org/FAD/fdd/view?i=115291</v>
      </c>
      <c r="K4848" s="304" t="s">
        <v>38897</v>
      </c>
      <c r="L4848" s="188">
        <v>161</v>
      </c>
      <c r="M4848" s="179" t="s">
        <v>151</v>
      </c>
    </row>
    <row r="4849" spans="1:13" ht="25.5">
      <c r="A4849" s="313" t="str">
        <f t="shared" si="75"/>
        <v>MlsChannelCode_chan661</v>
      </c>
      <c r="B4849" s="330"/>
      <c r="C4849" s="334"/>
      <c r="D4849" s="188" t="s">
        <v>26753</v>
      </c>
      <c r="E4849" s="189" t="s">
        <v>26754</v>
      </c>
      <c r="F4849" s="162" t="s">
        <v>26755</v>
      </c>
      <c r="G4849" s="162" t="s">
        <v>13413</v>
      </c>
      <c r="H4849" s="219"/>
      <c r="I4849" s="169">
        <v>115292</v>
      </c>
      <c r="J4849" s="304" t="str">
        <f>CONCATENATE([2]Cover!$D$6,"fdd/view?i=",I4849)</f>
        <v>https://www.dgiwg.org/FAD/fdd/view?i=115292</v>
      </c>
      <c r="K4849" s="304" t="s">
        <v>38898</v>
      </c>
      <c r="L4849" s="188">
        <v>162</v>
      </c>
      <c r="M4849" s="179" t="s">
        <v>151</v>
      </c>
    </row>
    <row r="4850" spans="1:13" ht="25.5">
      <c r="A4850" s="313" t="str">
        <f t="shared" si="75"/>
        <v>MlsChannelCode_chan662</v>
      </c>
      <c r="B4850" s="330"/>
      <c r="C4850" s="334"/>
      <c r="D4850" s="188" t="s">
        <v>26756</v>
      </c>
      <c r="E4850" s="189" t="s">
        <v>26757</v>
      </c>
      <c r="F4850" s="162" t="s">
        <v>26758</v>
      </c>
      <c r="G4850" s="162" t="s">
        <v>13413</v>
      </c>
      <c r="H4850" s="219"/>
      <c r="I4850" s="169">
        <v>115293</v>
      </c>
      <c r="J4850" s="304" t="str">
        <f>CONCATENATE([2]Cover!$D$6,"fdd/view?i=",I4850)</f>
        <v>https://www.dgiwg.org/FAD/fdd/view?i=115293</v>
      </c>
      <c r="K4850" s="304" t="s">
        <v>38899</v>
      </c>
      <c r="L4850" s="188">
        <v>163</v>
      </c>
      <c r="M4850" s="179" t="s">
        <v>151</v>
      </c>
    </row>
    <row r="4851" spans="1:13" ht="25.5">
      <c r="A4851" s="313" t="str">
        <f t="shared" si="75"/>
        <v>MlsChannelCode_chan663</v>
      </c>
      <c r="B4851" s="330"/>
      <c r="C4851" s="334"/>
      <c r="D4851" s="188" t="s">
        <v>26759</v>
      </c>
      <c r="E4851" s="189" t="s">
        <v>26760</v>
      </c>
      <c r="F4851" s="162" t="s">
        <v>26761</v>
      </c>
      <c r="G4851" s="162" t="s">
        <v>13413</v>
      </c>
      <c r="H4851" s="219"/>
      <c r="I4851" s="169">
        <v>115294</v>
      </c>
      <c r="J4851" s="304" t="str">
        <f>CONCATENATE([2]Cover!$D$6,"fdd/view?i=",I4851)</f>
        <v>https://www.dgiwg.org/FAD/fdd/view?i=115294</v>
      </c>
      <c r="K4851" s="304" t="s">
        <v>38900</v>
      </c>
      <c r="L4851" s="188">
        <v>164</v>
      </c>
      <c r="M4851" s="179" t="s">
        <v>151</v>
      </c>
    </row>
    <row r="4852" spans="1:13" ht="25.5">
      <c r="A4852" s="313" t="str">
        <f t="shared" si="75"/>
        <v>MlsChannelCode_chan664</v>
      </c>
      <c r="B4852" s="330"/>
      <c r="C4852" s="334"/>
      <c r="D4852" s="188" t="s">
        <v>26762</v>
      </c>
      <c r="E4852" s="189" t="s">
        <v>26763</v>
      </c>
      <c r="F4852" s="162" t="s">
        <v>26764</v>
      </c>
      <c r="G4852" s="162" t="s">
        <v>13413</v>
      </c>
      <c r="H4852" s="219"/>
      <c r="I4852" s="169">
        <v>115295</v>
      </c>
      <c r="J4852" s="304" t="str">
        <f>CONCATENATE([2]Cover!$D$6,"fdd/view?i=",I4852)</f>
        <v>https://www.dgiwg.org/FAD/fdd/view?i=115295</v>
      </c>
      <c r="K4852" s="304" t="s">
        <v>38901</v>
      </c>
      <c r="L4852" s="188">
        <v>165</v>
      </c>
      <c r="M4852" s="179" t="s">
        <v>151</v>
      </c>
    </row>
    <row r="4853" spans="1:13" ht="25.5">
      <c r="A4853" s="313" t="str">
        <f t="shared" si="75"/>
        <v>MlsChannelCode_chan665</v>
      </c>
      <c r="B4853" s="330"/>
      <c r="C4853" s="334"/>
      <c r="D4853" s="188" t="s">
        <v>26765</v>
      </c>
      <c r="E4853" s="189" t="s">
        <v>26766</v>
      </c>
      <c r="F4853" s="162" t="s">
        <v>26767</v>
      </c>
      <c r="G4853" s="162" t="s">
        <v>13413</v>
      </c>
      <c r="H4853" s="219"/>
      <c r="I4853" s="169">
        <v>115296</v>
      </c>
      <c r="J4853" s="304" t="str">
        <f>CONCATENATE([2]Cover!$D$6,"fdd/view?i=",I4853)</f>
        <v>https://www.dgiwg.org/FAD/fdd/view?i=115296</v>
      </c>
      <c r="K4853" s="304" t="s">
        <v>38902</v>
      </c>
      <c r="L4853" s="188">
        <v>166</v>
      </c>
      <c r="M4853" s="179" t="s">
        <v>151</v>
      </c>
    </row>
    <row r="4854" spans="1:13" ht="25.5">
      <c r="A4854" s="313" t="str">
        <f t="shared" si="75"/>
        <v>MlsChannelCode_chan666</v>
      </c>
      <c r="B4854" s="330"/>
      <c r="C4854" s="334"/>
      <c r="D4854" s="188" t="s">
        <v>26768</v>
      </c>
      <c r="E4854" s="189" t="s">
        <v>26769</v>
      </c>
      <c r="F4854" s="162" t="s">
        <v>26770</v>
      </c>
      <c r="G4854" s="162" t="s">
        <v>13413</v>
      </c>
      <c r="H4854" s="219"/>
      <c r="I4854" s="169">
        <v>115297</v>
      </c>
      <c r="J4854" s="304" t="str">
        <f>CONCATENATE([2]Cover!$D$6,"fdd/view?i=",I4854)</f>
        <v>https://www.dgiwg.org/FAD/fdd/view?i=115297</v>
      </c>
      <c r="K4854" s="304" t="s">
        <v>38903</v>
      </c>
      <c r="L4854" s="188">
        <v>167</v>
      </c>
      <c r="M4854" s="179" t="s">
        <v>151</v>
      </c>
    </row>
    <row r="4855" spans="1:13" ht="25.5">
      <c r="A4855" s="313" t="str">
        <f t="shared" si="75"/>
        <v>MlsChannelCode_chan667</v>
      </c>
      <c r="B4855" s="330"/>
      <c r="C4855" s="334"/>
      <c r="D4855" s="188" t="s">
        <v>26771</v>
      </c>
      <c r="E4855" s="189" t="s">
        <v>26772</v>
      </c>
      <c r="F4855" s="162" t="s">
        <v>26773</v>
      </c>
      <c r="G4855" s="162" t="s">
        <v>13413</v>
      </c>
      <c r="H4855" s="219"/>
      <c r="I4855" s="169">
        <v>115298</v>
      </c>
      <c r="J4855" s="304" t="str">
        <f>CONCATENATE([2]Cover!$D$6,"fdd/view?i=",I4855)</f>
        <v>https://www.dgiwg.org/FAD/fdd/view?i=115298</v>
      </c>
      <c r="K4855" s="304" t="s">
        <v>38904</v>
      </c>
      <c r="L4855" s="188">
        <v>168</v>
      </c>
      <c r="M4855" s="179" t="s">
        <v>151</v>
      </c>
    </row>
    <row r="4856" spans="1:13" ht="25.5">
      <c r="A4856" s="313" t="str">
        <f t="shared" si="75"/>
        <v>MlsChannelCode_chan668</v>
      </c>
      <c r="B4856" s="330"/>
      <c r="C4856" s="334"/>
      <c r="D4856" s="188" t="s">
        <v>26774</v>
      </c>
      <c r="E4856" s="189" t="s">
        <v>26775</v>
      </c>
      <c r="F4856" s="162" t="s">
        <v>26776</v>
      </c>
      <c r="G4856" s="162" t="s">
        <v>13413</v>
      </c>
      <c r="H4856" s="219"/>
      <c r="I4856" s="169">
        <v>115299</v>
      </c>
      <c r="J4856" s="304" t="str">
        <f>CONCATENATE([2]Cover!$D$6,"fdd/view?i=",I4856)</f>
        <v>https://www.dgiwg.org/FAD/fdd/view?i=115299</v>
      </c>
      <c r="K4856" s="304" t="s">
        <v>38905</v>
      </c>
      <c r="L4856" s="188">
        <v>169</v>
      </c>
      <c r="M4856" s="179" t="s">
        <v>151</v>
      </c>
    </row>
    <row r="4857" spans="1:13" ht="25.5">
      <c r="A4857" s="313" t="str">
        <f t="shared" si="75"/>
        <v>MlsChannelCode_chan669</v>
      </c>
      <c r="B4857" s="330"/>
      <c r="C4857" s="334"/>
      <c r="D4857" s="188" t="s">
        <v>26777</v>
      </c>
      <c r="E4857" s="189" t="s">
        <v>26778</v>
      </c>
      <c r="F4857" s="162" t="s">
        <v>26779</v>
      </c>
      <c r="G4857" s="162" t="s">
        <v>13413</v>
      </c>
      <c r="H4857" s="219"/>
      <c r="I4857" s="169">
        <v>115300</v>
      </c>
      <c r="J4857" s="304" t="str">
        <f>CONCATENATE([2]Cover!$D$6,"fdd/view?i=",I4857)</f>
        <v>https://www.dgiwg.org/FAD/fdd/view?i=115300</v>
      </c>
      <c r="K4857" s="304" t="s">
        <v>38906</v>
      </c>
      <c r="L4857" s="188">
        <v>170</v>
      </c>
      <c r="M4857" s="179" t="s">
        <v>151</v>
      </c>
    </row>
    <row r="4858" spans="1:13" ht="25.5">
      <c r="A4858" s="313" t="str">
        <f t="shared" si="75"/>
        <v>MlsChannelCode_chan670</v>
      </c>
      <c r="B4858" s="330"/>
      <c r="C4858" s="334"/>
      <c r="D4858" s="188" t="s">
        <v>26780</v>
      </c>
      <c r="E4858" s="189" t="s">
        <v>26781</v>
      </c>
      <c r="F4858" s="162" t="s">
        <v>26782</v>
      </c>
      <c r="G4858" s="162" t="s">
        <v>13413</v>
      </c>
      <c r="H4858" s="219"/>
      <c r="I4858" s="169">
        <v>115301</v>
      </c>
      <c r="J4858" s="304" t="str">
        <f>CONCATENATE([2]Cover!$D$6,"fdd/view?i=",I4858)</f>
        <v>https://www.dgiwg.org/FAD/fdd/view?i=115301</v>
      </c>
      <c r="K4858" s="304" t="s">
        <v>38907</v>
      </c>
      <c r="L4858" s="188">
        <v>171</v>
      </c>
      <c r="M4858" s="179" t="s">
        <v>151</v>
      </c>
    </row>
    <row r="4859" spans="1:13" ht="25.5">
      <c r="A4859" s="313" t="str">
        <f t="shared" si="75"/>
        <v>MlsChannelCode_chan671</v>
      </c>
      <c r="B4859" s="330"/>
      <c r="C4859" s="334"/>
      <c r="D4859" s="188" t="s">
        <v>26783</v>
      </c>
      <c r="E4859" s="189" t="s">
        <v>26784</v>
      </c>
      <c r="F4859" s="162" t="s">
        <v>26785</v>
      </c>
      <c r="G4859" s="162" t="s">
        <v>13413</v>
      </c>
      <c r="H4859" s="219"/>
      <c r="I4859" s="169">
        <v>115302</v>
      </c>
      <c r="J4859" s="304" t="str">
        <f>CONCATENATE([2]Cover!$D$6,"fdd/view?i=",I4859)</f>
        <v>https://www.dgiwg.org/FAD/fdd/view?i=115302</v>
      </c>
      <c r="K4859" s="304" t="s">
        <v>38908</v>
      </c>
      <c r="L4859" s="188">
        <v>172</v>
      </c>
      <c r="M4859" s="179" t="s">
        <v>151</v>
      </c>
    </row>
    <row r="4860" spans="1:13" ht="25.5">
      <c r="A4860" s="313" t="str">
        <f t="shared" si="75"/>
        <v>MlsChannelCode_chan672</v>
      </c>
      <c r="B4860" s="330"/>
      <c r="C4860" s="334"/>
      <c r="D4860" s="188" t="s">
        <v>26786</v>
      </c>
      <c r="E4860" s="189" t="s">
        <v>26787</v>
      </c>
      <c r="F4860" s="162" t="s">
        <v>26788</v>
      </c>
      <c r="G4860" s="162" t="s">
        <v>13413</v>
      </c>
      <c r="H4860" s="219"/>
      <c r="I4860" s="169">
        <v>115303</v>
      </c>
      <c r="J4860" s="304" t="str">
        <f>CONCATENATE([2]Cover!$D$6,"fdd/view?i=",I4860)</f>
        <v>https://www.dgiwg.org/FAD/fdd/view?i=115303</v>
      </c>
      <c r="K4860" s="304" t="s">
        <v>38909</v>
      </c>
      <c r="L4860" s="188">
        <v>173</v>
      </c>
      <c r="M4860" s="179" t="s">
        <v>151</v>
      </c>
    </row>
    <row r="4861" spans="1:13" ht="25.5">
      <c r="A4861" s="313" t="str">
        <f t="shared" si="75"/>
        <v>MlsChannelCode_chan673</v>
      </c>
      <c r="B4861" s="330"/>
      <c r="C4861" s="334"/>
      <c r="D4861" s="188" t="s">
        <v>26789</v>
      </c>
      <c r="E4861" s="189" t="s">
        <v>26790</v>
      </c>
      <c r="F4861" s="162" t="s">
        <v>26791</v>
      </c>
      <c r="G4861" s="162" t="s">
        <v>13413</v>
      </c>
      <c r="H4861" s="219"/>
      <c r="I4861" s="169">
        <v>115304</v>
      </c>
      <c r="J4861" s="304" t="str">
        <f>CONCATENATE([2]Cover!$D$6,"fdd/view?i=",I4861)</f>
        <v>https://www.dgiwg.org/FAD/fdd/view?i=115304</v>
      </c>
      <c r="K4861" s="304" t="s">
        <v>38910</v>
      </c>
      <c r="L4861" s="188">
        <v>174</v>
      </c>
      <c r="M4861" s="179" t="s">
        <v>151</v>
      </c>
    </row>
    <row r="4862" spans="1:13" ht="25.5">
      <c r="A4862" s="313" t="str">
        <f t="shared" si="75"/>
        <v>MlsChannelCode_chan674</v>
      </c>
      <c r="B4862" s="330"/>
      <c r="C4862" s="334"/>
      <c r="D4862" s="188" t="s">
        <v>26792</v>
      </c>
      <c r="E4862" s="189" t="s">
        <v>26793</v>
      </c>
      <c r="F4862" s="162" t="s">
        <v>26794</v>
      </c>
      <c r="G4862" s="162" t="s">
        <v>13413</v>
      </c>
      <c r="H4862" s="219"/>
      <c r="I4862" s="169">
        <v>115305</v>
      </c>
      <c r="J4862" s="304" t="str">
        <f>CONCATENATE([2]Cover!$D$6,"fdd/view?i=",I4862)</f>
        <v>https://www.dgiwg.org/FAD/fdd/view?i=115305</v>
      </c>
      <c r="K4862" s="304" t="s">
        <v>38911</v>
      </c>
      <c r="L4862" s="188">
        <v>175</v>
      </c>
      <c r="M4862" s="179" t="s">
        <v>151</v>
      </c>
    </row>
    <row r="4863" spans="1:13" ht="25.5">
      <c r="A4863" s="313" t="str">
        <f t="shared" si="75"/>
        <v>MlsChannelCode_chan675</v>
      </c>
      <c r="B4863" s="330"/>
      <c r="C4863" s="334"/>
      <c r="D4863" s="188" t="s">
        <v>26795</v>
      </c>
      <c r="E4863" s="189" t="s">
        <v>26796</v>
      </c>
      <c r="F4863" s="162" t="s">
        <v>26797</v>
      </c>
      <c r="G4863" s="162" t="s">
        <v>13413</v>
      </c>
      <c r="H4863" s="219"/>
      <c r="I4863" s="169">
        <v>115306</v>
      </c>
      <c r="J4863" s="304" t="str">
        <f>CONCATENATE([2]Cover!$D$6,"fdd/view?i=",I4863)</f>
        <v>https://www.dgiwg.org/FAD/fdd/view?i=115306</v>
      </c>
      <c r="K4863" s="304" t="s">
        <v>38912</v>
      </c>
      <c r="L4863" s="188">
        <v>176</v>
      </c>
      <c r="M4863" s="179" t="s">
        <v>151</v>
      </c>
    </row>
    <row r="4864" spans="1:13" ht="25.5">
      <c r="A4864" s="313" t="str">
        <f t="shared" si="75"/>
        <v>MlsChannelCode_chan676</v>
      </c>
      <c r="B4864" s="330"/>
      <c r="C4864" s="334"/>
      <c r="D4864" s="188" t="s">
        <v>26798</v>
      </c>
      <c r="E4864" s="189" t="s">
        <v>26799</v>
      </c>
      <c r="F4864" s="162" t="s">
        <v>26800</v>
      </c>
      <c r="G4864" s="162" t="s">
        <v>13413</v>
      </c>
      <c r="H4864" s="219"/>
      <c r="I4864" s="169">
        <v>115307</v>
      </c>
      <c r="J4864" s="304" t="str">
        <f>CONCATENATE([2]Cover!$D$6,"fdd/view?i=",I4864)</f>
        <v>https://www.dgiwg.org/FAD/fdd/view?i=115307</v>
      </c>
      <c r="K4864" s="304" t="s">
        <v>38913</v>
      </c>
      <c r="L4864" s="188">
        <v>177</v>
      </c>
      <c r="M4864" s="179" t="s">
        <v>151</v>
      </c>
    </row>
    <row r="4865" spans="1:13" ht="25.5">
      <c r="A4865" s="313" t="str">
        <f t="shared" si="75"/>
        <v>MlsChannelCode_chan677</v>
      </c>
      <c r="B4865" s="330"/>
      <c r="C4865" s="334"/>
      <c r="D4865" s="188" t="s">
        <v>26801</v>
      </c>
      <c r="E4865" s="189" t="s">
        <v>26802</v>
      </c>
      <c r="F4865" s="162" t="s">
        <v>26803</v>
      </c>
      <c r="G4865" s="162" t="s">
        <v>13413</v>
      </c>
      <c r="H4865" s="219"/>
      <c r="I4865" s="169">
        <v>115308</v>
      </c>
      <c r="J4865" s="304" t="str">
        <f>CONCATENATE([2]Cover!$D$6,"fdd/view?i=",I4865)</f>
        <v>https://www.dgiwg.org/FAD/fdd/view?i=115308</v>
      </c>
      <c r="K4865" s="304" t="s">
        <v>38914</v>
      </c>
      <c r="L4865" s="188">
        <v>178</v>
      </c>
      <c r="M4865" s="179" t="s">
        <v>151</v>
      </c>
    </row>
    <row r="4866" spans="1:13" ht="25.5">
      <c r="A4866" s="313" t="str">
        <f t="shared" si="75"/>
        <v>MlsChannelCode_chan678</v>
      </c>
      <c r="B4866" s="330"/>
      <c r="C4866" s="334"/>
      <c r="D4866" s="188" t="s">
        <v>26804</v>
      </c>
      <c r="E4866" s="189" t="s">
        <v>26805</v>
      </c>
      <c r="F4866" s="162" t="s">
        <v>26806</v>
      </c>
      <c r="G4866" s="162" t="s">
        <v>13413</v>
      </c>
      <c r="H4866" s="219"/>
      <c r="I4866" s="169">
        <v>115309</v>
      </c>
      <c r="J4866" s="304" t="str">
        <f>CONCATENATE([2]Cover!$D$6,"fdd/view?i=",I4866)</f>
        <v>https://www.dgiwg.org/FAD/fdd/view?i=115309</v>
      </c>
      <c r="K4866" s="304" t="s">
        <v>38915</v>
      </c>
      <c r="L4866" s="188">
        <v>179</v>
      </c>
      <c r="M4866" s="179" t="s">
        <v>151</v>
      </c>
    </row>
    <row r="4867" spans="1:13" ht="25.5">
      <c r="A4867" s="313" t="str">
        <f t="shared" ref="A4867:A4930" si="76">HYPERLINK(J4867,K4867)</f>
        <v>MlsChannelCode_chan679</v>
      </c>
      <c r="B4867" s="330"/>
      <c r="C4867" s="334"/>
      <c r="D4867" s="188" t="s">
        <v>26807</v>
      </c>
      <c r="E4867" s="189" t="s">
        <v>26808</v>
      </c>
      <c r="F4867" s="162" t="s">
        <v>26809</v>
      </c>
      <c r="G4867" s="162" t="s">
        <v>13413</v>
      </c>
      <c r="H4867" s="219"/>
      <c r="I4867" s="169">
        <v>115310</v>
      </c>
      <c r="J4867" s="304" t="str">
        <f>CONCATENATE([2]Cover!$D$6,"fdd/view?i=",I4867)</f>
        <v>https://www.dgiwg.org/FAD/fdd/view?i=115310</v>
      </c>
      <c r="K4867" s="304" t="s">
        <v>38916</v>
      </c>
      <c r="L4867" s="188">
        <v>180</v>
      </c>
      <c r="M4867" s="179" t="s">
        <v>151</v>
      </c>
    </row>
    <row r="4868" spans="1:13" ht="25.5">
      <c r="A4868" s="313" t="str">
        <f t="shared" si="76"/>
        <v>MlsChannelCode_chan680</v>
      </c>
      <c r="B4868" s="330"/>
      <c r="C4868" s="334"/>
      <c r="D4868" s="188" t="s">
        <v>26810</v>
      </c>
      <c r="E4868" s="189" t="s">
        <v>26811</v>
      </c>
      <c r="F4868" s="162" t="s">
        <v>26812</v>
      </c>
      <c r="G4868" s="162" t="s">
        <v>13413</v>
      </c>
      <c r="H4868" s="219"/>
      <c r="I4868" s="169">
        <v>115311</v>
      </c>
      <c r="J4868" s="304" t="str">
        <f>CONCATENATE([2]Cover!$D$6,"fdd/view?i=",I4868)</f>
        <v>https://www.dgiwg.org/FAD/fdd/view?i=115311</v>
      </c>
      <c r="K4868" s="304" t="s">
        <v>38917</v>
      </c>
      <c r="L4868" s="188">
        <v>181</v>
      </c>
      <c r="M4868" s="179" t="s">
        <v>151</v>
      </c>
    </row>
    <row r="4869" spans="1:13" ht="25.5">
      <c r="A4869" s="313" t="str">
        <f t="shared" si="76"/>
        <v>MlsChannelCode_chan681</v>
      </c>
      <c r="B4869" s="330"/>
      <c r="C4869" s="334"/>
      <c r="D4869" s="188" t="s">
        <v>26813</v>
      </c>
      <c r="E4869" s="189" t="s">
        <v>26814</v>
      </c>
      <c r="F4869" s="162" t="s">
        <v>26815</v>
      </c>
      <c r="G4869" s="162" t="s">
        <v>13413</v>
      </c>
      <c r="H4869" s="219"/>
      <c r="I4869" s="169">
        <v>115312</v>
      </c>
      <c r="J4869" s="304" t="str">
        <f>CONCATENATE([2]Cover!$D$6,"fdd/view?i=",I4869)</f>
        <v>https://www.dgiwg.org/FAD/fdd/view?i=115312</v>
      </c>
      <c r="K4869" s="304" t="s">
        <v>38918</v>
      </c>
      <c r="L4869" s="188">
        <v>182</v>
      </c>
      <c r="M4869" s="179" t="s">
        <v>151</v>
      </c>
    </row>
    <row r="4870" spans="1:13" ht="25.5">
      <c r="A4870" s="313" t="str">
        <f t="shared" si="76"/>
        <v>MlsChannelCode_chan682</v>
      </c>
      <c r="B4870" s="330"/>
      <c r="C4870" s="334"/>
      <c r="D4870" s="188" t="s">
        <v>26816</v>
      </c>
      <c r="E4870" s="189" t="s">
        <v>26817</v>
      </c>
      <c r="F4870" s="162" t="s">
        <v>26818</v>
      </c>
      <c r="G4870" s="162" t="s">
        <v>13413</v>
      </c>
      <c r="H4870" s="219"/>
      <c r="I4870" s="169">
        <v>115313</v>
      </c>
      <c r="J4870" s="304" t="str">
        <f>CONCATENATE([2]Cover!$D$6,"fdd/view?i=",I4870)</f>
        <v>https://www.dgiwg.org/FAD/fdd/view?i=115313</v>
      </c>
      <c r="K4870" s="304" t="s">
        <v>38919</v>
      </c>
      <c r="L4870" s="188">
        <v>183</v>
      </c>
      <c r="M4870" s="179" t="s">
        <v>151</v>
      </c>
    </row>
    <row r="4871" spans="1:13" ht="25.5">
      <c r="A4871" s="313" t="str">
        <f t="shared" si="76"/>
        <v>MlsChannelCode_chan683</v>
      </c>
      <c r="B4871" s="330"/>
      <c r="C4871" s="334"/>
      <c r="D4871" s="188" t="s">
        <v>26819</v>
      </c>
      <c r="E4871" s="189" t="s">
        <v>26820</v>
      </c>
      <c r="F4871" s="162" t="s">
        <v>26821</v>
      </c>
      <c r="G4871" s="162" t="s">
        <v>13413</v>
      </c>
      <c r="H4871" s="219"/>
      <c r="I4871" s="169">
        <v>115314</v>
      </c>
      <c r="J4871" s="304" t="str">
        <f>CONCATENATE([2]Cover!$D$6,"fdd/view?i=",I4871)</f>
        <v>https://www.dgiwg.org/FAD/fdd/view?i=115314</v>
      </c>
      <c r="K4871" s="304" t="s">
        <v>38920</v>
      </c>
      <c r="L4871" s="188">
        <v>184</v>
      </c>
      <c r="M4871" s="179" t="s">
        <v>151</v>
      </c>
    </row>
    <row r="4872" spans="1:13" ht="25.5">
      <c r="A4872" s="313" t="str">
        <f t="shared" si="76"/>
        <v>MlsChannelCode_chan684</v>
      </c>
      <c r="B4872" s="330"/>
      <c r="C4872" s="334"/>
      <c r="D4872" s="188" t="s">
        <v>26822</v>
      </c>
      <c r="E4872" s="189" t="s">
        <v>26823</v>
      </c>
      <c r="F4872" s="162" t="s">
        <v>26824</v>
      </c>
      <c r="G4872" s="162" t="s">
        <v>13413</v>
      </c>
      <c r="H4872" s="219"/>
      <c r="I4872" s="169">
        <v>115315</v>
      </c>
      <c r="J4872" s="304" t="str">
        <f>CONCATENATE([2]Cover!$D$6,"fdd/view?i=",I4872)</f>
        <v>https://www.dgiwg.org/FAD/fdd/view?i=115315</v>
      </c>
      <c r="K4872" s="304" t="s">
        <v>38921</v>
      </c>
      <c r="L4872" s="188">
        <v>185</v>
      </c>
      <c r="M4872" s="179" t="s">
        <v>151</v>
      </c>
    </row>
    <row r="4873" spans="1:13" ht="25.5">
      <c r="A4873" s="313" t="str">
        <f t="shared" si="76"/>
        <v>MlsChannelCode_chan685</v>
      </c>
      <c r="B4873" s="330"/>
      <c r="C4873" s="334"/>
      <c r="D4873" s="188" t="s">
        <v>26825</v>
      </c>
      <c r="E4873" s="189" t="s">
        <v>26826</v>
      </c>
      <c r="F4873" s="162" t="s">
        <v>26827</v>
      </c>
      <c r="G4873" s="162" t="s">
        <v>13413</v>
      </c>
      <c r="H4873" s="219"/>
      <c r="I4873" s="169">
        <v>115316</v>
      </c>
      <c r="J4873" s="304" t="str">
        <f>CONCATENATE([2]Cover!$D$6,"fdd/view?i=",I4873)</f>
        <v>https://www.dgiwg.org/FAD/fdd/view?i=115316</v>
      </c>
      <c r="K4873" s="304" t="s">
        <v>38922</v>
      </c>
      <c r="L4873" s="188">
        <v>186</v>
      </c>
      <c r="M4873" s="179" t="s">
        <v>151</v>
      </c>
    </row>
    <row r="4874" spans="1:13" ht="25.5">
      <c r="A4874" s="313" t="str">
        <f t="shared" si="76"/>
        <v>MlsChannelCode_chan686</v>
      </c>
      <c r="B4874" s="330"/>
      <c r="C4874" s="334"/>
      <c r="D4874" s="188" t="s">
        <v>26828</v>
      </c>
      <c r="E4874" s="189" t="s">
        <v>26829</v>
      </c>
      <c r="F4874" s="162" t="s">
        <v>26830</v>
      </c>
      <c r="G4874" s="162" t="s">
        <v>13413</v>
      </c>
      <c r="H4874" s="219"/>
      <c r="I4874" s="169">
        <v>115317</v>
      </c>
      <c r="J4874" s="304" t="str">
        <f>CONCATENATE([2]Cover!$D$6,"fdd/view?i=",I4874)</f>
        <v>https://www.dgiwg.org/FAD/fdd/view?i=115317</v>
      </c>
      <c r="K4874" s="304" t="s">
        <v>38923</v>
      </c>
      <c r="L4874" s="188">
        <v>187</v>
      </c>
      <c r="M4874" s="179" t="s">
        <v>151</v>
      </c>
    </row>
    <row r="4875" spans="1:13" ht="25.5">
      <c r="A4875" s="313" t="str">
        <f t="shared" si="76"/>
        <v>MlsChannelCode_chan687</v>
      </c>
      <c r="B4875" s="330"/>
      <c r="C4875" s="334"/>
      <c r="D4875" s="188" t="s">
        <v>26831</v>
      </c>
      <c r="E4875" s="189" t="s">
        <v>26832</v>
      </c>
      <c r="F4875" s="162" t="s">
        <v>26833</v>
      </c>
      <c r="G4875" s="162" t="s">
        <v>13413</v>
      </c>
      <c r="H4875" s="219"/>
      <c r="I4875" s="169">
        <v>115318</v>
      </c>
      <c r="J4875" s="304" t="str">
        <f>CONCATENATE([2]Cover!$D$6,"fdd/view?i=",I4875)</f>
        <v>https://www.dgiwg.org/FAD/fdd/view?i=115318</v>
      </c>
      <c r="K4875" s="304" t="s">
        <v>38924</v>
      </c>
      <c r="L4875" s="188">
        <v>188</v>
      </c>
      <c r="M4875" s="179" t="s">
        <v>151</v>
      </c>
    </row>
    <row r="4876" spans="1:13" ht="25.5">
      <c r="A4876" s="313" t="str">
        <f t="shared" si="76"/>
        <v>MlsChannelCode_chan688</v>
      </c>
      <c r="B4876" s="330"/>
      <c r="C4876" s="334"/>
      <c r="D4876" s="188" t="s">
        <v>26834</v>
      </c>
      <c r="E4876" s="189" t="s">
        <v>26835</v>
      </c>
      <c r="F4876" s="162" t="s">
        <v>26836</v>
      </c>
      <c r="G4876" s="162" t="s">
        <v>13413</v>
      </c>
      <c r="H4876" s="219"/>
      <c r="I4876" s="169">
        <v>115319</v>
      </c>
      <c r="J4876" s="304" t="str">
        <f>CONCATENATE([2]Cover!$D$6,"fdd/view?i=",I4876)</f>
        <v>https://www.dgiwg.org/FAD/fdd/view?i=115319</v>
      </c>
      <c r="K4876" s="304" t="s">
        <v>38925</v>
      </c>
      <c r="L4876" s="188">
        <v>189</v>
      </c>
      <c r="M4876" s="179" t="s">
        <v>151</v>
      </c>
    </row>
    <row r="4877" spans="1:13" ht="25.5">
      <c r="A4877" s="313" t="str">
        <f t="shared" si="76"/>
        <v>MlsChannelCode_chan689</v>
      </c>
      <c r="B4877" s="330"/>
      <c r="C4877" s="334"/>
      <c r="D4877" s="188" t="s">
        <v>26837</v>
      </c>
      <c r="E4877" s="189" t="s">
        <v>26838</v>
      </c>
      <c r="F4877" s="162" t="s">
        <v>26839</v>
      </c>
      <c r="G4877" s="162" t="s">
        <v>13413</v>
      </c>
      <c r="H4877" s="219"/>
      <c r="I4877" s="169">
        <v>115320</v>
      </c>
      <c r="J4877" s="304" t="str">
        <f>CONCATENATE([2]Cover!$D$6,"fdd/view?i=",I4877)</f>
        <v>https://www.dgiwg.org/FAD/fdd/view?i=115320</v>
      </c>
      <c r="K4877" s="304" t="s">
        <v>38926</v>
      </c>
      <c r="L4877" s="188">
        <v>190</v>
      </c>
      <c r="M4877" s="179" t="s">
        <v>151</v>
      </c>
    </row>
    <row r="4878" spans="1:13" ht="25.5">
      <c r="A4878" s="313" t="str">
        <f t="shared" si="76"/>
        <v>MlsChannelCode_chan690</v>
      </c>
      <c r="B4878" s="330"/>
      <c r="C4878" s="334"/>
      <c r="D4878" s="188" t="s">
        <v>26840</v>
      </c>
      <c r="E4878" s="189" t="s">
        <v>26841</v>
      </c>
      <c r="F4878" s="162" t="s">
        <v>26842</v>
      </c>
      <c r="G4878" s="162" t="s">
        <v>13413</v>
      </c>
      <c r="H4878" s="219"/>
      <c r="I4878" s="169">
        <v>115321</v>
      </c>
      <c r="J4878" s="304" t="str">
        <f>CONCATENATE([2]Cover!$D$6,"fdd/view?i=",I4878)</f>
        <v>https://www.dgiwg.org/FAD/fdd/view?i=115321</v>
      </c>
      <c r="K4878" s="304" t="s">
        <v>38927</v>
      </c>
      <c r="L4878" s="188">
        <v>191</v>
      </c>
      <c r="M4878" s="179" t="s">
        <v>151</v>
      </c>
    </row>
    <row r="4879" spans="1:13" ht="25.5">
      <c r="A4879" s="313" t="str">
        <f t="shared" si="76"/>
        <v>MlsChannelCode_chan691</v>
      </c>
      <c r="B4879" s="330"/>
      <c r="C4879" s="334"/>
      <c r="D4879" s="188" t="s">
        <v>26843</v>
      </c>
      <c r="E4879" s="189" t="s">
        <v>26844</v>
      </c>
      <c r="F4879" s="162" t="s">
        <v>26845</v>
      </c>
      <c r="G4879" s="162" t="s">
        <v>13413</v>
      </c>
      <c r="H4879" s="219"/>
      <c r="I4879" s="169">
        <v>115322</v>
      </c>
      <c r="J4879" s="304" t="str">
        <f>CONCATENATE([2]Cover!$D$6,"fdd/view?i=",I4879)</f>
        <v>https://www.dgiwg.org/FAD/fdd/view?i=115322</v>
      </c>
      <c r="K4879" s="304" t="s">
        <v>38928</v>
      </c>
      <c r="L4879" s="188">
        <v>192</v>
      </c>
      <c r="M4879" s="179" t="s">
        <v>151</v>
      </c>
    </row>
    <row r="4880" spans="1:13" ht="25.5">
      <c r="A4880" s="313" t="str">
        <f t="shared" si="76"/>
        <v>MlsChannelCode_chan692</v>
      </c>
      <c r="B4880" s="330"/>
      <c r="C4880" s="334"/>
      <c r="D4880" s="188" t="s">
        <v>26846</v>
      </c>
      <c r="E4880" s="189" t="s">
        <v>26847</v>
      </c>
      <c r="F4880" s="162" t="s">
        <v>26848</v>
      </c>
      <c r="G4880" s="162" t="s">
        <v>13413</v>
      </c>
      <c r="H4880" s="219"/>
      <c r="I4880" s="169">
        <v>115323</v>
      </c>
      <c r="J4880" s="304" t="str">
        <f>CONCATENATE([2]Cover!$D$6,"fdd/view?i=",I4880)</f>
        <v>https://www.dgiwg.org/FAD/fdd/view?i=115323</v>
      </c>
      <c r="K4880" s="304" t="s">
        <v>38929</v>
      </c>
      <c r="L4880" s="188">
        <v>193</v>
      </c>
      <c r="M4880" s="179" t="s">
        <v>151</v>
      </c>
    </row>
    <row r="4881" spans="1:13" ht="25.5">
      <c r="A4881" s="313" t="str">
        <f t="shared" si="76"/>
        <v>MlsChannelCode_chan693</v>
      </c>
      <c r="B4881" s="330"/>
      <c r="C4881" s="334"/>
      <c r="D4881" s="188" t="s">
        <v>26849</v>
      </c>
      <c r="E4881" s="189" t="s">
        <v>26850</v>
      </c>
      <c r="F4881" s="162" t="s">
        <v>26851</v>
      </c>
      <c r="G4881" s="162" t="s">
        <v>13413</v>
      </c>
      <c r="H4881" s="219"/>
      <c r="I4881" s="169">
        <v>115324</v>
      </c>
      <c r="J4881" s="304" t="str">
        <f>CONCATENATE([2]Cover!$D$6,"fdd/view?i=",I4881)</f>
        <v>https://www.dgiwg.org/FAD/fdd/view?i=115324</v>
      </c>
      <c r="K4881" s="304" t="s">
        <v>38930</v>
      </c>
      <c r="L4881" s="188">
        <v>194</v>
      </c>
      <c r="M4881" s="179" t="s">
        <v>151</v>
      </c>
    </row>
    <row r="4882" spans="1:13" ht="25.5">
      <c r="A4882" s="313" t="str">
        <f t="shared" si="76"/>
        <v>MlsChannelCode_chan694</v>
      </c>
      <c r="B4882" s="330"/>
      <c r="C4882" s="334"/>
      <c r="D4882" s="188" t="s">
        <v>26852</v>
      </c>
      <c r="E4882" s="189" t="s">
        <v>26853</v>
      </c>
      <c r="F4882" s="162" t="s">
        <v>26854</v>
      </c>
      <c r="G4882" s="162" t="s">
        <v>13413</v>
      </c>
      <c r="H4882" s="219"/>
      <c r="I4882" s="169">
        <v>115325</v>
      </c>
      <c r="J4882" s="304" t="str">
        <f>CONCATENATE([2]Cover!$D$6,"fdd/view?i=",I4882)</f>
        <v>https://www.dgiwg.org/FAD/fdd/view?i=115325</v>
      </c>
      <c r="K4882" s="304" t="s">
        <v>38931</v>
      </c>
      <c r="L4882" s="188">
        <v>195</v>
      </c>
      <c r="M4882" s="179" t="s">
        <v>151</v>
      </c>
    </row>
    <row r="4883" spans="1:13" ht="25.5">
      <c r="A4883" s="313" t="str">
        <f t="shared" si="76"/>
        <v>MlsChannelCode_chan695</v>
      </c>
      <c r="B4883" s="330"/>
      <c r="C4883" s="334"/>
      <c r="D4883" s="188" t="s">
        <v>26855</v>
      </c>
      <c r="E4883" s="189" t="s">
        <v>26856</v>
      </c>
      <c r="F4883" s="162" t="s">
        <v>26857</v>
      </c>
      <c r="G4883" s="162" t="s">
        <v>13413</v>
      </c>
      <c r="H4883" s="219"/>
      <c r="I4883" s="169">
        <v>115326</v>
      </c>
      <c r="J4883" s="304" t="str">
        <f>CONCATENATE([2]Cover!$D$6,"fdd/view?i=",I4883)</f>
        <v>https://www.dgiwg.org/FAD/fdd/view?i=115326</v>
      </c>
      <c r="K4883" s="304" t="s">
        <v>38932</v>
      </c>
      <c r="L4883" s="188">
        <v>196</v>
      </c>
      <c r="M4883" s="179" t="s">
        <v>151</v>
      </c>
    </row>
    <row r="4884" spans="1:13" ht="25.5">
      <c r="A4884" s="313" t="str">
        <f t="shared" si="76"/>
        <v>MlsChannelCode_chan696</v>
      </c>
      <c r="B4884" s="330"/>
      <c r="C4884" s="334"/>
      <c r="D4884" s="188" t="s">
        <v>26858</v>
      </c>
      <c r="E4884" s="189" t="s">
        <v>26859</v>
      </c>
      <c r="F4884" s="162" t="s">
        <v>26860</v>
      </c>
      <c r="G4884" s="162" t="s">
        <v>13413</v>
      </c>
      <c r="H4884" s="219"/>
      <c r="I4884" s="169">
        <v>115327</v>
      </c>
      <c r="J4884" s="304" t="str">
        <f>CONCATENATE([2]Cover!$D$6,"fdd/view?i=",I4884)</f>
        <v>https://www.dgiwg.org/FAD/fdd/view?i=115327</v>
      </c>
      <c r="K4884" s="304" t="s">
        <v>38933</v>
      </c>
      <c r="L4884" s="188">
        <v>197</v>
      </c>
      <c r="M4884" s="179" t="s">
        <v>151</v>
      </c>
    </row>
    <row r="4885" spans="1:13" ht="25.5">
      <c r="A4885" s="313" t="str">
        <f t="shared" si="76"/>
        <v>MlsChannelCode_chan697</v>
      </c>
      <c r="B4885" s="330"/>
      <c r="C4885" s="334"/>
      <c r="D4885" s="188" t="s">
        <v>26861</v>
      </c>
      <c r="E4885" s="189" t="s">
        <v>26862</v>
      </c>
      <c r="F4885" s="162" t="s">
        <v>26863</v>
      </c>
      <c r="G4885" s="162" t="s">
        <v>13413</v>
      </c>
      <c r="H4885" s="219"/>
      <c r="I4885" s="169">
        <v>115328</v>
      </c>
      <c r="J4885" s="304" t="str">
        <f>CONCATENATE([2]Cover!$D$6,"fdd/view?i=",I4885)</f>
        <v>https://www.dgiwg.org/FAD/fdd/view?i=115328</v>
      </c>
      <c r="K4885" s="304" t="s">
        <v>38934</v>
      </c>
      <c r="L4885" s="188">
        <v>198</v>
      </c>
      <c r="M4885" s="179" t="s">
        <v>151</v>
      </c>
    </row>
    <row r="4886" spans="1:13" ht="25.5">
      <c r="A4886" s="313" t="str">
        <f t="shared" si="76"/>
        <v>MlsChannelCode_chan698</v>
      </c>
      <c r="B4886" s="330"/>
      <c r="C4886" s="334"/>
      <c r="D4886" s="188" t="s">
        <v>26864</v>
      </c>
      <c r="E4886" s="189" t="s">
        <v>26865</v>
      </c>
      <c r="F4886" s="162" t="s">
        <v>26866</v>
      </c>
      <c r="G4886" s="162" t="s">
        <v>13413</v>
      </c>
      <c r="H4886" s="219"/>
      <c r="I4886" s="169">
        <v>115329</v>
      </c>
      <c r="J4886" s="304" t="str">
        <f>CONCATENATE([2]Cover!$D$6,"fdd/view?i=",I4886)</f>
        <v>https://www.dgiwg.org/FAD/fdd/view?i=115329</v>
      </c>
      <c r="K4886" s="304" t="s">
        <v>38935</v>
      </c>
      <c r="L4886" s="188">
        <v>199</v>
      </c>
      <c r="M4886" s="179" t="s">
        <v>151</v>
      </c>
    </row>
    <row r="4887" spans="1:13" ht="25.5">
      <c r="A4887" s="313" t="str">
        <f t="shared" si="76"/>
        <v>MlsChannelCode_chan699</v>
      </c>
      <c r="B4887" s="331"/>
      <c r="C4887" s="335"/>
      <c r="D4887" s="181" t="s">
        <v>26867</v>
      </c>
      <c r="E4887" s="192" t="s">
        <v>26868</v>
      </c>
      <c r="F4887" s="193" t="s">
        <v>26869</v>
      </c>
      <c r="G4887" s="193" t="s">
        <v>13413</v>
      </c>
      <c r="H4887" s="220"/>
      <c r="I4887" s="169">
        <v>115330</v>
      </c>
      <c r="J4887" s="304" t="str">
        <f>CONCATENATE([2]Cover!$D$6,"fdd/view?i=",I4887)</f>
        <v>https://www.dgiwg.org/FAD/fdd/view?i=115330</v>
      </c>
      <c r="K4887" s="304" t="s">
        <v>38936</v>
      </c>
      <c r="L4887" s="181">
        <v>200</v>
      </c>
      <c r="M4887" s="179" t="s">
        <v>151</v>
      </c>
    </row>
    <row r="4888" spans="1:13" ht="38.25">
      <c r="A4888" s="313" t="str">
        <f t="shared" si="76"/>
        <v>MlsUnitAssociationTypeCode_approach</v>
      </c>
      <c r="B4888" s="332" t="str">
        <f>HYPERLINK("[#]Datatypes!A864:L864","MlsUnitAssociationTypeCode")</f>
        <v>MlsUnitAssociationTypeCode</v>
      </c>
      <c r="C4888" s="333" t="s">
        <v>12450</v>
      </c>
      <c r="D4888" s="202" t="s">
        <v>26870</v>
      </c>
      <c r="E4888" s="203" t="s">
        <v>26871</v>
      </c>
      <c r="F4888" s="204" t="s">
        <v>26872</v>
      </c>
      <c r="G4888" s="205"/>
      <c r="H4888" s="222" t="s">
        <v>26873</v>
      </c>
      <c r="I4888" s="169">
        <v>115345</v>
      </c>
      <c r="J4888" s="304" t="str">
        <f>CONCATENATE([2]Cover!$D$6,"fdd/view?i=",I4888)</f>
        <v>https://www.dgiwg.org/FAD/fdd/view?i=115345</v>
      </c>
      <c r="K4888" s="304" t="s">
        <v>38937</v>
      </c>
      <c r="L4888" s="202">
        <v>2</v>
      </c>
      <c r="M4888" s="179" t="s">
        <v>151</v>
      </c>
    </row>
    <row r="4889" spans="1:13" ht="25.5">
      <c r="A4889" s="313" t="str">
        <f t="shared" si="76"/>
        <v>MlsUnitAssociationTypeCode_back</v>
      </c>
      <c r="B4889" s="331"/>
      <c r="C4889" s="335"/>
      <c r="D4889" s="181" t="s">
        <v>26874</v>
      </c>
      <c r="E4889" s="192" t="s">
        <v>26875</v>
      </c>
      <c r="F4889" s="193" t="s">
        <v>26876</v>
      </c>
      <c r="G4889" s="194"/>
      <c r="H4889" s="223" t="s">
        <v>15825</v>
      </c>
      <c r="I4889" s="169">
        <v>115344</v>
      </c>
      <c r="J4889" s="304" t="str">
        <f>CONCATENATE([2]Cover!$D$6,"fdd/view?i=",I4889)</f>
        <v>https://www.dgiwg.org/FAD/fdd/view?i=115344</v>
      </c>
      <c r="K4889" s="304" t="s">
        <v>38938</v>
      </c>
      <c r="L4889" s="181">
        <v>1</v>
      </c>
      <c r="M4889" s="179" t="s">
        <v>151</v>
      </c>
    </row>
    <row r="4890" spans="1:13" ht="25.5">
      <c r="A4890" s="313" t="str">
        <f t="shared" si="76"/>
        <v>MilitaryRouteUseCode_nightLowFlying</v>
      </c>
      <c r="B4890" s="332" t="str">
        <f>HYPERLINK("[#]Datatypes!A866:L866","MilitaryRouteUseCode")</f>
        <v>MilitaryRouteUseCode</v>
      </c>
      <c r="C4890" s="333" t="s">
        <v>12452</v>
      </c>
      <c r="D4890" s="202" t="s">
        <v>26877</v>
      </c>
      <c r="E4890" s="203" t="s">
        <v>26878</v>
      </c>
      <c r="F4890" s="204" t="s">
        <v>26879</v>
      </c>
      <c r="G4890" s="205"/>
      <c r="H4890" s="218"/>
      <c r="I4890" s="169">
        <v>115692</v>
      </c>
      <c r="J4890" s="304" t="str">
        <f>CONCATENATE([2]Cover!$D$6,"fdd/view?i=",I4890)</f>
        <v>https://www.dgiwg.org/FAD/fdd/view?i=115692</v>
      </c>
      <c r="K4890" s="304" t="s">
        <v>38939</v>
      </c>
      <c r="L4890" s="202">
        <v>1</v>
      </c>
      <c r="M4890" s="179" t="s">
        <v>151</v>
      </c>
    </row>
    <row r="4891" spans="1:13" ht="38.25">
      <c r="A4891" s="313" t="str">
        <f t="shared" si="76"/>
        <v>MilitaryRouteUseCode_training</v>
      </c>
      <c r="B4891" s="330"/>
      <c r="C4891" s="334"/>
      <c r="D4891" s="188" t="s">
        <v>16255</v>
      </c>
      <c r="E4891" s="189" t="s">
        <v>16256</v>
      </c>
      <c r="F4891" s="162" t="s">
        <v>26880</v>
      </c>
      <c r="G4891" s="190"/>
      <c r="H4891" s="219"/>
      <c r="I4891" s="169">
        <v>115694</v>
      </c>
      <c r="J4891" s="304" t="str">
        <f>CONCATENATE([2]Cover!$D$6,"fdd/view?i=",I4891)</f>
        <v>https://www.dgiwg.org/FAD/fdd/view?i=115694</v>
      </c>
      <c r="K4891" s="304" t="s">
        <v>38940</v>
      </c>
      <c r="L4891" s="188">
        <v>3</v>
      </c>
      <c r="M4891" s="179" t="s">
        <v>151</v>
      </c>
    </row>
    <row r="4892" spans="1:13">
      <c r="A4892" s="313" t="str">
        <f t="shared" si="76"/>
        <v>MilitaryRouteUseCode_trunk</v>
      </c>
      <c r="B4892" s="331"/>
      <c r="C4892" s="335"/>
      <c r="D4892" s="181" t="s">
        <v>26881</v>
      </c>
      <c r="E4892" s="192" t="s">
        <v>26882</v>
      </c>
      <c r="F4892" s="193" t="s">
        <v>26883</v>
      </c>
      <c r="G4892" s="194"/>
      <c r="H4892" s="220"/>
      <c r="I4892" s="169">
        <v>115693</v>
      </c>
      <c r="J4892" s="304" t="str">
        <f>CONCATENATE([2]Cover!$D$6,"fdd/view?i=",I4892)</f>
        <v>https://www.dgiwg.org/FAD/fdd/view?i=115693</v>
      </c>
      <c r="K4892" s="304" t="s">
        <v>38941</v>
      </c>
      <c r="L4892" s="181">
        <v>2</v>
      </c>
      <c r="M4892" s="179" t="s">
        <v>151</v>
      </c>
    </row>
    <row r="4893" spans="1:13" ht="25.5">
      <c r="A4893" s="313" t="str">
        <f t="shared" si="76"/>
        <v>MilitaryServiceBranchCode_airForce</v>
      </c>
      <c r="B4893" s="332" t="str">
        <f>HYPERLINK("[#]Datatypes!A868:L868","MilitaryServiceBranchCode")</f>
        <v>MilitaryServiceBranchCode</v>
      </c>
      <c r="C4893" s="333" t="s">
        <v>12454</v>
      </c>
      <c r="D4893" s="202" t="s">
        <v>26884</v>
      </c>
      <c r="E4893" s="203" t="s">
        <v>26885</v>
      </c>
      <c r="F4893" s="204" t="s">
        <v>26886</v>
      </c>
      <c r="G4893" s="205"/>
      <c r="H4893" s="218"/>
      <c r="I4893" s="169">
        <v>109769</v>
      </c>
      <c r="J4893" s="304" t="str">
        <f>CONCATENATE([2]Cover!$D$6,"fdd/view?i=",I4893)</f>
        <v>https://www.dgiwg.org/FAD/fdd/view?i=109769</v>
      </c>
      <c r="K4893" s="304" t="s">
        <v>38942</v>
      </c>
      <c r="L4893" s="202">
        <v>1</v>
      </c>
      <c r="M4893" s="179" t="s">
        <v>151</v>
      </c>
    </row>
    <row r="4894" spans="1:13" ht="114.75">
      <c r="A4894" s="313" t="str">
        <f t="shared" si="76"/>
        <v>MilitaryServiceBranchCode_airNationalGuard</v>
      </c>
      <c r="B4894" s="330"/>
      <c r="C4894" s="334"/>
      <c r="D4894" s="188" t="s">
        <v>26887</v>
      </c>
      <c r="E4894" s="189" t="s">
        <v>26888</v>
      </c>
      <c r="F4894" s="162" t="s">
        <v>26889</v>
      </c>
      <c r="G4894" s="162" t="s">
        <v>26890</v>
      </c>
      <c r="H4894" s="219"/>
      <c r="I4894" s="169">
        <v>119095</v>
      </c>
      <c r="J4894" s="304" t="str">
        <f>CONCATENATE([2]Cover!$D$6,"fdd/view?i=",I4894)</f>
        <v>https://www.dgiwg.org/FAD/fdd/view?i=119095</v>
      </c>
      <c r="K4894" s="304" t="s">
        <v>38943</v>
      </c>
      <c r="L4894" s="188">
        <v>8</v>
      </c>
      <c r="M4894" s="179" t="s">
        <v>151</v>
      </c>
    </row>
    <row r="4895" spans="1:13" ht="25.5">
      <c r="A4895" s="313" t="str">
        <f t="shared" si="76"/>
        <v>MilitaryServiceBranchCode_army</v>
      </c>
      <c r="B4895" s="330"/>
      <c r="C4895" s="334"/>
      <c r="D4895" s="188" t="s">
        <v>26891</v>
      </c>
      <c r="E4895" s="189" t="s">
        <v>26892</v>
      </c>
      <c r="F4895" s="162" t="s">
        <v>26893</v>
      </c>
      <c r="G4895" s="190"/>
      <c r="H4895" s="219"/>
      <c r="I4895" s="169">
        <v>109770</v>
      </c>
      <c r="J4895" s="304" t="str">
        <f>CONCATENATE([2]Cover!$D$6,"fdd/view?i=",I4895)</f>
        <v>https://www.dgiwg.org/FAD/fdd/view?i=109770</v>
      </c>
      <c r="K4895" s="304" t="s">
        <v>38944</v>
      </c>
      <c r="L4895" s="188">
        <v>2</v>
      </c>
      <c r="M4895" s="179" t="s">
        <v>151</v>
      </c>
    </row>
    <row r="4896" spans="1:13" ht="114.75">
      <c r="A4896" s="313" t="str">
        <f t="shared" si="76"/>
        <v>MilitaryServiceBranchCode_armyNationalGuard</v>
      </c>
      <c r="B4896" s="330"/>
      <c r="C4896" s="334"/>
      <c r="D4896" s="188" t="s">
        <v>26894</v>
      </c>
      <c r="E4896" s="189" t="s">
        <v>26895</v>
      </c>
      <c r="F4896" s="162" t="s">
        <v>26896</v>
      </c>
      <c r="G4896" s="162" t="s">
        <v>26897</v>
      </c>
      <c r="H4896" s="219"/>
      <c r="I4896" s="169">
        <v>119096</v>
      </c>
      <c r="J4896" s="304" t="str">
        <f>CONCATENATE([2]Cover!$D$6,"fdd/view?i=",I4896)</f>
        <v>https://www.dgiwg.org/FAD/fdd/view?i=119096</v>
      </c>
      <c r="K4896" s="304" t="s">
        <v>38945</v>
      </c>
      <c r="L4896" s="188">
        <v>9</v>
      </c>
      <c r="M4896" s="179" t="s">
        <v>151</v>
      </c>
    </row>
    <row r="4897" spans="1:13" ht="25.5">
      <c r="A4897" s="313" t="str">
        <f t="shared" si="76"/>
        <v>MilitaryServiceBranchCode_coastguard</v>
      </c>
      <c r="B4897" s="330"/>
      <c r="C4897" s="334"/>
      <c r="D4897" s="188" t="s">
        <v>26898</v>
      </c>
      <c r="E4897" s="189" t="s">
        <v>26899</v>
      </c>
      <c r="F4897" s="162" t="s">
        <v>26900</v>
      </c>
      <c r="G4897" s="190"/>
      <c r="H4897" s="219"/>
      <c r="I4897" s="169">
        <v>109771</v>
      </c>
      <c r="J4897" s="304" t="str">
        <f>CONCATENATE([2]Cover!$D$6,"fdd/view?i=",I4897)</f>
        <v>https://www.dgiwg.org/FAD/fdd/view?i=109771</v>
      </c>
      <c r="K4897" s="304" t="s">
        <v>38946</v>
      </c>
      <c r="L4897" s="188">
        <v>3</v>
      </c>
      <c r="M4897" s="179" t="s">
        <v>151</v>
      </c>
    </row>
    <row r="4898" spans="1:13" ht="25.5">
      <c r="A4898" s="313" t="str">
        <f t="shared" si="76"/>
        <v>MilitaryServiceBranchCode_joint</v>
      </c>
      <c r="B4898" s="330"/>
      <c r="C4898" s="334"/>
      <c r="D4898" s="188" t="s">
        <v>26901</v>
      </c>
      <c r="E4898" s="189" t="s">
        <v>26902</v>
      </c>
      <c r="F4898" s="162" t="s">
        <v>26903</v>
      </c>
      <c r="G4898" s="190"/>
      <c r="H4898" s="219"/>
      <c r="I4898" s="169">
        <v>109775</v>
      </c>
      <c r="J4898" s="304" t="str">
        <f>CONCATENATE([2]Cover!$D$6,"fdd/view?i=",I4898)</f>
        <v>https://www.dgiwg.org/FAD/fdd/view?i=109775</v>
      </c>
      <c r="K4898" s="304" t="s">
        <v>38947</v>
      </c>
      <c r="L4898" s="188">
        <v>7</v>
      </c>
      <c r="M4898" s="179" t="s">
        <v>151</v>
      </c>
    </row>
    <row r="4899" spans="1:13" ht="25.5">
      <c r="A4899" s="313" t="str">
        <f t="shared" si="76"/>
        <v>MilitaryServiceBranchCode_marines</v>
      </c>
      <c r="B4899" s="330"/>
      <c r="C4899" s="334"/>
      <c r="D4899" s="188" t="s">
        <v>26904</v>
      </c>
      <c r="E4899" s="189" t="s">
        <v>26905</v>
      </c>
      <c r="F4899" s="162" t="s">
        <v>26906</v>
      </c>
      <c r="G4899" s="190"/>
      <c r="H4899" s="219"/>
      <c r="I4899" s="169">
        <v>109772</v>
      </c>
      <c r="J4899" s="304" t="str">
        <f>CONCATENATE([2]Cover!$D$6,"fdd/view?i=",I4899)</f>
        <v>https://www.dgiwg.org/FAD/fdd/view?i=109772</v>
      </c>
      <c r="K4899" s="304" t="s">
        <v>38948</v>
      </c>
      <c r="L4899" s="188">
        <v>4</v>
      </c>
      <c r="M4899" s="179" t="s">
        <v>151</v>
      </c>
    </row>
    <row r="4900" spans="1:13" ht="38.25">
      <c r="A4900" s="313" t="str">
        <f t="shared" si="76"/>
        <v>MilitaryServiceBranchCode_navy</v>
      </c>
      <c r="B4900" s="331"/>
      <c r="C4900" s="335"/>
      <c r="D4900" s="181" t="s">
        <v>26907</v>
      </c>
      <c r="E4900" s="192" t="s">
        <v>26908</v>
      </c>
      <c r="F4900" s="193" t="s">
        <v>26909</v>
      </c>
      <c r="G4900" s="193" t="s">
        <v>26910</v>
      </c>
      <c r="H4900" s="220"/>
      <c r="I4900" s="169">
        <v>109773</v>
      </c>
      <c r="J4900" s="304" t="str">
        <f>CONCATENATE([2]Cover!$D$6,"fdd/view?i=",I4900)</f>
        <v>https://www.dgiwg.org/FAD/fdd/view?i=109773</v>
      </c>
      <c r="K4900" s="304" t="s">
        <v>38949</v>
      </c>
      <c r="L4900" s="181">
        <v>5</v>
      </c>
      <c r="M4900" s="179" t="s">
        <v>151</v>
      </c>
    </row>
    <row r="4901" spans="1:13" ht="25.5">
      <c r="A4901" s="313" t="str">
        <f t="shared" si="76"/>
        <v>MineAcousticSensitivityCode_audioRange</v>
      </c>
      <c r="B4901" s="332" t="str">
        <f>HYPERLINK("[#]Datatypes!A870:L870","MineAcousticSensitivityCode")</f>
        <v>MineAcousticSensitivityCode</v>
      </c>
      <c r="C4901" s="333" t="s">
        <v>12456</v>
      </c>
      <c r="D4901" s="202" t="s">
        <v>26911</v>
      </c>
      <c r="E4901" s="203" t="s">
        <v>26912</v>
      </c>
      <c r="F4901" s="204" t="s">
        <v>26913</v>
      </c>
      <c r="G4901" s="204" t="s">
        <v>26914</v>
      </c>
      <c r="H4901" s="218"/>
      <c r="I4901" s="169">
        <v>105671</v>
      </c>
      <c r="J4901" s="304" t="str">
        <f>CONCATENATE([2]Cover!$D$6,"fdd/view?i=",I4901)</f>
        <v>https://www.dgiwg.org/FAD/fdd/view?i=105671</v>
      </c>
      <c r="K4901" s="304" t="s">
        <v>38950</v>
      </c>
      <c r="L4901" s="202">
        <v>2</v>
      </c>
      <c r="M4901" s="179" t="s">
        <v>151</v>
      </c>
    </row>
    <row r="4902" spans="1:13">
      <c r="A4902" s="313" t="str">
        <f t="shared" si="76"/>
        <v>MineAcousticSensitivityCode_high</v>
      </c>
      <c r="B4902" s="330"/>
      <c r="C4902" s="334"/>
      <c r="D4902" s="188" t="s">
        <v>15390</v>
      </c>
      <c r="E4902" s="189" t="s">
        <v>15391</v>
      </c>
      <c r="F4902" s="162" t="s">
        <v>26915</v>
      </c>
      <c r="G4902" s="162" t="s">
        <v>26916</v>
      </c>
      <c r="H4902" s="219"/>
      <c r="I4902" s="169">
        <v>105672</v>
      </c>
      <c r="J4902" s="304" t="str">
        <f>CONCATENATE([2]Cover!$D$6,"fdd/view?i=",I4902)</f>
        <v>https://www.dgiwg.org/FAD/fdd/view?i=105672</v>
      </c>
      <c r="K4902" s="304" t="s">
        <v>38951</v>
      </c>
      <c r="L4902" s="188">
        <v>3</v>
      </c>
      <c r="M4902" s="179" t="s">
        <v>151</v>
      </c>
    </row>
    <row r="4903" spans="1:13">
      <c r="A4903" s="313" t="str">
        <f t="shared" si="76"/>
        <v>MineAcousticSensitivityCode_low</v>
      </c>
      <c r="B4903" s="330"/>
      <c r="C4903" s="334"/>
      <c r="D4903" s="188" t="s">
        <v>15393</v>
      </c>
      <c r="E4903" s="189" t="s">
        <v>15394</v>
      </c>
      <c r="F4903" s="162" t="s">
        <v>26917</v>
      </c>
      <c r="G4903" s="162" t="s">
        <v>26918</v>
      </c>
      <c r="H4903" s="219"/>
      <c r="I4903" s="169">
        <v>105670</v>
      </c>
      <c r="J4903" s="304" t="str">
        <f>CONCATENATE([2]Cover!$D$6,"fdd/view?i=",I4903)</f>
        <v>https://www.dgiwg.org/FAD/fdd/view?i=105670</v>
      </c>
      <c r="K4903" s="304" t="s">
        <v>38952</v>
      </c>
      <c r="L4903" s="188">
        <v>1</v>
      </c>
      <c r="M4903" s="179" t="s">
        <v>151</v>
      </c>
    </row>
    <row r="4904" spans="1:13" ht="25.5">
      <c r="A4904" s="313" t="str">
        <f t="shared" si="76"/>
        <v>MineAcousticSensitivityCode_multipleRange</v>
      </c>
      <c r="B4904" s="331"/>
      <c r="C4904" s="335"/>
      <c r="D4904" s="181" t="s">
        <v>26919</v>
      </c>
      <c r="E4904" s="192" t="s">
        <v>26920</v>
      </c>
      <c r="F4904" s="193" t="s">
        <v>26921</v>
      </c>
      <c r="G4904" s="194"/>
      <c r="H4904" s="220"/>
      <c r="I4904" s="169">
        <v>105673</v>
      </c>
      <c r="J4904" s="304" t="str">
        <f>CONCATENATE([2]Cover!$D$6,"fdd/view?i=",I4904)</f>
        <v>https://www.dgiwg.org/FAD/fdd/view?i=105673</v>
      </c>
      <c r="K4904" s="304" t="s">
        <v>38953</v>
      </c>
      <c r="L4904" s="181">
        <v>4</v>
      </c>
      <c r="M4904" s="179" t="s">
        <v>151</v>
      </c>
    </row>
    <row r="4905" spans="1:13">
      <c r="A4905" s="313" t="str">
        <f t="shared" si="76"/>
        <v>MineAllegianceCode_friend</v>
      </c>
      <c r="B4905" s="332" t="str">
        <f>HYPERLINK("[#]Datatypes!A872:L872","MineAllegianceCode")</f>
        <v>MineAllegianceCode</v>
      </c>
      <c r="C4905" s="333" t="s">
        <v>12458</v>
      </c>
      <c r="D4905" s="202" t="s">
        <v>26922</v>
      </c>
      <c r="E4905" s="203" t="s">
        <v>26923</v>
      </c>
      <c r="F4905" s="204" t="s">
        <v>26924</v>
      </c>
      <c r="G4905" s="205"/>
      <c r="H4905" s="218"/>
      <c r="I4905" s="169">
        <v>105685</v>
      </c>
      <c r="J4905" s="304" t="str">
        <f>CONCATENATE([2]Cover!$D$6,"fdd/view?i=",I4905)</f>
        <v>https://www.dgiwg.org/FAD/fdd/view?i=105685</v>
      </c>
      <c r="K4905" s="304" t="s">
        <v>38954</v>
      </c>
      <c r="L4905" s="202">
        <v>2</v>
      </c>
      <c r="M4905" s="179" t="s">
        <v>151</v>
      </c>
    </row>
    <row r="4906" spans="1:13">
      <c r="A4906" s="313" t="str">
        <f t="shared" si="76"/>
        <v>MineAllegianceCode_hostile</v>
      </c>
      <c r="B4906" s="330"/>
      <c r="C4906" s="334"/>
      <c r="D4906" s="188" t="s">
        <v>26925</v>
      </c>
      <c r="E4906" s="189" t="s">
        <v>26926</v>
      </c>
      <c r="F4906" s="162" t="s">
        <v>26927</v>
      </c>
      <c r="G4906" s="190"/>
      <c r="H4906" s="219"/>
      <c r="I4906" s="169">
        <v>105686</v>
      </c>
      <c r="J4906" s="304" t="str">
        <f>CONCATENATE([2]Cover!$D$6,"fdd/view?i=",I4906)</f>
        <v>https://www.dgiwg.org/FAD/fdd/view?i=105686</v>
      </c>
      <c r="K4906" s="304" t="s">
        <v>38955</v>
      </c>
      <c r="L4906" s="188">
        <v>3</v>
      </c>
      <c r="M4906" s="179" t="s">
        <v>151</v>
      </c>
    </row>
    <row r="4907" spans="1:13" ht="25.5">
      <c r="A4907" s="313" t="str">
        <f t="shared" si="76"/>
        <v>MineAllegianceCode_neutral</v>
      </c>
      <c r="B4907" s="331"/>
      <c r="C4907" s="335"/>
      <c r="D4907" s="181" t="s">
        <v>26928</v>
      </c>
      <c r="E4907" s="192" t="s">
        <v>26929</v>
      </c>
      <c r="F4907" s="193" t="s">
        <v>26930</v>
      </c>
      <c r="G4907" s="194"/>
      <c r="H4907" s="220"/>
      <c r="I4907" s="169">
        <v>105687</v>
      </c>
      <c r="J4907" s="304" t="str">
        <f>CONCATENATE([2]Cover!$D$6,"fdd/view?i=",I4907)</f>
        <v>https://www.dgiwg.org/FAD/fdd/view?i=105687</v>
      </c>
      <c r="K4907" s="304" t="s">
        <v>38956</v>
      </c>
      <c r="L4907" s="181">
        <v>4</v>
      </c>
      <c r="M4907" s="179" t="s">
        <v>151</v>
      </c>
    </row>
    <row r="4908" spans="1:13" ht="25.5">
      <c r="A4908" s="313" t="str">
        <f t="shared" si="76"/>
        <v>MineAntiHuntingCapabCode_acousticImpedance</v>
      </c>
      <c r="B4908" s="332" t="str">
        <f>HYPERLINK("[#]Datatypes!A874:L874","MineAntiHuntingCapabCode")</f>
        <v>MineAntiHuntingCapabCode</v>
      </c>
      <c r="C4908" s="333" t="s">
        <v>12460</v>
      </c>
      <c r="D4908" s="202" t="s">
        <v>26931</v>
      </c>
      <c r="E4908" s="203" t="s">
        <v>26932</v>
      </c>
      <c r="F4908" s="204" t="s">
        <v>26933</v>
      </c>
      <c r="G4908" s="205"/>
      <c r="H4908" s="218"/>
      <c r="I4908" s="169">
        <v>105862</v>
      </c>
      <c r="J4908" s="304" t="str">
        <f>CONCATENATE([2]Cover!$D$6,"fdd/view?i=",I4908)</f>
        <v>https://www.dgiwg.org/FAD/fdd/view?i=105862</v>
      </c>
      <c r="K4908" s="304" t="s">
        <v>38957</v>
      </c>
      <c r="L4908" s="202">
        <v>4</v>
      </c>
      <c r="M4908" s="179" t="s">
        <v>151</v>
      </c>
    </row>
    <row r="4909" spans="1:13" ht="25.5">
      <c r="A4909" s="313" t="str">
        <f t="shared" si="76"/>
        <v>MineAntiHuntingCapabCode_acousticTransparency</v>
      </c>
      <c r="B4909" s="330"/>
      <c r="C4909" s="334"/>
      <c r="D4909" s="188" t="s">
        <v>26934</v>
      </c>
      <c r="E4909" s="189" t="s">
        <v>26935</v>
      </c>
      <c r="F4909" s="162" t="s">
        <v>26936</v>
      </c>
      <c r="G4909" s="190"/>
      <c r="H4909" s="219"/>
      <c r="I4909" s="169">
        <v>105863</v>
      </c>
      <c r="J4909" s="304" t="str">
        <f>CONCATENATE([2]Cover!$D$6,"fdd/view?i=",I4909)</f>
        <v>https://www.dgiwg.org/FAD/fdd/view?i=105863</v>
      </c>
      <c r="K4909" s="304" t="s">
        <v>38958</v>
      </c>
      <c r="L4909" s="188">
        <v>5</v>
      </c>
      <c r="M4909" s="179" t="s">
        <v>151</v>
      </c>
    </row>
    <row r="4910" spans="1:13" ht="25.5">
      <c r="A4910" s="313" t="str">
        <f t="shared" si="76"/>
        <v>MineAntiHuntingCapabCode_anechoicCoating</v>
      </c>
      <c r="B4910" s="330"/>
      <c r="C4910" s="334"/>
      <c r="D4910" s="188" t="s">
        <v>26937</v>
      </c>
      <c r="E4910" s="189" t="s">
        <v>26938</v>
      </c>
      <c r="F4910" s="162" t="s">
        <v>26939</v>
      </c>
      <c r="G4910" s="190"/>
      <c r="H4910" s="219"/>
      <c r="I4910" s="169">
        <v>105859</v>
      </c>
      <c r="J4910" s="304" t="str">
        <f>CONCATENATE([2]Cover!$D$6,"fdd/view?i=",I4910)</f>
        <v>https://www.dgiwg.org/FAD/fdd/view?i=105859</v>
      </c>
      <c r="K4910" s="304" t="s">
        <v>38959</v>
      </c>
      <c r="L4910" s="188">
        <v>1</v>
      </c>
      <c r="M4910" s="179" t="s">
        <v>151</v>
      </c>
    </row>
    <row r="4911" spans="1:13" ht="25.5">
      <c r="A4911" s="313" t="str">
        <f t="shared" si="76"/>
        <v>MineAntiHuntingCapabCode_automaticMineBurial</v>
      </c>
      <c r="B4911" s="330"/>
      <c r="C4911" s="334"/>
      <c r="D4911" s="188" t="s">
        <v>26940</v>
      </c>
      <c r="E4911" s="189" t="s">
        <v>26941</v>
      </c>
      <c r="F4911" s="162" t="s">
        <v>26942</v>
      </c>
      <c r="G4911" s="190"/>
      <c r="H4911" s="219"/>
      <c r="I4911" s="169">
        <v>105860</v>
      </c>
      <c r="J4911" s="304" t="str">
        <f>CONCATENATE([2]Cover!$D$6,"fdd/view?i=",I4911)</f>
        <v>https://www.dgiwg.org/FAD/fdd/view?i=105860</v>
      </c>
      <c r="K4911" s="304" t="s">
        <v>38960</v>
      </c>
      <c r="L4911" s="188">
        <v>2</v>
      </c>
      <c r="M4911" s="179" t="s">
        <v>151</v>
      </c>
    </row>
    <row r="4912" spans="1:13" ht="25.5">
      <c r="A4912" s="313" t="str">
        <f t="shared" si="76"/>
        <v>MineAntiHuntingCapabCode_irregularShaping</v>
      </c>
      <c r="B4912" s="330"/>
      <c r="C4912" s="334"/>
      <c r="D4912" s="188" t="s">
        <v>26943</v>
      </c>
      <c r="E4912" s="189" t="s">
        <v>26944</v>
      </c>
      <c r="F4912" s="162" t="s">
        <v>26945</v>
      </c>
      <c r="G4912" s="190"/>
      <c r="H4912" s="219"/>
      <c r="I4912" s="169">
        <v>105861</v>
      </c>
      <c r="J4912" s="304" t="str">
        <f>CONCATENATE([2]Cover!$D$6,"fdd/view?i=",I4912)</f>
        <v>https://www.dgiwg.org/FAD/fdd/view?i=105861</v>
      </c>
      <c r="K4912" s="304" t="s">
        <v>38961</v>
      </c>
      <c r="L4912" s="188">
        <v>3</v>
      </c>
      <c r="M4912" s="179" t="s">
        <v>151</v>
      </c>
    </row>
    <row r="4913" spans="1:13" ht="25.5">
      <c r="A4913" s="313" t="str">
        <f t="shared" si="76"/>
        <v>MineAntiHuntingCapabCode_nonMetallicCase</v>
      </c>
      <c r="B4913" s="330"/>
      <c r="C4913" s="334"/>
      <c r="D4913" s="188" t="s">
        <v>26946</v>
      </c>
      <c r="E4913" s="189" t="s">
        <v>26947</v>
      </c>
      <c r="F4913" s="162" t="s">
        <v>26948</v>
      </c>
      <c r="G4913" s="190"/>
      <c r="H4913" s="219"/>
      <c r="I4913" s="169">
        <v>105864</v>
      </c>
      <c r="J4913" s="304" t="str">
        <f>CONCATENATE([2]Cover!$D$6,"fdd/view?i=",I4913)</f>
        <v>https://www.dgiwg.org/FAD/fdd/view?i=105864</v>
      </c>
      <c r="K4913" s="304" t="s">
        <v>38962</v>
      </c>
      <c r="L4913" s="188">
        <v>6</v>
      </c>
      <c r="M4913" s="179" t="s">
        <v>151</v>
      </c>
    </row>
    <row r="4914" spans="1:13" ht="25.5">
      <c r="A4914" s="313" t="str">
        <f t="shared" si="76"/>
        <v>MineAntiHuntingCapabCode_sonarDecoys</v>
      </c>
      <c r="B4914" s="331"/>
      <c r="C4914" s="335"/>
      <c r="D4914" s="181" t="s">
        <v>26949</v>
      </c>
      <c r="E4914" s="192" t="s">
        <v>26950</v>
      </c>
      <c r="F4914" s="193" t="s">
        <v>26951</v>
      </c>
      <c r="G4914" s="194"/>
      <c r="H4914" s="220"/>
      <c r="I4914" s="169">
        <v>105865</v>
      </c>
      <c r="J4914" s="304" t="str">
        <f>CONCATENATE([2]Cover!$D$6,"fdd/view?i=",I4914)</f>
        <v>https://www.dgiwg.org/FAD/fdd/view?i=105865</v>
      </c>
      <c r="K4914" s="304" t="s">
        <v>38963</v>
      </c>
      <c r="L4914" s="181">
        <v>7</v>
      </c>
      <c r="M4914" s="179" t="s">
        <v>151</v>
      </c>
    </row>
    <row r="4915" spans="1:13" ht="51">
      <c r="A4915" s="313" t="str">
        <f t="shared" si="76"/>
        <v>MineAntiRecoveryCapabCode_antiRecoverySwitch</v>
      </c>
      <c r="B4915" s="332" t="str">
        <f>HYPERLINK("[#]Datatypes!A876:L876","MineAntiRecoveryCapabCode")</f>
        <v>MineAntiRecoveryCapabCode</v>
      </c>
      <c r="C4915" s="333" t="s">
        <v>12462</v>
      </c>
      <c r="D4915" s="202" t="s">
        <v>26952</v>
      </c>
      <c r="E4915" s="203" t="s">
        <v>26953</v>
      </c>
      <c r="F4915" s="204" t="s">
        <v>26954</v>
      </c>
      <c r="G4915" s="204" t="s">
        <v>26955</v>
      </c>
      <c r="H4915" s="218"/>
      <c r="I4915" s="169">
        <v>105878</v>
      </c>
      <c r="J4915" s="304" t="str">
        <f>CONCATENATE([2]Cover!$D$6,"fdd/view?i=",I4915)</f>
        <v>https://www.dgiwg.org/FAD/fdd/view?i=105878</v>
      </c>
      <c r="K4915" s="304" t="s">
        <v>38964</v>
      </c>
      <c r="L4915" s="202">
        <v>1</v>
      </c>
      <c r="M4915" s="179" t="s">
        <v>151</v>
      </c>
    </row>
    <row r="4916" spans="1:13" ht="38.25">
      <c r="A4916" s="313" t="str">
        <f t="shared" si="76"/>
        <v>MineAntiRecoveryCapabCode_antiWatchingDevice</v>
      </c>
      <c r="B4916" s="330"/>
      <c r="C4916" s="334"/>
      <c r="D4916" s="188" t="s">
        <v>26956</v>
      </c>
      <c r="E4916" s="189" t="s">
        <v>26957</v>
      </c>
      <c r="F4916" s="162" t="s">
        <v>26958</v>
      </c>
      <c r="G4916" s="162" t="s">
        <v>26959</v>
      </c>
      <c r="H4916" s="219"/>
      <c r="I4916" s="169">
        <v>111263</v>
      </c>
      <c r="J4916" s="304" t="str">
        <f>CONCATENATE([2]Cover!$D$6,"fdd/view?i=",I4916)</f>
        <v>https://www.dgiwg.org/FAD/fdd/view?i=111263</v>
      </c>
      <c r="K4916" s="304" t="s">
        <v>38965</v>
      </c>
      <c r="L4916" s="188">
        <v>6</v>
      </c>
      <c r="M4916" s="179" t="s">
        <v>151</v>
      </c>
    </row>
    <row r="4917" spans="1:13" ht="25.5">
      <c r="A4917" s="313" t="str">
        <f t="shared" si="76"/>
        <v>MineAntiRecoveryCapabCode_flooder</v>
      </c>
      <c r="B4917" s="330"/>
      <c r="C4917" s="334"/>
      <c r="D4917" s="188" t="s">
        <v>26960</v>
      </c>
      <c r="E4917" s="189" t="s">
        <v>26961</v>
      </c>
      <c r="F4917" s="162" t="s">
        <v>26962</v>
      </c>
      <c r="G4917" s="190"/>
      <c r="H4917" s="219"/>
      <c r="I4917" s="169">
        <v>111262</v>
      </c>
      <c r="J4917" s="304" t="str">
        <f>CONCATENATE([2]Cover!$D$6,"fdd/view?i=",I4917)</f>
        <v>https://www.dgiwg.org/FAD/fdd/view?i=111262</v>
      </c>
      <c r="K4917" s="304" t="s">
        <v>38966</v>
      </c>
      <c r="L4917" s="188">
        <v>5</v>
      </c>
      <c r="M4917" s="179" t="s">
        <v>151</v>
      </c>
    </row>
    <row r="4918" spans="1:13" ht="76.5">
      <c r="A4918" s="313" t="str">
        <f t="shared" si="76"/>
        <v>MineAntiRecoveryCapabCode_mooringLeverSafetyCutOut</v>
      </c>
      <c r="B4918" s="330"/>
      <c r="C4918" s="334"/>
      <c r="D4918" s="188" t="s">
        <v>26963</v>
      </c>
      <c r="E4918" s="189" t="s">
        <v>26964</v>
      </c>
      <c r="F4918" s="162" t="s">
        <v>26965</v>
      </c>
      <c r="G4918" s="162" t="s">
        <v>26966</v>
      </c>
      <c r="H4918" s="219"/>
      <c r="I4918" s="169">
        <v>105879</v>
      </c>
      <c r="J4918" s="304" t="str">
        <f>CONCATENATE([2]Cover!$D$6,"fdd/view?i=",I4918)</f>
        <v>https://www.dgiwg.org/FAD/fdd/view?i=105879</v>
      </c>
      <c r="K4918" s="304" t="s">
        <v>38967</v>
      </c>
      <c r="L4918" s="188">
        <v>2</v>
      </c>
      <c r="M4918" s="179" t="s">
        <v>151</v>
      </c>
    </row>
    <row r="4919" spans="1:13" ht="38.25">
      <c r="A4919" s="313" t="str">
        <f t="shared" si="76"/>
        <v>MineAntiRecoveryCapabCode_steriliser</v>
      </c>
      <c r="B4919" s="330"/>
      <c r="C4919" s="334"/>
      <c r="D4919" s="188" t="s">
        <v>26967</v>
      </c>
      <c r="E4919" s="189" t="s">
        <v>26968</v>
      </c>
      <c r="F4919" s="162" t="s">
        <v>26969</v>
      </c>
      <c r="G4919" s="162" t="s">
        <v>26970</v>
      </c>
      <c r="H4919" s="219"/>
      <c r="I4919" s="169">
        <v>111261</v>
      </c>
      <c r="J4919" s="304" t="str">
        <f>CONCATENATE([2]Cover!$D$6,"fdd/view?i=",I4919)</f>
        <v>https://www.dgiwg.org/FAD/fdd/view?i=111261</v>
      </c>
      <c r="K4919" s="304" t="s">
        <v>38968</v>
      </c>
      <c r="L4919" s="188">
        <v>4</v>
      </c>
      <c r="M4919" s="179" t="s">
        <v>151</v>
      </c>
    </row>
    <row r="4920" spans="1:13" ht="25.5">
      <c r="A4920" s="313" t="str">
        <f t="shared" si="76"/>
        <v>MineAntiRecoveryCapabCode_strippingPreventEquipment</v>
      </c>
      <c r="B4920" s="331"/>
      <c r="C4920" s="335"/>
      <c r="D4920" s="181" t="s">
        <v>26971</v>
      </c>
      <c r="E4920" s="192" t="s">
        <v>26972</v>
      </c>
      <c r="F4920" s="193" t="s">
        <v>26973</v>
      </c>
      <c r="G4920" s="194"/>
      <c r="H4920" s="220"/>
      <c r="I4920" s="169">
        <v>105880</v>
      </c>
      <c r="J4920" s="304" t="str">
        <f>CONCATENATE([2]Cover!$D$6,"fdd/view?i=",I4920)</f>
        <v>https://www.dgiwg.org/FAD/fdd/view?i=105880</v>
      </c>
      <c r="K4920" s="304" t="s">
        <v>38969</v>
      </c>
      <c r="L4920" s="181">
        <v>3</v>
      </c>
      <c r="M4920" s="179" t="s">
        <v>151</v>
      </c>
    </row>
    <row r="4921" spans="1:13" ht="25.5">
      <c r="A4921" s="313" t="str">
        <f t="shared" si="76"/>
        <v>MineAntiSweepWireCapabCode_chainMooring</v>
      </c>
      <c r="B4921" s="332" t="str">
        <f>HYPERLINK("[#]Datatypes!A878:L878","MineAntiSweepWireCapabCode")</f>
        <v>MineAntiSweepWireCapabCode</v>
      </c>
      <c r="C4921" s="333" t="s">
        <v>12464</v>
      </c>
      <c r="D4921" s="202" t="s">
        <v>26974</v>
      </c>
      <c r="E4921" s="203" t="s">
        <v>26975</v>
      </c>
      <c r="F4921" s="204" t="s">
        <v>26976</v>
      </c>
      <c r="G4921" s="205"/>
      <c r="H4921" s="218"/>
      <c r="I4921" s="169">
        <v>105922</v>
      </c>
      <c r="J4921" s="304" t="str">
        <f>CONCATENATE([2]Cover!$D$6,"fdd/view?i=",I4921)</f>
        <v>https://www.dgiwg.org/FAD/fdd/view?i=105922</v>
      </c>
      <c r="K4921" s="304" t="s">
        <v>38970</v>
      </c>
      <c r="L4921" s="202">
        <v>1</v>
      </c>
      <c r="M4921" s="179" t="s">
        <v>151</v>
      </c>
    </row>
    <row r="4922" spans="1:13" ht="25.5">
      <c r="A4922" s="313" t="str">
        <f t="shared" si="76"/>
        <v>MineAntiSweepWireCapabCode_cutter</v>
      </c>
      <c r="B4922" s="330"/>
      <c r="C4922" s="334"/>
      <c r="D4922" s="188" t="s">
        <v>26977</v>
      </c>
      <c r="E4922" s="189" t="s">
        <v>26978</v>
      </c>
      <c r="F4922" s="162" t="s">
        <v>26979</v>
      </c>
      <c r="G4922" s="190"/>
      <c r="H4922" s="219"/>
      <c r="I4922" s="169">
        <v>105925</v>
      </c>
      <c r="J4922" s="304" t="str">
        <f>CONCATENATE([2]Cover!$D$6,"fdd/view?i=",I4922)</f>
        <v>https://www.dgiwg.org/FAD/fdd/view?i=105925</v>
      </c>
      <c r="K4922" s="304" t="s">
        <v>38971</v>
      </c>
      <c r="L4922" s="188">
        <v>4</v>
      </c>
      <c r="M4922" s="179" t="s">
        <v>151</v>
      </c>
    </row>
    <row r="4923" spans="1:13" ht="25.5">
      <c r="A4923" s="313" t="str">
        <f t="shared" si="76"/>
        <v>MineAntiSweepWireCapabCode_grapnel</v>
      </c>
      <c r="B4923" s="330"/>
      <c r="C4923" s="334"/>
      <c r="D4923" s="188" t="s">
        <v>26980</v>
      </c>
      <c r="E4923" s="189" t="s">
        <v>26981</v>
      </c>
      <c r="F4923" s="162" t="s">
        <v>26982</v>
      </c>
      <c r="G4923" s="190"/>
      <c r="H4923" s="219"/>
      <c r="I4923" s="169">
        <v>105924</v>
      </c>
      <c r="J4923" s="304" t="str">
        <f>CONCATENATE([2]Cover!$D$6,"fdd/view?i=",I4923)</f>
        <v>https://www.dgiwg.org/FAD/fdd/view?i=105924</v>
      </c>
      <c r="K4923" s="304" t="s">
        <v>38972</v>
      </c>
      <c r="L4923" s="188">
        <v>3</v>
      </c>
      <c r="M4923" s="179" t="s">
        <v>151</v>
      </c>
    </row>
    <row r="4924" spans="1:13" ht="25.5">
      <c r="A4924" s="313" t="str">
        <f t="shared" si="76"/>
        <v>MineAntiSweepWireCapabCode_sensitiveTubing</v>
      </c>
      <c r="B4924" s="330"/>
      <c r="C4924" s="334"/>
      <c r="D4924" s="188" t="s">
        <v>26983</v>
      </c>
      <c r="E4924" s="189" t="s">
        <v>26984</v>
      </c>
      <c r="F4924" s="162" t="s">
        <v>26985</v>
      </c>
      <c r="G4924" s="162" t="s">
        <v>26986</v>
      </c>
      <c r="H4924" s="219"/>
      <c r="I4924" s="169">
        <v>105926</v>
      </c>
      <c r="J4924" s="304" t="str">
        <f>CONCATENATE([2]Cover!$D$6,"fdd/view?i=",I4924)</f>
        <v>https://www.dgiwg.org/FAD/fdd/view?i=105926</v>
      </c>
      <c r="K4924" s="304" t="s">
        <v>38973</v>
      </c>
      <c r="L4924" s="188">
        <v>5</v>
      </c>
      <c r="M4924" s="179" t="s">
        <v>151</v>
      </c>
    </row>
    <row r="4925" spans="1:13" ht="25.5">
      <c r="A4925" s="313" t="str">
        <f t="shared" si="76"/>
        <v>MineAntiSweepWireCapabCode_sprocket</v>
      </c>
      <c r="B4925" s="331"/>
      <c r="C4925" s="335"/>
      <c r="D4925" s="181" t="s">
        <v>26987</v>
      </c>
      <c r="E4925" s="192" t="s">
        <v>26988</v>
      </c>
      <c r="F4925" s="193" t="s">
        <v>26989</v>
      </c>
      <c r="G4925" s="194"/>
      <c r="H4925" s="220"/>
      <c r="I4925" s="169">
        <v>105923</v>
      </c>
      <c r="J4925" s="304" t="str">
        <f>CONCATENATE([2]Cover!$D$6,"fdd/view?i=",I4925)</f>
        <v>https://www.dgiwg.org/FAD/fdd/view?i=105923</v>
      </c>
      <c r="K4925" s="304" t="s">
        <v>38974</v>
      </c>
      <c r="L4925" s="181">
        <v>2</v>
      </c>
      <c r="M4925" s="179" t="s">
        <v>151</v>
      </c>
    </row>
    <row r="4926" spans="1:13" ht="51">
      <c r="A4926" s="313" t="str">
        <f t="shared" si="76"/>
        <v>MineAutonomyTypeCode_controlled</v>
      </c>
      <c r="B4926" s="332" t="str">
        <f>HYPERLINK("[#]Datatypes!A880:L880","MineAutonomyTypeCode")</f>
        <v>MineAutonomyTypeCode</v>
      </c>
      <c r="C4926" s="333" t="s">
        <v>12466</v>
      </c>
      <c r="D4926" s="202" t="s">
        <v>6137</v>
      </c>
      <c r="E4926" s="203" t="s">
        <v>6138</v>
      </c>
      <c r="F4926" s="204" t="s">
        <v>26990</v>
      </c>
      <c r="G4926" s="204" t="s">
        <v>26991</v>
      </c>
      <c r="H4926" s="218"/>
      <c r="I4926" s="169">
        <v>105749</v>
      </c>
      <c r="J4926" s="304" t="str">
        <f>CONCATENATE([2]Cover!$D$6,"fdd/view?i=",I4926)</f>
        <v>https://www.dgiwg.org/FAD/fdd/view?i=105749</v>
      </c>
      <c r="K4926" s="304" t="s">
        <v>38975</v>
      </c>
      <c r="L4926" s="202">
        <v>1</v>
      </c>
      <c r="M4926" s="179" t="s">
        <v>151</v>
      </c>
    </row>
    <row r="4927" spans="1:13" ht="25.5">
      <c r="A4927" s="313" t="str">
        <f t="shared" si="76"/>
        <v>MineAutonomyTypeCode_selfActuated</v>
      </c>
      <c r="B4927" s="331"/>
      <c r="C4927" s="335"/>
      <c r="D4927" s="181" t="s">
        <v>26992</v>
      </c>
      <c r="E4927" s="192" t="s">
        <v>26993</v>
      </c>
      <c r="F4927" s="193" t="s">
        <v>26994</v>
      </c>
      <c r="G4927" s="193" t="s">
        <v>26995</v>
      </c>
      <c r="H4927" s="223" t="s">
        <v>26996</v>
      </c>
      <c r="I4927" s="169">
        <v>105750</v>
      </c>
      <c r="J4927" s="304" t="str">
        <f>CONCATENATE([2]Cover!$D$6,"fdd/view?i=",I4927)</f>
        <v>https://www.dgiwg.org/FAD/fdd/view?i=105750</v>
      </c>
      <c r="K4927" s="304" t="s">
        <v>38976</v>
      </c>
      <c r="L4927" s="181">
        <v>2</v>
      </c>
      <c r="M4927" s="179" t="s">
        <v>151</v>
      </c>
    </row>
    <row r="4928" spans="1:13" ht="25.5">
      <c r="A4928" s="313" t="str">
        <f t="shared" si="76"/>
        <v>MineCablelessControlCode_alternatCurrentCommsLink</v>
      </c>
      <c r="B4928" s="332" t="str">
        <f>HYPERLINK("[#]Datatypes!A882:L882","MineCablelessControlCode")</f>
        <v>MineCablelessControlCode</v>
      </c>
      <c r="C4928" s="333" t="s">
        <v>12468</v>
      </c>
      <c r="D4928" s="202" t="s">
        <v>26997</v>
      </c>
      <c r="E4928" s="203" t="s">
        <v>26998</v>
      </c>
      <c r="F4928" s="205"/>
      <c r="G4928" s="205"/>
      <c r="H4928" s="218"/>
      <c r="I4928" s="169">
        <v>105771</v>
      </c>
      <c r="J4928" s="304" t="str">
        <f>CONCATENATE([2]Cover!$D$6,"fdd/view?i=",I4928)</f>
        <v>https://www.dgiwg.org/FAD/fdd/view?i=105771</v>
      </c>
      <c r="K4928" s="304" t="s">
        <v>38977</v>
      </c>
      <c r="L4928" s="202">
        <v>3</v>
      </c>
      <c r="M4928" s="179" t="s">
        <v>151</v>
      </c>
    </row>
    <row r="4929" spans="1:13" ht="25.5">
      <c r="A4929" s="313" t="str">
        <f t="shared" si="76"/>
        <v>MineCablelessControlCode_explicitCommsLink</v>
      </c>
      <c r="B4929" s="330"/>
      <c r="C4929" s="334"/>
      <c r="D4929" s="188" t="s">
        <v>26999</v>
      </c>
      <c r="E4929" s="189" t="s">
        <v>27000</v>
      </c>
      <c r="F4929" s="190"/>
      <c r="G4929" s="190"/>
      <c r="H4929" s="219"/>
      <c r="I4929" s="169">
        <v>105770</v>
      </c>
      <c r="J4929" s="304" t="str">
        <f>CONCATENATE([2]Cover!$D$6,"fdd/view?i=",I4929)</f>
        <v>https://www.dgiwg.org/FAD/fdd/view?i=105770</v>
      </c>
      <c r="K4929" s="304" t="s">
        <v>38978</v>
      </c>
      <c r="L4929" s="188">
        <v>2</v>
      </c>
      <c r="M4929" s="179" t="s">
        <v>151</v>
      </c>
    </row>
    <row r="4930" spans="1:13" ht="25.5">
      <c r="A4930" s="313" t="str">
        <f t="shared" si="76"/>
        <v>MineCablelessControlCode_frequencyCommsLink</v>
      </c>
      <c r="B4930" s="331"/>
      <c r="C4930" s="335"/>
      <c r="D4930" s="181" t="s">
        <v>27001</v>
      </c>
      <c r="E4930" s="192" t="s">
        <v>27002</v>
      </c>
      <c r="F4930" s="194"/>
      <c r="G4930" s="194"/>
      <c r="H4930" s="220"/>
      <c r="I4930" s="169">
        <v>105769</v>
      </c>
      <c r="J4930" s="304" t="str">
        <f>CONCATENATE([2]Cover!$D$6,"fdd/view?i=",I4930)</f>
        <v>https://www.dgiwg.org/FAD/fdd/view?i=105769</v>
      </c>
      <c r="K4930" s="304" t="s">
        <v>38979</v>
      </c>
      <c r="L4930" s="181">
        <v>1</v>
      </c>
      <c r="M4930" s="179" t="s">
        <v>151</v>
      </c>
    </row>
    <row r="4931" spans="1:13" ht="25.5">
      <c r="A4931" s="313" t="str">
        <f t="shared" ref="A4931:A4994" si="77">HYPERLINK(J4931,K4931)</f>
        <v>MineControlMethodCode_cable</v>
      </c>
      <c r="B4931" s="332" t="str">
        <f>HYPERLINK("[#]Datatypes!A884:L884","MineControlMethodCode")</f>
        <v>MineControlMethodCode</v>
      </c>
      <c r="C4931" s="333" t="s">
        <v>12470</v>
      </c>
      <c r="D4931" s="202" t="s">
        <v>18136</v>
      </c>
      <c r="E4931" s="203" t="s">
        <v>1774</v>
      </c>
      <c r="F4931" s="204" t="s">
        <v>27003</v>
      </c>
      <c r="G4931" s="205"/>
      <c r="H4931" s="218"/>
      <c r="I4931" s="169">
        <v>105756</v>
      </c>
      <c r="J4931" s="304" t="str">
        <f>CONCATENATE([2]Cover!$D$6,"fdd/view?i=",I4931)</f>
        <v>https://www.dgiwg.org/FAD/fdd/view?i=105756</v>
      </c>
      <c r="K4931" s="304" t="s">
        <v>38980</v>
      </c>
      <c r="L4931" s="202">
        <v>1</v>
      </c>
      <c r="M4931" s="179" t="s">
        <v>151</v>
      </c>
    </row>
    <row r="4932" spans="1:13" ht="38.25">
      <c r="A4932" s="313" t="str">
        <f t="shared" si="77"/>
        <v>MineControlMethodCode_cableless</v>
      </c>
      <c r="B4932" s="331"/>
      <c r="C4932" s="335"/>
      <c r="D4932" s="181" t="s">
        <v>27004</v>
      </c>
      <c r="E4932" s="192" t="s">
        <v>27005</v>
      </c>
      <c r="F4932" s="193" t="s">
        <v>27006</v>
      </c>
      <c r="G4932" s="193" t="s">
        <v>27007</v>
      </c>
      <c r="H4932" s="220"/>
      <c r="I4932" s="169">
        <v>105757</v>
      </c>
      <c r="J4932" s="304" t="str">
        <f>CONCATENATE([2]Cover!$D$6,"fdd/view?i=",I4932)</f>
        <v>https://www.dgiwg.org/FAD/fdd/view?i=105757</v>
      </c>
      <c r="K4932" s="304" t="s">
        <v>38981</v>
      </c>
      <c r="L4932" s="181">
        <v>2</v>
      </c>
      <c r="M4932" s="179" t="s">
        <v>151</v>
      </c>
    </row>
    <row r="4933" spans="1:13" ht="25.5">
      <c r="A4933" s="313" t="str">
        <f t="shared" si="77"/>
        <v>MineMagneticSensitivityCode_coarse</v>
      </c>
      <c r="B4933" s="332" t="str">
        <f>HYPERLINK("[#]Datatypes!A886:L886","MineMagneticSensitivityCode")</f>
        <v>MineMagneticSensitivityCode</v>
      </c>
      <c r="C4933" s="333" t="s">
        <v>12472</v>
      </c>
      <c r="D4933" s="202" t="s">
        <v>27008</v>
      </c>
      <c r="E4933" s="203" t="s">
        <v>27009</v>
      </c>
      <c r="F4933" s="204" t="s">
        <v>27010</v>
      </c>
      <c r="G4933" s="204" t="s">
        <v>27011</v>
      </c>
      <c r="H4933" s="218"/>
      <c r="I4933" s="169">
        <v>105702</v>
      </c>
      <c r="J4933" s="304" t="str">
        <f>CONCATENATE([2]Cover!$D$6,"fdd/view?i=",I4933)</f>
        <v>https://www.dgiwg.org/FAD/fdd/view?i=105702</v>
      </c>
      <c r="K4933" s="304" t="s">
        <v>38982</v>
      </c>
      <c r="L4933" s="202">
        <v>3</v>
      </c>
      <c r="M4933" s="179" t="s">
        <v>151</v>
      </c>
    </row>
    <row r="4934" spans="1:13" ht="25.5">
      <c r="A4934" s="313" t="str">
        <f t="shared" si="77"/>
        <v>MineMagneticSensitivityCode_magHorizontalComp</v>
      </c>
      <c r="B4934" s="330"/>
      <c r="C4934" s="334"/>
      <c r="D4934" s="188" t="s">
        <v>27012</v>
      </c>
      <c r="E4934" s="189" t="s">
        <v>27013</v>
      </c>
      <c r="F4934" s="162" t="s">
        <v>27014</v>
      </c>
      <c r="G4934" s="190"/>
      <c r="H4934" s="219"/>
      <c r="I4934" s="169">
        <v>105704</v>
      </c>
      <c r="J4934" s="304" t="str">
        <f>CONCATENATE([2]Cover!$D$6,"fdd/view?i=",I4934)</f>
        <v>https://www.dgiwg.org/FAD/fdd/view?i=105704</v>
      </c>
      <c r="K4934" s="304" t="s">
        <v>38983</v>
      </c>
      <c r="L4934" s="188">
        <v>5</v>
      </c>
      <c r="M4934" s="179" t="s">
        <v>151</v>
      </c>
    </row>
    <row r="4935" spans="1:13" ht="25.5">
      <c r="A4935" s="313" t="str">
        <f t="shared" si="77"/>
        <v>MineMagneticSensitivityCode_magTotalComp</v>
      </c>
      <c r="B4935" s="330"/>
      <c r="C4935" s="334"/>
      <c r="D4935" s="188" t="s">
        <v>27015</v>
      </c>
      <c r="E4935" s="189" t="s">
        <v>27016</v>
      </c>
      <c r="F4935" s="162" t="s">
        <v>27017</v>
      </c>
      <c r="G4935" s="190"/>
      <c r="H4935" s="219"/>
      <c r="I4935" s="169">
        <v>105706</v>
      </c>
      <c r="J4935" s="304" t="str">
        <f>CONCATENATE([2]Cover!$D$6,"fdd/view?i=",I4935)</f>
        <v>https://www.dgiwg.org/FAD/fdd/view?i=105706</v>
      </c>
      <c r="K4935" s="304" t="s">
        <v>38984</v>
      </c>
      <c r="L4935" s="188">
        <v>7</v>
      </c>
      <c r="M4935" s="179" t="s">
        <v>151</v>
      </c>
    </row>
    <row r="4936" spans="1:13" ht="25.5">
      <c r="A4936" s="313" t="str">
        <f t="shared" si="77"/>
        <v>MineMagneticSensitivityCode_magVerticalComp</v>
      </c>
      <c r="B4936" s="330"/>
      <c r="C4936" s="334"/>
      <c r="D4936" s="188" t="s">
        <v>27018</v>
      </c>
      <c r="E4936" s="189" t="s">
        <v>27019</v>
      </c>
      <c r="F4936" s="162" t="s">
        <v>27020</v>
      </c>
      <c r="G4936" s="190"/>
      <c r="H4936" s="219"/>
      <c r="I4936" s="169">
        <v>105705</v>
      </c>
      <c r="J4936" s="304" t="str">
        <f>CONCATENATE([2]Cover!$D$6,"fdd/view?i=",I4936)</f>
        <v>https://www.dgiwg.org/FAD/fdd/view?i=105705</v>
      </c>
      <c r="K4936" s="304" t="s">
        <v>38985</v>
      </c>
      <c r="L4936" s="188">
        <v>6</v>
      </c>
      <c r="M4936" s="179" t="s">
        <v>151</v>
      </c>
    </row>
    <row r="4937" spans="1:13" ht="38.25">
      <c r="A4937" s="313" t="str">
        <f t="shared" si="77"/>
        <v>MineMagneticSensitivityCode_midSensitive</v>
      </c>
      <c r="B4937" s="330"/>
      <c r="C4937" s="334"/>
      <c r="D4937" s="188" t="s">
        <v>27021</v>
      </c>
      <c r="E4937" s="189" t="s">
        <v>27022</v>
      </c>
      <c r="F4937" s="162" t="s">
        <v>27023</v>
      </c>
      <c r="G4937" s="162" t="s">
        <v>27024</v>
      </c>
      <c r="H4937" s="219"/>
      <c r="I4937" s="169">
        <v>105701</v>
      </c>
      <c r="J4937" s="304" t="str">
        <f>CONCATENATE([2]Cover!$D$6,"fdd/view?i=",I4937)</f>
        <v>https://www.dgiwg.org/FAD/fdd/view?i=105701</v>
      </c>
      <c r="K4937" s="304" t="s">
        <v>38986</v>
      </c>
      <c r="L4937" s="188">
        <v>2</v>
      </c>
      <c r="M4937" s="179" t="s">
        <v>151</v>
      </c>
    </row>
    <row r="4938" spans="1:13" ht="38.25">
      <c r="A4938" s="313" t="str">
        <f t="shared" si="77"/>
        <v>MineMagneticSensitivityCode_sensitive</v>
      </c>
      <c r="B4938" s="330"/>
      <c r="C4938" s="334"/>
      <c r="D4938" s="188" t="s">
        <v>27025</v>
      </c>
      <c r="E4938" s="189" t="s">
        <v>27026</v>
      </c>
      <c r="F4938" s="162" t="s">
        <v>27027</v>
      </c>
      <c r="G4938" s="162" t="s">
        <v>27028</v>
      </c>
      <c r="H4938" s="219"/>
      <c r="I4938" s="169">
        <v>105700</v>
      </c>
      <c r="J4938" s="304" t="str">
        <f>CONCATENATE([2]Cover!$D$6,"fdd/view?i=",I4938)</f>
        <v>https://www.dgiwg.org/FAD/fdd/view?i=105700</v>
      </c>
      <c r="K4938" s="304" t="s">
        <v>38987</v>
      </c>
      <c r="L4938" s="188">
        <v>1</v>
      </c>
      <c r="M4938" s="179" t="s">
        <v>151</v>
      </c>
    </row>
    <row r="4939" spans="1:13" ht="63.75">
      <c r="A4939" s="313" t="str">
        <f t="shared" si="77"/>
        <v>MineMagneticSensitivityCode_verySensitive</v>
      </c>
      <c r="B4939" s="331"/>
      <c r="C4939" s="335"/>
      <c r="D4939" s="181" t="s">
        <v>27029</v>
      </c>
      <c r="E4939" s="192" t="s">
        <v>27030</v>
      </c>
      <c r="F4939" s="193" t="s">
        <v>27031</v>
      </c>
      <c r="G4939" s="193" t="s">
        <v>27032</v>
      </c>
      <c r="H4939" s="220"/>
      <c r="I4939" s="169">
        <v>105703</v>
      </c>
      <c r="J4939" s="304" t="str">
        <f>CONCATENATE([2]Cover!$D$6,"fdd/view?i=",I4939)</f>
        <v>https://www.dgiwg.org/FAD/fdd/view?i=105703</v>
      </c>
      <c r="K4939" s="304" t="s">
        <v>38988</v>
      </c>
      <c r="L4939" s="181">
        <v>4</v>
      </c>
      <c r="M4939" s="179" t="s">
        <v>151</v>
      </c>
    </row>
    <row r="4940" spans="1:13" ht="25.5">
      <c r="A4940" s="313" t="str">
        <f t="shared" si="77"/>
        <v>MineSelfActuationMethodCode_contact</v>
      </c>
      <c r="B4940" s="332" t="str">
        <f>HYPERLINK("[#]Datatypes!A888:L888","MineSelfActuationMethodCode")</f>
        <v>MineSelfActuationMethodCode</v>
      </c>
      <c r="C4940" s="333" t="s">
        <v>12474</v>
      </c>
      <c r="D4940" s="202" t="s">
        <v>8333</v>
      </c>
      <c r="E4940" s="203" t="s">
        <v>11842</v>
      </c>
      <c r="F4940" s="204" t="s">
        <v>27033</v>
      </c>
      <c r="G4940" s="204" t="s">
        <v>27034</v>
      </c>
      <c r="H4940" s="218"/>
      <c r="I4940" s="169">
        <v>105762</v>
      </c>
      <c r="J4940" s="304" t="str">
        <f>CONCATENATE([2]Cover!$D$6,"fdd/view?i=",I4940)</f>
        <v>https://www.dgiwg.org/FAD/fdd/view?i=105762</v>
      </c>
      <c r="K4940" s="304" t="s">
        <v>38989</v>
      </c>
      <c r="L4940" s="202">
        <v>1</v>
      </c>
      <c r="M4940" s="179" t="s">
        <v>151</v>
      </c>
    </row>
    <row r="4941" spans="1:13" ht="38.25">
      <c r="A4941" s="313" t="str">
        <f t="shared" si="77"/>
        <v>MineSelfActuationMethodCode_influence</v>
      </c>
      <c r="B4941" s="330"/>
      <c r="C4941" s="334"/>
      <c r="D4941" s="188" t="s">
        <v>27035</v>
      </c>
      <c r="E4941" s="189" t="s">
        <v>27036</v>
      </c>
      <c r="F4941" s="162" t="s">
        <v>27037</v>
      </c>
      <c r="G4941" s="162" t="s">
        <v>27038</v>
      </c>
      <c r="H4941" s="219"/>
      <c r="I4941" s="169">
        <v>105763</v>
      </c>
      <c r="J4941" s="304" t="str">
        <f>CONCATENATE([2]Cover!$D$6,"fdd/view?i=",I4941)</f>
        <v>https://www.dgiwg.org/FAD/fdd/view?i=105763</v>
      </c>
      <c r="K4941" s="304" t="s">
        <v>38990</v>
      </c>
      <c r="L4941" s="188">
        <v>2</v>
      </c>
      <c r="M4941" s="179" t="s">
        <v>151</v>
      </c>
    </row>
    <row r="4942" spans="1:13" ht="38.25">
      <c r="A4942" s="313" t="str">
        <f t="shared" si="77"/>
        <v>MineSelfActuationMethodCode_remoteSensing</v>
      </c>
      <c r="B4942" s="331"/>
      <c r="C4942" s="335"/>
      <c r="D4942" s="181" t="s">
        <v>27039</v>
      </c>
      <c r="E4942" s="192" t="s">
        <v>27040</v>
      </c>
      <c r="F4942" s="193" t="s">
        <v>27041</v>
      </c>
      <c r="G4942" s="193" t="s">
        <v>27042</v>
      </c>
      <c r="H4942" s="220"/>
      <c r="I4942" s="169">
        <v>105764</v>
      </c>
      <c r="J4942" s="304" t="str">
        <f>CONCATENATE([2]Cover!$D$6,"fdd/view?i=",I4942)</f>
        <v>https://www.dgiwg.org/FAD/fdd/view?i=105764</v>
      </c>
      <c r="K4942" s="304" t="s">
        <v>38991</v>
      </c>
      <c r="L4942" s="181">
        <v>3</v>
      </c>
      <c r="M4942" s="179" t="s">
        <v>151</v>
      </c>
    </row>
    <row r="4943" spans="1:13" ht="38.25">
      <c r="A4943" s="313" t="str">
        <f t="shared" si="77"/>
        <v>MineSpecialCapabilityCode_anticountermining</v>
      </c>
      <c r="B4943" s="332" t="str">
        <f>HYPERLINK("[#]Datatypes!A890:L890","MineSpecialCapabilityCode")</f>
        <v>MineSpecialCapabilityCode</v>
      </c>
      <c r="C4943" s="333" t="s">
        <v>12476</v>
      </c>
      <c r="D4943" s="202" t="s">
        <v>27043</v>
      </c>
      <c r="E4943" s="203" t="s">
        <v>27044</v>
      </c>
      <c r="F4943" s="204" t="s">
        <v>27045</v>
      </c>
      <c r="G4943" s="205"/>
      <c r="H4943" s="218"/>
      <c r="I4943" s="169">
        <v>110263</v>
      </c>
      <c r="J4943" s="304" t="str">
        <f>CONCATENATE([2]Cover!$D$6,"fdd/view?i=",I4943)</f>
        <v>https://www.dgiwg.org/FAD/fdd/view?i=110263</v>
      </c>
      <c r="K4943" s="304" t="s">
        <v>38992</v>
      </c>
      <c r="L4943" s="202">
        <v>12</v>
      </c>
      <c r="M4943" s="179" t="s">
        <v>151</v>
      </c>
    </row>
    <row r="4944" spans="1:13" ht="25.5">
      <c r="A4944" s="313" t="str">
        <f t="shared" si="77"/>
        <v>MineSpecialCapabilityCode_antiHunting</v>
      </c>
      <c r="B4944" s="330"/>
      <c r="C4944" s="334"/>
      <c r="D4944" s="188" t="s">
        <v>27046</v>
      </c>
      <c r="E4944" s="189" t="s">
        <v>27047</v>
      </c>
      <c r="F4944" s="162" t="s">
        <v>27048</v>
      </c>
      <c r="G4944" s="162" t="s">
        <v>27049</v>
      </c>
      <c r="H4944" s="219"/>
      <c r="I4944" s="169">
        <v>105854</v>
      </c>
      <c r="J4944" s="304" t="str">
        <f>CONCATENATE([2]Cover!$D$6,"fdd/view?i=",I4944)</f>
        <v>https://www.dgiwg.org/FAD/fdd/view?i=105854</v>
      </c>
      <c r="K4944" s="304" t="s">
        <v>38993</v>
      </c>
      <c r="L4944" s="188">
        <v>11</v>
      </c>
      <c r="M4944" s="179" t="s">
        <v>151</v>
      </c>
    </row>
    <row r="4945" spans="1:13" ht="25.5">
      <c r="A4945" s="313" t="str">
        <f t="shared" si="77"/>
        <v>MineSpecialCapabilityCode_antilift</v>
      </c>
      <c r="B4945" s="330"/>
      <c r="C4945" s="334"/>
      <c r="D4945" s="188" t="s">
        <v>27050</v>
      </c>
      <c r="E4945" s="189" t="s">
        <v>27051</v>
      </c>
      <c r="F4945" s="162" t="s">
        <v>27052</v>
      </c>
      <c r="G4945" s="190"/>
      <c r="H4945" s="219"/>
      <c r="I4945" s="169">
        <v>110264</v>
      </c>
      <c r="J4945" s="304" t="str">
        <f>CONCATENATE([2]Cover!$D$6,"fdd/view?i=",I4945)</f>
        <v>https://www.dgiwg.org/FAD/fdd/view?i=110264</v>
      </c>
      <c r="K4945" s="304" t="s">
        <v>38994</v>
      </c>
      <c r="L4945" s="188">
        <v>13</v>
      </c>
      <c r="M4945" s="179" t="s">
        <v>151</v>
      </c>
    </row>
    <row r="4946" spans="1:13" ht="38.25">
      <c r="A4946" s="313" t="str">
        <f t="shared" si="77"/>
        <v>MineSpecialCapabilityCode_antiRecovery</v>
      </c>
      <c r="B4946" s="330"/>
      <c r="C4946" s="334"/>
      <c r="D4946" s="188" t="s">
        <v>27053</v>
      </c>
      <c r="E4946" s="189" t="s">
        <v>27054</v>
      </c>
      <c r="F4946" s="162" t="s">
        <v>27055</v>
      </c>
      <c r="G4946" s="162" t="s">
        <v>27056</v>
      </c>
      <c r="H4946" s="219"/>
      <c r="I4946" s="169">
        <v>105853</v>
      </c>
      <c r="J4946" s="304" t="str">
        <f>CONCATENATE([2]Cover!$D$6,"fdd/view?i=",I4946)</f>
        <v>https://www.dgiwg.org/FAD/fdd/view?i=105853</v>
      </c>
      <c r="K4946" s="304" t="s">
        <v>38995</v>
      </c>
      <c r="L4946" s="188">
        <v>10</v>
      </c>
      <c r="M4946" s="179" t="s">
        <v>151</v>
      </c>
    </row>
    <row r="4947" spans="1:13" ht="38.25">
      <c r="A4947" s="313" t="str">
        <f t="shared" si="77"/>
        <v>MineSpecialCapabilityCode_antiSweepWire</v>
      </c>
      <c r="B4947" s="330"/>
      <c r="C4947" s="334"/>
      <c r="D4947" s="188" t="s">
        <v>27057</v>
      </c>
      <c r="E4947" s="189" t="s">
        <v>27058</v>
      </c>
      <c r="F4947" s="162" t="s">
        <v>27059</v>
      </c>
      <c r="G4947" s="162" t="s">
        <v>27060</v>
      </c>
      <c r="H4947" s="219"/>
      <c r="I4947" s="169">
        <v>105852</v>
      </c>
      <c r="J4947" s="304" t="str">
        <f>CONCATENATE([2]Cover!$D$6,"fdd/view?i=",I4947)</f>
        <v>https://www.dgiwg.org/FAD/fdd/view?i=105852</v>
      </c>
      <c r="K4947" s="304" t="s">
        <v>38996</v>
      </c>
      <c r="L4947" s="188">
        <v>9</v>
      </c>
      <c r="M4947" s="179" t="s">
        <v>151</v>
      </c>
    </row>
    <row r="4948" spans="1:13" ht="38.25">
      <c r="A4948" s="313" t="str">
        <f t="shared" si="77"/>
        <v>MineSpecialCapabilityCode_antiwatching</v>
      </c>
      <c r="B4948" s="330"/>
      <c r="C4948" s="334"/>
      <c r="D4948" s="188" t="s">
        <v>27061</v>
      </c>
      <c r="E4948" s="189" t="s">
        <v>27062</v>
      </c>
      <c r="F4948" s="162" t="s">
        <v>27063</v>
      </c>
      <c r="G4948" s="190"/>
      <c r="H4948" s="219"/>
      <c r="I4948" s="169">
        <v>105851</v>
      </c>
      <c r="J4948" s="304" t="str">
        <f>CONCATENATE([2]Cover!$D$6,"fdd/view?i=",I4948)</f>
        <v>https://www.dgiwg.org/FAD/fdd/view?i=105851</v>
      </c>
      <c r="K4948" s="304" t="s">
        <v>38997</v>
      </c>
      <c r="L4948" s="188">
        <v>8</v>
      </c>
      <c r="M4948" s="179" t="s">
        <v>151</v>
      </c>
    </row>
    <row r="4949" spans="1:13" ht="25.5">
      <c r="A4949" s="313" t="str">
        <f t="shared" si="77"/>
        <v>MineSpecialCapabilityCode_armingDelay</v>
      </c>
      <c r="B4949" s="330"/>
      <c r="C4949" s="334"/>
      <c r="D4949" s="188" t="s">
        <v>27064</v>
      </c>
      <c r="E4949" s="189" t="s">
        <v>27065</v>
      </c>
      <c r="F4949" s="162" t="s">
        <v>27066</v>
      </c>
      <c r="G4949" s="190"/>
      <c r="H4949" s="219"/>
      <c r="I4949" s="169">
        <v>105844</v>
      </c>
      <c r="J4949" s="304" t="str">
        <f>CONCATENATE([2]Cover!$D$6,"fdd/view?i=",I4949)</f>
        <v>https://www.dgiwg.org/FAD/fdd/view?i=105844</v>
      </c>
      <c r="K4949" s="304" t="s">
        <v>38998</v>
      </c>
      <c r="L4949" s="188">
        <v>1</v>
      </c>
      <c r="M4949" s="179" t="s">
        <v>151</v>
      </c>
    </row>
    <row r="4950" spans="1:13" ht="25.5">
      <c r="A4950" s="313" t="str">
        <f t="shared" si="77"/>
        <v>MineSpecialCapabilityCode_delayedRising</v>
      </c>
      <c r="B4950" s="330"/>
      <c r="C4950" s="334"/>
      <c r="D4950" s="188" t="s">
        <v>27067</v>
      </c>
      <c r="E4950" s="189" t="s">
        <v>27068</v>
      </c>
      <c r="F4950" s="162" t="s">
        <v>27069</v>
      </c>
      <c r="G4950" s="190"/>
      <c r="H4950" s="219"/>
      <c r="I4950" s="169">
        <v>105847</v>
      </c>
      <c r="J4950" s="304" t="str">
        <f>CONCATENATE([2]Cover!$D$6,"fdd/view?i=",I4950)</f>
        <v>https://www.dgiwg.org/FAD/fdd/view?i=105847</v>
      </c>
      <c r="K4950" s="304" t="s">
        <v>38999</v>
      </c>
      <c r="L4950" s="188">
        <v>4</v>
      </c>
      <c r="M4950" s="179" t="s">
        <v>151</v>
      </c>
    </row>
    <row r="4951" spans="1:13" ht="25.5">
      <c r="A4951" s="313" t="str">
        <f t="shared" si="77"/>
        <v>MineSpecialCapabilityCode_flooder</v>
      </c>
      <c r="B4951" s="330"/>
      <c r="C4951" s="334"/>
      <c r="D4951" s="188" t="s">
        <v>26960</v>
      </c>
      <c r="E4951" s="189" t="s">
        <v>26961</v>
      </c>
      <c r="F4951" s="162" t="s">
        <v>27070</v>
      </c>
      <c r="G4951" s="190"/>
      <c r="H4951" s="219"/>
      <c r="I4951" s="169">
        <v>105850</v>
      </c>
      <c r="J4951" s="304" t="str">
        <f>CONCATENATE([2]Cover!$D$6,"fdd/view?i=",I4951)</f>
        <v>https://www.dgiwg.org/FAD/fdd/view?i=105850</v>
      </c>
      <c r="K4951" s="304" t="s">
        <v>39000</v>
      </c>
      <c r="L4951" s="188">
        <v>7</v>
      </c>
      <c r="M4951" s="179" t="s">
        <v>151</v>
      </c>
    </row>
    <row r="4952" spans="1:13" ht="25.5">
      <c r="A4952" s="313" t="str">
        <f t="shared" si="77"/>
        <v>MineSpecialCapabilityCode_influenceReleaseSinker</v>
      </c>
      <c r="B4952" s="330"/>
      <c r="C4952" s="334"/>
      <c r="D4952" s="188" t="s">
        <v>27071</v>
      </c>
      <c r="E4952" s="189" t="s">
        <v>27072</v>
      </c>
      <c r="F4952" s="162" t="s">
        <v>27073</v>
      </c>
      <c r="G4952" s="190"/>
      <c r="H4952" s="219"/>
      <c r="I4952" s="169">
        <v>110265</v>
      </c>
      <c r="J4952" s="304" t="str">
        <f>CONCATENATE([2]Cover!$D$6,"fdd/view?i=",I4952)</f>
        <v>https://www.dgiwg.org/FAD/fdd/view?i=110265</v>
      </c>
      <c r="K4952" s="304" t="s">
        <v>39001</v>
      </c>
      <c r="L4952" s="188">
        <v>14</v>
      </c>
      <c r="M4952" s="179" t="s">
        <v>151</v>
      </c>
    </row>
    <row r="4953" spans="1:13" ht="25.5">
      <c r="A4953" s="313" t="str">
        <f t="shared" si="77"/>
        <v>MineSpecialCapabilityCode_intermittentArming</v>
      </c>
      <c r="B4953" s="330"/>
      <c r="C4953" s="334"/>
      <c r="D4953" s="188" t="s">
        <v>27074</v>
      </c>
      <c r="E4953" s="189" t="s">
        <v>27075</v>
      </c>
      <c r="F4953" s="162" t="s">
        <v>27076</v>
      </c>
      <c r="G4953" s="190"/>
      <c r="H4953" s="219"/>
      <c r="I4953" s="169">
        <v>105846</v>
      </c>
      <c r="J4953" s="304" t="str">
        <f>CONCATENATE([2]Cover!$D$6,"fdd/view?i=",I4953)</f>
        <v>https://www.dgiwg.org/FAD/fdd/view?i=105846</v>
      </c>
      <c r="K4953" s="304" t="s">
        <v>39002</v>
      </c>
      <c r="L4953" s="188">
        <v>3</v>
      </c>
      <c r="M4953" s="179" t="s">
        <v>151</v>
      </c>
    </row>
    <row r="4954" spans="1:13" ht="25.5">
      <c r="A4954" s="313" t="str">
        <f t="shared" si="77"/>
        <v>MineSpecialCapabilityCode_obstructor</v>
      </c>
      <c r="B4954" s="330"/>
      <c r="C4954" s="334"/>
      <c r="D4954" s="188" t="s">
        <v>27077</v>
      </c>
      <c r="E4954" s="189" t="s">
        <v>27078</v>
      </c>
      <c r="F4954" s="162" t="s">
        <v>27079</v>
      </c>
      <c r="G4954" s="190"/>
      <c r="H4954" s="219"/>
      <c r="I4954" s="169">
        <v>105848</v>
      </c>
      <c r="J4954" s="304" t="str">
        <f>CONCATENATE([2]Cover!$D$6,"fdd/view?i=",I4954)</f>
        <v>https://www.dgiwg.org/FAD/fdd/view?i=105848</v>
      </c>
      <c r="K4954" s="304" t="s">
        <v>39003</v>
      </c>
      <c r="L4954" s="188">
        <v>5</v>
      </c>
      <c r="M4954" s="179" t="s">
        <v>151</v>
      </c>
    </row>
    <row r="4955" spans="1:13" ht="25.5">
      <c r="A4955" s="313" t="str">
        <f t="shared" si="77"/>
        <v>MineSpecialCapabilityCode_sterilizer</v>
      </c>
      <c r="B4955" s="330"/>
      <c r="C4955" s="334"/>
      <c r="D4955" s="188" t="s">
        <v>27080</v>
      </c>
      <c r="E4955" s="189" t="s">
        <v>27081</v>
      </c>
      <c r="F4955" s="162" t="s">
        <v>27082</v>
      </c>
      <c r="G4955" s="190"/>
      <c r="H4955" s="219"/>
      <c r="I4955" s="169">
        <v>105849</v>
      </c>
      <c r="J4955" s="304" t="str">
        <f>CONCATENATE([2]Cover!$D$6,"fdd/view?i=",I4955)</f>
        <v>https://www.dgiwg.org/FAD/fdd/view?i=105849</v>
      </c>
      <c r="K4955" s="304" t="s">
        <v>39004</v>
      </c>
      <c r="L4955" s="188">
        <v>6</v>
      </c>
      <c r="M4955" s="179" t="s">
        <v>151</v>
      </c>
    </row>
    <row r="4956" spans="1:13" ht="25.5">
      <c r="A4956" s="313" t="str">
        <f t="shared" si="77"/>
        <v>MineSpecialCapabilityCode_vesselCount</v>
      </c>
      <c r="B4956" s="331"/>
      <c r="C4956" s="335"/>
      <c r="D4956" s="181" t="s">
        <v>27083</v>
      </c>
      <c r="E4956" s="192" t="s">
        <v>27084</v>
      </c>
      <c r="F4956" s="193" t="s">
        <v>27085</v>
      </c>
      <c r="G4956" s="194"/>
      <c r="H4956" s="220"/>
      <c r="I4956" s="169">
        <v>105845</v>
      </c>
      <c r="J4956" s="304" t="str">
        <f>CONCATENATE([2]Cover!$D$6,"fdd/view?i=",I4956)</f>
        <v>https://www.dgiwg.org/FAD/fdd/view?i=105845</v>
      </c>
      <c r="K4956" s="304" t="s">
        <v>39005</v>
      </c>
      <c r="L4956" s="181">
        <v>2</v>
      </c>
      <c r="M4956" s="179" t="s">
        <v>151</v>
      </c>
    </row>
    <row r="4957" spans="1:13" ht="51">
      <c r="A4957" s="313" t="str">
        <f t="shared" si="77"/>
        <v>MinehuntingStatusCode_classified</v>
      </c>
      <c r="B4957" s="332" t="str">
        <f>HYPERLINK("[#]Datatypes!A892:L892","MinehuntingStatusCode")</f>
        <v>MinehuntingStatusCode</v>
      </c>
      <c r="C4957" s="333" t="s">
        <v>12478</v>
      </c>
      <c r="D4957" s="202" t="s">
        <v>18070</v>
      </c>
      <c r="E4957" s="203" t="s">
        <v>18071</v>
      </c>
      <c r="F4957" s="204" t="s">
        <v>27086</v>
      </c>
      <c r="G4957" s="205"/>
      <c r="H4957" s="218"/>
      <c r="I4957" s="169">
        <v>111121</v>
      </c>
      <c r="J4957" s="304" t="str">
        <f>CONCATENATE([2]Cover!$D$6,"fdd/view?i=",I4957)</f>
        <v>https://www.dgiwg.org/FAD/fdd/view?i=111121</v>
      </c>
      <c r="K4957" s="304" t="s">
        <v>39006</v>
      </c>
      <c r="L4957" s="202">
        <v>2</v>
      </c>
      <c r="M4957" s="179" t="s">
        <v>151</v>
      </c>
    </row>
    <row r="4958" spans="1:13" ht="51">
      <c r="A4958" s="313" t="str">
        <f t="shared" si="77"/>
        <v>MinehuntingStatusCode_detected</v>
      </c>
      <c r="B4958" s="330"/>
      <c r="C4958" s="334"/>
      <c r="D4958" s="188" t="s">
        <v>18074</v>
      </c>
      <c r="E4958" s="189" t="s">
        <v>18075</v>
      </c>
      <c r="F4958" s="162" t="s">
        <v>27087</v>
      </c>
      <c r="G4958" s="190"/>
      <c r="H4958" s="219"/>
      <c r="I4958" s="169">
        <v>111120</v>
      </c>
      <c r="J4958" s="304" t="str">
        <f>CONCATENATE([2]Cover!$D$6,"fdd/view?i=",I4958)</f>
        <v>https://www.dgiwg.org/FAD/fdd/view?i=111120</v>
      </c>
      <c r="K4958" s="304" t="s">
        <v>39007</v>
      </c>
      <c r="L4958" s="188">
        <v>1</v>
      </c>
      <c r="M4958" s="179" t="s">
        <v>151</v>
      </c>
    </row>
    <row r="4959" spans="1:13" ht="38.25">
      <c r="A4959" s="313" t="str">
        <f t="shared" si="77"/>
        <v>MinehuntingStatusCode_identified</v>
      </c>
      <c r="B4959" s="331"/>
      <c r="C4959" s="335"/>
      <c r="D4959" s="181" t="s">
        <v>18078</v>
      </c>
      <c r="E4959" s="192" t="s">
        <v>18079</v>
      </c>
      <c r="F4959" s="193" t="s">
        <v>27088</v>
      </c>
      <c r="G4959" s="193" t="s">
        <v>27089</v>
      </c>
      <c r="H4959" s="220"/>
      <c r="I4959" s="169">
        <v>111122</v>
      </c>
      <c r="J4959" s="304" t="str">
        <f>CONCATENATE([2]Cover!$D$6,"fdd/view?i=",I4959)</f>
        <v>https://www.dgiwg.org/FAD/fdd/view?i=111122</v>
      </c>
      <c r="K4959" s="304" t="s">
        <v>39008</v>
      </c>
      <c r="L4959" s="181">
        <v>3</v>
      </c>
      <c r="M4959" s="179" t="s">
        <v>151</v>
      </c>
    </row>
    <row r="4960" spans="1:13" ht="25.5">
      <c r="A4960" s="313" t="str">
        <f t="shared" si="77"/>
        <v>MissileSiteTypeCode_antiBallisticMissile</v>
      </c>
      <c r="B4960" s="332" t="str">
        <f>HYPERLINK("[#]Datatypes!A896:L896","MissileSiteTypeCode")</f>
        <v>MissileSiteTypeCode</v>
      </c>
      <c r="C4960" s="333" t="s">
        <v>12483</v>
      </c>
      <c r="D4960" s="202" t="s">
        <v>27090</v>
      </c>
      <c r="E4960" s="203" t="s">
        <v>27091</v>
      </c>
      <c r="F4960" s="204" t="s">
        <v>27092</v>
      </c>
      <c r="G4960" s="204" t="s">
        <v>27093</v>
      </c>
      <c r="H4960" s="218"/>
      <c r="I4960" s="169">
        <v>105892</v>
      </c>
      <c r="J4960" s="304" t="str">
        <f>CONCATENATE([2]Cover!$D$6,"fdd/view?i=",I4960)</f>
        <v>https://www.dgiwg.org/FAD/fdd/view?i=105892</v>
      </c>
      <c r="K4960" s="304" t="s">
        <v>39009</v>
      </c>
      <c r="L4960" s="202">
        <v>1</v>
      </c>
      <c r="M4960" s="179" t="s">
        <v>151</v>
      </c>
    </row>
    <row r="4961" spans="1:13" ht="38.25">
      <c r="A4961" s="313" t="str">
        <f t="shared" si="77"/>
        <v>MissileSiteTypeCode_intercontBallisticMissile</v>
      </c>
      <c r="B4961" s="330"/>
      <c r="C4961" s="334"/>
      <c r="D4961" s="188" t="s">
        <v>27094</v>
      </c>
      <c r="E4961" s="189" t="s">
        <v>27095</v>
      </c>
      <c r="F4961" s="162" t="s">
        <v>27096</v>
      </c>
      <c r="G4961" s="162" t="s">
        <v>27097</v>
      </c>
      <c r="H4961" s="219"/>
      <c r="I4961" s="169">
        <v>105893</v>
      </c>
      <c r="J4961" s="304" t="str">
        <f>CONCATENATE([2]Cover!$D$6,"fdd/view?i=",I4961)</f>
        <v>https://www.dgiwg.org/FAD/fdd/view?i=105893</v>
      </c>
      <c r="K4961" s="304" t="s">
        <v>39010</v>
      </c>
      <c r="L4961" s="188">
        <v>2</v>
      </c>
      <c r="M4961" s="179" t="s">
        <v>151</v>
      </c>
    </row>
    <row r="4962" spans="1:13" ht="38.25">
      <c r="A4962" s="313" t="str">
        <f t="shared" si="77"/>
        <v>MissileSiteTypeCode_intermedBallisticMissile</v>
      </c>
      <c r="B4962" s="330"/>
      <c r="C4962" s="334"/>
      <c r="D4962" s="188" t="s">
        <v>27098</v>
      </c>
      <c r="E4962" s="189" t="s">
        <v>27099</v>
      </c>
      <c r="F4962" s="162" t="s">
        <v>27100</v>
      </c>
      <c r="G4962" s="162" t="s">
        <v>27101</v>
      </c>
      <c r="H4962" s="219"/>
      <c r="I4962" s="169">
        <v>105894</v>
      </c>
      <c r="J4962" s="304" t="str">
        <f>CONCATENATE([2]Cover!$D$6,"fdd/view?i=",I4962)</f>
        <v>https://www.dgiwg.org/FAD/fdd/view?i=105894</v>
      </c>
      <c r="K4962" s="304" t="s">
        <v>39011</v>
      </c>
      <c r="L4962" s="188">
        <v>3</v>
      </c>
      <c r="M4962" s="179" t="s">
        <v>151</v>
      </c>
    </row>
    <row r="4963" spans="1:13" ht="25.5">
      <c r="A4963" s="313" t="str">
        <f t="shared" si="77"/>
        <v>MissileSiteTypeCode_medRangeBallisticMissile</v>
      </c>
      <c r="B4963" s="330"/>
      <c r="C4963" s="334"/>
      <c r="D4963" s="188" t="s">
        <v>27102</v>
      </c>
      <c r="E4963" s="189" t="s">
        <v>27103</v>
      </c>
      <c r="F4963" s="162" t="s">
        <v>27104</v>
      </c>
      <c r="G4963" s="162" t="s">
        <v>27105</v>
      </c>
      <c r="H4963" s="219"/>
      <c r="I4963" s="169">
        <v>105904</v>
      </c>
      <c r="J4963" s="304" t="str">
        <f>CONCATENATE([2]Cover!$D$6,"fdd/view?i=",I4963)</f>
        <v>https://www.dgiwg.org/FAD/fdd/view?i=105904</v>
      </c>
      <c r="K4963" s="304" t="s">
        <v>39012</v>
      </c>
      <c r="L4963" s="188">
        <v>13</v>
      </c>
      <c r="M4963" s="179" t="s">
        <v>151</v>
      </c>
    </row>
    <row r="4964" spans="1:13" ht="140.25">
      <c r="A4964" s="313" t="str">
        <f t="shared" si="77"/>
        <v>MissileSiteTypeCode_sa10Grumble</v>
      </c>
      <c r="B4964" s="330"/>
      <c r="C4964" s="334"/>
      <c r="D4964" s="188" t="s">
        <v>27110</v>
      </c>
      <c r="E4964" s="189" t="s">
        <v>27111</v>
      </c>
      <c r="F4964" s="162" t="s">
        <v>27112</v>
      </c>
      <c r="G4964" s="162" t="s">
        <v>27113</v>
      </c>
      <c r="H4964" s="219"/>
      <c r="I4964" s="169">
        <v>105907</v>
      </c>
      <c r="J4964" s="304" t="str">
        <f>CONCATENATE([2]Cover!$D$6,"fdd/view?i=",I4964)</f>
        <v>https://www.dgiwg.org/FAD/fdd/view?i=105907</v>
      </c>
      <c r="K4964" s="304" t="s">
        <v>39013</v>
      </c>
      <c r="L4964" s="188">
        <v>17</v>
      </c>
      <c r="M4964" s="179" t="s">
        <v>151</v>
      </c>
    </row>
    <row r="4965" spans="1:13" ht="102">
      <c r="A4965" s="313" t="str">
        <f t="shared" si="77"/>
        <v>MissileSiteTypeCode_sa11Gadfly</v>
      </c>
      <c r="B4965" s="330"/>
      <c r="C4965" s="334"/>
      <c r="D4965" s="188" t="s">
        <v>27114</v>
      </c>
      <c r="E4965" s="189" t="s">
        <v>27115</v>
      </c>
      <c r="F4965" s="162" t="s">
        <v>27116</v>
      </c>
      <c r="G4965" s="162" t="s">
        <v>27117</v>
      </c>
      <c r="H4965" s="219"/>
      <c r="I4965" s="169">
        <v>110266</v>
      </c>
      <c r="J4965" s="304" t="str">
        <f>CONCATENATE([2]Cover!$D$6,"fdd/view?i=",I4965)</f>
        <v>https://www.dgiwg.org/FAD/fdd/view?i=110266</v>
      </c>
      <c r="K4965" s="304" t="s">
        <v>39014</v>
      </c>
      <c r="L4965" s="188">
        <v>18</v>
      </c>
      <c r="M4965" s="179" t="s">
        <v>151</v>
      </c>
    </row>
    <row r="4966" spans="1:13" ht="267.75">
      <c r="A4966" s="313" t="str">
        <f t="shared" si="77"/>
        <v>MissileSiteTypeCode_sa12GladiatorGiant</v>
      </c>
      <c r="B4966" s="330"/>
      <c r="C4966" s="334"/>
      <c r="D4966" s="188" t="s">
        <v>27118</v>
      </c>
      <c r="E4966" s="189" t="s">
        <v>27119</v>
      </c>
      <c r="F4966" s="162" t="s">
        <v>27120</v>
      </c>
      <c r="G4966" s="162" t="s">
        <v>27121</v>
      </c>
      <c r="H4966" s="219"/>
      <c r="I4966" s="169">
        <v>110267</v>
      </c>
      <c r="J4966" s="304" t="str">
        <f>CONCATENATE([2]Cover!$D$6,"fdd/view?i=",I4966)</f>
        <v>https://www.dgiwg.org/FAD/fdd/view?i=110267</v>
      </c>
      <c r="K4966" s="304" t="s">
        <v>39015</v>
      </c>
      <c r="L4966" s="188">
        <v>19</v>
      </c>
      <c r="M4966" s="179" t="s">
        <v>151</v>
      </c>
    </row>
    <row r="4967" spans="1:13" ht="153">
      <c r="A4967" s="313" t="str">
        <f t="shared" si="77"/>
        <v>MissileSiteTypeCode_sa13Gopher</v>
      </c>
      <c r="B4967" s="330"/>
      <c r="C4967" s="334"/>
      <c r="D4967" s="188" t="s">
        <v>27122</v>
      </c>
      <c r="E4967" s="189" t="s">
        <v>27123</v>
      </c>
      <c r="F4967" s="162" t="s">
        <v>27124</v>
      </c>
      <c r="G4967" s="162" t="s">
        <v>27125</v>
      </c>
      <c r="H4967" s="219"/>
      <c r="I4967" s="169">
        <v>110268</v>
      </c>
      <c r="J4967" s="304" t="str">
        <f>CONCATENATE([2]Cover!$D$6,"fdd/view?i=",I4967)</f>
        <v>https://www.dgiwg.org/FAD/fdd/view?i=110268</v>
      </c>
      <c r="K4967" s="304" t="s">
        <v>39016</v>
      </c>
      <c r="L4967" s="188">
        <v>20</v>
      </c>
      <c r="M4967" s="179" t="s">
        <v>151</v>
      </c>
    </row>
    <row r="4968" spans="1:13" ht="38.25">
      <c r="A4968" s="313" t="str">
        <f t="shared" si="77"/>
        <v>MissileSiteTypeCode_sa14Gremlin</v>
      </c>
      <c r="B4968" s="330"/>
      <c r="C4968" s="334"/>
      <c r="D4968" s="188" t="s">
        <v>27126</v>
      </c>
      <c r="E4968" s="189" t="s">
        <v>27127</v>
      </c>
      <c r="F4968" s="162" t="s">
        <v>27128</v>
      </c>
      <c r="G4968" s="162" t="s">
        <v>27129</v>
      </c>
      <c r="H4968" s="219"/>
      <c r="I4968" s="169">
        <v>110269</v>
      </c>
      <c r="J4968" s="304" t="str">
        <f>CONCATENATE([2]Cover!$D$6,"fdd/view?i=",I4968)</f>
        <v>https://www.dgiwg.org/FAD/fdd/view?i=110269</v>
      </c>
      <c r="K4968" s="304" t="s">
        <v>39017</v>
      </c>
      <c r="L4968" s="188">
        <v>21</v>
      </c>
      <c r="M4968" s="179" t="s">
        <v>151</v>
      </c>
    </row>
    <row r="4969" spans="1:13" ht="191.25">
      <c r="A4969" s="313" t="str">
        <f t="shared" si="77"/>
        <v>MissileSiteTypeCode_sa15Gauntlet</v>
      </c>
      <c r="B4969" s="330"/>
      <c r="C4969" s="334"/>
      <c r="D4969" s="188" t="s">
        <v>27130</v>
      </c>
      <c r="E4969" s="189" t="s">
        <v>27131</v>
      </c>
      <c r="F4969" s="162" t="s">
        <v>27132</v>
      </c>
      <c r="G4969" s="162" t="s">
        <v>27133</v>
      </c>
      <c r="H4969" s="219"/>
      <c r="I4969" s="169">
        <v>110270</v>
      </c>
      <c r="J4969" s="304" t="str">
        <f>CONCATENATE([2]Cover!$D$6,"fdd/view?i=",I4969)</f>
        <v>https://www.dgiwg.org/FAD/fdd/view?i=110270</v>
      </c>
      <c r="K4969" s="304" t="s">
        <v>39018</v>
      </c>
      <c r="L4969" s="188">
        <v>22</v>
      </c>
      <c r="M4969" s="179" t="s">
        <v>151</v>
      </c>
    </row>
    <row r="4970" spans="1:13" ht="25.5">
      <c r="A4970" s="313" t="str">
        <f t="shared" si="77"/>
        <v>MissileSiteTypeCode_sa16Gimlet</v>
      </c>
      <c r="B4970" s="330"/>
      <c r="C4970" s="334"/>
      <c r="D4970" s="188" t="s">
        <v>27134</v>
      </c>
      <c r="E4970" s="189" t="s">
        <v>27135</v>
      </c>
      <c r="F4970" s="162" t="s">
        <v>27136</v>
      </c>
      <c r="G4970" s="162" t="s">
        <v>27137</v>
      </c>
      <c r="H4970" s="219"/>
      <c r="I4970" s="169">
        <v>110271</v>
      </c>
      <c r="J4970" s="304" t="str">
        <f>CONCATENATE([2]Cover!$D$6,"fdd/view?i=",I4970)</f>
        <v>https://www.dgiwg.org/FAD/fdd/view?i=110271</v>
      </c>
      <c r="K4970" s="304" t="s">
        <v>39019</v>
      </c>
      <c r="L4970" s="188">
        <v>23</v>
      </c>
      <c r="M4970" s="179" t="s">
        <v>151</v>
      </c>
    </row>
    <row r="4971" spans="1:13" ht="140.25">
      <c r="A4971" s="313" t="str">
        <f t="shared" si="77"/>
        <v>MissileSiteTypeCode_sa17Grizzly</v>
      </c>
      <c r="B4971" s="330"/>
      <c r="C4971" s="334"/>
      <c r="D4971" s="188" t="s">
        <v>27138</v>
      </c>
      <c r="E4971" s="189" t="s">
        <v>27139</v>
      </c>
      <c r="F4971" s="162" t="s">
        <v>27140</v>
      </c>
      <c r="G4971" s="162" t="s">
        <v>27141</v>
      </c>
      <c r="H4971" s="219"/>
      <c r="I4971" s="169">
        <v>110272</v>
      </c>
      <c r="J4971" s="304" t="str">
        <f>CONCATENATE([2]Cover!$D$6,"fdd/view?i=",I4971)</f>
        <v>https://www.dgiwg.org/FAD/fdd/view?i=110272</v>
      </c>
      <c r="K4971" s="304" t="s">
        <v>39020</v>
      </c>
      <c r="L4971" s="188">
        <v>24</v>
      </c>
      <c r="M4971" s="179" t="s">
        <v>151</v>
      </c>
    </row>
    <row r="4972" spans="1:13" ht="25.5">
      <c r="A4972" s="313" t="str">
        <f t="shared" si="77"/>
        <v>MissileSiteTypeCode_sa18Grouse</v>
      </c>
      <c r="B4972" s="330"/>
      <c r="C4972" s="334"/>
      <c r="D4972" s="188" t="s">
        <v>27142</v>
      </c>
      <c r="E4972" s="189" t="s">
        <v>27143</v>
      </c>
      <c r="F4972" s="162" t="s">
        <v>27144</v>
      </c>
      <c r="G4972" s="162" t="s">
        <v>27137</v>
      </c>
      <c r="H4972" s="219"/>
      <c r="I4972" s="169">
        <v>110273</v>
      </c>
      <c r="J4972" s="304" t="str">
        <f>CONCATENATE([2]Cover!$D$6,"fdd/view?i=",I4972)</f>
        <v>https://www.dgiwg.org/FAD/fdd/view?i=110273</v>
      </c>
      <c r="K4972" s="304" t="s">
        <v>39021</v>
      </c>
      <c r="L4972" s="188">
        <v>25</v>
      </c>
      <c r="M4972" s="179" t="s">
        <v>151</v>
      </c>
    </row>
    <row r="4973" spans="1:13" ht="76.5">
      <c r="A4973" s="313" t="str">
        <f t="shared" si="77"/>
        <v>MissileSiteTypeCode_sa19Grisom</v>
      </c>
      <c r="B4973" s="330"/>
      <c r="C4973" s="334"/>
      <c r="D4973" s="188" t="s">
        <v>27145</v>
      </c>
      <c r="E4973" s="189" t="s">
        <v>27146</v>
      </c>
      <c r="F4973" s="162" t="s">
        <v>27147</v>
      </c>
      <c r="G4973" s="162" t="s">
        <v>27148</v>
      </c>
      <c r="H4973" s="219"/>
      <c r="I4973" s="169">
        <v>110274</v>
      </c>
      <c r="J4973" s="304" t="str">
        <f>CONCATENATE([2]Cover!$D$6,"fdd/view?i=",I4973)</f>
        <v>https://www.dgiwg.org/FAD/fdd/view?i=110274</v>
      </c>
      <c r="K4973" s="304" t="s">
        <v>39022</v>
      </c>
      <c r="L4973" s="188">
        <v>26</v>
      </c>
      <c r="M4973" s="179" t="s">
        <v>151</v>
      </c>
    </row>
    <row r="4974" spans="1:13" ht="76.5">
      <c r="A4974" s="313" t="str">
        <f t="shared" si="77"/>
        <v>MissileSiteTypeCode_sa1Guild</v>
      </c>
      <c r="B4974" s="330"/>
      <c r="C4974" s="334"/>
      <c r="D4974" s="188" t="s">
        <v>27106</v>
      </c>
      <c r="E4974" s="189" t="s">
        <v>27107</v>
      </c>
      <c r="F4974" s="162" t="s">
        <v>27108</v>
      </c>
      <c r="G4974" s="162" t="s">
        <v>27109</v>
      </c>
      <c r="H4974" s="219"/>
      <c r="I4974" s="169">
        <v>105895</v>
      </c>
      <c r="J4974" s="304" t="str">
        <f>CONCATENATE([2]Cover!$D$6,"fdd/view?i=",I4974)</f>
        <v>https://www.dgiwg.org/FAD/fdd/view?i=105895</v>
      </c>
      <c r="K4974" s="304" t="s">
        <v>39023</v>
      </c>
      <c r="L4974" s="188">
        <v>4</v>
      </c>
      <c r="M4974" s="179" t="s">
        <v>151</v>
      </c>
    </row>
    <row r="4975" spans="1:13" ht="165.75">
      <c r="A4975" s="313" t="str">
        <f t="shared" si="77"/>
        <v>MissileSiteTypeCode_sa2Guideline</v>
      </c>
      <c r="B4975" s="330"/>
      <c r="C4975" s="334"/>
      <c r="D4975" s="188" t="s">
        <v>27149</v>
      </c>
      <c r="E4975" s="189" t="s">
        <v>27150</v>
      </c>
      <c r="F4975" s="162" t="s">
        <v>27151</v>
      </c>
      <c r="G4975" s="162" t="s">
        <v>27152</v>
      </c>
      <c r="H4975" s="219"/>
      <c r="I4975" s="169">
        <v>105896</v>
      </c>
      <c r="J4975" s="304" t="str">
        <f>CONCATENATE([2]Cover!$D$6,"fdd/view?i=",I4975)</f>
        <v>https://www.dgiwg.org/FAD/fdd/view?i=105896</v>
      </c>
      <c r="K4975" s="304" t="s">
        <v>39024</v>
      </c>
      <c r="L4975" s="188">
        <v>5</v>
      </c>
      <c r="M4975" s="179" t="s">
        <v>151</v>
      </c>
    </row>
    <row r="4976" spans="1:13" ht="229.5">
      <c r="A4976" s="313" t="str">
        <f t="shared" si="77"/>
        <v>MissileSiteTypeCode_sa3Goa</v>
      </c>
      <c r="B4976" s="330"/>
      <c r="C4976" s="334"/>
      <c r="D4976" s="188" t="s">
        <v>27153</v>
      </c>
      <c r="E4976" s="189" t="s">
        <v>27154</v>
      </c>
      <c r="F4976" s="162" t="s">
        <v>27155</v>
      </c>
      <c r="G4976" s="162" t="s">
        <v>27156</v>
      </c>
      <c r="H4976" s="219"/>
      <c r="I4976" s="169">
        <v>105897</v>
      </c>
      <c r="J4976" s="304" t="str">
        <f>CONCATENATE([2]Cover!$D$6,"fdd/view?i=",I4976)</f>
        <v>https://www.dgiwg.org/FAD/fdd/view?i=105897</v>
      </c>
      <c r="K4976" s="304" t="s">
        <v>39025</v>
      </c>
      <c r="L4976" s="188">
        <v>6</v>
      </c>
      <c r="M4976" s="179" t="s">
        <v>151</v>
      </c>
    </row>
    <row r="4977" spans="1:13" ht="165.75">
      <c r="A4977" s="313" t="str">
        <f t="shared" si="77"/>
        <v>MissileSiteTypeCode_sa4Ganef</v>
      </c>
      <c r="B4977" s="330"/>
      <c r="C4977" s="334"/>
      <c r="D4977" s="188" t="s">
        <v>27157</v>
      </c>
      <c r="E4977" s="189" t="s">
        <v>27158</v>
      </c>
      <c r="F4977" s="162" t="s">
        <v>27159</v>
      </c>
      <c r="G4977" s="162" t="s">
        <v>27160</v>
      </c>
      <c r="H4977" s="219"/>
      <c r="I4977" s="169">
        <v>105898</v>
      </c>
      <c r="J4977" s="304" t="str">
        <f>CONCATENATE([2]Cover!$D$6,"fdd/view?i=",I4977)</f>
        <v>https://www.dgiwg.org/FAD/fdd/view?i=105898</v>
      </c>
      <c r="K4977" s="304" t="s">
        <v>39026</v>
      </c>
      <c r="L4977" s="188">
        <v>7</v>
      </c>
      <c r="M4977" s="179" t="s">
        <v>151</v>
      </c>
    </row>
    <row r="4978" spans="1:13" ht="63.75">
      <c r="A4978" s="313" t="str">
        <f t="shared" si="77"/>
        <v>MissileSiteTypeCode_sa5Gammon</v>
      </c>
      <c r="B4978" s="330"/>
      <c r="C4978" s="334"/>
      <c r="D4978" s="188" t="s">
        <v>27161</v>
      </c>
      <c r="E4978" s="189" t="s">
        <v>27162</v>
      </c>
      <c r="F4978" s="162" t="s">
        <v>27163</v>
      </c>
      <c r="G4978" s="162" t="s">
        <v>27164</v>
      </c>
      <c r="H4978" s="219"/>
      <c r="I4978" s="169">
        <v>105899</v>
      </c>
      <c r="J4978" s="304" t="str">
        <f>CONCATENATE([2]Cover!$D$6,"fdd/view?i=",I4978)</f>
        <v>https://www.dgiwg.org/FAD/fdd/view?i=105899</v>
      </c>
      <c r="K4978" s="304" t="s">
        <v>39027</v>
      </c>
      <c r="L4978" s="188">
        <v>8</v>
      </c>
      <c r="M4978" s="179" t="s">
        <v>151</v>
      </c>
    </row>
    <row r="4979" spans="1:13" ht="114.75">
      <c r="A4979" s="313" t="str">
        <f t="shared" si="77"/>
        <v>MissileSiteTypeCode_sa6Gainful</v>
      </c>
      <c r="B4979" s="330"/>
      <c r="C4979" s="334"/>
      <c r="D4979" s="188" t="s">
        <v>27165</v>
      </c>
      <c r="E4979" s="189" t="s">
        <v>27166</v>
      </c>
      <c r="F4979" s="162" t="s">
        <v>27167</v>
      </c>
      <c r="G4979" s="162" t="s">
        <v>27168</v>
      </c>
      <c r="H4979" s="219"/>
      <c r="I4979" s="169">
        <v>105900</v>
      </c>
      <c r="J4979" s="304" t="str">
        <f>CONCATENATE([2]Cover!$D$6,"fdd/view?i=",I4979)</f>
        <v>https://www.dgiwg.org/FAD/fdd/view?i=105900</v>
      </c>
      <c r="K4979" s="304" t="s">
        <v>39028</v>
      </c>
      <c r="L4979" s="188">
        <v>9</v>
      </c>
      <c r="M4979" s="179" t="s">
        <v>151</v>
      </c>
    </row>
    <row r="4980" spans="1:13" ht="63.75">
      <c r="A4980" s="313" t="str">
        <f t="shared" si="77"/>
        <v>MissileSiteTypeCode_sa7Grail</v>
      </c>
      <c r="B4980" s="330"/>
      <c r="C4980" s="334"/>
      <c r="D4980" s="188" t="s">
        <v>27169</v>
      </c>
      <c r="E4980" s="189" t="s">
        <v>27170</v>
      </c>
      <c r="F4980" s="162" t="s">
        <v>27171</v>
      </c>
      <c r="G4980" s="162" t="s">
        <v>27172</v>
      </c>
      <c r="H4980" s="219"/>
      <c r="I4980" s="169">
        <v>105901</v>
      </c>
      <c r="J4980" s="304" t="str">
        <f>CONCATENATE([2]Cover!$D$6,"fdd/view?i=",I4980)</f>
        <v>https://www.dgiwg.org/FAD/fdd/view?i=105901</v>
      </c>
      <c r="K4980" s="304" t="s">
        <v>39029</v>
      </c>
      <c r="L4980" s="188">
        <v>10</v>
      </c>
      <c r="M4980" s="179" t="s">
        <v>151</v>
      </c>
    </row>
    <row r="4981" spans="1:13" ht="76.5">
      <c r="A4981" s="313" t="str">
        <f t="shared" si="77"/>
        <v>MissileSiteTypeCode_sa8Gecko</v>
      </c>
      <c r="B4981" s="330"/>
      <c r="C4981" s="334"/>
      <c r="D4981" s="188" t="s">
        <v>27173</v>
      </c>
      <c r="E4981" s="189" t="s">
        <v>27174</v>
      </c>
      <c r="F4981" s="162" t="s">
        <v>27175</v>
      </c>
      <c r="G4981" s="162" t="s">
        <v>27176</v>
      </c>
      <c r="H4981" s="219"/>
      <c r="I4981" s="169">
        <v>105902</v>
      </c>
      <c r="J4981" s="304" t="str">
        <f>CONCATENATE([2]Cover!$D$6,"fdd/view?i=",I4981)</f>
        <v>https://www.dgiwg.org/FAD/fdd/view?i=105902</v>
      </c>
      <c r="K4981" s="304" t="s">
        <v>39030</v>
      </c>
      <c r="L4981" s="188">
        <v>11</v>
      </c>
      <c r="M4981" s="179" t="s">
        <v>151</v>
      </c>
    </row>
    <row r="4982" spans="1:13" ht="89.25">
      <c r="A4982" s="313" t="str">
        <f t="shared" si="77"/>
        <v>MissileSiteTypeCode_sa9Gaskin</v>
      </c>
      <c r="B4982" s="330"/>
      <c r="C4982" s="334"/>
      <c r="D4982" s="188" t="s">
        <v>27177</v>
      </c>
      <c r="E4982" s="189" t="s">
        <v>27178</v>
      </c>
      <c r="F4982" s="162" t="s">
        <v>27179</v>
      </c>
      <c r="G4982" s="162" t="s">
        <v>27180</v>
      </c>
      <c r="H4982" s="219"/>
      <c r="I4982" s="169">
        <v>105903</v>
      </c>
      <c r="J4982" s="304" t="str">
        <f>CONCATENATE([2]Cover!$D$6,"fdd/view?i=",I4982)</f>
        <v>https://www.dgiwg.org/FAD/fdd/view?i=105903</v>
      </c>
      <c r="K4982" s="304" t="s">
        <v>39031</v>
      </c>
      <c r="L4982" s="188">
        <v>12</v>
      </c>
      <c r="M4982" s="179" t="s">
        <v>151</v>
      </c>
    </row>
    <row r="4983" spans="1:13" ht="38.25">
      <c r="A4983" s="313" t="str">
        <f t="shared" si="77"/>
        <v>MissileSiteTypeCode_surfaceToAirMissile</v>
      </c>
      <c r="B4983" s="330"/>
      <c r="C4983" s="334"/>
      <c r="D4983" s="188" t="s">
        <v>27181</v>
      </c>
      <c r="E4983" s="189" t="s">
        <v>27182</v>
      </c>
      <c r="F4983" s="162" t="s">
        <v>27183</v>
      </c>
      <c r="G4983" s="162" t="s">
        <v>27184</v>
      </c>
      <c r="H4983" s="219"/>
      <c r="I4983" s="169">
        <v>105906</v>
      </c>
      <c r="J4983" s="304" t="str">
        <f>CONCATENATE([2]Cover!$D$6,"fdd/view?i=",I4983)</f>
        <v>https://www.dgiwg.org/FAD/fdd/view?i=105906</v>
      </c>
      <c r="K4983" s="304" t="s">
        <v>39032</v>
      </c>
      <c r="L4983" s="188">
        <v>15</v>
      </c>
      <c r="M4983" s="179" t="s">
        <v>151</v>
      </c>
    </row>
    <row r="4984" spans="1:13" ht="127.5">
      <c r="A4984" s="313" t="str">
        <f t="shared" si="77"/>
        <v>MissileSiteTypeCode_surfaceToSurfaceMissile</v>
      </c>
      <c r="B4984" s="331"/>
      <c r="C4984" s="335"/>
      <c r="D4984" s="181" t="s">
        <v>27185</v>
      </c>
      <c r="E4984" s="192" t="s">
        <v>27186</v>
      </c>
      <c r="F4984" s="193" t="s">
        <v>27187</v>
      </c>
      <c r="G4984" s="193" t="s">
        <v>27188</v>
      </c>
      <c r="H4984" s="220"/>
      <c r="I4984" s="169">
        <v>105905</v>
      </c>
      <c r="J4984" s="304" t="str">
        <f>CONCATENATE([2]Cover!$D$6,"fdd/view?i=",I4984)</f>
        <v>https://www.dgiwg.org/FAD/fdd/view?i=105905</v>
      </c>
      <c r="K4984" s="304" t="s">
        <v>39033</v>
      </c>
      <c r="L4984" s="181">
        <v>14</v>
      </c>
      <c r="M4984" s="179" t="s">
        <v>151</v>
      </c>
    </row>
    <row r="4985" spans="1:13" ht="38.25">
      <c r="A4985" s="313" t="str">
        <f t="shared" si="77"/>
        <v>ModifiedMercalliIntensityCode_catastrophic_XII</v>
      </c>
      <c r="B4985" s="332" t="str">
        <f>HYPERLINK("[#]Datatypes!A900:L900","ModifiedMercalliIntensityCode")</f>
        <v>ModifiedMercalliIntensityCode</v>
      </c>
      <c r="C4985" s="333" t="s">
        <v>12487</v>
      </c>
      <c r="D4985" s="202" t="s">
        <v>27228</v>
      </c>
      <c r="E4985" s="203" t="s">
        <v>27229</v>
      </c>
      <c r="F4985" s="204" t="s">
        <v>27230</v>
      </c>
      <c r="G4985" s="205"/>
      <c r="H4985" s="218"/>
      <c r="I4985" s="169">
        <v>113398</v>
      </c>
      <c r="J4985" s="304" t="str">
        <f>CONCATENATE([2]Cover!$D$6,"fdd/view?i=",I4985)</f>
        <v>https://www.dgiwg.org/FAD/fdd/view?i=113398</v>
      </c>
      <c r="K4985" s="304" t="s">
        <v>39034</v>
      </c>
      <c r="L4985" s="202">
        <v>12</v>
      </c>
      <c r="M4985" s="179" t="s">
        <v>151</v>
      </c>
    </row>
    <row r="4986" spans="1:13" ht="102">
      <c r="A4986" s="313" t="str">
        <f t="shared" si="77"/>
        <v>ModifiedMercalliIntensityCode_destructive_VIII</v>
      </c>
      <c r="B4986" s="330"/>
      <c r="C4986" s="334"/>
      <c r="D4986" s="188" t="s">
        <v>27218</v>
      </c>
      <c r="E4986" s="189" t="s">
        <v>27219</v>
      </c>
      <c r="F4986" s="162" t="s">
        <v>27220</v>
      </c>
      <c r="G4986" s="162" t="s">
        <v>27221</v>
      </c>
      <c r="H4986" s="219"/>
      <c r="I4986" s="169">
        <v>113394</v>
      </c>
      <c r="J4986" s="304" t="str">
        <f>CONCATENATE([2]Cover!$D$6,"fdd/view?i=",I4986)</f>
        <v>https://www.dgiwg.org/FAD/fdd/view?i=113394</v>
      </c>
      <c r="K4986" s="304" t="s">
        <v>39035</v>
      </c>
      <c r="L4986" s="188">
        <v>8</v>
      </c>
      <c r="M4986" s="179" t="s">
        <v>151</v>
      </c>
    </row>
    <row r="4987" spans="1:13" ht="25.5">
      <c r="A4987" s="313" t="str">
        <f t="shared" si="77"/>
        <v>ModifiedMercalliIntensityCode_disastrous_X</v>
      </c>
      <c r="B4987" s="330"/>
      <c r="C4987" s="334"/>
      <c r="D4987" s="188" t="s">
        <v>27222</v>
      </c>
      <c r="E4987" s="189" t="s">
        <v>27223</v>
      </c>
      <c r="F4987" s="162" t="s">
        <v>27224</v>
      </c>
      <c r="G4987" s="190"/>
      <c r="H4987" s="219"/>
      <c r="I4987" s="169">
        <v>113396</v>
      </c>
      <c r="J4987" s="304" t="str">
        <f>CONCATENATE([2]Cover!$D$6,"fdd/view?i=",I4987)</f>
        <v>https://www.dgiwg.org/FAD/fdd/view?i=113396</v>
      </c>
      <c r="K4987" s="304" t="s">
        <v>39036</v>
      </c>
      <c r="L4987" s="188">
        <v>10</v>
      </c>
      <c r="M4987" s="179" t="s">
        <v>151</v>
      </c>
    </row>
    <row r="4988" spans="1:13" ht="25.5">
      <c r="A4988" s="313" t="str">
        <f t="shared" si="77"/>
        <v>ModifiedMercalliIntensityCode_feeble_II</v>
      </c>
      <c r="B4988" s="330"/>
      <c r="C4988" s="334"/>
      <c r="D4988" s="188" t="s">
        <v>27192</v>
      </c>
      <c r="E4988" s="189" t="s">
        <v>27193</v>
      </c>
      <c r="F4988" s="162" t="s">
        <v>27194</v>
      </c>
      <c r="G4988" s="190"/>
      <c r="H4988" s="219"/>
      <c r="I4988" s="169">
        <v>113388</v>
      </c>
      <c r="J4988" s="304" t="str">
        <f>CONCATENATE([2]Cover!$D$6,"fdd/view?i=",I4988)</f>
        <v>https://www.dgiwg.org/FAD/fdd/view?i=113388</v>
      </c>
      <c r="K4988" s="304" t="s">
        <v>39037</v>
      </c>
      <c r="L4988" s="188">
        <v>2</v>
      </c>
      <c r="M4988" s="179" t="s">
        <v>151</v>
      </c>
    </row>
    <row r="4989" spans="1:13" ht="25.5">
      <c r="A4989" s="313" t="str">
        <f t="shared" si="77"/>
        <v>ModifiedMercalliIntensityCode_instrumental_I</v>
      </c>
      <c r="B4989" s="330"/>
      <c r="C4989" s="334"/>
      <c r="D4989" s="188" t="s">
        <v>27189</v>
      </c>
      <c r="E4989" s="189" t="s">
        <v>27190</v>
      </c>
      <c r="F4989" s="162" t="s">
        <v>27191</v>
      </c>
      <c r="G4989" s="190"/>
      <c r="H4989" s="219"/>
      <c r="I4989" s="169">
        <v>113387</v>
      </c>
      <c r="J4989" s="304" t="str">
        <f>CONCATENATE([2]Cover!$D$6,"fdd/view?i=",I4989)</f>
        <v>https://www.dgiwg.org/FAD/fdd/view?i=113387</v>
      </c>
      <c r="K4989" s="304" t="s">
        <v>39038</v>
      </c>
      <c r="L4989" s="188">
        <v>1</v>
      </c>
      <c r="M4989" s="179" t="s">
        <v>151</v>
      </c>
    </row>
    <row r="4990" spans="1:13" ht="89.25">
      <c r="A4990" s="313" t="str">
        <f t="shared" si="77"/>
        <v>ModifiedMercalliIntensityCode_moderate_IV</v>
      </c>
      <c r="B4990" s="330"/>
      <c r="C4990" s="334"/>
      <c r="D4990" s="188" t="s">
        <v>27198</v>
      </c>
      <c r="E4990" s="189" t="s">
        <v>27199</v>
      </c>
      <c r="F4990" s="162" t="s">
        <v>27200</v>
      </c>
      <c r="G4990" s="162" t="s">
        <v>27201</v>
      </c>
      <c r="H4990" s="219"/>
      <c r="I4990" s="169">
        <v>113390</v>
      </c>
      <c r="J4990" s="304" t="str">
        <f>CONCATENATE([2]Cover!$D$6,"fdd/view?i=",I4990)</f>
        <v>https://www.dgiwg.org/FAD/fdd/view?i=113390</v>
      </c>
      <c r="K4990" s="304" t="s">
        <v>39039</v>
      </c>
      <c r="L4990" s="188">
        <v>4</v>
      </c>
      <c r="M4990" s="179" t="s">
        <v>151</v>
      </c>
    </row>
    <row r="4991" spans="1:13" ht="63.75">
      <c r="A4991" s="313" t="str">
        <f t="shared" si="77"/>
        <v>ModifiedMercalliIntensityCode_ratherStrong_V</v>
      </c>
      <c r="B4991" s="330"/>
      <c r="C4991" s="334"/>
      <c r="D4991" s="188" t="s">
        <v>27206</v>
      </c>
      <c r="E4991" s="189" t="s">
        <v>27207</v>
      </c>
      <c r="F4991" s="162" t="s">
        <v>27208</v>
      </c>
      <c r="G4991" s="162" t="s">
        <v>27209</v>
      </c>
      <c r="H4991" s="219"/>
      <c r="I4991" s="169">
        <v>113391</v>
      </c>
      <c r="J4991" s="304" t="str">
        <f>CONCATENATE([2]Cover!$D$6,"fdd/view?i=",I4991)</f>
        <v>https://www.dgiwg.org/FAD/fdd/view?i=113391</v>
      </c>
      <c r="K4991" s="304" t="s">
        <v>39040</v>
      </c>
      <c r="L4991" s="188">
        <v>5</v>
      </c>
      <c r="M4991" s="179" t="s">
        <v>151</v>
      </c>
    </row>
    <row r="4992" spans="1:13" ht="76.5">
      <c r="A4992" s="313" t="str">
        <f t="shared" si="77"/>
        <v>ModifiedMercalliIntensityCode_ruinous_IX</v>
      </c>
      <c r="B4992" s="330"/>
      <c r="C4992" s="334"/>
      <c r="D4992" s="188" t="s">
        <v>27202</v>
      </c>
      <c r="E4992" s="189" t="s">
        <v>27203</v>
      </c>
      <c r="F4992" s="162" t="s">
        <v>27204</v>
      </c>
      <c r="G4992" s="162" t="s">
        <v>27205</v>
      </c>
      <c r="H4992" s="219"/>
      <c r="I4992" s="169">
        <v>113395</v>
      </c>
      <c r="J4992" s="304" t="str">
        <f>CONCATENATE([2]Cover!$D$6,"fdd/view?i=",I4992)</f>
        <v>https://www.dgiwg.org/FAD/fdd/view?i=113395</v>
      </c>
      <c r="K4992" s="304" t="s">
        <v>39041</v>
      </c>
      <c r="L4992" s="188">
        <v>9</v>
      </c>
      <c r="M4992" s="179" t="s">
        <v>151</v>
      </c>
    </row>
    <row r="4993" spans="1:13" ht="51">
      <c r="A4993" s="313" t="str">
        <f t="shared" si="77"/>
        <v>ModifiedMercalliIntensityCode_slight_III</v>
      </c>
      <c r="B4993" s="330"/>
      <c r="C4993" s="334"/>
      <c r="D4993" s="188" t="s">
        <v>27195</v>
      </c>
      <c r="E4993" s="189" t="s">
        <v>27196</v>
      </c>
      <c r="F4993" s="162" t="s">
        <v>27197</v>
      </c>
      <c r="G4993" s="190"/>
      <c r="H4993" s="219"/>
      <c r="I4993" s="169">
        <v>113389</v>
      </c>
      <c r="J4993" s="304" t="str">
        <f>CONCATENATE([2]Cover!$D$6,"fdd/view?i=",I4993)</f>
        <v>https://www.dgiwg.org/FAD/fdd/view?i=113389</v>
      </c>
      <c r="K4993" s="304" t="s">
        <v>39042</v>
      </c>
      <c r="L4993" s="188">
        <v>3</v>
      </c>
      <c r="M4993" s="179" t="s">
        <v>151</v>
      </c>
    </row>
    <row r="4994" spans="1:13" ht="76.5">
      <c r="A4994" s="313" t="str">
        <f t="shared" si="77"/>
        <v>ModifiedMercalliIntensityCode_strong_VI</v>
      </c>
      <c r="B4994" s="330"/>
      <c r="C4994" s="334"/>
      <c r="D4994" s="188" t="s">
        <v>27210</v>
      </c>
      <c r="E4994" s="189" t="s">
        <v>27211</v>
      </c>
      <c r="F4994" s="162" t="s">
        <v>27212</v>
      </c>
      <c r="G4994" s="162" t="s">
        <v>27213</v>
      </c>
      <c r="H4994" s="219"/>
      <c r="I4994" s="169">
        <v>113392</v>
      </c>
      <c r="J4994" s="304" t="str">
        <f>CONCATENATE([2]Cover!$D$6,"fdd/view?i=",I4994)</f>
        <v>https://www.dgiwg.org/FAD/fdd/view?i=113392</v>
      </c>
      <c r="K4994" s="304" t="s">
        <v>39043</v>
      </c>
      <c r="L4994" s="188">
        <v>6</v>
      </c>
      <c r="M4994" s="179" t="s">
        <v>151</v>
      </c>
    </row>
    <row r="4995" spans="1:13" ht="25.5">
      <c r="A4995" s="313" t="str">
        <f t="shared" ref="A4995:A5058" si="78">HYPERLINK(J4995,K4995)</f>
        <v>ModifiedMercalliIntensityCode_veryDisastrous_XI</v>
      </c>
      <c r="B4995" s="330"/>
      <c r="C4995" s="334"/>
      <c r="D4995" s="188" t="s">
        <v>27225</v>
      </c>
      <c r="E4995" s="189" t="s">
        <v>27226</v>
      </c>
      <c r="F4995" s="162" t="s">
        <v>27227</v>
      </c>
      <c r="G4995" s="190"/>
      <c r="H4995" s="219"/>
      <c r="I4995" s="169">
        <v>113397</v>
      </c>
      <c r="J4995" s="304" t="str">
        <f>CONCATENATE([2]Cover!$D$6,"fdd/view?i=",I4995)</f>
        <v>https://www.dgiwg.org/FAD/fdd/view?i=113397</v>
      </c>
      <c r="K4995" s="304" t="s">
        <v>39044</v>
      </c>
      <c r="L4995" s="188">
        <v>11</v>
      </c>
      <c r="M4995" s="179" t="s">
        <v>151</v>
      </c>
    </row>
    <row r="4996" spans="1:13" ht="89.25">
      <c r="A4996" s="313" t="str">
        <f t="shared" si="78"/>
        <v>ModifiedMercalliIntensityCode_veryStrong_VII</v>
      </c>
      <c r="B4996" s="331"/>
      <c r="C4996" s="335"/>
      <c r="D4996" s="181" t="s">
        <v>27214</v>
      </c>
      <c r="E4996" s="192" t="s">
        <v>27215</v>
      </c>
      <c r="F4996" s="193" t="s">
        <v>27216</v>
      </c>
      <c r="G4996" s="193" t="s">
        <v>27217</v>
      </c>
      <c r="H4996" s="220"/>
      <c r="I4996" s="169">
        <v>113393</v>
      </c>
      <c r="J4996" s="304" t="str">
        <f>CONCATENATE([2]Cover!$D$6,"fdd/view?i=",I4996)</f>
        <v>https://www.dgiwg.org/FAD/fdd/view?i=113393</v>
      </c>
      <c r="K4996" s="304" t="s">
        <v>39045</v>
      </c>
      <c r="L4996" s="181">
        <v>7</v>
      </c>
      <c r="M4996" s="179" t="s">
        <v>151</v>
      </c>
    </row>
    <row r="4997" spans="1:13" ht="25.5">
      <c r="A4997" s="313" t="str">
        <f t="shared" si="78"/>
        <v xml:space="preserve">MonitoringMethodCode_automated    </v>
      </c>
      <c r="B4997" s="332" t="str">
        <f>HYPERLINK("[#]Datatypes!A902:L902","MonitoringMethodCode")</f>
        <v>MonitoringMethodCode</v>
      </c>
      <c r="C4997" s="333" t="s">
        <v>12489</v>
      </c>
      <c r="D4997" s="202" t="s">
        <v>27231</v>
      </c>
      <c r="E4997" s="203" t="s">
        <v>27232</v>
      </c>
      <c r="F4997" s="204" t="s">
        <v>27233</v>
      </c>
      <c r="G4997" s="205"/>
      <c r="H4997" s="218"/>
      <c r="I4997" s="169">
        <v>207921</v>
      </c>
      <c r="J4997" s="304" t="str">
        <f>CONCATENATE([2]Cover!$D$6,"fdd/view?i=",I4997)</f>
        <v>https://www.dgiwg.org/FAD/fdd/view?i=207921</v>
      </c>
      <c r="K4997" s="304" t="s">
        <v>39046</v>
      </c>
      <c r="L4997" s="202">
        <v>1</v>
      </c>
      <c r="M4997" s="179" t="s">
        <v>1295</v>
      </c>
    </row>
    <row r="4998" spans="1:13">
      <c r="A4998" s="313" t="str">
        <f t="shared" si="78"/>
        <v>MonitoringMethodCode_staffed</v>
      </c>
      <c r="B4998" s="331"/>
      <c r="C4998" s="335"/>
      <c r="D4998" s="181" t="s">
        <v>27234</v>
      </c>
      <c r="E4998" s="192" t="s">
        <v>27235</v>
      </c>
      <c r="F4998" s="193" t="s">
        <v>27236</v>
      </c>
      <c r="G4998" s="194"/>
      <c r="H4998" s="220"/>
      <c r="I4998" s="169">
        <v>207922</v>
      </c>
      <c r="J4998" s="304" t="str">
        <f>CONCATENATE([2]Cover!$D$6,"fdd/view?i=",I4998)</f>
        <v>https://www.dgiwg.org/FAD/fdd/view?i=207922</v>
      </c>
      <c r="K4998" s="304" t="s">
        <v>39047</v>
      </c>
      <c r="L4998" s="181">
        <v>2</v>
      </c>
      <c r="M4998" s="179" t="s">
        <v>1295</v>
      </c>
    </row>
    <row r="4999" spans="1:13" ht="25.5">
      <c r="A4999" s="313" t="str">
        <f t="shared" si="78"/>
        <v>MooringWarpingFacTypeCode_deviationDolphin</v>
      </c>
      <c r="B4999" s="332" t="str">
        <f>HYPERLINK("[#]Datatypes!A904:L904","MooringWarpingFacTypeCode")</f>
        <v>MooringWarpingFacTypeCode</v>
      </c>
      <c r="C4999" s="333" t="s">
        <v>12491</v>
      </c>
      <c r="D4999" s="202" t="s">
        <v>27237</v>
      </c>
      <c r="E4999" s="203" t="s">
        <v>27238</v>
      </c>
      <c r="F4999" s="204" t="s">
        <v>27239</v>
      </c>
      <c r="G4999" s="205"/>
      <c r="H4999" s="218"/>
      <c r="I4999" s="169">
        <v>105977</v>
      </c>
      <c r="J4999" s="304" t="str">
        <f>CONCATENATE([2]Cover!$D$6,"fdd/view?i=",I4999)</f>
        <v>https://www.dgiwg.org/FAD/fdd/view?i=105977</v>
      </c>
      <c r="K4999" s="304" t="s">
        <v>39048</v>
      </c>
      <c r="L4999" s="202">
        <v>3</v>
      </c>
      <c r="M4999" s="179" t="s">
        <v>151</v>
      </c>
    </row>
    <row r="5000" spans="1:13" ht="25.5">
      <c r="A5000" s="313" t="str">
        <f t="shared" si="78"/>
        <v>MooringWarpingFacTypeCode_dolphin</v>
      </c>
      <c r="B5000" s="330"/>
      <c r="C5000" s="334"/>
      <c r="D5000" s="188" t="s">
        <v>27240</v>
      </c>
      <c r="E5000" s="189" t="s">
        <v>2127</v>
      </c>
      <c r="F5000" s="162" t="s">
        <v>27241</v>
      </c>
      <c r="G5000" s="190"/>
      <c r="H5000" s="219"/>
      <c r="I5000" s="169">
        <v>105976</v>
      </c>
      <c r="J5000" s="304" t="str">
        <f>CONCATENATE([2]Cover!$D$6,"fdd/view?i=",I5000)</f>
        <v>https://www.dgiwg.org/FAD/fdd/view?i=105976</v>
      </c>
      <c r="K5000" s="304" t="s">
        <v>39049</v>
      </c>
      <c r="L5000" s="188">
        <v>2</v>
      </c>
      <c r="M5000" s="179" t="s">
        <v>151</v>
      </c>
    </row>
    <row r="5001" spans="1:13" ht="25.5">
      <c r="A5001" s="313" t="str">
        <f t="shared" si="78"/>
        <v>MooringWarpingFacTypeCode_mooringBuoy</v>
      </c>
      <c r="B5001" s="330"/>
      <c r="C5001" s="334"/>
      <c r="D5001" s="188" t="s">
        <v>27242</v>
      </c>
      <c r="E5001" s="189" t="s">
        <v>27243</v>
      </c>
      <c r="F5001" s="162" t="s">
        <v>27244</v>
      </c>
      <c r="G5001" s="190"/>
      <c r="H5001" s="219"/>
      <c r="I5001" s="169">
        <v>110279</v>
      </c>
      <c r="J5001" s="304" t="str">
        <f>CONCATENATE([2]Cover!$D$6,"fdd/view?i=",I5001)</f>
        <v>https://www.dgiwg.org/FAD/fdd/view?i=110279</v>
      </c>
      <c r="K5001" s="304" t="s">
        <v>39050</v>
      </c>
      <c r="L5001" s="188">
        <v>8</v>
      </c>
      <c r="M5001" s="179" t="s">
        <v>151</v>
      </c>
    </row>
    <row r="5002" spans="1:13" ht="25.5">
      <c r="A5002" s="313" t="str">
        <f t="shared" si="78"/>
        <v>MooringWarpingFacTypeCode_warpingBuoy</v>
      </c>
      <c r="B5002" s="331"/>
      <c r="C5002" s="335"/>
      <c r="D5002" s="181" t="s">
        <v>27245</v>
      </c>
      <c r="E5002" s="192" t="s">
        <v>27246</v>
      </c>
      <c r="F5002" s="193" t="s">
        <v>27247</v>
      </c>
      <c r="G5002" s="194"/>
      <c r="H5002" s="220"/>
      <c r="I5002" s="169">
        <v>110280</v>
      </c>
      <c r="J5002" s="304" t="str">
        <f>CONCATENATE([2]Cover!$D$6,"fdd/view?i=",I5002)</f>
        <v>https://www.dgiwg.org/FAD/fdd/view?i=110280</v>
      </c>
      <c r="K5002" s="304" t="s">
        <v>39051</v>
      </c>
      <c r="L5002" s="181">
        <v>9</v>
      </c>
      <c r="M5002" s="179" t="s">
        <v>151</v>
      </c>
    </row>
    <row r="5003" spans="1:13" ht="25.5">
      <c r="A5003" s="313" t="str">
        <f t="shared" si="78"/>
        <v>MooringTypeCode_buoyMooring</v>
      </c>
      <c r="B5003" s="332" t="str">
        <f>HYPERLINK("[#]Datatypes!A906:L906","MooringTypeCode")</f>
        <v>MooringTypeCode</v>
      </c>
      <c r="C5003" s="333" t="s">
        <v>12493</v>
      </c>
      <c r="D5003" s="202" t="s">
        <v>27248</v>
      </c>
      <c r="E5003" s="203" t="s">
        <v>27249</v>
      </c>
      <c r="F5003" s="204" t="s">
        <v>27250</v>
      </c>
      <c r="G5003" s="205"/>
      <c r="H5003" s="218"/>
      <c r="I5003" s="169">
        <v>105514</v>
      </c>
      <c r="J5003" s="304" t="str">
        <f>CONCATENATE([2]Cover!$D$6,"fdd/view?i=",I5003)</f>
        <v>https://www.dgiwg.org/FAD/fdd/view?i=105514</v>
      </c>
      <c r="K5003" s="304" t="s">
        <v>39052</v>
      </c>
      <c r="L5003" s="202">
        <v>1</v>
      </c>
      <c r="M5003" s="179" t="s">
        <v>151</v>
      </c>
    </row>
    <row r="5004" spans="1:13" ht="25.5">
      <c r="A5004" s="313" t="str">
        <f t="shared" si="78"/>
        <v>MooringTypeCode_foreAndAftMooring</v>
      </c>
      <c r="B5004" s="330"/>
      <c r="C5004" s="334"/>
      <c r="D5004" s="188" t="s">
        <v>27251</v>
      </c>
      <c r="E5004" s="189" t="s">
        <v>27252</v>
      </c>
      <c r="F5004" s="162" t="s">
        <v>27253</v>
      </c>
      <c r="G5004" s="190"/>
      <c r="H5004" s="219"/>
      <c r="I5004" s="169">
        <v>110749</v>
      </c>
      <c r="J5004" s="304" t="str">
        <f>CONCATENATE([2]Cover!$D$6,"fdd/view?i=",I5004)</f>
        <v>https://www.dgiwg.org/FAD/fdd/view?i=110749</v>
      </c>
      <c r="K5004" s="304" t="s">
        <v>39053</v>
      </c>
      <c r="L5004" s="188">
        <v>2</v>
      </c>
      <c r="M5004" s="179" t="s">
        <v>151</v>
      </c>
    </row>
    <row r="5005" spans="1:13" ht="25.5">
      <c r="A5005" s="313" t="str">
        <f t="shared" si="78"/>
        <v>MooringTypeCode_islandMooring</v>
      </c>
      <c r="B5005" s="330"/>
      <c r="C5005" s="334"/>
      <c r="D5005" s="188" t="s">
        <v>27254</v>
      </c>
      <c r="E5005" s="189" t="s">
        <v>27255</v>
      </c>
      <c r="F5005" s="162" t="s">
        <v>27256</v>
      </c>
      <c r="G5005" s="190"/>
      <c r="H5005" s="219"/>
      <c r="I5005" s="169">
        <v>110750</v>
      </c>
      <c r="J5005" s="304" t="str">
        <f>CONCATENATE([2]Cover!$D$6,"fdd/view?i=",I5005)</f>
        <v>https://www.dgiwg.org/FAD/fdd/view?i=110750</v>
      </c>
      <c r="K5005" s="304" t="s">
        <v>39054</v>
      </c>
      <c r="L5005" s="188">
        <v>3</v>
      </c>
      <c r="M5005" s="179" t="s">
        <v>151</v>
      </c>
    </row>
    <row r="5006" spans="1:13" ht="25.5">
      <c r="A5006" s="313" t="str">
        <f t="shared" si="78"/>
        <v>MooringTypeCode_swingMooring</v>
      </c>
      <c r="B5006" s="330"/>
      <c r="C5006" s="334"/>
      <c r="D5006" s="188" t="s">
        <v>27257</v>
      </c>
      <c r="E5006" s="189" t="s">
        <v>27258</v>
      </c>
      <c r="F5006" s="162" t="s">
        <v>27259</v>
      </c>
      <c r="G5006" s="190"/>
      <c r="H5006" s="219"/>
      <c r="I5006" s="169">
        <v>110751</v>
      </c>
      <c r="J5006" s="304" t="str">
        <f>CONCATENATE([2]Cover!$D$6,"fdd/view?i=",I5006)</f>
        <v>https://www.dgiwg.org/FAD/fdd/view?i=110751</v>
      </c>
      <c r="K5006" s="304" t="s">
        <v>39055</v>
      </c>
      <c r="L5006" s="188">
        <v>4</v>
      </c>
      <c r="M5006" s="179" t="s">
        <v>151</v>
      </c>
    </row>
    <row r="5007" spans="1:13">
      <c r="A5007" s="313" t="str">
        <f t="shared" si="78"/>
        <v>MooringTypeCode_trotMooring</v>
      </c>
      <c r="B5007" s="331"/>
      <c r="C5007" s="335"/>
      <c r="D5007" s="181" t="s">
        <v>27260</v>
      </c>
      <c r="E5007" s="192" t="s">
        <v>27261</v>
      </c>
      <c r="F5007" s="193" t="s">
        <v>27262</v>
      </c>
      <c r="G5007" s="194"/>
      <c r="H5007" s="220"/>
      <c r="I5007" s="169">
        <v>110752</v>
      </c>
      <c r="J5007" s="304" t="str">
        <f>CONCATENATE([2]Cover!$D$6,"fdd/view?i=",I5007)</f>
        <v>https://www.dgiwg.org/FAD/fdd/view?i=110752</v>
      </c>
      <c r="K5007" s="304" t="s">
        <v>39056</v>
      </c>
      <c r="L5007" s="181">
        <v>5</v>
      </c>
      <c r="M5007" s="179" t="s">
        <v>151</v>
      </c>
    </row>
    <row r="5008" spans="1:13" ht="25.5">
      <c r="A5008" s="313" t="str">
        <f t="shared" si="78"/>
        <v>NamedLocationTypeCode_arcticLand</v>
      </c>
      <c r="B5008" s="332" t="str">
        <f>HYPERLINK("[#]Datatypes!A922:L922","NamedLocationTypeCode")</f>
        <v>NamedLocationTypeCode</v>
      </c>
      <c r="C5008" s="333" t="s">
        <v>12506</v>
      </c>
      <c r="D5008" s="202" t="s">
        <v>27263</v>
      </c>
      <c r="E5008" s="203" t="s">
        <v>27264</v>
      </c>
      <c r="F5008" s="204" t="s">
        <v>27265</v>
      </c>
      <c r="G5008" s="205"/>
      <c r="H5008" s="218"/>
      <c r="I5008" s="169">
        <v>114339</v>
      </c>
      <c r="J5008" s="304" t="str">
        <f>CONCATENATE([2]Cover!$D$6,"fdd/view?i=",I5008)</f>
        <v>https://www.dgiwg.org/FAD/fdd/view?i=114339</v>
      </c>
      <c r="K5008" s="304" t="s">
        <v>39057</v>
      </c>
      <c r="L5008" s="202">
        <v>4</v>
      </c>
      <c r="M5008" s="179" t="s">
        <v>151</v>
      </c>
    </row>
    <row r="5009" spans="1:13">
      <c r="A5009" s="313" t="str">
        <f t="shared" si="78"/>
        <v>NamedLocationTypeCode_area</v>
      </c>
      <c r="B5009" s="330"/>
      <c r="C5009" s="334"/>
      <c r="D5009" s="188" t="s">
        <v>155</v>
      </c>
      <c r="E5009" s="189" t="s">
        <v>156</v>
      </c>
      <c r="F5009" s="162" t="s">
        <v>27266</v>
      </c>
      <c r="G5009" s="190"/>
      <c r="H5009" s="219"/>
      <c r="I5009" s="169">
        <v>114336</v>
      </c>
      <c r="J5009" s="304" t="str">
        <f>CONCATENATE([2]Cover!$D$6,"fdd/view?i=",I5009)</f>
        <v>https://www.dgiwg.org/FAD/fdd/view?i=114336</v>
      </c>
      <c r="K5009" s="304" t="s">
        <v>39058</v>
      </c>
      <c r="L5009" s="188">
        <v>1</v>
      </c>
      <c r="M5009" s="179" t="s">
        <v>151</v>
      </c>
    </row>
    <row r="5010" spans="1:13" ht="25.5">
      <c r="A5010" s="313" t="str">
        <f t="shared" si="78"/>
        <v>NamedLocationTypeCode_locality</v>
      </c>
      <c r="B5010" s="330"/>
      <c r="C5010" s="334"/>
      <c r="D5010" s="188" t="s">
        <v>27267</v>
      </c>
      <c r="E5010" s="189" t="s">
        <v>27268</v>
      </c>
      <c r="F5010" s="162" t="s">
        <v>27269</v>
      </c>
      <c r="G5010" s="190"/>
      <c r="H5010" s="219"/>
      <c r="I5010" s="169">
        <v>114337</v>
      </c>
      <c r="J5010" s="304" t="str">
        <f>CONCATENATE([2]Cover!$D$6,"fdd/view?i=",I5010)</f>
        <v>https://www.dgiwg.org/FAD/fdd/view?i=114337</v>
      </c>
      <c r="K5010" s="304" t="s">
        <v>39059</v>
      </c>
      <c r="L5010" s="188">
        <v>2</v>
      </c>
      <c r="M5010" s="179" t="s">
        <v>151</v>
      </c>
    </row>
    <row r="5011" spans="1:13" ht="25.5">
      <c r="A5011" s="313" t="str">
        <f t="shared" si="78"/>
        <v>NamedLocationTypeCode_populatedLocality</v>
      </c>
      <c r="B5011" s="330"/>
      <c r="C5011" s="334"/>
      <c r="D5011" s="188" t="s">
        <v>27270</v>
      </c>
      <c r="E5011" s="189" t="s">
        <v>27271</v>
      </c>
      <c r="F5011" s="162" t="s">
        <v>27272</v>
      </c>
      <c r="G5011" s="190"/>
      <c r="H5011" s="219"/>
      <c r="I5011" s="169">
        <v>114340</v>
      </c>
      <c r="J5011" s="304" t="str">
        <f>CONCATENATE([2]Cover!$D$6,"fdd/view?i=",I5011)</f>
        <v>https://www.dgiwg.org/FAD/fdd/view?i=114340</v>
      </c>
      <c r="K5011" s="304" t="s">
        <v>39060</v>
      </c>
      <c r="L5011" s="188">
        <v>5</v>
      </c>
      <c r="M5011" s="179" t="s">
        <v>151</v>
      </c>
    </row>
    <row r="5012" spans="1:13" ht="25.5">
      <c r="A5012" s="313" t="str">
        <f t="shared" si="78"/>
        <v>NamedLocationTypeCode_region</v>
      </c>
      <c r="B5012" s="331"/>
      <c r="C5012" s="335"/>
      <c r="D5012" s="181" t="s">
        <v>27273</v>
      </c>
      <c r="E5012" s="192" t="s">
        <v>27274</v>
      </c>
      <c r="F5012" s="193" t="s">
        <v>27275</v>
      </c>
      <c r="G5012" s="194"/>
      <c r="H5012" s="220"/>
      <c r="I5012" s="169">
        <v>114338</v>
      </c>
      <c r="J5012" s="304" t="str">
        <f>CONCATENATE([2]Cover!$D$6,"fdd/view?i=",I5012)</f>
        <v>https://www.dgiwg.org/FAD/fdd/view?i=114338</v>
      </c>
      <c r="K5012" s="304" t="s">
        <v>39061</v>
      </c>
      <c r="L5012" s="181">
        <v>3</v>
      </c>
      <c r="M5012" s="179" t="s">
        <v>151</v>
      </c>
    </row>
    <row r="5013" spans="1:13" ht="25.5">
      <c r="A5013" s="313" t="str">
        <f t="shared" si="78"/>
        <v>NationalMonIconCategoryCode_locallySignificant</v>
      </c>
      <c r="B5013" s="332" t="str">
        <f>HYPERLINK("[#]Datatypes!A924:L924","NationalMonIconCategoryCode")</f>
        <v>NationalMonIconCategoryCode</v>
      </c>
      <c r="C5013" s="333" t="s">
        <v>12508</v>
      </c>
      <c r="D5013" s="202" t="s">
        <v>27276</v>
      </c>
      <c r="E5013" s="203" t="s">
        <v>27277</v>
      </c>
      <c r="F5013" s="204" t="s">
        <v>27278</v>
      </c>
      <c r="G5013" s="205"/>
      <c r="H5013" s="218"/>
      <c r="I5013" s="169">
        <v>118896</v>
      </c>
      <c r="J5013" s="304" t="str">
        <f>CONCATENATE([2]Cover!$D$6,"fdd/view?i=",I5013)</f>
        <v>https://www.dgiwg.org/FAD/fdd/view?i=118896</v>
      </c>
      <c r="K5013" s="304" t="s">
        <v>39062</v>
      </c>
      <c r="L5013" s="202">
        <v>4</v>
      </c>
      <c r="M5013" s="179" t="s">
        <v>151</v>
      </c>
    </row>
    <row r="5014" spans="1:13" ht="25.5">
      <c r="A5014" s="313" t="str">
        <f t="shared" si="78"/>
        <v>NationalMonIconCategoryCode_nationallyCritical</v>
      </c>
      <c r="B5014" s="330"/>
      <c r="C5014" s="334"/>
      <c r="D5014" s="188" t="s">
        <v>27279</v>
      </c>
      <c r="E5014" s="189" t="s">
        <v>27280</v>
      </c>
      <c r="F5014" s="162" t="s">
        <v>27281</v>
      </c>
      <c r="G5014" s="190"/>
      <c r="H5014" s="219"/>
      <c r="I5014" s="169">
        <v>118893</v>
      </c>
      <c r="J5014" s="304" t="str">
        <f>CONCATENATE([2]Cover!$D$6,"fdd/view?i=",I5014)</f>
        <v>https://www.dgiwg.org/FAD/fdd/view?i=118893</v>
      </c>
      <c r="K5014" s="304" t="s">
        <v>39063</v>
      </c>
      <c r="L5014" s="188">
        <v>1</v>
      </c>
      <c r="M5014" s="179" t="s">
        <v>151</v>
      </c>
    </row>
    <row r="5015" spans="1:13" ht="25.5">
      <c r="A5015" s="313" t="str">
        <f t="shared" si="78"/>
        <v>NationalMonIconCategoryCode_nationallySignificant</v>
      </c>
      <c r="B5015" s="330"/>
      <c r="C5015" s="334"/>
      <c r="D5015" s="188" t="s">
        <v>27282</v>
      </c>
      <c r="E5015" s="189" t="s">
        <v>27283</v>
      </c>
      <c r="F5015" s="162" t="s">
        <v>27284</v>
      </c>
      <c r="G5015" s="190"/>
      <c r="H5015" s="219"/>
      <c r="I5015" s="169">
        <v>118894</v>
      </c>
      <c r="J5015" s="304" t="str">
        <f>CONCATENATE([2]Cover!$D$6,"fdd/view?i=",I5015)</f>
        <v>https://www.dgiwg.org/FAD/fdd/view?i=118894</v>
      </c>
      <c r="K5015" s="304" t="s">
        <v>39064</v>
      </c>
      <c r="L5015" s="188">
        <v>2</v>
      </c>
      <c r="M5015" s="179" t="s">
        <v>151</v>
      </c>
    </row>
    <row r="5016" spans="1:13" ht="25.5">
      <c r="A5016" s="313" t="str">
        <f t="shared" si="78"/>
        <v>NationalMonIconCategoryCode_regionallyCritical</v>
      </c>
      <c r="B5016" s="331"/>
      <c r="C5016" s="335"/>
      <c r="D5016" s="181" t="s">
        <v>27285</v>
      </c>
      <c r="E5016" s="192" t="s">
        <v>27286</v>
      </c>
      <c r="F5016" s="193" t="s">
        <v>27287</v>
      </c>
      <c r="G5016" s="194"/>
      <c r="H5016" s="220"/>
      <c r="I5016" s="169">
        <v>118895</v>
      </c>
      <c r="J5016" s="304" t="str">
        <f>CONCATENATE([2]Cover!$D$6,"fdd/view?i=",I5016)</f>
        <v>https://www.dgiwg.org/FAD/fdd/view?i=118895</v>
      </c>
      <c r="K5016" s="304" t="s">
        <v>39065</v>
      </c>
      <c r="L5016" s="181">
        <v>3</v>
      </c>
      <c r="M5016" s="179" t="s">
        <v>151</v>
      </c>
    </row>
    <row r="5017" spans="1:13" ht="25.5">
      <c r="A5017" s="313" t="str">
        <f t="shared" si="78"/>
        <v>NaturalPoolTypeCode_resurgence</v>
      </c>
      <c r="B5017" s="332" t="str">
        <f>HYPERLINK("[#]Datatypes!A926:L926","NaturalPoolTypeCode")</f>
        <v>NaturalPoolTypeCode</v>
      </c>
      <c r="C5017" s="333" t="s">
        <v>12510</v>
      </c>
      <c r="D5017" s="202" t="s">
        <v>27288</v>
      </c>
      <c r="E5017" s="203" t="s">
        <v>27289</v>
      </c>
      <c r="F5017" s="204" t="s">
        <v>27290</v>
      </c>
      <c r="G5017" s="205"/>
      <c r="H5017" s="218"/>
      <c r="I5017" s="169">
        <v>109931</v>
      </c>
      <c r="J5017" s="304" t="str">
        <f>CONCATENATE([2]Cover!$D$6,"fdd/view?i=",I5017)</f>
        <v>https://www.dgiwg.org/FAD/fdd/view?i=109931</v>
      </c>
      <c r="K5017" s="304" t="s">
        <v>39066</v>
      </c>
      <c r="L5017" s="202">
        <v>7</v>
      </c>
      <c r="M5017" s="179" t="s">
        <v>151</v>
      </c>
    </row>
    <row r="5018" spans="1:13">
      <c r="A5018" s="313" t="str">
        <f t="shared" si="78"/>
        <v>NaturalPoolTypeCode_spring</v>
      </c>
      <c r="B5018" s="330"/>
      <c r="C5018" s="334"/>
      <c r="D5018" s="188" t="s">
        <v>27291</v>
      </c>
      <c r="E5018" s="189" t="s">
        <v>27292</v>
      </c>
      <c r="F5018" s="162" t="s">
        <v>27293</v>
      </c>
      <c r="G5018" s="190"/>
      <c r="H5018" s="219"/>
      <c r="I5018" s="169">
        <v>109932</v>
      </c>
      <c r="J5018" s="304" t="str">
        <f>CONCATENATE([2]Cover!$D$6,"fdd/view?i=",I5018)</f>
        <v>https://www.dgiwg.org/FAD/fdd/view?i=109932</v>
      </c>
      <c r="K5018" s="304" t="s">
        <v>39067</v>
      </c>
      <c r="L5018" s="188">
        <v>4</v>
      </c>
      <c r="M5018" s="179" t="s">
        <v>151</v>
      </c>
    </row>
    <row r="5019" spans="1:13" ht="25.5">
      <c r="A5019" s="313" t="str">
        <f t="shared" si="78"/>
        <v>NaturalPoolTypeCode_walledInSpring</v>
      </c>
      <c r="B5019" s="331"/>
      <c r="C5019" s="335"/>
      <c r="D5019" s="181" t="s">
        <v>27294</v>
      </c>
      <c r="E5019" s="192" t="s">
        <v>27295</v>
      </c>
      <c r="F5019" s="193" t="s">
        <v>27296</v>
      </c>
      <c r="G5019" s="193" t="s">
        <v>27297</v>
      </c>
      <c r="H5019" s="220"/>
      <c r="I5019" s="169">
        <v>108397</v>
      </c>
      <c r="J5019" s="304" t="str">
        <f>CONCATENATE([2]Cover!$D$6,"fdd/view?i=",I5019)</f>
        <v>https://www.dgiwg.org/FAD/fdd/view?i=108397</v>
      </c>
      <c r="K5019" s="304" t="s">
        <v>39068</v>
      </c>
      <c r="L5019" s="181">
        <v>6</v>
      </c>
      <c r="M5019" s="179" t="s">
        <v>151</v>
      </c>
    </row>
    <row r="5020" spans="1:13" ht="102">
      <c r="A5020" s="313" t="str">
        <f t="shared" si="78"/>
        <v>NavaidClassCode_highAltitudeService</v>
      </c>
      <c r="B5020" s="332" t="str">
        <f>HYPERLINK("[#]Datatypes!A928:L928","NavaidClassCode")</f>
        <v>NavaidClassCode</v>
      </c>
      <c r="C5020" s="333" t="s">
        <v>12512</v>
      </c>
      <c r="D5020" s="202" t="s">
        <v>27298</v>
      </c>
      <c r="E5020" s="203" t="s">
        <v>27299</v>
      </c>
      <c r="F5020" s="204" t="s">
        <v>27300</v>
      </c>
      <c r="G5020" s="205"/>
      <c r="H5020" s="218"/>
      <c r="I5020" s="169">
        <v>202014</v>
      </c>
      <c r="J5020" s="304" t="str">
        <f>CONCATENATE([2]Cover!$D$6,"fdd/view?i=",I5020)</f>
        <v>https://www.dgiwg.org/FAD/fdd/view?i=202014</v>
      </c>
      <c r="K5020" s="304" t="s">
        <v>39069</v>
      </c>
      <c r="L5020" s="202">
        <v>6</v>
      </c>
      <c r="M5020" s="179" t="s">
        <v>1295</v>
      </c>
    </row>
    <row r="5021" spans="1:13" ht="38.25">
      <c r="A5021" s="313" t="str">
        <f t="shared" si="78"/>
        <v>NavaidClassCode_highPowerNdb</v>
      </c>
      <c r="B5021" s="330"/>
      <c r="C5021" s="334"/>
      <c r="D5021" s="188" t="s">
        <v>27301</v>
      </c>
      <c r="E5021" s="189" t="s">
        <v>27302</v>
      </c>
      <c r="F5021" s="162" t="s">
        <v>27303</v>
      </c>
      <c r="G5021" s="190"/>
      <c r="H5021" s="219"/>
      <c r="I5021" s="169">
        <v>202013</v>
      </c>
      <c r="J5021" s="304" t="str">
        <f>CONCATENATE([2]Cover!$D$6,"fdd/view?i=",I5021)</f>
        <v>https://www.dgiwg.org/FAD/fdd/view?i=202013</v>
      </c>
      <c r="K5021" s="304" t="s">
        <v>39070</v>
      </c>
      <c r="L5021" s="188">
        <v>5</v>
      </c>
      <c r="M5021" s="179" t="s">
        <v>1295</v>
      </c>
    </row>
    <row r="5022" spans="1:13" ht="38.25">
      <c r="A5022" s="313" t="str">
        <f t="shared" si="78"/>
        <v>NavaidClassCode_lowAltitudeService</v>
      </c>
      <c r="B5022" s="330"/>
      <c r="C5022" s="334"/>
      <c r="D5022" s="188" t="s">
        <v>27304</v>
      </c>
      <c r="E5022" s="189" t="s">
        <v>27305</v>
      </c>
      <c r="F5022" s="162" t="s">
        <v>27306</v>
      </c>
      <c r="G5022" s="190"/>
      <c r="H5022" s="219"/>
      <c r="I5022" s="169">
        <v>202010</v>
      </c>
      <c r="J5022" s="304" t="str">
        <f>CONCATENATE([2]Cover!$D$6,"fdd/view?i=",I5022)</f>
        <v>https://www.dgiwg.org/FAD/fdd/view?i=202010</v>
      </c>
      <c r="K5022" s="304" t="s">
        <v>39071</v>
      </c>
      <c r="L5022" s="188">
        <v>2</v>
      </c>
      <c r="M5022" s="179" t="s">
        <v>1295</v>
      </c>
    </row>
    <row r="5023" spans="1:13" ht="38.25">
      <c r="A5023" s="313" t="str">
        <f t="shared" si="78"/>
        <v>NavaidClassCode_lowPowerCompassLocator</v>
      </c>
      <c r="B5023" s="330"/>
      <c r="C5023" s="334"/>
      <c r="D5023" s="188" t="s">
        <v>27307</v>
      </c>
      <c r="E5023" s="189" t="s">
        <v>27308</v>
      </c>
      <c r="F5023" s="162" t="s">
        <v>27309</v>
      </c>
      <c r="G5023" s="190"/>
      <c r="H5023" s="219"/>
      <c r="I5023" s="169">
        <v>202015</v>
      </c>
      <c r="J5023" s="304" t="str">
        <f>CONCATENATE([2]Cover!$D$6,"fdd/view?i=",I5023)</f>
        <v>https://www.dgiwg.org/FAD/fdd/view?i=202015</v>
      </c>
      <c r="K5023" s="304" t="s">
        <v>39072</v>
      </c>
      <c r="L5023" s="188">
        <v>7</v>
      </c>
      <c r="M5023" s="179" t="s">
        <v>1295</v>
      </c>
    </row>
    <row r="5024" spans="1:13" ht="38.25">
      <c r="A5024" s="313" t="str">
        <f t="shared" si="78"/>
        <v>NavaidClassCode_lowPowerNdb</v>
      </c>
      <c r="B5024" s="330"/>
      <c r="C5024" s="334"/>
      <c r="D5024" s="188" t="s">
        <v>27310</v>
      </c>
      <c r="E5024" s="189" t="s">
        <v>27311</v>
      </c>
      <c r="F5024" s="162" t="s">
        <v>27312</v>
      </c>
      <c r="G5024" s="190"/>
      <c r="H5024" s="219"/>
      <c r="I5024" s="169">
        <v>202012</v>
      </c>
      <c r="J5024" s="304" t="str">
        <f>CONCATENATE([2]Cover!$D$6,"fdd/view?i=",I5024)</f>
        <v>https://www.dgiwg.org/FAD/fdd/view?i=202012</v>
      </c>
      <c r="K5024" s="304" t="s">
        <v>39073</v>
      </c>
      <c r="L5024" s="188">
        <v>4</v>
      </c>
      <c r="M5024" s="179" t="s">
        <v>1295</v>
      </c>
    </row>
    <row r="5025" spans="1:13" ht="38.25">
      <c r="A5025" s="313" t="str">
        <f t="shared" si="78"/>
        <v>NavaidClassCode_mediumPowerNdb</v>
      </c>
      <c r="B5025" s="330"/>
      <c r="C5025" s="334"/>
      <c r="D5025" s="188" t="s">
        <v>27313</v>
      </c>
      <c r="E5025" s="189" t="s">
        <v>27314</v>
      </c>
      <c r="F5025" s="162" t="s">
        <v>27315</v>
      </c>
      <c r="G5025" s="190"/>
      <c r="H5025" s="219"/>
      <c r="I5025" s="169">
        <v>202009</v>
      </c>
      <c r="J5025" s="304" t="str">
        <f>CONCATENATE([2]Cover!$D$6,"fdd/view?i=",I5025)</f>
        <v>https://www.dgiwg.org/FAD/fdd/view?i=202009</v>
      </c>
      <c r="K5025" s="304" t="s">
        <v>39074</v>
      </c>
      <c r="L5025" s="188">
        <v>1</v>
      </c>
      <c r="M5025" s="179" t="s">
        <v>1295</v>
      </c>
    </row>
    <row r="5026" spans="1:13" ht="51">
      <c r="A5026" s="313" t="str">
        <f t="shared" si="78"/>
        <v>NavaidClassCode_terminalAreaService</v>
      </c>
      <c r="B5026" s="331"/>
      <c r="C5026" s="335"/>
      <c r="D5026" s="181" t="s">
        <v>27316</v>
      </c>
      <c r="E5026" s="192" t="s">
        <v>27317</v>
      </c>
      <c r="F5026" s="193" t="s">
        <v>27318</v>
      </c>
      <c r="G5026" s="194"/>
      <c r="H5026" s="220"/>
      <c r="I5026" s="169">
        <v>202011</v>
      </c>
      <c r="J5026" s="304" t="str">
        <f>CONCATENATE([2]Cover!$D$6,"fdd/view?i=",I5026)</f>
        <v>https://www.dgiwg.org/FAD/fdd/view?i=202011</v>
      </c>
      <c r="K5026" s="304" t="s">
        <v>39075</v>
      </c>
      <c r="L5026" s="181">
        <v>3</v>
      </c>
      <c r="M5026" s="179" t="s">
        <v>1295</v>
      </c>
    </row>
    <row r="5027" spans="1:13" ht="38.25">
      <c r="A5027" s="313" t="str">
        <f t="shared" si="78"/>
        <v>NavalFiringPracticeTypeCode_abandNavalTrainMinefield</v>
      </c>
      <c r="B5027" s="332" t="str">
        <f>HYPERLINK("[#]Datatypes!A930:L930","NavalFiringPracticeTypeCode")</f>
        <v>NavalFiringPracticeTypeCode</v>
      </c>
      <c r="C5027" s="333" t="s">
        <v>12514</v>
      </c>
      <c r="D5027" s="202" t="s">
        <v>27319</v>
      </c>
      <c r="E5027" s="203" t="s">
        <v>27320</v>
      </c>
      <c r="F5027" s="204" t="s">
        <v>27321</v>
      </c>
      <c r="G5027" s="205"/>
      <c r="H5027" s="218"/>
      <c r="I5027" s="169">
        <v>111158</v>
      </c>
      <c r="J5027" s="304" t="str">
        <f>CONCATENATE([2]Cover!$D$6,"fdd/view?i=",I5027)</f>
        <v>https://www.dgiwg.org/FAD/fdd/view?i=111158</v>
      </c>
      <c r="K5027" s="304" t="s">
        <v>39076</v>
      </c>
      <c r="L5027" s="202">
        <v>1</v>
      </c>
      <c r="M5027" s="179" t="s">
        <v>151</v>
      </c>
    </row>
    <row r="5028" spans="1:13" ht="25.5">
      <c r="A5028" s="313" t="str">
        <f t="shared" si="78"/>
        <v>NavalFiringPracticeTypeCode_bombingStrafingTargetsArea</v>
      </c>
      <c r="B5028" s="330"/>
      <c r="C5028" s="334"/>
      <c r="D5028" s="188" t="s">
        <v>27322</v>
      </c>
      <c r="E5028" s="189" t="s">
        <v>27323</v>
      </c>
      <c r="F5028" s="162" t="s">
        <v>27324</v>
      </c>
      <c r="G5028" s="190"/>
      <c r="H5028" s="219"/>
      <c r="I5028" s="169">
        <v>111159</v>
      </c>
      <c r="J5028" s="304" t="str">
        <f>CONCATENATE([2]Cover!$D$6,"fdd/view?i=",I5028)</f>
        <v>https://www.dgiwg.org/FAD/fdd/view?i=111159</v>
      </c>
      <c r="K5028" s="304" t="s">
        <v>39077</v>
      </c>
      <c r="L5028" s="188">
        <v>2</v>
      </c>
      <c r="M5028" s="179" t="s">
        <v>151</v>
      </c>
    </row>
    <row r="5029" spans="1:13" ht="25.5">
      <c r="A5029" s="313" t="str">
        <f t="shared" si="78"/>
        <v>NavalFiringPracticeTypeCode_firingDangerArea</v>
      </c>
      <c r="B5029" s="330"/>
      <c r="C5029" s="334"/>
      <c r="D5029" s="188" t="s">
        <v>18611</v>
      </c>
      <c r="E5029" s="189" t="s">
        <v>18612</v>
      </c>
      <c r="F5029" s="162" t="s">
        <v>27325</v>
      </c>
      <c r="G5029" s="190"/>
      <c r="H5029" s="219"/>
      <c r="I5029" s="169">
        <v>111161</v>
      </c>
      <c r="J5029" s="304" t="str">
        <f>CONCATENATE([2]Cover!$D$6,"fdd/view?i=",I5029)</f>
        <v>https://www.dgiwg.org/FAD/fdd/view?i=111161</v>
      </c>
      <c r="K5029" s="304" t="s">
        <v>39078</v>
      </c>
      <c r="L5029" s="188">
        <v>4</v>
      </c>
      <c r="M5029" s="179" t="s">
        <v>151</v>
      </c>
    </row>
    <row r="5030" spans="1:13" ht="38.25">
      <c r="A5030" s="313" t="str">
        <f t="shared" si="78"/>
        <v>NavalFiringPracticeTypeCode_inwaterTrackingRange</v>
      </c>
      <c r="B5030" s="330"/>
      <c r="C5030" s="334"/>
      <c r="D5030" s="188" t="s">
        <v>27326</v>
      </c>
      <c r="E5030" s="189" t="s">
        <v>27327</v>
      </c>
      <c r="F5030" s="162" t="s">
        <v>27328</v>
      </c>
      <c r="G5030" s="190"/>
      <c r="H5030" s="219"/>
      <c r="I5030" s="169">
        <v>111162</v>
      </c>
      <c r="J5030" s="304" t="str">
        <f>CONCATENATE([2]Cover!$D$6,"fdd/view?i=",I5030)</f>
        <v>https://www.dgiwg.org/FAD/fdd/view?i=111162</v>
      </c>
      <c r="K5030" s="304" t="s">
        <v>39079</v>
      </c>
      <c r="L5030" s="188">
        <v>5</v>
      </c>
      <c r="M5030" s="179" t="s">
        <v>151</v>
      </c>
    </row>
    <row r="5031" spans="1:13" ht="25.5">
      <c r="A5031" s="313" t="str">
        <f t="shared" si="78"/>
        <v>NavalFiringPracticeTypeCode_mineLayingPracticeArea</v>
      </c>
      <c r="B5031" s="330"/>
      <c r="C5031" s="334"/>
      <c r="D5031" s="188" t="s">
        <v>27329</v>
      </c>
      <c r="E5031" s="189" t="s">
        <v>27330</v>
      </c>
      <c r="F5031" s="162" t="s">
        <v>27331</v>
      </c>
      <c r="G5031" s="190"/>
      <c r="H5031" s="219"/>
      <c r="I5031" s="169">
        <v>111163</v>
      </c>
      <c r="J5031" s="304" t="str">
        <f>CONCATENATE([2]Cover!$D$6,"fdd/view?i=",I5031)</f>
        <v>https://www.dgiwg.org/FAD/fdd/view?i=111163</v>
      </c>
      <c r="K5031" s="304" t="s">
        <v>39080</v>
      </c>
      <c r="L5031" s="188">
        <v>6</v>
      </c>
      <c r="M5031" s="179" t="s">
        <v>151</v>
      </c>
    </row>
    <row r="5032" spans="1:13" ht="25.5">
      <c r="A5032" s="313" t="str">
        <f t="shared" si="78"/>
        <v>NavalFiringPracticeTypeCode_missileFiringPracticeArea</v>
      </c>
      <c r="B5032" s="330"/>
      <c r="C5032" s="334"/>
      <c r="D5032" s="188" t="s">
        <v>27332</v>
      </c>
      <c r="E5032" s="189" t="s">
        <v>27333</v>
      </c>
      <c r="F5032" s="162" t="s">
        <v>27334</v>
      </c>
      <c r="G5032" s="162" t="s">
        <v>27335</v>
      </c>
      <c r="H5032" s="219"/>
      <c r="I5032" s="169">
        <v>111164</v>
      </c>
      <c r="J5032" s="304" t="str">
        <f>CONCATENATE([2]Cover!$D$6,"fdd/view?i=",I5032)</f>
        <v>https://www.dgiwg.org/FAD/fdd/view?i=111164</v>
      </c>
      <c r="K5032" s="304" t="s">
        <v>39081</v>
      </c>
      <c r="L5032" s="188">
        <v>7</v>
      </c>
      <c r="M5032" s="179" t="s">
        <v>151</v>
      </c>
    </row>
    <row r="5033" spans="1:13" ht="25.5">
      <c r="A5033" s="313" t="str">
        <f t="shared" si="78"/>
        <v>NavalFiringPracticeTypeCode_navalImpactArea</v>
      </c>
      <c r="B5033" s="330"/>
      <c r="C5033" s="334"/>
      <c r="D5033" s="188" t="s">
        <v>27336</v>
      </c>
      <c r="E5033" s="189" t="s">
        <v>27337</v>
      </c>
      <c r="F5033" s="162" t="s">
        <v>27338</v>
      </c>
      <c r="G5033" s="190"/>
      <c r="H5033" s="219"/>
      <c r="I5033" s="169">
        <v>111165</v>
      </c>
      <c r="J5033" s="304" t="str">
        <f>CONCATENATE([2]Cover!$D$6,"fdd/view?i=",I5033)</f>
        <v>https://www.dgiwg.org/FAD/fdd/view?i=111165</v>
      </c>
      <c r="K5033" s="304" t="s">
        <v>39082</v>
      </c>
      <c r="L5033" s="188">
        <v>8</v>
      </c>
      <c r="M5033" s="179" t="s">
        <v>151</v>
      </c>
    </row>
    <row r="5034" spans="1:13" ht="38.25">
      <c r="A5034" s="313" t="str">
        <f t="shared" si="78"/>
        <v>NavalFiringPracticeTypeCode_navalTrainingMinefield</v>
      </c>
      <c r="B5034" s="330"/>
      <c r="C5034" s="334"/>
      <c r="D5034" s="188" t="s">
        <v>27339</v>
      </c>
      <c r="E5034" s="189" t="s">
        <v>27340</v>
      </c>
      <c r="F5034" s="162" t="s">
        <v>27341</v>
      </c>
      <c r="G5034" s="162" t="s">
        <v>27342</v>
      </c>
      <c r="H5034" s="219"/>
      <c r="I5034" s="169">
        <v>111166</v>
      </c>
      <c r="J5034" s="304" t="str">
        <f>CONCATENATE([2]Cover!$D$6,"fdd/view?i=",I5034)</f>
        <v>https://www.dgiwg.org/FAD/fdd/view?i=111166</v>
      </c>
      <c r="K5034" s="304" t="s">
        <v>39083</v>
      </c>
      <c r="L5034" s="188">
        <v>9</v>
      </c>
      <c r="M5034" s="179" t="s">
        <v>151</v>
      </c>
    </row>
    <row r="5035" spans="1:13" ht="25.5">
      <c r="A5035" s="313" t="str">
        <f t="shared" si="78"/>
        <v>NavalFiringPracticeTypeCode_torpedoPracticeArea</v>
      </c>
      <c r="B5035" s="330"/>
      <c r="C5035" s="334"/>
      <c r="D5035" s="188" t="s">
        <v>27343</v>
      </c>
      <c r="E5035" s="189" t="s">
        <v>27344</v>
      </c>
      <c r="F5035" s="162" t="s">
        <v>27345</v>
      </c>
      <c r="G5035" s="190"/>
      <c r="H5035" s="219"/>
      <c r="I5035" s="169">
        <v>111167</v>
      </c>
      <c r="J5035" s="304" t="str">
        <f>CONCATENATE([2]Cover!$D$6,"fdd/view?i=",I5035)</f>
        <v>https://www.dgiwg.org/FAD/fdd/view?i=111167</v>
      </c>
      <c r="K5035" s="304" t="s">
        <v>39084</v>
      </c>
      <c r="L5035" s="188">
        <v>10</v>
      </c>
      <c r="M5035" s="179" t="s">
        <v>151</v>
      </c>
    </row>
    <row r="5036" spans="1:13" ht="25.5">
      <c r="A5036" s="313" t="str">
        <f t="shared" si="78"/>
        <v>NavalFiringPracticeTypeCode_weaponsRange</v>
      </c>
      <c r="B5036" s="331"/>
      <c r="C5036" s="335"/>
      <c r="D5036" s="181" t="s">
        <v>27346</v>
      </c>
      <c r="E5036" s="192" t="s">
        <v>27347</v>
      </c>
      <c r="F5036" s="193" t="s">
        <v>27348</v>
      </c>
      <c r="G5036" s="194"/>
      <c r="H5036" s="220"/>
      <c r="I5036" s="169">
        <v>111168</v>
      </c>
      <c r="J5036" s="304" t="str">
        <f>CONCATENATE([2]Cover!$D$6,"fdd/view?i=",I5036)</f>
        <v>https://www.dgiwg.org/FAD/fdd/view?i=111168</v>
      </c>
      <c r="K5036" s="304" t="s">
        <v>39085</v>
      </c>
      <c r="L5036" s="181">
        <v>11</v>
      </c>
      <c r="M5036" s="179" t="s">
        <v>151</v>
      </c>
    </row>
    <row r="5037" spans="1:13" ht="76.5">
      <c r="A5037" s="313" t="str">
        <f t="shared" si="78"/>
        <v>MineTacticalUseCode_antiHovercraft</v>
      </c>
      <c r="B5037" s="332" t="str">
        <f>HYPERLINK("[#]Datatypes!A932:L932","MineTacticalUseCode")</f>
        <v>MineTacticalUseCode</v>
      </c>
      <c r="C5037" s="333" t="s">
        <v>12516</v>
      </c>
      <c r="D5037" s="202" t="s">
        <v>27349</v>
      </c>
      <c r="E5037" s="203" t="s">
        <v>27350</v>
      </c>
      <c r="F5037" s="204" t="s">
        <v>27351</v>
      </c>
      <c r="G5037" s="204" t="s">
        <v>27352</v>
      </c>
      <c r="H5037" s="218"/>
      <c r="I5037" s="169">
        <v>105738</v>
      </c>
      <c r="J5037" s="304" t="str">
        <f>CONCATENATE([2]Cover!$D$6,"fdd/view?i=",I5037)</f>
        <v>https://www.dgiwg.org/FAD/fdd/view?i=105738</v>
      </c>
      <c r="K5037" s="304" t="s">
        <v>39086</v>
      </c>
      <c r="L5037" s="202">
        <v>3</v>
      </c>
      <c r="M5037" s="179" t="s">
        <v>151</v>
      </c>
    </row>
    <row r="5038" spans="1:13" ht="25.5">
      <c r="A5038" s="313" t="str">
        <f t="shared" si="78"/>
        <v>MineTacticalUseCode_antiHunter</v>
      </c>
      <c r="B5038" s="330"/>
      <c r="C5038" s="334"/>
      <c r="D5038" s="188" t="s">
        <v>27353</v>
      </c>
      <c r="E5038" s="189" t="s">
        <v>27354</v>
      </c>
      <c r="F5038" s="162" t="s">
        <v>27355</v>
      </c>
      <c r="G5038" s="162" t="s">
        <v>27356</v>
      </c>
      <c r="H5038" s="219"/>
      <c r="I5038" s="169">
        <v>105737</v>
      </c>
      <c r="J5038" s="304" t="str">
        <f>CONCATENATE([2]Cover!$D$6,"fdd/view?i=",I5038)</f>
        <v>https://www.dgiwg.org/FAD/fdd/view?i=105737</v>
      </c>
      <c r="K5038" s="304" t="s">
        <v>39087</v>
      </c>
      <c r="L5038" s="188">
        <v>2</v>
      </c>
      <c r="M5038" s="179" t="s">
        <v>151</v>
      </c>
    </row>
    <row r="5039" spans="1:13" ht="89.25">
      <c r="A5039" s="313" t="str">
        <f t="shared" si="78"/>
        <v>MineTacticalUseCode_antiMcmVessel</v>
      </c>
      <c r="B5039" s="330"/>
      <c r="C5039" s="334"/>
      <c r="D5039" s="188" t="s">
        <v>27357</v>
      </c>
      <c r="E5039" s="189" t="s">
        <v>27358</v>
      </c>
      <c r="F5039" s="162" t="s">
        <v>27359</v>
      </c>
      <c r="G5039" s="162" t="s">
        <v>27360</v>
      </c>
      <c r="H5039" s="219"/>
      <c r="I5039" s="169">
        <v>111257</v>
      </c>
      <c r="J5039" s="304" t="str">
        <f>CONCATENATE([2]Cover!$D$6,"fdd/view?i=",I5039)</f>
        <v>https://www.dgiwg.org/FAD/fdd/view?i=111257</v>
      </c>
      <c r="K5039" s="304" t="s">
        <v>39088</v>
      </c>
      <c r="L5039" s="188">
        <v>10</v>
      </c>
      <c r="M5039" s="179" t="s">
        <v>151</v>
      </c>
    </row>
    <row r="5040" spans="1:13" ht="38.25">
      <c r="A5040" s="313" t="str">
        <f t="shared" si="78"/>
        <v>MineTacticalUseCode_antiSurfaceEffectVehicle</v>
      </c>
      <c r="B5040" s="330"/>
      <c r="C5040" s="334"/>
      <c r="D5040" s="188" t="s">
        <v>27361</v>
      </c>
      <c r="E5040" s="189" t="s">
        <v>27362</v>
      </c>
      <c r="F5040" s="162" t="s">
        <v>27363</v>
      </c>
      <c r="G5040" s="190"/>
      <c r="H5040" s="219"/>
      <c r="I5040" s="169">
        <v>111258</v>
      </c>
      <c r="J5040" s="304" t="str">
        <f>CONCATENATE([2]Cover!$D$6,"fdd/view?i=",I5040)</f>
        <v>https://www.dgiwg.org/FAD/fdd/view?i=111258</v>
      </c>
      <c r="K5040" s="304" t="s">
        <v>39089</v>
      </c>
      <c r="L5040" s="188">
        <v>11</v>
      </c>
      <c r="M5040" s="179" t="s">
        <v>151</v>
      </c>
    </row>
    <row r="5041" spans="1:13" ht="89.25">
      <c r="A5041" s="313" t="str">
        <f t="shared" si="78"/>
        <v>MineTacticalUseCode_antiSweeper</v>
      </c>
      <c r="B5041" s="330"/>
      <c r="C5041" s="334"/>
      <c r="D5041" s="188" t="s">
        <v>27364</v>
      </c>
      <c r="E5041" s="189" t="s">
        <v>27365</v>
      </c>
      <c r="F5041" s="162" t="s">
        <v>27366</v>
      </c>
      <c r="G5041" s="162" t="s">
        <v>27367</v>
      </c>
      <c r="H5041" s="219"/>
      <c r="I5041" s="169">
        <v>105736</v>
      </c>
      <c r="J5041" s="304" t="str">
        <f>CONCATENATE([2]Cover!$D$6,"fdd/view?i=",I5041)</f>
        <v>https://www.dgiwg.org/FAD/fdd/view?i=105736</v>
      </c>
      <c r="K5041" s="304" t="s">
        <v>39090</v>
      </c>
      <c r="L5041" s="188">
        <v>1</v>
      </c>
      <c r="M5041" s="179" t="s">
        <v>151</v>
      </c>
    </row>
    <row r="5042" spans="1:13" ht="51">
      <c r="A5042" s="313" t="str">
        <f t="shared" si="78"/>
        <v>MineTacticalUseCode_drill</v>
      </c>
      <c r="B5042" s="330"/>
      <c r="C5042" s="334"/>
      <c r="D5042" s="188" t="s">
        <v>27368</v>
      </c>
      <c r="E5042" s="189" t="s">
        <v>27369</v>
      </c>
      <c r="F5042" s="162" t="s">
        <v>27370</v>
      </c>
      <c r="G5042" s="162" t="s">
        <v>27371</v>
      </c>
      <c r="H5042" s="219"/>
      <c r="I5042" s="169">
        <v>105739</v>
      </c>
      <c r="J5042" s="304" t="str">
        <f>CONCATENATE([2]Cover!$D$6,"fdd/view?i=",I5042)</f>
        <v>https://www.dgiwg.org/FAD/fdd/view?i=105739</v>
      </c>
      <c r="K5042" s="304" t="s">
        <v>39091</v>
      </c>
      <c r="L5042" s="188">
        <v>4</v>
      </c>
      <c r="M5042" s="179" t="s">
        <v>151</v>
      </c>
    </row>
    <row r="5043" spans="1:13" ht="89.25">
      <c r="A5043" s="313" t="str">
        <f t="shared" si="78"/>
        <v>MineTacticalUseCode_exercise</v>
      </c>
      <c r="B5043" s="330"/>
      <c r="C5043" s="334"/>
      <c r="D5043" s="188" t="s">
        <v>27372</v>
      </c>
      <c r="E5043" s="189" t="s">
        <v>27373</v>
      </c>
      <c r="F5043" s="162" t="s">
        <v>27374</v>
      </c>
      <c r="G5043" s="162" t="s">
        <v>27375</v>
      </c>
      <c r="H5043" s="219"/>
      <c r="I5043" s="169">
        <v>105742</v>
      </c>
      <c r="J5043" s="304" t="str">
        <f>CONCATENATE([2]Cover!$D$6,"fdd/view?i=",I5043)</f>
        <v>https://www.dgiwg.org/FAD/fdd/view?i=105742</v>
      </c>
      <c r="K5043" s="304" t="s">
        <v>39092</v>
      </c>
      <c r="L5043" s="188">
        <v>7</v>
      </c>
      <c r="M5043" s="179" t="s">
        <v>151</v>
      </c>
    </row>
    <row r="5044" spans="1:13" ht="38.25">
      <c r="A5044" s="313" t="str">
        <f t="shared" si="78"/>
        <v>MineTacticalUseCode_exerciseFilled</v>
      </c>
      <c r="B5044" s="330"/>
      <c r="C5044" s="334"/>
      <c r="D5044" s="188" t="s">
        <v>27376</v>
      </c>
      <c r="E5044" s="189" t="s">
        <v>27377</v>
      </c>
      <c r="F5044" s="162" t="s">
        <v>27378</v>
      </c>
      <c r="G5044" s="162" t="s">
        <v>27379</v>
      </c>
      <c r="H5044" s="219"/>
      <c r="I5044" s="169">
        <v>105741</v>
      </c>
      <c r="J5044" s="304" t="str">
        <f>CONCATENATE([2]Cover!$D$6,"fdd/view?i=",I5044)</f>
        <v>https://www.dgiwg.org/FAD/fdd/view?i=105741</v>
      </c>
      <c r="K5044" s="304" t="s">
        <v>39093</v>
      </c>
      <c r="L5044" s="188">
        <v>6</v>
      </c>
      <c r="M5044" s="179" t="s">
        <v>151</v>
      </c>
    </row>
    <row r="5045" spans="1:13" ht="38.25">
      <c r="A5045" s="313" t="str">
        <f t="shared" si="78"/>
        <v>MineTacticalUseCode_minehuntingSonarDecoy</v>
      </c>
      <c r="B5045" s="330"/>
      <c r="C5045" s="334"/>
      <c r="D5045" s="188" t="s">
        <v>27380</v>
      </c>
      <c r="E5045" s="189" t="s">
        <v>27381</v>
      </c>
      <c r="F5045" s="162" t="s">
        <v>27382</v>
      </c>
      <c r="G5045" s="162" t="s">
        <v>27383</v>
      </c>
      <c r="H5045" s="219"/>
      <c r="I5045" s="169">
        <v>111259</v>
      </c>
      <c r="J5045" s="304" t="str">
        <f>CONCATENATE([2]Cover!$D$6,"fdd/view?i=",I5045)</f>
        <v>https://www.dgiwg.org/FAD/fdd/view?i=111259</v>
      </c>
      <c r="K5045" s="304" t="s">
        <v>39094</v>
      </c>
      <c r="L5045" s="188">
        <v>12</v>
      </c>
      <c r="M5045" s="179" t="s">
        <v>151</v>
      </c>
    </row>
    <row r="5046" spans="1:13">
      <c r="A5046" s="313" t="str">
        <f t="shared" si="78"/>
        <v>MineTacticalUseCode_practice</v>
      </c>
      <c r="B5046" s="331"/>
      <c r="C5046" s="335"/>
      <c r="D5046" s="181" t="s">
        <v>27384</v>
      </c>
      <c r="E5046" s="192" t="s">
        <v>27385</v>
      </c>
      <c r="F5046" s="193" t="s">
        <v>27386</v>
      </c>
      <c r="G5046" s="194"/>
      <c r="H5046" s="220"/>
      <c r="I5046" s="169">
        <v>105743</v>
      </c>
      <c r="J5046" s="304" t="str">
        <f>CONCATENATE([2]Cover!$D$6,"fdd/view?i=",I5046)</f>
        <v>https://www.dgiwg.org/FAD/fdd/view?i=105743</v>
      </c>
      <c r="K5046" s="304" t="s">
        <v>39095</v>
      </c>
      <c r="L5046" s="181">
        <v>8</v>
      </c>
      <c r="M5046" s="179" t="s">
        <v>151</v>
      </c>
    </row>
    <row r="5047" spans="1:13" ht="25.5">
      <c r="A5047" s="313" t="str">
        <f t="shared" si="78"/>
        <v>NavalMinePositioningCode_antiInvasionMoored</v>
      </c>
      <c r="B5047" s="332" t="str">
        <f>HYPERLINK("[#]Datatypes!A934:L934","NavalMinePositioningCode")</f>
        <v>NavalMinePositioningCode</v>
      </c>
      <c r="C5047" s="333" t="s">
        <v>12518</v>
      </c>
      <c r="D5047" s="202" t="s">
        <v>27387</v>
      </c>
      <c r="E5047" s="203" t="s">
        <v>27388</v>
      </c>
      <c r="F5047" s="204" t="s">
        <v>27389</v>
      </c>
      <c r="G5047" s="204" t="s">
        <v>27390</v>
      </c>
      <c r="H5047" s="218"/>
      <c r="I5047" s="169">
        <v>111272</v>
      </c>
      <c r="J5047" s="304" t="str">
        <f>CONCATENATE([2]Cover!$D$6,"fdd/view?i=",I5047)</f>
        <v>https://www.dgiwg.org/FAD/fdd/view?i=111272</v>
      </c>
      <c r="K5047" s="304" t="s">
        <v>39096</v>
      </c>
      <c r="L5047" s="202">
        <v>7</v>
      </c>
      <c r="M5047" s="179" t="s">
        <v>151</v>
      </c>
    </row>
    <row r="5048" spans="1:13" ht="38.25">
      <c r="A5048" s="313" t="str">
        <f t="shared" si="78"/>
        <v>NavalMinePositioningCode_antiSubmarineDeep</v>
      </c>
      <c r="B5048" s="330"/>
      <c r="C5048" s="334"/>
      <c r="D5048" s="188" t="s">
        <v>27391</v>
      </c>
      <c r="E5048" s="189" t="s">
        <v>27392</v>
      </c>
      <c r="F5048" s="162" t="s">
        <v>27393</v>
      </c>
      <c r="G5048" s="162" t="s">
        <v>27394</v>
      </c>
      <c r="H5048" s="219"/>
      <c r="I5048" s="169">
        <v>111273</v>
      </c>
      <c r="J5048" s="304" t="str">
        <f>CONCATENATE([2]Cover!$D$6,"fdd/view?i=",I5048)</f>
        <v>https://www.dgiwg.org/FAD/fdd/view?i=111273</v>
      </c>
      <c r="K5048" s="304" t="s">
        <v>39097</v>
      </c>
      <c r="L5048" s="188">
        <v>8</v>
      </c>
      <c r="M5048" s="179" t="s">
        <v>151</v>
      </c>
    </row>
    <row r="5049" spans="1:13" ht="38.25">
      <c r="A5049" s="313" t="str">
        <f t="shared" si="78"/>
        <v>NavalMinePositioningCode_bouquet</v>
      </c>
      <c r="B5049" s="330"/>
      <c r="C5049" s="334"/>
      <c r="D5049" s="188" t="s">
        <v>27395</v>
      </c>
      <c r="E5049" s="189" t="s">
        <v>27396</v>
      </c>
      <c r="F5049" s="162" t="s">
        <v>27397</v>
      </c>
      <c r="G5049" s="162" t="s">
        <v>27398</v>
      </c>
      <c r="H5049" s="219"/>
      <c r="I5049" s="169">
        <v>111278</v>
      </c>
      <c r="J5049" s="304" t="str">
        <f>CONCATENATE([2]Cover!$D$6,"fdd/view?i=",I5049)</f>
        <v>https://www.dgiwg.org/FAD/fdd/view?i=111278</v>
      </c>
      <c r="K5049" s="304" t="s">
        <v>39098</v>
      </c>
      <c r="L5049" s="188">
        <v>13</v>
      </c>
      <c r="M5049" s="179" t="s">
        <v>151</v>
      </c>
    </row>
    <row r="5050" spans="1:13" ht="25.5">
      <c r="A5050" s="313" t="str">
        <f t="shared" si="78"/>
        <v>NavalMinePositioningCode_buoyantRising</v>
      </c>
      <c r="B5050" s="330"/>
      <c r="C5050" s="334"/>
      <c r="D5050" s="188" t="s">
        <v>27399</v>
      </c>
      <c r="E5050" s="189" t="s">
        <v>27400</v>
      </c>
      <c r="F5050" s="162" t="s">
        <v>27401</v>
      </c>
      <c r="G5050" s="190"/>
      <c r="H5050" s="219"/>
      <c r="I5050" s="169">
        <v>111275</v>
      </c>
      <c r="J5050" s="304" t="str">
        <f>CONCATENATE([2]Cover!$D$6,"fdd/view?i=",I5050)</f>
        <v>https://www.dgiwg.org/FAD/fdd/view?i=111275</v>
      </c>
      <c r="K5050" s="304" t="s">
        <v>39099</v>
      </c>
      <c r="L5050" s="188">
        <v>10</v>
      </c>
      <c r="M5050" s="179" t="s">
        <v>151</v>
      </c>
    </row>
    <row r="5051" spans="1:13" ht="51">
      <c r="A5051" s="313" t="str">
        <f t="shared" si="78"/>
        <v>NavalMinePositioningCode_closeTethered</v>
      </c>
      <c r="B5051" s="330"/>
      <c r="C5051" s="334"/>
      <c r="D5051" s="188" t="s">
        <v>27402</v>
      </c>
      <c r="E5051" s="189" t="s">
        <v>27403</v>
      </c>
      <c r="F5051" s="162" t="s">
        <v>27404</v>
      </c>
      <c r="G5051" s="162" t="s">
        <v>27405</v>
      </c>
      <c r="H5051" s="219"/>
      <c r="I5051" s="169">
        <v>111271</v>
      </c>
      <c r="J5051" s="304" t="str">
        <f>CONCATENATE([2]Cover!$D$6,"fdd/view?i=",I5051)</f>
        <v>https://www.dgiwg.org/FAD/fdd/view?i=111271</v>
      </c>
      <c r="K5051" s="304" t="s">
        <v>39100</v>
      </c>
      <c r="L5051" s="188">
        <v>6</v>
      </c>
      <c r="M5051" s="179" t="s">
        <v>151</v>
      </c>
    </row>
    <row r="5052" spans="1:13" ht="25.5">
      <c r="A5052" s="313" t="str">
        <f t="shared" si="78"/>
        <v>NavalMinePositioningCode_closeTetheredRising</v>
      </c>
      <c r="B5052" s="330"/>
      <c r="C5052" s="334"/>
      <c r="D5052" s="188" t="s">
        <v>27406</v>
      </c>
      <c r="E5052" s="189" t="s">
        <v>27407</v>
      </c>
      <c r="F5052" s="162" t="s">
        <v>27408</v>
      </c>
      <c r="G5052" s="190"/>
      <c r="H5052" s="219"/>
      <c r="I5052" s="169">
        <v>111277</v>
      </c>
      <c r="J5052" s="304" t="str">
        <f>CONCATENATE([2]Cover!$D$6,"fdd/view?i=",I5052)</f>
        <v>https://www.dgiwg.org/FAD/fdd/view?i=111277</v>
      </c>
      <c r="K5052" s="304" t="s">
        <v>39101</v>
      </c>
      <c r="L5052" s="188">
        <v>12</v>
      </c>
      <c r="M5052" s="179" t="s">
        <v>151</v>
      </c>
    </row>
    <row r="5053" spans="1:13" ht="38.25">
      <c r="A5053" s="313" t="str">
        <f t="shared" si="78"/>
        <v>NavalMinePositioningCode_creeping</v>
      </c>
      <c r="B5053" s="330"/>
      <c r="C5053" s="334"/>
      <c r="D5053" s="188" t="s">
        <v>27409</v>
      </c>
      <c r="E5053" s="189" t="s">
        <v>27410</v>
      </c>
      <c r="F5053" s="162" t="s">
        <v>27411</v>
      </c>
      <c r="G5053" s="190"/>
      <c r="H5053" s="219"/>
      <c r="I5053" s="169">
        <v>111279</v>
      </c>
      <c r="J5053" s="304" t="str">
        <f>CONCATENATE([2]Cover!$D$6,"fdd/view?i=",I5053)</f>
        <v>https://www.dgiwg.org/FAD/fdd/view?i=111279</v>
      </c>
      <c r="K5053" s="304" t="s">
        <v>39102</v>
      </c>
      <c r="L5053" s="188">
        <v>14</v>
      </c>
      <c r="M5053" s="179" t="s">
        <v>151</v>
      </c>
    </row>
    <row r="5054" spans="1:13" ht="25.5">
      <c r="A5054" s="313" t="str">
        <f t="shared" si="78"/>
        <v>NavalMinePositioningCode_drifting</v>
      </c>
      <c r="B5054" s="330"/>
      <c r="C5054" s="334"/>
      <c r="D5054" s="188" t="s">
        <v>27412</v>
      </c>
      <c r="E5054" s="189" t="s">
        <v>27413</v>
      </c>
      <c r="F5054" s="162" t="s">
        <v>27414</v>
      </c>
      <c r="G5054" s="190"/>
      <c r="H5054" s="219"/>
      <c r="I5054" s="169">
        <v>111282</v>
      </c>
      <c r="J5054" s="304" t="str">
        <f>CONCATENATE([2]Cover!$D$6,"fdd/view?i=",I5054)</f>
        <v>https://www.dgiwg.org/FAD/fdd/view?i=111282</v>
      </c>
      <c r="K5054" s="304" t="s">
        <v>39103</v>
      </c>
      <c r="L5054" s="188">
        <v>17</v>
      </c>
      <c r="M5054" s="179" t="s">
        <v>151</v>
      </c>
    </row>
    <row r="5055" spans="1:13">
      <c r="A5055" s="313" t="str">
        <f t="shared" si="78"/>
        <v>NavalMinePositioningCode_floating</v>
      </c>
      <c r="B5055" s="330"/>
      <c r="C5055" s="334"/>
      <c r="D5055" s="188" t="s">
        <v>7065</v>
      </c>
      <c r="E5055" s="189" t="s">
        <v>7066</v>
      </c>
      <c r="F5055" s="162" t="s">
        <v>27415</v>
      </c>
      <c r="G5055" s="162" t="s">
        <v>27416</v>
      </c>
      <c r="H5055" s="219"/>
      <c r="I5055" s="169">
        <v>111280</v>
      </c>
      <c r="J5055" s="304" t="str">
        <f>CONCATENATE([2]Cover!$D$6,"fdd/view?i=",I5055)</f>
        <v>https://www.dgiwg.org/FAD/fdd/view?i=111280</v>
      </c>
      <c r="K5055" s="304" t="s">
        <v>39104</v>
      </c>
      <c r="L5055" s="188">
        <v>15</v>
      </c>
      <c r="M5055" s="179" t="s">
        <v>151</v>
      </c>
    </row>
    <row r="5056" spans="1:13" ht="51">
      <c r="A5056" s="313" t="str">
        <f t="shared" si="78"/>
        <v>NavalMinePositioningCode_free</v>
      </c>
      <c r="B5056" s="330"/>
      <c r="C5056" s="334"/>
      <c r="D5056" s="188" t="s">
        <v>27417</v>
      </c>
      <c r="E5056" s="189" t="s">
        <v>27418</v>
      </c>
      <c r="F5056" s="162" t="s">
        <v>27419</v>
      </c>
      <c r="G5056" s="162" t="s">
        <v>27420</v>
      </c>
      <c r="H5056" s="219"/>
      <c r="I5056" s="169">
        <v>111283</v>
      </c>
      <c r="J5056" s="304" t="str">
        <f>CONCATENATE([2]Cover!$D$6,"fdd/view?i=",I5056)</f>
        <v>https://www.dgiwg.org/FAD/fdd/view?i=111283</v>
      </c>
      <c r="K5056" s="304" t="s">
        <v>39105</v>
      </c>
      <c r="L5056" s="188">
        <v>18</v>
      </c>
      <c r="M5056" s="179" t="s">
        <v>151</v>
      </c>
    </row>
    <row r="5057" spans="1:13" ht="51">
      <c r="A5057" s="313" t="str">
        <f t="shared" si="78"/>
        <v>NavalMinePositioningCode_ground</v>
      </c>
      <c r="B5057" s="330"/>
      <c r="C5057" s="334"/>
      <c r="D5057" s="188" t="s">
        <v>27421</v>
      </c>
      <c r="E5057" s="189" t="s">
        <v>27422</v>
      </c>
      <c r="F5057" s="162" t="s">
        <v>27423</v>
      </c>
      <c r="G5057" s="162" t="s">
        <v>27424</v>
      </c>
      <c r="H5057" s="219"/>
      <c r="I5057" s="169">
        <v>105782</v>
      </c>
      <c r="J5057" s="304" t="str">
        <f>CONCATENATE([2]Cover!$D$6,"fdd/view?i=",I5057)</f>
        <v>https://www.dgiwg.org/FAD/fdd/view?i=105782</v>
      </c>
      <c r="K5057" s="304" t="s">
        <v>39106</v>
      </c>
      <c r="L5057" s="188">
        <v>1</v>
      </c>
      <c r="M5057" s="179" t="s">
        <v>151</v>
      </c>
    </row>
    <row r="5058" spans="1:13" ht="63.75">
      <c r="A5058" s="313" t="str">
        <f t="shared" si="78"/>
        <v>NavalMinePositioningCode_moored</v>
      </c>
      <c r="B5058" s="330"/>
      <c r="C5058" s="334"/>
      <c r="D5058" s="188" t="s">
        <v>27425</v>
      </c>
      <c r="E5058" s="189" t="s">
        <v>27426</v>
      </c>
      <c r="F5058" s="162" t="s">
        <v>27427</v>
      </c>
      <c r="G5058" s="162" t="s">
        <v>27428</v>
      </c>
      <c r="H5058" s="219"/>
      <c r="I5058" s="169">
        <v>105783</v>
      </c>
      <c r="J5058" s="304" t="str">
        <f>CONCATENATE([2]Cover!$D$6,"fdd/view?i=",I5058)</f>
        <v>https://www.dgiwg.org/FAD/fdd/view?i=105783</v>
      </c>
      <c r="K5058" s="304" t="s">
        <v>39107</v>
      </c>
      <c r="L5058" s="188">
        <v>2</v>
      </c>
      <c r="M5058" s="179" t="s">
        <v>151</v>
      </c>
    </row>
    <row r="5059" spans="1:13" ht="38.25">
      <c r="A5059" s="313" t="str">
        <f t="shared" ref="A5059:A5122" si="79">HYPERLINK(J5059,K5059)</f>
        <v>NavalMinePositioningCode_oscillating</v>
      </c>
      <c r="B5059" s="330"/>
      <c r="C5059" s="334"/>
      <c r="D5059" s="188" t="s">
        <v>27429</v>
      </c>
      <c r="E5059" s="189" t="s">
        <v>27430</v>
      </c>
      <c r="F5059" s="162" t="s">
        <v>27431</v>
      </c>
      <c r="G5059" s="190"/>
      <c r="H5059" s="219"/>
      <c r="I5059" s="169">
        <v>111270</v>
      </c>
      <c r="J5059" s="304" t="str">
        <f>CONCATENATE([2]Cover!$D$6,"fdd/view?i=",I5059)</f>
        <v>https://www.dgiwg.org/FAD/fdd/view?i=111270</v>
      </c>
      <c r="K5059" s="304" t="s">
        <v>39108</v>
      </c>
      <c r="L5059" s="188">
        <v>5</v>
      </c>
      <c r="M5059" s="179" t="s">
        <v>151</v>
      </c>
    </row>
    <row r="5060" spans="1:13" ht="38.25">
      <c r="A5060" s="313" t="str">
        <f t="shared" si="79"/>
        <v>NavalMinePositioningCode_rising</v>
      </c>
      <c r="B5060" s="330"/>
      <c r="C5060" s="334"/>
      <c r="D5060" s="188" t="s">
        <v>27432</v>
      </c>
      <c r="E5060" s="189" t="s">
        <v>27433</v>
      </c>
      <c r="F5060" s="162" t="s">
        <v>27434</v>
      </c>
      <c r="G5060" s="162" t="s">
        <v>27435</v>
      </c>
      <c r="H5060" s="221" t="s">
        <v>27436</v>
      </c>
      <c r="I5060" s="169">
        <v>111274</v>
      </c>
      <c r="J5060" s="304" t="str">
        <f>CONCATENATE([2]Cover!$D$6,"fdd/view?i=",I5060)</f>
        <v>https://www.dgiwg.org/FAD/fdd/view?i=111274</v>
      </c>
      <c r="K5060" s="304" t="s">
        <v>39109</v>
      </c>
      <c r="L5060" s="188">
        <v>9</v>
      </c>
      <c r="M5060" s="179" t="s">
        <v>151</v>
      </c>
    </row>
    <row r="5061" spans="1:13" ht="38.25">
      <c r="A5061" s="313" t="str">
        <f t="shared" si="79"/>
        <v>NavalMinePositioningCode_rocketPropelledRising</v>
      </c>
      <c r="B5061" s="330"/>
      <c r="C5061" s="334"/>
      <c r="D5061" s="188" t="s">
        <v>27437</v>
      </c>
      <c r="E5061" s="189" t="s">
        <v>27438</v>
      </c>
      <c r="F5061" s="162" t="s">
        <v>27439</v>
      </c>
      <c r="G5061" s="190"/>
      <c r="H5061" s="219"/>
      <c r="I5061" s="169">
        <v>111276</v>
      </c>
      <c r="J5061" s="304" t="str">
        <f>CONCATENATE([2]Cover!$D$6,"fdd/view?i=",I5061)</f>
        <v>https://www.dgiwg.org/FAD/fdd/view?i=111276</v>
      </c>
      <c r="K5061" s="304" t="s">
        <v>39110</v>
      </c>
      <c r="L5061" s="188">
        <v>11</v>
      </c>
      <c r="M5061" s="179" t="s">
        <v>151</v>
      </c>
    </row>
    <row r="5062" spans="1:13" ht="38.25">
      <c r="A5062" s="313" t="str">
        <f t="shared" si="79"/>
        <v>NavalMinePositioningCode_watching</v>
      </c>
      <c r="B5062" s="331"/>
      <c r="C5062" s="335"/>
      <c r="D5062" s="181" t="s">
        <v>27440</v>
      </c>
      <c r="E5062" s="192" t="s">
        <v>27441</v>
      </c>
      <c r="F5062" s="193" t="s">
        <v>27442</v>
      </c>
      <c r="G5062" s="193" t="s">
        <v>27443</v>
      </c>
      <c r="H5062" s="220"/>
      <c r="I5062" s="169">
        <v>111281</v>
      </c>
      <c r="J5062" s="304" t="str">
        <f>CONCATENATE([2]Cover!$D$6,"fdd/view?i=",I5062)</f>
        <v>https://www.dgiwg.org/FAD/fdd/view?i=111281</v>
      </c>
      <c r="K5062" s="304" t="s">
        <v>39111</v>
      </c>
      <c r="L5062" s="181">
        <v>16</v>
      </c>
      <c r="M5062" s="179" t="s">
        <v>151</v>
      </c>
    </row>
    <row r="5063" spans="1:13" ht="25.5">
      <c r="A5063" s="313" t="str">
        <f t="shared" si="79"/>
        <v>NavalOperationsTypeCode_acronymAreaPurple</v>
      </c>
      <c r="B5063" s="332" t="str">
        <f>HYPERLINK("[#]Datatypes!A936:L936","NavalOperationsTypeCode")</f>
        <v>NavalOperationsTypeCode</v>
      </c>
      <c r="C5063" s="333" t="s">
        <v>12520</v>
      </c>
      <c r="D5063" s="202" t="s">
        <v>27444</v>
      </c>
      <c r="E5063" s="203" t="s">
        <v>27445</v>
      </c>
      <c r="F5063" s="205"/>
      <c r="G5063" s="205"/>
      <c r="H5063" s="218"/>
      <c r="I5063" s="169">
        <v>111332</v>
      </c>
      <c r="J5063" s="304" t="str">
        <f>CONCATENATE([2]Cover!$D$6,"fdd/view?i=",I5063)</f>
        <v>https://www.dgiwg.org/FAD/fdd/view?i=111332</v>
      </c>
      <c r="K5063" s="304" t="s">
        <v>39112</v>
      </c>
      <c r="L5063" s="202">
        <v>30</v>
      </c>
      <c r="M5063" s="179" t="s">
        <v>151</v>
      </c>
    </row>
    <row r="5064" spans="1:13" ht="25.5">
      <c r="A5064" s="313" t="str">
        <f t="shared" si="79"/>
        <v>NavalOperationsTypeCode_alcantGrid</v>
      </c>
      <c r="B5064" s="330"/>
      <c r="C5064" s="334"/>
      <c r="D5064" s="188" t="s">
        <v>27446</v>
      </c>
      <c r="E5064" s="189" t="s">
        <v>27447</v>
      </c>
      <c r="F5064" s="190"/>
      <c r="G5064" s="190"/>
      <c r="H5064" s="219"/>
      <c r="I5064" s="169">
        <v>111169</v>
      </c>
      <c r="J5064" s="304" t="str">
        <f>CONCATENATE([2]Cover!$D$6,"fdd/view?i=",I5064)</f>
        <v>https://www.dgiwg.org/FAD/fdd/view?i=111169</v>
      </c>
      <c r="K5064" s="304" t="s">
        <v>39113</v>
      </c>
      <c r="L5064" s="188">
        <v>1</v>
      </c>
      <c r="M5064" s="179" t="s">
        <v>151</v>
      </c>
    </row>
    <row r="5065" spans="1:13" ht="25.5">
      <c r="A5065" s="313" t="str">
        <f t="shared" si="79"/>
        <v>NavalOperationsTypeCode_areaFoxtrot</v>
      </c>
      <c r="B5065" s="330"/>
      <c r="C5065" s="334"/>
      <c r="D5065" s="188" t="s">
        <v>27448</v>
      </c>
      <c r="E5065" s="189" t="s">
        <v>27449</v>
      </c>
      <c r="F5065" s="190"/>
      <c r="G5065" s="190"/>
      <c r="H5065" s="219"/>
      <c r="I5065" s="169">
        <v>111327</v>
      </c>
      <c r="J5065" s="304" t="str">
        <f>CONCATENATE([2]Cover!$D$6,"fdd/view?i=",I5065)</f>
        <v>https://www.dgiwg.org/FAD/fdd/view?i=111327</v>
      </c>
      <c r="K5065" s="304" t="s">
        <v>39114</v>
      </c>
      <c r="L5065" s="188">
        <v>25</v>
      </c>
      <c r="M5065" s="179" t="s">
        <v>151</v>
      </c>
    </row>
    <row r="5066" spans="1:13" ht="25.5">
      <c r="A5066" s="313" t="str">
        <f t="shared" si="79"/>
        <v>NavalOperationsTypeCode_aswOperatingArea</v>
      </c>
      <c r="B5066" s="330"/>
      <c r="C5066" s="334"/>
      <c r="D5066" s="188" t="s">
        <v>27450</v>
      </c>
      <c r="E5066" s="189" t="s">
        <v>27451</v>
      </c>
      <c r="F5066" s="162" t="s">
        <v>27452</v>
      </c>
      <c r="G5066" s="162" t="s">
        <v>27453</v>
      </c>
      <c r="H5066" s="219"/>
      <c r="I5066" s="169">
        <v>111170</v>
      </c>
      <c r="J5066" s="304" t="str">
        <f>CONCATENATE([2]Cover!$D$6,"fdd/view?i=",I5066)</f>
        <v>https://www.dgiwg.org/FAD/fdd/view?i=111170</v>
      </c>
      <c r="K5066" s="304" t="s">
        <v>39115</v>
      </c>
      <c r="L5066" s="188">
        <v>2</v>
      </c>
      <c r="M5066" s="179" t="s">
        <v>151</v>
      </c>
    </row>
    <row r="5067" spans="1:13" ht="25.5">
      <c r="A5067" s="313" t="str">
        <f t="shared" si="79"/>
        <v>NavalOperationsTypeCode_diveTrainingArea</v>
      </c>
      <c r="B5067" s="330"/>
      <c r="C5067" s="334"/>
      <c r="D5067" s="188" t="s">
        <v>27454</v>
      </c>
      <c r="E5067" s="189" t="s">
        <v>27455</v>
      </c>
      <c r="F5067" s="162" t="s">
        <v>27456</v>
      </c>
      <c r="G5067" s="190"/>
      <c r="H5067" s="219"/>
      <c r="I5067" s="169">
        <v>111328</v>
      </c>
      <c r="J5067" s="304" t="str">
        <f>CONCATENATE([2]Cover!$D$6,"fdd/view?i=",I5067)</f>
        <v>https://www.dgiwg.org/FAD/fdd/view?i=111328</v>
      </c>
      <c r="K5067" s="304" t="s">
        <v>39116</v>
      </c>
      <c r="L5067" s="188">
        <v>26</v>
      </c>
      <c r="M5067" s="179" t="s">
        <v>151</v>
      </c>
    </row>
    <row r="5068" spans="1:13" ht="25.5">
      <c r="A5068" s="313" t="str">
        <f t="shared" si="79"/>
        <v>NavalOperationsTypeCode_fastPatrolBoatPosition</v>
      </c>
      <c r="B5068" s="330"/>
      <c r="C5068" s="334"/>
      <c r="D5068" s="188" t="s">
        <v>27457</v>
      </c>
      <c r="E5068" s="189" t="s">
        <v>27458</v>
      </c>
      <c r="F5068" s="162" t="s">
        <v>27459</v>
      </c>
      <c r="G5068" s="190"/>
      <c r="H5068" s="219"/>
      <c r="I5068" s="169">
        <v>111191</v>
      </c>
      <c r="J5068" s="304" t="str">
        <f>CONCATENATE([2]Cover!$D$6,"fdd/view?i=",I5068)</f>
        <v>https://www.dgiwg.org/FAD/fdd/view?i=111191</v>
      </c>
      <c r="K5068" s="304" t="s">
        <v>39117</v>
      </c>
      <c r="L5068" s="188">
        <v>23</v>
      </c>
      <c r="M5068" s="179" t="s">
        <v>151</v>
      </c>
    </row>
    <row r="5069" spans="1:13" ht="38.25">
      <c r="A5069" s="313" t="str">
        <f t="shared" si="79"/>
        <v>NavalOperationsTypeCode_foracsVLimit</v>
      </c>
      <c r="B5069" s="330"/>
      <c r="C5069" s="334"/>
      <c r="D5069" s="188" t="s">
        <v>27460</v>
      </c>
      <c r="E5069" s="189" t="s">
        <v>27461</v>
      </c>
      <c r="F5069" s="162" t="s">
        <v>27462</v>
      </c>
      <c r="G5069" s="190"/>
      <c r="H5069" s="219"/>
      <c r="I5069" s="169">
        <v>111329</v>
      </c>
      <c r="J5069" s="304" t="str">
        <f>CONCATENATE([2]Cover!$D$6,"fdd/view?i=",I5069)</f>
        <v>https://www.dgiwg.org/FAD/fdd/view?i=111329</v>
      </c>
      <c r="K5069" s="304" t="s">
        <v>39118</v>
      </c>
      <c r="L5069" s="188">
        <v>27</v>
      </c>
      <c r="M5069" s="179" t="s">
        <v>151</v>
      </c>
    </row>
    <row r="5070" spans="1:13" ht="38.25">
      <c r="A5070" s="313" t="str">
        <f t="shared" si="79"/>
        <v>NavalOperationsTypeCode_jenoaGrid</v>
      </c>
      <c r="B5070" s="330"/>
      <c r="C5070" s="334"/>
      <c r="D5070" s="188" t="s">
        <v>27463</v>
      </c>
      <c r="E5070" s="189" t="s">
        <v>27464</v>
      </c>
      <c r="F5070" s="162" t="s">
        <v>27465</v>
      </c>
      <c r="G5070" s="162" t="s">
        <v>27466</v>
      </c>
      <c r="H5070" s="219"/>
      <c r="I5070" s="169">
        <v>111171</v>
      </c>
      <c r="J5070" s="304" t="str">
        <f>CONCATENATE([2]Cover!$D$6,"fdd/view?i=",I5070)</f>
        <v>https://www.dgiwg.org/FAD/fdd/view?i=111171</v>
      </c>
      <c r="K5070" s="304" t="s">
        <v>39119</v>
      </c>
      <c r="L5070" s="188">
        <v>3</v>
      </c>
      <c r="M5070" s="179" t="s">
        <v>151</v>
      </c>
    </row>
    <row r="5071" spans="1:13" ht="25.5">
      <c r="A5071" s="313" t="str">
        <f t="shared" si="79"/>
        <v>NavalOperationsTypeCode_lcacArea</v>
      </c>
      <c r="B5071" s="330"/>
      <c r="C5071" s="334"/>
      <c r="D5071" s="188" t="s">
        <v>27467</v>
      </c>
      <c r="E5071" s="189" t="s">
        <v>27468</v>
      </c>
      <c r="F5071" s="162" t="s">
        <v>27469</v>
      </c>
      <c r="G5071" s="190"/>
      <c r="H5071" s="219"/>
      <c r="I5071" s="169">
        <v>111330</v>
      </c>
      <c r="J5071" s="304" t="str">
        <f>CONCATENATE([2]Cover!$D$6,"fdd/view?i=",I5071)</f>
        <v>https://www.dgiwg.org/FAD/fdd/view?i=111330</v>
      </c>
      <c r="K5071" s="304" t="s">
        <v>39120</v>
      </c>
      <c r="L5071" s="188">
        <v>28</v>
      </c>
      <c r="M5071" s="179" t="s">
        <v>151</v>
      </c>
    </row>
    <row r="5072" spans="1:13" ht="25.5">
      <c r="A5072" s="313" t="str">
        <f t="shared" si="79"/>
        <v>NavalOperationsTypeCode_majorNavalOperatingArea</v>
      </c>
      <c r="B5072" s="330"/>
      <c r="C5072" s="334"/>
      <c r="D5072" s="188" t="s">
        <v>27470</v>
      </c>
      <c r="E5072" s="189" t="s">
        <v>27471</v>
      </c>
      <c r="F5072" s="162" t="s">
        <v>27472</v>
      </c>
      <c r="G5072" s="162" t="s">
        <v>3278</v>
      </c>
      <c r="H5072" s="219"/>
      <c r="I5072" s="169">
        <v>111172</v>
      </c>
      <c r="J5072" s="304" t="str">
        <f>CONCATENATE([2]Cover!$D$6,"fdd/view?i=",I5072)</f>
        <v>https://www.dgiwg.org/FAD/fdd/view?i=111172</v>
      </c>
      <c r="K5072" s="304" t="s">
        <v>39121</v>
      </c>
      <c r="L5072" s="188">
        <v>4</v>
      </c>
      <c r="M5072" s="179" t="s">
        <v>151</v>
      </c>
    </row>
    <row r="5073" spans="1:13" ht="25.5">
      <c r="A5073" s="313" t="str">
        <f t="shared" si="79"/>
        <v>NavalOperationsTypeCode_mineSweptRegion</v>
      </c>
      <c r="B5073" s="330"/>
      <c r="C5073" s="334"/>
      <c r="D5073" s="188" t="s">
        <v>27473</v>
      </c>
      <c r="E5073" s="189" t="s">
        <v>27474</v>
      </c>
      <c r="F5073" s="162" t="s">
        <v>27475</v>
      </c>
      <c r="G5073" s="190"/>
      <c r="H5073" s="219"/>
      <c r="I5073" s="169">
        <v>111173</v>
      </c>
      <c r="J5073" s="304" t="str">
        <f>CONCATENATE([2]Cover!$D$6,"fdd/view?i=",I5073)</f>
        <v>https://www.dgiwg.org/FAD/fdd/view?i=111173</v>
      </c>
      <c r="K5073" s="304" t="s">
        <v>39122</v>
      </c>
      <c r="L5073" s="188">
        <v>5</v>
      </c>
      <c r="M5073" s="179" t="s">
        <v>151</v>
      </c>
    </row>
    <row r="5074" spans="1:13" ht="25.5">
      <c r="A5074" s="313" t="str">
        <f t="shared" si="79"/>
        <v>NavalOperationsTypeCode_minorNavalOperatingArea</v>
      </c>
      <c r="B5074" s="330"/>
      <c r="C5074" s="334"/>
      <c r="D5074" s="188" t="s">
        <v>27476</v>
      </c>
      <c r="E5074" s="189" t="s">
        <v>27477</v>
      </c>
      <c r="F5074" s="162" t="s">
        <v>27478</v>
      </c>
      <c r="G5074" s="162" t="s">
        <v>3278</v>
      </c>
      <c r="H5074" s="219"/>
      <c r="I5074" s="169">
        <v>111174</v>
      </c>
      <c r="J5074" s="304" t="str">
        <f>CONCATENATE([2]Cover!$D$6,"fdd/view?i=",I5074)</f>
        <v>https://www.dgiwg.org/FAD/fdd/view?i=111174</v>
      </c>
      <c r="K5074" s="304" t="s">
        <v>39123</v>
      </c>
      <c r="L5074" s="188">
        <v>6</v>
      </c>
      <c r="M5074" s="179" t="s">
        <v>151</v>
      </c>
    </row>
    <row r="5075" spans="1:13" ht="25.5">
      <c r="A5075" s="313" t="str">
        <f t="shared" si="79"/>
        <v>NavalOperationsTypeCode_namedOperatingArea</v>
      </c>
      <c r="B5075" s="330"/>
      <c r="C5075" s="334"/>
      <c r="D5075" s="188" t="s">
        <v>27479</v>
      </c>
      <c r="E5075" s="189" t="s">
        <v>27480</v>
      </c>
      <c r="F5075" s="190"/>
      <c r="G5075" s="190"/>
      <c r="H5075" s="219"/>
      <c r="I5075" s="169">
        <v>111175</v>
      </c>
      <c r="J5075" s="304" t="str">
        <f>CONCATENATE([2]Cover!$D$6,"fdd/view?i=",I5075)</f>
        <v>https://www.dgiwg.org/FAD/fdd/view?i=111175</v>
      </c>
      <c r="K5075" s="304" t="s">
        <v>39124</v>
      </c>
      <c r="L5075" s="188">
        <v>7</v>
      </c>
      <c r="M5075" s="179" t="s">
        <v>151</v>
      </c>
    </row>
    <row r="5076" spans="1:13" ht="25.5">
      <c r="A5076" s="313" t="str">
        <f t="shared" si="79"/>
        <v>NavalOperationsTypeCode_navalMinefield</v>
      </c>
      <c r="B5076" s="330"/>
      <c r="C5076" s="334"/>
      <c r="D5076" s="188" t="s">
        <v>27481</v>
      </c>
      <c r="E5076" s="189" t="s">
        <v>27482</v>
      </c>
      <c r="F5076" s="162" t="s">
        <v>27483</v>
      </c>
      <c r="G5076" s="190"/>
      <c r="H5076" s="219"/>
      <c r="I5076" s="169">
        <v>111176</v>
      </c>
      <c r="J5076" s="304" t="str">
        <f>CONCATENATE([2]Cover!$D$6,"fdd/view?i=",I5076)</f>
        <v>https://www.dgiwg.org/FAD/fdd/view?i=111176</v>
      </c>
      <c r="K5076" s="304" t="s">
        <v>39125</v>
      </c>
      <c r="L5076" s="188">
        <v>8</v>
      </c>
      <c r="M5076" s="179" t="s">
        <v>151</v>
      </c>
    </row>
    <row r="5077" spans="1:13" ht="25.5">
      <c r="A5077" s="313" t="str">
        <f t="shared" si="79"/>
        <v>NavalOperationsTypeCode_navalNotificationArea</v>
      </c>
      <c r="B5077" s="330"/>
      <c r="C5077" s="334"/>
      <c r="D5077" s="188" t="s">
        <v>27484</v>
      </c>
      <c r="E5077" s="189" t="s">
        <v>27485</v>
      </c>
      <c r="F5077" s="162" t="s">
        <v>27486</v>
      </c>
      <c r="G5077" s="190"/>
      <c r="H5077" s="219"/>
      <c r="I5077" s="169">
        <v>111177</v>
      </c>
      <c r="J5077" s="304" t="str">
        <f>CONCATENATE([2]Cover!$D$6,"fdd/view?i=",I5077)</f>
        <v>https://www.dgiwg.org/FAD/fdd/view?i=111177</v>
      </c>
      <c r="K5077" s="304" t="s">
        <v>39126</v>
      </c>
      <c r="L5077" s="188">
        <v>9</v>
      </c>
      <c r="M5077" s="179" t="s">
        <v>151</v>
      </c>
    </row>
    <row r="5078" spans="1:13" ht="25.5">
      <c r="A5078" s="313" t="str">
        <f t="shared" si="79"/>
        <v>NavalOperationsTypeCode_navalSafeBottomingArea</v>
      </c>
      <c r="B5078" s="330"/>
      <c r="C5078" s="334"/>
      <c r="D5078" s="188" t="s">
        <v>27487</v>
      </c>
      <c r="E5078" s="189" t="s">
        <v>27488</v>
      </c>
      <c r="F5078" s="162" t="s">
        <v>27489</v>
      </c>
      <c r="G5078" s="190"/>
      <c r="H5078" s="219"/>
      <c r="I5078" s="169">
        <v>111178</v>
      </c>
      <c r="J5078" s="304" t="str">
        <f>CONCATENATE([2]Cover!$D$6,"fdd/view?i=",I5078)</f>
        <v>https://www.dgiwg.org/FAD/fdd/view?i=111178</v>
      </c>
      <c r="K5078" s="304" t="s">
        <v>39127</v>
      </c>
      <c r="L5078" s="188">
        <v>10</v>
      </c>
      <c r="M5078" s="179" t="s">
        <v>151</v>
      </c>
    </row>
    <row r="5079" spans="1:13" ht="25.5">
      <c r="A5079" s="313" t="str">
        <f t="shared" si="79"/>
        <v>NavalOperationsTypeCode_navalSeaDefenceArea</v>
      </c>
      <c r="B5079" s="330"/>
      <c r="C5079" s="334"/>
      <c r="D5079" s="188" t="s">
        <v>27490</v>
      </c>
      <c r="E5079" s="189" t="s">
        <v>27491</v>
      </c>
      <c r="F5079" s="190"/>
      <c r="G5079" s="190"/>
      <c r="H5079" s="219"/>
      <c r="I5079" s="169">
        <v>111331</v>
      </c>
      <c r="J5079" s="304" t="str">
        <f>CONCATENATE([2]Cover!$D$6,"fdd/view?i=",I5079)</f>
        <v>https://www.dgiwg.org/FAD/fdd/view?i=111331</v>
      </c>
      <c r="K5079" s="304" t="s">
        <v>39128</v>
      </c>
      <c r="L5079" s="188">
        <v>29</v>
      </c>
      <c r="M5079" s="179" t="s">
        <v>151</v>
      </c>
    </row>
    <row r="5080" spans="1:13" ht="25.5">
      <c r="A5080" s="313" t="str">
        <f t="shared" si="79"/>
        <v>NavalOperationsTypeCode_navalVesselTesting</v>
      </c>
      <c r="B5080" s="330"/>
      <c r="C5080" s="334"/>
      <c r="D5080" s="188" t="s">
        <v>27492</v>
      </c>
      <c r="E5080" s="189" t="s">
        <v>27493</v>
      </c>
      <c r="F5080" s="162" t="s">
        <v>27494</v>
      </c>
      <c r="G5080" s="162" t="s">
        <v>27495</v>
      </c>
      <c r="H5080" s="221" t="s">
        <v>27496</v>
      </c>
      <c r="I5080" s="169">
        <v>111179</v>
      </c>
      <c r="J5080" s="304" t="str">
        <f>CONCATENATE([2]Cover!$D$6,"fdd/view?i=",I5080)</f>
        <v>https://www.dgiwg.org/FAD/fdd/view?i=111179</v>
      </c>
      <c r="K5080" s="304" t="s">
        <v>39129</v>
      </c>
      <c r="L5080" s="188">
        <v>11</v>
      </c>
      <c r="M5080" s="179" t="s">
        <v>151</v>
      </c>
    </row>
    <row r="5081" spans="1:13" ht="25.5">
      <c r="A5081" s="313" t="str">
        <f t="shared" si="79"/>
        <v>NavalOperationsTypeCode_rendezvousLocation</v>
      </c>
      <c r="B5081" s="330"/>
      <c r="C5081" s="334"/>
      <c r="D5081" s="188" t="s">
        <v>27497</v>
      </c>
      <c r="E5081" s="189" t="s">
        <v>27498</v>
      </c>
      <c r="F5081" s="162" t="s">
        <v>27499</v>
      </c>
      <c r="G5081" s="190"/>
      <c r="H5081" s="219"/>
      <c r="I5081" s="169">
        <v>111192</v>
      </c>
      <c r="J5081" s="304" t="str">
        <f>CONCATENATE([2]Cover!$D$6,"fdd/view?i=",I5081)</f>
        <v>https://www.dgiwg.org/FAD/fdd/view?i=111192</v>
      </c>
      <c r="K5081" s="304" t="s">
        <v>39130</v>
      </c>
      <c r="L5081" s="188">
        <v>24</v>
      </c>
      <c r="M5081" s="179" t="s">
        <v>151</v>
      </c>
    </row>
    <row r="5082" spans="1:13" ht="25.5">
      <c r="A5082" s="313" t="str">
        <f t="shared" si="79"/>
        <v>NavalOperationsTypeCode_submarineExerciseArea</v>
      </c>
      <c r="B5082" s="330"/>
      <c r="C5082" s="334"/>
      <c r="D5082" s="188" t="s">
        <v>27500</v>
      </c>
      <c r="E5082" s="189" t="s">
        <v>27501</v>
      </c>
      <c r="F5082" s="162" t="s">
        <v>27502</v>
      </c>
      <c r="G5082" s="190"/>
      <c r="H5082" s="219"/>
      <c r="I5082" s="169">
        <v>111182</v>
      </c>
      <c r="J5082" s="304" t="str">
        <f>CONCATENATE([2]Cover!$D$6,"fdd/view?i=",I5082)</f>
        <v>https://www.dgiwg.org/FAD/fdd/view?i=111182</v>
      </c>
      <c r="K5082" s="304" t="s">
        <v>39131</v>
      </c>
      <c r="L5082" s="188">
        <v>14</v>
      </c>
      <c r="M5082" s="179" t="s">
        <v>151</v>
      </c>
    </row>
    <row r="5083" spans="1:13" ht="25.5">
      <c r="A5083" s="313" t="str">
        <f t="shared" si="79"/>
        <v>NavalOperationsTypeCode_submarineOperatingArea</v>
      </c>
      <c r="B5083" s="330"/>
      <c r="C5083" s="334"/>
      <c r="D5083" s="188" t="s">
        <v>27503</v>
      </c>
      <c r="E5083" s="189" t="s">
        <v>27504</v>
      </c>
      <c r="F5083" s="162" t="s">
        <v>27505</v>
      </c>
      <c r="G5083" s="190"/>
      <c r="H5083" s="219"/>
      <c r="I5083" s="169">
        <v>111183</v>
      </c>
      <c r="J5083" s="304" t="str">
        <f>CONCATENATE([2]Cover!$D$6,"fdd/view?i=",I5083)</f>
        <v>https://www.dgiwg.org/FAD/fdd/view?i=111183</v>
      </c>
      <c r="K5083" s="304" t="s">
        <v>39132</v>
      </c>
      <c r="L5083" s="188">
        <v>15</v>
      </c>
      <c r="M5083" s="179" t="s">
        <v>151</v>
      </c>
    </row>
    <row r="5084" spans="1:13" ht="38.25">
      <c r="A5084" s="313" t="str">
        <f t="shared" si="79"/>
        <v>NavalOperationsTypeCode_submarineStovepipe</v>
      </c>
      <c r="B5084" s="330"/>
      <c r="C5084" s="334"/>
      <c r="D5084" s="188" t="s">
        <v>27506</v>
      </c>
      <c r="E5084" s="189" t="s">
        <v>27507</v>
      </c>
      <c r="F5084" s="162" t="s">
        <v>27508</v>
      </c>
      <c r="G5084" s="190"/>
      <c r="H5084" s="219"/>
      <c r="I5084" s="169">
        <v>111184</v>
      </c>
      <c r="J5084" s="304" t="str">
        <f>CONCATENATE([2]Cover!$D$6,"fdd/view?i=",I5084)</f>
        <v>https://www.dgiwg.org/FAD/fdd/view?i=111184</v>
      </c>
      <c r="K5084" s="304" t="s">
        <v>39133</v>
      </c>
      <c r="L5084" s="188">
        <v>16</v>
      </c>
      <c r="M5084" s="179" t="s">
        <v>151</v>
      </c>
    </row>
    <row r="5085" spans="1:13" ht="25.5">
      <c r="A5085" s="313" t="str">
        <f t="shared" si="79"/>
        <v>NavalOperationsTypeCode_submarineTransitLaneSub</v>
      </c>
      <c r="B5085" s="330"/>
      <c r="C5085" s="334"/>
      <c r="D5085" s="188" t="s">
        <v>27509</v>
      </c>
      <c r="E5085" s="189" t="s">
        <v>27510</v>
      </c>
      <c r="F5085" s="162" t="s">
        <v>27511</v>
      </c>
      <c r="G5085" s="190"/>
      <c r="H5085" s="219"/>
      <c r="I5085" s="169">
        <v>111185</v>
      </c>
      <c r="J5085" s="304" t="str">
        <f>CONCATENATE([2]Cover!$D$6,"fdd/view?i=",I5085)</f>
        <v>https://www.dgiwg.org/FAD/fdd/view?i=111185</v>
      </c>
      <c r="K5085" s="304" t="s">
        <v>39134</v>
      </c>
      <c r="L5085" s="188">
        <v>17</v>
      </c>
      <c r="M5085" s="179" t="s">
        <v>151</v>
      </c>
    </row>
    <row r="5086" spans="1:13" ht="25.5">
      <c r="A5086" s="313" t="str">
        <f t="shared" si="79"/>
        <v>NavalOperationsTypeCode_submarineTransitLaneSurf</v>
      </c>
      <c r="B5086" s="330"/>
      <c r="C5086" s="334"/>
      <c r="D5086" s="188" t="s">
        <v>27512</v>
      </c>
      <c r="E5086" s="189" t="s">
        <v>27513</v>
      </c>
      <c r="F5086" s="162" t="s">
        <v>27514</v>
      </c>
      <c r="G5086" s="190"/>
      <c r="H5086" s="219"/>
      <c r="I5086" s="169">
        <v>111186</v>
      </c>
      <c r="J5086" s="304" t="str">
        <f>CONCATENATE([2]Cover!$D$6,"fdd/view?i=",I5086)</f>
        <v>https://www.dgiwg.org/FAD/fdd/view?i=111186</v>
      </c>
      <c r="K5086" s="304" t="s">
        <v>39135</v>
      </c>
      <c r="L5086" s="188">
        <v>18</v>
      </c>
      <c r="M5086" s="179" t="s">
        <v>151</v>
      </c>
    </row>
    <row r="5087" spans="1:13" ht="25.5">
      <c r="A5087" s="313" t="str">
        <f t="shared" si="79"/>
        <v>NavalOperationsTypeCode_surfaceFreeLane</v>
      </c>
      <c r="B5087" s="330"/>
      <c r="C5087" s="334"/>
      <c r="D5087" s="188" t="s">
        <v>27515</v>
      </c>
      <c r="E5087" s="189" t="s">
        <v>27516</v>
      </c>
      <c r="F5087" s="162" t="s">
        <v>27517</v>
      </c>
      <c r="G5087" s="190"/>
      <c r="H5087" s="219"/>
      <c r="I5087" s="169">
        <v>111188</v>
      </c>
      <c r="J5087" s="304" t="str">
        <f>CONCATENATE([2]Cover!$D$6,"fdd/view?i=",I5087)</f>
        <v>https://www.dgiwg.org/FAD/fdd/view?i=111188</v>
      </c>
      <c r="K5087" s="304" t="s">
        <v>39136</v>
      </c>
      <c r="L5087" s="188">
        <v>20</v>
      </c>
      <c r="M5087" s="179" t="s">
        <v>151</v>
      </c>
    </row>
    <row r="5088" spans="1:13" ht="25.5">
      <c r="A5088" s="313" t="str">
        <f t="shared" si="79"/>
        <v>NavalOperationsTypeCode_surfaceShipSafetyLane</v>
      </c>
      <c r="B5088" s="330"/>
      <c r="C5088" s="334"/>
      <c r="D5088" s="188" t="s">
        <v>27518</v>
      </c>
      <c r="E5088" s="189" t="s">
        <v>27519</v>
      </c>
      <c r="F5088" s="162" t="s">
        <v>27520</v>
      </c>
      <c r="G5088" s="190"/>
      <c r="H5088" s="219"/>
      <c r="I5088" s="169">
        <v>111189</v>
      </c>
      <c r="J5088" s="304" t="str">
        <f>CONCATENATE([2]Cover!$D$6,"fdd/view?i=",I5088)</f>
        <v>https://www.dgiwg.org/FAD/fdd/view?i=111189</v>
      </c>
      <c r="K5088" s="304" t="s">
        <v>39137</v>
      </c>
      <c r="L5088" s="188">
        <v>21</v>
      </c>
      <c r="M5088" s="179" t="s">
        <v>151</v>
      </c>
    </row>
    <row r="5089" spans="1:13" ht="51">
      <c r="A5089" s="313" t="str">
        <f t="shared" si="79"/>
        <v>NavalOperationsTypeCode_underwaterTelephoneTest</v>
      </c>
      <c r="B5089" s="331"/>
      <c r="C5089" s="335"/>
      <c r="D5089" s="181" t="s">
        <v>27521</v>
      </c>
      <c r="E5089" s="192" t="s">
        <v>27522</v>
      </c>
      <c r="F5089" s="193" t="s">
        <v>27523</v>
      </c>
      <c r="G5089" s="193" t="s">
        <v>27524</v>
      </c>
      <c r="H5089" s="220"/>
      <c r="I5089" s="169">
        <v>111190</v>
      </c>
      <c r="J5089" s="304" t="str">
        <f>CONCATENATE([2]Cover!$D$6,"fdd/view?i=",I5089)</f>
        <v>https://www.dgiwg.org/FAD/fdd/view?i=111190</v>
      </c>
      <c r="K5089" s="304" t="s">
        <v>39138</v>
      </c>
      <c r="L5089" s="181">
        <v>22</v>
      </c>
      <c r="M5089" s="179" t="s">
        <v>151</v>
      </c>
    </row>
    <row r="5090" spans="1:13" ht="25.5">
      <c r="A5090" s="313" t="str">
        <f t="shared" si="79"/>
        <v>NavigabilityInformationCode_navigable</v>
      </c>
      <c r="B5090" s="332" t="str">
        <f>HYPERLINK("[#]Datatypes!A938:L938","NavigabilityInformationCode")</f>
        <v>NavigabilityInformationCode</v>
      </c>
      <c r="C5090" s="333" t="s">
        <v>12522</v>
      </c>
      <c r="D5090" s="202" t="s">
        <v>27525</v>
      </c>
      <c r="E5090" s="203" t="s">
        <v>27526</v>
      </c>
      <c r="F5090" s="204" t="s">
        <v>27527</v>
      </c>
      <c r="G5090" s="205"/>
      <c r="H5090" s="218"/>
      <c r="I5090" s="169">
        <v>106175</v>
      </c>
      <c r="J5090" s="304" t="str">
        <f>CONCATENATE([2]Cover!$D$6,"fdd/view?i=",I5090)</f>
        <v>https://www.dgiwg.org/FAD/fdd/view?i=106175</v>
      </c>
      <c r="K5090" s="304" t="s">
        <v>39139</v>
      </c>
      <c r="L5090" s="202">
        <v>3</v>
      </c>
      <c r="M5090" s="179" t="s">
        <v>151</v>
      </c>
    </row>
    <row r="5091" spans="1:13" ht="38.25">
      <c r="A5091" s="313" t="str">
        <f t="shared" si="79"/>
        <v>NavigabilityInformationCode_navigableAndOperational</v>
      </c>
      <c r="B5091" s="330"/>
      <c r="C5091" s="334"/>
      <c r="D5091" s="188" t="s">
        <v>27528</v>
      </c>
      <c r="E5091" s="189" t="s">
        <v>27529</v>
      </c>
      <c r="F5091" s="162" t="s">
        <v>27530</v>
      </c>
      <c r="G5091" s="162" t="s">
        <v>27531</v>
      </c>
      <c r="H5091" s="219"/>
      <c r="I5091" s="169">
        <v>106173</v>
      </c>
      <c r="J5091" s="304" t="str">
        <f>CONCATENATE([2]Cover!$D$6,"fdd/view?i=",I5091)</f>
        <v>https://www.dgiwg.org/FAD/fdd/view?i=106173</v>
      </c>
      <c r="K5091" s="304" t="s">
        <v>39140</v>
      </c>
      <c r="L5091" s="188">
        <v>1</v>
      </c>
      <c r="M5091" s="179" t="s">
        <v>151</v>
      </c>
    </row>
    <row r="5092" spans="1:13" ht="25.5">
      <c r="A5092" s="313" t="str">
        <f t="shared" si="79"/>
        <v>NavigabilityInformationCode_navigableButAbandoned</v>
      </c>
      <c r="B5092" s="330"/>
      <c r="C5092" s="334"/>
      <c r="D5092" s="188" t="s">
        <v>27532</v>
      </c>
      <c r="E5092" s="189" t="s">
        <v>27533</v>
      </c>
      <c r="F5092" s="162" t="s">
        <v>27534</v>
      </c>
      <c r="G5092" s="162" t="s">
        <v>27535</v>
      </c>
      <c r="H5092" s="219"/>
      <c r="I5092" s="169">
        <v>106174</v>
      </c>
      <c r="J5092" s="304" t="str">
        <f>CONCATENATE([2]Cover!$D$6,"fdd/view?i=",I5092)</f>
        <v>https://www.dgiwg.org/FAD/fdd/view?i=106174</v>
      </c>
      <c r="K5092" s="304" t="s">
        <v>39141</v>
      </c>
      <c r="L5092" s="188">
        <v>2</v>
      </c>
      <c r="M5092" s="179" t="s">
        <v>151</v>
      </c>
    </row>
    <row r="5093" spans="1:13" ht="25.5">
      <c r="A5093" s="313" t="str">
        <f t="shared" si="79"/>
        <v>NavigabilityInformationCode_navigablePeriodicRestrict</v>
      </c>
      <c r="B5093" s="330"/>
      <c r="C5093" s="334"/>
      <c r="D5093" s="188" t="s">
        <v>27536</v>
      </c>
      <c r="E5093" s="189" t="s">
        <v>27537</v>
      </c>
      <c r="F5093" s="162" t="s">
        <v>27538</v>
      </c>
      <c r="G5093" s="162" t="s">
        <v>27539</v>
      </c>
      <c r="H5093" s="219"/>
      <c r="I5093" s="169">
        <v>106176</v>
      </c>
      <c r="J5093" s="304" t="str">
        <f>CONCATENATE([2]Cover!$D$6,"fdd/view?i=",I5093)</f>
        <v>https://www.dgiwg.org/FAD/fdd/view?i=106176</v>
      </c>
      <c r="K5093" s="304" t="s">
        <v>39142</v>
      </c>
      <c r="L5093" s="188">
        <v>4</v>
      </c>
      <c r="M5093" s="179" t="s">
        <v>151</v>
      </c>
    </row>
    <row r="5094" spans="1:13" ht="25.5">
      <c r="A5094" s="313" t="str">
        <f t="shared" si="79"/>
        <v>NavigabilityInformationCode_notNavigable</v>
      </c>
      <c r="B5094" s="331"/>
      <c r="C5094" s="335"/>
      <c r="D5094" s="181" t="s">
        <v>27540</v>
      </c>
      <c r="E5094" s="192" t="s">
        <v>27541</v>
      </c>
      <c r="F5094" s="193" t="s">
        <v>27542</v>
      </c>
      <c r="G5094" s="194"/>
      <c r="H5094" s="220"/>
      <c r="I5094" s="169">
        <v>106177</v>
      </c>
      <c r="J5094" s="304" t="str">
        <f>CONCATENATE([2]Cover!$D$6,"fdd/view?i=",I5094)</f>
        <v>https://www.dgiwg.org/FAD/fdd/view?i=106177</v>
      </c>
      <c r="K5094" s="304" t="s">
        <v>39143</v>
      </c>
      <c r="L5094" s="181">
        <v>5</v>
      </c>
      <c r="M5094" s="179" t="s">
        <v>151</v>
      </c>
    </row>
    <row r="5095" spans="1:13" ht="25.5">
      <c r="A5095" s="313" t="str">
        <f t="shared" si="79"/>
        <v>NavigationLightCharacterCode_alternating</v>
      </c>
      <c r="B5095" s="332" t="str">
        <f>HYPERLINK("[#]Datatypes!A944:L944","NavigationLightCharacterCode")</f>
        <v>NavigationLightCharacterCode</v>
      </c>
      <c r="C5095" s="333" t="s">
        <v>12530</v>
      </c>
      <c r="D5095" s="202" t="s">
        <v>27543</v>
      </c>
      <c r="E5095" s="203" t="s">
        <v>27544</v>
      </c>
      <c r="F5095" s="204" t="s">
        <v>27545</v>
      </c>
      <c r="G5095" s="205"/>
      <c r="H5095" s="218"/>
      <c r="I5095" s="169">
        <v>103027</v>
      </c>
      <c r="J5095" s="304" t="str">
        <f>CONCATENATE([2]Cover!$D$6,"fdd/view?i=",I5095)</f>
        <v>https://www.dgiwg.org/FAD/fdd/view?i=103027</v>
      </c>
      <c r="K5095" s="304" t="s">
        <v>39144</v>
      </c>
      <c r="L5095" s="202">
        <v>1</v>
      </c>
      <c r="M5095" s="179" t="s">
        <v>151</v>
      </c>
    </row>
    <row r="5096" spans="1:13" ht="25.5">
      <c r="A5096" s="313" t="str">
        <f t="shared" si="79"/>
        <v>NavigationLightCharacterCode_fixed</v>
      </c>
      <c r="B5096" s="330"/>
      <c r="C5096" s="334"/>
      <c r="D5096" s="188" t="s">
        <v>18313</v>
      </c>
      <c r="E5096" s="189" t="s">
        <v>18314</v>
      </c>
      <c r="F5096" s="162" t="s">
        <v>27546</v>
      </c>
      <c r="G5096" s="190"/>
      <c r="H5096" s="219"/>
      <c r="I5096" s="169">
        <v>103031</v>
      </c>
      <c r="J5096" s="304" t="str">
        <f>CONCATENATE([2]Cover!$D$6,"fdd/view?i=",I5096)</f>
        <v>https://www.dgiwg.org/FAD/fdd/view?i=103031</v>
      </c>
      <c r="K5096" s="304" t="s">
        <v>39145</v>
      </c>
      <c r="L5096" s="188">
        <v>5</v>
      </c>
      <c r="M5096" s="179" t="s">
        <v>151</v>
      </c>
    </row>
    <row r="5097" spans="1:13" ht="25.5">
      <c r="A5097" s="313" t="str">
        <f t="shared" si="79"/>
        <v>NavigationLightCharacterCode_fixedAndFlashing</v>
      </c>
      <c r="B5097" s="330"/>
      <c r="C5097" s="334"/>
      <c r="D5097" s="188" t="s">
        <v>27547</v>
      </c>
      <c r="E5097" s="189" t="s">
        <v>27548</v>
      </c>
      <c r="F5097" s="162" t="s">
        <v>27549</v>
      </c>
      <c r="G5097" s="190"/>
      <c r="H5097" s="219"/>
      <c r="I5097" s="169">
        <v>103032</v>
      </c>
      <c r="J5097" s="304" t="str">
        <f>CONCATENATE([2]Cover!$D$6,"fdd/view?i=",I5097)</f>
        <v>https://www.dgiwg.org/FAD/fdd/view?i=103032</v>
      </c>
      <c r="K5097" s="304" t="s">
        <v>39146</v>
      </c>
      <c r="L5097" s="188">
        <v>6</v>
      </c>
      <c r="M5097" s="179" t="s">
        <v>151</v>
      </c>
    </row>
    <row r="5098" spans="1:13" ht="25.5">
      <c r="A5098" s="313" t="str">
        <f t="shared" si="79"/>
        <v>NavigationLightCharacterCode_fixedLongFlashing</v>
      </c>
      <c r="B5098" s="330"/>
      <c r="C5098" s="334"/>
      <c r="D5098" s="188" t="s">
        <v>27550</v>
      </c>
      <c r="E5098" s="189" t="s">
        <v>27551</v>
      </c>
      <c r="F5098" s="162" t="s">
        <v>27552</v>
      </c>
      <c r="G5098" s="190"/>
      <c r="H5098" s="219"/>
      <c r="I5098" s="169">
        <v>103073</v>
      </c>
      <c r="J5098" s="304" t="str">
        <f>CONCATENATE([2]Cover!$D$6,"fdd/view?i=",I5098)</f>
        <v>https://www.dgiwg.org/FAD/fdd/view?i=103073</v>
      </c>
      <c r="K5098" s="304" t="s">
        <v>39147</v>
      </c>
      <c r="L5098" s="188">
        <v>48</v>
      </c>
      <c r="M5098" s="179" t="s">
        <v>151</v>
      </c>
    </row>
    <row r="5099" spans="1:13" ht="25.5">
      <c r="A5099" s="313" t="str">
        <f t="shared" si="79"/>
        <v>NavigationLightCharacterCode_fixedWithAlternatingFlash</v>
      </c>
      <c r="B5099" s="330"/>
      <c r="C5099" s="334"/>
      <c r="D5099" s="188" t="s">
        <v>27553</v>
      </c>
      <c r="E5099" s="189" t="s">
        <v>27554</v>
      </c>
      <c r="F5099" s="162" t="s">
        <v>27555</v>
      </c>
      <c r="G5099" s="190"/>
      <c r="H5099" s="219"/>
      <c r="I5099" s="169">
        <v>103085</v>
      </c>
      <c r="J5099" s="304" t="str">
        <f>CONCATENATE([2]Cover!$D$6,"fdd/view?i=",I5099)</f>
        <v>https://www.dgiwg.org/FAD/fdd/view?i=103085</v>
      </c>
      <c r="K5099" s="304" t="s">
        <v>39148</v>
      </c>
      <c r="L5099" s="188">
        <v>60</v>
      </c>
      <c r="M5099" s="179" t="s">
        <v>151</v>
      </c>
    </row>
    <row r="5100" spans="1:13" ht="38.25">
      <c r="A5100" s="313" t="str">
        <f t="shared" si="79"/>
        <v>NavigationLightCharacterCode_flashing</v>
      </c>
      <c r="B5100" s="330"/>
      <c r="C5100" s="334"/>
      <c r="D5100" s="188" t="s">
        <v>27556</v>
      </c>
      <c r="E5100" s="189" t="s">
        <v>27557</v>
      </c>
      <c r="F5100" s="162" t="s">
        <v>27558</v>
      </c>
      <c r="G5100" s="190"/>
      <c r="H5100" s="219"/>
      <c r="I5100" s="169">
        <v>103034</v>
      </c>
      <c r="J5100" s="304" t="str">
        <f>CONCATENATE([2]Cover!$D$6,"fdd/view?i=",I5100)</f>
        <v>https://www.dgiwg.org/FAD/fdd/view?i=103034</v>
      </c>
      <c r="K5100" s="304" t="s">
        <v>39149</v>
      </c>
      <c r="L5100" s="188">
        <v>8</v>
      </c>
      <c r="M5100" s="179" t="s">
        <v>151</v>
      </c>
    </row>
    <row r="5101" spans="1:13" ht="25.5">
      <c r="A5101" s="313" t="str">
        <f t="shared" si="79"/>
        <v>NavigationLightCharacterCode_flashingAlternating</v>
      </c>
      <c r="B5101" s="330"/>
      <c r="C5101" s="334"/>
      <c r="D5101" s="188" t="s">
        <v>27559</v>
      </c>
      <c r="E5101" s="189" t="s">
        <v>27560</v>
      </c>
      <c r="F5101" s="162" t="s">
        <v>27561</v>
      </c>
      <c r="G5101" s="190"/>
      <c r="H5101" s="219"/>
      <c r="I5101" s="169">
        <v>103076</v>
      </c>
      <c r="J5101" s="304" t="str">
        <f>CONCATENATE([2]Cover!$D$6,"fdd/view?i=",I5101)</f>
        <v>https://www.dgiwg.org/FAD/fdd/view?i=103076</v>
      </c>
      <c r="K5101" s="304" t="s">
        <v>39150</v>
      </c>
      <c r="L5101" s="188">
        <v>51</v>
      </c>
      <c r="M5101" s="179" t="s">
        <v>151</v>
      </c>
    </row>
    <row r="5102" spans="1:13" ht="25.5">
      <c r="A5102" s="313" t="str">
        <f t="shared" si="79"/>
        <v>NavigationLightCharacterCode_flashingWithLongFlash</v>
      </c>
      <c r="B5102" s="330"/>
      <c r="C5102" s="334"/>
      <c r="D5102" s="188" t="s">
        <v>27562</v>
      </c>
      <c r="E5102" s="189" t="s">
        <v>27563</v>
      </c>
      <c r="F5102" s="162" t="s">
        <v>27564</v>
      </c>
      <c r="G5102" s="190"/>
      <c r="H5102" s="219"/>
      <c r="I5102" s="169">
        <v>103071</v>
      </c>
      <c r="J5102" s="304" t="str">
        <f>CONCATENATE([2]Cover!$D$6,"fdd/view?i=",I5102)</f>
        <v>https://www.dgiwg.org/FAD/fdd/view?i=103071</v>
      </c>
      <c r="K5102" s="304" t="s">
        <v>39151</v>
      </c>
      <c r="L5102" s="188">
        <v>46</v>
      </c>
      <c r="M5102" s="179" t="s">
        <v>151</v>
      </c>
    </row>
    <row r="5103" spans="1:13" ht="38.25">
      <c r="A5103" s="313" t="str">
        <f t="shared" si="79"/>
        <v>NavigationLightCharacterCode_groupQuickFlashing</v>
      </c>
      <c r="B5103" s="330"/>
      <c r="C5103" s="334"/>
      <c r="D5103" s="188" t="s">
        <v>27565</v>
      </c>
      <c r="E5103" s="189" t="s">
        <v>27566</v>
      </c>
      <c r="F5103" s="162" t="s">
        <v>27567</v>
      </c>
      <c r="G5103" s="190"/>
      <c r="H5103" s="219"/>
      <c r="I5103" s="169">
        <v>103053</v>
      </c>
      <c r="J5103" s="304" t="str">
        <f>CONCATENATE([2]Cover!$D$6,"fdd/view?i=",I5103)</f>
        <v>https://www.dgiwg.org/FAD/fdd/view?i=103053</v>
      </c>
      <c r="K5103" s="304" t="s">
        <v>39152</v>
      </c>
      <c r="L5103" s="188">
        <v>28</v>
      </c>
      <c r="M5103" s="179" t="s">
        <v>151</v>
      </c>
    </row>
    <row r="5104" spans="1:13" ht="38.25">
      <c r="A5104" s="313" t="str">
        <f t="shared" si="79"/>
        <v>NavigationLightCharacterCode_groupVeryQuickFlashing</v>
      </c>
      <c r="B5104" s="330"/>
      <c r="C5104" s="334"/>
      <c r="D5104" s="188" t="s">
        <v>27568</v>
      </c>
      <c r="E5104" s="189" t="s">
        <v>27569</v>
      </c>
      <c r="F5104" s="162" t="s">
        <v>27570</v>
      </c>
      <c r="G5104" s="190"/>
      <c r="H5104" s="219"/>
      <c r="I5104" s="169">
        <v>103054</v>
      </c>
      <c r="J5104" s="304" t="str">
        <f>CONCATENATE([2]Cover!$D$6,"fdd/view?i=",I5104)</f>
        <v>https://www.dgiwg.org/FAD/fdd/view?i=103054</v>
      </c>
      <c r="K5104" s="304" t="s">
        <v>39153</v>
      </c>
      <c r="L5104" s="188">
        <v>29</v>
      </c>
      <c r="M5104" s="179" t="s">
        <v>151</v>
      </c>
    </row>
    <row r="5105" spans="1:13" ht="25.5">
      <c r="A5105" s="313" t="str">
        <f t="shared" si="79"/>
        <v>NavigationLightCharacterCode_interruptedQuickFlash</v>
      </c>
      <c r="B5105" s="330"/>
      <c r="C5105" s="334"/>
      <c r="D5105" s="188" t="s">
        <v>27571</v>
      </c>
      <c r="E5105" s="189" t="s">
        <v>27572</v>
      </c>
      <c r="F5105" s="162" t="s">
        <v>27573</v>
      </c>
      <c r="G5105" s="190"/>
      <c r="H5105" s="219"/>
      <c r="I5105" s="169">
        <v>103037</v>
      </c>
      <c r="J5105" s="304" t="str">
        <f>CONCATENATE([2]Cover!$D$6,"fdd/view?i=",I5105)</f>
        <v>https://www.dgiwg.org/FAD/fdd/view?i=103037</v>
      </c>
      <c r="K5105" s="304" t="s">
        <v>39154</v>
      </c>
      <c r="L5105" s="188">
        <v>11</v>
      </c>
      <c r="M5105" s="179" t="s">
        <v>151</v>
      </c>
    </row>
    <row r="5106" spans="1:13" ht="25.5">
      <c r="A5106" s="313" t="str">
        <f t="shared" si="79"/>
        <v>NavigationLightCharacterCode_interruptedUltraQuickFlash</v>
      </c>
      <c r="B5106" s="330"/>
      <c r="C5106" s="334"/>
      <c r="D5106" s="188" t="s">
        <v>27574</v>
      </c>
      <c r="E5106" s="189" t="s">
        <v>27575</v>
      </c>
      <c r="F5106" s="162" t="s">
        <v>27576</v>
      </c>
      <c r="G5106" s="190"/>
      <c r="H5106" s="219"/>
      <c r="I5106" s="169">
        <v>103038</v>
      </c>
      <c r="J5106" s="304" t="str">
        <f>CONCATENATE([2]Cover!$D$6,"fdd/view?i=",I5106)</f>
        <v>https://www.dgiwg.org/FAD/fdd/view?i=103038</v>
      </c>
      <c r="K5106" s="304" t="s">
        <v>39155</v>
      </c>
      <c r="L5106" s="188">
        <v>12</v>
      </c>
      <c r="M5106" s="179" t="s">
        <v>151</v>
      </c>
    </row>
    <row r="5107" spans="1:13" ht="51">
      <c r="A5107" s="313" t="str">
        <f t="shared" si="79"/>
        <v>NavigationLightCharacterCode_interruptedVeryQuickFlash</v>
      </c>
      <c r="B5107" s="330"/>
      <c r="C5107" s="334"/>
      <c r="D5107" s="188" t="s">
        <v>27577</v>
      </c>
      <c r="E5107" s="189" t="s">
        <v>27578</v>
      </c>
      <c r="F5107" s="162" t="s">
        <v>27579</v>
      </c>
      <c r="G5107" s="190"/>
      <c r="H5107" s="219"/>
      <c r="I5107" s="169">
        <v>103039</v>
      </c>
      <c r="J5107" s="304" t="str">
        <f>CONCATENATE([2]Cover!$D$6,"fdd/view?i=",I5107)</f>
        <v>https://www.dgiwg.org/FAD/fdd/view?i=103039</v>
      </c>
      <c r="K5107" s="304" t="s">
        <v>39156</v>
      </c>
      <c r="L5107" s="188">
        <v>13</v>
      </c>
      <c r="M5107" s="179" t="s">
        <v>151</v>
      </c>
    </row>
    <row r="5108" spans="1:13" ht="25.5">
      <c r="A5108" s="313" t="str">
        <f t="shared" si="79"/>
        <v>NavigationLightCharacterCode_isophase</v>
      </c>
      <c r="B5108" s="330"/>
      <c r="C5108" s="334"/>
      <c r="D5108" s="188" t="s">
        <v>27580</v>
      </c>
      <c r="E5108" s="189" t="s">
        <v>27581</v>
      </c>
      <c r="F5108" s="162" t="s">
        <v>27582</v>
      </c>
      <c r="G5108" s="190"/>
      <c r="H5108" s="221" t="s">
        <v>27583</v>
      </c>
      <c r="I5108" s="169">
        <v>103040</v>
      </c>
      <c r="J5108" s="304" t="str">
        <f>CONCATENATE([2]Cover!$D$6,"fdd/view?i=",I5108)</f>
        <v>https://www.dgiwg.org/FAD/fdd/view?i=103040</v>
      </c>
      <c r="K5108" s="304" t="s">
        <v>39157</v>
      </c>
      <c r="L5108" s="188">
        <v>14</v>
      </c>
      <c r="M5108" s="179" t="s">
        <v>151</v>
      </c>
    </row>
    <row r="5109" spans="1:13" ht="25.5">
      <c r="A5109" s="313" t="str">
        <f t="shared" si="79"/>
        <v>NavigationLightCharacterCode_longFlashing</v>
      </c>
      <c r="B5109" s="330"/>
      <c r="C5109" s="334"/>
      <c r="D5109" s="188" t="s">
        <v>27584</v>
      </c>
      <c r="E5109" s="189" t="s">
        <v>27585</v>
      </c>
      <c r="F5109" s="162" t="s">
        <v>27586</v>
      </c>
      <c r="G5109" s="190"/>
      <c r="H5109" s="219"/>
      <c r="I5109" s="169">
        <v>103041</v>
      </c>
      <c r="J5109" s="304" t="str">
        <f>CONCATENATE([2]Cover!$D$6,"fdd/view?i=",I5109)</f>
        <v>https://www.dgiwg.org/FAD/fdd/view?i=103041</v>
      </c>
      <c r="K5109" s="304" t="s">
        <v>39158</v>
      </c>
      <c r="L5109" s="188">
        <v>15</v>
      </c>
      <c r="M5109" s="179" t="s">
        <v>151</v>
      </c>
    </row>
    <row r="5110" spans="1:13" ht="25.5">
      <c r="A5110" s="313" t="str">
        <f t="shared" si="79"/>
        <v>NavigationLightCharacterCode_longFlashingAlternating</v>
      </c>
      <c r="B5110" s="330"/>
      <c r="C5110" s="334"/>
      <c r="D5110" s="188" t="s">
        <v>27587</v>
      </c>
      <c r="E5110" s="189" t="s">
        <v>27588</v>
      </c>
      <c r="F5110" s="162" t="s">
        <v>27589</v>
      </c>
      <c r="G5110" s="190"/>
      <c r="H5110" s="219"/>
      <c r="I5110" s="169">
        <v>103075</v>
      </c>
      <c r="J5110" s="304" t="str">
        <f>CONCATENATE([2]Cover!$D$6,"fdd/view?i=",I5110)</f>
        <v>https://www.dgiwg.org/FAD/fdd/view?i=103075</v>
      </c>
      <c r="K5110" s="304" t="s">
        <v>39159</v>
      </c>
      <c r="L5110" s="188">
        <v>50</v>
      </c>
      <c r="M5110" s="179" t="s">
        <v>151</v>
      </c>
    </row>
    <row r="5111" spans="1:13" ht="38.25">
      <c r="A5111" s="313" t="str">
        <f t="shared" si="79"/>
        <v>NavigationLightCharacterCode_morseCode</v>
      </c>
      <c r="B5111" s="330"/>
      <c r="C5111" s="334"/>
      <c r="D5111" s="188" t="s">
        <v>27590</v>
      </c>
      <c r="E5111" s="189" t="s">
        <v>27591</v>
      </c>
      <c r="F5111" s="162" t="s">
        <v>27592</v>
      </c>
      <c r="G5111" s="190"/>
      <c r="H5111" s="219"/>
      <c r="I5111" s="169">
        <v>103042</v>
      </c>
      <c r="J5111" s="304" t="str">
        <f>CONCATENATE([2]Cover!$D$6,"fdd/view?i=",I5111)</f>
        <v>https://www.dgiwg.org/FAD/fdd/view?i=103042</v>
      </c>
      <c r="K5111" s="304" t="s">
        <v>39160</v>
      </c>
      <c r="L5111" s="188">
        <v>16</v>
      </c>
      <c r="M5111" s="179" t="s">
        <v>151</v>
      </c>
    </row>
    <row r="5112" spans="1:13" ht="38.25">
      <c r="A5112" s="313" t="str">
        <f t="shared" si="79"/>
        <v>NavigationLightCharacterCode_occulting</v>
      </c>
      <c r="B5112" s="330"/>
      <c r="C5112" s="334"/>
      <c r="D5112" s="188" t="s">
        <v>27593</v>
      </c>
      <c r="E5112" s="189" t="s">
        <v>27594</v>
      </c>
      <c r="F5112" s="162" t="s">
        <v>27595</v>
      </c>
      <c r="G5112" s="190"/>
      <c r="H5112" s="219"/>
      <c r="I5112" s="169">
        <v>103043</v>
      </c>
      <c r="J5112" s="304" t="str">
        <f>CONCATENATE([2]Cover!$D$6,"fdd/view?i=",I5112)</f>
        <v>https://www.dgiwg.org/FAD/fdd/view?i=103043</v>
      </c>
      <c r="K5112" s="304" t="s">
        <v>39161</v>
      </c>
      <c r="L5112" s="188">
        <v>17</v>
      </c>
      <c r="M5112" s="179" t="s">
        <v>151</v>
      </c>
    </row>
    <row r="5113" spans="1:13" ht="25.5">
      <c r="A5113" s="313" t="str">
        <f t="shared" si="79"/>
        <v>NavigationLightCharacterCode_occultingAlternating</v>
      </c>
      <c r="B5113" s="330"/>
      <c r="C5113" s="334"/>
      <c r="D5113" s="188" t="s">
        <v>27596</v>
      </c>
      <c r="E5113" s="189" t="s">
        <v>27597</v>
      </c>
      <c r="F5113" s="162" t="s">
        <v>27598</v>
      </c>
      <c r="G5113" s="190"/>
      <c r="H5113" s="219"/>
      <c r="I5113" s="169">
        <v>103074</v>
      </c>
      <c r="J5113" s="304" t="str">
        <f>CONCATENATE([2]Cover!$D$6,"fdd/view?i=",I5113)</f>
        <v>https://www.dgiwg.org/FAD/fdd/view?i=103074</v>
      </c>
      <c r="K5113" s="304" t="s">
        <v>39162</v>
      </c>
      <c r="L5113" s="188">
        <v>49</v>
      </c>
      <c r="M5113" s="179" t="s">
        <v>151</v>
      </c>
    </row>
    <row r="5114" spans="1:13" ht="25.5">
      <c r="A5114" s="313" t="str">
        <f t="shared" si="79"/>
        <v>NavigationLightCharacterCode_occultingFlashing</v>
      </c>
      <c r="B5114" s="330"/>
      <c r="C5114" s="334"/>
      <c r="D5114" s="188" t="s">
        <v>27599</v>
      </c>
      <c r="E5114" s="189" t="s">
        <v>27600</v>
      </c>
      <c r="F5114" s="162" t="s">
        <v>27601</v>
      </c>
      <c r="G5114" s="190"/>
      <c r="H5114" s="219"/>
      <c r="I5114" s="169">
        <v>103072</v>
      </c>
      <c r="J5114" s="304" t="str">
        <f>CONCATENATE([2]Cover!$D$6,"fdd/view?i=",I5114)</f>
        <v>https://www.dgiwg.org/FAD/fdd/view?i=103072</v>
      </c>
      <c r="K5114" s="304" t="s">
        <v>39163</v>
      </c>
      <c r="L5114" s="188">
        <v>47</v>
      </c>
      <c r="M5114" s="179" t="s">
        <v>151</v>
      </c>
    </row>
    <row r="5115" spans="1:13" ht="25.5">
      <c r="A5115" s="313" t="str">
        <f t="shared" si="79"/>
        <v>NavigationLightCharacterCode_quickFlashing</v>
      </c>
      <c r="B5115" s="330"/>
      <c r="C5115" s="334"/>
      <c r="D5115" s="188" t="s">
        <v>27602</v>
      </c>
      <c r="E5115" s="189" t="s">
        <v>27603</v>
      </c>
      <c r="F5115" s="162" t="s">
        <v>27604</v>
      </c>
      <c r="G5115" s="162" t="s">
        <v>27605</v>
      </c>
      <c r="H5115" s="219"/>
      <c r="I5115" s="169">
        <v>103069</v>
      </c>
      <c r="J5115" s="304" t="str">
        <f>CONCATENATE([2]Cover!$D$6,"fdd/view?i=",I5115)</f>
        <v>https://www.dgiwg.org/FAD/fdd/view?i=103069</v>
      </c>
      <c r="K5115" s="304" t="s">
        <v>39164</v>
      </c>
      <c r="L5115" s="188">
        <v>44</v>
      </c>
      <c r="M5115" s="179" t="s">
        <v>151</v>
      </c>
    </row>
    <row r="5116" spans="1:13" ht="25.5">
      <c r="A5116" s="313" t="str">
        <f t="shared" si="79"/>
        <v>NavigationLightCharacterCode_quickFlashingWithLongFlash</v>
      </c>
      <c r="B5116" s="330"/>
      <c r="C5116" s="334"/>
      <c r="D5116" s="188" t="s">
        <v>27606</v>
      </c>
      <c r="E5116" s="189" t="s">
        <v>27607</v>
      </c>
      <c r="F5116" s="162" t="s">
        <v>27608</v>
      </c>
      <c r="G5116" s="162" t="s">
        <v>27609</v>
      </c>
      <c r="H5116" s="219"/>
      <c r="I5116" s="169">
        <v>103082</v>
      </c>
      <c r="J5116" s="304" t="str">
        <f>CONCATENATE([2]Cover!$D$6,"fdd/view?i=",I5116)</f>
        <v>https://www.dgiwg.org/FAD/fdd/view?i=103082</v>
      </c>
      <c r="K5116" s="304" t="s">
        <v>39165</v>
      </c>
      <c r="L5116" s="188">
        <v>57</v>
      </c>
      <c r="M5116" s="179" t="s">
        <v>151</v>
      </c>
    </row>
    <row r="5117" spans="1:13" ht="25.5">
      <c r="A5117" s="313" t="str">
        <f t="shared" si="79"/>
        <v>NavigationLightCharacterCode_ultraQuickFlashing</v>
      </c>
      <c r="B5117" s="330"/>
      <c r="C5117" s="334"/>
      <c r="D5117" s="188" t="s">
        <v>27610</v>
      </c>
      <c r="E5117" s="189" t="s">
        <v>27611</v>
      </c>
      <c r="F5117" s="162" t="s">
        <v>27612</v>
      </c>
      <c r="G5117" s="190"/>
      <c r="H5117" s="219"/>
      <c r="I5117" s="169">
        <v>103030</v>
      </c>
      <c r="J5117" s="304" t="str">
        <f>CONCATENATE([2]Cover!$D$6,"fdd/view?i=",I5117)</f>
        <v>https://www.dgiwg.org/FAD/fdd/view?i=103030</v>
      </c>
      <c r="K5117" s="304" t="s">
        <v>39166</v>
      </c>
      <c r="L5117" s="188">
        <v>4</v>
      </c>
      <c r="M5117" s="179" t="s">
        <v>151</v>
      </c>
    </row>
    <row r="5118" spans="1:13" ht="25.5">
      <c r="A5118" s="313" t="str">
        <f t="shared" si="79"/>
        <v>NavigationLightCharacterCode_ultraQuickFlashLongFlash</v>
      </c>
      <c r="B5118" s="330"/>
      <c r="C5118" s="334"/>
      <c r="D5118" s="188" t="s">
        <v>27613</v>
      </c>
      <c r="E5118" s="189" t="s">
        <v>27614</v>
      </c>
      <c r="F5118" s="162" t="s">
        <v>27615</v>
      </c>
      <c r="G5118" s="162" t="s">
        <v>27616</v>
      </c>
      <c r="H5118" s="219"/>
      <c r="I5118" s="169">
        <v>103084</v>
      </c>
      <c r="J5118" s="304" t="str">
        <f>CONCATENATE([2]Cover!$D$6,"fdd/view?i=",I5118)</f>
        <v>https://www.dgiwg.org/FAD/fdd/view?i=103084</v>
      </c>
      <c r="K5118" s="304" t="s">
        <v>39167</v>
      </c>
      <c r="L5118" s="188">
        <v>59</v>
      </c>
      <c r="M5118" s="179" t="s">
        <v>151</v>
      </c>
    </row>
    <row r="5119" spans="1:13" ht="25.5">
      <c r="A5119" s="313" t="str">
        <f t="shared" si="79"/>
        <v>NavigationLightCharacterCode_veryQuickFlashing</v>
      </c>
      <c r="B5119" s="330"/>
      <c r="C5119" s="334"/>
      <c r="D5119" s="188" t="s">
        <v>27617</v>
      </c>
      <c r="E5119" s="189" t="s">
        <v>27618</v>
      </c>
      <c r="F5119" s="162" t="s">
        <v>27619</v>
      </c>
      <c r="G5119" s="190"/>
      <c r="H5119" s="219"/>
      <c r="I5119" s="169">
        <v>103070</v>
      </c>
      <c r="J5119" s="304" t="str">
        <f>CONCATENATE([2]Cover!$D$6,"fdd/view?i=",I5119)</f>
        <v>https://www.dgiwg.org/FAD/fdd/view?i=103070</v>
      </c>
      <c r="K5119" s="304" t="s">
        <v>39168</v>
      </c>
      <c r="L5119" s="188">
        <v>45</v>
      </c>
      <c r="M5119" s="179" t="s">
        <v>151</v>
      </c>
    </row>
    <row r="5120" spans="1:13" ht="25.5">
      <c r="A5120" s="313" t="str">
        <f t="shared" si="79"/>
        <v>NavigationLightCharacterCode_veryQuickFlashLongFlash</v>
      </c>
      <c r="B5120" s="331"/>
      <c r="C5120" s="335"/>
      <c r="D5120" s="181" t="s">
        <v>27620</v>
      </c>
      <c r="E5120" s="192" t="s">
        <v>27621</v>
      </c>
      <c r="F5120" s="193" t="s">
        <v>27622</v>
      </c>
      <c r="G5120" s="193" t="s">
        <v>27623</v>
      </c>
      <c r="H5120" s="220"/>
      <c r="I5120" s="169">
        <v>103083</v>
      </c>
      <c r="J5120" s="304" t="str">
        <f>CONCATENATE([2]Cover!$D$6,"fdd/view?i=",I5120)</f>
        <v>https://www.dgiwg.org/FAD/fdd/view?i=103083</v>
      </c>
      <c r="K5120" s="304" t="s">
        <v>39169</v>
      </c>
      <c r="L5120" s="181">
        <v>58</v>
      </c>
      <c r="M5120" s="179" t="s">
        <v>151</v>
      </c>
    </row>
    <row r="5121" spans="1:13">
      <c r="A5121" s="313" t="str">
        <f t="shared" si="79"/>
        <v>NavigationMarkColourCode_amber</v>
      </c>
      <c r="B5121" s="332" t="str">
        <f>HYPERLINK("[#]Datatypes!A946:L946","NavigationMarkColourCode")</f>
        <v>NavigationMarkColourCode</v>
      </c>
      <c r="C5121" s="333" t="s">
        <v>12532</v>
      </c>
      <c r="D5121" s="202" t="s">
        <v>27624</v>
      </c>
      <c r="E5121" s="203" t="s">
        <v>27625</v>
      </c>
      <c r="F5121" s="204" t="s">
        <v>27626</v>
      </c>
      <c r="G5121" s="205"/>
      <c r="H5121" s="218"/>
      <c r="I5121" s="169">
        <v>110832</v>
      </c>
      <c r="J5121" s="304" t="str">
        <f>CONCATENATE([2]Cover!$D$6,"fdd/view?i=",I5121)</f>
        <v>https://www.dgiwg.org/FAD/fdd/view?i=110832</v>
      </c>
      <c r="K5121" s="304" t="s">
        <v>39170</v>
      </c>
      <c r="L5121" s="202">
        <v>9</v>
      </c>
      <c r="M5121" s="179" t="s">
        <v>151</v>
      </c>
    </row>
    <row r="5122" spans="1:13">
      <c r="A5122" s="313" t="str">
        <f t="shared" si="79"/>
        <v>NavigationMarkColourCode_black</v>
      </c>
      <c r="B5122" s="330"/>
      <c r="C5122" s="334"/>
      <c r="D5122" s="188" t="s">
        <v>27627</v>
      </c>
      <c r="E5122" s="189" t="s">
        <v>27628</v>
      </c>
      <c r="F5122" s="162" t="s">
        <v>27629</v>
      </c>
      <c r="G5122" s="190"/>
      <c r="H5122" s="219"/>
      <c r="I5122" s="169">
        <v>110825</v>
      </c>
      <c r="J5122" s="304" t="str">
        <f>CONCATENATE([2]Cover!$D$6,"fdd/view?i=",I5122)</f>
        <v>https://www.dgiwg.org/FAD/fdd/view?i=110825</v>
      </c>
      <c r="K5122" s="304" t="s">
        <v>39171</v>
      </c>
      <c r="L5122" s="188">
        <v>2</v>
      </c>
      <c r="M5122" s="179" t="s">
        <v>151</v>
      </c>
    </row>
    <row r="5123" spans="1:13">
      <c r="A5123" s="313" t="str">
        <f t="shared" ref="A5123:A5186" si="80">HYPERLINK(J5123,K5123)</f>
        <v>NavigationMarkColourCode_blue</v>
      </c>
      <c r="B5123" s="330"/>
      <c r="C5123" s="334"/>
      <c r="D5123" s="188" t="s">
        <v>27630</v>
      </c>
      <c r="E5123" s="189" t="s">
        <v>27631</v>
      </c>
      <c r="F5123" s="162" t="s">
        <v>27632</v>
      </c>
      <c r="G5123" s="190"/>
      <c r="H5123" s="219"/>
      <c r="I5123" s="169">
        <v>110828</v>
      </c>
      <c r="J5123" s="304" t="str">
        <f>CONCATENATE([2]Cover!$D$6,"fdd/view?i=",I5123)</f>
        <v>https://www.dgiwg.org/FAD/fdd/view?i=110828</v>
      </c>
      <c r="K5123" s="304" t="s">
        <v>39172</v>
      </c>
      <c r="L5123" s="188">
        <v>5</v>
      </c>
      <c r="M5123" s="179" t="s">
        <v>151</v>
      </c>
    </row>
    <row r="5124" spans="1:13">
      <c r="A5124" s="313" t="str">
        <f t="shared" si="80"/>
        <v>NavigationMarkColourCode_brown</v>
      </c>
      <c r="B5124" s="330"/>
      <c r="C5124" s="334"/>
      <c r="D5124" s="188" t="s">
        <v>27633</v>
      </c>
      <c r="E5124" s="189" t="s">
        <v>27634</v>
      </c>
      <c r="F5124" s="162" t="s">
        <v>27635</v>
      </c>
      <c r="G5124" s="190"/>
      <c r="H5124" s="219"/>
      <c r="I5124" s="169">
        <v>110831</v>
      </c>
      <c r="J5124" s="304" t="str">
        <f>CONCATENATE([2]Cover!$D$6,"fdd/view?i=",I5124)</f>
        <v>https://www.dgiwg.org/FAD/fdd/view?i=110831</v>
      </c>
      <c r="K5124" s="304" t="s">
        <v>39173</v>
      </c>
      <c r="L5124" s="188">
        <v>8</v>
      </c>
      <c r="M5124" s="179" t="s">
        <v>151</v>
      </c>
    </row>
    <row r="5125" spans="1:13" ht="38.25">
      <c r="A5125" s="313" t="str">
        <f t="shared" si="80"/>
        <v>NavigationMarkColourCode_green</v>
      </c>
      <c r="B5125" s="330"/>
      <c r="C5125" s="334"/>
      <c r="D5125" s="188" t="s">
        <v>27636</v>
      </c>
      <c r="E5125" s="189" t="s">
        <v>27637</v>
      </c>
      <c r="F5125" s="162" t="s">
        <v>27638</v>
      </c>
      <c r="G5125" s="162" t="s">
        <v>27639</v>
      </c>
      <c r="H5125" s="219"/>
      <c r="I5125" s="169">
        <v>110827</v>
      </c>
      <c r="J5125" s="304" t="str">
        <f>CONCATENATE([2]Cover!$D$6,"fdd/view?i=",I5125)</f>
        <v>https://www.dgiwg.org/FAD/fdd/view?i=110827</v>
      </c>
      <c r="K5125" s="304" t="s">
        <v>39174</v>
      </c>
      <c r="L5125" s="188">
        <v>4</v>
      </c>
      <c r="M5125" s="179" t="s">
        <v>151</v>
      </c>
    </row>
    <row r="5126" spans="1:13">
      <c r="A5126" s="313" t="str">
        <f t="shared" si="80"/>
        <v>NavigationMarkColourCode_grey</v>
      </c>
      <c r="B5126" s="330"/>
      <c r="C5126" s="334"/>
      <c r="D5126" s="188" t="s">
        <v>27640</v>
      </c>
      <c r="E5126" s="189" t="s">
        <v>27641</v>
      </c>
      <c r="F5126" s="162" t="s">
        <v>27642</v>
      </c>
      <c r="G5126" s="190"/>
      <c r="H5126" s="219"/>
      <c r="I5126" s="169">
        <v>110830</v>
      </c>
      <c r="J5126" s="304" t="str">
        <f>CONCATENATE([2]Cover!$D$6,"fdd/view?i=",I5126)</f>
        <v>https://www.dgiwg.org/FAD/fdd/view?i=110830</v>
      </c>
      <c r="K5126" s="304" t="s">
        <v>39175</v>
      </c>
      <c r="L5126" s="188">
        <v>7</v>
      </c>
      <c r="M5126" s="179" t="s">
        <v>151</v>
      </c>
    </row>
    <row r="5127" spans="1:13" ht="25.5">
      <c r="A5127" s="313" t="str">
        <f t="shared" si="80"/>
        <v>NavigationMarkColourCode_magenta</v>
      </c>
      <c r="B5127" s="330"/>
      <c r="C5127" s="334"/>
      <c r="D5127" s="188" t="s">
        <v>27643</v>
      </c>
      <c r="E5127" s="189" t="s">
        <v>27644</v>
      </c>
      <c r="F5127" s="162" t="s">
        <v>27645</v>
      </c>
      <c r="G5127" s="190"/>
      <c r="H5127" s="219"/>
      <c r="I5127" s="169">
        <v>110835</v>
      </c>
      <c r="J5127" s="304" t="str">
        <f>CONCATENATE([2]Cover!$D$6,"fdd/view?i=",I5127)</f>
        <v>https://www.dgiwg.org/FAD/fdd/view?i=110835</v>
      </c>
      <c r="K5127" s="304" t="s">
        <v>39176</v>
      </c>
      <c r="L5127" s="188">
        <v>12</v>
      </c>
      <c r="M5127" s="179" t="s">
        <v>151</v>
      </c>
    </row>
    <row r="5128" spans="1:13" ht="25.5">
      <c r="A5128" s="313" t="str">
        <f t="shared" si="80"/>
        <v>NavigationMarkColourCode_orange</v>
      </c>
      <c r="B5128" s="330"/>
      <c r="C5128" s="334"/>
      <c r="D5128" s="188" t="s">
        <v>27646</v>
      </c>
      <c r="E5128" s="189" t="s">
        <v>27647</v>
      </c>
      <c r="F5128" s="162" t="s">
        <v>27648</v>
      </c>
      <c r="G5128" s="162" t="s">
        <v>27649</v>
      </c>
      <c r="H5128" s="219"/>
      <c r="I5128" s="169">
        <v>110834</v>
      </c>
      <c r="J5128" s="304" t="str">
        <f>CONCATENATE([2]Cover!$D$6,"fdd/view?i=",I5128)</f>
        <v>https://www.dgiwg.org/FAD/fdd/view?i=110834</v>
      </c>
      <c r="K5128" s="304" t="s">
        <v>39177</v>
      </c>
      <c r="L5128" s="188">
        <v>11</v>
      </c>
      <c r="M5128" s="179" t="s">
        <v>151</v>
      </c>
    </row>
    <row r="5129" spans="1:13">
      <c r="A5129" s="313" t="str">
        <f t="shared" si="80"/>
        <v>NavigationMarkColourCode_pink</v>
      </c>
      <c r="B5129" s="330"/>
      <c r="C5129" s="334"/>
      <c r="D5129" s="188" t="s">
        <v>27650</v>
      </c>
      <c r="E5129" s="189" t="s">
        <v>27651</v>
      </c>
      <c r="F5129" s="162" t="s">
        <v>27652</v>
      </c>
      <c r="G5129" s="190"/>
      <c r="H5129" s="219"/>
      <c r="I5129" s="169">
        <v>110836</v>
      </c>
      <c r="J5129" s="304" t="str">
        <f>CONCATENATE([2]Cover!$D$6,"fdd/view?i=",I5129)</f>
        <v>https://www.dgiwg.org/FAD/fdd/view?i=110836</v>
      </c>
      <c r="K5129" s="304" t="s">
        <v>39178</v>
      </c>
      <c r="L5129" s="188">
        <v>13</v>
      </c>
      <c r="M5129" s="179" t="s">
        <v>151</v>
      </c>
    </row>
    <row r="5130" spans="1:13" ht="38.25">
      <c r="A5130" s="313" t="str">
        <f t="shared" si="80"/>
        <v>NavigationMarkColourCode_red</v>
      </c>
      <c r="B5130" s="330"/>
      <c r="C5130" s="334"/>
      <c r="D5130" s="188" t="s">
        <v>27653</v>
      </c>
      <c r="E5130" s="189" t="s">
        <v>27654</v>
      </c>
      <c r="F5130" s="162" t="s">
        <v>27655</v>
      </c>
      <c r="G5130" s="162" t="s">
        <v>27639</v>
      </c>
      <c r="H5130" s="219"/>
      <c r="I5130" s="169">
        <v>110826</v>
      </c>
      <c r="J5130" s="304" t="str">
        <f>CONCATENATE([2]Cover!$D$6,"fdd/view?i=",I5130)</f>
        <v>https://www.dgiwg.org/FAD/fdd/view?i=110826</v>
      </c>
      <c r="K5130" s="304" t="s">
        <v>39179</v>
      </c>
      <c r="L5130" s="188">
        <v>3</v>
      </c>
      <c r="M5130" s="179" t="s">
        <v>151</v>
      </c>
    </row>
    <row r="5131" spans="1:13">
      <c r="A5131" s="313" t="str">
        <f t="shared" si="80"/>
        <v>NavigationMarkColourCode_violet</v>
      </c>
      <c r="B5131" s="330"/>
      <c r="C5131" s="334"/>
      <c r="D5131" s="188" t="s">
        <v>27656</v>
      </c>
      <c r="E5131" s="189" t="s">
        <v>27657</v>
      </c>
      <c r="F5131" s="162" t="s">
        <v>27658</v>
      </c>
      <c r="G5131" s="190"/>
      <c r="H5131" s="219"/>
      <c r="I5131" s="169">
        <v>110833</v>
      </c>
      <c r="J5131" s="304" t="str">
        <f>CONCATENATE([2]Cover!$D$6,"fdd/view?i=",I5131)</f>
        <v>https://www.dgiwg.org/FAD/fdd/view?i=110833</v>
      </c>
      <c r="K5131" s="304" t="s">
        <v>39180</v>
      </c>
      <c r="L5131" s="188">
        <v>10</v>
      </c>
      <c r="M5131" s="179" t="s">
        <v>151</v>
      </c>
    </row>
    <row r="5132" spans="1:13">
      <c r="A5132" s="313" t="str">
        <f t="shared" si="80"/>
        <v>NavigationMarkColourCode_white</v>
      </c>
      <c r="B5132" s="330"/>
      <c r="C5132" s="334"/>
      <c r="D5132" s="188" t="s">
        <v>27659</v>
      </c>
      <c r="E5132" s="189" t="s">
        <v>27660</v>
      </c>
      <c r="F5132" s="162" t="s">
        <v>27661</v>
      </c>
      <c r="G5132" s="190"/>
      <c r="H5132" s="219"/>
      <c r="I5132" s="169">
        <v>110824</v>
      </c>
      <c r="J5132" s="304" t="str">
        <f>CONCATENATE([2]Cover!$D$6,"fdd/view?i=",I5132)</f>
        <v>https://www.dgiwg.org/FAD/fdd/view?i=110824</v>
      </c>
      <c r="K5132" s="304" t="s">
        <v>39181</v>
      </c>
      <c r="L5132" s="188">
        <v>1</v>
      </c>
      <c r="M5132" s="179" t="s">
        <v>151</v>
      </c>
    </row>
    <row r="5133" spans="1:13">
      <c r="A5133" s="313" t="str">
        <f t="shared" si="80"/>
        <v>NavigationMarkColourCode_yellow</v>
      </c>
      <c r="B5133" s="331"/>
      <c r="C5133" s="335"/>
      <c r="D5133" s="181" t="s">
        <v>27662</v>
      </c>
      <c r="E5133" s="192" t="s">
        <v>27663</v>
      </c>
      <c r="F5133" s="193" t="s">
        <v>27664</v>
      </c>
      <c r="G5133" s="194"/>
      <c r="H5133" s="220"/>
      <c r="I5133" s="169">
        <v>110829</v>
      </c>
      <c r="J5133" s="304" t="str">
        <f>CONCATENATE([2]Cover!$D$6,"fdd/view?i=",I5133)</f>
        <v>https://www.dgiwg.org/FAD/fdd/view?i=110829</v>
      </c>
      <c r="K5133" s="304" t="s">
        <v>39182</v>
      </c>
      <c r="L5133" s="181">
        <v>6</v>
      </c>
      <c r="M5133" s="179" t="s">
        <v>151</v>
      </c>
    </row>
    <row r="5134" spans="1:13" ht="89.25">
      <c r="A5134" s="313" t="str">
        <f t="shared" si="80"/>
        <v>NavServiceCheckpointTypeCode_distanceMeasuringEquipment</v>
      </c>
      <c r="B5134" s="332" t="str">
        <f>HYPERLINK("[#]Datatypes!A948:L948","NavServiceCheckpointTypeCode")</f>
        <v>NavServiceCheckpointTypeCode</v>
      </c>
      <c r="C5134" s="333" t="s">
        <v>12534</v>
      </c>
      <c r="D5134" s="202" t="s">
        <v>16580</v>
      </c>
      <c r="E5134" s="203" t="s">
        <v>2116</v>
      </c>
      <c r="F5134" s="204" t="s">
        <v>2117</v>
      </c>
      <c r="G5134" s="204" t="s">
        <v>2118</v>
      </c>
      <c r="H5134" s="218"/>
      <c r="I5134" s="169">
        <v>115331</v>
      </c>
      <c r="J5134" s="304" t="str">
        <f>CONCATENATE([2]Cover!$D$6,"fdd/view?i=",I5134)</f>
        <v>https://www.dgiwg.org/FAD/fdd/view?i=115331</v>
      </c>
      <c r="K5134" s="304" t="s">
        <v>39183</v>
      </c>
      <c r="L5134" s="202">
        <v>1</v>
      </c>
      <c r="M5134" s="179" t="s">
        <v>151</v>
      </c>
    </row>
    <row r="5135" spans="1:13" ht="51">
      <c r="A5135" s="313" t="str">
        <f t="shared" si="80"/>
        <v>NavServiceCheckpointTypeCode_globalNavSatelliteSystem</v>
      </c>
      <c r="B5135" s="330"/>
      <c r="C5135" s="334"/>
      <c r="D5135" s="188" t="s">
        <v>16585</v>
      </c>
      <c r="E5135" s="189" t="s">
        <v>2601</v>
      </c>
      <c r="F5135" s="162" t="s">
        <v>2602</v>
      </c>
      <c r="G5135" s="162" t="s">
        <v>27665</v>
      </c>
      <c r="H5135" s="219"/>
      <c r="I5135" s="169">
        <v>115332</v>
      </c>
      <c r="J5135" s="304" t="str">
        <f>CONCATENATE([2]Cover!$D$6,"fdd/view?i=",I5135)</f>
        <v>https://www.dgiwg.org/FAD/fdd/view?i=115332</v>
      </c>
      <c r="K5135" s="304" t="s">
        <v>39184</v>
      </c>
      <c r="L5135" s="188">
        <v>2</v>
      </c>
      <c r="M5135" s="179" t="s">
        <v>151</v>
      </c>
    </row>
    <row r="5136" spans="1:13" ht="38.25">
      <c r="A5136" s="313" t="str">
        <f t="shared" si="80"/>
        <v>NavServiceCheckpointTypeCode_inertialNavSystemInitPoint</v>
      </c>
      <c r="B5136" s="330"/>
      <c r="C5136" s="334"/>
      <c r="D5136" s="188" t="s">
        <v>27666</v>
      </c>
      <c r="E5136" s="189" t="s">
        <v>27667</v>
      </c>
      <c r="F5136" s="162" t="s">
        <v>27668</v>
      </c>
      <c r="G5136" s="190"/>
      <c r="H5136" s="219"/>
      <c r="I5136" s="169">
        <v>115333</v>
      </c>
      <c r="J5136" s="304" t="str">
        <f>CONCATENATE([2]Cover!$D$6,"fdd/view?i=",I5136)</f>
        <v>https://www.dgiwg.org/FAD/fdd/view?i=115333</v>
      </c>
      <c r="K5136" s="304" t="s">
        <v>39185</v>
      </c>
      <c r="L5136" s="188">
        <v>3</v>
      </c>
      <c r="M5136" s="179" t="s">
        <v>151</v>
      </c>
    </row>
    <row r="5137" spans="1:13" ht="51">
      <c r="A5137" s="313" t="str">
        <f t="shared" si="80"/>
        <v>NavServiceCheckpointTypeCode_nonDirectionalBeacon</v>
      </c>
      <c r="B5137" s="330"/>
      <c r="C5137" s="334"/>
      <c r="D5137" s="188" t="s">
        <v>16623</v>
      </c>
      <c r="E5137" s="189" t="s">
        <v>16624</v>
      </c>
      <c r="F5137" s="162" t="s">
        <v>3290</v>
      </c>
      <c r="G5137" s="162" t="s">
        <v>3291</v>
      </c>
      <c r="H5137" s="219"/>
      <c r="I5137" s="169">
        <v>115334</v>
      </c>
      <c r="J5137" s="304" t="str">
        <f>CONCATENATE([2]Cover!$D$6,"fdd/view?i=",I5137)</f>
        <v>https://www.dgiwg.org/FAD/fdd/view?i=115334</v>
      </c>
      <c r="K5137" s="304" t="s">
        <v>39186</v>
      </c>
      <c r="L5137" s="188">
        <v>4</v>
      </c>
      <c r="M5137" s="179" t="s">
        <v>151</v>
      </c>
    </row>
    <row r="5138" spans="1:13" ht="89.25">
      <c r="A5138" s="313" t="str">
        <f t="shared" si="80"/>
        <v>NavServiceCheckpointTypeCode_tacticalAirNavAidBeacon</v>
      </c>
      <c r="B5138" s="330"/>
      <c r="C5138" s="334"/>
      <c r="D5138" s="188" t="s">
        <v>27669</v>
      </c>
      <c r="E5138" s="189" t="s">
        <v>4178</v>
      </c>
      <c r="F5138" s="162" t="s">
        <v>4179</v>
      </c>
      <c r="G5138" s="162" t="s">
        <v>4180</v>
      </c>
      <c r="H5138" s="219"/>
      <c r="I5138" s="169">
        <v>115335</v>
      </c>
      <c r="J5138" s="304" t="str">
        <f>CONCATENATE([2]Cover!$D$6,"fdd/view?i=",I5138)</f>
        <v>https://www.dgiwg.org/FAD/fdd/view?i=115335</v>
      </c>
      <c r="K5138" s="304" t="s">
        <v>39187</v>
      </c>
      <c r="L5138" s="188">
        <v>5</v>
      </c>
      <c r="M5138" s="179" t="s">
        <v>151</v>
      </c>
    </row>
    <row r="5139" spans="1:13" ht="38.25">
      <c r="A5139" s="313" t="str">
        <f t="shared" si="80"/>
        <v>NavServiceCheckpointTypeCode_vhfOmniRadioBeacon</v>
      </c>
      <c r="B5139" s="331"/>
      <c r="C5139" s="335"/>
      <c r="D5139" s="181" t="s">
        <v>27670</v>
      </c>
      <c r="E5139" s="192" t="s">
        <v>27671</v>
      </c>
      <c r="F5139" s="193" t="s">
        <v>4449</v>
      </c>
      <c r="G5139" s="193" t="s">
        <v>4450</v>
      </c>
      <c r="H5139" s="220"/>
      <c r="I5139" s="169">
        <v>115336</v>
      </c>
      <c r="J5139" s="304" t="str">
        <f>CONCATENATE([2]Cover!$D$6,"fdd/view?i=",I5139)</f>
        <v>https://www.dgiwg.org/FAD/fdd/view?i=115336</v>
      </c>
      <c r="K5139" s="304" t="s">
        <v>39188</v>
      </c>
      <c r="L5139" s="181">
        <v>6</v>
      </c>
      <c r="M5139" s="179" t="s">
        <v>151</v>
      </c>
    </row>
    <row r="5140" spans="1:13" ht="51">
      <c r="A5140" s="313" t="str">
        <f t="shared" si="80"/>
        <v>NavigationSystemTypeCode_airportSurveillanceRadar</v>
      </c>
      <c r="B5140" s="332" t="str">
        <f>HYPERLINK("[#]Datatypes!A950:L950","NavigationSystemTypeCode")</f>
        <v>NavigationSystemTypeCode</v>
      </c>
      <c r="C5140" s="333" t="s">
        <v>12536</v>
      </c>
      <c r="D5140" s="202" t="s">
        <v>16571</v>
      </c>
      <c r="E5140" s="203" t="s">
        <v>16572</v>
      </c>
      <c r="F5140" s="204" t="s">
        <v>27672</v>
      </c>
      <c r="G5140" s="205"/>
      <c r="H5140" s="218"/>
      <c r="I5140" s="169">
        <v>106155</v>
      </c>
      <c r="J5140" s="304" t="str">
        <f>CONCATENATE([2]Cover!$D$6,"fdd/view?i=",I5140)</f>
        <v>https://www.dgiwg.org/FAD/fdd/view?i=106155</v>
      </c>
      <c r="K5140" s="304" t="s">
        <v>39189</v>
      </c>
      <c r="L5140" s="202">
        <v>70</v>
      </c>
      <c r="M5140" s="179" t="s">
        <v>151</v>
      </c>
    </row>
    <row r="5141" spans="1:13" ht="63.75">
      <c r="A5141" s="313" t="str">
        <f t="shared" si="80"/>
        <v>NavigationSystemTypeCode_distMeasEquip</v>
      </c>
      <c r="B5141" s="330"/>
      <c r="C5141" s="334"/>
      <c r="D5141" s="188" t="s">
        <v>27673</v>
      </c>
      <c r="E5141" s="189" t="s">
        <v>2116</v>
      </c>
      <c r="F5141" s="162" t="s">
        <v>27674</v>
      </c>
      <c r="G5141" s="162" t="s">
        <v>27675</v>
      </c>
      <c r="H5141" s="219"/>
      <c r="I5141" s="169">
        <v>106143</v>
      </c>
      <c r="J5141" s="304" t="str">
        <f>CONCATENATE([2]Cover!$D$6,"fdd/view?i=",I5141)</f>
        <v>https://www.dgiwg.org/FAD/fdd/view?i=106143</v>
      </c>
      <c r="K5141" s="304" t="s">
        <v>39190</v>
      </c>
      <c r="L5141" s="188">
        <v>58</v>
      </c>
      <c r="M5141" s="179" t="s">
        <v>151</v>
      </c>
    </row>
    <row r="5142" spans="1:13" ht="25.5">
      <c r="A5142" s="313" t="str">
        <f t="shared" si="80"/>
        <v>NavigationSystemTypeCode_fanMarker</v>
      </c>
      <c r="B5142" s="330"/>
      <c r="C5142" s="334"/>
      <c r="D5142" s="188" t="s">
        <v>26151</v>
      </c>
      <c r="E5142" s="189" t="s">
        <v>27676</v>
      </c>
      <c r="F5142" s="162" t="s">
        <v>27677</v>
      </c>
      <c r="G5142" s="190"/>
      <c r="H5142" s="219"/>
      <c r="I5142" s="169">
        <v>106162</v>
      </c>
      <c r="J5142" s="304" t="str">
        <f>CONCATENATE([2]Cover!$D$6,"fdd/view?i=",I5142)</f>
        <v>https://www.dgiwg.org/FAD/fdd/view?i=106162</v>
      </c>
      <c r="K5142" s="304" t="s">
        <v>39191</v>
      </c>
      <c r="L5142" s="188">
        <v>77</v>
      </c>
      <c r="M5142" s="179" t="s">
        <v>151</v>
      </c>
    </row>
    <row r="5143" spans="1:13" ht="89.25">
      <c r="A5143" s="313" t="str">
        <f t="shared" si="80"/>
        <v>NavigationSystemTypeCode_glideSlope</v>
      </c>
      <c r="B5143" s="330"/>
      <c r="C5143" s="334"/>
      <c r="D5143" s="188" t="s">
        <v>27678</v>
      </c>
      <c r="E5143" s="189" t="s">
        <v>27679</v>
      </c>
      <c r="F5143" s="162" t="s">
        <v>27680</v>
      </c>
      <c r="G5143" s="162" t="s">
        <v>27681</v>
      </c>
      <c r="H5143" s="219"/>
      <c r="I5143" s="169">
        <v>106157</v>
      </c>
      <c r="J5143" s="304" t="str">
        <f>CONCATENATE([2]Cover!$D$6,"fdd/view?i=",I5143)</f>
        <v>https://www.dgiwg.org/FAD/fdd/view?i=106157</v>
      </c>
      <c r="K5143" s="304" t="s">
        <v>39192</v>
      </c>
      <c r="L5143" s="188">
        <v>72</v>
      </c>
      <c r="M5143" s="179" t="s">
        <v>151</v>
      </c>
    </row>
    <row r="5144" spans="1:13" ht="63.75">
      <c r="A5144" s="313" t="str">
        <f t="shared" si="80"/>
        <v>NavigationSystemTypeCode_ilsGlideSlopeDistMeasEq</v>
      </c>
      <c r="B5144" s="330"/>
      <c r="C5144" s="334"/>
      <c r="D5144" s="188" t="s">
        <v>27685</v>
      </c>
      <c r="E5144" s="189" t="s">
        <v>27686</v>
      </c>
      <c r="F5144" s="162" t="s">
        <v>27687</v>
      </c>
      <c r="G5144" s="190"/>
      <c r="H5144" s="219"/>
      <c r="I5144" s="169">
        <v>112768</v>
      </c>
      <c r="J5144" s="304" t="str">
        <f>CONCATENATE([2]Cover!$D$6,"fdd/view?i=",I5144)</f>
        <v>https://www.dgiwg.org/FAD/fdd/view?i=112768</v>
      </c>
      <c r="K5144" s="304" t="s">
        <v>39193</v>
      </c>
      <c r="L5144" s="188">
        <v>84</v>
      </c>
      <c r="M5144" s="179" t="s">
        <v>151</v>
      </c>
    </row>
    <row r="5145" spans="1:13" ht="102">
      <c r="A5145" s="313" t="str">
        <f t="shared" si="80"/>
        <v>NavigationSystemTypeCode_innerMarker</v>
      </c>
      <c r="B5145" s="330"/>
      <c r="C5145" s="334"/>
      <c r="D5145" s="188" t="s">
        <v>27682</v>
      </c>
      <c r="E5145" s="189" t="s">
        <v>27683</v>
      </c>
      <c r="F5145" s="162" t="s">
        <v>27684</v>
      </c>
      <c r="G5145" s="162" t="s">
        <v>26168</v>
      </c>
      <c r="H5145" s="219"/>
      <c r="I5145" s="169">
        <v>112769</v>
      </c>
      <c r="J5145" s="304" t="str">
        <f>CONCATENATE([2]Cover!$D$6,"fdd/view?i=",I5145)</f>
        <v>https://www.dgiwg.org/FAD/fdd/view?i=112769</v>
      </c>
      <c r="K5145" s="304" t="s">
        <v>39194</v>
      </c>
      <c r="L5145" s="188">
        <v>85</v>
      </c>
      <c r="M5145" s="179" t="s">
        <v>151</v>
      </c>
    </row>
    <row r="5146" spans="1:13" ht="63.75">
      <c r="A5146" s="313" t="str">
        <f t="shared" si="80"/>
        <v>NavigationSystemTypeCode_instLandSysDistMeasEquip</v>
      </c>
      <c r="B5146" s="330"/>
      <c r="C5146" s="334"/>
      <c r="D5146" s="188" t="s">
        <v>27688</v>
      </c>
      <c r="E5146" s="189" t="s">
        <v>27689</v>
      </c>
      <c r="F5146" s="162" t="s">
        <v>27690</v>
      </c>
      <c r="G5146" s="190"/>
      <c r="H5146" s="219"/>
      <c r="I5146" s="169">
        <v>106111</v>
      </c>
      <c r="J5146" s="304" t="str">
        <f>CONCATENATE([2]Cover!$D$6,"fdd/view?i=",I5146)</f>
        <v>https://www.dgiwg.org/FAD/fdd/view?i=106111</v>
      </c>
      <c r="K5146" s="304" t="s">
        <v>39195</v>
      </c>
      <c r="L5146" s="188">
        <v>25</v>
      </c>
      <c r="M5146" s="179" t="s">
        <v>151</v>
      </c>
    </row>
    <row r="5147" spans="1:13" ht="63.75">
      <c r="A5147" s="313" t="str">
        <f t="shared" si="80"/>
        <v>NavigationSystemTypeCode_instrumentLandingSystem</v>
      </c>
      <c r="B5147" s="330"/>
      <c r="C5147" s="334"/>
      <c r="D5147" s="188" t="s">
        <v>16593</v>
      </c>
      <c r="E5147" s="189" t="s">
        <v>2866</v>
      </c>
      <c r="F5147" s="162" t="s">
        <v>2867</v>
      </c>
      <c r="G5147" s="162" t="s">
        <v>2868</v>
      </c>
      <c r="H5147" s="219"/>
      <c r="I5147" s="169">
        <v>106110</v>
      </c>
      <c r="J5147" s="304" t="str">
        <f>CONCATENATE([2]Cover!$D$6,"fdd/view?i=",I5147)</f>
        <v>https://www.dgiwg.org/FAD/fdd/view?i=106110</v>
      </c>
      <c r="K5147" s="304" t="s">
        <v>39196</v>
      </c>
      <c r="L5147" s="188">
        <v>24</v>
      </c>
      <c r="M5147" s="179" t="s">
        <v>151</v>
      </c>
    </row>
    <row r="5148" spans="1:13" ht="51">
      <c r="A5148" s="313" t="str">
        <f t="shared" si="80"/>
        <v>NavigationSystemTypeCode_localizer</v>
      </c>
      <c r="B5148" s="330"/>
      <c r="C5148" s="334"/>
      <c r="D5148" s="188" t="s">
        <v>16601</v>
      </c>
      <c r="E5148" s="189" t="s">
        <v>27691</v>
      </c>
      <c r="F5148" s="162" t="s">
        <v>27692</v>
      </c>
      <c r="G5148" s="190"/>
      <c r="H5148" s="219"/>
      <c r="I5148" s="169">
        <v>106112</v>
      </c>
      <c r="J5148" s="304" t="str">
        <f>CONCATENATE([2]Cover!$D$6,"fdd/view?i=",I5148)</f>
        <v>https://www.dgiwg.org/FAD/fdd/view?i=106112</v>
      </c>
      <c r="K5148" s="304" t="s">
        <v>39197</v>
      </c>
      <c r="L5148" s="188">
        <v>26</v>
      </c>
      <c r="M5148" s="179" t="s">
        <v>151</v>
      </c>
    </row>
    <row r="5149" spans="1:13" ht="63.75">
      <c r="A5149" s="313" t="str">
        <f t="shared" si="80"/>
        <v>NavigationSystemTypeCode_localizerBackCourseMarker</v>
      </c>
      <c r="B5149" s="330"/>
      <c r="C5149" s="334"/>
      <c r="D5149" s="188" t="s">
        <v>27693</v>
      </c>
      <c r="E5149" s="189" t="s">
        <v>27694</v>
      </c>
      <c r="F5149" s="162" t="s">
        <v>26163</v>
      </c>
      <c r="G5149" s="162" t="s">
        <v>26164</v>
      </c>
      <c r="H5149" s="219"/>
      <c r="I5149" s="169">
        <v>106160</v>
      </c>
      <c r="J5149" s="304" t="str">
        <f>CONCATENATE([2]Cover!$D$6,"fdd/view?i=",I5149)</f>
        <v>https://www.dgiwg.org/FAD/fdd/view?i=106160</v>
      </c>
      <c r="K5149" s="304" t="s">
        <v>39198</v>
      </c>
      <c r="L5149" s="188">
        <v>75</v>
      </c>
      <c r="M5149" s="179" t="s">
        <v>151</v>
      </c>
    </row>
    <row r="5150" spans="1:13" ht="51">
      <c r="A5150" s="313" t="str">
        <f t="shared" si="80"/>
        <v>NavigationSystemTypeCode_localizerDistMeasEquip</v>
      </c>
      <c r="B5150" s="330"/>
      <c r="C5150" s="334"/>
      <c r="D5150" s="188" t="s">
        <v>27695</v>
      </c>
      <c r="E5150" s="189" t="s">
        <v>27696</v>
      </c>
      <c r="F5150" s="162" t="s">
        <v>27697</v>
      </c>
      <c r="G5150" s="190"/>
      <c r="H5150" s="219"/>
      <c r="I5150" s="169">
        <v>106113</v>
      </c>
      <c r="J5150" s="304" t="str">
        <f>CONCATENATE([2]Cover!$D$6,"fdd/view?i=",I5150)</f>
        <v>https://www.dgiwg.org/FAD/fdd/view?i=106113</v>
      </c>
      <c r="K5150" s="304" t="s">
        <v>39199</v>
      </c>
      <c r="L5150" s="188">
        <v>27</v>
      </c>
      <c r="M5150" s="179" t="s">
        <v>151</v>
      </c>
    </row>
    <row r="5151" spans="1:13" ht="25.5">
      <c r="A5151" s="313" t="str">
        <f t="shared" si="80"/>
        <v>NavigationSystemTypeCode_locatorMiddleMarker</v>
      </c>
      <c r="B5151" s="330"/>
      <c r="C5151" s="334"/>
      <c r="D5151" s="188" t="s">
        <v>27698</v>
      </c>
      <c r="E5151" s="189" t="s">
        <v>27699</v>
      </c>
      <c r="F5151" s="162" t="s">
        <v>27700</v>
      </c>
      <c r="G5151" s="190"/>
      <c r="H5151" s="219"/>
      <c r="I5151" s="169">
        <v>106166</v>
      </c>
      <c r="J5151" s="304" t="str">
        <f>CONCATENATE([2]Cover!$D$6,"fdd/view?i=",I5151)</f>
        <v>https://www.dgiwg.org/FAD/fdd/view?i=106166</v>
      </c>
      <c r="K5151" s="304" t="s">
        <v>39200</v>
      </c>
      <c r="L5151" s="188">
        <v>81</v>
      </c>
      <c r="M5151" s="179" t="s">
        <v>151</v>
      </c>
    </row>
    <row r="5152" spans="1:13" ht="25.5">
      <c r="A5152" s="313" t="str">
        <f t="shared" si="80"/>
        <v>NavigationSystemTypeCode_locatorOuterMarker</v>
      </c>
      <c r="B5152" s="330"/>
      <c r="C5152" s="334"/>
      <c r="D5152" s="188" t="s">
        <v>27701</v>
      </c>
      <c r="E5152" s="189" t="s">
        <v>27702</v>
      </c>
      <c r="F5152" s="162" t="s">
        <v>27703</v>
      </c>
      <c r="G5152" s="190"/>
      <c r="H5152" s="219"/>
      <c r="I5152" s="169">
        <v>106165</v>
      </c>
      <c r="J5152" s="304" t="str">
        <f>CONCATENATE([2]Cover!$D$6,"fdd/view?i=",I5152)</f>
        <v>https://www.dgiwg.org/FAD/fdd/view?i=106165</v>
      </c>
      <c r="K5152" s="304" t="s">
        <v>39201</v>
      </c>
      <c r="L5152" s="188">
        <v>80</v>
      </c>
      <c r="M5152" s="179" t="s">
        <v>151</v>
      </c>
    </row>
    <row r="5153" spans="1:13" ht="38.25">
      <c r="A5153" s="313" t="str">
        <f t="shared" si="80"/>
        <v>NavigationSystemTypeCode_loran</v>
      </c>
      <c r="B5153" s="330"/>
      <c r="C5153" s="334"/>
      <c r="D5153" s="188" t="s">
        <v>27704</v>
      </c>
      <c r="E5153" s="189" t="s">
        <v>27705</v>
      </c>
      <c r="F5153" s="162" t="s">
        <v>27706</v>
      </c>
      <c r="G5153" s="190"/>
      <c r="H5153" s="219"/>
      <c r="I5153" s="169">
        <v>106093</v>
      </c>
      <c r="J5153" s="304" t="str">
        <f>CONCATENATE([2]Cover!$D$6,"fdd/view?i=",I5153)</f>
        <v>https://www.dgiwg.org/FAD/fdd/view?i=106093</v>
      </c>
      <c r="K5153" s="304" t="s">
        <v>39202</v>
      </c>
      <c r="L5153" s="188">
        <v>7</v>
      </c>
      <c r="M5153" s="179" t="s">
        <v>151</v>
      </c>
    </row>
    <row r="5154" spans="1:13" ht="38.25">
      <c r="A5154" s="313" t="str">
        <f t="shared" si="80"/>
        <v>NavigationSystemTypeCode_markerRadioBeacon</v>
      </c>
      <c r="B5154" s="330"/>
      <c r="C5154" s="334"/>
      <c r="D5154" s="188" t="s">
        <v>27707</v>
      </c>
      <c r="E5154" s="189" t="s">
        <v>27708</v>
      </c>
      <c r="F5154" s="162" t="s">
        <v>27709</v>
      </c>
      <c r="G5154" s="190"/>
      <c r="H5154" s="219"/>
      <c r="I5154" s="169">
        <v>106161</v>
      </c>
      <c r="J5154" s="304" t="str">
        <f>CONCATENATE([2]Cover!$D$6,"fdd/view?i=",I5154)</f>
        <v>https://www.dgiwg.org/FAD/fdd/view?i=106161</v>
      </c>
      <c r="K5154" s="304" t="s">
        <v>39203</v>
      </c>
      <c r="L5154" s="188">
        <v>76</v>
      </c>
      <c r="M5154" s="179" t="s">
        <v>151</v>
      </c>
    </row>
    <row r="5155" spans="1:13" ht="38.25">
      <c r="A5155" s="313" t="str">
        <f t="shared" si="80"/>
        <v>NavigationSystemTypeCode_microwaveLandingSysAzimuth</v>
      </c>
      <c r="B5155" s="330"/>
      <c r="C5155" s="334"/>
      <c r="D5155" s="188" t="s">
        <v>27712</v>
      </c>
      <c r="E5155" s="189" t="s">
        <v>3176</v>
      </c>
      <c r="F5155" s="162" t="s">
        <v>27713</v>
      </c>
      <c r="G5155" s="190"/>
      <c r="H5155" s="219"/>
      <c r="I5155" s="169">
        <v>106148</v>
      </c>
      <c r="J5155" s="304" t="str">
        <f>CONCATENATE([2]Cover!$D$6,"fdd/view?i=",I5155)</f>
        <v>https://www.dgiwg.org/FAD/fdd/view?i=106148</v>
      </c>
      <c r="K5155" s="304" t="s">
        <v>39204</v>
      </c>
      <c r="L5155" s="188">
        <v>63</v>
      </c>
      <c r="M5155" s="179" t="s">
        <v>151</v>
      </c>
    </row>
    <row r="5156" spans="1:13" ht="51">
      <c r="A5156" s="313" t="str">
        <f t="shared" si="80"/>
        <v>NavigationSystemTypeCode_microwaveLandingSysElev</v>
      </c>
      <c r="B5156" s="330"/>
      <c r="C5156" s="334"/>
      <c r="D5156" s="188" t="s">
        <v>27714</v>
      </c>
      <c r="E5156" s="189" t="s">
        <v>3181</v>
      </c>
      <c r="F5156" s="162" t="s">
        <v>27715</v>
      </c>
      <c r="G5156" s="190"/>
      <c r="H5156" s="219"/>
      <c r="I5156" s="169">
        <v>106149</v>
      </c>
      <c r="J5156" s="304" t="str">
        <f>CONCATENATE([2]Cover!$D$6,"fdd/view?i=",I5156)</f>
        <v>https://www.dgiwg.org/FAD/fdd/view?i=106149</v>
      </c>
      <c r="K5156" s="304" t="s">
        <v>39205</v>
      </c>
      <c r="L5156" s="188">
        <v>64</v>
      </c>
      <c r="M5156" s="179" t="s">
        <v>151</v>
      </c>
    </row>
    <row r="5157" spans="1:13" ht="76.5">
      <c r="A5157" s="313" t="str">
        <f t="shared" si="80"/>
        <v>NavigationSystemTypeCode_microwaveLandingSystem</v>
      </c>
      <c r="B5157" s="330"/>
      <c r="C5157" s="334"/>
      <c r="D5157" s="188" t="s">
        <v>16618</v>
      </c>
      <c r="E5157" s="189" t="s">
        <v>3170</v>
      </c>
      <c r="F5157" s="162" t="s">
        <v>27710</v>
      </c>
      <c r="G5157" s="162" t="s">
        <v>27711</v>
      </c>
      <c r="H5157" s="219"/>
      <c r="I5157" s="169">
        <v>106116</v>
      </c>
      <c r="J5157" s="304" t="str">
        <f>CONCATENATE([2]Cover!$D$6,"fdd/view?i=",I5157)</f>
        <v>https://www.dgiwg.org/FAD/fdd/view?i=106116</v>
      </c>
      <c r="K5157" s="304" t="s">
        <v>39206</v>
      </c>
      <c r="L5157" s="188">
        <v>30</v>
      </c>
      <c r="M5157" s="179" t="s">
        <v>151</v>
      </c>
    </row>
    <row r="5158" spans="1:13" ht="89.25">
      <c r="A5158" s="313" t="str">
        <f t="shared" si="80"/>
        <v>NavigationSystemTypeCode_middleMarker</v>
      </c>
      <c r="B5158" s="330"/>
      <c r="C5158" s="334"/>
      <c r="D5158" s="188" t="s">
        <v>27716</v>
      </c>
      <c r="E5158" s="189" t="s">
        <v>27717</v>
      </c>
      <c r="F5158" s="162" t="s">
        <v>27718</v>
      </c>
      <c r="G5158" s="162" t="s">
        <v>27719</v>
      </c>
      <c r="H5158" s="219"/>
      <c r="I5158" s="169">
        <v>106164</v>
      </c>
      <c r="J5158" s="304" t="str">
        <f>CONCATENATE([2]Cover!$D$6,"fdd/view?i=",I5158)</f>
        <v>https://www.dgiwg.org/FAD/fdd/view?i=106164</v>
      </c>
      <c r="K5158" s="304" t="s">
        <v>39207</v>
      </c>
      <c r="L5158" s="188">
        <v>79</v>
      </c>
      <c r="M5158" s="179" t="s">
        <v>151</v>
      </c>
    </row>
    <row r="5159" spans="1:13" ht="51">
      <c r="A5159" s="313" t="str">
        <f t="shared" si="80"/>
        <v>NavigationSystemTypeCode_nonDirRadioBeacon</v>
      </c>
      <c r="B5159" s="330"/>
      <c r="C5159" s="334"/>
      <c r="D5159" s="188" t="s">
        <v>27720</v>
      </c>
      <c r="E5159" s="189" t="s">
        <v>3289</v>
      </c>
      <c r="F5159" s="162" t="s">
        <v>27721</v>
      </c>
      <c r="G5159" s="190"/>
      <c r="H5159" s="219"/>
      <c r="I5159" s="169">
        <v>106103</v>
      </c>
      <c r="J5159" s="304" t="str">
        <f>CONCATENATE([2]Cover!$D$6,"fdd/view?i=",I5159)</f>
        <v>https://www.dgiwg.org/FAD/fdd/view?i=106103</v>
      </c>
      <c r="K5159" s="304" t="s">
        <v>39208</v>
      </c>
      <c r="L5159" s="188">
        <v>17</v>
      </c>
      <c r="M5159" s="179" t="s">
        <v>151</v>
      </c>
    </row>
    <row r="5160" spans="1:13" ht="63.75">
      <c r="A5160" s="313" t="str">
        <f t="shared" si="80"/>
        <v>NavigationSystemTypeCode_nonDirRadioBeaDistMeasEq</v>
      </c>
      <c r="B5160" s="330"/>
      <c r="C5160" s="334"/>
      <c r="D5160" s="188" t="s">
        <v>27722</v>
      </c>
      <c r="E5160" s="189" t="s">
        <v>27723</v>
      </c>
      <c r="F5160" s="162" t="s">
        <v>27724</v>
      </c>
      <c r="G5160" s="190"/>
      <c r="H5160" s="219"/>
      <c r="I5160" s="169">
        <v>106104</v>
      </c>
      <c r="J5160" s="304" t="str">
        <f>CONCATENATE([2]Cover!$D$6,"fdd/view?i=",I5160)</f>
        <v>https://www.dgiwg.org/FAD/fdd/view?i=106104</v>
      </c>
      <c r="K5160" s="304" t="s">
        <v>39209</v>
      </c>
      <c r="L5160" s="188">
        <v>18</v>
      </c>
      <c r="M5160" s="179" t="s">
        <v>151</v>
      </c>
    </row>
    <row r="5161" spans="1:13" ht="127.5">
      <c r="A5161" s="313" t="str">
        <f t="shared" si="80"/>
        <v>NavigationSystemTypeCode_outerMarker</v>
      </c>
      <c r="B5161" s="330"/>
      <c r="C5161" s="334"/>
      <c r="D5161" s="188" t="s">
        <v>27725</v>
      </c>
      <c r="E5161" s="189" t="s">
        <v>27726</v>
      </c>
      <c r="F5161" s="162" t="s">
        <v>27718</v>
      </c>
      <c r="G5161" s="162" t="s">
        <v>27727</v>
      </c>
      <c r="H5161" s="219"/>
      <c r="I5161" s="169">
        <v>106163</v>
      </c>
      <c r="J5161" s="304" t="str">
        <f>CONCATENATE([2]Cover!$D$6,"fdd/view?i=",I5161)</f>
        <v>https://www.dgiwg.org/FAD/fdd/view?i=106163</v>
      </c>
      <c r="K5161" s="304" t="s">
        <v>39210</v>
      </c>
      <c r="L5161" s="188">
        <v>78</v>
      </c>
      <c r="M5161" s="179" t="s">
        <v>151</v>
      </c>
    </row>
    <row r="5162" spans="1:13" ht="38.25">
      <c r="A5162" s="313" t="str">
        <f t="shared" si="80"/>
        <v>NavigationSystemTypeCode_parTouchdownReflector</v>
      </c>
      <c r="B5162" s="330"/>
      <c r="C5162" s="334"/>
      <c r="D5162" s="188" t="s">
        <v>27728</v>
      </c>
      <c r="E5162" s="189" t="s">
        <v>27729</v>
      </c>
      <c r="F5162" s="162" t="s">
        <v>27730</v>
      </c>
      <c r="G5162" s="190"/>
      <c r="H5162" s="219"/>
      <c r="I5162" s="169">
        <v>106156</v>
      </c>
      <c r="J5162" s="304" t="str">
        <f>CONCATENATE([2]Cover!$D$6,"fdd/view?i=",I5162)</f>
        <v>https://www.dgiwg.org/FAD/fdd/view?i=106156</v>
      </c>
      <c r="K5162" s="304" t="s">
        <v>39211</v>
      </c>
      <c r="L5162" s="188">
        <v>71</v>
      </c>
      <c r="M5162" s="179" t="s">
        <v>151</v>
      </c>
    </row>
    <row r="5163" spans="1:13" ht="25.5">
      <c r="A5163" s="313" t="str">
        <f t="shared" si="80"/>
        <v>NavigationSystemTypeCode_precisionApproachRadar</v>
      </c>
      <c r="B5163" s="330"/>
      <c r="C5163" s="334"/>
      <c r="D5163" s="188" t="s">
        <v>16629</v>
      </c>
      <c r="E5163" s="189" t="s">
        <v>3472</v>
      </c>
      <c r="F5163" s="162" t="s">
        <v>27731</v>
      </c>
      <c r="G5163" s="190"/>
      <c r="H5163" s="219"/>
      <c r="I5163" s="169">
        <v>106122</v>
      </c>
      <c r="J5163" s="304" t="str">
        <f>CONCATENATE([2]Cover!$D$6,"fdd/view?i=",I5163)</f>
        <v>https://www.dgiwg.org/FAD/fdd/view?i=106122</v>
      </c>
      <c r="K5163" s="304" t="s">
        <v>39212</v>
      </c>
      <c r="L5163" s="188">
        <v>37</v>
      </c>
      <c r="M5163" s="179" t="s">
        <v>151</v>
      </c>
    </row>
    <row r="5164" spans="1:13" ht="51">
      <c r="A5164" s="313" t="str">
        <f t="shared" si="80"/>
        <v>NavigationSystemTypeCode_radar</v>
      </c>
      <c r="B5164" s="330"/>
      <c r="C5164" s="334"/>
      <c r="D5164" s="188" t="s">
        <v>19255</v>
      </c>
      <c r="E5164" s="189" t="s">
        <v>19256</v>
      </c>
      <c r="F5164" s="162" t="s">
        <v>27732</v>
      </c>
      <c r="G5164" s="190"/>
      <c r="H5164" s="219"/>
      <c r="I5164" s="169">
        <v>106097</v>
      </c>
      <c r="J5164" s="304" t="str">
        <f>CONCATENATE([2]Cover!$D$6,"fdd/view?i=",I5164)</f>
        <v>https://www.dgiwg.org/FAD/fdd/view?i=106097</v>
      </c>
      <c r="K5164" s="304" t="s">
        <v>39213</v>
      </c>
      <c r="L5164" s="188">
        <v>11</v>
      </c>
      <c r="M5164" s="179" t="s">
        <v>151</v>
      </c>
    </row>
    <row r="5165" spans="1:13" ht="25.5">
      <c r="A5165" s="313" t="str">
        <f t="shared" si="80"/>
        <v>NavigationSystemTypeCode_radarAntenna</v>
      </c>
      <c r="B5165" s="330"/>
      <c r="C5165" s="334"/>
      <c r="D5165" s="188" t="s">
        <v>27733</v>
      </c>
      <c r="E5165" s="189" t="s">
        <v>27734</v>
      </c>
      <c r="F5165" s="162" t="s">
        <v>27735</v>
      </c>
      <c r="G5165" s="190"/>
      <c r="H5165" s="219"/>
      <c r="I5165" s="169">
        <v>106121</v>
      </c>
      <c r="J5165" s="304" t="str">
        <f>CONCATENATE([2]Cover!$D$6,"fdd/view?i=",I5165)</f>
        <v>https://www.dgiwg.org/FAD/fdd/view?i=106121</v>
      </c>
      <c r="K5165" s="304" t="s">
        <v>39214</v>
      </c>
      <c r="L5165" s="188">
        <v>35</v>
      </c>
      <c r="M5165" s="179" t="s">
        <v>151</v>
      </c>
    </row>
    <row r="5166" spans="1:13" ht="38.25">
      <c r="A5166" s="313" t="str">
        <f t="shared" si="80"/>
        <v>NavigationSystemTypeCode_radiobeaconTypeUnknown</v>
      </c>
      <c r="B5166" s="330"/>
      <c r="C5166" s="334"/>
      <c r="D5166" s="188" t="s">
        <v>27742</v>
      </c>
      <c r="E5166" s="189" t="s">
        <v>27743</v>
      </c>
      <c r="F5166" s="162" t="s">
        <v>27744</v>
      </c>
      <c r="G5166" s="190"/>
      <c r="H5166" s="219"/>
      <c r="I5166" s="169">
        <v>106136</v>
      </c>
      <c r="J5166" s="304" t="str">
        <f>CONCATENATE([2]Cover!$D$6,"fdd/view?i=",I5166)</f>
        <v>https://www.dgiwg.org/FAD/fdd/view?i=106136</v>
      </c>
      <c r="K5166" s="304" t="s">
        <v>39215</v>
      </c>
      <c r="L5166" s="188">
        <v>51</v>
      </c>
      <c r="M5166" s="179" t="s">
        <v>151</v>
      </c>
    </row>
    <row r="5167" spans="1:13" ht="178.5">
      <c r="A5167" s="313" t="str">
        <f t="shared" si="80"/>
        <v>NavigationSystemTypeCode_simplifiedDirectFacility</v>
      </c>
      <c r="B5167" s="330"/>
      <c r="C5167" s="334"/>
      <c r="D5167" s="188" t="s">
        <v>27736</v>
      </c>
      <c r="E5167" s="189" t="s">
        <v>3914</v>
      </c>
      <c r="F5167" s="162" t="s">
        <v>27737</v>
      </c>
      <c r="G5167" s="162" t="s">
        <v>27738</v>
      </c>
      <c r="H5167" s="219"/>
      <c r="I5167" s="169">
        <v>106114</v>
      </c>
      <c r="J5167" s="304" t="str">
        <f>CONCATENATE([2]Cover!$D$6,"fdd/view?i=",I5167)</f>
        <v>https://www.dgiwg.org/FAD/fdd/view?i=106114</v>
      </c>
      <c r="K5167" s="304" t="s">
        <v>39216</v>
      </c>
      <c r="L5167" s="188">
        <v>28</v>
      </c>
      <c r="M5167" s="179" t="s">
        <v>151</v>
      </c>
    </row>
    <row r="5168" spans="1:13" ht="102">
      <c r="A5168" s="313" t="str">
        <f t="shared" si="80"/>
        <v>NavigationSystemTypeCode_tacticalAirNavigationAid</v>
      </c>
      <c r="B5168" s="330"/>
      <c r="C5168" s="334"/>
      <c r="D5168" s="188" t="s">
        <v>27739</v>
      </c>
      <c r="E5168" s="189" t="s">
        <v>27740</v>
      </c>
      <c r="F5168" s="162" t="s">
        <v>4179</v>
      </c>
      <c r="G5168" s="162" t="s">
        <v>27741</v>
      </c>
      <c r="H5168" s="219"/>
      <c r="I5168" s="169">
        <v>106109</v>
      </c>
      <c r="J5168" s="304" t="str">
        <f>CONCATENATE([2]Cover!$D$6,"fdd/view?i=",I5168)</f>
        <v>https://www.dgiwg.org/FAD/fdd/view?i=106109</v>
      </c>
      <c r="K5168" s="304" t="s">
        <v>39217</v>
      </c>
      <c r="L5168" s="188">
        <v>23</v>
      </c>
      <c r="M5168" s="179" t="s">
        <v>151</v>
      </c>
    </row>
    <row r="5169" spans="1:13" ht="63.75">
      <c r="A5169" s="313" t="str">
        <f t="shared" si="80"/>
        <v>NavigationSystemTypeCode_vhfOmniBeacDistMeasEq</v>
      </c>
      <c r="B5169" s="330"/>
      <c r="C5169" s="334"/>
      <c r="D5169" s="188" t="s">
        <v>27748</v>
      </c>
      <c r="E5169" s="189" t="s">
        <v>27749</v>
      </c>
      <c r="F5169" s="162" t="s">
        <v>27750</v>
      </c>
      <c r="G5169" s="190"/>
      <c r="H5169" s="219"/>
      <c r="I5169" s="169">
        <v>106107</v>
      </c>
      <c r="J5169" s="304" t="str">
        <f>CONCATENATE([2]Cover!$D$6,"fdd/view?i=",I5169)</f>
        <v>https://www.dgiwg.org/FAD/fdd/view?i=106107</v>
      </c>
      <c r="K5169" s="304" t="s">
        <v>39218</v>
      </c>
      <c r="L5169" s="188">
        <v>21</v>
      </c>
      <c r="M5169" s="179" t="s">
        <v>151</v>
      </c>
    </row>
    <row r="5170" spans="1:13" ht="63.75">
      <c r="A5170" s="313" t="str">
        <f t="shared" si="80"/>
        <v>NavigationSystemTypeCode_vhfOmniBeacTacAirNav</v>
      </c>
      <c r="B5170" s="330"/>
      <c r="C5170" s="334"/>
      <c r="D5170" s="188" t="s">
        <v>27751</v>
      </c>
      <c r="E5170" s="189" t="s">
        <v>27752</v>
      </c>
      <c r="F5170" s="162" t="s">
        <v>27753</v>
      </c>
      <c r="G5170" s="162" t="s">
        <v>27754</v>
      </c>
      <c r="H5170" s="219"/>
      <c r="I5170" s="169">
        <v>106108</v>
      </c>
      <c r="J5170" s="304" t="str">
        <f>CONCATENATE([2]Cover!$D$6,"fdd/view?i=",I5170)</f>
        <v>https://www.dgiwg.org/FAD/fdd/view?i=106108</v>
      </c>
      <c r="K5170" s="304" t="s">
        <v>39219</v>
      </c>
      <c r="L5170" s="188">
        <v>22</v>
      </c>
      <c r="M5170" s="179" t="s">
        <v>151</v>
      </c>
    </row>
    <row r="5171" spans="1:13" ht="25.5">
      <c r="A5171" s="313" t="str">
        <f t="shared" si="80"/>
        <v>NavigationSystemTypeCode_vhfOmniRadioBeacon</v>
      </c>
      <c r="B5171" s="331"/>
      <c r="C5171" s="335"/>
      <c r="D5171" s="181" t="s">
        <v>27670</v>
      </c>
      <c r="E5171" s="192" t="s">
        <v>27745</v>
      </c>
      <c r="F5171" s="193" t="s">
        <v>27746</v>
      </c>
      <c r="G5171" s="193" t="s">
        <v>27747</v>
      </c>
      <c r="H5171" s="220"/>
      <c r="I5171" s="169">
        <v>106106</v>
      </c>
      <c r="J5171" s="304" t="str">
        <f>CONCATENATE([2]Cover!$D$6,"fdd/view?i=",I5171)</f>
        <v>https://www.dgiwg.org/FAD/fdd/view?i=106106</v>
      </c>
      <c r="K5171" s="304" t="s">
        <v>39220</v>
      </c>
      <c r="L5171" s="181">
        <v>20</v>
      </c>
      <c r="M5171" s="179" t="s">
        <v>151</v>
      </c>
    </row>
    <row r="5172" spans="1:13" ht="38.25">
      <c r="A5172" s="313" t="str">
        <f t="shared" si="80"/>
        <v>NomadicSeasonalLocationCode_autumn</v>
      </c>
      <c r="B5172" s="332" t="str">
        <f>HYPERLINK("[#]Datatypes!A952:L952","NomadicSeasonalLocationCode")</f>
        <v>NomadicSeasonalLocationCode</v>
      </c>
      <c r="C5172" s="333" t="s">
        <v>12538</v>
      </c>
      <c r="D5172" s="202" t="s">
        <v>27755</v>
      </c>
      <c r="E5172" s="203" t="s">
        <v>27756</v>
      </c>
      <c r="F5172" s="204" t="s">
        <v>27757</v>
      </c>
      <c r="G5172" s="204" t="s">
        <v>27758</v>
      </c>
      <c r="H5172" s="218"/>
      <c r="I5172" s="169">
        <v>110548</v>
      </c>
      <c r="J5172" s="304" t="str">
        <f>CONCATENATE([2]Cover!$D$6,"fdd/view?i=",I5172)</f>
        <v>https://www.dgiwg.org/FAD/fdd/view?i=110548</v>
      </c>
      <c r="K5172" s="304" t="s">
        <v>39221</v>
      </c>
      <c r="L5172" s="202">
        <v>4</v>
      </c>
      <c r="M5172" s="179" t="s">
        <v>151</v>
      </c>
    </row>
    <row r="5173" spans="1:13" ht="38.25">
      <c r="A5173" s="313" t="str">
        <f t="shared" si="80"/>
        <v>NomadicSeasonalLocationCode_spring</v>
      </c>
      <c r="B5173" s="330"/>
      <c r="C5173" s="334"/>
      <c r="D5173" s="188" t="s">
        <v>27291</v>
      </c>
      <c r="E5173" s="189" t="s">
        <v>27292</v>
      </c>
      <c r="F5173" s="162" t="s">
        <v>27759</v>
      </c>
      <c r="G5173" s="162" t="s">
        <v>27760</v>
      </c>
      <c r="H5173" s="219"/>
      <c r="I5173" s="169">
        <v>110547</v>
      </c>
      <c r="J5173" s="304" t="str">
        <f>CONCATENATE([2]Cover!$D$6,"fdd/view?i=",I5173)</f>
        <v>https://www.dgiwg.org/FAD/fdd/view?i=110547</v>
      </c>
      <c r="K5173" s="304" t="s">
        <v>39222</v>
      </c>
      <c r="L5173" s="188">
        <v>3</v>
      </c>
      <c r="M5173" s="179" t="s">
        <v>151</v>
      </c>
    </row>
    <row r="5174" spans="1:13" ht="38.25">
      <c r="A5174" s="313" t="str">
        <f t="shared" si="80"/>
        <v>NomadicSeasonalLocationCode_summer</v>
      </c>
      <c r="B5174" s="330"/>
      <c r="C5174" s="334"/>
      <c r="D5174" s="188" t="s">
        <v>27761</v>
      </c>
      <c r="E5174" s="189" t="s">
        <v>27762</v>
      </c>
      <c r="F5174" s="162" t="s">
        <v>27763</v>
      </c>
      <c r="G5174" s="162" t="s">
        <v>27764</v>
      </c>
      <c r="H5174" s="219"/>
      <c r="I5174" s="169">
        <v>108303</v>
      </c>
      <c r="J5174" s="304" t="str">
        <f>CONCATENATE([2]Cover!$D$6,"fdd/view?i=",I5174)</f>
        <v>https://www.dgiwg.org/FAD/fdd/view?i=108303</v>
      </c>
      <c r="K5174" s="304" t="s">
        <v>39223</v>
      </c>
      <c r="L5174" s="188">
        <v>2</v>
      </c>
      <c r="M5174" s="179" t="s">
        <v>151</v>
      </c>
    </row>
    <row r="5175" spans="1:13" ht="38.25">
      <c r="A5175" s="313" t="str">
        <f t="shared" si="80"/>
        <v>NomadicSeasonalLocationCode_winter</v>
      </c>
      <c r="B5175" s="331"/>
      <c r="C5175" s="335"/>
      <c r="D5175" s="181" t="s">
        <v>27765</v>
      </c>
      <c r="E5175" s="192" t="s">
        <v>27766</v>
      </c>
      <c r="F5175" s="193" t="s">
        <v>27767</v>
      </c>
      <c r="G5175" s="193" t="s">
        <v>27768</v>
      </c>
      <c r="H5175" s="220"/>
      <c r="I5175" s="169">
        <v>108302</v>
      </c>
      <c r="J5175" s="304" t="str">
        <f>CONCATENATE([2]Cover!$D$6,"fdd/view?i=",I5175)</f>
        <v>https://www.dgiwg.org/FAD/fdd/view?i=108302</v>
      </c>
      <c r="K5175" s="304" t="s">
        <v>39224</v>
      </c>
      <c r="L5175" s="181">
        <v>1</v>
      </c>
      <c r="M5175" s="179" t="s">
        <v>151</v>
      </c>
    </row>
    <row r="5176" spans="1:13" ht="25.5">
      <c r="A5176" s="313" t="str">
        <f t="shared" si="80"/>
        <v>NonBuildingStructTypeCode_amusementParkAttraction</v>
      </c>
      <c r="B5176" s="332" t="str">
        <f>HYPERLINK("[#]Datatypes!A954:L954","NonBuildingStructTypeCode")</f>
        <v>NonBuildingStructTypeCode</v>
      </c>
      <c r="C5176" s="333" t="s">
        <v>12540</v>
      </c>
      <c r="D5176" s="202" t="s">
        <v>27769</v>
      </c>
      <c r="E5176" s="203" t="s">
        <v>1521</v>
      </c>
      <c r="F5176" s="204" t="s">
        <v>1522</v>
      </c>
      <c r="G5176" s="205"/>
      <c r="H5176" s="218"/>
      <c r="I5176" s="169">
        <v>204177</v>
      </c>
      <c r="J5176" s="304" t="str">
        <f>CONCATENATE([2]Cover!$D$6,"fdd/view?i=",I5176)</f>
        <v>https://www.dgiwg.org/FAD/fdd/view?i=204177</v>
      </c>
      <c r="K5176" s="304" t="s">
        <v>39225</v>
      </c>
      <c r="L5176" s="202">
        <v>1</v>
      </c>
      <c r="M5176" s="179" t="s">
        <v>1295</v>
      </c>
    </row>
    <row r="5177" spans="1:13" ht="25.5">
      <c r="A5177" s="313" t="str">
        <f t="shared" si="80"/>
        <v>NonBuildingStructTypeCode_arcade</v>
      </c>
      <c r="B5177" s="330"/>
      <c r="C5177" s="334"/>
      <c r="D5177" s="188" t="s">
        <v>27770</v>
      </c>
      <c r="E5177" s="189" t="s">
        <v>1571</v>
      </c>
      <c r="F5177" s="162" t="s">
        <v>1572</v>
      </c>
      <c r="G5177" s="190"/>
      <c r="H5177" s="219"/>
      <c r="I5177" s="169">
        <v>204178</v>
      </c>
      <c r="J5177" s="304" t="str">
        <f>CONCATENATE([2]Cover!$D$6,"fdd/view?i=",I5177)</f>
        <v>https://www.dgiwg.org/FAD/fdd/view?i=204178</v>
      </c>
      <c r="K5177" s="304" t="s">
        <v>39226</v>
      </c>
      <c r="L5177" s="188">
        <v>2</v>
      </c>
      <c r="M5177" s="179" t="s">
        <v>1295</v>
      </c>
    </row>
    <row r="5178" spans="1:13" ht="51">
      <c r="A5178" s="313" t="str">
        <f t="shared" si="80"/>
        <v>NonBuildingStructTypeCode_bandshell</v>
      </c>
      <c r="B5178" s="330"/>
      <c r="C5178" s="334"/>
      <c r="D5178" s="188" t="s">
        <v>27771</v>
      </c>
      <c r="E5178" s="189" t="s">
        <v>1634</v>
      </c>
      <c r="F5178" s="162" t="s">
        <v>1635</v>
      </c>
      <c r="G5178" s="162" t="s">
        <v>1636</v>
      </c>
      <c r="H5178" s="219"/>
      <c r="I5178" s="169">
        <v>204179</v>
      </c>
      <c r="J5178" s="304" t="str">
        <f>CONCATENATE([2]Cover!$D$6,"fdd/view?i=",I5178)</f>
        <v>https://www.dgiwg.org/FAD/fdd/view?i=204179</v>
      </c>
      <c r="K5178" s="304" t="s">
        <v>39227</v>
      </c>
      <c r="L5178" s="188">
        <v>3</v>
      </c>
      <c r="M5178" s="179" t="s">
        <v>1295</v>
      </c>
    </row>
    <row r="5179" spans="1:13" ht="25.5">
      <c r="A5179" s="313" t="str">
        <f t="shared" si="80"/>
        <v>NonBuildingStructTypeCode_blastBarrier</v>
      </c>
      <c r="B5179" s="330"/>
      <c r="C5179" s="334"/>
      <c r="D5179" s="188" t="s">
        <v>27772</v>
      </c>
      <c r="E5179" s="189" t="s">
        <v>1675</v>
      </c>
      <c r="F5179" s="162" t="s">
        <v>1676</v>
      </c>
      <c r="G5179" s="190"/>
      <c r="H5179" s="219"/>
      <c r="I5179" s="169">
        <v>204180</v>
      </c>
      <c r="J5179" s="304" t="str">
        <f>CONCATENATE([2]Cover!$D$6,"fdd/view?i=",I5179)</f>
        <v>https://www.dgiwg.org/FAD/fdd/view?i=204180</v>
      </c>
      <c r="K5179" s="304" t="s">
        <v>39228</v>
      </c>
      <c r="L5179" s="188">
        <v>4</v>
      </c>
      <c r="M5179" s="179" t="s">
        <v>1295</v>
      </c>
    </row>
    <row r="5180" spans="1:13" ht="25.5">
      <c r="A5180" s="313" t="str">
        <f t="shared" si="80"/>
        <v>NonBuildingStructTypeCode_blastFurnace</v>
      </c>
      <c r="B5180" s="330"/>
      <c r="C5180" s="334"/>
      <c r="D5180" s="188" t="s">
        <v>27773</v>
      </c>
      <c r="E5180" s="189" t="s">
        <v>1680</v>
      </c>
      <c r="F5180" s="162" t="s">
        <v>1681</v>
      </c>
      <c r="G5180" s="190"/>
      <c r="H5180" s="219"/>
      <c r="I5180" s="169">
        <v>204181</v>
      </c>
      <c r="J5180" s="304" t="str">
        <f>CONCATENATE([2]Cover!$D$6,"fdd/view?i=",I5180)</f>
        <v>https://www.dgiwg.org/FAD/fdd/view?i=204181</v>
      </c>
      <c r="K5180" s="304" t="s">
        <v>39229</v>
      </c>
      <c r="L5180" s="188">
        <v>5</v>
      </c>
      <c r="M5180" s="179" t="s">
        <v>1295</v>
      </c>
    </row>
    <row r="5181" spans="1:13" ht="25.5">
      <c r="A5181" s="313" t="str">
        <f t="shared" si="80"/>
        <v>NonBuildingStructTypeCode_bucketElevator</v>
      </c>
      <c r="B5181" s="330"/>
      <c r="C5181" s="334"/>
      <c r="D5181" s="188" t="s">
        <v>27774</v>
      </c>
      <c r="E5181" s="189" t="s">
        <v>1747</v>
      </c>
      <c r="F5181" s="162" t="s">
        <v>1748</v>
      </c>
      <c r="G5181" s="190"/>
      <c r="H5181" s="219"/>
      <c r="I5181" s="169">
        <v>204182</v>
      </c>
      <c r="J5181" s="304" t="str">
        <f>CONCATENATE([2]Cover!$D$6,"fdd/view?i=",I5181)</f>
        <v>https://www.dgiwg.org/FAD/fdd/view?i=204182</v>
      </c>
      <c r="K5181" s="304" t="s">
        <v>39230</v>
      </c>
      <c r="L5181" s="188">
        <v>6</v>
      </c>
      <c r="M5181" s="179" t="s">
        <v>1295</v>
      </c>
    </row>
    <row r="5182" spans="1:13" ht="25.5">
      <c r="A5182" s="313" t="str">
        <f t="shared" si="80"/>
        <v>NonBuildingStructTypeCode_catalyticCracker</v>
      </c>
      <c r="B5182" s="330"/>
      <c r="C5182" s="334"/>
      <c r="D5182" s="188" t="s">
        <v>27775</v>
      </c>
      <c r="E5182" s="189" t="s">
        <v>1831</v>
      </c>
      <c r="F5182" s="162" t="s">
        <v>1832</v>
      </c>
      <c r="G5182" s="190"/>
      <c r="H5182" s="219"/>
      <c r="I5182" s="169">
        <v>204183</v>
      </c>
      <c r="J5182" s="304" t="str">
        <f>CONCATENATE([2]Cover!$D$6,"fdd/view?i=",I5182)</f>
        <v>https://www.dgiwg.org/FAD/fdd/view?i=204183</v>
      </c>
      <c r="K5182" s="304" t="s">
        <v>39231</v>
      </c>
      <c r="L5182" s="188">
        <v>7</v>
      </c>
      <c r="M5182" s="179" t="s">
        <v>1295</v>
      </c>
    </row>
    <row r="5183" spans="1:13" ht="25.5">
      <c r="A5183" s="313" t="str">
        <f t="shared" si="80"/>
        <v>NonBuildingStructTypeCode_cistern</v>
      </c>
      <c r="B5183" s="330"/>
      <c r="C5183" s="334"/>
      <c r="D5183" s="188" t="s">
        <v>27776</v>
      </c>
      <c r="E5183" s="189" t="s">
        <v>1867</v>
      </c>
      <c r="F5183" s="162" t="s">
        <v>1868</v>
      </c>
      <c r="G5183" s="190"/>
      <c r="H5183" s="219"/>
      <c r="I5183" s="169">
        <v>204184</v>
      </c>
      <c r="J5183" s="304" t="str">
        <f>CONCATENATE([2]Cover!$D$6,"fdd/view?i=",I5183)</f>
        <v>https://www.dgiwg.org/FAD/fdd/view?i=204184</v>
      </c>
      <c r="K5183" s="304" t="s">
        <v>39232</v>
      </c>
      <c r="L5183" s="188">
        <v>8</v>
      </c>
      <c r="M5183" s="179" t="s">
        <v>1295</v>
      </c>
    </row>
    <row r="5184" spans="1:13" ht="38.25">
      <c r="A5184" s="313" t="str">
        <f t="shared" si="80"/>
        <v>NonBuildingStructTypeCode_conveyor</v>
      </c>
      <c r="B5184" s="330"/>
      <c r="C5184" s="334"/>
      <c r="D5184" s="188" t="s">
        <v>27777</v>
      </c>
      <c r="E5184" s="189" t="s">
        <v>1916</v>
      </c>
      <c r="F5184" s="162" t="s">
        <v>1917</v>
      </c>
      <c r="G5184" s="190"/>
      <c r="H5184" s="219"/>
      <c r="I5184" s="169">
        <v>204185</v>
      </c>
      <c r="J5184" s="304" t="str">
        <f>CONCATENATE([2]Cover!$D$6,"fdd/view?i=",I5184)</f>
        <v>https://www.dgiwg.org/FAD/fdd/view?i=204185</v>
      </c>
      <c r="K5184" s="304" t="s">
        <v>39233</v>
      </c>
      <c r="L5184" s="188">
        <v>9</v>
      </c>
      <c r="M5184" s="179" t="s">
        <v>1295</v>
      </c>
    </row>
    <row r="5185" spans="1:13" ht="25.5">
      <c r="A5185" s="313" t="str">
        <f t="shared" si="80"/>
        <v>NonBuildingStructTypeCode_coolingTower</v>
      </c>
      <c r="B5185" s="330"/>
      <c r="C5185" s="334"/>
      <c r="D5185" s="188" t="s">
        <v>27778</v>
      </c>
      <c r="E5185" s="189" t="s">
        <v>1924</v>
      </c>
      <c r="F5185" s="162" t="s">
        <v>1925</v>
      </c>
      <c r="G5185" s="190"/>
      <c r="H5185" s="219"/>
      <c r="I5185" s="169">
        <v>204186</v>
      </c>
      <c r="J5185" s="304" t="str">
        <f>CONCATENATE([2]Cover!$D$6,"fdd/view?i=",I5185)</f>
        <v>https://www.dgiwg.org/FAD/fdd/view?i=204186</v>
      </c>
      <c r="K5185" s="304" t="s">
        <v>39234</v>
      </c>
      <c r="L5185" s="188">
        <v>10</v>
      </c>
      <c r="M5185" s="179" t="s">
        <v>1295</v>
      </c>
    </row>
    <row r="5186" spans="1:13" ht="38.25">
      <c r="A5186" s="313" t="str">
        <f t="shared" si="80"/>
        <v>NonBuildingStructTypeCode_crane</v>
      </c>
      <c r="B5186" s="330"/>
      <c r="C5186" s="334"/>
      <c r="D5186" s="188" t="s">
        <v>18141</v>
      </c>
      <c r="E5186" s="189" t="s">
        <v>1942</v>
      </c>
      <c r="F5186" s="162" t="s">
        <v>1943</v>
      </c>
      <c r="G5186" s="190"/>
      <c r="H5186" s="219"/>
      <c r="I5186" s="169">
        <v>204187</v>
      </c>
      <c r="J5186" s="304" t="str">
        <f>CONCATENATE([2]Cover!$D$6,"fdd/view?i=",I5186)</f>
        <v>https://www.dgiwg.org/FAD/fdd/view?i=204187</v>
      </c>
      <c r="K5186" s="304" t="s">
        <v>39235</v>
      </c>
      <c r="L5186" s="188">
        <v>11</v>
      </c>
      <c r="M5186" s="179" t="s">
        <v>1295</v>
      </c>
    </row>
    <row r="5187" spans="1:13" ht="25.5">
      <c r="A5187" s="313" t="str">
        <f t="shared" ref="A5187:A5250" si="81">HYPERLINK(J5187,K5187)</f>
        <v>NonBuildingStructTypeCode_displaySign</v>
      </c>
      <c r="B5187" s="330"/>
      <c r="C5187" s="334"/>
      <c r="D5187" s="188" t="s">
        <v>27779</v>
      </c>
      <c r="E5187" s="189" t="s">
        <v>2102</v>
      </c>
      <c r="F5187" s="162" t="s">
        <v>2103</v>
      </c>
      <c r="G5187" s="190"/>
      <c r="H5187" s="219"/>
      <c r="I5187" s="169">
        <v>204188</v>
      </c>
      <c r="J5187" s="304" t="str">
        <f>CONCATENATE([2]Cover!$D$6,"fdd/view?i=",I5187)</f>
        <v>https://www.dgiwg.org/FAD/fdd/view?i=204188</v>
      </c>
      <c r="K5187" s="304" t="s">
        <v>39236</v>
      </c>
      <c r="L5187" s="188">
        <v>12</v>
      </c>
      <c r="M5187" s="179" t="s">
        <v>1295</v>
      </c>
    </row>
    <row r="5188" spans="1:13" ht="114.75">
      <c r="A5188" s="313" t="str">
        <f t="shared" si="81"/>
        <v>NonBuildingStructTypeCode_engineTestCell</v>
      </c>
      <c r="B5188" s="330"/>
      <c r="C5188" s="334"/>
      <c r="D5188" s="188" t="s">
        <v>27780</v>
      </c>
      <c r="E5188" s="189" t="s">
        <v>2216</v>
      </c>
      <c r="F5188" s="162" t="s">
        <v>2217</v>
      </c>
      <c r="G5188" s="162" t="s">
        <v>2218</v>
      </c>
      <c r="H5188" s="219"/>
      <c r="I5188" s="169">
        <v>204189</v>
      </c>
      <c r="J5188" s="304" t="str">
        <f>CONCATENATE([2]Cover!$D$6,"fdd/view?i=",I5188)</f>
        <v>https://www.dgiwg.org/FAD/fdd/view?i=204189</v>
      </c>
      <c r="K5188" s="304" t="s">
        <v>39237</v>
      </c>
      <c r="L5188" s="188">
        <v>13</v>
      </c>
      <c r="M5188" s="179" t="s">
        <v>1295</v>
      </c>
    </row>
    <row r="5189" spans="1:13" ht="25.5">
      <c r="A5189" s="313" t="str">
        <f t="shared" si="81"/>
        <v>NonBuildingStructTypeCode_excavatingMachine</v>
      </c>
      <c r="B5189" s="330"/>
      <c r="C5189" s="334"/>
      <c r="D5189" s="188" t="s">
        <v>27781</v>
      </c>
      <c r="E5189" s="189" t="s">
        <v>2278</v>
      </c>
      <c r="F5189" s="162" t="s">
        <v>2279</v>
      </c>
      <c r="G5189" s="162" t="s">
        <v>2280</v>
      </c>
      <c r="H5189" s="219"/>
      <c r="I5189" s="169">
        <v>204190</v>
      </c>
      <c r="J5189" s="304" t="str">
        <f>CONCATENATE([2]Cover!$D$6,"fdd/view?i=",I5189)</f>
        <v>https://www.dgiwg.org/FAD/fdd/view?i=204190</v>
      </c>
      <c r="K5189" s="304" t="s">
        <v>39238</v>
      </c>
      <c r="L5189" s="188">
        <v>14</v>
      </c>
      <c r="M5189" s="179" t="s">
        <v>1295</v>
      </c>
    </row>
    <row r="5190" spans="1:13" ht="25.5">
      <c r="A5190" s="313" t="str">
        <f t="shared" si="81"/>
        <v>NonBuildingStructTypeCode_flarePipe</v>
      </c>
      <c r="B5190" s="330"/>
      <c r="C5190" s="334"/>
      <c r="D5190" s="188" t="s">
        <v>27782</v>
      </c>
      <c r="E5190" s="189" t="s">
        <v>2423</v>
      </c>
      <c r="F5190" s="162" t="s">
        <v>2424</v>
      </c>
      <c r="G5190" s="190"/>
      <c r="H5190" s="219"/>
      <c r="I5190" s="169">
        <v>204191</v>
      </c>
      <c r="J5190" s="304" t="str">
        <f>CONCATENATE([2]Cover!$D$6,"fdd/view?i=",I5190)</f>
        <v>https://www.dgiwg.org/FAD/fdd/view?i=204191</v>
      </c>
      <c r="K5190" s="304" t="s">
        <v>39239</v>
      </c>
      <c r="L5190" s="188">
        <v>15</v>
      </c>
      <c r="M5190" s="179" t="s">
        <v>1295</v>
      </c>
    </row>
    <row r="5191" spans="1:13" ht="89.25">
      <c r="A5191" s="313" t="str">
        <f t="shared" si="81"/>
        <v>NonBuildingStructTypeCode_gantry</v>
      </c>
      <c r="B5191" s="330"/>
      <c r="C5191" s="334"/>
      <c r="D5191" s="188" t="s">
        <v>27783</v>
      </c>
      <c r="E5191" s="189" t="s">
        <v>2476</v>
      </c>
      <c r="F5191" s="162" t="s">
        <v>2477</v>
      </c>
      <c r="G5191" s="162" t="s">
        <v>2478</v>
      </c>
      <c r="H5191" s="219"/>
      <c r="I5191" s="169">
        <v>204192</v>
      </c>
      <c r="J5191" s="304" t="str">
        <f>CONCATENATE([2]Cover!$D$6,"fdd/view?i=",I5191)</f>
        <v>https://www.dgiwg.org/FAD/fdd/view?i=204192</v>
      </c>
      <c r="K5191" s="304" t="s">
        <v>39240</v>
      </c>
      <c r="L5191" s="188">
        <v>16</v>
      </c>
      <c r="M5191" s="179" t="s">
        <v>1295</v>
      </c>
    </row>
    <row r="5192" spans="1:13" ht="25.5">
      <c r="A5192" s="313" t="str">
        <f t="shared" si="81"/>
        <v>NonBuildingStructTypeCode_grainElevator</v>
      </c>
      <c r="B5192" s="330"/>
      <c r="C5192" s="334"/>
      <c r="D5192" s="188" t="s">
        <v>27784</v>
      </c>
      <c r="E5192" s="189" t="s">
        <v>2615</v>
      </c>
      <c r="F5192" s="162" t="s">
        <v>2616</v>
      </c>
      <c r="G5192" s="190"/>
      <c r="H5192" s="219"/>
      <c r="I5192" s="169">
        <v>204193</v>
      </c>
      <c r="J5192" s="304" t="str">
        <f>CONCATENATE([2]Cover!$D$6,"fdd/view?i=",I5192)</f>
        <v>https://www.dgiwg.org/FAD/fdd/view?i=204193</v>
      </c>
      <c r="K5192" s="304" t="s">
        <v>39241</v>
      </c>
      <c r="L5192" s="188">
        <v>17</v>
      </c>
      <c r="M5192" s="179" t="s">
        <v>1295</v>
      </c>
    </row>
    <row r="5193" spans="1:13" ht="25.5">
      <c r="A5193" s="313" t="str">
        <f t="shared" si="81"/>
        <v>NonBuildingStructTypeCode_grainStorageStructure</v>
      </c>
      <c r="B5193" s="330"/>
      <c r="C5193" s="334"/>
      <c r="D5193" s="188" t="s">
        <v>27785</v>
      </c>
      <c r="E5193" s="189" t="s">
        <v>2619</v>
      </c>
      <c r="F5193" s="162" t="s">
        <v>2620</v>
      </c>
      <c r="G5193" s="190"/>
      <c r="H5193" s="219"/>
      <c r="I5193" s="169">
        <v>204194</v>
      </c>
      <c r="J5193" s="304" t="str">
        <f>CONCATENATE([2]Cover!$D$6,"fdd/view?i=",I5193)</f>
        <v>https://www.dgiwg.org/FAD/fdd/view?i=204194</v>
      </c>
      <c r="K5193" s="304" t="s">
        <v>39242</v>
      </c>
      <c r="L5193" s="188">
        <v>18</v>
      </c>
      <c r="M5193" s="179" t="s">
        <v>1295</v>
      </c>
    </row>
    <row r="5194" spans="1:13" ht="25.5">
      <c r="A5194" s="313" t="str">
        <f t="shared" si="81"/>
        <v>NonBuildingStructTypeCode_grandstand</v>
      </c>
      <c r="B5194" s="330"/>
      <c r="C5194" s="334"/>
      <c r="D5194" s="188" t="s">
        <v>27786</v>
      </c>
      <c r="E5194" s="189" t="s">
        <v>2622</v>
      </c>
      <c r="F5194" s="162" t="s">
        <v>2623</v>
      </c>
      <c r="G5194" s="190"/>
      <c r="H5194" s="219"/>
      <c r="I5194" s="169">
        <v>204195</v>
      </c>
      <c r="J5194" s="304" t="str">
        <f>CONCATENATE([2]Cover!$D$6,"fdd/view?i=",I5194)</f>
        <v>https://www.dgiwg.org/FAD/fdd/view?i=204195</v>
      </c>
      <c r="K5194" s="304" t="s">
        <v>39243</v>
      </c>
      <c r="L5194" s="188">
        <v>19</v>
      </c>
      <c r="M5194" s="179" t="s">
        <v>1295</v>
      </c>
    </row>
    <row r="5195" spans="1:13" ht="25.5">
      <c r="A5195" s="313" t="str">
        <f t="shared" si="81"/>
        <v>NonBuildingStructTypeCode_hopper</v>
      </c>
      <c r="B5195" s="330"/>
      <c r="C5195" s="334"/>
      <c r="D5195" s="188" t="s">
        <v>27787</v>
      </c>
      <c r="E5195" s="189" t="s">
        <v>2715</v>
      </c>
      <c r="F5195" s="162" t="s">
        <v>2716</v>
      </c>
      <c r="G5195" s="190"/>
      <c r="H5195" s="219"/>
      <c r="I5195" s="169">
        <v>204196</v>
      </c>
      <c r="J5195" s="304" t="str">
        <f>CONCATENATE([2]Cover!$D$6,"fdd/view?i=",I5195)</f>
        <v>https://www.dgiwg.org/FAD/fdd/view?i=204196</v>
      </c>
      <c r="K5195" s="304" t="s">
        <v>39244</v>
      </c>
      <c r="L5195" s="188">
        <v>20</v>
      </c>
      <c r="M5195" s="179" t="s">
        <v>1295</v>
      </c>
    </row>
    <row r="5196" spans="1:13" ht="51">
      <c r="A5196" s="313" t="str">
        <f t="shared" si="81"/>
        <v>NonBuildingStructTypeCode_industrialFurnace</v>
      </c>
      <c r="B5196" s="330"/>
      <c r="C5196" s="334"/>
      <c r="D5196" s="188" t="s">
        <v>27788</v>
      </c>
      <c r="E5196" s="189" t="s">
        <v>2812</v>
      </c>
      <c r="F5196" s="162" t="s">
        <v>2813</v>
      </c>
      <c r="G5196" s="162" t="s">
        <v>2814</v>
      </c>
      <c r="H5196" s="219"/>
      <c r="I5196" s="169">
        <v>204197</v>
      </c>
      <c r="J5196" s="304" t="str">
        <f>CONCATENATE([2]Cover!$D$6,"fdd/view?i=",I5196)</f>
        <v>https://www.dgiwg.org/FAD/fdd/view?i=204197</v>
      </c>
      <c r="K5196" s="304" t="s">
        <v>39245</v>
      </c>
      <c r="L5196" s="188">
        <v>21</v>
      </c>
      <c r="M5196" s="179" t="s">
        <v>1295</v>
      </c>
    </row>
    <row r="5197" spans="1:13" ht="25.5">
      <c r="A5197" s="313" t="str">
        <f t="shared" si="81"/>
        <v>NonBuildingStructTypeCode_lightSupportStructure</v>
      </c>
      <c r="B5197" s="330"/>
      <c r="C5197" s="334"/>
      <c r="D5197" s="188" t="s">
        <v>27789</v>
      </c>
      <c r="E5197" s="189" t="s">
        <v>3011</v>
      </c>
      <c r="F5197" s="162" t="s">
        <v>3012</v>
      </c>
      <c r="G5197" s="162" t="s">
        <v>3013</v>
      </c>
      <c r="H5197" s="219"/>
      <c r="I5197" s="169">
        <v>204198</v>
      </c>
      <c r="J5197" s="304" t="str">
        <f>CONCATENATE([2]Cover!$D$6,"fdd/view?i=",I5197)</f>
        <v>https://www.dgiwg.org/FAD/fdd/view?i=204198</v>
      </c>
      <c r="K5197" s="304" t="s">
        <v>39246</v>
      </c>
      <c r="L5197" s="188">
        <v>22</v>
      </c>
      <c r="M5197" s="179" t="s">
        <v>1295</v>
      </c>
    </row>
    <row r="5198" spans="1:13" ht="25.5">
      <c r="A5198" s="313" t="str">
        <f t="shared" si="81"/>
        <v>NonBuildingStructTypeCode_memorialMonument</v>
      </c>
      <c r="B5198" s="330"/>
      <c r="C5198" s="334"/>
      <c r="D5198" s="188" t="s">
        <v>27790</v>
      </c>
      <c r="E5198" s="189" t="s">
        <v>3165</v>
      </c>
      <c r="F5198" s="162" t="s">
        <v>3166</v>
      </c>
      <c r="G5198" s="190"/>
      <c r="H5198" s="219"/>
      <c r="I5198" s="169">
        <v>204199</v>
      </c>
      <c r="J5198" s="304" t="str">
        <f>CONCATENATE([2]Cover!$D$6,"fdd/view?i=",I5198)</f>
        <v>https://www.dgiwg.org/FAD/fdd/view?i=204199</v>
      </c>
      <c r="K5198" s="304" t="s">
        <v>39247</v>
      </c>
      <c r="L5198" s="188">
        <v>23</v>
      </c>
      <c r="M5198" s="179" t="s">
        <v>1295</v>
      </c>
    </row>
    <row r="5199" spans="1:13" ht="51">
      <c r="A5199" s="313" t="str">
        <f t="shared" si="81"/>
        <v>NonBuildingStructTypeCode_mineShaftSuperstructure</v>
      </c>
      <c r="B5199" s="330"/>
      <c r="C5199" s="334"/>
      <c r="D5199" s="188" t="s">
        <v>27791</v>
      </c>
      <c r="E5199" s="189" t="s">
        <v>3195</v>
      </c>
      <c r="F5199" s="162" t="s">
        <v>3196</v>
      </c>
      <c r="G5199" s="162" t="s">
        <v>3197</v>
      </c>
      <c r="H5199" s="221" t="s">
        <v>27792</v>
      </c>
      <c r="I5199" s="169">
        <v>204200</v>
      </c>
      <c r="J5199" s="304" t="str">
        <f>CONCATENATE([2]Cover!$D$6,"fdd/view?i=",I5199)</f>
        <v>https://www.dgiwg.org/FAD/fdd/view?i=204200</v>
      </c>
      <c r="K5199" s="304" t="s">
        <v>39248</v>
      </c>
      <c r="L5199" s="188">
        <v>24</v>
      </c>
      <c r="M5199" s="179" t="s">
        <v>1295</v>
      </c>
    </row>
    <row r="5200" spans="1:13" ht="25.5">
      <c r="A5200" s="313" t="str">
        <f t="shared" si="81"/>
        <v>NonBuildingStructTypeCode_mooringMast</v>
      </c>
      <c r="B5200" s="330"/>
      <c r="C5200" s="334"/>
      <c r="D5200" s="188" t="s">
        <v>27793</v>
      </c>
      <c r="E5200" s="189" t="s">
        <v>3230</v>
      </c>
      <c r="F5200" s="162" t="s">
        <v>3231</v>
      </c>
      <c r="G5200" s="190"/>
      <c r="H5200" s="219"/>
      <c r="I5200" s="169">
        <v>204201</v>
      </c>
      <c r="J5200" s="304" t="str">
        <f>CONCATENATE([2]Cover!$D$6,"fdd/view?i=",I5200)</f>
        <v>https://www.dgiwg.org/FAD/fdd/view?i=204201</v>
      </c>
      <c r="K5200" s="304" t="s">
        <v>39249</v>
      </c>
      <c r="L5200" s="188">
        <v>25</v>
      </c>
      <c r="M5200" s="179" t="s">
        <v>1295</v>
      </c>
    </row>
    <row r="5201" spans="1:13" ht="76.5">
      <c r="A5201" s="313" t="str">
        <f t="shared" si="81"/>
        <v>NonBuildingStructTypeCode_nuclearReactorContainment</v>
      </c>
      <c r="B5201" s="330"/>
      <c r="C5201" s="334"/>
      <c r="D5201" s="188" t="s">
        <v>27794</v>
      </c>
      <c r="E5201" s="189" t="s">
        <v>3307</v>
      </c>
      <c r="F5201" s="162" t="s">
        <v>3308</v>
      </c>
      <c r="G5201" s="162" t="s">
        <v>3309</v>
      </c>
      <c r="H5201" s="219"/>
      <c r="I5201" s="169">
        <v>204202</v>
      </c>
      <c r="J5201" s="304" t="str">
        <f>CONCATENATE([2]Cover!$D$6,"fdd/view?i=",I5201)</f>
        <v>https://www.dgiwg.org/FAD/fdd/view?i=204202</v>
      </c>
      <c r="K5201" s="304" t="s">
        <v>39250</v>
      </c>
      <c r="L5201" s="188">
        <v>26</v>
      </c>
      <c r="M5201" s="179" t="s">
        <v>1295</v>
      </c>
    </row>
    <row r="5202" spans="1:13" ht="76.5">
      <c r="A5202" s="313" t="str">
        <f t="shared" si="81"/>
        <v>NonBuildingStructTypeCode_offshoreConstruction</v>
      </c>
      <c r="B5202" s="330"/>
      <c r="C5202" s="334"/>
      <c r="D5202" s="188" t="s">
        <v>23482</v>
      </c>
      <c r="E5202" s="189" t="s">
        <v>3335</v>
      </c>
      <c r="F5202" s="162" t="s">
        <v>3336</v>
      </c>
      <c r="G5202" s="162" t="s">
        <v>3337</v>
      </c>
      <c r="H5202" s="219"/>
      <c r="I5202" s="169">
        <v>204203</v>
      </c>
      <c r="J5202" s="304" t="str">
        <f>CONCATENATE([2]Cover!$D$6,"fdd/view?i=",I5202)</f>
        <v>https://www.dgiwg.org/FAD/fdd/view?i=204203</v>
      </c>
      <c r="K5202" s="304" t="s">
        <v>39251</v>
      </c>
      <c r="L5202" s="188">
        <v>27</v>
      </c>
      <c r="M5202" s="179" t="s">
        <v>1295</v>
      </c>
    </row>
    <row r="5203" spans="1:13" ht="25.5">
      <c r="A5203" s="313" t="str">
        <f t="shared" si="81"/>
        <v>NonBuildingStructTypeCode_outdoorTheatreScreen</v>
      </c>
      <c r="B5203" s="330"/>
      <c r="C5203" s="334"/>
      <c r="D5203" s="188" t="s">
        <v>27795</v>
      </c>
      <c r="E5203" s="189" t="s">
        <v>3356</v>
      </c>
      <c r="F5203" s="162" t="s">
        <v>3357</v>
      </c>
      <c r="G5203" s="190"/>
      <c r="H5203" s="219"/>
      <c r="I5203" s="169">
        <v>204204</v>
      </c>
      <c r="J5203" s="304" t="str">
        <f>CONCATENATE([2]Cover!$D$6,"fdd/view?i=",I5203)</f>
        <v>https://www.dgiwg.org/FAD/fdd/view?i=204204</v>
      </c>
      <c r="K5203" s="304" t="s">
        <v>39252</v>
      </c>
      <c r="L5203" s="188">
        <v>28</v>
      </c>
      <c r="M5203" s="179" t="s">
        <v>1295</v>
      </c>
    </row>
    <row r="5204" spans="1:13">
      <c r="A5204" s="313" t="str">
        <f t="shared" si="81"/>
        <v>NonBuildingStructTypeCode_pylon</v>
      </c>
      <c r="B5204" s="330"/>
      <c r="C5204" s="334"/>
      <c r="D5204" s="188" t="s">
        <v>27796</v>
      </c>
      <c r="E5204" s="189" t="s">
        <v>3509</v>
      </c>
      <c r="F5204" s="162" t="s">
        <v>3510</v>
      </c>
      <c r="G5204" s="190"/>
      <c r="H5204" s="219"/>
      <c r="I5204" s="169">
        <v>204205</v>
      </c>
      <c r="J5204" s="304" t="str">
        <f>CONCATENATE([2]Cover!$D$6,"fdd/view?i=",I5204)</f>
        <v>https://www.dgiwg.org/FAD/fdd/view?i=204205</v>
      </c>
      <c r="K5204" s="304" t="s">
        <v>39253</v>
      </c>
      <c r="L5204" s="188">
        <v>29</v>
      </c>
      <c r="M5204" s="179" t="s">
        <v>1295</v>
      </c>
    </row>
    <row r="5205" spans="1:13" ht="25.5">
      <c r="A5205" s="313" t="str">
        <f t="shared" si="81"/>
        <v>NonBuildingStructTypeCode_rig</v>
      </c>
      <c r="B5205" s="330"/>
      <c r="C5205" s="334"/>
      <c r="D5205" s="188" t="s">
        <v>23483</v>
      </c>
      <c r="E5205" s="189" t="s">
        <v>3649</v>
      </c>
      <c r="F5205" s="162" t="s">
        <v>3650</v>
      </c>
      <c r="G5205" s="190"/>
      <c r="H5205" s="219"/>
      <c r="I5205" s="169">
        <v>204206</v>
      </c>
      <c r="J5205" s="304" t="str">
        <f>CONCATENATE([2]Cover!$D$6,"fdd/view?i=",I5205)</f>
        <v>https://www.dgiwg.org/FAD/fdd/view?i=204206</v>
      </c>
      <c r="K5205" s="304" t="s">
        <v>39254</v>
      </c>
      <c r="L5205" s="188">
        <v>30</v>
      </c>
      <c r="M5205" s="179" t="s">
        <v>1295</v>
      </c>
    </row>
    <row r="5206" spans="1:13" ht="89.25">
      <c r="A5206" s="313" t="str">
        <f t="shared" si="81"/>
        <v>NonBuildingStructTypeCode_shippingContainer</v>
      </c>
      <c r="B5206" s="330"/>
      <c r="C5206" s="334"/>
      <c r="D5206" s="188" t="s">
        <v>27797</v>
      </c>
      <c r="E5206" s="189" t="s">
        <v>3865</v>
      </c>
      <c r="F5206" s="162" t="s">
        <v>3866</v>
      </c>
      <c r="G5206" s="162" t="s">
        <v>3867</v>
      </c>
      <c r="H5206" s="219"/>
      <c r="I5206" s="169">
        <v>204207</v>
      </c>
      <c r="J5206" s="304" t="str">
        <f>CONCATENATE([2]Cover!$D$6,"fdd/view?i=",I5206)</f>
        <v>https://www.dgiwg.org/FAD/fdd/view?i=204207</v>
      </c>
      <c r="K5206" s="304" t="s">
        <v>39255</v>
      </c>
      <c r="L5206" s="188">
        <v>31</v>
      </c>
      <c r="M5206" s="179" t="s">
        <v>1295</v>
      </c>
    </row>
    <row r="5207" spans="1:13" ht="25.5">
      <c r="A5207" s="313" t="str">
        <f t="shared" si="81"/>
        <v>NonBuildingStructTypeCode_skiJump</v>
      </c>
      <c r="B5207" s="330"/>
      <c r="C5207" s="334"/>
      <c r="D5207" s="188" t="s">
        <v>27798</v>
      </c>
      <c r="E5207" s="189" t="s">
        <v>3925</v>
      </c>
      <c r="F5207" s="162" t="s">
        <v>3926</v>
      </c>
      <c r="G5207" s="190"/>
      <c r="H5207" s="219"/>
      <c r="I5207" s="169">
        <v>204208</v>
      </c>
      <c r="J5207" s="304" t="str">
        <f>CONCATENATE([2]Cover!$D$6,"fdd/view?i=",I5207)</f>
        <v>https://www.dgiwg.org/FAD/fdd/view?i=204208</v>
      </c>
      <c r="K5207" s="304" t="s">
        <v>39256</v>
      </c>
      <c r="L5207" s="188">
        <v>32</v>
      </c>
      <c r="M5207" s="179" t="s">
        <v>1295</v>
      </c>
    </row>
    <row r="5208" spans="1:13" ht="25.5">
      <c r="A5208" s="313" t="str">
        <f t="shared" si="81"/>
        <v>NonBuildingStructTypeCode_smokestack</v>
      </c>
      <c r="B5208" s="330"/>
      <c r="C5208" s="334"/>
      <c r="D5208" s="188" t="s">
        <v>27799</v>
      </c>
      <c r="E5208" s="189" t="s">
        <v>3951</v>
      </c>
      <c r="F5208" s="162" t="s">
        <v>3952</v>
      </c>
      <c r="G5208" s="190"/>
      <c r="H5208" s="219"/>
      <c r="I5208" s="169">
        <v>204209</v>
      </c>
      <c r="J5208" s="304" t="str">
        <f>CONCATENATE([2]Cover!$D$6,"fdd/view?i=",I5208)</f>
        <v>https://www.dgiwg.org/FAD/fdd/view?i=204209</v>
      </c>
      <c r="K5208" s="304" t="s">
        <v>39257</v>
      </c>
      <c r="L5208" s="188">
        <v>33</v>
      </c>
      <c r="M5208" s="179" t="s">
        <v>1295</v>
      </c>
    </row>
    <row r="5209" spans="1:13" ht="51">
      <c r="A5209" s="313" t="str">
        <f t="shared" si="81"/>
        <v>NonBuildingStructTypeCode_sportsStadium</v>
      </c>
      <c r="B5209" s="330"/>
      <c r="C5209" s="334"/>
      <c r="D5209" s="188" t="s">
        <v>27800</v>
      </c>
      <c r="E5209" s="189" t="s">
        <v>27801</v>
      </c>
      <c r="F5209" s="162" t="s">
        <v>27802</v>
      </c>
      <c r="G5209" s="162" t="s">
        <v>27803</v>
      </c>
      <c r="H5209" s="219"/>
      <c r="I5209" s="169">
        <v>204210</v>
      </c>
      <c r="J5209" s="304" t="str">
        <f>CONCATENATE([2]Cover!$D$6,"fdd/view?i=",I5209)</f>
        <v>https://www.dgiwg.org/FAD/fdd/view?i=204210</v>
      </c>
      <c r="K5209" s="304" t="s">
        <v>39258</v>
      </c>
      <c r="L5209" s="188">
        <v>34</v>
      </c>
      <c r="M5209" s="179" t="s">
        <v>1295</v>
      </c>
    </row>
    <row r="5210" spans="1:13" ht="25.5">
      <c r="A5210" s="313" t="str">
        <f t="shared" si="81"/>
        <v>NonBuildingStructTypeCode_storageTank</v>
      </c>
      <c r="B5210" s="330"/>
      <c r="C5210" s="334"/>
      <c r="D5210" s="188" t="s">
        <v>27804</v>
      </c>
      <c r="E5210" s="189" t="s">
        <v>4118</v>
      </c>
      <c r="F5210" s="162" t="s">
        <v>4119</v>
      </c>
      <c r="G5210" s="190"/>
      <c r="H5210" s="219"/>
      <c r="I5210" s="169">
        <v>204211</v>
      </c>
      <c r="J5210" s="304" t="str">
        <f>CONCATENATE([2]Cover!$D$6,"fdd/view?i=",I5210)</f>
        <v>https://www.dgiwg.org/FAD/fdd/view?i=204211</v>
      </c>
      <c r="K5210" s="304" t="s">
        <v>39259</v>
      </c>
      <c r="L5210" s="188">
        <v>35</v>
      </c>
      <c r="M5210" s="179" t="s">
        <v>1295</v>
      </c>
    </row>
    <row r="5211" spans="1:13" ht="89.25">
      <c r="A5211" s="313" t="str">
        <f t="shared" si="81"/>
        <v>NonBuildingStructTypeCode_tomb</v>
      </c>
      <c r="B5211" s="330"/>
      <c r="C5211" s="334"/>
      <c r="D5211" s="188" t="s">
        <v>27805</v>
      </c>
      <c r="E5211" s="189" t="s">
        <v>4275</v>
      </c>
      <c r="F5211" s="162" t="s">
        <v>4276</v>
      </c>
      <c r="G5211" s="162" t="s">
        <v>4277</v>
      </c>
      <c r="H5211" s="219"/>
      <c r="I5211" s="169">
        <v>204212</v>
      </c>
      <c r="J5211" s="304" t="str">
        <f>CONCATENATE([2]Cover!$D$6,"fdd/view?i=",I5211)</f>
        <v>https://www.dgiwg.org/FAD/fdd/view?i=204212</v>
      </c>
      <c r="K5211" s="304" t="s">
        <v>39260</v>
      </c>
      <c r="L5211" s="188">
        <v>36</v>
      </c>
      <c r="M5211" s="179" t="s">
        <v>1295</v>
      </c>
    </row>
    <row r="5212" spans="1:13" ht="25.5">
      <c r="A5212" s="313" t="str">
        <f t="shared" si="81"/>
        <v>NonBuildingStructTypeCode_tower</v>
      </c>
      <c r="B5212" s="330"/>
      <c r="C5212" s="334"/>
      <c r="D5212" s="188" t="s">
        <v>18455</v>
      </c>
      <c r="E5212" s="189" t="s">
        <v>4289</v>
      </c>
      <c r="F5212" s="162" t="s">
        <v>4290</v>
      </c>
      <c r="G5212" s="162" t="s">
        <v>4291</v>
      </c>
      <c r="H5212" s="219"/>
      <c r="I5212" s="169">
        <v>204213</v>
      </c>
      <c r="J5212" s="304" t="str">
        <f>CONCATENATE([2]Cover!$D$6,"fdd/view?i=",I5212)</f>
        <v>https://www.dgiwg.org/FAD/fdd/view?i=204213</v>
      </c>
      <c r="K5212" s="304" t="s">
        <v>39261</v>
      </c>
      <c r="L5212" s="188">
        <v>37</v>
      </c>
      <c r="M5212" s="179" t="s">
        <v>1295</v>
      </c>
    </row>
    <row r="5213" spans="1:13" ht="76.5">
      <c r="A5213" s="313" t="str">
        <f t="shared" si="81"/>
        <v>NonBuildingStructTypeCode_vesselLift</v>
      </c>
      <c r="B5213" s="330"/>
      <c r="C5213" s="334"/>
      <c r="D5213" s="188" t="s">
        <v>27806</v>
      </c>
      <c r="E5213" s="189" t="s">
        <v>4443</v>
      </c>
      <c r="F5213" s="162" t="s">
        <v>4444</v>
      </c>
      <c r="G5213" s="162" t="s">
        <v>4445</v>
      </c>
      <c r="H5213" s="219"/>
      <c r="I5213" s="169">
        <v>204214</v>
      </c>
      <c r="J5213" s="304" t="str">
        <f>CONCATENATE([2]Cover!$D$6,"fdd/view?i=",I5213)</f>
        <v>https://www.dgiwg.org/FAD/fdd/view?i=204214</v>
      </c>
      <c r="K5213" s="304" t="s">
        <v>39262</v>
      </c>
      <c r="L5213" s="188">
        <v>38</v>
      </c>
      <c r="M5213" s="179" t="s">
        <v>1295</v>
      </c>
    </row>
    <row r="5214" spans="1:13" ht="25.5">
      <c r="A5214" s="313" t="str">
        <f t="shared" si="81"/>
        <v>NonBuildingStructTypeCode_waterIntakeTower</v>
      </c>
      <c r="B5214" s="330"/>
      <c r="C5214" s="334"/>
      <c r="D5214" s="188" t="s">
        <v>27807</v>
      </c>
      <c r="E5214" s="189" t="s">
        <v>4499</v>
      </c>
      <c r="F5214" s="162" t="s">
        <v>4500</v>
      </c>
      <c r="G5214" s="190"/>
      <c r="H5214" s="219"/>
      <c r="I5214" s="169">
        <v>204215</v>
      </c>
      <c r="J5214" s="304" t="str">
        <f>CONCATENATE([2]Cover!$D$6,"fdd/view?i=",I5214)</f>
        <v>https://www.dgiwg.org/FAD/fdd/view?i=204215</v>
      </c>
      <c r="K5214" s="304" t="s">
        <v>39263</v>
      </c>
      <c r="L5214" s="188">
        <v>39</v>
      </c>
      <c r="M5214" s="179" t="s">
        <v>1295</v>
      </c>
    </row>
    <row r="5215" spans="1:13" ht="25.5">
      <c r="A5215" s="313" t="str">
        <f t="shared" si="81"/>
        <v>NonBuildingStructTypeCode_waterTower</v>
      </c>
      <c r="B5215" s="330"/>
      <c r="C5215" s="334"/>
      <c r="D5215" s="188" t="s">
        <v>27808</v>
      </c>
      <c r="E5215" s="189" t="s">
        <v>4537</v>
      </c>
      <c r="F5215" s="162" t="s">
        <v>4538</v>
      </c>
      <c r="G5215" s="190"/>
      <c r="H5215" s="219"/>
      <c r="I5215" s="169">
        <v>204216</v>
      </c>
      <c r="J5215" s="304" t="str">
        <f>CONCATENATE([2]Cover!$D$6,"fdd/view?i=",I5215)</f>
        <v>https://www.dgiwg.org/FAD/fdd/view?i=204216</v>
      </c>
      <c r="K5215" s="304" t="s">
        <v>39264</v>
      </c>
      <c r="L5215" s="188">
        <v>40</v>
      </c>
      <c r="M5215" s="179" t="s">
        <v>1295</v>
      </c>
    </row>
    <row r="5216" spans="1:13" ht="25.5">
      <c r="A5216" s="313" t="str">
        <f t="shared" si="81"/>
        <v>NonBuildingStructTypeCode_windmill</v>
      </c>
      <c r="B5216" s="330"/>
      <c r="C5216" s="334"/>
      <c r="D5216" s="188" t="s">
        <v>27810</v>
      </c>
      <c r="E5216" s="189" t="s">
        <v>4621</v>
      </c>
      <c r="F5216" s="162" t="s">
        <v>4622</v>
      </c>
      <c r="G5216" s="190"/>
      <c r="H5216" s="219"/>
      <c r="I5216" s="169">
        <v>204217</v>
      </c>
      <c r="J5216" s="304" t="str">
        <f>CONCATENATE([2]Cover!$D$6,"fdd/view?i=",I5216)</f>
        <v>https://www.dgiwg.org/FAD/fdd/view?i=204217</v>
      </c>
      <c r="K5216" s="304" t="s">
        <v>39265</v>
      </c>
      <c r="L5216" s="188">
        <v>41</v>
      </c>
      <c r="M5216" s="179" t="s">
        <v>1295</v>
      </c>
    </row>
    <row r="5217" spans="1:13" ht="25.5">
      <c r="A5217" s="313" t="str">
        <f t="shared" si="81"/>
        <v>NonBuildingStructTypeCode_windTurbine</v>
      </c>
      <c r="B5217" s="331"/>
      <c r="C5217" s="335"/>
      <c r="D5217" s="181" t="s">
        <v>27809</v>
      </c>
      <c r="E5217" s="192" t="s">
        <v>4617</v>
      </c>
      <c r="F5217" s="193" t="s">
        <v>4618</v>
      </c>
      <c r="G5217" s="194"/>
      <c r="H5217" s="220"/>
      <c r="I5217" s="169">
        <v>204218</v>
      </c>
      <c r="J5217" s="304" t="str">
        <f>CONCATENATE([2]Cover!$D$6,"fdd/view?i=",I5217)</f>
        <v>https://www.dgiwg.org/FAD/fdd/view?i=204218</v>
      </c>
      <c r="K5217" s="304" t="s">
        <v>39266</v>
      </c>
      <c r="L5217" s="181">
        <v>42</v>
      </c>
      <c r="M5217" s="179" t="s">
        <v>1295</v>
      </c>
    </row>
    <row r="5218" spans="1:13" ht="25.5">
      <c r="A5218" s="313" t="str">
        <f t="shared" si="81"/>
        <v>NonSubContactReportAgTypeCode_actionReport</v>
      </c>
      <c r="B5218" s="332" t="str">
        <f>HYPERLINK("[#]Datatypes!A969:L969","NonSubContactReportAgTypeCode")</f>
        <v>NonSubContactReportAgTypeCode</v>
      </c>
      <c r="C5218" s="333" t="s">
        <v>12551</v>
      </c>
      <c r="D5218" s="202" t="s">
        <v>27811</v>
      </c>
      <c r="E5218" s="203" t="s">
        <v>27812</v>
      </c>
      <c r="F5218" s="204" t="s">
        <v>27813</v>
      </c>
      <c r="G5218" s="205"/>
      <c r="H5218" s="218"/>
      <c r="I5218" s="169">
        <v>107056</v>
      </c>
      <c r="J5218" s="304" t="str">
        <f>CONCATENATE([2]Cover!$D$6,"fdd/view?i=",I5218)</f>
        <v>https://www.dgiwg.org/FAD/fdd/view?i=107056</v>
      </c>
      <c r="K5218" s="304" t="s">
        <v>39267</v>
      </c>
      <c r="L5218" s="202">
        <v>4</v>
      </c>
      <c r="M5218" s="179" t="s">
        <v>151</v>
      </c>
    </row>
    <row r="5219" spans="1:13" ht="127.5">
      <c r="A5219" s="313" t="str">
        <f t="shared" si="81"/>
        <v>NonSubContactReportAgTypeCode_casualtyReport</v>
      </c>
      <c r="B5219" s="330"/>
      <c r="C5219" s="334"/>
      <c r="D5219" s="188" t="s">
        <v>27814</v>
      </c>
      <c r="E5219" s="189" t="s">
        <v>27815</v>
      </c>
      <c r="F5219" s="162" t="s">
        <v>27816</v>
      </c>
      <c r="G5219" s="162" t="s">
        <v>27817</v>
      </c>
      <c r="H5219" s="219"/>
      <c r="I5219" s="169">
        <v>107055</v>
      </c>
      <c r="J5219" s="304" t="str">
        <f>CONCATENATE([2]Cover!$D$6,"fdd/view?i=",I5219)</f>
        <v>https://www.dgiwg.org/FAD/fdd/view?i=107055</v>
      </c>
      <c r="K5219" s="304" t="s">
        <v>39268</v>
      </c>
      <c r="L5219" s="188">
        <v>3</v>
      </c>
      <c r="M5219" s="179" t="s">
        <v>151</v>
      </c>
    </row>
    <row r="5220" spans="1:13" ht="25.5">
      <c r="A5220" s="313" t="str">
        <f t="shared" si="81"/>
        <v>NonSubContactReportAgTypeCode_chart</v>
      </c>
      <c r="B5220" s="330"/>
      <c r="C5220" s="334"/>
      <c r="D5220" s="188" t="s">
        <v>27818</v>
      </c>
      <c r="E5220" s="189" t="s">
        <v>27819</v>
      </c>
      <c r="F5220" s="162" t="s">
        <v>27820</v>
      </c>
      <c r="G5220" s="190"/>
      <c r="H5220" s="219"/>
      <c r="I5220" s="169">
        <v>107066</v>
      </c>
      <c r="J5220" s="304" t="str">
        <f>CONCATENATE([2]Cover!$D$6,"fdd/view?i=",I5220)</f>
        <v>https://www.dgiwg.org/FAD/fdd/view?i=107066</v>
      </c>
      <c r="K5220" s="304" t="s">
        <v>39269</v>
      </c>
      <c r="L5220" s="188">
        <v>14</v>
      </c>
      <c r="M5220" s="179" t="s">
        <v>151</v>
      </c>
    </row>
    <row r="5221" spans="1:13" ht="25.5">
      <c r="A5221" s="313" t="str">
        <f t="shared" si="81"/>
        <v>NonSubContactReportAgTypeCode_chartRecords</v>
      </c>
      <c r="B5221" s="330"/>
      <c r="C5221" s="334"/>
      <c r="D5221" s="188" t="s">
        <v>27821</v>
      </c>
      <c r="E5221" s="189" t="s">
        <v>27822</v>
      </c>
      <c r="F5221" s="162" t="s">
        <v>27823</v>
      </c>
      <c r="G5221" s="190"/>
      <c r="H5221" s="219"/>
      <c r="I5221" s="169">
        <v>107062</v>
      </c>
      <c r="J5221" s="304" t="str">
        <f>CONCATENATE([2]Cover!$D$6,"fdd/view?i=",I5221)</f>
        <v>https://www.dgiwg.org/FAD/fdd/view?i=107062</v>
      </c>
      <c r="K5221" s="304" t="s">
        <v>39270</v>
      </c>
      <c r="L5221" s="188">
        <v>10</v>
      </c>
      <c r="M5221" s="179" t="s">
        <v>151</v>
      </c>
    </row>
    <row r="5222" spans="1:13" ht="25.5">
      <c r="A5222" s="313" t="str">
        <f t="shared" si="81"/>
        <v>NonSubContactReportAgTypeCode_coastGuardRecords</v>
      </c>
      <c r="B5222" s="330"/>
      <c r="C5222" s="334"/>
      <c r="D5222" s="188" t="s">
        <v>27824</v>
      </c>
      <c r="E5222" s="189" t="s">
        <v>27825</v>
      </c>
      <c r="F5222" s="162" t="s">
        <v>27826</v>
      </c>
      <c r="G5222" s="190"/>
      <c r="H5222" s="219"/>
      <c r="I5222" s="169">
        <v>107063</v>
      </c>
      <c r="J5222" s="304" t="str">
        <f>CONCATENATE([2]Cover!$D$6,"fdd/view?i=",I5222)</f>
        <v>https://www.dgiwg.org/FAD/fdd/view?i=107063</v>
      </c>
      <c r="K5222" s="304" t="s">
        <v>39271</v>
      </c>
      <c r="L5222" s="188">
        <v>11</v>
      </c>
      <c r="M5222" s="179" t="s">
        <v>151</v>
      </c>
    </row>
    <row r="5223" spans="1:13" ht="25.5">
      <c r="A5223" s="313" t="str">
        <f t="shared" si="81"/>
        <v>NonSubContactReportAgTypeCode_hydroAdmiraltyOffice</v>
      </c>
      <c r="B5223" s="330"/>
      <c r="C5223" s="334"/>
      <c r="D5223" s="188" t="s">
        <v>27827</v>
      </c>
      <c r="E5223" s="189" t="s">
        <v>27828</v>
      </c>
      <c r="F5223" s="162" t="s">
        <v>27829</v>
      </c>
      <c r="G5223" s="190"/>
      <c r="H5223" s="219"/>
      <c r="I5223" s="169">
        <v>107060</v>
      </c>
      <c r="J5223" s="304" t="str">
        <f>CONCATENATE([2]Cover!$D$6,"fdd/view?i=",I5223)</f>
        <v>https://www.dgiwg.org/FAD/fdd/view?i=107060</v>
      </c>
      <c r="K5223" s="304" t="s">
        <v>39272</v>
      </c>
      <c r="L5223" s="188">
        <v>8</v>
      </c>
      <c r="M5223" s="179" t="s">
        <v>151</v>
      </c>
    </row>
    <row r="5224" spans="1:13" ht="25.5">
      <c r="A5224" s="313" t="str">
        <f t="shared" si="81"/>
        <v>NonSubContactReportAgTypeCode_madReport</v>
      </c>
      <c r="B5224" s="330"/>
      <c r="C5224" s="334"/>
      <c r="D5224" s="188" t="s">
        <v>27830</v>
      </c>
      <c r="E5224" s="189" t="s">
        <v>27831</v>
      </c>
      <c r="F5224" s="162" t="s">
        <v>27832</v>
      </c>
      <c r="G5224" s="190"/>
      <c r="H5224" s="219"/>
      <c r="I5224" s="169">
        <v>107071</v>
      </c>
      <c r="J5224" s="304" t="str">
        <f>CONCATENATE([2]Cover!$D$6,"fdd/view?i=",I5224)</f>
        <v>https://www.dgiwg.org/FAD/fdd/view?i=107071</v>
      </c>
      <c r="K5224" s="304" t="s">
        <v>39273</v>
      </c>
      <c r="L5224" s="188">
        <v>19</v>
      </c>
      <c r="M5224" s="179" t="s">
        <v>151</v>
      </c>
    </row>
    <row r="5225" spans="1:13" ht="25.5">
      <c r="A5225" s="313" t="str">
        <f t="shared" si="81"/>
        <v>NonSubContactReportAgTypeCode_minesweeper</v>
      </c>
      <c r="B5225" s="330"/>
      <c r="C5225" s="334"/>
      <c r="D5225" s="188" t="s">
        <v>27833</v>
      </c>
      <c r="E5225" s="189" t="s">
        <v>27834</v>
      </c>
      <c r="F5225" s="162" t="s">
        <v>27835</v>
      </c>
      <c r="G5225" s="190"/>
      <c r="H5225" s="219"/>
      <c r="I5225" s="169">
        <v>107067</v>
      </c>
      <c r="J5225" s="304" t="str">
        <f>CONCATENATE([2]Cover!$D$6,"fdd/view?i=",I5225)</f>
        <v>https://www.dgiwg.org/FAD/fdd/view?i=107067</v>
      </c>
      <c r="K5225" s="304" t="s">
        <v>39274</v>
      </c>
      <c r="L5225" s="188">
        <v>15</v>
      </c>
      <c r="M5225" s="179" t="s">
        <v>151</v>
      </c>
    </row>
    <row r="5226" spans="1:13" ht="25.5">
      <c r="A5226" s="313" t="str">
        <f t="shared" si="81"/>
        <v>NonSubContactReportAgTypeCode_northSeaFishingCharts</v>
      </c>
      <c r="B5226" s="330"/>
      <c r="C5226" s="334"/>
      <c r="D5226" s="188" t="s">
        <v>27836</v>
      </c>
      <c r="E5226" s="189" t="s">
        <v>27837</v>
      </c>
      <c r="F5226" s="162" t="s">
        <v>27838</v>
      </c>
      <c r="G5226" s="190"/>
      <c r="H5226" s="219"/>
      <c r="I5226" s="169">
        <v>107065</v>
      </c>
      <c r="J5226" s="304" t="str">
        <f>CONCATENATE([2]Cover!$D$6,"fdd/view?i=",I5226)</f>
        <v>https://www.dgiwg.org/FAD/fdd/view?i=107065</v>
      </c>
      <c r="K5226" s="304" t="s">
        <v>39275</v>
      </c>
      <c r="L5226" s="188">
        <v>13</v>
      </c>
      <c r="M5226" s="179" t="s">
        <v>151</v>
      </c>
    </row>
    <row r="5227" spans="1:13" ht="25.5">
      <c r="A5227" s="313" t="str">
        <f t="shared" si="81"/>
        <v>NonSubContactReportAgTypeCode_noticeToMariners</v>
      </c>
      <c r="B5227" s="330"/>
      <c r="C5227" s="334"/>
      <c r="D5227" s="188" t="s">
        <v>27839</v>
      </c>
      <c r="E5227" s="189" t="s">
        <v>27840</v>
      </c>
      <c r="F5227" s="162" t="s">
        <v>27841</v>
      </c>
      <c r="G5227" s="190"/>
      <c r="H5227" s="219"/>
      <c r="I5227" s="169">
        <v>107064</v>
      </c>
      <c r="J5227" s="304" t="str">
        <f>CONCATENATE([2]Cover!$D$6,"fdd/view?i=",I5227)</f>
        <v>https://www.dgiwg.org/FAD/fdd/view?i=107064</v>
      </c>
      <c r="K5227" s="304" t="s">
        <v>39276</v>
      </c>
      <c r="L5227" s="188">
        <v>12</v>
      </c>
      <c r="M5227" s="179" t="s">
        <v>151</v>
      </c>
    </row>
    <row r="5228" spans="1:13" ht="25.5">
      <c r="A5228" s="313" t="str">
        <f t="shared" si="81"/>
        <v>NonSubContactReportAgTypeCode_photographReport</v>
      </c>
      <c r="B5228" s="330"/>
      <c r="C5228" s="334"/>
      <c r="D5228" s="188" t="s">
        <v>27842</v>
      </c>
      <c r="E5228" s="189" t="s">
        <v>27843</v>
      </c>
      <c r="F5228" s="162" t="s">
        <v>27844</v>
      </c>
      <c r="G5228" s="190"/>
      <c r="H5228" s="219"/>
      <c r="I5228" s="169">
        <v>107057</v>
      </c>
      <c r="J5228" s="304" t="str">
        <f>CONCATENATE([2]Cover!$D$6,"fdd/view?i=",I5228)</f>
        <v>https://www.dgiwg.org/FAD/fdd/view?i=107057</v>
      </c>
      <c r="K5228" s="304" t="s">
        <v>39277</v>
      </c>
      <c r="L5228" s="188">
        <v>5</v>
      </c>
      <c r="M5228" s="179" t="s">
        <v>151</v>
      </c>
    </row>
    <row r="5229" spans="1:13" ht="25.5">
      <c r="A5229" s="313" t="str">
        <f t="shared" si="81"/>
        <v>NonSubContactReportAgTypeCode_positionAccurateFieldCheck</v>
      </c>
      <c r="B5229" s="330"/>
      <c r="C5229" s="334"/>
      <c r="D5229" s="188" t="s">
        <v>27845</v>
      </c>
      <c r="E5229" s="189" t="s">
        <v>27846</v>
      </c>
      <c r="F5229" s="162" t="s">
        <v>27847</v>
      </c>
      <c r="G5229" s="190"/>
      <c r="H5229" s="219"/>
      <c r="I5229" s="169">
        <v>107069</v>
      </c>
      <c r="J5229" s="304" t="str">
        <f>CONCATENATE([2]Cover!$D$6,"fdd/view?i=",I5229)</f>
        <v>https://www.dgiwg.org/FAD/fdd/view?i=107069</v>
      </c>
      <c r="K5229" s="304" t="s">
        <v>39278</v>
      </c>
      <c r="L5229" s="188">
        <v>17</v>
      </c>
      <c r="M5229" s="179" t="s">
        <v>151</v>
      </c>
    </row>
    <row r="5230" spans="1:13" ht="25.5">
      <c r="A5230" s="313" t="str">
        <f t="shared" si="81"/>
        <v>NonSubContactReportAgTypeCode_salvageReport</v>
      </c>
      <c r="B5230" s="330"/>
      <c r="C5230" s="334"/>
      <c r="D5230" s="188" t="s">
        <v>27848</v>
      </c>
      <c r="E5230" s="189" t="s">
        <v>27849</v>
      </c>
      <c r="F5230" s="162" t="s">
        <v>27850</v>
      </c>
      <c r="G5230" s="190"/>
      <c r="H5230" s="219"/>
      <c r="I5230" s="169">
        <v>107054</v>
      </c>
      <c r="J5230" s="304" t="str">
        <f>CONCATENATE([2]Cover!$D$6,"fdd/view?i=",I5230)</f>
        <v>https://www.dgiwg.org/FAD/fdd/view?i=107054</v>
      </c>
      <c r="K5230" s="304" t="s">
        <v>39279</v>
      </c>
      <c r="L5230" s="188">
        <v>2</v>
      </c>
      <c r="M5230" s="179" t="s">
        <v>151</v>
      </c>
    </row>
    <row r="5231" spans="1:13" ht="25.5">
      <c r="A5231" s="313" t="str">
        <f t="shared" si="81"/>
        <v>NonSubContactReportAgTypeCode_sonarReport</v>
      </c>
      <c r="B5231" s="330"/>
      <c r="C5231" s="334"/>
      <c r="D5231" s="188" t="s">
        <v>27851</v>
      </c>
      <c r="E5231" s="189" t="s">
        <v>27852</v>
      </c>
      <c r="F5231" s="162" t="s">
        <v>27853</v>
      </c>
      <c r="G5231" s="190"/>
      <c r="H5231" s="219"/>
      <c r="I5231" s="169">
        <v>107070</v>
      </c>
      <c r="J5231" s="304" t="str">
        <f>CONCATENATE([2]Cover!$D$6,"fdd/view?i=",I5231)</f>
        <v>https://www.dgiwg.org/FAD/fdd/view?i=107070</v>
      </c>
      <c r="K5231" s="304" t="s">
        <v>39280</v>
      </c>
      <c r="L5231" s="188">
        <v>18</v>
      </c>
      <c r="M5231" s="179" t="s">
        <v>151</v>
      </c>
    </row>
    <row r="5232" spans="1:13" ht="25.5">
      <c r="A5232" s="313" t="str">
        <f t="shared" si="81"/>
        <v>NonSubContactReportAgTypeCode_survey</v>
      </c>
      <c r="B5232" s="330"/>
      <c r="C5232" s="334"/>
      <c r="D5232" s="188" t="s">
        <v>18972</v>
      </c>
      <c r="E5232" s="189" t="s">
        <v>18973</v>
      </c>
      <c r="F5232" s="162" t="s">
        <v>27854</v>
      </c>
      <c r="G5232" s="190"/>
      <c r="H5232" s="219"/>
      <c r="I5232" s="169">
        <v>107068</v>
      </c>
      <c r="J5232" s="304" t="str">
        <f>CONCATENATE([2]Cover!$D$6,"fdd/view?i=",I5232)</f>
        <v>https://www.dgiwg.org/FAD/fdd/view?i=107068</v>
      </c>
      <c r="K5232" s="304" t="s">
        <v>39281</v>
      </c>
      <c r="L5232" s="188">
        <v>16</v>
      </c>
      <c r="M5232" s="179" t="s">
        <v>151</v>
      </c>
    </row>
    <row r="5233" spans="1:13" ht="25.5">
      <c r="A5233" s="313" t="str">
        <f t="shared" si="81"/>
        <v>NonSubContactReportAgTypeCode_survivorReport</v>
      </c>
      <c r="B5233" s="330"/>
      <c r="C5233" s="334"/>
      <c r="D5233" s="188" t="s">
        <v>27855</v>
      </c>
      <c r="E5233" s="189" t="s">
        <v>27856</v>
      </c>
      <c r="F5233" s="162" t="s">
        <v>27857</v>
      </c>
      <c r="G5233" s="190"/>
      <c r="H5233" s="219"/>
      <c r="I5233" s="169">
        <v>107053</v>
      </c>
      <c r="J5233" s="304" t="str">
        <f>CONCATENATE([2]Cover!$D$6,"fdd/view?i=",I5233)</f>
        <v>https://www.dgiwg.org/FAD/fdd/view?i=107053</v>
      </c>
      <c r="K5233" s="304" t="s">
        <v>39282</v>
      </c>
      <c r="L5233" s="188">
        <v>1</v>
      </c>
      <c r="M5233" s="179" t="s">
        <v>151</v>
      </c>
    </row>
    <row r="5234" spans="1:13" ht="25.5">
      <c r="A5234" s="313" t="str">
        <f t="shared" si="81"/>
        <v>NonSubContactReportAgTypeCode_undiffSonarOrMadReport</v>
      </c>
      <c r="B5234" s="330"/>
      <c r="C5234" s="334"/>
      <c r="D5234" s="188" t="s">
        <v>27858</v>
      </c>
      <c r="E5234" s="189" t="s">
        <v>27859</v>
      </c>
      <c r="F5234" s="162" t="s">
        <v>27860</v>
      </c>
      <c r="G5234" s="190"/>
      <c r="H5234" s="219"/>
      <c r="I5234" s="169">
        <v>107072</v>
      </c>
      <c r="J5234" s="304" t="str">
        <f>CONCATENATE([2]Cover!$D$6,"fdd/view?i=",I5234)</f>
        <v>https://www.dgiwg.org/FAD/fdd/view?i=107072</v>
      </c>
      <c r="K5234" s="304" t="s">
        <v>39283</v>
      </c>
      <c r="L5234" s="188">
        <v>20</v>
      </c>
      <c r="M5234" s="179" t="s">
        <v>151</v>
      </c>
    </row>
    <row r="5235" spans="1:13" ht="38.25">
      <c r="A5235" s="313" t="str">
        <f t="shared" si="81"/>
        <v>NonSubContactReportAgTypeCode_usCoastGeodOceanServReport</v>
      </c>
      <c r="B5235" s="330"/>
      <c r="C5235" s="334"/>
      <c r="D5235" s="188" t="s">
        <v>27861</v>
      </c>
      <c r="E5235" s="189" t="s">
        <v>27862</v>
      </c>
      <c r="F5235" s="162" t="s">
        <v>27863</v>
      </c>
      <c r="G5235" s="190"/>
      <c r="H5235" s="219"/>
      <c r="J5235" s="304" t="str">
        <f>CONCATENATE([2]Cover!$D$6,"fdd/view?i=",I5235)</f>
        <v>https://www.dgiwg.org/FAD/fdd/view?i=</v>
      </c>
      <c r="K5235" s="304" t="s">
        <v>39284</v>
      </c>
      <c r="L5235" s="188">
        <v>6</v>
      </c>
      <c r="M5235" s="179" t="s">
        <v>151</v>
      </c>
    </row>
    <row r="5236" spans="1:13" ht="38.25">
      <c r="A5236" s="313" t="str">
        <f t="shared" si="81"/>
        <v>NonSubContactReportAgTypeCode_usNavalHeadCommandsReport</v>
      </c>
      <c r="B5236" s="330"/>
      <c r="C5236" s="334"/>
      <c r="D5236" s="188" t="s">
        <v>27864</v>
      </c>
      <c r="E5236" s="189" t="s">
        <v>27865</v>
      </c>
      <c r="F5236" s="162" t="s">
        <v>27866</v>
      </c>
      <c r="G5236" s="190"/>
      <c r="H5236" s="219"/>
      <c r="I5236" s="169">
        <v>107059</v>
      </c>
      <c r="J5236" s="304" t="str">
        <f>CONCATENATE([2]Cover!$D$6,"fdd/view?i=",I5236)</f>
        <v>https://www.dgiwg.org/FAD/fdd/view?i=107059</v>
      </c>
      <c r="K5236" s="304" t="s">
        <v>39285</v>
      </c>
      <c r="L5236" s="188">
        <v>7</v>
      </c>
      <c r="M5236" s="179" t="s">
        <v>151</v>
      </c>
    </row>
    <row r="5237" spans="1:13" ht="38.25">
      <c r="A5237" s="313" t="str">
        <f t="shared" si="81"/>
        <v>NonSubContactReportAgTypeCode_wreckList</v>
      </c>
      <c r="B5237" s="331"/>
      <c r="C5237" s="335"/>
      <c r="D5237" s="181" t="s">
        <v>27867</v>
      </c>
      <c r="E5237" s="192" t="s">
        <v>27868</v>
      </c>
      <c r="F5237" s="193" t="s">
        <v>27869</v>
      </c>
      <c r="G5237" s="194"/>
      <c r="H5237" s="220"/>
      <c r="I5237" s="169">
        <v>107061</v>
      </c>
      <c r="J5237" s="304" t="str">
        <f>CONCATENATE([2]Cover!$D$6,"fdd/view?i=",I5237)</f>
        <v>https://www.dgiwg.org/FAD/fdd/view?i=107061</v>
      </c>
      <c r="K5237" s="304" t="s">
        <v>39286</v>
      </c>
      <c r="L5237" s="181">
        <v>9</v>
      </c>
      <c r="M5237" s="179" t="s">
        <v>151</v>
      </c>
    </row>
    <row r="5238" spans="1:13" ht="25.5">
      <c r="A5238" s="313" t="str">
        <f t="shared" si="81"/>
        <v>NorthReferenceTypeCode_gridNorth</v>
      </c>
      <c r="B5238" s="332" t="str">
        <f>HYPERLINK("[#]Datatypes!A971:L971","NorthReferenceTypeCode")</f>
        <v>NorthReferenceTypeCode</v>
      </c>
      <c r="C5238" s="333" t="s">
        <v>12553</v>
      </c>
      <c r="D5238" s="202" t="s">
        <v>27870</v>
      </c>
      <c r="E5238" s="203" t="s">
        <v>27871</v>
      </c>
      <c r="F5238" s="204" t="s">
        <v>27872</v>
      </c>
      <c r="G5238" s="204" t="s">
        <v>27873</v>
      </c>
      <c r="H5238" s="218"/>
      <c r="I5238" s="169">
        <v>115360</v>
      </c>
      <c r="J5238" s="304" t="str">
        <f>CONCATENATE([2]Cover!$D$6,"fdd/view?i=",I5238)</f>
        <v>https://www.dgiwg.org/FAD/fdd/view?i=115360</v>
      </c>
      <c r="K5238" s="304" t="s">
        <v>39287</v>
      </c>
      <c r="L5238" s="202">
        <v>1</v>
      </c>
      <c r="M5238" s="179" t="s">
        <v>151</v>
      </c>
    </row>
    <row r="5239" spans="1:13" ht="25.5">
      <c r="A5239" s="313" t="str">
        <f t="shared" si="81"/>
        <v>NorthReferenceTypeCode_magneticNorth</v>
      </c>
      <c r="B5239" s="330"/>
      <c r="C5239" s="334"/>
      <c r="D5239" s="188" t="s">
        <v>27874</v>
      </c>
      <c r="E5239" s="189" t="s">
        <v>27875</v>
      </c>
      <c r="F5239" s="162" t="s">
        <v>27876</v>
      </c>
      <c r="G5239" s="190"/>
      <c r="H5239" s="219"/>
      <c r="I5239" s="169">
        <v>115361</v>
      </c>
      <c r="J5239" s="304" t="str">
        <f>CONCATENATE([2]Cover!$D$6,"fdd/view?i=",I5239)</f>
        <v>https://www.dgiwg.org/FAD/fdd/view?i=115361</v>
      </c>
      <c r="K5239" s="304" t="s">
        <v>39288</v>
      </c>
      <c r="L5239" s="188">
        <v>2</v>
      </c>
      <c r="M5239" s="179" t="s">
        <v>151</v>
      </c>
    </row>
    <row r="5240" spans="1:13" ht="25.5">
      <c r="A5240" s="313" t="str">
        <f t="shared" si="81"/>
        <v>NorthReferenceTypeCode_trueNorth</v>
      </c>
      <c r="B5240" s="331"/>
      <c r="C5240" s="335"/>
      <c r="D5240" s="181" t="s">
        <v>27877</v>
      </c>
      <c r="E5240" s="192" t="s">
        <v>27878</v>
      </c>
      <c r="F5240" s="193" t="s">
        <v>27879</v>
      </c>
      <c r="G5240" s="193" t="s">
        <v>27880</v>
      </c>
      <c r="H5240" s="220"/>
      <c r="I5240" s="169">
        <v>115362</v>
      </c>
      <c r="J5240" s="304" t="str">
        <f>CONCATENATE([2]Cover!$D$6,"fdd/view?i=",I5240)</f>
        <v>https://www.dgiwg.org/FAD/fdd/view?i=115362</v>
      </c>
      <c r="K5240" s="304" t="s">
        <v>39289</v>
      </c>
      <c r="L5240" s="181">
        <v>3</v>
      </c>
      <c r="M5240" s="179" t="s">
        <v>151</v>
      </c>
    </row>
    <row r="5241" spans="1:13">
      <c r="A5241" s="313" t="str">
        <f t="shared" si="81"/>
        <v>ObjectExistCertaintyCatCode_high</v>
      </c>
      <c r="B5241" s="332" t="str">
        <f>HYPERLINK("[#]Datatypes!A973:L973","ObjectExistCertaintyCatCode")</f>
        <v>ObjectExistCertaintyCatCode</v>
      </c>
      <c r="C5241" s="333" t="s">
        <v>12555</v>
      </c>
      <c r="D5241" s="202" t="s">
        <v>15390</v>
      </c>
      <c r="E5241" s="203" t="s">
        <v>15391</v>
      </c>
      <c r="F5241" s="204" t="s">
        <v>27881</v>
      </c>
      <c r="G5241" s="205"/>
      <c r="H5241" s="218"/>
      <c r="I5241" s="169">
        <v>203345</v>
      </c>
      <c r="J5241" s="304" t="str">
        <f>CONCATENATE([2]Cover!$D$6,"fdd/view?i=",I5241)</f>
        <v>https://www.dgiwg.org/FAD/fdd/view?i=203345</v>
      </c>
      <c r="K5241" s="304" t="s">
        <v>39290</v>
      </c>
      <c r="L5241" s="202">
        <v>3</v>
      </c>
      <c r="M5241" s="179" t="s">
        <v>1295</v>
      </c>
    </row>
    <row r="5242" spans="1:13">
      <c r="A5242" s="313" t="str">
        <f t="shared" si="81"/>
        <v>ObjectExistCertaintyCatCode_low</v>
      </c>
      <c r="B5242" s="330"/>
      <c r="C5242" s="334"/>
      <c r="D5242" s="188" t="s">
        <v>15393</v>
      </c>
      <c r="E5242" s="189" t="s">
        <v>15394</v>
      </c>
      <c r="F5242" s="162" t="s">
        <v>27882</v>
      </c>
      <c r="G5242" s="190"/>
      <c r="H5242" s="219"/>
      <c r="I5242" s="169">
        <v>203343</v>
      </c>
      <c r="J5242" s="304" t="str">
        <f>CONCATENATE([2]Cover!$D$6,"fdd/view?i=",I5242)</f>
        <v>https://www.dgiwg.org/FAD/fdd/view?i=203343</v>
      </c>
      <c r="K5242" s="304" t="s">
        <v>39291</v>
      </c>
      <c r="L5242" s="188">
        <v>1</v>
      </c>
      <c r="M5242" s="179" t="s">
        <v>1295</v>
      </c>
    </row>
    <row r="5243" spans="1:13" ht="25.5">
      <c r="A5243" s="313" t="str">
        <f t="shared" si="81"/>
        <v>ObjectExistCertaintyCatCode_medium</v>
      </c>
      <c r="B5243" s="331"/>
      <c r="C5243" s="335"/>
      <c r="D5243" s="181" t="s">
        <v>24703</v>
      </c>
      <c r="E5243" s="192" t="s">
        <v>24704</v>
      </c>
      <c r="F5243" s="193" t="s">
        <v>27883</v>
      </c>
      <c r="G5243" s="194"/>
      <c r="H5243" s="220"/>
      <c r="I5243" s="169">
        <v>203344</v>
      </c>
      <c r="J5243" s="304" t="str">
        <f>CONCATENATE([2]Cover!$D$6,"fdd/view?i=",I5243)</f>
        <v>https://www.dgiwg.org/FAD/fdd/view?i=203344</v>
      </c>
      <c r="K5243" s="304" t="s">
        <v>39292</v>
      </c>
      <c r="L5243" s="181">
        <v>2</v>
      </c>
      <c r="M5243" s="179" t="s">
        <v>1295</v>
      </c>
    </row>
    <row r="5244" spans="1:13" ht="25.5">
      <c r="A5244" s="313" t="str">
        <f t="shared" si="81"/>
        <v>OceanFrontIndicatorCode_debrisLine</v>
      </c>
      <c r="B5244" s="332" t="str">
        <f>HYPERLINK("[#]Datatypes!A975:L975","OceanFrontIndicatorCode")</f>
        <v>OceanFrontIndicatorCode</v>
      </c>
      <c r="C5244" s="333" t="s">
        <v>12557</v>
      </c>
      <c r="D5244" s="202" t="s">
        <v>27884</v>
      </c>
      <c r="E5244" s="203" t="s">
        <v>27885</v>
      </c>
      <c r="F5244" s="204" t="s">
        <v>27886</v>
      </c>
      <c r="G5244" s="205"/>
      <c r="H5244" s="218"/>
      <c r="I5244" s="169">
        <v>119356</v>
      </c>
      <c r="J5244" s="304" t="str">
        <f>CONCATENATE([2]Cover!$D$6,"fdd/view?i=",I5244)</f>
        <v>https://www.dgiwg.org/FAD/fdd/view?i=119356</v>
      </c>
      <c r="K5244" s="304" t="s">
        <v>39293</v>
      </c>
      <c r="L5244" s="202">
        <v>1</v>
      </c>
      <c r="M5244" s="179" t="s">
        <v>151</v>
      </c>
    </row>
    <row r="5245" spans="1:13" ht="25.5">
      <c r="A5245" s="313" t="str">
        <f t="shared" si="81"/>
        <v>OceanFrontIndicatorCode_discolouredWater</v>
      </c>
      <c r="B5245" s="330"/>
      <c r="C5245" s="334"/>
      <c r="D5245" s="188" t="s">
        <v>27887</v>
      </c>
      <c r="E5245" s="189" t="s">
        <v>2091</v>
      </c>
      <c r="F5245" s="162" t="s">
        <v>27888</v>
      </c>
      <c r="G5245" s="190"/>
      <c r="H5245" s="219"/>
      <c r="I5245" s="169">
        <v>119359</v>
      </c>
      <c r="J5245" s="304" t="str">
        <f>CONCATENATE([2]Cover!$D$6,"fdd/view?i=",I5245)</f>
        <v>https://www.dgiwg.org/FAD/fdd/view?i=119359</v>
      </c>
      <c r="K5245" s="304" t="s">
        <v>39294</v>
      </c>
      <c r="L5245" s="188">
        <v>4</v>
      </c>
      <c r="M5245" s="179" t="s">
        <v>151</v>
      </c>
    </row>
    <row r="5246" spans="1:13" ht="25.5">
      <c r="A5246" s="313" t="str">
        <f t="shared" si="81"/>
        <v>OceanFrontIndicatorCode_foamLine</v>
      </c>
      <c r="B5246" s="330"/>
      <c r="C5246" s="334"/>
      <c r="D5246" s="188" t="s">
        <v>27889</v>
      </c>
      <c r="E5246" s="189" t="s">
        <v>27890</v>
      </c>
      <c r="F5246" s="162" t="s">
        <v>27891</v>
      </c>
      <c r="G5246" s="190"/>
      <c r="H5246" s="219"/>
      <c r="I5246" s="169">
        <v>119357</v>
      </c>
      <c r="J5246" s="304" t="str">
        <f>CONCATENATE([2]Cover!$D$6,"fdd/view?i=",I5246)</f>
        <v>https://www.dgiwg.org/FAD/fdd/view?i=119357</v>
      </c>
      <c r="K5246" s="304" t="s">
        <v>39295</v>
      </c>
      <c r="L5246" s="188">
        <v>2</v>
      </c>
      <c r="M5246" s="179" t="s">
        <v>151</v>
      </c>
    </row>
    <row r="5247" spans="1:13">
      <c r="A5247" s="313" t="str">
        <f t="shared" si="81"/>
        <v>OceanFrontIndicatorCode_ice</v>
      </c>
      <c r="B5247" s="330"/>
      <c r="C5247" s="334"/>
      <c r="D5247" s="188" t="s">
        <v>15108</v>
      </c>
      <c r="E5247" s="189" t="s">
        <v>15109</v>
      </c>
      <c r="F5247" s="162" t="s">
        <v>27892</v>
      </c>
      <c r="G5247" s="190"/>
      <c r="H5247" s="219"/>
      <c r="I5247" s="169">
        <v>119360</v>
      </c>
      <c r="J5247" s="304" t="str">
        <f>CONCATENATE([2]Cover!$D$6,"fdd/view?i=",I5247)</f>
        <v>https://www.dgiwg.org/FAD/fdd/view?i=119360</v>
      </c>
      <c r="K5247" s="304" t="s">
        <v>39296</v>
      </c>
      <c r="L5247" s="188">
        <v>5</v>
      </c>
      <c r="M5247" s="179" t="s">
        <v>151</v>
      </c>
    </row>
    <row r="5248" spans="1:13" ht="25.5">
      <c r="A5248" s="313" t="str">
        <f t="shared" si="81"/>
        <v>OceanFrontIndicatorCode_sedimentPlume</v>
      </c>
      <c r="B5248" s="331"/>
      <c r="C5248" s="335"/>
      <c r="D5248" s="181" t="s">
        <v>27893</v>
      </c>
      <c r="E5248" s="192" t="s">
        <v>27894</v>
      </c>
      <c r="F5248" s="193" t="s">
        <v>27895</v>
      </c>
      <c r="G5248" s="194"/>
      <c r="H5248" s="220"/>
      <c r="I5248" s="169">
        <v>119358</v>
      </c>
      <c r="J5248" s="304" t="str">
        <f>CONCATENATE([2]Cover!$D$6,"fdd/view?i=",I5248)</f>
        <v>https://www.dgiwg.org/FAD/fdd/view?i=119358</v>
      </c>
      <c r="K5248" s="304" t="s">
        <v>39297</v>
      </c>
      <c r="L5248" s="181">
        <v>3</v>
      </c>
      <c r="M5248" s="179" t="s">
        <v>151</v>
      </c>
    </row>
    <row r="5249" spans="1:13" ht="25.5">
      <c r="A5249" s="313" t="str">
        <f t="shared" si="81"/>
        <v>OceanographicFrontTypeCode_density</v>
      </c>
      <c r="B5249" s="332" t="str">
        <f>HYPERLINK("[#]Datatypes!A977:L977","OceanographicFrontTypeCode")</f>
        <v>OceanographicFrontTypeCode</v>
      </c>
      <c r="C5249" s="333" t="s">
        <v>12559</v>
      </c>
      <c r="D5249" s="202" t="s">
        <v>6373</v>
      </c>
      <c r="E5249" s="203" t="s">
        <v>27896</v>
      </c>
      <c r="F5249" s="204" t="s">
        <v>27897</v>
      </c>
      <c r="G5249" s="205"/>
      <c r="H5249" s="218"/>
      <c r="I5249" s="169">
        <v>119353</v>
      </c>
      <c r="J5249" s="304" t="str">
        <f>CONCATENATE([2]Cover!$D$6,"fdd/view?i=",I5249)</f>
        <v>https://www.dgiwg.org/FAD/fdd/view?i=119353</v>
      </c>
      <c r="K5249" s="304" t="s">
        <v>39298</v>
      </c>
      <c r="L5249" s="202">
        <v>1</v>
      </c>
      <c r="M5249" s="179" t="s">
        <v>151</v>
      </c>
    </row>
    <row r="5250" spans="1:13" ht="25.5">
      <c r="A5250" s="313" t="str">
        <f t="shared" si="81"/>
        <v>OceanographicFrontTypeCode_salinity</v>
      </c>
      <c r="B5250" s="330"/>
      <c r="C5250" s="334"/>
      <c r="D5250" s="188" t="s">
        <v>27898</v>
      </c>
      <c r="E5250" s="189" t="s">
        <v>27899</v>
      </c>
      <c r="F5250" s="162" t="s">
        <v>27900</v>
      </c>
      <c r="G5250" s="162" t="s">
        <v>27901</v>
      </c>
      <c r="H5250" s="219"/>
      <c r="I5250" s="169">
        <v>119354</v>
      </c>
      <c r="J5250" s="304" t="str">
        <f>CONCATENATE([2]Cover!$D$6,"fdd/view?i=",I5250)</f>
        <v>https://www.dgiwg.org/FAD/fdd/view?i=119354</v>
      </c>
      <c r="K5250" s="304" t="s">
        <v>39299</v>
      </c>
      <c r="L5250" s="188">
        <v>2</v>
      </c>
      <c r="M5250" s="179" t="s">
        <v>151</v>
      </c>
    </row>
    <row r="5251" spans="1:13" ht="25.5">
      <c r="A5251" s="313" t="str">
        <f t="shared" ref="A5251:A5314" si="82">HYPERLINK(J5251,K5251)</f>
        <v>OceanographicFrontTypeCode_thermal</v>
      </c>
      <c r="B5251" s="331"/>
      <c r="C5251" s="335"/>
      <c r="D5251" s="181" t="s">
        <v>19318</v>
      </c>
      <c r="E5251" s="192" t="s">
        <v>19319</v>
      </c>
      <c r="F5251" s="193" t="s">
        <v>27902</v>
      </c>
      <c r="G5251" s="194"/>
      <c r="H5251" s="220"/>
      <c r="I5251" s="169">
        <v>119355</v>
      </c>
      <c r="J5251" s="304" t="str">
        <f>CONCATENATE([2]Cover!$D$6,"fdd/view?i=",I5251)</f>
        <v>https://www.dgiwg.org/FAD/fdd/view?i=119355</v>
      </c>
      <c r="K5251" s="304" t="s">
        <v>39300</v>
      </c>
      <c r="L5251" s="181">
        <v>3</v>
      </c>
      <c r="M5251" s="179" t="s">
        <v>151</v>
      </c>
    </row>
    <row r="5252" spans="1:13" ht="25.5">
      <c r="A5252" s="313" t="str">
        <f t="shared" si="82"/>
        <v>OffshoreConstPriStructCode_barge</v>
      </c>
      <c r="B5252" s="332" t="str">
        <f>HYPERLINK("[#]Datatypes!A979:L979","OffshoreConstPriStructCode")</f>
        <v>OffshoreConstPriStructCode</v>
      </c>
      <c r="C5252" s="333" t="s">
        <v>12561</v>
      </c>
      <c r="D5252" s="202" t="s">
        <v>18559</v>
      </c>
      <c r="E5252" s="203" t="s">
        <v>18560</v>
      </c>
      <c r="F5252" s="204" t="s">
        <v>27903</v>
      </c>
      <c r="G5252" s="204" t="s">
        <v>27904</v>
      </c>
      <c r="H5252" s="218"/>
      <c r="I5252" s="169">
        <v>112410</v>
      </c>
      <c r="J5252" s="304" t="str">
        <f>CONCATENATE([2]Cover!$D$6,"fdd/view?i=",I5252)</f>
        <v>https://www.dgiwg.org/FAD/fdd/view?i=112410</v>
      </c>
      <c r="K5252" s="304" t="s">
        <v>39301</v>
      </c>
      <c r="L5252" s="202">
        <v>6</v>
      </c>
      <c r="M5252" s="179" t="s">
        <v>151</v>
      </c>
    </row>
    <row r="5253" spans="1:13" ht="63.75">
      <c r="A5253" s="313" t="str">
        <f t="shared" si="82"/>
        <v>OffshoreConstPriStructCode_catenaryTurntable</v>
      </c>
      <c r="B5253" s="330"/>
      <c r="C5253" s="334"/>
      <c r="D5253" s="188" t="s">
        <v>27905</v>
      </c>
      <c r="E5253" s="189" t="s">
        <v>27906</v>
      </c>
      <c r="F5253" s="162" t="s">
        <v>27907</v>
      </c>
      <c r="G5253" s="162" t="s">
        <v>27908</v>
      </c>
      <c r="H5253" s="219"/>
      <c r="I5253" s="169">
        <v>112404</v>
      </c>
      <c r="J5253" s="304" t="str">
        <f>CONCATENATE([2]Cover!$D$6,"fdd/view?i=",I5253)</f>
        <v>https://www.dgiwg.org/FAD/fdd/view?i=112404</v>
      </c>
      <c r="K5253" s="304" t="s">
        <v>39302</v>
      </c>
      <c r="L5253" s="188">
        <v>3</v>
      </c>
      <c r="M5253" s="179" t="s">
        <v>151</v>
      </c>
    </row>
    <row r="5254" spans="1:13" ht="51">
      <c r="A5254" s="313" t="str">
        <f t="shared" si="82"/>
        <v>OffshoreConstPriStructCode_platform</v>
      </c>
      <c r="B5254" s="330"/>
      <c r="C5254" s="334"/>
      <c r="D5254" s="188" t="s">
        <v>27909</v>
      </c>
      <c r="E5254" s="189" t="s">
        <v>27910</v>
      </c>
      <c r="F5254" s="162" t="s">
        <v>27911</v>
      </c>
      <c r="G5254" s="162" t="s">
        <v>27912</v>
      </c>
      <c r="H5254" s="219"/>
      <c r="I5254" s="169">
        <v>112400</v>
      </c>
      <c r="J5254" s="304" t="str">
        <f>CONCATENATE([2]Cover!$D$6,"fdd/view?i=",I5254)</f>
        <v>https://www.dgiwg.org/FAD/fdd/view?i=112400</v>
      </c>
      <c r="K5254" s="304" t="s">
        <v>39303</v>
      </c>
      <c r="L5254" s="188">
        <v>1</v>
      </c>
      <c r="M5254" s="179" t="s">
        <v>151</v>
      </c>
    </row>
    <row r="5255" spans="1:13" ht="114.75">
      <c r="A5255" s="313" t="str">
        <f t="shared" si="82"/>
        <v>OffshoreConstPriStructCode_submergedPlatform</v>
      </c>
      <c r="B5255" s="330"/>
      <c r="C5255" s="334"/>
      <c r="D5255" s="188" t="s">
        <v>27913</v>
      </c>
      <c r="E5255" s="189" t="s">
        <v>27914</v>
      </c>
      <c r="F5255" s="162" t="s">
        <v>27915</v>
      </c>
      <c r="G5255" s="162" t="s">
        <v>27916</v>
      </c>
      <c r="H5255" s="219"/>
      <c r="I5255" s="169">
        <v>206546</v>
      </c>
      <c r="J5255" s="304" t="str">
        <f>CONCATENATE([2]Cover!$D$6,"fdd/view?i=",I5255)</f>
        <v>https://www.dgiwg.org/FAD/fdd/view?i=206546</v>
      </c>
      <c r="K5255" s="304" t="s">
        <v>39304</v>
      </c>
      <c r="L5255" s="188">
        <v>7</v>
      </c>
      <c r="M5255" s="179" t="s">
        <v>1295</v>
      </c>
    </row>
    <row r="5256" spans="1:13" ht="127.5">
      <c r="A5256" s="313" t="str">
        <f t="shared" si="82"/>
        <v>OffshoreConstPriStructCode_submergedTurret</v>
      </c>
      <c r="B5256" s="330"/>
      <c r="C5256" s="334"/>
      <c r="D5256" s="188" t="s">
        <v>27917</v>
      </c>
      <c r="E5256" s="189" t="s">
        <v>27918</v>
      </c>
      <c r="F5256" s="162" t="s">
        <v>27919</v>
      </c>
      <c r="G5256" s="162" t="s">
        <v>27920</v>
      </c>
      <c r="H5256" s="219"/>
      <c r="I5256" s="169">
        <v>112406</v>
      </c>
      <c r="J5256" s="304" t="str">
        <f>CONCATENATE([2]Cover!$D$6,"fdd/view?i=",I5256)</f>
        <v>https://www.dgiwg.org/FAD/fdd/view?i=112406</v>
      </c>
      <c r="K5256" s="304" t="s">
        <v>39305</v>
      </c>
      <c r="L5256" s="188">
        <v>4</v>
      </c>
      <c r="M5256" s="179" t="s">
        <v>151</v>
      </c>
    </row>
    <row r="5257" spans="1:13" ht="102">
      <c r="A5257" s="313" t="str">
        <f t="shared" si="82"/>
        <v>OffshoreConstPriStructCode_terminalBuoy</v>
      </c>
      <c r="B5257" s="330"/>
      <c r="C5257" s="334"/>
      <c r="D5257" s="188" t="s">
        <v>27921</v>
      </c>
      <c r="E5257" s="189" t="s">
        <v>27922</v>
      </c>
      <c r="F5257" s="162" t="s">
        <v>27923</v>
      </c>
      <c r="G5257" s="162" t="s">
        <v>27924</v>
      </c>
      <c r="H5257" s="219"/>
      <c r="I5257" s="169">
        <v>112402</v>
      </c>
      <c r="J5257" s="304" t="str">
        <f>CONCATENATE([2]Cover!$D$6,"fdd/view?i=",I5257)</f>
        <v>https://www.dgiwg.org/FAD/fdd/view?i=112402</v>
      </c>
      <c r="K5257" s="304" t="s">
        <v>39306</v>
      </c>
      <c r="L5257" s="188">
        <v>2</v>
      </c>
      <c r="M5257" s="179" t="s">
        <v>151</v>
      </c>
    </row>
    <row r="5258" spans="1:13" ht="38.25">
      <c r="A5258" s="313" t="str">
        <f t="shared" si="82"/>
        <v>OffshoreConstPriStructCode_vessel</v>
      </c>
      <c r="B5258" s="331"/>
      <c r="C5258" s="335"/>
      <c r="D5258" s="181" t="s">
        <v>27925</v>
      </c>
      <c r="E5258" s="192" t="s">
        <v>27926</v>
      </c>
      <c r="F5258" s="193" t="s">
        <v>27927</v>
      </c>
      <c r="G5258" s="193" t="s">
        <v>27928</v>
      </c>
      <c r="H5258" s="220"/>
      <c r="I5258" s="169">
        <v>112408</v>
      </c>
      <c r="J5258" s="304" t="str">
        <f>CONCATENATE([2]Cover!$D$6,"fdd/view?i=",I5258)</f>
        <v>https://www.dgiwg.org/FAD/fdd/view?i=112408</v>
      </c>
      <c r="K5258" s="304" t="s">
        <v>39307</v>
      </c>
      <c r="L5258" s="181">
        <v>5</v>
      </c>
      <c r="M5258" s="179" t="s">
        <v>151</v>
      </c>
    </row>
    <row r="5259" spans="1:13" ht="25.5">
      <c r="A5259" s="313" t="str">
        <f t="shared" si="82"/>
        <v>OffshoreConstSupStructCode_artificialIsland</v>
      </c>
      <c r="B5259" s="332" t="str">
        <f>HYPERLINK("[#]Datatypes!A981:L981","OffshoreConstSupStructCode")</f>
        <v>OffshoreConstSupStructCode</v>
      </c>
      <c r="C5259" s="333" t="s">
        <v>12563</v>
      </c>
      <c r="D5259" s="202" t="s">
        <v>27929</v>
      </c>
      <c r="E5259" s="203" t="s">
        <v>27930</v>
      </c>
      <c r="F5259" s="204" t="s">
        <v>27931</v>
      </c>
      <c r="G5259" s="204" t="s">
        <v>27932</v>
      </c>
      <c r="H5259" s="218"/>
      <c r="I5259" s="169">
        <v>112420</v>
      </c>
      <c r="J5259" s="304" t="str">
        <f>CONCATENATE([2]Cover!$D$6,"fdd/view?i=",I5259)</f>
        <v>https://www.dgiwg.org/FAD/fdd/view?i=112420</v>
      </c>
      <c r="K5259" s="304" t="s">
        <v>39308</v>
      </c>
      <c r="L5259" s="202">
        <v>1</v>
      </c>
      <c r="M5259" s="179" t="s">
        <v>151</v>
      </c>
    </row>
    <row r="5260" spans="1:13" ht="63.75">
      <c r="A5260" s="313" t="str">
        <f t="shared" si="82"/>
        <v>OffshoreConstSupStructCode_multiColumn</v>
      </c>
      <c r="B5260" s="330"/>
      <c r="C5260" s="334"/>
      <c r="D5260" s="188" t="s">
        <v>27933</v>
      </c>
      <c r="E5260" s="189" t="s">
        <v>27934</v>
      </c>
      <c r="F5260" s="162" t="s">
        <v>27935</v>
      </c>
      <c r="G5260" s="162" t="s">
        <v>27936</v>
      </c>
      <c r="H5260" s="219"/>
      <c r="I5260" s="169">
        <v>112424</v>
      </c>
      <c r="J5260" s="304" t="str">
        <f>CONCATENATE([2]Cover!$D$6,"fdd/view?i=",I5260)</f>
        <v>https://www.dgiwg.org/FAD/fdd/view?i=112424</v>
      </c>
      <c r="K5260" s="304" t="s">
        <v>39309</v>
      </c>
      <c r="L5260" s="188">
        <v>3</v>
      </c>
      <c r="M5260" s="179" t="s">
        <v>151</v>
      </c>
    </row>
    <row r="5261" spans="1:13" ht="25.5">
      <c r="A5261" s="313" t="str">
        <f t="shared" si="82"/>
        <v>OffshoreConstSupStructCode_singleColumn</v>
      </c>
      <c r="B5261" s="330"/>
      <c r="C5261" s="334"/>
      <c r="D5261" s="188" t="s">
        <v>27937</v>
      </c>
      <c r="E5261" s="189" t="s">
        <v>27938</v>
      </c>
      <c r="F5261" s="162" t="s">
        <v>27939</v>
      </c>
      <c r="G5261" s="162" t="s">
        <v>27940</v>
      </c>
      <c r="H5261" s="219"/>
      <c r="I5261" s="169">
        <v>112422</v>
      </c>
      <c r="J5261" s="304" t="str">
        <f>CONCATENATE([2]Cover!$D$6,"fdd/view?i=",I5261)</f>
        <v>https://www.dgiwg.org/FAD/fdd/view?i=112422</v>
      </c>
      <c r="K5261" s="304" t="s">
        <v>39310</v>
      </c>
      <c r="L5261" s="188">
        <v>2</v>
      </c>
      <c r="M5261" s="179" t="s">
        <v>151</v>
      </c>
    </row>
    <row r="5262" spans="1:13" ht="38.25">
      <c r="A5262" s="313" t="str">
        <f t="shared" si="82"/>
        <v>OffshoreConstSupStructCode_trussTower</v>
      </c>
      <c r="B5262" s="331"/>
      <c r="C5262" s="335"/>
      <c r="D5262" s="181" t="s">
        <v>27941</v>
      </c>
      <c r="E5262" s="192" t="s">
        <v>27942</v>
      </c>
      <c r="F5262" s="193" t="s">
        <v>27943</v>
      </c>
      <c r="G5262" s="193" t="s">
        <v>27944</v>
      </c>
      <c r="H5262" s="220"/>
      <c r="I5262" s="169">
        <v>112426</v>
      </c>
      <c r="J5262" s="304" t="str">
        <f>CONCATENATE([2]Cover!$D$6,"fdd/view?i=",I5262)</f>
        <v>https://www.dgiwg.org/FAD/fdd/view?i=112426</v>
      </c>
      <c r="K5262" s="304" t="s">
        <v>39311</v>
      </c>
      <c r="L5262" s="181">
        <v>4</v>
      </c>
      <c r="M5262" s="179" t="s">
        <v>151</v>
      </c>
    </row>
    <row r="5263" spans="1:13" ht="25.5">
      <c r="A5263" s="313" t="str">
        <f t="shared" si="82"/>
        <v>OffshorePositioningMethodCode_fixed</v>
      </c>
      <c r="B5263" s="332" t="str">
        <f>HYPERLINK("[#]Datatypes!A983:L983","OffshorePositioningMethodCode")</f>
        <v>OffshorePositioningMethodCode</v>
      </c>
      <c r="C5263" s="333" t="s">
        <v>12565</v>
      </c>
      <c r="D5263" s="202" t="s">
        <v>18313</v>
      </c>
      <c r="E5263" s="203" t="s">
        <v>18314</v>
      </c>
      <c r="F5263" s="204" t="s">
        <v>27945</v>
      </c>
      <c r="G5263" s="204" t="s">
        <v>27946</v>
      </c>
      <c r="H5263" s="218"/>
      <c r="I5263" s="169">
        <v>112412</v>
      </c>
      <c r="J5263" s="304" t="str">
        <f>CONCATENATE([2]Cover!$D$6,"fdd/view?i=",I5263)</f>
        <v>https://www.dgiwg.org/FAD/fdd/view?i=112412</v>
      </c>
      <c r="K5263" s="304" t="s">
        <v>39312</v>
      </c>
      <c r="L5263" s="202">
        <v>1</v>
      </c>
      <c r="M5263" s="179" t="s">
        <v>151</v>
      </c>
    </row>
    <row r="5264" spans="1:13" ht="63.75">
      <c r="A5264" s="313" t="str">
        <f t="shared" si="82"/>
        <v>OffshorePositioningMethodCode_floatingDynamicPosition</v>
      </c>
      <c r="B5264" s="330"/>
      <c r="C5264" s="334"/>
      <c r="D5264" s="188" t="s">
        <v>27947</v>
      </c>
      <c r="E5264" s="189" t="s">
        <v>27948</v>
      </c>
      <c r="F5264" s="162" t="s">
        <v>27949</v>
      </c>
      <c r="G5264" s="162" t="s">
        <v>27950</v>
      </c>
      <c r="H5264" s="219"/>
      <c r="I5264" s="169">
        <v>112416</v>
      </c>
      <c r="J5264" s="304" t="str">
        <f>CONCATENATE([2]Cover!$D$6,"fdd/view?i=",I5264)</f>
        <v>https://www.dgiwg.org/FAD/fdd/view?i=112416</v>
      </c>
      <c r="K5264" s="304" t="s">
        <v>39313</v>
      </c>
      <c r="L5264" s="188">
        <v>3</v>
      </c>
      <c r="M5264" s="179" t="s">
        <v>151</v>
      </c>
    </row>
    <row r="5265" spans="1:13" ht="25.5">
      <c r="A5265" s="313" t="str">
        <f t="shared" si="82"/>
        <v>OffshorePositioningMethodCode_floatingMoored</v>
      </c>
      <c r="B5265" s="330"/>
      <c r="C5265" s="334"/>
      <c r="D5265" s="188" t="s">
        <v>27951</v>
      </c>
      <c r="E5265" s="189" t="s">
        <v>27952</v>
      </c>
      <c r="F5265" s="162" t="s">
        <v>27953</v>
      </c>
      <c r="G5265" s="162" t="s">
        <v>27954</v>
      </c>
      <c r="H5265" s="219"/>
      <c r="I5265" s="169">
        <v>112414</v>
      </c>
      <c r="J5265" s="304" t="str">
        <f>CONCATENATE([2]Cover!$D$6,"fdd/view?i=",I5265)</f>
        <v>https://www.dgiwg.org/FAD/fdd/view?i=112414</v>
      </c>
      <c r="K5265" s="304" t="s">
        <v>39314</v>
      </c>
      <c r="L5265" s="188">
        <v>2</v>
      </c>
      <c r="M5265" s="179" t="s">
        <v>151</v>
      </c>
    </row>
    <row r="5266" spans="1:13" ht="76.5">
      <c r="A5266" s="313" t="str">
        <f t="shared" si="82"/>
        <v>OffshorePositioningMethodCode_semiBuoyantMoored</v>
      </c>
      <c r="B5266" s="331"/>
      <c r="C5266" s="335"/>
      <c r="D5266" s="181" t="s">
        <v>27955</v>
      </c>
      <c r="E5266" s="192" t="s">
        <v>27956</v>
      </c>
      <c r="F5266" s="193" t="s">
        <v>27957</v>
      </c>
      <c r="G5266" s="193" t="s">
        <v>27958</v>
      </c>
      <c r="H5266" s="220"/>
      <c r="I5266" s="169">
        <v>112418</v>
      </c>
      <c r="J5266" s="304" t="str">
        <f>CONCATENATE([2]Cover!$D$6,"fdd/view?i=",I5266)</f>
        <v>https://www.dgiwg.org/FAD/fdd/view?i=112418</v>
      </c>
      <c r="K5266" s="304" t="s">
        <v>39315</v>
      </c>
      <c r="L5266" s="181">
        <v>4</v>
      </c>
      <c r="M5266" s="179" t="s">
        <v>151</v>
      </c>
    </row>
    <row r="5267" spans="1:13" ht="25.5">
      <c r="A5267" s="313" t="str">
        <f t="shared" si="82"/>
        <v>OperatingAgencyCode_civil</v>
      </c>
      <c r="B5267" s="332" t="str">
        <f>HYPERLINK("[#]Datatypes!A997:L997","OperatingAgencyCode")</f>
        <v>OperatingAgencyCode</v>
      </c>
      <c r="C5267" s="333" t="s">
        <v>12591</v>
      </c>
      <c r="D5267" s="202" t="s">
        <v>15741</v>
      </c>
      <c r="E5267" s="203" t="s">
        <v>15742</v>
      </c>
      <c r="F5267" s="204" t="s">
        <v>27959</v>
      </c>
      <c r="G5267" s="205"/>
      <c r="H5267" s="218"/>
      <c r="I5267" s="169">
        <v>201987</v>
      </c>
      <c r="J5267" s="304" t="str">
        <f>CONCATENATE([2]Cover!$D$6,"fdd/view?i=",I5267)</f>
        <v>https://www.dgiwg.org/FAD/fdd/view?i=201987</v>
      </c>
      <c r="K5267" s="304" t="s">
        <v>39316</v>
      </c>
      <c r="L5267" s="202">
        <v>1</v>
      </c>
      <c r="M5267" s="179" t="s">
        <v>1295</v>
      </c>
    </row>
    <row r="5268" spans="1:13" ht="25.5">
      <c r="A5268" s="313" t="str">
        <f t="shared" si="82"/>
        <v>OperatingAgencyCode_federal</v>
      </c>
      <c r="B5268" s="330"/>
      <c r="C5268" s="334"/>
      <c r="D5268" s="188" t="s">
        <v>27960</v>
      </c>
      <c r="E5268" s="189" t="s">
        <v>19354</v>
      </c>
      <c r="F5268" s="162" t="s">
        <v>27961</v>
      </c>
      <c r="G5268" s="190"/>
      <c r="H5268" s="219"/>
      <c r="I5268" s="169">
        <v>201993</v>
      </c>
      <c r="J5268" s="304" t="str">
        <f>CONCATENATE([2]Cover!$D$6,"fdd/view?i=",I5268)</f>
        <v>https://www.dgiwg.org/FAD/fdd/view?i=201993</v>
      </c>
      <c r="K5268" s="304" t="s">
        <v>39317</v>
      </c>
      <c r="L5268" s="188">
        <v>7</v>
      </c>
      <c r="M5268" s="179" t="s">
        <v>1295</v>
      </c>
    </row>
    <row r="5269" spans="1:13" ht="25.5">
      <c r="A5269" s="313" t="str">
        <f t="shared" si="82"/>
        <v>OperatingAgencyCode_jointMilitaryCivilian</v>
      </c>
      <c r="B5269" s="330"/>
      <c r="C5269" s="334"/>
      <c r="D5269" s="188" t="s">
        <v>19346</v>
      </c>
      <c r="E5269" s="189" t="s">
        <v>19347</v>
      </c>
      <c r="F5269" s="162" t="s">
        <v>27962</v>
      </c>
      <c r="G5269" s="190"/>
      <c r="H5269" s="219"/>
      <c r="I5269" s="169">
        <v>201990</v>
      </c>
      <c r="J5269" s="304" t="str">
        <f>CONCATENATE([2]Cover!$D$6,"fdd/view?i=",I5269)</f>
        <v>https://www.dgiwg.org/FAD/fdd/view?i=201990</v>
      </c>
      <c r="K5269" s="304" t="s">
        <v>39318</v>
      </c>
      <c r="L5269" s="188">
        <v>4</v>
      </c>
      <c r="M5269" s="179" t="s">
        <v>1295</v>
      </c>
    </row>
    <row r="5270" spans="1:13" ht="25.5">
      <c r="A5270" s="313" t="str">
        <f t="shared" si="82"/>
        <v>OperatingAgencyCode_military</v>
      </c>
      <c r="B5270" s="330"/>
      <c r="C5270" s="334"/>
      <c r="D5270" s="188" t="s">
        <v>15601</v>
      </c>
      <c r="E5270" s="189" t="s">
        <v>15602</v>
      </c>
      <c r="F5270" s="162" t="s">
        <v>27963</v>
      </c>
      <c r="G5270" s="190"/>
      <c r="H5270" s="219"/>
      <c r="I5270" s="169">
        <v>201992</v>
      </c>
      <c r="J5270" s="304" t="str">
        <f>CONCATENATE([2]Cover!$D$6,"fdd/view?i=",I5270)</f>
        <v>https://www.dgiwg.org/FAD/fdd/view?i=201992</v>
      </c>
      <c r="K5270" s="304" t="s">
        <v>39319</v>
      </c>
      <c r="L5270" s="188">
        <v>6</v>
      </c>
      <c r="M5270" s="179" t="s">
        <v>1295</v>
      </c>
    </row>
    <row r="5271" spans="1:13" ht="25.5">
      <c r="A5271" s="313" t="str">
        <f t="shared" si="82"/>
        <v>OperatingAgencyCode_private</v>
      </c>
      <c r="B5271" s="331"/>
      <c r="C5271" s="335"/>
      <c r="D5271" s="181" t="s">
        <v>15756</v>
      </c>
      <c r="E5271" s="192" t="s">
        <v>15757</v>
      </c>
      <c r="F5271" s="193" t="s">
        <v>27964</v>
      </c>
      <c r="G5271" s="194"/>
      <c r="H5271" s="220"/>
      <c r="I5271" s="169">
        <v>201988</v>
      </c>
      <c r="J5271" s="304" t="str">
        <f>CONCATENATE([2]Cover!$D$6,"fdd/view?i=",I5271)</f>
        <v>https://www.dgiwg.org/FAD/fdd/view?i=201988</v>
      </c>
      <c r="K5271" s="304" t="s">
        <v>39320</v>
      </c>
      <c r="L5271" s="181">
        <v>2</v>
      </c>
      <c r="M5271" s="179" t="s">
        <v>1295</v>
      </c>
    </row>
    <row r="5272" spans="1:13" ht="25.5">
      <c r="A5272" s="313" t="str">
        <f t="shared" si="82"/>
        <v>OperatingCycleCode_continuouslyOperating</v>
      </c>
      <c r="B5272" s="332" t="str">
        <f>HYPERLINK("[#]Datatypes!A999:L999","OperatingCycleCode")</f>
        <v>OperatingCycleCode</v>
      </c>
      <c r="C5272" s="333" t="s">
        <v>12593</v>
      </c>
      <c r="D5272" s="202" t="s">
        <v>27965</v>
      </c>
      <c r="E5272" s="203" t="s">
        <v>27966</v>
      </c>
      <c r="F5272" s="204" t="s">
        <v>21067</v>
      </c>
      <c r="G5272" s="205"/>
      <c r="H5272" s="218"/>
      <c r="I5272" s="169">
        <v>106263</v>
      </c>
      <c r="J5272" s="304" t="str">
        <f>CONCATENATE([2]Cover!$D$6,"fdd/view?i=",I5272)</f>
        <v>https://www.dgiwg.org/FAD/fdd/view?i=106263</v>
      </c>
      <c r="K5272" s="304" t="s">
        <v>39321</v>
      </c>
      <c r="L5272" s="202">
        <v>3</v>
      </c>
      <c r="M5272" s="179" t="s">
        <v>151</v>
      </c>
    </row>
    <row r="5273" spans="1:13">
      <c r="A5273" s="313" t="str">
        <f t="shared" si="82"/>
        <v>OperatingCycleCode_daytime</v>
      </c>
      <c r="B5273" s="330"/>
      <c r="C5273" s="334"/>
      <c r="D5273" s="188" t="s">
        <v>27967</v>
      </c>
      <c r="E5273" s="189" t="s">
        <v>27968</v>
      </c>
      <c r="F5273" s="162" t="s">
        <v>27969</v>
      </c>
      <c r="G5273" s="190"/>
      <c r="H5273" s="219"/>
      <c r="I5273" s="169">
        <v>106261</v>
      </c>
      <c r="J5273" s="304" t="str">
        <f>CONCATENATE([2]Cover!$D$6,"fdd/view?i=",I5273)</f>
        <v>https://www.dgiwg.org/FAD/fdd/view?i=106261</v>
      </c>
      <c r="K5273" s="304" t="s">
        <v>39322</v>
      </c>
      <c r="L5273" s="188">
        <v>1</v>
      </c>
      <c r="M5273" s="179" t="s">
        <v>151</v>
      </c>
    </row>
    <row r="5274" spans="1:13" ht="25.5">
      <c r="A5274" s="313" t="str">
        <f t="shared" si="82"/>
        <v>OperatingCycleCode_neverOperating</v>
      </c>
      <c r="B5274" s="330"/>
      <c r="C5274" s="334"/>
      <c r="D5274" s="188" t="s">
        <v>27970</v>
      </c>
      <c r="E5274" s="189" t="s">
        <v>27971</v>
      </c>
      <c r="F5274" s="162" t="s">
        <v>27972</v>
      </c>
      <c r="G5274" s="190"/>
      <c r="H5274" s="219"/>
      <c r="I5274" s="169">
        <v>110286</v>
      </c>
      <c r="J5274" s="304" t="str">
        <f>CONCATENATE([2]Cover!$D$6,"fdd/view?i=",I5274)</f>
        <v>https://www.dgiwg.org/FAD/fdd/view?i=110286</v>
      </c>
      <c r="K5274" s="304" t="s">
        <v>39323</v>
      </c>
      <c r="L5274" s="188">
        <v>7</v>
      </c>
      <c r="M5274" s="179" t="s">
        <v>151</v>
      </c>
    </row>
    <row r="5275" spans="1:13">
      <c r="A5275" s="313" t="str">
        <f t="shared" si="82"/>
        <v>OperatingCycleCode_nighttime</v>
      </c>
      <c r="B5275" s="330"/>
      <c r="C5275" s="334"/>
      <c r="D5275" s="188" t="s">
        <v>27973</v>
      </c>
      <c r="E5275" s="189" t="s">
        <v>27974</v>
      </c>
      <c r="F5275" s="162" t="s">
        <v>27975</v>
      </c>
      <c r="G5275" s="190"/>
      <c r="H5275" s="219"/>
      <c r="I5275" s="169">
        <v>106262</v>
      </c>
      <c r="J5275" s="304" t="str">
        <f>CONCATENATE([2]Cover!$D$6,"fdd/view?i=",I5275)</f>
        <v>https://www.dgiwg.org/FAD/fdd/view?i=106262</v>
      </c>
      <c r="K5275" s="304" t="s">
        <v>39324</v>
      </c>
      <c r="L5275" s="188">
        <v>2</v>
      </c>
      <c r="M5275" s="179" t="s">
        <v>151</v>
      </c>
    </row>
    <row r="5276" spans="1:13">
      <c r="A5276" s="313" t="str">
        <f t="shared" si="82"/>
        <v>OperatingCycleCode_restricted</v>
      </c>
      <c r="B5276" s="330"/>
      <c r="C5276" s="334"/>
      <c r="D5276" s="188" t="s">
        <v>13338</v>
      </c>
      <c r="E5276" s="189" t="s">
        <v>13339</v>
      </c>
      <c r="F5276" s="162" t="s">
        <v>27976</v>
      </c>
      <c r="G5276" s="190"/>
      <c r="H5276" s="219"/>
      <c r="I5276" s="169">
        <v>110285</v>
      </c>
      <c r="J5276" s="304" t="str">
        <f>CONCATENATE([2]Cover!$D$6,"fdd/view?i=",I5276)</f>
        <v>https://www.dgiwg.org/FAD/fdd/view?i=110285</v>
      </c>
      <c r="K5276" s="304" t="s">
        <v>39325</v>
      </c>
      <c r="L5276" s="188">
        <v>6</v>
      </c>
      <c r="M5276" s="179" t="s">
        <v>151</v>
      </c>
    </row>
    <row r="5277" spans="1:13" ht="25.5">
      <c r="A5277" s="313" t="str">
        <f t="shared" si="82"/>
        <v>OperatingCycleCode_summerSeason</v>
      </c>
      <c r="B5277" s="330"/>
      <c r="C5277" s="334"/>
      <c r="D5277" s="188" t="s">
        <v>27977</v>
      </c>
      <c r="E5277" s="189" t="s">
        <v>27978</v>
      </c>
      <c r="F5277" s="162" t="s">
        <v>27979</v>
      </c>
      <c r="G5277" s="190"/>
      <c r="H5277" s="219"/>
      <c r="I5277" s="169">
        <v>106264</v>
      </c>
      <c r="J5277" s="304" t="str">
        <f>CONCATENATE([2]Cover!$D$6,"fdd/view?i=",I5277)</f>
        <v>https://www.dgiwg.org/FAD/fdd/view?i=106264</v>
      </c>
      <c r="K5277" s="304" t="s">
        <v>39326</v>
      </c>
      <c r="L5277" s="188">
        <v>4</v>
      </c>
      <c r="M5277" s="179" t="s">
        <v>151</v>
      </c>
    </row>
    <row r="5278" spans="1:13">
      <c r="A5278" s="313" t="str">
        <f t="shared" si="82"/>
        <v>OperatingCycleCode_winterSeason</v>
      </c>
      <c r="B5278" s="331"/>
      <c r="C5278" s="335"/>
      <c r="D5278" s="181" t="s">
        <v>27980</v>
      </c>
      <c r="E5278" s="192" t="s">
        <v>27981</v>
      </c>
      <c r="F5278" s="193" t="s">
        <v>27982</v>
      </c>
      <c r="G5278" s="194"/>
      <c r="H5278" s="220"/>
      <c r="I5278" s="169">
        <v>106265</v>
      </c>
      <c r="J5278" s="304" t="str">
        <f>CONCATENATE([2]Cover!$D$6,"fdd/view?i=",I5278)</f>
        <v>https://www.dgiwg.org/FAD/fdd/view?i=106265</v>
      </c>
      <c r="K5278" s="304" t="s">
        <v>39327</v>
      </c>
      <c r="L5278" s="181">
        <v>5</v>
      </c>
      <c r="M5278" s="179" t="s">
        <v>151</v>
      </c>
    </row>
    <row r="5279" spans="1:13">
      <c r="A5279" s="313" t="str">
        <f t="shared" si="82"/>
        <v>OperatingRestrictionCode_flooding</v>
      </c>
      <c r="B5279" s="332" t="str">
        <f>HYPERLINK("[#]Datatypes!A1001:L1001","OperatingRestrictionCode")</f>
        <v>OperatingRestrictionCode</v>
      </c>
      <c r="C5279" s="333" t="s">
        <v>12595</v>
      </c>
      <c r="D5279" s="202" t="s">
        <v>27983</v>
      </c>
      <c r="E5279" s="203" t="s">
        <v>27984</v>
      </c>
      <c r="F5279" s="204" t="s">
        <v>27985</v>
      </c>
      <c r="G5279" s="205"/>
      <c r="H5279" s="218"/>
      <c r="I5279" s="169">
        <v>106286</v>
      </c>
      <c r="J5279" s="304" t="str">
        <f>CONCATENATE([2]Cover!$D$6,"fdd/view?i=",I5279)</f>
        <v>https://www.dgiwg.org/FAD/fdd/view?i=106286</v>
      </c>
      <c r="K5279" s="304" t="s">
        <v>39328</v>
      </c>
      <c r="L5279" s="202">
        <v>6</v>
      </c>
      <c r="M5279" s="179" t="s">
        <v>151</v>
      </c>
    </row>
    <row r="5280" spans="1:13">
      <c r="A5280" s="313" t="str">
        <f t="shared" si="82"/>
        <v>OperatingRestrictionCode_ice</v>
      </c>
      <c r="B5280" s="330"/>
      <c r="C5280" s="334"/>
      <c r="D5280" s="188" t="s">
        <v>15108</v>
      </c>
      <c r="E5280" s="189" t="s">
        <v>15109</v>
      </c>
      <c r="F5280" s="162" t="s">
        <v>27986</v>
      </c>
      <c r="G5280" s="190"/>
      <c r="H5280" s="219"/>
      <c r="I5280" s="169">
        <v>110290</v>
      </c>
      <c r="J5280" s="304" t="str">
        <f>CONCATENATE([2]Cover!$D$6,"fdd/view?i=",I5280)</f>
        <v>https://www.dgiwg.org/FAD/fdd/view?i=110290</v>
      </c>
      <c r="K5280" s="304" t="s">
        <v>39329</v>
      </c>
      <c r="L5280" s="188">
        <v>11</v>
      </c>
      <c r="M5280" s="179" t="s">
        <v>151</v>
      </c>
    </row>
    <row r="5281" spans="1:13">
      <c r="A5281" s="313" t="str">
        <f t="shared" si="82"/>
        <v>OperatingRestrictionCode_icing</v>
      </c>
      <c r="B5281" s="330"/>
      <c r="C5281" s="334"/>
      <c r="D5281" s="188" t="s">
        <v>27987</v>
      </c>
      <c r="E5281" s="189" t="s">
        <v>27988</v>
      </c>
      <c r="F5281" s="162" t="s">
        <v>27989</v>
      </c>
      <c r="G5281" s="190"/>
      <c r="H5281" s="219"/>
      <c r="I5281" s="169">
        <v>106285</v>
      </c>
      <c r="J5281" s="304" t="str">
        <f>CONCATENATE([2]Cover!$D$6,"fdd/view?i=",I5281)</f>
        <v>https://www.dgiwg.org/FAD/fdd/view?i=106285</v>
      </c>
      <c r="K5281" s="304" t="s">
        <v>39330</v>
      </c>
      <c r="L5281" s="188">
        <v>5</v>
      </c>
      <c r="M5281" s="179" t="s">
        <v>151</v>
      </c>
    </row>
    <row r="5282" spans="1:13" ht="25.5">
      <c r="A5282" s="313" t="str">
        <f t="shared" si="82"/>
        <v>OperatingRestrictionCode_noRestriction</v>
      </c>
      <c r="B5282" s="330"/>
      <c r="C5282" s="334"/>
      <c r="D5282" s="188" t="s">
        <v>27990</v>
      </c>
      <c r="E5282" s="189" t="s">
        <v>27991</v>
      </c>
      <c r="F5282" s="162" t="s">
        <v>27992</v>
      </c>
      <c r="G5282" s="190"/>
      <c r="H5282" s="219"/>
      <c r="I5282" s="169">
        <v>106283</v>
      </c>
      <c r="J5282" s="304" t="str">
        <f>CONCATENATE([2]Cover!$D$6,"fdd/view?i=",I5282)</f>
        <v>https://www.dgiwg.org/FAD/fdd/view?i=106283</v>
      </c>
      <c r="K5282" s="304" t="s">
        <v>39331</v>
      </c>
      <c r="L5282" s="188">
        <v>3</v>
      </c>
      <c r="M5282" s="179" t="s">
        <v>151</v>
      </c>
    </row>
    <row r="5283" spans="1:13" ht="25.5">
      <c r="A5283" s="313" t="str">
        <f t="shared" si="82"/>
        <v>OperatingRestrictionCode_reducedVisibility</v>
      </c>
      <c r="B5283" s="330"/>
      <c r="C5283" s="334"/>
      <c r="D5283" s="188" t="s">
        <v>27993</v>
      </c>
      <c r="E5283" s="189" t="s">
        <v>27994</v>
      </c>
      <c r="F5283" s="162" t="s">
        <v>27995</v>
      </c>
      <c r="G5283" s="190"/>
      <c r="H5283" s="219"/>
      <c r="I5283" s="169">
        <v>110288</v>
      </c>
      <c r="J5283" s="304" t="str">
        <f>CONCATENATE([2]Cover!$D$6,"fdd/view?i=",I5283)</f>
        <v>https://www.dgiwg.org/FAD/fdd/view?i=110288</v>
      </c>
      <c r="K5283" s="304" t="s">
        <v>39332</v>
      </c>
      <c r="L5283" s="188">
        <v>9</v>
      </c>
      <c r="M5283" s="179" t="s">
        <v>151</v>
      </c>
    </row>
    <row r="5284" spans="1:13">
      <c r="A5284" s="313" t="str">
        <f t="shared" si="82"/>
        <v>OperatingRestrictionCode_snow</v>
      </c>
      <c r="B5284" s="330"/>
      <c r="C5284" s="334"/>
      <c r="D5284" s="188" t="s">
        <v>15140</v>
      </c>
      <c r="E5284" s="189" t="s">
        <v>15141</v>
      </c>
      <c r="F5284" s="162" t="s">
        <v>27996</v>
      </c>
      <c r="G5284" s="190"/>
      <c r="H5284" s="219"/>
      <c r="I5284" s="169">
        <v>106284</v>
      </c>
      <c r="J5284" s="304" t="str">
        <f>CONCATENATE([2]Cover!$D$6,"fdd/view?i=",I5284)</f>
        <v>https://www.dgiwg.org/FAD/fdd/view?i=106284</v>
      </c>
      <c r="K5284" s="304" t="s">
        <v>39333</v>
      </c>
      <c r="L5284" s="188">
        <v>4</v>
      </c>
      <c r="M5284" s="179" t="s">
        <v>151</v>
      </c>
    </row>
    <row r="5285" spans="1:13" ht="38.25">
      <c r="A5285" s="313" t="str">
        <f t="shared" si="82"/>
        <v>OperatingRestrictionCode_specialRestriction</v>
      </c>
      <c r="B5285" s="330"/>
      <c r="C5285" s="334"/>
      <c r="D5285" s="188" t="s">
        <v>27997</v>
      </c>
      <c r="E5285" s="189" t="s">
        <v>27998</v>
      </c>
      <c r="F5285" s="162" t="s">
        <v>27999</v>
      </c>
      <c r="G5285" s="162" t="s">
        <v>28000</v>
      </c>
      <c r="H5285" s="219"/>
      <c r="I5285" s="169">
        <v>106287</v>
      </c>
      <c r="J5285" s="304" t="str">
        <f>CONCATENATE([2]Cover!$D$6,"fdd/view?i=",I5285)</f>
        <v>https://www.dgiwg.org/FAD/fdd/view?i=106287</v>
      </c>
      <c r="K5285" s="304" t="s">
        <v>39334</v>
      </c>
      <c r="L5285" s="188">
        <v>7</v>
      </c>
      <c r="M5285" s="179" t="s">
        <v>151</v>
      </c>
    </row>
    <row r="5286" spans="1:13" ht="25.5">
      <c r="A5286" s="313" t="str">
        <f t="shared" si="82"/>
        <v>OperatingRestrictionCode_tide</v>
      </c>
      <c r="B5286" s="330"/>
      <c r="C5286" s="334"/>
      <c r="D5286" s="188" t="s">
        <v>28001</v>
      </c>
      <c r="E5286" s="189" t="s">
        <v>28002</v>
      </c>
      <c r="F5286" s="162" t="s">
        <v>28003</v>
      </c>
      <c r="G5286" s="190"/>
      <c r="H5286" s="219"/>
      <c r="I5286" s="169">
        <v>110291</v>
      </c>
      <c r="J5286" s="304" t="str">
        <f>CONCATENATE([2]Cover!$D$6,"fdd/view?i=",I5286)</f>
        <v>https://www.dgiwg.org/FAD/fdd/view?i=110291</v>
      </c>
      <c r="K5286" s="304" t="s">
        <v>39335</v>
      </c>
      <c r="L5286" s="188">
        <v>12</v>
      </c>
      <c r="M5286" s="179" t="s">
        <v>151</v>
      </c>
    </row>
    <row r="5287" spans="1:13" ht="38.25">
      <c r="A5287" s="313" t="str">
        <f t="shared" si="82"/>
        <v>OperatingRestrictionCode_time</v>
      </c>
      <c r="B5287" s="330"/>
      <c r="C5287" s="334"/>
      <c r="D5287" s="188" t="s">
        <v>300</v>
      </c>
      <c r="E5287" s="189" t="s">
        <v>301</v>
      </c>
      <c r="F5287" s="162" t="s">
        <v>28004</v>
      </c>
      <c r="G5287" s="190"/>
      <c r="H5287" s="219"/>
      <c r="I5287" s="169">
        <v>110289</v>
      </c>
      <c r="J5287" s="304" t="str">
        <f>CONCATENATE([2]Cover!$D$6,"fdd/view?i=",I5287)</f>
        <v>https://www.dgiwg.org/FAD/fdd/view?i=110289</v>
      </c>
      <c r="K5287" s="304" t="s">
        <v>39336</v>
      </c>
      <c r="L5287" s="188">
        <v>10</v>
      </c>
      <c r="M5287" s="179" t="s">
        <v>151</v>
      </c>
    </row>
    <row r="5288" spans="1:13" ht="25.5">
      <c r="A5288" s="313" t="str">
        <f t="shared" si="82"/>
        <v>OperatingRestrictionCode_vegetation</v>
      </c>
      <c r="B5288" s="330"/>
      <c r="C5288" s="334"/>
      <c r="D5288" s="188" t="s">
        <v>20854</v>
      </c>
      <c r="E5288" s="189" t="s">
        <v>20855</v>
      </c>
      <c r="F5288" s="162" t="s">
        <v>28005</v>
      </c>
      <c r="G5288" s="190"/>
      <c r="H5288" s="219"/>
      <c r="I5288" s="169">
        <v>114366</v>
      </c>
      <c r="J5288" s="304" t="str">
        <f>CONCATENATE([2]Cover!$D$6,"fdd/view?i=",I5288)</f>
        <v>https://www.dgiwg.org/FAD/fdd/view?i=114366</v>
      </c>
      <c r="K5288" s="304" t="s">
        <v>39337</v>
      </c>
      <c r="L5288" s="188">
        <v>13</v>
      </c>
      <c r="M5288" s="179" t="s">
        <v>151</v>
      </c>
    </row>
    <row r="5289" spans="1:13">
      <c r="A5289" s="313" t="str">
        <f t="shared" si="82"/>
        <v>OperatingRestrictionCode_wind</v>
      </c>
      <c r="B5289" s="331"/>
      <c r="C5289" s="335"/>
      <c r="D5289" s="181" t="s">
        <v>22434</v>
      </c>
      <c r="E5289" s="192" t="s">
        <v>22435</v>
      </c>
      <c r="F5289" s="193" t="s">
        <v>28006</v>
      </c>
      <c r="G5289" s="194"/>
      <c r="H5289" s="220"/>
      <c r="I5289" s="169">
        <v>110287</v>
      </c>
      <c r="J5289" s="304" t="str">
        <f>CONCATENATE([2]Cover!$D$6,"fdd/view?i=",I5289)</f>
        <v>https://www.dgiwg.org/FAD/fdd/view?i=110287</v>
      </c>
      <c r="K5289" s="304" t="s">
        <v>39338</v>
      </c>
      <c r="L5289" s="181">
        <v>8</v>
      </c>
      <c r="M5289" s="179" t="s">
        <v>151</v>
      </c>
    </row>
    <row r="5290" spans="1:13" ht="25.5">
      <c r="A5290" s="313" t="str">
        <f t="shared" si="82"/>
        <v>OperationalReadinessCode_capableOfEmergencyLaunch</v>
      </c>
      <c r="B5290" s="332" t="str">
        <f>HYPERLINK("[#]Datatypes!A1003:L1003","OperationalReadinessCode")</f>
        <v>OperationalReadinessCode</v>
      </c>
      <c r="C5290" s="333" t="s">
        <v>12597</v>
      </c>
      <c r="D5290" s="202" t="s">
        <v>28007</v>
      </c>
      <c r="E5290" s="203" t="s">
        <v>28008</v>
      </c>
      <c r="F5290" s="205"/>
      <c r="G5290" s="205"/>
      <c r="H5290" s="218"/>
      <c r="J5290" s="304" t="str">
        <f>CONCATENATE([2]Cover!$D$6,"fdd/view?i=",I5290)</f>
        <v>https://www.dgiwg.org/FAD/fdd/view?i=</v>
      </c>
      <c r="K5290" s="304" t="s">
        <v>39339</v>
      </c>
      <c r="L5290" s="202">
        <v>3</v>
      </c>
      <c r="M5290" s="179" t="s">
        <v>1295</v>
      </c>
    </row>
    <row r="5291" spans="1:13" ht="25.5">
      <c r="A5291" s="313" t="str">
        <f t="shared" si="82"/>
        <v>OperationalReadinessCode_fullyReady</v>
      </c>
      <c r="B5291" s="330"/>
      <c r="C5291" s="334"/>
      <c r="D5291" s="188" t="s">
        <v>28020</v>
      </c>
      <c r="E5291" s="189" t="s">
        <v>28021</v>
      </c>
      <c r="F5291" s="162" t="s">
        <v>28022</v>
      </c>
      <c r="G5291" s="190"/>
      <c r="H5291" s="219"/>
      <c r="J5291" s="304" t="str">
        <f>CONCATENATE([2]Cover!$D$6,"fdd/view?i=",I5291)</f>
        <v>https://www.dgiwg.org/FAD/fdd/view?i=</v>
      </c>
      <c r="K5291" s="304" t="s">
        <v>39340</v>
      </c>
      <c r="L5291" s="188">
        <v>9</v>
      </c>
      <c r="M5291" s="179" t="s">
        <v>1295</v>
      </c>
    </row>
    <row r="5292" spans="1:13" ht="25.5">
      <c r="A5292" s="313" t="str">
        <f t="shared" si="82"/>
        <v>OperationalReadinessCode_inconclusiveAnalysis</v>
      </c>
      <c r="B5292" s="330"/>
      <c r="C5292" s="334"/>
      <c r="D5292" s="188" t="s">
        <v>28050</v>
      </c>
      <c r="E5292" s="189" t="s">
        <v>28051</v>
      </c>
      <c r="F5292" s="190"/>
      <c r="G5292" s="190"/>
      <c r="H5292" s="219"/>
      <c r="J5292" s="304" t="str">
        <f>CONCATENATE([2]Cover!$D$6,"fdd/view?i=",I5292)</f>
        <v>https://www.dgiwg.org/FAD/fdd/view?i=</v>
      </c>
      <c r="K5292" s="304" t="s">
        <v>39341</v>
      </c>
      <c r="L5292" s="188">
        <v>20</v>
      </c>
      <c r="M5292" s="179" t="s">
        <v>1295</v>
      </c>
    </row>
    <row r="5293" spans="1:13" ht="25.5">
      <c r="A5293" s="313" t="str">
        <f t="shared" si="82"/>
        <v>OperationalReadinessCode_limitedOperations</v>
      </c>
      <c r="B5293" s="330"/>
      <c r="C5293" s="334"/>
      <c r="D5293" s="188" t="s">
        <v>28009</v>
      </c>
      <c r="E5293" s="189" t="s">
        <v>28010</v>
      </c>
      <c r="F5293" s="190"/>
      <c r="G5293" s="190"/>
      <c r="H5293" s="219"/>
      <c r="J5293" s="304" t="str">
        <f>CONCATENATE([2]Cover!$D$6,"fdd/view?i=",I5293)</f>
        <v>https://www.dgiwg.org/FAD/fdd/view?i=</v>
      </c>
      <c r="K5293" s="304" t="s">
        <v>39342</v>
      </c>
      <c r="L5293" s="188">
        <v>4</v>
      </c>
      <c r="M5293" s="179" t="s">
        <v>1295</v>
      </c>
    </row>
    <row r="5294" spans="1:13" ht="38.25">
      <c r="A5294" s="313" t="str">
        <f t="shared" si="82"/>
        <v>OperationalReadinessCode_marginallyReady</v>
      </c>
      <c r="B5294" s="330"/>
      <c r="C5294" s="334"/>
      <c r="D5294" s="188" t="s">
        <v>28026</v>
      </c>
      <c r="E5294" s="189" t="s">
        <v>28027</v>
      </c>
      <c r="F5294" s="162" t="s">
        <v>28028</v>
      </c>
      <c r="G5294" s="190"/>
      <c r="H5294" s="219"/>
      <c r="J5294" s="304" t="str">
        <f>CONCATENATE([2]Cover!$D$6,"fdd/view?i=",I5294)</f>
        <v>https://www.dgiwg.org/FAD/fdd/view?i=</v>
      </c>
      <c r="K5294" s="304" t="s">
        <v>39343</v>
      </c>
      <c r="L5294" s="188">
        <v>11</v>
      </c>
      <c r="M5294" s="179" t="s">
        <v>1295</v>
      </c>
    </row>
    <row r="5295" spans="1:13" ht="25.5">
      <c r="A5295" s="313" t="str">
        <f t="shared" si="82"/>
        <v>OperationalReadinessCode_nfiReady</v>
      </c>
      <c r="B5295" s="330"/>
      <c r="C5295" s="334"/>
      <c r="D5295" s="188" t="s">
        <v>28017</v>
      </c>
      <c r="E5295" s="189" t="s">
        <v>28018</v>
      </c>
      <c r="F5295" s="162" t="s">
        <v>28019</v>
      </c>
      <c r="G5295" s="190"/>
      <c r="H5295" s="219"/>
      <c r="J5295" s="304" t="str">
        <f>CONCATENATE([2]Cover!$D$6,"fdd/view?i=",I5295)</f>
        <v>https://www.dgiwg.org/FAD/fdd/view?i=</v>
      </c>
      <c r="K5295" s="304" t="s">
        <v>39344</v>
      </c>
      <c r="L5295" s="188">
        <v>8</v>
      </c>
      <c r="M5295" s="179" t="s">
        <v>1295</v>
      </c>
    </row>
    <row r="5296" spans="1:13" ht="25.5">
      <c r="A5296" s="313" t="str">
        <f t="shared" si="82"/>
        <v>OperationalReadinessCode_nonOperational</v>
      </c>
      <c r="B5296" s="330"/>
      <c r="C5296" s="334"/>
      <c r="D5296" s="188" t="s">
        <v>21069</v>
      </c>
      <c r="E5296" s="189" t="s">
        <v>28011</v>
      </c>
      <c r="F5296" s="190"/>
      <c r="G5296" s="190"/>
      <c r="H5296" s="219"/>
      <c r="J5296" s="304" t="str">
        <f>CONCATENATE([2]Cover!$D$6,"fdd/view?i=",I5296)</f>
        <v>https://www.dgiwg.org/FAD/fdd/view?i=</v>
      </c>
      <c r="K5296" s="304" t="s">
        <v>39345</v>
      </c>
      <c r="L5296" s="188">
        <v>1</v>
      </c>
      <c r="M5296" s="179" t="s">
        <v>1295</v>
      </c>
    </row>
    <row r="5297" spans="1:13" ht="25.5">
      <c r="A5297" s="313" t="str">
        <f t="shared" si="82"/>
        <v>OperationalReadinessCode_notImmediatelyReady</v>
      </c>
      <c r="B5297" s="330"/>
      <c r="C5297" s="334"/>
      <c r="D5297" s="188" t="s">
        <v>28032</v>
      </c>
      <c r="E5297" s="189" t="s">
        <v>28033</v>
      </c>
      <c r="F5297" s="162" t="s">
        <v>28034</v>
      </c>
      <c r="G5297" s="190"/>
      <c r="H5297" s="219"/>
      <c r="J5297" s="304" t="str">
        <f>CONCATENATE([2]Cover!$D$6,"fdd/view?i=",I5297)</f>
        <v>https://www.dgiwg.org/FAD/fdd/view?i=</v>
      </c>
      <c r="K5297" s="304" t="s">
        <v>39346</v>
      </c>
      <c r="L5297" s="188">
        <v>13</v>
      </c>
      <c r="M5297" s="179" t="s">
        <v>1295</v>
      </c>
    </row>
    <row r="5298" spans="1:13" ht="38.25">
      <c r="A5298" s="313" t="str">
        <f t="shared" si="82"/>
        <v>OperationalReadinessCode_notReady</v>
      </c>
      <c r="B5298" s="330"/>
      <c r="C5298" s="334"/>
      <c r="D5298" s="188" t="s">
        <v>28029</v>
      </c>
      <c r="E5298" s="189" t="s">
        <v>28030</v>
      </c>
      <c r="F5298" s="162" t="s">
        <v>28031</v>
      </c>
      <c r="G5298" s="190"/>
      <c r="H5298" s="219"/>
      <c r="J5298" s="304" t="str">
        <f>CONCATENATE([2]Cover!$D$6,"fdd/view?i=",I5298)</f>
        <v>https://www.dgiwg.org/FAD/fdd/view?i=</v>
      </c>
      <c r="K5298" s="304" t="s">
        <v>39347</v>
      </c>
      <c r="L5298" s="188">
        <v>12</v>
      </c>
      <c r="M5298" s="179" t="s">
        <v>1295</v>
      </c>
    </row>
    <row r="5299" spans="1:13" ht="25.5">
      <c r="A5299" s="313" t="str">
        <f t="shared" si="82"/>
        <v>OperationalReadinessCode_oneWorkShift</v>
      </c>
      <c r="B5299" s="330"/>
      <c r="C5299" s="334"/>
      <c r="D5299" s="188" t="s">
        <v>28038</v>
      </c>
      <c r="E5299" s="189" t="s">
        <v>28039</v>
      </c>
      <c r="F5299" s="190"/>
      <c r="G5299" s="190"/>
      <c r="H5299" s="219"/>
      <c r="J5299" s="304" t="str">
        <f>CONCATENATE([2]Cover!$D$6,"fdd/view?i=",I5299)</f>
        <v>https://www.dgiwg.org/FAD/fdd/view?i=</v>
      </c>
      <c r="K5299" s="304" t="s">
        <v>39348</v>
      </c>
      <c r="L5299" s="188">
        <v>16</v>
      </c>
      <c r="M5299" s="179" t="s">
        <v>1295</v>
      </c>
    </row>
    <row r="5300" spans="1:13" ht="25.5">
      <c r="A5300" s="313" t="str">
        <f t="shared" si="82"/>
        <v>OperationalReadinessCode_operational</v>
      </c>
      <c r="B5300" s="330"/>
      <c r="C5300" s="334"/>
      <c r="D5300" s="188" t="s">
        <v>8967</v>
      </c>
      <c r="E5300" s="189" t="s">
        <v>28012</v>
      </c>
      <c r="F5300" s="190"/>
      <c r="G5300" s="190"/>
      <c r="H5300" s="219"/>
      <c r="J5300" s="304" t="str">
        <f>CONCATENATE([2]Cover!$D$6,"fdd/view?i=",I5300)</f>
        <v>https://www.dgiwg.org/FAD/fdd/view?i=</v>
      </c>
      <c r="K5300" s="304" t="s">
        <v>39349</v>
      </c>
      <c r="L5300" s="188">
        <v>2</v>
      </c>
      <c r="M5300" s="179" t="s">
        <v>1295</v>
      </c>
    </row>
    <row r="5301" spans="1:13" ht="25.5">
      <c r="A5301" s="313" t="str">
        <f t="shared" si="82"/>
        <v>OperationalReadinessCode_peacetimeOperations</v>
      </c>
      <c r="B5301" s="330"/>
      <c r="C5301" s="334"/>
      <c r="D5301" s="188" t="s">
        <v>28013</v>
      </c>
      <c r="E5301" s="189" t="s">
        <v>28014</v>
      </c>
      <c r="F5301" s="190"/>
      <c r="G5301" s="190"/>
      <c r="H5301" s="219"/>
      <c r="J5301" s="304" t="str">
        <f>CONCATENATE([2]Cover!$D$6,"fdd/view?i=",I5301)</f>
        <v>https://www.dgiwg.org/FAD/fdd/view?i=</v>
      </c>
      <c r="K5301" s="304" t="s">
        <v>39350</v>
      </c>
      <c r="L5301" s="188">
        <v>5</v>
      </c>
      <c r="M5301" s="179" t="s">
        <v>1295</v>
      </c>
    </row>
    <row r="5302" spans="1:13" ht="25.5">
      <c r="A5302" s="313" t="str">
        <f t="shared" si="82"/>
        <v>OperationalReadinessCode_peacetimeWartimeOps</v>
      </c>
      <c r="B5302" s="330"/>
      <c r="C5302" s="334"/>
      <c r="D5302" s="188" t="s">
        <v>28015</v>
      </c>
      <c r="E5302" s="189" t="s">
        <v>28016</v>
      </c>
      <c r="F5302" s="190"/>
      <c r="G5302" s="190"/>
      <c r="H5302" s="219"/>
      <c r="J5302" s="304" t="str">
        <f>CONCATENATE([2]Cover!$D$6,"fdd/view?i=",I5302)</f>
        <v>https://www.dgiwg.org/FAD/fdd/view?i=</v>
      </c>
      <c r="K5302" s="304" t="s">
        <v>39351</v>
      </c>
      <c r="L5302" s="188">
        <v>6</v>
      </c>
      <c r="M5302" s="179" t="s">
        <v>1295</v>
      </c>
    </row>
    <row r="5303" spans="1:13">
      <c r="A5303" s="313" t="str">
        <f t="shared" si="82"/>
        <v>OperationalReadinessCode_reserve</v>
      </c>
      <c r="B5303" s="330"/>
      <c r="C5303" s="334"/>
      <c r="D5303" s="188" t="s">
        <v>28035</v>
      </c>
      <c r="E5303" s="189" t="s">
        <v>28036</v>
      </c>
      <c r="F5303" s="162" t="s">
        <v>28037</v>
      </c>
      <c r="G5303" s="190"/>
      <c r="H5303" s="219"/>
      <c r="J5303" s="304" t="str">
        <f>CONCATENATE([2]Cover!$D$6,"fdd/view?i=",I5303)</f>
        <v>https://www.dgiwg.org/FAD/fdd/view?i=</v>
      </c>
      <c r="K5303" s="304" t="s">
        <v>39352</v>
      </c>
      <c r="L5303" s="188">
        <v>14</v>
      </c>
      <c r="M5303" s="179" t="s">
        <v>1295</v>
      </c>
    </row>
    <row r="5304" spans="1:13" ht="25.5">
      <c r="A5304" s="313" t="str">
        <f t="shared" si="82"/>
        <v>OperationalReadinessCode_serviceable</v>
      </c>
      <c r="B5304" s="330"/>
      <c r="C5304" s="334"/>
      <c r="D5304" s="188" t="s">
        <v>28044</v>
      </c>
      <c r="E5304" s="189" t="s">
        <v>28045</v>
      </c>
      <c r="F5304" s="190"/>
      <c r="G5304" s="190"/>
      <c r="H5304" s="219"/>
      <c r="J5304" s="304" t="str">
        <f>CONCATENATE([2]Cover!$D$6,"fdd/view?i=",I5304)</f>
        <v>https://www.dgiwg.org/FAD/fdd/view?i=</v>
      </c>
      <c r="K5304" s="304" t="s">
        <v>39353</v>
      </c>
      <c r="L5304" s="188">
        <v>15</v>
      </c>
      <c r="M5304" s="179" t="s">
        <v>1295</v>
      </c>
    </row>
    <row r="5305" spans="1:13" ht="25.5">
      <c r="A5305" s="313" t="str">
        <f t="shared" si="82"/>
        <v>OperationalReadinessCode_storage</v>
      </c>
      <c r="B5305" s="330"/>
      <c r="C5305" s="334"/>
      <c r="D5305" s="188" t="s">
        <v>23550</v>
      </c>
      <c r="E5305" s="189" t="s">
        <v>28046</v>
      </c>
      <c r="F5305" s="162" t="s">
        <v>28047</v>
      </c>
      <c r="G5305" s="190"/>
      <c r="H5305" s="219"/>
      <c r="J5305" s="304" t="str">
        <f>CONCATENATE([2]Cover!$D$6,"fdd/view?i=",I5305)</f>
        <v>https://www.dgiwg.org/FAD/fdd/view?i=</v>
      </c>
      <c r="K5305" s="304" t="s">
        <v>39354</v>
      </c>
      <c r="L5305" s="188">
        <v>19</v>
      </c>
      <c r="M5305" s="179" t="s">
        <v>1295</v>
      </c>
    </row>
    <row r="5306" spans="1:13" ht="38.25">
      <c r="A5306" s="313" t="str">
        <f t="shared" si="82"/>
        <v>OperationalReadinessCode_substantiallyReady</v>
      </c>
      <c r="B5306" s="330"/>
      <c r="C5306" s="334"/>
      <c r="D5306" s="188" t="s">
        <v>28023</v>
      </c>
      <c r="E5306" s="189" t="s">
        <v>28024</v>
      </c>
      <c r="F5306" s="162" t="s">
        <v>28025</v>
      </c>
      <c r="G5306" s="190"/>
      <c r="H5306" s="219"/>
      <c r="J5306" s="304" t="str">
        <f>CONCATENATE([2]Cover!$D$6,"fdd/view?i=",I5306)</f>
        <v>https://www.dgiwg.org/FAD/fdd/view?i=</v>
      </c>
      <c r="K5306" s="304" t="s">
        <v>39355</v>
      </c>
      <c r="L5306" s="188">
        <v>10</v>
      </c>
      <c r="M5306" s="179" t="s">
        <v>1295</v>
      </c>
    </row>
    <row r="5307" spans="1:13" ht="25.5">
      <c r="A5307" s="313" t="str">
        <f t="shared" si="82"/>
        <v>OperationalReadinessCode_threeWorkShifts</v>
      </c>
      <c r="B5307" s="330"/>
      <c r="C5307" s="334"/>
      <c r="D5307" s="188" t="s">
        <v>28042</v>
      </c>
      <c r="E5307" s="189" t="s">
        <v>28043</v>
      </c>
      <c r="F5307" s="190"/>
      <c r="G5307" s="190"/>
      <c r="H5307" s="219"/>
      <c r="J5307" s="304" t="str">
        <f>CONCATENATE([2]Cover!$D$6,"fdd/view?i=",I5307)</f>
        <v>https://www.dgiwg.org/FAD/fdd/view?i=</v>
      </c>
      <c r="K5307" s="304" t="s">
        <v>39356</v>
      </c>
      <c r="L5307" s="188">
        <v>18</v>
      </c>
      <c r="M5307" s="179" t="s">
        <v>1295</v>
      </c>
    </row>
    <row r="5308" spans="1:13" ht="25.5">
      <c r="A5308" s="313" t="str">
        <f t="shared" si="82"/>
        <v>OperationalReadinessCode_twoWorkShifts</v>
      </c>
      <c r="B5308" s="330"/>
      <c r="C5308" s="334"/>
      <c r="D5308" s="188" t="s">
        <v>28040</v>
      </c>
      <c r="E5308" s="189" t="s">
        <v>28041</v>
      </c>
      <c r="F5308" s="190"/>
      <c r="G5308" s="190"/>
      <c r="H5308" s="219"/>
      <c r="J5308" s="304" t="str">
        <f>CONCATENATE([2]Cover!$D$6,"fdd/view?i=",I5308)</f>
        <v>https://www.dgiwg.org/FAD/fdd/view?i=</v>
      </c>
      <c r="K5308" s="304" t="s">
        <v>39357</v>
      </c>
      <c r="L5308" s="188">
        <v>17</v>
      </c>
      <c r="M5308" s="179" t="s">
        <v>1295</v>
      </c>
    </row>
    <row r="5309" spans="1:13" ht="25.5">
      <c r="A5309" s="313" t="str">
        <f t="shared" si="82"/>
        <v>OperationalReadinessCode_wartimeOperations</v>
      </c>
      <c r="B5309" s="331"/>
      <c r="C5309" s="335"/>
      <c r="D5309" s="181" t="s">
        <v>28048</v>
      </c>
      <c r="E5309" s="192" t="s">
        <v>28049</v>
      </c>
      <c r="F5309" s="194"/>
      <c r="G5309" s="194"/>
      <c r="H5309" s="220"/>
      <c r="J5309" s="304" t="str">
        <f>CONCATENATE([2]Cover!$D$6,"fdd/view?i=",I5309)</f>
        <v>https://www.dgiwg.org/FAD/fdd/view?i=</v>
      </c>
      <c r="K5309" s="304" t="s">
        <v>39358</v>
      </c>
      <c r="L5309" s="181">
        <v>7</v>
      </c>
      <c r="M5309" s="179" t="s">
        <v>1295</v>
      </c>
    </row>
    <row r="5310" spans="1:13" ht="25.5">
      <c r="A5310" s="313" t="str">
        <f t="shared" si="82"/>
        <v>OverheadObstructionTypeCode_arcade</v>
      </c>
      <c r="B5310" s="332" t="str">
        <f>HYPERLINK("[#]Datatypes!A1009:L1009","OverheadObstructionTypeCode")</f>
        <v>OverheadObstructionTypeCode</v>
      </c>
      <c r="C5310" s="333" t="s">
        <v>12603</v>
      </c>
      <c r="D5310" s="202" t="s">
        <v>27770</v>
      </c>
      <c r="E5310" s="203" t="s">
        <v>1571</v>
      </c>
      <c r="F5310" s="204" t="s">
        <v>1572</v>
      </c>
      <c r="G5310" s="205"/>
      <c r="H5310" s="218"/>
      <c r="I5310" s="169">
        <v>117937</v>
      </c>
      <c r="J5310" s="304" t="str">
        <f>CONCATENATE([2]Cover!$D$6,"fdd/view?i=",I5310)</f>
        <v>https://www.dgiwg.org/FAD/fdd/view?i=117937</v>
      </c>
      <c r="K5310" s="304" t="s">
        <v>39359</v>
      </c>
      <c r="L5310" s="202">
        <v>11</v>
      </c>
      <c r="M5310" s="179" t="s">
        <v>151</v>
      </c>
    </row>
    <row r="5311" spans="1:13" ht="63.75">
      <c r="A5311" s="313" t="str">
        <f t="shared" si="82"/>
        <v>OverheadObstructionTypeCode_archBridgeSpan</v>
      </c>
      <c r="B5311" s="330"/>
      <c r="C5311" s="334"/>
      <c r="D5311" s="188" t="s">
        <v>28052</v>
      </c>
      <c r="E5311" s="189" t="s">
        <v>28053</v>
      </c>
      <c r="F5311" s="162" t="s">
        <v>28054</v>
      </c>
      <c r="G5311" s="162" t="s">
        <v>28055</v>
      </c>
      <c r="H5311" s="219"/>
      <c r="I5311" s="169">
        <v>106231</v>
      </c>
      <c r="J5311" s="304" t="str">
        <f>CONCATENATE([2]Cover!$D$6,"fdd/view?i=",I5311)</f>
        <v>https://www.dgiwg.org/FAD/fdd/view?i=106231</v>
      </c>
      <c r="K5311" s="304" t="s">
        <v>39360</v>
      </c>
      <c r="L5311" s="188">
        <v>2</v>
      </c>
      <c r="M5311" s="179" t="s">
        <v>151</v>
      </c>
    </row>
    <row r="5312" spans="1:13" ht="51">
      <c r="A5312" s="313" t="str">
        <f t="shared" si="82"/>
        <v>OverheadObstructionTypeCode_bridgeSpan</v>
      </c>
      <c r="B5312" s="330"/>
      <c r="C5312" s="334"/>
      <c r="D5312" s="188" t="s">
        <v>28056</v>
      </c>
      <c r="E5312" s="189" t="s">
        <v>1731</v>
      </c>
      <c r="F5312" s="162" t="s">
        <v>1732</v>
      </c>
      <c r="G5312" s="162" t="s">
        <v>28057</v>
      </c>
      <c r="H5312" s="219"/>
      <c r="I5312" s="169">
        <v>110284</v>
      </c>
      <c r="J5312" s="304" t="str">
        <f>CONCATENATE([2]Cover!$D$6,"fdd/view?i=",I5312)</f>
        <v>https://www.dgiwg.org/FAD/fdd/view?i=110284</v>
      </c>
      <c r="K5312" s="304" t="s">
        <v>39361</v>
      </c>
      <c r="L5312" s="188">
        <v>8</v>
      </c>
      <c r="M5312" s="179" t="s">
        <v>151</v>
      </c>
    </row>
    <row r="5313" spans="1:13" ht="25.5">
      <c r="A5313" s="313" t="str">
        <f t="shared" si="82"/>
        <v>OverheadObstructionTypeCode_bridgeSuperstructure</v>
      </c>
      <c r="B5313" s="330"/>
      <c r="C5313" s="334"/>
      <c r="D5313" s="188" t="s">
        <v>28058</v>
      </c>
      <c r="E5313" s="189" t="s">
        <v>1735</v>
      </c>
      <c r="F5313" s="162" t="s">
        <v>28059</v>
      </c>
      <c r="G5313" s="190"/>
      <c r="H5313" s="219"/>
      <c r="I5313" s="169">
        <v>106235</v>
      </c>
      <c r="J5313" s="304" t="str">
        <f>CONCATENATE([2]Cover!$D$6,"fdd/view?i=",I5313)</f>
        <v>https://www.dgiwg.org/FAD/fdd/view?i=106235</v>
      </c>
      <c r="K5313" s="304" t="s">
        <v>39362</v>
      </c>
      <c r="L5313" s="188">
        <v>6</v>
      </c>
      <c r="M5313" s="179" t="s">
        <v>151</v>
      </c>
    </row>
    <row r="5314" spans="1:13" ht="25.5">
      <c r="A5314" s="313" t="str">
        <f t="shared" si="82"/>
        <v>OverheadObstructionTypeCode_building</v>
      </c>
      <c r="B5314" s="330"/>
      <c r="C5314" s="334"/>
      <c r="D5314" s="188" t="s">
        <v>28060</v>
      </c>
      <c r="E5314" s="189" t="s">
        <v>1750</v>
      </c>
      <c r="F5314" s="162" t="s">
        <v>28061</v>
      </c>
      <c r="G5314" s="190"/>
      <c r="H5314" s="219"/>
      <c r="I5314" s="169">
        <v>110283</v>
      </c>
      <c r="J5314" s="304" t="str">
        <f>CONCATENATE([2]Cover!$D$6,"fdd/view?i=",I5314)</f>
        <v>https://www.dgiwg.org/FAD/fdd/view?i=110283</v>
      </c>
      <c r="K5314" s="304" t="s">
        <v>39363</v>
      </c>
      <c r="L5314" s="188">
        <v>7</v>
      </c>
      <c r="M5314" s="179" t="s">
        <v>151</v>
      </c>
    </row>
    <row r="5315" spans="1:13" ht="25.5">
      <c r="A5315" s="313" t="str">
        <f t="shared" ref="A5315:A5378" si="83">HYPERLINK(J5315,K5315)</f>
        <v>OverheadObstructionTypeCode_buildingOverhang</v>
      </c>
      <c r="B5315" s="330"/>
      <c r="C5315" s="334"/>
      <c r="D5315" s="188" t="s">
        <v>28062</v>
      </c>
      <c r="E5315" s="189" t="s">
        <v>1755</v>
      </c>
      <c r="F5315" s="162" t="s">
        <v>1756</v>
      </c>
      <c r="G5315" s="190"/>
      <c r="H5315" s="219"/>
      <c r="I5315" s="169">
        <v>117938</v>
      </c>
      <c r="J5315" s="304" t="str">
        <f>CONCATENATE([2]Cover!$D$6,"fdd/view?i=",I5315)</f>
        <v>https://www.dgiwg.org/FAD/fdd/view?i=117938</v>
      </c>
      <c r="K5315" s="304" t="s">
        <v>39364</v>
      </c>
      <c r="L5315" s="188">
        <v>12</v>
      </c>
      <c r="M5315" s="179" t="s">
        <v>151</v>
      </c>
    </row>
    <row r="5316" spans="1:13" ht="89.25">
      <c r="A5316" s="313" t="str">
        <f t="shared" si="83"/>
        <v>OverheadObstructionTypeCode_cable</v>
      </c>
      <c r="B5316" s="330"/>
      <c r="C5316" s="334"/>
      <c r="D5316" s="188" t="s">
        <v>18136</v>
      </c>
      <c r="E5316" s="189" t="s">
        <v>1774</v>
      </c>
      <c r="F5316" s="162" t="s">
        <v>28063</v>
      </c>
      <c r="G5316" s="162" t="s">
        <v>1776</v>
      </c>
      <c r="H5316" s="219"/>
      <c r="I5316" s="169">
        <v>117939</v>
      </c>
      <c r="J5316" s="304" t="str">
        <f>CONCATENATE([2]Cover!$D$6,"fdd/view?i=",I5316)</f>
        <v>https://www.dgiwg.org/FAD/fdd/view?i=117939</v>
      </c>
      <c r="K5316" s="304" t="s">
        <v>39365</v>
      </c>
      <c r="L5316" s="188">
        <v>13</v>
      </c>
      <c r="M5316" s="179" t="s">
        <v>151</v>
      </c>
    </row>
    <row r="5317" spans="1:13" ht="38.25">
      <c r="A5317" s="313" t="str">
        <f t="shared" si="83"/>
        <v>OverheadObstructionTypeCode_cableway</v>
      </c>
      <c r="B5317" s="330"/>
      <c r="C5317" s="334"/>
      <c r="D5317" s="188" t="s">
        <v>18867</v>
      </c>
      <c r="E5317" s="189" t="s">
        <v>1778</v>
      </c>
      <c r="F5317" s="162" t="s">
        <v>28064</v>
      </c>
      <c r="G5317" s="162" t="s">
        <v>28065</v>
      </c>
      <c r="H5317" s="219"/>
      <c r="I5317" s="169">
        <v>117940</v>
      </c>
      <c r="J5317" s="304" t="str">
        <f>CONCATENATE([2]Cover!$D$6,"fdd/view?i=",I5317)</f>
        <v>https://www.dgiwg.org/FAD/fdd/view?i=117940</v>
      </c>
      <c r="K5317" s="304" t="s">
        <v>39366</v>
      </c>
      <c r="L5317" s="188">
        <v>14</v>
      </c>
      <c r="M5317" s="179" t="s">
        <v>151</v>
      </c>
    </row>
    <row r="5318" spans="1:13" ht="38.25">
      <c r="A5318" s="313" t="str">
        <f t="shared" si="83"/>
        <v>OverheadObstructionTypeCode_conveyor</v>
      </c>
      <c r="B5318" s="330"/>
      <c r="C5318" s="334"/>
      <c r="D5318" s="188" t="s">
        <v>27777</v>
      </c>
      <c r="E5318" s="189" t="s">
        <v>1916</v>
      </c>
      <c r="F5318" s="162" t="s">
        <v>1917</v>
      </c>
      <c r="G5318" s="190"/>
      <c r="H5318" s="219"/>
      <c r="I5318" s="169">
        <v>117941</v>
      </c>
      <c r="J5318" s="304" t="str">
        <f>CONCATENATE([2]Cover!$D$6,"fdd/view?i=",I5318)</f>
        <v>https://www.dgiwg.org/FAD/fdd/view?i=117941</v>
      </c>
      <c r="K5318" s="304" t="s">
        <v>39367</v>
      </c>
      <c r="L5318" s="188">
        <v>15</v>
      </c>
      <c r="M5318" s="179" t="s">
        <v>151</v>
      </c>
    </row>
    <row r="5319" spans="1:13" ht="25.5">
      <c r="A5319" s="313" t="str">
        <f t="shared" si="83"/>
        <v>OverheadObstructionTypeCode_entranceExit</v>
      </c>
      <c r="B5319" s="330"/>
      <c r="C5319" s="334"/>
      <c r="D5319" s="188" t="s">
        <v>28066</v>
      </c>
      <c r="E5319" s="189" t="s">
        <v>2250</v>
      </c>
      <c r="F5319" s="162" t="s">
        <v>2251</v>
      </c>
      <c r="G5319" s="162" t="s">
        <v>2252</v>
      </c>
      <c r="H5319" s="219"/>
      <c r="I5319" s="169">
        <v>117942</v>
      </c>
      <c r="J5319" s="304" t="str">
        <f>CONCATENATE([2]Cover!$D$6,"fdd/view?i=",I5319)</f>
        <v>https://www.dgiwg.org/FAD/fdd/view?i=117942</v>
      </c>
      <c r="K5319" s="304" t="s">
        <v>39368</v>
      </c>
      <c r="L5319" s="188">
        <v>16</v>
      </c>
      <c r="M5319" s="179" t="s">
        <v>151</v>
      </c>
    </row>
    <row r="5320" spans="1:13" ht="25.5">
      <c r="A5320" s="313" t="str">
        <f t="shared" si="83"/>
        <v>OverheadObstructionTypeCode_frameBridgeSpan</v>
      </c>
      <c r="B5320" s="330"/>
      <c r="C5320" s="334"/>
      <c r="D5320" s="188" t="s">
        <v>28067</v>
      </c>
      <c r="E5320" s="189" t="s">
        <v>28068</v>
      </c>
      <c r="F5320" s="162" t="s">
        <v>28069</v>
      </c>
      <c r="G5320" s="190"/>
      <c r="H5320" s="219"/>
      <c r="I5320" s="169">
        <v>106230</v>
      </c>
      <c r="J5320" s="304" t="str">
        <f>CONCATENATE([2]Cover!$D$6,"fdd/view?i=",I5320)</f>
        <v>https://www.dgiwg.org/FAD/fdd/view?i=106230</v>
      </c>
      <c r="K5320" s="304" t="s">
        <v>39369</v>
      </c>
      <c r="L5320" s="188">
        <v>1</v>
      </c>
      <c r="M5320" s="179" t="s">
        <v>151</v>
      </c>
    </row>
    <row r="5321" spans="1:13" ht="89.25">
      <c r="A5321" s="313" t="str">
        <f t="shared" si="83"/>
        <v>OverheadObstructionTypeCode_gantry</v>
      </c>
      <c r="B5321" s="330"/>
      <c r="C5321" s="334"/>
      <c r="D5321" s="188" t="s">
        <v>27783</v>
      </c>
      <c r="E5321" s="189" t="s">
        <v>2476</v>
      </c>
      <c r="F5321" s="162" t="s">
        <v>2477</v>
      </c>
      <c r="G5321" s="162" t="s">
        <v>2478</v>
      </c>
      <c r="H5321" s="219"/>
      <c r="I5321" s="169">
        <v>112771</v>
      </c>
      <c r="J5321" s="304" t="str">
        <f>CONCATENATE([2]Cover!$D$6,"fdd/view?i=",I5321)</f>
        <v>https://www.dgiwg.org/FAD/fdd/view?i=112771</v>
      </c>
      <c r="K5321" s="304" t="s">
        <v>39370</v>
      </c>
      <c r="L5321" s="188">
        <v>9</v>
      </c>
      <c r="M5321" s="179" t="s">
        <v>151</v>
      </c>
    </row>
    <row r="5322" spans="1:13" ht="25.5">
      <c r="A5322" s="313" t="str">
        <f t="shared" si="83"/>
        <v>OverheadObstructionTypeCode_memorialMonument</v>
      </c>
      <c r="B5322" s="330"/>
      <c r="C5322" s="334"/>
      <c r="D5322" s="188" t="s">
        <v>27790</v>
      </c>
      <c r="E5322" s="189" t="s">
        <v>3165</v>
      </c>
      <c r="F5322" s="162" t="s">
        <v>3166</v>
      </c>
      <c r="G5322" s="190"/>
      <c r="H5322" s="219"/>
      <c r="I5322" s="169">
        <v>117943</v>
      </c>
      <c r="J5322" s="304" t="str">
        <f>CONCATENATE([2]Cover!$D$6,"fdd/view?i=",I5322)</f>
        <v>https://www.dgiwg.org/FAD/fdd/view?i=117943</v>
      </c>
      <c r="K5322" s="304" t="s">
        <v>39371</v>
      </c>
      <c r="L5322" s="188">
        <v>17</v>
      </c>
      <c r="M5322" s="179" t="s">
        <v>151</v>
      </c>
    </row>
    <row r="5323" spans="1:13" ht="25.5">
      <c r="A5323" s="313" t="str">
        <f t="shared" si="83"/>
        <v>OverheadObstructionTypeCode_nonBuildingStructure</v>
      </c>
      <c r="B5323" s="330"/>
      <c r="C5323" s="334"/>
      <c r="D5323" s="188" t="s">
        <v>28070</v>
      </c>
      <c r="E5323" s="189" t="s">
        <v>3284</v>
      </c>
      <c r="F5323" s="162" t="s">
        <v>28071</v>
      </c>
      <c r="G5323" s="190"/>
      <c r="H5323" s="219"/>
      <c r="I5323" s="169">
        <v>117944</v>
      </c>
      <c r="J5323" s="304" t="str">
        <f>CONCATENATE([2]Cover!$D$6,"fdd/view?i=",I5323)</f>
        <v>https://www.dgiwg.org/FAD/fdd/view?i=117944</v>
      </c>
      <c r="K5323" s="304" t="s">
        <v>39372</v>
      </c>
      <c r="L5323" s="188">
        <v>18</v>
      </c>
      <c r="M5323" s="179" t="s">
        <v>151</v>
      </c>
    </row>
    <row r="5324" spans="1:13" ht="25.5">
      <c r="A5324" s="313" t="str">
        <f t="shared" si="83"/>
        <v>OverheadObstructionTypeCode_overheadWalkway</v>
      </c>
      <c r="B5324" s="330"/>
      <c r="C5324" s="334"/>
      <c r="D5324" s="188" t="s">
        <v>28072</v>
      </c>
      <c r="E5324" s="189" t="s">
        <v>28073</v>
      </c>
      <c r="F5324" s="162" t="s">
        <v>28074</v>
      </c>
      <c r="G5324" s="162" t="s">
        <v>28075</v>
      </c>
      <c r="H5324" s="219"/>
      <c r="I5324" s="169">
        <v>117945</v>
      </c>
      <c r="J5324" s="304" t="str">
        <f>CONCATENATE([2]Cover!$D$6,"fdd/view?i=",I5324)</f>
        <v>https://www.dgiwg.org/FAD/fdd/view?i=117945</v>
      </c>
      <c r="K5324" s="304" t="s">
        <v>39373</v>
      </c>
      <c r="L5324" s="188">
        <v>19</v>
      </c>
      <c r="M5324" s="179" t="s">
        <v>151</v>
      </c>
    </row>
    <row r="5325" spans="1:13" ht="25.5">
      <c r="A5325" s="313" t="str">
        <f t="shared" si="83"/>
        <v>OverheadObstructionTypeCode_parkingGarage</v>
      </c>
      <c r="B5325" s="330"/>
      <c r="C5325" s="334"/>
      <c r="D5325" s="188" t="s">
        <v>18481</v>
      </c>
      <c r="E5325" s="189" t="s">
        <v>3379</v>
      </c>
      <c r="F5325" s="162" t="s">
        <v>3380</v>
      </c>
      <c r="G5325" s="162" t="s">
        <v>3381</v>
      </c>
      <c r="H5325" s="219"/>
      <c r="I5325" s="169">
        <v>117946</v>
      </c>
      <c r="J5325" s="304" t="str">
        <f>CONCATENATE([2]Cover!$D$6,"fdd/view?i=",I5325)</f>
        <v>https://www.dgiwg.org/FAD/fdd/view?i=117946</v>
      </c>
      <c r="K5325" s="304" t="s">
        <v>39374</v>
      </c>
      <c r="L5325" s="188">
        <v>20</v>
      </c>
      <c r="M5325" s="179" t="s">
        <v>151</v>
      </c>
    </row>
    <row r="5326" spans="1:13" ht="25.5">
      <c r="A5326" s="313" t="str">
        <f t="shared" si="83"/>
        <v>OverheadObstructionTypeCode_pipeline</v>
      </c>
      <c r="B5326" s="330"/>
      <c r="C5326" s="334"/>
      <c r="D5326" s="188" t="s">
        <v>18693</v>
      </c>
      <c r="E5326" s="189" t="s">
        <v>3413</v>
      </c>
      <c r="F5326" s="162" t="s">
        <v>3414</v>
      </c>
      <c r="G5326" s="162" t="s">
        <v>3415</v>
      </c>
      <c r="H5326" s="219"/>
      <c r="I5326" s="169">
        <v>117947</v>
      </c>
      <c r="J5326" s="304" t="str">
        <f>CONCATENATE([2]Cover!$D$6,"fdd/view?i=",I5326)</f>
        <v>https://www.dgiwg.org/FAD/fdd/view?i=117947</v>
      </c>
      <c r="K5326" s="304" t="s">
        <v>39375</v>
      </c>
      <c r="L5326" s="188">
        <v>21</v>
      </c>
      <c r="M5326" s="179" t="s">
        <v>151</v>
      </c>
    </row>
    <row r="5327" spans="1:13" ht="25.5">
      <c r="A5327" s="313" t="str">
        <f t="shared" si="83"/>
        <v>OverheadObstructionTypeCode_pipelineCrossingPoint</v>
      </c>
      <c r="B5327" s="330"/>
      <c r="C5327" s="334"/>
      <c r="D5327" s="188" t="s">
        <v>28076</v>
      </c>
      <c r="E5327" s="189" t="s">
        <v>3418</v>
      </c>
      <c r="F5327" s="162" t="s">
        <v>3419</v>
      </c>
      <c r="G5327" s="190"/>
      <c r="H5327" s="219"/>
      <c r="I5327" s="169">
        <v>117948</v>
      </c>
      <c r="J5327" s="304" t="str">
        <f>CONCATENATE([2]Cover!$D$6,"fdd/view?i=",I5327)</f>
        <v>https://www.dgiwg.org/FAD/fdd/view?i=117948</v>
      </c>
      <c r="K5327" s="304" t="s">
        <v>39376</v>
      </c>
      <c r="L5327" s="188">
        <v>22</v>
      </c>
      <c r="M5327" s="179" t="s">
        <v>151</v>
      </c>
    </row>
    <row r="5328" spans="1:13" ht="25.5">
      <c r="A5328" s="313" t="str">
        <f t="shared" si="83"/>
        <v>OverheadObstructionTypeCode_railwayPowerLine</v>
      </c>
      <c r="B5328" s="330"/>
      <c r="C5328" s="334"/>
      <c r="D5328" s="188" t="s">
        <v>28077</v>
      </c>
      <c r="E5328" s="189" t="s">
        <v>28078</v>
      </c>
      <c r="F5328" s="162" t="s">
        <v>28079</v>
      </c>
      <c r="G5328" s="190"/>
      <c r="H5328" s="219"/>
      <c r="I5328" s="169">
        <v>106233</v>
      </c>
      <c r="J5328" s="304" t="str">
        <f>CONCATENATE([2]Cover!$D$6,"fdd/view?i=",I5328)</f>
        <v>https://www.dgiwg.org/FAD/fdd/view?i=106233</v>
      </c>
      <c r="K5328" s="304" t="s">
        <v>39377</v>
      </c>
      <c r="L5328" s="188">
        <v>4</v>
      </c>
      <c r="M5328" s="179" t="s">
        <v>151</v>
      </c>
    </row>
    <row r="5329" spans="1:13" ht="38.25">
      <c r="A5329" s="313" t="str">
        <f t="shared" si="83"/>
        <v>OverheadObstructionTypeCode_roof</v>
      </c>
      <c r="B5329" s="330"/>
      <c r="C5329" s="334"/>
      <c r="D5329" s="188" t="s">
        <v>28080</v>
      </c>
      <c r="E5329" s="189" t="s">
        <v>28081</v>
      </c>
      <c r="F5329" s="162" t="s">
        <v>28082</v>
      </c>
      <c r="G5329" s="162" t="s">
        <v>28083</v>
      </c>
      <c r="H5329" s="219"/>
      <c r="I5329" s="169">
        <v>106232</v>
      </c>
      <c r="J5329" s="304" t="str">
        <f>CONCATENATE([2]Cover!$D$6,"fdd/view?i=",I5329)</f>
        <v>https://www.dgiwg.org/FAD/fdd/view?i=106232</v>
      </c>
      <c r="K5329" s="304" t="s">
        <v>39378</v>
      </c>
      <c r="L5329" s="188">
        <v>3</v>
      </c>
      <c r="M5329" s="179" t="s">
        <v>151</v>
      </c>
    </row>
    <row r="5330" spans="1:13" ht="38.25">
      <c r="A5330" s="313" t="str">
        <f t="shared" si="83"/>
        <v>OverheadObstructionTypeCode_routeRelatedStructure</v>
      </c>
      <c r="B5330" s="330"/>
      <c r="C5330" s="334"/>
      <c r="D5330" s="188" t="s">
        <v>28084</v>
      </c>
      <c r="E5330" s="189" t="s">
        <v>28085</v>
      </c>
      <c r="F5330" s="162" t="s">
        <v>28086</v>
      </c>
      <c r="G5330" s="162" t="s">
        <v>28087</v>
      </c>
      <c r="H5330" s="219"/>
      <c r="I5330" s="169">
        <v>117949</v>
      </c>
      <c r="J5330" s="304" t="str">
        <f>CONCATENATE([2]Cover!$D$6,"fdd/view?i=",I5330)</f>
        <v>https://www.dgiwg.org/FAD/fdd/view?i=117949</v>
      </c>
      <c r="K5330" s="304" t="s">
        <v>39379</v>
      </c>
      <c r="L5330" s="188">
        <v>23</v>
      </c>
      <c r="M5330" s="179" t="s">
        <v>151</v>
      </c>
    </row>
    <row r="5331" spans="1:13" ht="38.25">
      <c r="A5331" s="313" t="str">
        <f t="shared" si="83"/>
        <v>OverheadObstructionTypeCode_scaffold</v>
      </c>
      <c r="B5331" s="330"/>
      <c r="C5331" s="334"/>
      <c r="D5331" s="188" t="s">
        <v>28088</v>
      </c>
      <c r="E5331" s="189" t="s">
        <v>28089</v>
      </c>
      <c r="F5331" s="162" t="s">
        <v>28090</v>
      </c>
      <c r="G5331" s="162" t="s">
        <v>28091</v>
      </c>
      <c r="H5331" s="219"/>
      <c r="I5331" s="169">
        <v>112770</v>
      </c>
      <c r="J5331" s="304" t="str">
        <f>CONCATENATE([2]Cover!$D$6,"fdd/view?i=",I5331)</f>
        <v>https://www.dgiwg.org/FAD/fdd/view?i=112770</v>
      </c>
      <c r="K5331" s="304" t="s">
        <v>39380</v>
      </c>
      <c r="L5331" s="188">
        <v>10</v>
      </c>
      <c r="M5331" s="179" t="s">
        <v>151</v>
      </c>
    </row>
    <row r="5332" spans="1:13" ht="51">
      <c r="A5332" s="313" t="str">
        <f t="shared" si="83"/>
        <v>OverheadObstructionTypeCode_trafficSign</v>
      </c>
      <c r="B5332" s="330"/>
      <c r="C5332" s="334"/>
      <c r="D5332" s="188" t="s">
        <v>28092</v>
      </c>
      <c r="E5332" s="189" t="s">
        <v>28093</v>
      </c>
      <c r="F5332" s="162" t="s">
        <v>28094</v>
      </c>
      <c r="G5332" s="162" t="s">
        <v>28095</v>
      </c>
      <c r="H5332" s="219"/>
      <c r="I5332" s="169">
        <v>118521</v>
      </c>
      <c r="J5332" s="304" t="str">
        <f>CONCATENATE([2]Cover!$D$6,"fdd/view?i=",I5332)</f>
        <v>https://www.dgiwg.org/FAD/fdd/view?i=118521</v>
      </c>
      <c r="K5332" s="304" t="s">
        <v>39381</v>
      </c>
      <c r="L5332" s="188">
        <v>27</v>
      </c>
      <c r="M5332" s="179" t="s">
        <v>151</v>
      </c>
    </row>
    <row r="5333" spans="1:13" ht="38.25">
      <c r="A5333" s="313" t="str">
        <f t="shared" si="83"/>
        <v>OverheadObstructionTypeCode_transportationBlock</v>
      </c>
      <c r="B5333" s="330"/>
      <c r="C5333" s="334"/>
      <c r="D5333" s="188" t="s">
        <v>28096</v>
      </c>
      <c r="E5333" s="189" t="s">
        <v>4340</v>
      </c>
      <c r="F5333" s="162" t="s">
        <v>4341</v>
      </c>
      <c r="G5333" s="162" t="s">
        <v>4342</v>
      </c>
      <c r="H5333" s="219"/>
      <c r="I5333" s="169">
        <v>117950</v>
      </c>
      <c r="J5333" s="304" t="str">
        <f>CONCATENATE([2]Cover!$D$6,"fdd/view?i=",I5333)</f>
        <v>https://www.dgiwg.org/FAD/fdd/view?i=117950</v>
      </c>
      <c r="K5333" s="304" t="s">
        <v>39382</v>
      </c>
      <c r="L5333" s="188">
        <v>24</v>
      </c>
      <c r="M5333" s="179" t="s">
        <v>151</v>
      </c>
    </row>
    <row r="5334" spans="1:13" ht="38.25">
      <c r="A5334" s="313" t="str">
        <f t="shared" si="83"/>
        <v>OverheadObstructionTypeCode_transRouteProtectStruct</v>
      </c>
      <c r="B5334" s="330"/>
      <c r="C5334" s="334"/>
      <c r="D5334" s="188" t="s">
        <v>28097</v>
      </c>
      <c r="E5334" s="189" t="s">
        <v>4350</v>
      </c>
      <c r="F5334" s="162" t="s">
        <v>4351</v>
      </c>
      <c r="G5334" s="190"/>
      <c r="H5334" s="219"/>
      <c r="I5334" s="169">
        <v>117951</v>
      </c>
      <c r="J5334" s="304" t="str">
        <f>CONCATENATE([2]Cover!$D$6,"fdd/view?i=",I5334)</f>
        <v>https://www.dgiwg.org/FAD/fdd/view?i=117951</v>
      </c>
      <c r="K5334" s="304" t="s">
        <v>39383</v>
      </c>
      <c r="L5334" s="188">
        <v>25</v>
      </c>
      <c r="M5334" s="179" t="s">
        <v>151</v>
      </c>
    </row>
    <row r="5335" spans="1:13" ht="38.25">
      <c r="A5335" s="313" t="str">
        <f t="shared" si="83"/>
        <v>OverheadObstructionTypeCode_tunnel</v>
      </c>
      <c r="B5335" s="331"/>
      <c r="C5335" s="335"/>
      <c r="D5335" s="181" t="s">
        <v>18028</v>
      </c>
      <c r="E5335" s="192" t="s">
        <v>4381</v>
      </c>
      <c r="F5335" s="193" t="s">
        <v>4382</v>
      </c>
      <c r="G5335" s="193" t="s">
        <v>4383</v>
      </c>
      <c r="H5335" s="220"/>
      <c r="I5335" s="169">
        <v>117952</v>
      </c>
      <c r="J5335" s="304" t="str">
        <f>CONCATENATE([2]Cover!$D$6,"fdd/view?i=",I5335)</f>
        <v>https://www.dgiwg.org/FAD/fdd/view?i=117952</v>
      </c>
      <c r="K5335" s="304" t="s">
        <v>39384</v>
      </c>
      <c r="L5335" s="181">
        <v>26</v>
      </c>
      <c r="M5335" s="179" t="s">
        <v>151</v>
      </c>
    </row>
    <row r="5336" spans="1:13" ht="25.5">
      <c r="A5336" s="313" t="str">
        <f t="shared" si="83"/>
        <v>PassengerServiceTypeCode_banking</v>
      </c>
      <c r="B5336" s="332" t="str">
        <f>HYPERLINK("[#]Datatypes!A1011:L1011","PassengerServiceTypeCode")</f>
        <v>PassengerServiceTypeCode</v>
      </c>
      <c r="C5336" s="333" t="s">
        <v>12605</v>
      </c>
      <c r="D5336" s="202" t="s">
        <v>28098</v>
      </c>
      <c r="E5336" s="203" t="s">
        <v>28099</v>
      </c>
      <c r="F5336" s="204" t="s">
        <v>28100</v>
      </c>
      <c r="G5336" s="204" t="s">
        <v>28101</v>
      </c>
      <c r="H5336" s="218"/>
      <c r="I5336" s="169">
        <v>116157</v>
      </c>
      <c r="J5336" s="304" t="str">
        <f>CONCATENATE([2]Cover!$D$6,"fdd/view?i=",I5336)</f>
        <v>https://www.dgiwg.org/FAD/fdd/view?i=116157</v>
      </c>
      <c r="K5336" s="304" t="s">
        <v>39385</v>
      </c>
      <c r="L5336" s="202">
        <v>1</v>
      </c>
      <c r="M5336" s="179" t="s">
        <v>151</v>
      </c>
    </row>
    <row r="5337" spans="1:13" ht="25.5">
      <c r="A5337" s="313" t="str">
        <f t="shared" si="83"/>
        <v>PassengerServiceTypeCode_customs</v>
      </c>
      <c r="B5337" s="330"/>
      <c r="C5337" s="334"/>
      <c r="D5337" s="188" t="s">
        <v>28102</v>
      </c>
      <c r="E5337" s="189" t="s">
        <v>28103</v>
      </c>
      <c r="F5337" s="162" t="s">
        <v>28104</v>
      </c>
      <c r="G5337" s="190"/>
      <c r="H5337" s="219"/>
      <c r="I5337" s="169">
        <v>116158</v>
      </c>
      <c r="J5337" s="304" t="str">
        <f>CONCATENATE([2]Cover!$D$6,"fdd/view?i=",I5337)</f>
        <v>https://www.dgiwg.org/FAD/fdd/view?i=116158</v>
      </c>
      <c r="K5337" s="304" t="s">
        <v>39386</v>
      </c>
      <c r="L5337" s="188">
        <v>2</v>
      </c>
      <c r="M5337" s="179" t="s">
        <v>151</v>
      </c>
    </row>
    <row r="5338" spans="1:13" ht="25.5">
      <c r="A5338" s="313" t="str">
        <f t="shared" si="83"/>
        <v>PassengerServiceTypeCode_immigration</v>
      </c>
      <c r="B5338" s="330"/>
      <c r="C5338" s="334"/>
      <c r="D5338" s="188" t="s">
        <v>28105</v>
      </c>
      <c r="E5338" s="189" t="s">
        <v>28106</v>
      </c>
      <c r="F5338" s="162" t="s">
        <v>28107</v>
      </c>
      <c r="G5338" s="190"/>
      <c r="H5338" s="219"/>
      <c r="I5338" s="169">
        <v>116159</v>
      </c>
      <c r="J5338" s="304" t="str">
        <f>CONCATENATE([2]Cover!$D$6,"fdd/view?i=",I5338)</f>
        <v>https://www.dgiwg.org/FAD/fdd/view?i=116159</v>
      </c>
      <c r="K5338" s="304" t="s">
        <v>39387</v>
      </c>
      <c r="L5338" s="188">
        <v>3</v>
      </c>
      <c r="M5338" s="179" t="s">
        <v>151</v>
      </c>
    </row>
    <row r="5339" spans="1:13" ht="25.5">
      <c r="A5339" s="313" t="str">
        <f t="shared" si="83"/>
        <v>PassengerServiceTypeCode_internet</v>
      </c>
      <c r="B5339" s="330"/>
      <c r="C5339" s="334"/>
      <c r="D5339" s="188" t="s">
        <v>28108</v>
      </c>
      <c r="E5339" s="189" t="s">
        <v>28109</v>
      </c>
      <c r="F5339" s="162" t="s">
        <v>28110</v>
      </c>
      <c r="G5339" s="190"/>
      <c r="H5339" s="219"/>
      <c r="I5339" s="169">
        <v>116168</v>
      </c>
      <c r="J5339" s="304" t="str">
        <f>CONCATENATE([2]Cover!$D$6,"fdd/view?i=",I5339)</f>
        <v>https://www.dgiwg.org/FAD/fdd/view?i=116168</v>
      </c>
      <c r="K5339" s="304" t="s">
        <v>39388</v>
      </c>
      <c r="L5339" s="188">
        <v>12</v>
      </c>
      <c r="M5339" s="179" t="s">
        <v>151</v>
      </c>
    </row>
    <row r="5340" spans="1:13" ht="25.5">
      <c r="A5340" s="313" t="str">
        <f t="shared" si="83"/>
        <v>PassengerServiceTypeCode_lodging</v>
      </c>
      <c r="B5340" s="330"/>
      <c r="C5340" s="334"/>
      <c r="D5340" s="188" t="s">
        <v>28111</v>
      </c>
      <c r="E5340" s="189" t="s">
        <v>28112</v>
      </c>
      <c r="F5340" s="162" t="s">
        <v>28113</v>
      </c>
      <c r="G5340" s="162" t="s">
        <v>28114</v>
      </c>
      <c r="H5340" s="219"/>
      <c r="I5340" s="169">
        <v>116160</v>
      </c>
      <c r="J5340" s="304" t="str">
        <f>CONCATENATE([2]Cover!$D$6,"fdd/view?i=",I5340)</f>
        <v>https://www.dgiwg.org/FAD/fdd/view?i=116160</v>
      </c>
      <c r="K5340" s="304" t="s">
        <v>39389</v>
      </c>
      <c r="L5340" s="188">
        <v>4</v>
      </c>
      <c r="M5340" s="179" t="s">
        <v>151</v>
      </c>
    </row>
    <row r="5341" spans="1:13" ht="25.5">
      <c r="A5341" s="313" t="str">
        <f t="shared" si="83"/>
        <v>PassengerServiceTypeCode_medical</v>
      </c>
      <c r="B5341" s="330"/>
      <c r="C5341" s="334"/>
      <c r="D5341" s="188" t="s">
        <v>28115</v>
      </c>
      <c r="E5341" s="189" t="s">
        <v>28116</v>
      </c>
      <c r="F5341" s="162" t="s">
        <v>28117</v>
      </c>
      <c r="G5341" s="190"/>
      <c r="H5341" s="219"/>
      <c r="I5341" s="169">
        <v>116162</v>
      </c>
      <c r="J5341" s="304" t="str">
        <f>CONCATENATE([2]Cover!$D$6,"fdd/view?i=",I5341)</f>
        <v>https://www.dgiwg.org/FAD/fdd/view?i=116162</v>
      </c>
      <c r="K5341" s="304" t="s">
        <v>39390</v>
      </c>
      <c r="L5341" s="188">
        <v>6</v>
      </c>
      <c r="M5341" s="179" t="s">
        <v>151</v>
      </c>
    </row>
    <row r="5342" spans="1:13">
      <c r="A5342" s="313" t="str">
        <f t="shared" si="83"/>
        <v>PassengerServiceTypeCode_postal</v>
      </c>
      <c r="B5342" s="330"/>
      <c r="C5342" s="334"/>
      <c r="D5342" s="188" t="s">
        <v>28118</v>
      </c>
      <c r="E5342" s="189" t="s">
        <v>28119</v>
      </c>
      <c r="F5342" s="162" t="s">
        <v>28120</v>
      </c>
      <c r="G5342" s="190"/>
      <c r="H5342" s="219"/>
      <c r="I5342" s="169">
        <v>116163</v>
      </c>
      <c r="J5342" s="304" t="str">
        <f>CONCATENATE([2]Cover!$D$6,"fdd/view?i=",I5342)</f>
        <v>https://www.dgiwg.org/FAD/fdd/view?i=116163</v>
      </c>
      <c r="K5342" s="304" t="s">
        <v>39391</v>
      </c>
      <c r="L5342" s="188">
        <v>7</v>
      </c>
      <c r="M5342" s="179" t="s">
        <v>151</v>
      </c>
    </row>
    <row r="5343" spans="1:13" ht="25.5">
      <c r="A5343" s="313" t="str">
        <f t="shared" si="83"/>
        <v>PassengerServiceTypeCode_restaurant</v>
      </c>
      <c r="B5343" s="330"/>
      <c r="C5343" s="334"/>
      <c r="D5343" s="188" t="s">
        <v>17476</v>
      </c>
      <c r="E5343" s="189" t="s">
        <v>17477</v>
      </c>
      <c r="F5343" s="162" t="s">
        <v>28121</v>
      </c>
      <c r="G5343" s="190"/>
      <c r="H5343" s="219"/>
      <c r="I5343" s="169">
        <v>116164</v>
      </c>
      <c r="J5343" s="304" t="str">
        <f>CONCATENATE([2]Cover!$D$6,"fdd/view?i=",I5343)</f>
        <v>https://www.dgiwg.org/FAD/fdd/view?i=116164</v>
      </c>
      <c r="K5343" s="304" t="s">
        <v>39392</v>
      </c>
      <c r="L5343" s="188">
        <v>8</v>
      </c>
      <c r="M5343" s="179" t="s">
        <v>151</v>
      </c>
    </row>
    <row r="5344" spans="1:13" ht="25.5">
      <c r="A5344" s="313" t="str">
        <f t="shared" si="83"/>
        <v>PassengerServiceTypeCode_sanitation</v>
      </c>
      <c r="B5344" s="330"/>
      <c r="C5344" s="334"/>
      <c r="D5344" s="188" t="s">
        <v>28122</v>
      </c>
      <c r="E5344" s="189" t="s">
        <v>28123</v>
      </c>
      <c r="F5344" s="162" t="s">
        <v>28124</v>
      </c>
      <c r="G5344" s="190"/>
      <c r="H5344" s="219"/>
      <c r="I5344" s="169">
        <v>116165</v>
      </c>
      <c r="J5344" s="304" t="str">
        <f>CONCATENATE([2]Cover!$D$6,"fdd/view?i=",I5344)</f>
        <v>https://www.dgiwg.org/FAD/fdd/view?i=116165</v>
      </c>
      <c r="K5344" s="304" t="s">
        <v>39393</v>
      </c>
      <c r="L5344" s="188">
        <v>9</v>
      </c>
      <c r="M5344" s="179" t="s">
        <v>151</v>
      </c>
    </row>
    <row r="5345" spans="1:13" ht="25.5">
      <c r="A5345" s="313" t="str">
        <f t="shared" si="83"/>
        <v>PassengerServiceTypeCode_security</v>
      </c>
      <c r="B5345" s="330"/>
      <c r="C5345" s="334"/>
      <c r="D5345" s="188" t="s">
        <v>15939</v>
      </c>
      <c r="E5345" s="189" t="s">
        <v>15940</v>
      </c>
      <c r="F5345" s="162" t="s">
        <v>15941</v>
      </c>
      <c r="G5345" s="190"/>
      <c r="H5345" s="219"/>
      <c r="I5345" s="169">
        <v>116166</v>
      </c>
      <c r="J5345" s="304" t="str">
        <f>CONCATENATE([2]Cover!$D$6,"fdd/view?i=",I5345)</f>
        <v>https://www.dgiwg.org/FAD/fdd/view?i=116166</v>
      </c>
      <c r="K5345" s="304" t="s">
        <v>39394</v>
      </c>
      <c r="L5345" s="188">
        <v>10</v>
      </c>
      <c r="M5345" s="179" t="s">
        <v>151</v>
      </c>
    </row>
    <row r="5346" spans="1:13" ht="25.5">
      <c r="A5346" s="313" t="str">
        <f t="shared" si="83"/>
        <v>PassengerServiceTypeCode_transport</v>
      </c>
      <c r="B5346" s="330"/>
      <c r="C5346" s="334"/>
      <c r="D5346" s="188" t="s">
        <v>22315</v>
      </c>
      <c r="E5346" s="189" t="s">
        <v>22316</v>
      </c>
      <c r="F5346" s="162" t="s">
        <v>28125</v>
      </c>
      <c r="G5346" s="190"/>
      <c r="H5346" s="219"/>
      <c r="I5346" s="169">
        <v>116167</v>
      </c>
      <c r="J5346" s="304" t="str">
        <f>CONCATENATE([2]Cover!$D$6,"fdd/view?i=",I5346)</f>
        <v>https://www.dgiwg.org/FAD/fdd/view?i=116167</v>
      </c>
      <c r="K5346" s="304" t="s">
        <v>39395</v>
      </c>
      <c r="L5346" s="188">
        <v>11</v>
      </c>
      <c r="M5346" s="179" t="s">
        <v>151</v>
      </c>
    </row>
    <row r="5347" spans="1:13" ht="25.5">
      <c r="A5347" s="313" t="str">
        <f t="shared" si="83"/>
        <v>PassengerServiceTypeCode_travelerInformation</v>
      </c>
      <c r="B5347" s="330"/>
      <c r="C5347" s="334"/>
      <c r="D5347" s="188" t="s">
        <v>28126</v>
      </c>
      <c r="E5347" s="189" t="s">
        <v>28127</v>
      </c>
      <c r="F5347" s="162" t="s">
        <v>28128</v>
      </c>
      <c r="G5347" s="190"/>
      <c r="H5347" s="219"/>
      <c r="I5347" s="169">
        <v>116161</v>
      </c>
      <c r="J5347" s="304" t="str">
        <f>CONCATENATE([2]Cover!$D$6,"fdd/view?i=",I5347)</f>
        <v>https://www.dgiwg.org/FAD/fdd/view?i=116161</v>
      </c>
      <c r="K5347" s="304" t="s">
        <v>39396</v>
      </c>
      <c r="L5347" s="188">
        <v>5</v>
      </c>
      <c r="M5347" s="179" t="s">
        <v>151</v>
      </c>
    </row>
    <row r="5348" spans="1:13" ht="25.5">
      <c r="A5348" s="313" t="str">
        <f t="shared" si="83"/>
        <v>PassengerServiceTypeCode_veterinary</v>
      </c>
      <c r="B5348" s="331"/>
      <c r="C5348" s="335"/>
      <c r="D5348" s="181" t="s">
        <v>22346</v>
      </c>
      <c r="E5348" s="192" t="s">
        <v>22347</v>
      </c>
      <c r="F5348" s="193" t="s">
        <v>28129</v>
      </c>
      <c r="G5348" s="194"/>
      <c r="H5348" s="220"/>
      <c r="I5348" s="169">
        <v>116169</v>
      </c>
      <c r="J5348" s="304" t="str">
        <f>CONCATENATE([2]Cover!$D$6,"fdd/view?i=",I5348)</f>
        <v>https://www.dgiwg.org/FAD/fdd/view?i=116169</v>
      </c>
      <c r="K5348" s="304" t="s">
        <v>39397</v>
      </c>
      <c r="L5348" s="181">
        <v>13</v>
      </c>
      <c r="M5348" s="179" t="s">
        <v>151</v>
      </c>
    </row>
    <row r="5349" spans="1:13" ht="25.5">
      <c r="A5349" s="313" t="str">
        <f t="shared" si="83"/>
        <v>PavementTypePCNCode_flexiblePavement</v>
      </c>
      <c r="B5349" s="332" t="str">
        <f>HYPERLINK("[#]Datatypes!A1013:L1013","PavementTypePCNCode")</f>
        <v>PavementTypePCNCode</v>
      </c>
      <c r="C5349" s="333" t="s">
        <v>12607</v>
      </c>
      <c r="D5349" s="202" t="s">
        <v>28130</v>
      </c>
      <c r="E5349" s="203" t="s">
        <v>28131</v>
      </c>
      <c r="F5349" s="204" t="s">
        <v>28132</v>
      </c>
      <c r="G5349" s="205"/>
      <c r="H5349" s="218"/>
      <c r="I5349" s="169">
        <v>115467</v>
      </c>
      <c r="J5349" s="304" t="str">
        <f>CONCATENATE([2]Cover!$D$6,"fdd/view?i=",I5349)</f>
        <v>https://www.dgiwg.org/FAD/fdd/view?i=115467</v>
      </c>
      <c r="K5349" s="304" t="s">
        <v>39398</v>
      </c>
      <c r="L5349" s="202">
        <v>1</v>
      </c>
      <c r="M5349" s="179" t="s">
        <v>151</v>
      </c>
    </row>
    <row r="5350" spans="1:13" ht="25.5">
      <c r="A5350" s="313" t="str">
        <f t="shared" si="83"/>
        <v>PavementTypePCNCode_rigidPavement</v>
      </c>
      <c r="B5350" s="331"/>
      <c r="C5350" s="335"/>
      <c r="D5350" s="181" t="s">
        <v>28133</v>
      </c>
      <c r="E5350" s="192" t="s">
        <v>28134</v>
      </c>
      <c r="F5350" s="193" t="s">
        <v>28135</v>
      </c>
      <c r="G5350" s="194"/>
      <c r="H5350" s="220"/>
      <c r="I5350" s="169">
        <v>115468</v>
      </c>
      <c r="J5350" s="304" t="str">
        <f>CONCATENATE([2]Cover!$D$6,"fdd/view?i=",I5350)</f>
        <v>https://www.dgiwg.org/FAD/fdd/view?i=115468</v>
      </c>
      <c r="K5350" s="304" t="s">
        <v>39399</v>
      </c>
      <c r="L5350" s="181">
        <v>2</v>
      </c>
      <c r="M5350" s="179" t="s">
        <v>151</v>
      </c>
    </row>
    <row r="5351" spans="1:13" ht="25.5">
      <c r="A5351" s="313" t="str">
        <f t="shared" si="83"/>
        <v>PcnEvaluationMethodCode_technical</v>
      </c>
      <c r="B5351" s="332" t="str">
        <f>HYPERLINK("[#]Datatypes!A1015:L1015","PcnEvaluationMethodCode")</f>
        <v>PcnEvaluationMethodCode</v>
      </c>
      <c r="C5351" s="333" t="s">
        <v>12609</v>
      </c>
      <c r="D5351" s="202" t="s">
        <v>28136</v>
      </c>
      <c r="E5351" s="203" t="s">
        <v>28137</v>
      </c>
      <c r="F5351" s="204" t="s">
        <v>28138</v>
      </c>
      <c r="G5351" s="205"/>
      <c r="H5351" s="218"/>
      <c r="I5351" s="169">
        <v>115457</v>
      </c>
      <c r="J5351" s="304" t="str">
        <f>CONCATENATE([2]Cover!$D$6,"fdd/view?i=",I5351)</f>
        <v>https://www.dgiwg.org/FAD/fdd/view?i=115457</v>
      </c>
      <c r="K5351" s="304" t="s">
        <v>39400</v>
      </c>
      <c r="L5351" s="202">
        <v>1</v>
      </c>
      <c r="M5351" s="179" t="s">
        <v>151</v>
      </c>
    </row>
    <row r="5352" spans="1:13" ht="25.5">
      <c r="A5352" s="313" t="str">
        <f t="shared" si="83"/>
        <v>PcnEvaluationMethodCode_usingAircraftExperience</v>
      </c>
      <c r="B5352" s="331"/>
      <c r="C5352" s="335"/>
      <c r="D5352" s="181" t="s">
        <v>28139</v>
      </c>
      <c r="E5352" s="192" t="s">
        <v>28140</v>
      </c>
      <c r="F5352" s="193" t="s">
        <v>28141</v>
      </c>
      <c r="G5352" s="194"/>
      <c r="H5352" s="220"/>
      <c r="I5352" s="169">
        <v>115458</v>
      </c>
      <c r="J5352" s="304" t="str">
        <f>CONCATENATE([2]Cover!$D$6,"fdd/view?i=",I5352)</f>
        <v>https://www.dgiwg.org/FAD/fdd/view?i=115458</v>
      </c>
      <c r="K5352" s="304" t="s">
        <v>39401</v>
      </c>
      <c r="L5352" s="181">
        <v>2</v>
      </c>
      <c r="M5352" s="179" t="s">
        <v>151</v>
      </c>
    </row>
    <row r="5353" spans="1:13" ht="25.5">
      <c r="A5353" s="313" t="str">
        <f t="shared" si="83"/>
        <v>PcnMaxAllowableTirePressureCode_high</v>
      </c>
      <c r="B5353" s="332" t="str">
        <f>HYPERLINK("[#]Datatypes!A1017:L1017","PcnMaxAllowableTirePressureCode")</f>
        <v>PcnMaxAllowableTirePressureCode</v>
      </c>
      <c r="C5353" s="333" t="s">
        <v>12611</v>
      </c>
      <c r="D5353" s="202" t="s">
        <v>15390</v>
      </c>
      <c r="E5353" s="203" t="s">
        <v>15391</v>
      </c>
      <c r="F5353" s="204" t="s">
        <v>28142</v>
      </c>
      <c r="G5353" s="205"/>
      <c r="H5353" s="218"/>
      <c r="I5353" s="169">
        <v>115459</v>
      </c>
      <c r="J5353" s="304" t="str">
        <f>CONCATENATE([2]Cover!$D$6,"fdd/view?i=",I5353)</f>
        <v>https://www.dgiwg.org/FAD/fdd/view?i=115459</v>
      </c>
      <c r="K5353" s="304" t="s">
        <v>39402</v>
      </c>
      <c r="L5353" s="202">
        <v>1</v>
      </c>
      <c r="M5353" s="179" t="s">
        <v>151</v>
      </c>
    </row>
    <row r="5354" spans="1:13" ht="25.5">
      <c r="A5354" s="313" t="str">
        <f t="shared" si="83"/>
        <v>PcnMaxAllowableTirePressureCode_low</v>
      </c>
      <c r="B5354" s="330"/>
      <c r="C5354" s="334"/>
      <c r="D5354" s="188" t="s">
        <v>15393</v>
      </c>
      <c r="E5354" s="189" t="s">
        <v>15394</v>
      </c>
      <c r="F5354" s="162" t="s">
        <v>28143</v>
      </c>
      <c r="G5354" s="190"/>
      <c r="H5354" s="219"/>
      <c r="I5354" s="169">
        <v>115460</v>
      </c>
      <c r="J5354" s="304" t="str">
        <f>CONCATENATE([2]Cover!$D$6,"fdd/view?i=",I5354)</f>
        <v>https://www.dgiwg.org/FAD/fdd/view?i=115460</v>
      </c>
      <c r="K5354" s="304" t="s">
        <v>39403</v>
      </c>
      <c r="L5354" s="188">
        <v>3</v>
      </c>
      <c r="M5354" s="179" t="s">
        <v>151</v>
      </c>
    </row>
    <row r="5355" spans="1:13" ht="25.5">
      <c r="A5355" s="313" t="str">
        <f t="shared" si="83"/>
        <v>PcnMaxAllowableTirePressureCode_medium</v>
      </c>
      <c r="B5355" s="330"/>
      <c r="C5355" s="334"/>
      <c r="D5355" s="188" t="s">
        <v>24703</v>
      </c>
      <c r="E5355" s="189" t="s">
        <v>24704</v>
      </c>
      <c r="F5355" s="162" t="s">
        <v>28144</v>
      </c>
      <c r="G5355" s="190"/>
      <c r="H5355" s="219"/>
      <c r="I5355" s="169">
        <v>115461</v>
      </c>
      <c r="J5355" s="304" t="str">
        <f>CONCATENATE([2]Cover!$D$6,"fdd/view?i=",I5355)</f>
        <v>https://www.dgiwg.org/FAD/fdd/view?i=115461</v>
      </c>
      <c r="K5355" s="304" t="s">
        <v>39404</v>
      </c>
      <c r="L5355" s="188">
        <v>2</v>
      </c>
      <c r="M5355" s="179" t="s">
        <v>151</v>
      </c>
    </row>
    <row r="5356" spans="1:13" ht="25.5">
      <c r="A5356" s="313" t="str">
        <f t="shared" si="83"/>
        <v>PcnMaxAllowableTirePressureCode_veryLow</v>
      </c>
      <c r="B5356" s="331"/>
      <c r="C5356" s="335"/>
      <c r="D5356" s="181" t="s">
        <v>28145</v>
      </c>
      <c r="E5356" s="192" t="s">
        <v>28146</v>
      </c>
      <c r="F5356" s="193" t="s">
        <v>28147</v>
      </c>
      <c r="G5356" s="194"/>
      <c r="H5356" s="220"/>
      <c r="I5356" s="169">
        <v>115462</v>
      </c>
      <c r="J5356" s="304" t="str">
        <f>CONCATENATE([2]Cover!$D$6,"fdd/view?i=",I5356)</f>
        <v>https://www.dgiwg.org/FAD/fdd/view?i=115462</v>
      </c>
      <c r="K5356" s="304" t="s">
        <v>39405</v>
      </c>
      <c r="L5356" s="181">
        <v>4</v>
      </c>
      <c r="M5356" s="179" t="s">
        <v>151</v>
      </c>
    </row>
    <row r="5357" spans="1:13" ht="38.25">
      <c r="A5357" s="313" t="str">
        <f t="shared" si="83"/>
        <v>PcnPavementSubgradeStrengthCatCode_highStrengthSubgrade</v>
      </c>
      <c r="B5357" s="332" t="str">
        <f>HYPERLINK("[#]Datatypes!A1019:L1019","PcnPavementSubgradeStrengthCatCode")</f>
        <v>PcnPavementSubgradeStrengthCatCode</v>
      </c>
      <c r="C5357" s="333" t="s">
        <v>12613</v>
      </c>
      <c r="D5357" s="202" t="s">
        <v>28148</v>
      </c>
      <c r="E5357" s="203" t="s">
        <v>28149</v>
      </c>
      <c r="F5357" s="204" t="s">
        <v>28150</v>
      </c>
      <c r="G5357" s="205"/>
      <c r="H5357" s="218"/>
      <c r="I5357" s="169">
        <v>115463</v>
      </c>
      <c r="J5357" s="304" t="str">
        <f>CONCATENATE([2]Cover!$D$6,"fdd/view?i=",I5357)</f>
        <v>https://www.dgiwg.org/FAD/fdd/view?i=115463</v>
      </c>
      <c r="K5357" s="304" t="s">
        <v>39406</v>
      </c>
      <c r="L5357" s="202">
        <v>1</v>
      </c>
      <c r="M5357" s="179" t="s">
        <v>151</v>
      </c>
    </row>
    <row r="5358" spans="1:13" ht="38.25">
      <c r="A5358" s="313" t="str">
        <f t="shared" si="83"/>
        <v>PcnPavementSubgradeStrengthCatCode_lowStrengthSubgrade</v>
      </c>
      <c r="B5358" s="330"/>
      <c r="C5358" s="334"/>
      <c r="D5358" s="188" t="s">
        <v>28151</v>
      </c>
      <c r="E5358" s="189" t="s">
        <v>28152</v>
      </c>
      <c r="F5358" s="162" t="s">
        <v>28153</v>
      </c>
      <c r="G5358" s="190"/>
      <c r="H5358" s="219"/>
      <c r="I5358" s="169">
        <v>115464</v>
      </c>
      <c r="J5358" s="304" t="str">
        <f>CONCATENATE([2]Cover!$D$6,"fdd/view?i=",I5358)</f>
        <v>https://www.dgiwg.org/FAD/fdd/view?i=115464</v>
      </c>
      <c r="K5358" s="304" t="s">
        <v>39407</v>
      </c>
      <c r="L5358" s="188">
        <v>3</v>
      </c>
      <c r="M5358" s="179" t="s">
        <v>151</v>
      </c>
    </row>
    <row r="5359" spans="1:13" ht="38.25">
      <c r="A5359" s="313" t="str">
        <f t="shared" si="83"/>
        <v>PcnPavementSubgradeStrengthCatCode_mediumStrengthSubgrade</v>
      </c>
      <c r="B5359" s="330"/>
      <c r="C5359" s="334"/>
      <c r="D5359" s="188" t="s">
        <v>28154</v>
      </c>
      <c r="E5359" s="189" t="s">
        <v>28155</v>
      </c>
      <c r="F5359" s="162" t="s">
        <v>28156</v>
      </c>
      <c r="G5359" s="190"/>
      <c r="H5359" s="219"/>
      <c r="I5359" s="169">
        <v>115465</v>
      </c>
      <c r="J5359" s="304" t="str">
        <f>CONCATENATE([2]Cover!$D$6,"fdd/view?i=",I5359)</f>
        <v>https://www.dgiwg.org/FAD/fdd/view?i=115465</v>
      </c>
      <c r="K5359" s="304" t="s">
        <v>39408</v>
      </c>
      <c r="L5359" s="188">
        <v>2</v>
      </c>
      <c r="M5359" s="179" t="s">
        <v>151</v>
      </c>
    </row>
    <row r="5360" spans="1:13" ht="38.25">
      <c r="A5360" s="313" t="str">
        <f t="shared" si="83"/>
        <v>PcnPavementSubgradeStrengthCatCode_ultraLowStrengthSubgrade</v>
      </c>
      <c r="B5360" s="331"/>
      <c r="C5360" s="335"/>
      <c r="D5360" s="181" t="s">
        <v>28157</v>
      </c>
      <c r="E5360" s="192" t="s">
        <v>28158</v>
      </c>
      <c r="F5360" s="193" t="s">
        <v>28159</v>
      </c>
      <c r="G5360" s="194"/>
      <c r="H5360" s="220"/>
      <c r="I5360" s="169">
        <v>115466</v>
      </c>
      <c r="J5360" s="304" t="str">
        <f>CONCATENATE([2]Cover!$D$6,"fdd/view?i=",I5360)</f>
        <v>https://www.dgiwg.org/FAD/fdd/view?i=115466</v>
      </c>
      <c r="K5360" s="304" t="s">
        <v>39409</v>
      </c>
      <c r="L5360" s="181">
        <v>4</v>
      </c>
      <c r="M5360" s="179" t="s">
        <v>151</v>
      </c>
    </row>
    <row r="5361" spans="1:13" ht="38.25">
      <c r="A5361" s="313" t="str">
        <f t="shared" si="83"/>
        <v>PhysicalConditionCode_construction</v>
      </c>
      <c r="B5361" s="332" t="str">
        <f>HYPERLINK("[#]Datatypes!A1027:L1027","PhysicalConditionCode")</f>
        <v>PhysicalConditionCode</v>
      </c>
      <c r="C5361" s="333" t="s">
        <v>12621</v>
      </c>
      <c r="D5361" s="202" t="s">
        <v>24748</v>
      </c>
      <c r="E5361" s="203" t="s">
        <v>24749</v>
      </c>
      <c r="F5361" s="204" t="s">
        <v>28160</v>
      </c>
      <c r="G5361" s="204" t="s">
        <v>28161</v>
      </c>
      <c r="H5361" s="218"/>
      <c r="I5361" s="169">
        <v>119374</v>
      </c>
      <c r="J5361" s="304" t="str">
        <f>CONCATENATE([2]Cover!$D$6,"fdd/view?i=",I5361)</f>
        <v>https://www.dgiwg.org/FAD/fdd/view?i=119374</v>
      </c>
      <c r="K5361" s="304" t="s">
        <v>39410</v>
      </c>
      <c r="L5361" s="202">
        <v>1</v>
      </c>
      <c r="M5361" s="179" t="s">
        <v>151</v>
      </c>
    </row>
    <row r="5362" spans="1:13" ht="38.25">
      <c r="A5362" s="313" t="str">
        <f t="shared" si="83"/>
        <v>PhysicalConditionCode_damaged</v>
      </c>
      <c r="B5362" s="330"/>
      <c r="C5362" s="334"/>
      <c r="D5362" s="188" t="s">
        <v>15036</v>
      </c>
      <c r="E5362" s="189" t="s">
        <v>15037</v>
      </c>
      <c r="F5362" s="162" t="s">
        <v>28162</v>
      </c>
      <c r="G5362" s="162" t="s">
        <v>28163</v>
      </c>
      <c r="H5362" s="219"/>
      <c r="I5362" s="169">
        <v>119377</v>
      </c>
      <c r="J5362" s="304" t="str">
        <f>CONCATENATE([2]Cover!$D$6,"fdd/view?i=",I5362)</f>
        <v>https://www.dgiwg.org/FAD/fdd/view?i=119377</v>
      </c>
      <c r="K5362" s="304" t="s">
        <v>39411</v>
      </c>
      <c r="L5362" s="188">
        <v>4</v>
      </c>
      <c r="M5362" s="179" t="s">
        <v>151</v>
      </c>
    </row>
    <row r="5363" spans="1:13" ht="63.75">
      <c r="A5363" s="313" t="str">
        <f t="shared" si="83"/>
        <v>PhysicalConditionCode_destroyed</v>
      </c>
      <c r="B5363" s="330"/>
      <c r="C5363" s="334"/>
      <c r="D5363" s="188" t="s">
        <v>15039</v>
      </c>
      <c r="E5363" s="189" t="s">
        <v>15040</v>
      </c>
      <c r="F5363" s="162" t="s">
        <v>28164</v>
      </c>
      <c r="G5363" s="162" t="s">
        <v>28165</v>
      </c>
      <c r="H5363" s="219"/>
      <c r="I5363" s="169">
        <v>119379</v>
      </c>
      <c r="J5363" s="304" t="str">
        <f>CONCATENATE([2]Cover!$D$6,"fdd/view?i=",I5363)</f>
        <v>https://www.dgiwg.org/FAD/fdd/view?i=119379</v>
      </c>
      <c r="K5363" s="304" t="s">
        <v>39412</v>
      </c>
      <c r="L5363" s="188">
        <v>6</v>
      </c>
      <c r="M5363" s="179" t="s">
        <v>151</v>
      </c>
    </row>
    <row r="5364" spans="1:13" ht="38.25">
      <c r="A5364" s="313" t="str">
        <f t="shared" si="83"/>
        <v>PhysicalConditionCode_dismantled</v>
      </c>
      <c r="B5364" s="330"/>
      <c r="C5364" s="334"/>
      <c r="D5364" s="188" t="s">
        <v>28166</v>
      </c>
      <c r="E5364" s="189" t="s">
        <v>28167</v>
      </c>
      <c r="F5364" s="162" t="s">
        <v>28168</v>
      </c>
      <c r="G5364" s="162" t="s">
        <v>28169</v>
      </c>
      <c r="H5364" s="219"/>
      <c r="I5364" s="169">
        <v>119378</v>
      </c>
      <c r="J5364" s="304" t="str">
        <f>CONCATENATE([2]Cover!$D$6,"fdd/view?i=",I5364)</f>
        <v>https://www.dgiwg.org/FAD/fdd/view?i=119378</v>
      </c>
      <c r="K5364" s="304" t="s">
        <v>39413</v>
      </c>
      <c r="L5364" s="188">
        <v>5</v>
      </c>
      <c r="M5364" s="179" t="s">
        <v>151</v>
      </c>
    </row>
    <row r="5365" spans="1:13" ht="25.5">
      <c r="A5365" s="313" t="str">
        <f t="shared" si="83"/>
        <v>PhysicalConditionCode_intact</v>
      </c>
      <c r="B5365" s="330"/>
      <c r="C5365" s="334"/>
      <c r="D5365" s="188" t="s">
        <v>28170</v>
      </c>
      <c r="E5365" s="189" t="s">
        <v>28171</v>
      </c>
      <c r="F5365" s="162" t="s">
        <v>28172</v>
      </c>
      <c r="G5365" s="162" t="s">
        <v>28173</v>
      </c>
      <c r="H5365" s="219"/>
      <c r="I5365" s="169">
        <v>119375</v>
      </c>
      <c r="J5365" s="304" t="str">
        <f>CONCATENATE([2]Cover!$D$6,"fdd/view?i=",I5365)</f>
        <v>https://www.dgiwg.org/FAD/fdd/view?i=119375</v>
      </c>
      <c r="K5365" s="304" t="s">
        <v>39414</v>
      </c>
      <c r="L5365" s="188">
        <v>2</v>
      </c>
      <c r="M5365" s="179" t="s">
        <v>151</v>
      </c>
    </row>
    <row r="5366" spans="1:13" ht="51">
      <c r="A5366" s="313" t="str">
        <f t="shared" si="83"/>
        <v>PhysicalConditionCode_unmaintained</v>
      </c>
      <c r="B5366" s="331"/>
      <c r="C5366" s="335"/>
      <c r="D5366" s="181" t="s">
        <v>28174</v>
      </c>
      <c r="E5366" s="192" t="s">
        <v>28175</v>
      </c>
      <c r="F5366" s="193" t="s">
        <v>28176</v>
      </c>
      <c r="G5366" s="193" t="s">
        <v>28177</v>
      </c>
      <c r="H5366" s="220"/>
      <c r="I5366" s="169">
        <v>119376</v>
      </c>
      <c r="J5366" s="304" t="str">
        <f>CONCATENATE([2]Cover!$D$6,"fdd/view?i=",I5366)</f>
        <v>https://www.dgiwg.org/FAD/fdd/view?i=119376</v>
      </c>
      <c r="K5366" s="304" t="s">
        <v>39415</v>
      </c>
      <c r="L5366" s="181">
        <v>3</v>
      </c>
      <c r="M5366" s="179" t="s">
        <v>151</v>
      </c>
    </row>
    <row r="5367" spans="1:13" ht="25.5">
      <c r="A5367" s="313" t="str">
        <f t="shared" si="83"/>
        <v>PilotBoardingMethodCode_helicopter</v>
      </c>
      <c r="B5367" s="332" t="str">
        <f>HYPERLINK("[#]Datatypes!A1029:L1029","PilotBoardingMethodCode")</f>
        <v>PilotBoardingMethodCode</v>
      </c>
      <c r="C5367" s="333" t="s">
        <v>12623</v>
      </c>
      <c r="D5367" s="202" t="s">
        <v>28178</v>
      </c>
      <c r="E5367" s="203" t="s">
        <v>28179</v>
      </c>
      <c r="F5367" s="204" t="s">
        <v>28180</v>
      </c>
      <c r="G5367" s="205"/>
      <c r="H5367" s="218"/>
      <c r="I5367" s="169">
        <v>106337</v>
      </c>
      <c r="J5367" s="304" t="str">
        <f>CONCATENATE([2]Cover!$D$6,"fdd/view?i=",I5367)</f>
        <v>https://www.dgiwg.org/FAD/fdd/view?i=106337</v>
      </c>
      <c r="K5367" s="304" t="s">
        <v>39416</v>
      </c>
      <c r="L5367" s="202">
        <v>2</v>
      </c>
      <c r="M5367" s="179" t="s">
        <v>151</v>
      </c>
    </row>
    <row r="5368" spans="1:13" ht="25.5">
      <c r="A5368" s="313" t="str">
        <f t="shared" si="83"/>
        <v>PilotBoardingMethodCode_pilotCruisingVessel</v>
      </c>
      <c r="B5368" s="330"/>
      <c r="C5368" s="334"/>
      <c r="D5368" s="188" t="s">
        <v>28181</v>
      </c>
      <c r="E5368" s="189" t="s">
        <v>28182</v>
      </c>
      <c r="F5368" s="162" t="s">
        <v>28183</v>
      </c>
      <c r="G5368" s="190"/>
      <c r="H5368" s="219"/>
      <c r="I5368" s="169">
        <v>106336</v>
      </c>
      <c r="J5368" s="304" t="str">
        <f>CONCATENATE([2]Cover!$D$6,"fdd/view?i=",I5368)</f>
        <v>https://www.dgiwg.org/FAD/fdd/view?i=106336</v>
      </c>
      <c r="K5368" s="304" t="s">
        <v>39417</v>
      </c>
      <c r="L5368" s="188">
        <v>1</v>
      </c>
      <c r="M5368" s="179" t="s">
        <v>151</v>
      </c>
    </row>
    <row r="5369" spans="1:13" ht="25.5">
      <c r="A5369" s="313" t="str">
        <f t="shared" si="83"/>
        <v>PilotBoardingMethodCode_requestedVessel</v>
      </c>
      <c r="B5369" s="331"/>
      <c r="C5369" s="335"/>
      <c r="D5369" s="181" t="s">
        <v>28184</v>
      </c>
      <c r="E5369" s="192" t="s">
        <v>28185</v>
      </c>
      <c r="F5369" s="193" t="s">
        <v>28186</v>
      </c>
      <c r="G5369" s="194"/>
      <c r="H5369" s="220"/>
      <c r="I5369" s="169">
        <v>106338</v>
      </c>
      <c r="J5369" s="304" t="str">
        <f>CONCATENATE([2]Cover!$D$6,"fdd/view?i=",I5369)</f>
        <v>https://www.dgiwg.org/FAD/fdd/view?i=106338</v>
      </c>
      <c r="K5369" s="304" t="s">
        <v>39418</v>
      </c>
      <c r="L5369" s="181">
        <v>3</v>
      </c>
      <c r="M5369" s="179" t="s">
        <v>151</v>
      </c>
    </row>
    <row r="5370" spans="1:13" ht="25.5">
      <c r="A5370" s="313" t="str">
        <f t="shared" si="83"/>
        <v>PipelineTypeCode_bubblerSystem</v>
      </c>
      <c r="B5370" s="332" t="str">
        <f>HYPERLINK("[#]Datatypes!A1031:L1031","PipelineTypeCode")</f>
        <v>PipelineTypeCode</v>
      </c>
      <c r="C5370" s="333" t="s">
        <v>12625</v>
      </c>
      <c r="D5370" s="202" t="s">
        <v>28187</v>
      </c>
      <c r="E5370" s="203" t="s">
        <v>28188</v>
      </c>
      <c r="F5370" s="204" t="s">
        <v>28189</v>
      </c>
      <c r="G5370" s="205"/>
      <c r="H5370" s="218"/>
      <c r="I5370" s="169">
        <v>106432</v>
      </c>
      <c r="J5370" s="304" t="str">
        <f>CONCATENATE([2]Cover!$D$6,"fdd/view?i=",I5370)</f>
        <v>https://www.dgiwg.org/FAD/fdd/view?i=106432</v>
      </c>
      <c r="K5370" s="304" t="s">
        <v>39419</v>
      </c>
      <c r="L5370" s="202">
        <v>7</v>
      </c>
      <c r="M5370" s="179" t="s">
        <v>151</v>
      </c>
    </row>
    <row r="5371" spans="1:13" ht="25.5">
      <c r="A5371" s="313" t="str">
        <f t="shared" si="83"/>
        <v>PipelineTypeCode_intakePipe</v>
      </c>
      <c r="B5371" s="330"/>
      <c r="C5371" s="334"/>
      <c r="D5371" s="188" t="s">
        <v>28190</v>
      </c>
      <c r="E5371" s="189" t="s">
        <v>28191</v>
      </c>
      <c r="F5371" s="162" t="s">
        <v>28192</v>
      </c>
      <c r="G5371" s="162" t="s">
        <v>28193</v>
      </c>
      <c r="H5371" s="219"/>
      <c r="I5371" s="169">
        <v>106428</v>
      </c>
      <c r="J5371" s="304" t="str">
        <f>CONCATENATE([2]Cover!$D$6,"fdd/view?i=",I5371)</f>
        <v>https://www.dgiwg.org/FAD/fdd/view?i=106428</v>
      </c>
      <c r="K5371" s="304" t="s">
        <v>39420</v>
      </c>
      <c r="L5371" s="188">
        <v>3</v>
      </c>
      <c r="M5371" s="179" t="s">
        <v>151</v>
      </c>
    </row>
    <row r="5372" spans="1:13" ht="25.5">
      <c r="A5372" s="313" t="str">
        <f t="shared" si="83"/>
        <v>PipelineTypeCode_outfallPipe</v>
      </c>
      <c r="B5372" s="330"/>
      <c r="C5372" s="334"/>
      <c r="D5372" s="188" t="s">
        <v>28194</v>
      </c>
      <c r="E5372" s="189" t="s">
        <v>28195</v>
      </c>
      <c r="F5372" s="162" t="s">
        <v>28196</v>
      </c>
      <c r="G5372" s="190"/>
      <c r="H5372" s="219"/>
      <c r="I5372" s="169">
        <v>106427</v>
      </c>
      <c r="J5372" s="304" t="str">
        <f>CONCATENATE([2]Cover!$D$6,"fdd/view?i=",I5372)</f>
        <v>https://www.dgiwg.org/FAD/fdd/view?i=106427</v>
      </c>
      <c r="K5372" s="304" t="s">
        <v>39421</v>
      </c>
      <c r="L5372" s="188">
        <v>2</v>
      </c>
      <c r="M5372" s="179" t="s">
        <v>151</v>
      </c>
    </row>
    <row r="5373" spans="1:13" ht="38.25">
      <c r="A5373" s="313" t="str">
        <f t="shared" si="83"/>
        <v>PipelineTypeCode_pipelineValve</v>
      </c>
      <c r="B5373" s="330"/>
      <c r="C5373" s="334"/>
      <c r="D5373" s="188" t="s">
        <v>28197</v>
      </c>
      <c r="E5373" s="189" t="s">
        <v>28198</v>
      </c>
      <c r="F5373" s="162" t="s">
        <v>28199</v>
      </c>
      <c r="G5373" s="162" t="s">
        <v>28200</v>
      </c>
      <c r="H5373" s="219"/>
      <c r="I5373" s="169">
        <v>106430</v>
      </c>
      <c r="J5373" s="304" t="str">
        <f>CONCATENATE([2]Cover!$D$6,"fdd/view?i=",I5373)</f>
        <v>https://www.dgiwg.org/FAD/fdd/view?i=106430</v>
      </c>
      <c r="K5373" s="304" t="s">
        <v>39422</v>
      </c>
      <c r="L5373" s="188">
        <v>5</v>
      </c>
      <c r="M5373" s="179" t="s">
        <v>151</v>
      </c>
    </row>
    <row r="5374" spans="1:13" ht="25.5">
      <c r="A5374" s="313" t="str">
        <f t="shared" si="83"/>
        <v>PipelineTypeCode_sewer</v>
      </c>
      <c r="B5374" s="330"/>
      <c r="C5374" s="334"/>
      <c r="D5374" s="188" t="s">
        <v>28201</v>
      </c>
      <c r="E5374" s="189" t="s">
        <v>28202</v>
      </c>
      <c r="F5374" s="162" t="s">
        <v>28203</v>
      </c>
      <c r="G5374" s="190"/>
      <c r="H5374" s="219"/>
      <c r="I5374" s="169">
        <v>106429</v>
      </c>
      <c r="J5374" s="304" t="str">
        <f>CONCATENATE([2]Cover!$D$6,"fdd/view?i=",I5374)</f>
        <v>https://www.dgiwg.org/FAD/fdd/view?i=106429</v>
      </c>
      <c r="K5374" s="304" t="s">
        <v>39423</v>
      </c>
      <c r="L5374" s="188">
        <v>4</v>
      </c>
      <c r="M5374" s="179" t="s">
        <v>151</v>
      </c>
    </row>
    <row r="5375" spans="1:13" ht="25.5">
      <c r="A5375" s="313" t="str">
        <f t="shared" si="83"/>
        <v>PipelineTypeCode_transportPipe</v>
      </c>
      <c r="B5375" s="331"/>
      <c r="C5375" s="335"/>
      <c r="D5375" s="181" t="s">
        <v>28204</v>
      </c>
      <c r="E5375" s="192" t="s">
        <v>28205</v>
      </c>
      <c r="F5375" s="193" t="s">
        <v>28206</v>
      </c>
      <c r="G5375" s="193" t="s">
        <v>28207</v>
      </c>
      <c r="H5375" s="220"/>
      <c r="I5375" s="169">
        <v>106426</v>
      </c>
      <c r="J5375" s="304" t="str">
        <f>CONCATENATE([2]Cover!$D$6,"fdd/view?i=",I5375)</f>
        <v>https://www.dgiwg.org/FAD/fdd/view?i=106426</v>
      </c>
      <c r="K5375" s="304" t="s">
        <v>39424</v>
      </c>
      <c r="L5375" s="181">
        <v>1</v>
      </c>
      <c r="M5375" s="179" t="s">
        <v>151</v>
      </c>
    </row>
    <row r="5376" spans="1:13" ht="25.5">
      <c r="A5376" s="313" t="str">
        <f t="shared" si="83"/>
        <v>PortableAggressorWeaponCode_automaticWeapon</v>
      </c>
      <c r="B5376" s="332" t="str">
        <f>HYPERLINK("[#]Datatypes!A1041:L1041","PortableAggressorWeaponCode")</f>
        <v>PortableAggressorWeaponCode</v>
      </c>
      <c r="C5376" s="333" t="s">
        <v>12634</v>
      </c>
      <c r="D5376" s="202" t="s">
        <v>28208</v>
      </c>
      <c r="E5376" s="203" t="s">
        <v>28209</v>
      </c>
      <c r="F5376" s="204" t="s">
        <v>28210</v>
      </c>
      <c r="G5376" s="205"/>
      <c r="H5376" s="218"/>
      <c r="I5376" s="169">
        <v>112634</v>
      </c>
      <c r="J5376" s="304" t="str">
        <f>CONCATENATE([2]Cover!$D$6,"fdd/view?i=",I5376)</f>
        <v>https://www.dgiwg.org/FAD/fdd/view?i=112634</v>
      </c>
      <c r="K5376" s="304" t="s">
        <v>39425</v>
      </c>
      <c r="L5376" s="202">
        <v>5</v>
      </c>
      <c r="M5376" s="179" t="s">
        <v>151</v>
      </c>
    </row>
    <row r="5377" spans="1:13" ht="38.25">
      <c r="A5377" s="313" t="str">
        <f t="shared" si="83"/>
        <v>PortableAggressorWeaponCode_explosives</v>
      </c>
      <c r="B5377" s="330"/>
      <c r="C5377" s="334"/>
      <c r="D5377" s="188" t="s">
        <v>20237</v>
      </c>
      <c r="E5377" s="189" t="s">
        <v>20238</v>
      </c>
      <c r="F5377" s="162" t="s">
        <v>28214</v>
      </c>
      <c r="G5377" s="190"/>
      <c r="H5377" s="219"/>
      <c r="I5377" s="169">
        <v>118510</v>
      </c>
      <c r="J5377" s="304" t="str">
        <f>CONCATENATE([2]Cover!$D$6,"fdd/view?i=",I5377)</f>
        <v>https://www.dgiwg.org/FAD/fdd/view?i=118510</v>
      </c>
      <c r="K5377" s="304" t="s">
        <v>39426</v>
      </c>
      <c r="L5377" s="188">
        <v>9</v>
      </c>
      <c r="M5377" s="179" t="s">
        <v>151</v>
      </c>
    </row>
    <row r="5378" spans="1:13" ht="25.5">
      <c r="A5378" s="313" t="str">
        <f t="shared" si="83"/>
        <v>PortableAggressorWeaponCode_explosiveVest</v>
      </c>
      <c r="B5378" s="330"/>
      <c r="C5378" s="334"/>
      <c r="D5378" s="188" t="s">
        <v>28211</v>
      </c>
      <c r="E5378" s="189" t="s">
        <v>28212</v>
      </c>
      <c r="F5378" s="162" t="s">
        <v>28213</v>
      </c>
      <c r="G5378" s="190"/>
      <c r="H5378" s="219"/>
      <c r="I5378" s="169">
        <v>111791</v>
      </c>
      <c r="J5378" s="304" t="str">
        <f>CONCATENATE([2]Cover!$D$6,"fdd/view?i=",I5378)</f>
        <v>https://www.dgiwg.org/FAD/fdd/view?i=111791</v>
      </c>
      <c r="K5378" s="304" t="s">
        <v>39427</v>
      </c>
      <c r="L5378" s="188">
        <v>8</v>
      </c>
      <c r="M5378" s="179" t="s">
        <v>151</v>
      </c>
    </row>
    <row r="5379" spans="1:13" ht="25.5">
      <c r="A5379" s="313" t="str">
        <f t="shared" ref="A5379:A5442" si="84">HYPERLINK(J5379,K5379)</f>
        <v>PortableAggressorWeaponCode_grenade</v>
      </c>
      <c r="B5379" s="330"/>
      <c r="C5379" s="334"/>
      <c r="D5379" s="188" t="s">
        <v>28215</v>
      </c>
      <c r="E5379" s="189" t="s">
        <v>28216</v>
      </c>
      <c r="F5379" s="162" t="s">
        <v>28217</v>
      </c>
      <c r="G5379" s="162" t="s">
        <v>28218</v>
      </c>
      <c r="H5379" s="219"/>
      <c r="I5379" s="169">
        <v>111790</v>
      </c>
      <c r="J5379" s="304" t="str">
        <f>CONCATENATE([2]Cover!$D$6,"fdd/view?i=",I5379)</f>
        <v>https://www.dgiwg.org/FAD/fdd/view?i=111790</v>
      </c>
      <c r="K5379" s="304" t="s">
        <v>39428</v>
      </c>
      <c r="L5379" s="188">
        <v>7</v>
      </c>
      <c r="M5379" s="179" t="s">
        <v>151</v>
      </c>
    </row>
    <row r="5380" spans="1:13" ht="25.5">
      <c r="A5380" s="313" t="str">
        <f t="shared" si="84"/>
        <v>PortableAggressorWeaponCode_gun</v>
      </c>
      <c r="B5380" s="330"/>
      <c r="C5380" s="334"/>
      <c r="D5380" s="188" t="s">
        <v>28219</v>
      </c>
      <c r="E5380" s="189" t="s">
        <v>28220</v>
      </c>
      <c r="F5380" s="162" t="s">
        <v>28221</v>
      </c>
      <c r="G5380" s="190"/>
      <c r="H5380" s="219"/>
      <c r="I5380" s="169">
        <v>112632</v>
      </c>
      <c r="J5380" s="304" t="str">
        <f>CONCATENATE([2]Cover!$D$6,"fdd/view?i=",I5380)</f>
        <v>https://www.dgiwg.org/FAD/fdd/view?i=112632</v>
      </c>
      <c r="K5380" s="304" t="s">
        <v>39429</v>
      </c>
      <c r="L5380" s="188">
        <v>4</v>
      </c>
      <c r="M5380" s="179" t="s">
        <v>151</v>
      </c>
    </row>
    <row r="5381" spans="1:13" ht="25.5">
      <c r="A5381" s="313" t="str">
        <f t="shared" si="84"/>
        <v>PortableAggressorWeaponCode_knife</v>
      </c>
      <c r="B5381" s="330"/>
      <c r="C5381" s="334"/>
      <c r="D5381" s="188" t="s">
        <v>28222</v>
      </c>
      <c r="E5381" s="189" t="s">
        <v>28223</v>
      </c>
      <c r="F5381" s="162" t="s">
        <v>28224</v>
      </c>
      <c r="G5381" s="190"/>
      <c r="H5381" s="219"/>
      <c r="I5381" s="169">
        <v>112626</v>
      </c>
      <c r="J5381" s="304" t="str">
        <f>CONCATENATE([2]Cover!$D$6,"fdd/view?i=",I5381)</f>
        <v>https://www.dgiwg.org/FAD/fdd/view?i=112626</v>
      </c>
      <c r="K5381" s="304" t="s">
        <v>39430</v>
      </c>
      <c r="L5381" s="188">
        <v>1</v>
      </c>
      <c r="M5381" s="179" t="s">
        <v>151</v>
      </c>
    </row>
    <row r="5382" spans="1:13" ht="25.5">
      <c r="A5382" s="313" t="str">
        <f t="shared" si="84"/>
        <v>PortableAggressorWeaponCode_pistol</v>
      </c>
      <c r="B5382" s="330"/>
      <c r="C5382" s="334"/>
      <c r="D5382" s="188" t="s">
        <v>28225</v>
      </c>
      <c r="E5382" s="189" t="s">
        <v>28226</v>
      </c>
      <c r="F5382" s="162" t="s">
        <v>28227</v>
      </c>
      <c r="G5382" s="190"/>
      <c r="H5382" s="219"/>
      <c r="I5382" s="169">
        <v>112630</v>
      </c>
      <c r="J5382" s="304" t="str">
        <f>CONCATENATE([2]Cover!$D$6,"fdd/view?i=",I5382)</f>
        <v>https://www.dgiwg.org/FAD/fdd/view?i=112630</v>
      </c>
      <c r="K5382" s="304" t="s">
        <v>39431</v>
      </c>
      <c r="L5382" s="188">
        <v>3</v>
      </c>
      <c r="M5382" s="179" t="s">
        <v>151</v>
      </c>
    </row>
    <row r="5383" spans="1:13" ht="25.5">
      <c r="A5383" s="313" t="str">
        <f t="shared" si="84"/>
        <v>PortableAggressorWeaponCode_rocketPropelledGrenade</v>
      </c>
      <c r="B5383" s="330"/>
      <c r="C5383" s="334"/>
      <c r="D5383" s="188" t="s">
        <v>28228</v>
      </c>
      <c r="E5383" s="189" t="s">
        <v>28229</v>
      </c>
      <c r="F5383" s="162" t="s">
        <v>28230</v>
      </c>
      <c r="G5383" s="190"/>
      <c r="H5383" s="219"/>
      <c r="I5383" s="169">
        <v>112636</v>
      </c>
      <c r="J5383" s="304" t="str">
        <f>CONCATENATE([2]Cover!$D$6,"fdd/view?i=",I5383)</f>
        <v>https://www.dgiwg.org/FAD/fdd/view?i=112636</v>
      </c>
      <c r="K5383" s="304" t="s">
        <v>39432</v>
      </c>
      <c r="L5383" s="188">
        <v>6</v>
      </c>
      <c r="M5383" s="179" t="s">
        <v>151</v>
      </c>
    </row>
    <row r="5384" spans="1:13" ht="25.5">
      <c r="A5384" s="313" t="str">
        <f t="shared" si="84"/>
        <v>PortableAggressorWeaponCode_sword</v>
      </c>
      <c r="B5384" s="331"/>
      <c r="C5384" s="335"/>
      <c r="D5384" s="181" t="s">
        <v>28231</v>
      </c>
      <c r="E5384" s="192" t="s">
        <v>28232</v>
      </c>
      <c r="F5384" s="193" t="s">
        <v>28233</v>
      </c>
      <c r="G5384" s="194"/>
      <c r="H5384" s="220"/>
      <c r="I5384" s="169">
        <v>112628</v>
      </c>
      <c r="J5384" s="304" t="str">
        <f>CONCATENATE([2]Cover!$D$6,"fdd/view?i=",I5384)</f>
        <v>https://www.dgiwg.org/FAD/fdd/view?i=112628</v>
      </c>
      <c r="K5384" s="304" t="s">
        <v>39433</v>
      </c>
      <c r="L5384" s="181">
        <v>2</v>
      </c>
      <c r="M5384" s="179" t="s">
        <v>151</v>
      </c>
    </row>
    <row r="5385" spans="1:13">
      <c r="A5385" s="313" t="str">
        <f t="shared" si="84"/>
        <v>PowerSourceCode_geothermal</v>
      </c>
      <c r="B5385" s="332" t="str">
        <f>HYPERLINK("[#]Datatypes!A1045:L1045","PowerSourceCode")</f>
        <v>PowerSourceCode</v>
      </c>
      <c r="C5385" s="333" t="s">
        <v>12639</v>
      </c>
      <c r="D5385" s="202" t="s">
        <v>28234</v>
      </c>
      <c r="E5385" s="203" t="s">
        <v>28235</v>
      </c>
      <c r="F5385" s="204" t="s">
        <v>28236</v>
      </c>
      <c r="G5385" s="205"/>
      <c r="H5385" s="218"/>
      <c r="I5385" s="169">
        <v>119679</v>
      </c>
      <c r="J5385" s="304" t="str">
        <f>CONCATENATE([2]Cover!$D$6,"fdd/view?i=",I5385)</f>
        <v>https://www.dgiwg.org/FAD/fdd/view?i=119679</v>
      </c>
      <c r="K5385" s="304" t="s">
        <v>39434</v>
      </c>
      <c r="L5385" s="202">
        <v>1</v>
      </c>
      <c r="M5385" s="179" t="s">
        <v>151</v>
      </c>
    </row>
    <row r="5386" spans="1:13" ht="38.25">
      <c r="A5386" s="313" t="str">
        <f t="shared" si="84"/>
        <v>PowerSourceCode_hydroElectric</v>
      </c>
      <c r="B5386" s="330"/>
      <c r="C5386" s="334"/>
      <c r="D5386" s="188" t="s">
        <v>28237</v>
      </c>
      <c r="E5386" s="189" t="s">
        <v>28238</v>
      </c>
      <c r="F5386" s="162" t="s">
        <v>28239</v>
      </c>
      <c r="G5386" s="162" t="s">
        <v>28240</v>
      </c>
      <c r="H5386" s="219"/>
      <c r="I5386" s="169">
        <v>119680</v>
      </c>
      <c r="J5386" s="304" t="str">
        <f>CONCATENATE([2]Cover!$D$6,"fdd/view?i=",I5386)</f>
        <v>https://www.dgiwg.org/FAD/fdd/view?i=119680</v>
      </c>
      <c r="K5386" s="304" t="s">
        <v>39435</v>
      </c>
      <c r="L5386" s="188">
        <v>2</v>
      </c>
      <c r="M5386" s="179" t="s">
        <v>151</v>
      </c>
    </row>
    <row r="5387" spans="1:13">
      <c r="A5387" s="313" t="str">
        <f t="shared" si="84"/>
        <v>PowerSourceCode_nuclear</v>
      </c>
      <c r="B5387" s="330"/>
      <c r="C5387" s="334"/>
      <c r="D5387" s="188" t="s">
        <v>21007</v>
      </c>
      <c r="E5387" s="189" t="s">
        <v>21008</v>
      </c>
      <c r="F5387" s="162" t="s">
        <v>28241</v>
      </c>
      <c r="G5387" s="190"/>
      <c r="H5387" s="219"/>
      <c r="I5387" s="169">
        <v>119681</v>
      </c>
      <c r="J5387" s="304" t="str">
        <f>CONCATENATE([2]Cover!$D$6,"fdd/view?i=",I5387)</f>
        <v>https://www.dgiwg.org/FAD/fdd/view?i=119681</v>
      </c>
      <c r="K5387" s="304" t="s">
        <v>39436</v>
      </c>
      <c r="L5387" s="188">
        <v>3</v>
      </c>
      <c r="M5387" s="179" t="s">
        <v>151</v>
      </c>
    </row>
    <row r="5388" spans="1:13" ht="25.5">
      <c r="A5388" s="313" t="str">
        <f t="shared" si="84"/>
        <v>PowerSourceCode_thermal</v>
      </c>
      <c r="B5388" s="330"/>
      <c r="C5388" s="334"/>
      <c r="D5388" s="188" t="s">
        <v>19318</v>
      </c>
      <c r="E5388" s="189" t="s">
        <v>19319</v>
      </c>
      <c r="F5388" s="162" t="s">
        <v>28242</v>
      </c>
      <c r="G5388" s="162" t="s">
        <v>28243</v>
      </c>
      <c r="H5388" s="219"/>
      <c r="I5388" s="169">
        <v>119682</v>
      </c>
      <c r="J5388" s="304" t="str">
        <f>CONCATENATE([2]Cover!$D$6,"fdd/view?i=",I5388)</f>
        <v>https://www.dgiwg.org/FAD/fdd/view?i=119682</v>
      </c>
      <c r="K5388" s="304" t="s">
        <v>39437</v>
      </c>
      <c r="L5388" s="188">
        <v>4</v>
      </c>
      <c r="M5388" s="179" t="s">
        <v>151</v>
      </c>
    </row>
    <row r="5389" spans="1:13">
      <c r="A5389" s="313" t="str">
        <f t="shared" si="84"/>
        <v>PowerSourceCode_tidal</v>
      </c>
      <c r="B5389" s="331"/>
      <c r="C5389" s="335"/>
      <c r="D5389" s="181" t="s">
        <v>28244</v>
      </c>
      <c r="E5389" s="192" t="s">
        <v>28245</v>
      </c>
      <c r="F5389" s="193" t="s">
        <v>28246</v>
      </c>
      <c r="G5389" s="194"/>
      <c r="H5389" s="220"/>
      <c r="I5389" s="169">
        <v>119683</v>
      </c>
      <c r="J5389" s="304" t="str">
        <f>CONCATENATE([2]Cover!$D$6,"fdd/view?i=",I5389)</f>
        <v>https://www.dgiwg.org/FAD/fdd/view?i=119683</v>
      </c>
      <c r="K5389" s="304" t="s">
        <v>39438</v>
      </c>
      <c r="L5389" s="181">
        <v>5</v>
      </c>
      <c r="M5389" s="179" t="s">
        <v>151</v>
      </c>
    </row>
    <row r="5390" spans="1:13" ht="25.5">
      <c r="A5390" s="313" t="str">
        <f t="shared" si="84"/>
        <v>PrimaryStructMatCharCode_bareCleared</v>
      </c>
      <c r="B5390" s="332" t="str">
        <f>HYPERLINK("[#]Datatypes!A1049:L1049","PrimaryStructMatCharCode")</f>
        <v>PrimaryStructMatCharCode</v>
      </c>
      <c r="C5390" s="333" t="s">
        <v>12644</v>
      </c>
      <c r="D5390" s="202" t="s">
        <v>28247</v>
      </c>
      <c r="E5390" s="203" t="s">
        <v>28248</v>
      </c>
      <c r="F5390" s="204" t="s">
        <v>28249</v>
      </c>
      <c r="G5390" s="204" t="s">
        <v>28250</v>
      </c>
      <c r="H5390" s="218"/>
      <c r="I5390" s="169">
        <v>106973</v>
      </c>
      <c r="J5390" s="304" t="str">
        <f>CONCATENATE([2]Cover!$D$6,"fdd/view?i=",I5390)</f>
        <v>https://www.dgiwg.org/FAD/fdd/view?i=106973</v>
      </c>
      <c r="K5390" s="304" t="s">
        <v>39439</v>
      </c>
      <c r="L5390" s="202">
        <v>14</v>
      </c>
      <c r="M5390" s="179" t="s">
        <v>151</v>
      </c>
    </row>
    <row r="5391" spans="1:13" ht="25.5">
      <c r="A5391" s="313" t="str">
        <f t="shared" si="84"/>
        <v>PrimaryStructMatCharCode_broken</v>
      </c>
      <c r="B5391" s="330"/>
      <c r="C5391" s="334"/>
      <c r="D5391" s="188" t="s">
        <v>28251</v>
      </c>
      <c r="E5391" s="189" t="s">
        <v>28252</v>
      </c>
      <c r="F5391" s="162" t="s">
        <v>28253</v>
      </c>
      <c r="G5391" s="162" t="s">
        <v>28254</v>
      </c>
      <c r="H5391" s="219"/>
      <c r="I5391" s="169">
        <v>106960</v>
      </c>
      <c r="J5391" s="304" t="str">
        <f>CONCATENATE([2]Cover!$D$6,"fdd/view?i=",I5391)</f>
        <v>https://www.dgiwg.org/FAD/fdd/view?i=106960</v>
      </c>
      <c r="K5391" s="304" t="s">
        <v>39440</v>
      </c>
      <c r="L5391" s="188">
        <v>1</v>
      </c>
      <c r="M5391" s="179" t="s">
        <v>151</v>
      </c>
    </row>
    <row r="5392" spans="1:13" ht="25.5">
      <c r="A5392" s="313" t="str">
        <f t="shared" si="84"/>
        <v>PrimaryStructMatCharCode_calcareous</v>
      </c>
      <c r="B5392" s="330"/>
      <c r="C5392" s="334"/>
      <c r="D5392" s="188" t="s">
        <v>28255</v>
      </c>
      <c r="E5392" s="189" t="s">
        <v>28256</v>
      </c>
      <c r="F5392" s="162" t="s">
        <v>28257</v>
      </c>
      <c r="G5392" s="162" t="s">
        <v>28258</v>
      </c>
      <c r="H5392" s="219"/>
      <c r="I5392" s="169">
        <v>106976</v>
      </c>
      <c r="J5392" s="304" t="str">
        <f>CONCATENATE([2]Cover!$D$6,"fdd/view?i=",I5392)</f>
        <v>https://www.dgiwg.org/FAD/fdd/view?i=106976</v>
      </c>
      <c r="K5392" s="304" t="s">
        <v>39441</v>
      </c>
      <c r="L5392" s="188">
        <v>17</v>
      </c>
      <c r="M5392" s="179" t="s">
        <v>151</v>
      </c>
    </row>
    <row r="5393" spans="1:13" ht="25.5">
      <c r="A5393" s="313" t="str">
        <f t="shared" si="84"/>
        <v>PrimaryStructMatCharCode_coarse</v>
      </c>
      <c r="B5393" s="330"/>
      <c r="C5393" s="334"/>
      <c r="D5393" s="188" t="s">
        <v>27008</v>
      </c>
      <c r="E5393" s="189" t="s">
        <v>27009</v>
      </c>
      <c r="F5393" s="162" t="s">
        <v>28259</v>
      </c>
      <c r="G5393" s="162" t="s">
        <v>28260</v>
      </c>
      <c r="H5393" s="219"/>
      <c r="I5393" s="169">
        <v>106961</v>
      </c>
      <c r="J5393" s="304" t="str">
        <f>CONCATENATE([2]Cover!$D$6,"fdd/view?i=",I5393)</f>
        <v>https://www.dgiwg.org/FAD/fdd/view?i=106961</v>
      </c>
      <c r="K5393" s="304" t="s">
        <v>39442</v>
      </c>
      <c r="L5393" s="188">
        <v>2</v>
      </c>
      <c r="M5393" s="179" t="s">
        <v>151</v>
      </c>
    </row>
    <row r="5394" spans="1:13" ht="25.5">
      <c r="A5394" s="313" t="str">
        <f t="shared" si="84"/>
        <v>PrimaryStructMatCharCode_decayed</v>
      </c>
      <c r="B5394" s="330"/>
      <c r="C5394" s="334"/>
      <c r="D5394" s="188" t="s">
        <v>28261</v>
      </c>
      <c r="E5394" s="189" t="s">
        <v>28262</v>
      </c>
      <c r="F5394" s="162" t="s">
        <v>28263</v>
      </c>
      <c r="G5394" s="162" t="s">
        <v>28264</v>
      </c>
      <c r="H5394" s="219"/>
      <c r="I5394" s="169">
        <v>106962</v>
      </c>
      <c r="J5394" s="304" t="str">
        <f>CONCATENATE([2]Cover!$D$6,"fdd/view?i=",I5394)</f>
        <v>https://www.dgiwg.org/FAD/fdd/view?i=106962</v>
      </c>
      <c r="K5394" s="304" t="s">
        <v>39443</v>
      </c>
      <c r="L5394" s="188">
        <v>3</v>
      </c>
      <c r="M5394" s="179" t="s">
        <v>151</v>
      </c>
    </row>
    <row r="5395" spans="1:13" ht="25.5">
      <c r="A5395" s="313" t="str">
        <f t="shared" si="84"/>
        <v>PrimaryStructMatCharCode_fineMinuteParticles</v>
      </c>
      <c r="B5395" s="330"/>
      <c r="C5395" s="334"/>
      <c r="D5395" s="188" t="s">
        <v>28265</v>
      </c>
      <c r="E5395" s="189" t="s">
        <v>28266</v>
      </c>
      <c r="F5395" s="162" t="s">
        <v>28267</v>
      </c>
      <c r="G5395" s="162" t="s">
        <v>28268</v>
      </c>
      <c r="H5395" s="219"/>
      <c r="I5395" s="169">
        <v>106963</v>
      </c>
      <c r="J5395" s="304" t="str">
        <f>CONCATENATE([2]Cover!$D$6,"fdd/view?i=",I5395)</f>
        <v>https://www.dgiwg.org/FAD/fdd/view?i=106963</v>
      </c>
      <c r="K5395" s="304" t="s">
        <v>39444</v>
      </c>
      <c r="L5395" s="188">
        <v>4</v>
      </c>
      <c r="M5395" s="179" t="s">
        <v>151</v>
      </c>
    </row>
    <row r="5396" spans="1:13">
      <c r="A5396" s="313" t="str">
        <f t="shared" si="84"/>
        <v>PrimaryStructMatCharCode_flinty</v>
      </c>
      <c r="B5396" s="330"/>
      <c r="C5396" s="334"/>
      <c r="D5396" s="188" t="s">
        <v>28269</v>
      </c>
      <c r="E5396" s="189" t="s">
        <v>28270</v>
      </c>
      <c r="F5396" s="162" t="s">
        <v>28271</v>
      </c>
      <c r="G5396" s="190"/>
      <c r="H5396" s="219"/>
      <c r="I5396" s="169">
        <v>106977</v>
      </c>
      <c r="J5396" s="304" t="str">
        <f>CONCATENATE([2]Cover!$D$6,"fdd/view?i=",I5396)</f>
        <v>https://www.dgiwg.org/FAD/fdd/view?i=106977</v>
      </c>
      <c r="K5396" s="304" t="s">
        <v>39445</v>
      </c>
      <c r="L5396" s="188">
        <v>18</v>
      </c>
      <c r="M5396" s="179" t="s">
        <v>151</v>
      </c>
    </row>
    <row r="5397" spans="1:13" ht="25.5">
      <c r="A5397" s="313" t="str">
        <f t="shared" si="84"/>
        <v>PrimaryStructMatCharCode_glacial</v>
      </c>
      <c r="B5397" s="330"/>
      <c r="C5397" s="334"/>
      <c r="D5397" s="188" t="s">
        <v>28272</v>
      </c>
      <c r="E5397" s="189" t="s">
        <v>28273</v>
      </c>
      <c r="F5397" s="162" t="s">
        <v>28274</v>
      </c>
      <c r="G5397" s="190"/>
      <c r="H5397" s="219"/>
      <c r="I5397" s="169">
        <v>106978</v>
      </c>
      <c r="J5397" s="304" t="str">
        <f>CONCATENATE([2]Cover!$D$6,"fdd/view?i=",I5397)</f>
        <v>https://www.dgiwg.org/FAD/fdd/view?i=106978</v>
      </c>
      <c r="K5397" s="304" t="s">
        <v>39446</v>
      </c>
      <c r="L5397" s="188">
        <v>19</v>
      </c>
      <c r="M5397" s="179" t="s">
        <v>151</v>
      </c>
    </row>
    <row r="5398" spans="1:13">
      <c r="A5398" s="313" t="str">
        <f t="shared" si="84"/>
        <v>PrimaryStructMatCharCode_gritty</v>
      </c>
      <c r="B5398" s="330"/>
      <c r="C5398" s="334"/>
      <c r="D5398" s="188" t="s">
        <v>28275</v>
      </c>
      <c r="E5398" s="189" t="s">
        <v>28276</v>
      </c>
      <c r="F5398" s="162" t="s">
        <v>28277</v>
      </c>
      <c r="G5398" s="162" t="s">
        <v>28278</v>
      </c>
      <c r="H5398" s="219"/>
      <c r="I5398" s="169">
        <v>106964</v>
      </c>
      <c r="J5398" s="304" t="str">
        <f>CONCATENATE([2]Cover!$D$6,"fdd/view?i=",I5398)</f>
        <v>https://www.dgiwg.org/FAD/fdd/view?i=106964</v>
      </c>
      <c r="K5398" s="304" t="s">
        <v>39447</v>
      </c>
      <c r="L5398" s="188">
        <v>5</v>
      </c>
      <c r="M5398" s="179" t="s">
        <v>151</v>
      </c>
    </row>
    <row r="5399" spans="1:13" ht="25.5">
      <c r="A5399" s="313" t="str">
        <f t="shared" si="84"/>
        <v>PrimaryStructMatCharCode_ground</v>
      </c>
      <c r="B5399" s="330"/>
      <c r="C5399" s="334"/>
      <c r="D5399" s="188" t="s">
        <v>27421</v>
      </c>
      <c r="E5399" s="189" t="s">
        <v>27422</v>
      </c>
      <c r="F5399" s="162" t="s">
        <v>28279</v>
      </c>
      <c r="G5399" s="162" t="s">
        <v>28280</v>
      </c>
      <c r="H5399" s="219"/>
      <c r="I5399" s="169">
        <v>106979</v>
      </c>
      <c r="J5399" s="304" t="str">
        <f>CONCATENATE([2]Cover!$D$6,"fdd/view?i=",I5399)</f>
        <v>https://www.dgiwg.org/FAD/fdd/view?i=106979</v>
      </c>
      <c r="K5399" s="304" t="s">
        <v>39448</v>
      </c>
      <c r="L5399" s="188">
        <v>20</v>
      </c>
      <c r="M5399" s="179" t="s">
        <v>151</v>
      </c>
    </row>
    <row r="5400" spans="1:13" ht="25.5">
      <c r="A5400" s="313" t="str">
        <f t="shared" si="84"/>
        <v>PrimaryStructMatCharCode_hard</v>
      </c>
      <c r="B5400" s="330"/>
      <c r="C5400" s="334"/>
      <c r="D5400" s="188" t="s">
        <v>28281</v>
      </c>
      <c r="E5400" s="189" t="s">
        <v>28282</v>
      </c>
      <c r="F5400" s="162" t="s">
        <v>28283</v>
      </c>
      <c r="G5400" s="190"/>
      <c r="H5400" s="219"/>
      <c r="I5400" s="169">
        <v>106965</v>
      </c>
      <c r="J5400" s="304" t="str">
        <f>CONCATENATE([2]Cover!$D$6,"fdd/view?i=",I5400)</f>
        <v>https://www.dgiwg.org/FAD/fdd/view?i=106965</v>
      </c>
      <c r="K5400" s="304" t="s">
        <v>39449</v>
      </c>
      <c r="L5400" s="188">
        <v>6</v>
      </c>
      <c r="M5400" s="179" t="s">
        <v>151</v>
      </c>
    </row>
    <row r="5401" spans="1:13" ht="25.5">
      <c r="A5401" s="313" t="str">
        <f t="shared" si="84"/>
        <v>PrimaryStructMatCharCode_irregular</v>
      </c>
      <c r="B5401" s="330"/>
      <c r="C5401" s="334"/>
      <c r="D5401" s="188" t="s">
        <v>15417</v>
      </c>
      <c r="E5401" s="189" t="s">
        <v>15418</v>
      </c>
      <c r="F5401" s="162" t="s">
        <v>28284</v>
      </c>
      <c r="G5401" s="190"/>
      <c r="H5401" s="219"/>
      <c r="I5401" s="169">
        <v>106972</v>
      </c>
      <c r="J5401" s="304" t="str">
        <f>CONCATENATE([2]Cover!$D$6,"fdd/view?i=",I5401)</f>
        <v>https://www.dgiwg.org/FAD/fdd/view?i=106972</v>
      </c>
      <c r="K5401" s="304" t="s">
        <v>39450</v>
      </c>
      <c r="L5401" s="188">
        <v>13</v>
      </c>
      <c r="M5401" s="179" t="s">
        <v>151</v>
      </c>
    </row>
    <row r="5402" spans="1:13">
      <c r="A5402" s="313" t="str">
        <f t="shared" si="84"/>
        <v>PrimaryStructMatCharCode_large</v>
      </c>
      <c r="B5402" s="330"/>
      <c r="C5402" s="334"/>
      <c r="D5402" s="188" t="s">
        <v>28285</v>
      </c>
      <c r="E5402" s="189" t="s">
        <v>28286</v>
      </c>
      <c r="F5402" s="162" t="s">
        <v>28287</v>
      </c>
      <c r="G5402" s="162" t="s">
        <v>28288</v>
      </c>
      <c r="H5402" s="219"/>
      <c r="I5402" s="169">
        <v>106980</v>
      </c>
      <c r="J5402" s="304" t="str">
        <f>CONCATENATE([2]Cover!$D$6,"fdd/view?i=",I5402)</f>
        <v>https://www.dgiwg.org/FAD/fdd/view?i=106980</v>
      </c>
      <c r="K5402" s="304" t="s">
        <v>39451</v>
      </c>
      <c r="L5402" s="188">
        <v>21</v>
      </c>
      <c r="M5402" s="179" t="s">
        <v>151</v>
      </c>
    </row>
    <row r="5403" spans="1:13" ht="25.5">
      <c r="A5403" s="313" t="str">
        <f t="shared" si="84"/>
        <v>PrimaryStructMatCharCode_medium</v>
      </c>
      <c r="B5403" s="330"/>
      <c r="C5403" s="334"/>
      <c r="D5403" s="188" t="s">
        <v>24703</v>
      </c>
      <c r="E5403" s="189" t="s">
        <v>24704</v>
      </c>
      <c r="F5403" s="162" t="s">
        <v>28289</v>
      </c>
      <c r="G5403" s="190"/>
      <c r="H5403" s="219"/>
      <c r="I5403" s="169">
        <v>106986</v>
      </c>
      <c r="J5403" s="304" t="str">
        <f>CONCATENATE([2]Cover!$D$6,"fdd/view?i=",I5403)</f>
        <v>https://www.dgiwg.org/FAD/fdd/view?i=106986</v>
      </c>
      <c r="K5403" s="304" t="s">
        <v>39452</v>
      </c>
      <c r="L5403" s="188">
        <v>27</v>
      </c>
      <c r="M5403" s="179" t="s">
        <v>151</v>
      </c>
    </row>
    <row r="5404" spans="1:13" ht="38.25">
      <c r="A5404" s="313" t="str">
        <f t="shared" si="84"/>
        <v>PrimaryStructMatCharCode_mobileBottom</v>
      </c>
      <c r="B5404" s="330"/>
      <c r="C5404" s="334"/>
      <c r="D5404" s="188" t="s">
        <v>28290</v>
      </c>
      <c r="E5404" s="189" t="s">
        <v>28291</v>
      </c>
      <c r="F5404" s="162" t="s">
        <v>28292</v>
      </c>
      <c r="G5404" s="190"/>
      <c r="H5404" s="219"/>
      <c r="I5404" s="169">
        <v>106988</v>
      </c>
      <c r="J5404" s="304" t="str">
        <f>CONCATENATE([2]Cover!$D$6,"fdd/view?i=",I5404)</f>
        <v>https://www.dgiwg.org/FAD/fdd/view?i=106988</v>
      </c>
      <c r="K5404" s="304" t="s">
        <v>39453</v>
      </c>
      <c r="L5404" s="188">
        <v>29</v>
      </c>
      <c r="M5404" s="179" t="s">
        <v>151</v>
      </c>
    </row>
    <row r="5405" spans="1:13" ht="25.5">
      <c r="A5405" s="313" t="str">
        <f t="shared" si="84"/>
        <v>PrimaryStructMatCharCode_rocky</v>
      </c>
      <c r="B5405" s="330"/>
      <c r="C5405" s="334"/>
      <c r="D5405" s="188" t="s">
        <v>28293</v>
      </c>
      <c r="E5405" s="189" t="s">
        <v>28294</v>
      </c>
      <c r="F5405" s="162" t="s">
        <v>28295</v>
      </c>
      <c r="G5405" s="162" t="s">
        <v>28296</v>
      </c>
      <c r="H5405" s="219"/>
      <c r="I5405" s="169">
        <v>106981</v>
      </c>
      <c r="J5405" s="304" t="str">
        <f>CONCATENATE([2]Cover!$D$6,"fdd/view?i=",I5405)</f>
        <v>https://www.dgiwg.org/FAD/fdd/view?i=106981</v>
      </c>
      <c r="K5405" s="304" t="s">
        <v>39454</v>
      </c>
      <c r="L5405" s="188">
        <v>22</v>
      </c>
      <c r="M5405" s="179" t="s">
        <v>151</v>
      </c>
    </row>
    <row r="5406" spans="1:13" ht="25.5">
      <c r="A5406" s="313" t="str">
        <f t="shared" si="84"/>
        <v>PrimaryStructMatCharCode_rotten</v>
      </c>
      <c r="B5406" s="330"/>
      <c r="C5406" s="334"/>
      <c r="D5406" s="188" t="s">
        <v>28297</v>
      </c>
      <c r="E5406" s="189" t="s">
        <v>28298</v>
      </c>
      <c r="F5406" s="162" t="s">
        <v>28299</v>
      </c>
      <c r="G5406" s="190"/>
      <c r="H5406" s="219"/>
      <c r="I5406" s="169">
        <v>106966</v>
      </c>
      <c r="J5406" s="304" t="str">
        <f>CONCATENATE([2]Cover!$D$6,"fdd/view?i=",I5406)</f>
        <v>https://www.dgiwg.org/FAD/fdd/view?i=106966</v>
      </c>
      <c r="K5406" s="304" t="s">
        <v>39455</v>
      </c>
      <c r="L5406" s="188">
        <v>7</v>
      </c>
      <c r="M5406" s="179" t="s">
        <v>151</v>
      </c>
    </row>
    <row r="5407" spans="1:13">
      <c r="A5407" s="313" t="str">
        <f t="shared" si="84"/>
        <v>PrimaryStructMatCharCode_small</v>
      </c>
      <c r="B5407" s="330"/>
      <c r="C5407" s="334"/>
      <c r="D5407" s="188" t="s">
        <v>28300</v>
      </c>
      <c r="E5407" s="189" t="s">
        <v>28301</v>
      </c>
      <c r="F5407" s="162" t="s">
        <v>28302</v>
      </c>
      <c r="G5407" s="162" t="s">
        <v>28303</v>
      </c>
      <c r="H5407" s="219"/>
      <c r="I5407" s="169">
        <v>106982</v>
      </c>
      <c r="J5407" s="304" t="str">
        <f>CONCATENATE([2]Cover!$D$6,"fdd/view?i=",I5407)</f>
        <v>https://www.dgiwg.org/FAD/fdd/view?i=106982</v>
      </c>
      <c r="K5407" s="304" t="s">
        <v>39456</v>
      </c>
      <c r="L5407" s="188">
        <v>23</v>
      </c>
      <c r="M5407" s="179" t="s">
        <v>151</v>
      </c>
    </row>
    <row r="5408" spans="1:13" ht="25.5">
      <c r="A5408" s="313" t="str">
        <f t="shared" si="84"/>
        <v>PrimaryStructMatCharCode_soft</v>
      </c>
      <c r="B5408" s="330"/>
      <c r="C5408" s="334"/>
      <c r="D5408" s="188" t="s">
        <v>28304</v>
      </c>
      <c r="E5408" s="189" t="s">
        <v>28305</v>
      </c>
      <c r="F5408" s="162" t="s">
        <v>28306</v>
      </c>
      <c r="G5408" s="190"/>
      <c r="H5408" s="219"/>
      <c r="I5408" s="169">
        <v>106967</v>
      </c>
      <c r="J5408" s="304" t="str">
        <f>CONCATENATE([2]Cover!$D$6,"fdd/view?i=",I5408)</f>
        <v>https://www.dgiwg.org/FAD/fdd/view?i=106967</v>
      </c>
      <c r="K5408" s="304" t="s">
        <v>39457</v>
      </c>
      <c r="L5408" s="188">
        <v>8</v>
      </c>
      <c r="M5408" s="179" t="s">
        <v>151</v>
      </c>
    </row>
    <row r="5409" spans="1:13" ht="25.5">
      <c r="A5409" s="313" t="str">
        <f t="shared" si="84"/>
        <v>PrimaryStructMatCharCode_speckled</v>
      </c>
      <c r="B5409" s="330"/>
      <c r="C5409" s="334"/>
      <c r="D5409" s="188" t="s">
        <v>28307</v>
      </c>
      <c r="E5409" s="189" t="s">
        <v>28308</v>
      </c>
      <c r="F5409" s="162" t="s">
        <v>28309</v>
      </c>
      <c r="G5409" s="190"/>
      <c r="H5409" s="219"/>
      <c r="I5409" s="169">
        <v>106983</v>
      </c>
      <c r="J5409" s="304" t="str">
        <f>CONCATENATE([2]Cover!$D$6,"fdd/view?i=",I5409)</f>
        <v>https://www.dgiwg.org/FAD/fdd/view?i=106983</v>
      </c>
      <c r="K5409" s="304" t="s">
        <v>39458</v>
      </c>
      <c r="L5409" s="188">
        <v>24</v>
      </c>
      <c r="M5409" s="179" t="s">
        <v>151</v>
      </c>
    </row>
    <row r="5410" spans="1:13" ht="25.5">
      <c r="A5410" s="313" t="str">
        <f t="shared" si="84"/>
        <v>PrimaryStructMatCharCode_sticky</v>
      </c>
      <c r="B5410" s="330"/>
      <c r="C5410" s="334"/>
      <c r="D5410" s="188" t="s">
        <v>28310</v>
      </c>
      <c r="E5410" s="189" t="s">
        <v>28311</v>
      </c>
      <c r="F5410" s="162" t="s">
        <v>28312</v>
      </c>
      <c r="G5410" s="162" t="s">
        <v>28313</v>
      </c>
      <c r="H5410" s="219"/>
      <c r="I5410" s="169">
        <v>106968</v>
      </c>
      <c r="J5410" s="304" t="str">
        <f>CONCATENATE([2]Cover!$D$6,"fdd/view?i=",I5410)</f>
        <v>https://www.dgiwg.org/FAD/fdd/view?i=106968</v>
      </c>
      <c r="K5410" s="304" t="s">
        <v>39459</v>
      </c>
      <c r="L5410" s="188">
        <v>9</v>
      </c>
      <c r="M5410" s="179" t="s">
        <v>151</v>
      </c>
    </row>
    <row r="5411" spans="1:13">
      <c r="A5411" s="313" t="str">
        <f t="shared" si="84"/>
        <v>PrimaryStructMatCharCode_stiff</v>
      </c>
      <c r="B5411" s="330"/>
      <c r="C5411" s="334"/>
      <c r="D5411" s="188" t="s">
        <v>28314</v>
      </c>
      <c r="E5411" s="189" t="s">
        <v>28315</v>
      </c>
      <c r="F5411" s="162" t="s">
        <v>28316</v>
      </c>
      <c r="G5411" s="162" t="s">
        <v>28317</v>
      </c>
      <c r="H5411" s="219"/>
      <c r="I5411" s="169">
        <v>106969</v>
      </c>
      <c r="J5411" s="304" t="str">
        <f>CONCATENATE([2]Cover!$D$6,"fdd/view?i=",I5411)</f>
        <v>https://www.dgiwg.org/FAD/fdd/view?i=106969</v>
      </c>
      <c r="K5411" s="304" t="s">
        <v>39460</v>
      </c>
      <c r="L5411" s="188">
        <v>10</v>
      </c>
      <c r="M5411" s="179" t="s">
        <v>151</v>
      </c>
    </row>
    <row r="5412" spans="1:13" ht="25.5">
      <c r="A5412" s="313" t="str">
        <f t="shared" si="84"/>
        <v>PrimaryStructMatCharCode_streaky</v>
      </c>
      <c r="B5412" s="330"/>
      <c r="C5412" s="334"/>
      <c r="D5412" s="188" t="s">
        <v>28318</v>
      </c>
      <c r="E5412" s="189" t="s">
        <v>28319</v>
      </c>
      <c r="F5412" s="162" t="s">
        <v>28320</v>
      </c>
      <c r="G5412" s="190"/>
      <c r="H5412" s="219"/>
      <c r="I5412" s="169">
        <v>106970</v>
      </c>
      <c r="J5412" s="304" t="str">
        <f>CONCATENATE([2]Cover!$D$6,"fdd/view?i=",I5412)</f>
        <v>https://www.dgiwg.org/FAD/fdd/view?i=106970</v>
      </c>
      <c r="K5412" s="304" t="s">
        <v>39461</v>
      </c>
      <c r="L5412" s="188">
        <v>11</v>
      </c>
      <c r="M5412" s="179" t="s">
        <v>151</v>
      </c>
    </row>
    <row r="5413" spans="1:13" ht="38.25">
      <c r="A5413" s="313" t="str">
        <f t="shared" si="84"/>
        <v>PrimaryStructMatCharCode_tenacious</v>
      </c>
      <c r="B5413" s="330"/>
      <c r="C5413" s="334"/>
      <c r="D5413" s="188" t="s">
        <v>28321</v>
      </c>
      <c r="E5413" s="189" t="s">
        <v>28322</v>
      </c>
      <c r="F5413" s="162" t="s">
        <v>28323</v>
      </c>
      <c r="G5413" s="162" t="s">
        <v>28324</v>
      </c>
      <c r="H5413" s="219"/>
      <c r="I5413" s="169">
        <v>106971</v>
      </c>
      <c r="J5413" s="304" t="str">
        <f>CONCATENATE([2]Cover!$D$6,"fdd/view?i=",I5413)</f>
        <v>https://www.dgiwg.org/FAD/fdd/view?i=106971</v>
      </c>
      <c r="K5413" s="304" t="s">
        <v>39462</v>
      </c>
      <c r="L5413" s="188">
        <v>12</v>
      </c>
      <c r="M5413" s="179" t="s">
        <v>151</v>
      </c>
    </row>
    <row r="5414" spans="1:13" ht="25.5">
      <c r="A5414" s="313" t="str">
        <f t="shared" si="84"/>
        <v>PrimaryStructMatCharCode_varied</v>
      </c>
      <c r="B5414" s="330"/>
      <c r="C5414" s="334"/>
      <c r="D5414" s="188" t="s">
        <v>28325</v>
      </c>
      <c r="E5414" s="189" t="s">
        <v>28326</v>
      </c>
      <c r="F5414" s="162" t="s">
        <v>28327</v>
      </c>
      <c r="G5414" s="190"/>
      <c r="H5414" s="219"/>
      <c r="I5414" s="169">
        <v>106984</v>
      </c>
      <c r="J5414" s="304" t="str">
        <f>CONCATENATE([2]Cover!$D$6,"fdd/view?i=",I5414)</f>
        <v>https://www.dgiwg.org/FAD/fdd/view?i=106984</v>
      </c>
      <c r="K5414" s="304" t="s">
        <v>39463</v>
      </c>
      <c r="L5414" s="188">
        <v>25</v>
      </c>
      <c r="M5414" s="179" t="s">
        <v>151</v>
      </c>
    </row>
    <row r="5415" spans="1:13" ht="25.5">
      <c r="A5415" s="313" t="str">
        <f t="shared" si="84"/>
        <v>PrimaryStructMatCharCode_volcanic</v>
      </c>
      <c r="B5415" s="331"/>
      <c r="C5415" s="335"/>
      <c r="D5415" s="181" t="s">
        <v>28328</v>
      </c>
      <c r="E5415" s="192" t="s">
        <v>28329</v>
      </c>
      <c r="F5415" s="193" t="s">
        <v>28330</v>
      </c>
      <c r="G5415" s="194"/>
      <c r="H5415" s="220"/>
      <c r="I5415" s="169">
        <v>106985</v>
      </c>
      <c r="J5415" s="304" t="str">
        <f>CONCATENATE([2]Cover!$D$6,"fdd/view?i=",I5415)</f>
        <v>https://www.dgiwg.org/FAD/fdd/view?i=106985</v>
      </c>
      <c r="K5415" s="304" t="s">
        <v>39464</v>
      </c>
      <c r="L5415" s="181">
        <v>26</v>
      </c>
      <c r="M5415" s="179" t="s">
        <v>151</v>
      </c>
    </row>
    <row r="5416" spans="1:13" ht="38.25">
      <c r="A5416" s="313" t="str">
        <f t="shared" si="84"/>
        <v>PrimaryStructMatTypeCode_adobeBrick</v>
      </c>
      <c r="B5416" s="332" t="str">
        <f>HYPERLINK("[#]Datatypes!A1051:L1051","PrimaryStructMatTypeCode")</f>
        <v>PrimaryStructMatTypeCode</v>
      </c>
      <c r="C5416" s="333" t="s">
        <v>12646</v>
      </c>
      <c r="D5416" s="202" t="s">
        <v>28331</v>
      </c>
      <c r="E5416" s="203" t="s">
        <v>28332</v>
      </c>
      <c r="F5416" s="204" t="s">
        <v>28333</v>
      </c>
      <c r="G5416" s="204" t="s">
        <v>28334</v>
      </c>
      <c r="H5416" s="218"/>
      <c r="I5416" s="169">
        <v>112754</v>
      </c>
      <c r="J5416" s="304" t="str">
        <f>CONCATENATE([2]Cover!$D$6,"fdd/view?i=",I5416)</f>
        <v>https://www.dgiwg.org/FAD/fdd/view?i=112754</v>
      </c>
      <c r="K5416" s="304" t="s">
        <v>39465</v>
      </c>
      <c r="L5416" s="202">
        <v>149</v>
      </c>
      <c r="M5416" s="179" t="s">
        <v>151</v>
      </c>
    </row>
    <row r="5417" spans="1:13" ht="25.5">
      <c r="A5417" s="313" t="str">
        <f t="shared" si="84"/>
        <v>PrimaryStructMatTypeCode_aluminum</v>
      </c>
      <c r="B5417" s="330"/>
      <c r="C5417" s="334"/>
      <c r="D5417" s="188" t="s">
        <v>28335</v>
      </c>
      <c r="E5417" s="189" t="s">
        <v>28336</v>
      </c>
      <c r="F5417" s="162" t="s">
        <v>28337</v>
      </c>
      <c r="G5417" s="190"/>
      <c r="H5417" s="219"/>
      <c r="I5417" s="169">
        <v>105322</v>
      </c>
      <c r="J5417" s="304" t="str">
        <f>CONCATENATE([2]Cover!$D$6,"fdd/view?i=",I5417)</f>
        <v>https://www.dgiwg.org/FAD/fdd/view?i=105322</v>
      </c>
      <c r="K5417" s="304" t="s">
        <v>39466</v>
      </c>
      <c r="L5417" s="188">
        <v>2</v>
      </c>
      <c r="M5417" s="179" t="s">
        <v>151</v>
      </c>
    </row>
    <row r="5418" spans="1:13" ht="25.5">
      <c r="A5418" s="313" t="str">
        <f t="shared" si="84"/>
        <v>PrimaryStructMatTypeCode_ash</v>
      </c>
      <c r="B5418" s="330"/>
      <c r="C5418" s="334"/>
      <c r="D5418" s="188" t="s">
        <v>18821</v>
      </c>
      <c r="E5418" s="189" t="s">
        <v>18822</v>
      </c>
      <c r="F5418" s="162" t="s">
        <v>18823</v>
      </c>
      <c r="G5418" s="190"/>
      <c r="H5418" s="219"/>
      <c r="I5418" s="169">
        <v>105324</v>
      </c>
      <c r="J5418" s="304" t="str">
        <f>CONCATENATE([2]Cover!$D$6,"fdd/view?i=",I5418)</f>
        <v>https://www.dgiwg.org/FAD/fdd/view?i=105324</v>
      </c>
      <c r="K5418" s="304" t="s">
        <v>39467</v>
      </c>
      <c r="L5418" s="188">
        <v>4</v>
      </c>
      <c r="M5418" s="179" t="s">
        <v>151</v>
      </c>
    </row>
    <row r="5419" spans="1:13" ht="25.5">
      <c r="A5419" s="313" t="str">
        <f t="shared" si="84"/>
        <v>PrimaryStructMatTypeCode_asphalt</v>
      </c>
      <c r="B5419" s="330"/>
      <c r="C5419" s="334"/>
      <c r="D5419" s="188" t="s">
        <v>15076</v>
      </c>
      <c r="E5419" s="189" t="s">
        <v>15077</v>
      </c>
      <c r="F5419" s="162" t="s">
        <v>28338</v>
      </c>
      <c r="G5419" s="190"/>
      <c r="H5419" s="219"/>
      <c r="I5419" s="169">
        <v>105325</v>
      </c>
      <c r="J5419" s="304" t="str">
        <f>CONCATENATE([2]Cover!$D$6,"fdd/view?i=",I5419)</f>
        <v>https://www.dgiwg.org/FAD/fdd/view?i=105325</v>
      </c>
      <c r="K5419" s="304" t="s">
        <v>39468</v>
      </c>
      <c r="L5419" s="188">
        <v>5</v>
      </c>
      <c r="M5419" s="179" t="s">
        <v>151</v>
      </c>
    </row>
    <row r="5420" spans="1:13" ht="38.25">
      <c r="A5420" s="313" t="str">
        <f t="shared" si="84"/>
        <v>PrimaryStructMatTypeCode_bedrock</v>
      </c>
      <c r="B5420" s="330"/>
      <c r="C5420" s="334"/>
      <c r="D5420" s="188" t="s">
        <v>18082</v>
      </c>
      <c r="E5420" s="189" t="s">
        <v>18083</v>
      </c>
      <c r="F5420" s="162" t="s">
        <v>18084</v>
      </c>
      <c r="G5420" s="162" t="s">
        <v>18085</v>
      </c>
      <c r="H5420" s="219"/>
      <c r="I5420" s="169">
        <v>105327</v>
      </c>
      <c r="J5420" s="304" t="str">
        <f>CONCATENATE([2]Cover!$D$6,"fdd/view?i=",I5420)</f>
        <v>https://www.dgiwg.org/FAD/fdd/view?i=105327</v>
      </c>
      <c r="K5420" s="304" t="s">
        <v>39469</v>
      </c>
      <c r="L5420" s="188">
        <v>7</v>
      </c>
      <c r="M5420" s="179" t="s">
        <v>151</v>
      </c>
    </row>
    <row r="5421" spans="1:13" ht="25.5">
      <c r="A5421" s="313" t="str">
        <f t="shared" si="84"/>
        <v>PrimaryStructMatTypeCode_boulders</v>
      </c>
      <c r="B5421" s="330"/>
      <c r="C5421" s="334"/>
      <c r="D5421" s="188" t="s">
        <v>16777</v>
      </c>
      <c r="E5421" s="189" t="s">
        <v>16778</v>
      </c>
      <c r="F5421" s="162" t="s">
        <v>18112</v>
      </c>
      <c r="G5421" s="190"/>
      <c r="H5421" s="219"/>
      <c r="I5421" s="169">
        <v>105328</v>
      </c>
      <c r="J5421" s="304" t="str">
        <f>CONCATENATE([2]Cover!$D$6,"fdd/view?i=",I5421)</f>
        <v>https://www.dgiwg.org/FAD/fdd/view?i=105328</v>
      </c>
      <c r="K5421" s="304" t="s">
        <v>39470</v>
      </c>
      <c r="L5421" s="188">
        <v>8</v>
      </c>
      <c r="M5421" s="179" t="s">
        <v>151</v>
      </c>
    </row>
    <row r="5422" spans="1:13" ht="25.5">
      <c r="A5422" s="313" t="str">
        <f t="shared" si="84"/>
        <v>PrimaryStructMatTypeCode_brick</v>
      </c>
      <c r="B5422" s="330"/>
      <c r="C5422" s="334"/>
      <c r="D5422" s="188" t="s">
        <v>15087</v>
      </c>
      <c r="E5422" s="189" t="s">
        <v>15088</v>
      </c>
      <c r="F5422" s="162" t="s">
        <v>28339</v>
      </c>
      <c r="G5422" s="190"/>
      <c r="H5422" s="219"/>
      <c r="I5422" s="169">
        <v>105329</v>
      </c>
      <c r="J5422" s="304" t="str">
        <f>CONCATENATE([2]Cover!$D$6,"fdd/view?i=",I5422)</f>
        <v>https://www.dgiwg.org/FAD/fdd/view?i=105329</v>
      </c>
      <c r="K5422" s="304" t="s">
        <v>39471</v>
      </c>
      <c r="L5422" s="188">
        <v>9</v>
      </c>
      <c r="M5422" s="179" t="s">
        <v>151</v>
      </c>
    </row>
    <row r="5423" spans="1:13" ht="25.5">
      <c r="A5423" s="313" t="str">
        <f t="shared" si="84"/>
        <v>PrimaryStructMatTypeCode_calcareous</v>
      </c>
      <c r="B5423" s="330"/>
      <c r="C5423" s="334"/>
      <c r="D5423" s="188" t="s">
        <v>28255</v>
      </c>
      <c r="E5423" s="189" t="s">
        <v>28256</v>
      </c>
      <c r="F5423" s="162" t="s">
        <v>28340</v>
      </c>
      <c r="G5423" s="190"/>
      <c r="H5423" s="219"/>
      <c r="I5423" s="169">
        <v>105330</v>
      </c>
      <c r="J5423" s="304" t="str">
        <f>CONCATENATE([2]Cover!$D$6,"fdd/view?i=",I5423)</f>
        <v>https://www.dgiwg.org/FAD/fdd/view?i=105330</v>
      </c>
      <c r="K5423" s="304" t="s">
        <v>39472</v>
      </c>
      <c r="L5423" s="188">
        <v>10</v>
      </c>
      <c r="M5423" s="179" t="s">
        <v>151</v>
      </c>
    </row>
    <row r="5424" spans="1:13" ht="25.5">
      <c r="A5424" s="313" t="str">
        <f t="shared" si="84"/>
        <v>PrimaryStructMatTypeCode_ceramic</v>
      </c>
      <c r="B5424" s="330"/>
      <c r="C5424" s="334"/>
      <c r="D5424" s="188" t="s">
        <v>28341</v>
      </c>
      <c r="E5424" s="189" t="s">
        <v>28342</v>
      </c>
      <c r="F5424" s="162" t="s">
        <v>28343</v>
      </c>
      <c r="G5424" s="162" t="s">
        <v>28344</v>
      </c>
      <c r="H5424" s="219"/>
      <c r="I5424" s="169">
        <v>105450</v>
      </c>
      <c r="J5424" s="304" t="str">
        <f>CONCATENATE([2]Cover!$D$6,"fdd/view?i=",I5424)</f>
        <v>https://www.dgiwg.org/FAD/fdd/view?i=105450</v>
      </c>
      <c r="K5424" s="304" t="s">
        <v>39473</v>
      </c>
      <c r="L5424" s="188">
        <v>131</v>
      </c>
      <c r="M5424" s="179" t="s">
        <v>151</v>
      </c>
    </row>
    <row r="5425" spans="1:13" ht="25.5">
      <c r="A5425" s="313" t="str">
        <f t="shared" si="84"/>
        <v>PrimaryStructMatTypeCode_chalk</v>
      </c>
      <c r="B5425" s="330"/>
      <c r="C5425" s="334"/>
      <c r="D5425" s="188" t="s">
        <v>28345</v>
      </c>
      <c r="E5425" s="189" t="s">
        <v>28346</v>
      </c>
      <c r="F5425" s="162" t="s">
        <v>28347</v>
      </c>
      <c r="G5425" s="190"/>
      <c r="H5425" s="219"/>
      <c r="I5425" s="169">
        <v>105332</v>
      </c>
      <c r="J5425" s="304" t="str">
        <f>CONCATENATE([2]Cover!$D$6,"fdd/view?i=",I5425)</f>
        <v>https://www.dgiwg.org/FAD/fdd/view?i=105332</v>
      </c>
      <c r="K5425" s="304" t="s">
        <v>39474</v>
      </c>
      <c r="L5425" s="188">
        <v>12</v>
      </c>
      <c r="M5425" s="179" t="s">
        <v>151</v>
      </c>
    </row>
    <row r="5426" spans="1:13" ht="25.5">
      <c r="A5426" s="313" t="str">
        <f t="shared" si="84"/>
        <v>PrimaryStructMatTypeCode_cinders</v>
      </c>
      <c r="B5426" s="330"/>
      <c r="C5426" s="334"/>
      <c r="D5426" s="188" t="s">
        <v>18824</v>
      </c>
      <c r="E5426" s="189" t="s">
        <v>18825</v>
      </c>
      <c r="F5426" s="162" t="s">
        <v>18826</v>
      </c>
      <c r="G5426" s="190"/>
      <c r="H5426" s="219"/>
      <c r="I5426" s="169">
        <v>105334</v>
      </c>
      <c r="J5426" s="304" t="str">
        <f>CONCATENATE([2]Cover!$D$6,"fdd/view?i=",I5426)</f>
        <v>https://www.dgiwg.org/FAD/fdd/view?i=105334</v>
      </c>
      <c r="K5426" s="304" t="s">
        <v>39475</v>
      </c>
      <c r="L5426" s="188">
        <v>14</v>
      </c>
      <c r="M5426" s="179" t="s">
        <v>151</v>
      </c>
    </row>
    <row r="5427" spans="1:13" ht="25.5">
      <c r="A5427" s="313" t="str">
        <f t="shared" si="84"/>
        <v>PrimaryStructMatTypeCode_cirripedia</v>
      </c>
      <c r="B5427" s="330"/>
      <c r="C5427" s="334"/>
      <c r="D5427" s="188" t="s">
        <v>28348</v>
      </c>
      <c r="E5427" s="189" t="s">
        <v>28349</v>
      </c>
      <c r="F5427" s="162" t="s">
        <v>28350</v>
      </c>
      <c r="G5427" s="162" t="s">
        <v>28351</v>
      </c>
      <c r="H5427" s="219"/>
      <c r="I5427" s="169">
        <v>105335</v>
      </c>
      <c r="J5427" s="304" t="str">
        <f>CONCATENATE([2]Cover!$D$6,"fdd/view?i=",I5427)</f>
        <v>https://www.dgiwg.org/FAD/fdd/view?i=105335</v>
      </c>
      <c r="K5427" s="304" t="s">
        <v>39476</v>
      </c>
      <c r="L5427" s="188">
        <v>15</v>
      </c>
      <c r="M5427" s="179" t="s">
        <v>151</v>
      </c>
    </row>
    <row r="5428" spans="1:13" ht="38.25">
      <c r="A5428" s="313" t="str">
        <f t="shared" si="84"/>
        <v>PrimaryStructMatTypeCode_clay</v>
      </c>
      <c r="B5428" s="330"/>
      <c r="C5428" s="334"/>
      <c r="D5428" s="188" t="s">
        <v>15090</v>
      </c>
      <c r="E5428" s="189" t="s">
        <v>15091</v>
      </c>
      <c r="F5428" s="162" t="s">
        <v>28352</v>
      </c>
      <c r="G5428" s="162" t="s">
        <v>28353</v>
      </c>
      <c r="H5428" s="219"/>
      <c r="I5428" s="169">
        <v>105336</v>
      </c>
      <c r="J5428" s="304" t="str">
        <f>CONCATENATE([2]Cover!$D$6,"fdd/view?i=",I5428)</f>
        <v>https://www.dgiwg.org/FAD/fdd/view?i=105336</v>
      </c>
      <c r="K5428" s="304" t="s">
        <v>39477</v>
      </c>
      <c r="L5428" s="188">
        <v>16</v>
      </c>
      <c r="M5428" s="179" t="s">
        <v>151</v>
      </c>
    </row>
    <row r="5429" spans="1:13" ht="25.5">
      <c r="A5429" s="313" t="str">
        <f t="shared" si="84"/>
        <v>PrimaryStructMatTypeCode_cobbles</v>
      </c>
      <c r="B5429" s="330"/>
      <c r="C5429" s="334"/>
      <c r="D5429" s="188" t="s">
        <v>28354</v>
      </c>
      <c r="E5429" s="189" t="s">
        <v>28355</v>
      </c>
      <c r="F5429" s="162" t="s">
        <v>28356</v>
      </c>
      <c r="G5429" s="190"/>
      <c r="H5429" s="219"/>
      <c r="I5429" s="169">
        <v>105338</v>
      </c>
      <c r="J5429" s="304" t="str">
        <f>CONCATENATE([2]Cover!$D$6,"fdd/view?i=",I5429)</f>
        <v>https://www.dgiwg.org/FAD/fdd/view?i=105338</v>
      </c>
      <c r="K5429" s="304" t="s">
        <v>39478</v>
      </c>
      <c r="L5429" s="188">
        <v>18</v>
      </c>
      <c r="M5429" s="179" t="s">
        <v>151</v>
      </c>
    </row>
    <row r="5430" spans="1:13" ht="38.25">
      <c r="A5430" s="313" t="str">
        <f t="shared" si="84"/>
        <v>PrimaryStructMatTypeCode_concrete</v>
      </c>
      <c r="B5430" s="330"/>
      <c r="C5430" s="334"/>
      <c r="D5430" s="188" t="s">
        <v>15093</v>
      </c>
      <c r="E5430" s="189" t="s">
        <v>15094</v>
      </c>
      <c r="F5430" s="162" t="s">
        <v>18089</v>
      </c>
      <c r="G5430" s="190"/>
      <c r="H5430" s="219"/>
      <c r="I5430" s="169">
        <v>105341</v>
      </c>
      <c r="J5430" s="304" t="str">
        <f>CONCATENATE([2]Cover!$D$6,"fdd/view?i=",I5430)</f>
        <v>https://www.dgiwg.org/FAD/fdd/view?i=105341</v>
      </c>
      <c r="K5430" s="304" t="s">
        <v>39479</v>
      </c>
      <c r="L5430" s="188">
        <v>21</v>
      </c>
      <c r="M5430" s="179" t="s">
        <v>151</v>
      </c>
    </row>
    <row r="5431" spans="1:13" ht="25.5">
      <c r="A5431" s="313" t="str">
        <f t="shared" si="84"/>
        <v>PrimaryStructMatTypeCode_conglomerate</v>
      </c>
      <c r="B5431" s="330"/>
      <c r="C5431" s="334"/>
      <c r="D5431" s="188" t="s">
        <v>16782</v>
      </c>
      <c r="E5431" s="189" t="s">
        <v>16783</v>
      </c>
      <c r="F5431" s="162" t="s">
        <v>28357</v>
      </c>
      <c r="G5431" s="190"/>
      <c r="H5431" s="219"/>
      <c r="I5431" s="169">
        <v>105342</v>
      </c>
      <c r="J5431" s="304" t="str">
        <f>CONCATENATE([2]Cover!$D$6,"fdd/view?i=",I5431)</f>
        <v>https://www.dgiwg.org/FAD/fdd/view?i=105342</v>
      </c>
      <c r="K5431" s="304" t="s">
        <v>39480</v>
      </c>
      <c r="L5431" s="188">
        <v>22</v>
      </c>
      <c r="M5431" s="179" t="s">
        <v>151</v>
      </c>
    </row>
    <row r="5432" spans="1:13" ht="25.5">
      <c r="A5432" s="313" t="str">
        <f t="shared" si="84"/>
        <v>PrimaryStructMatTypeCode_copper</v>
      </c>
      <c r="B5432" s="330"/>
      <c r="C5432" s="334"/>
      <c r="D5432" s="188" t="s">
        <v>28358</v>
      </c>
      <c r="E5432" s="189" t="s">
        <v>28359</v>
      </c>
      <c r="F5432" s="162" t="s">
        <v>28360</v>
      </c>
      <c r="G5432" s="162" t="s">
        <v>28361</v>
      </c>
      <c r="H5432" s="219"/>
      <c r="I5432" s="169">
        <v>105343</v>
      </c>
      <c r="J5432" s="304" t="str">
        <f>CONCATENATE([2]Cover!$D$6,"fdd/view?i=",I5432)</f>
        <v>https://www.dgiwg.org/FAD/fdd/view?i=105343</v>
      </c>
      <c r="K5432" s="304" t="s">
        <v>39481</v>
      </c>
      <c r="L5432" s="188">
        <v>23</v>
      </c>
      <c r="M5432" s="179" t="s">
        <v>151</v>
      </c>
    </row>
    <row r="5433" spans="1:13" ht="51">
      <c r="A5433" s="313" t="str">
        <f t="shared" si="84"/>
        <v>PrimaryStructMatTypeCode_coral</v>
      </c>
      <c r="B5433" s="330"/>
      <c r="C5433" s="334"/>
      <c r="D5433" s="188" t="s">
        <v>15097</v>
      </c>
      <c r="E5433" s="189" t="s">
        <v>15098</v>
      </c>
      <c r="F5433" s="162" t="s">
        <v>18090</v>
      </c>
      <c r="G5433" s="162" t="s">
        <v>18091</v>
      </c>
      <c r="H5433" s="219"/>
      <c r="I5433" s="169">
        <v>105344</v>
      </c>
      <c r="J5433" s="304" t="str">
        <f>CONCATENATE([2]Cover!$D$6,"fdd/view?i=",I5433)</f>
        <v>https://www.dgiwg.org/FAD/fdd/view?i=105344</v>
      </c>
      <c r="K5433" s="304" t="s">
        <v>39482</v>
      </c>
      <c r="L5433" s="188">
        <v>24</v>
      </c>
      <c r="M5433" s="179" t="s">
        <v>151</v>
      </c>
    </row>
    <row r="5434" spans="1:13" ht="25.5">
      <c r="A5434" s="313" t="str">
        <f t="shared" si="84"/>
        <v>PrimaryStructMatTypeCode_coralHead</v>
      </c>
      <c r="B5434" s="330"/>
      <c r="C5434" s="334"/>
      <c r="D5434" s="188" t="s">
        <v>28362</v>
      </c>
      <c r="E5434" s="189" t="s">
        <v>28363</v>
      </c>
      <c r="F5434" s="162" t="s">
        <v>28364</v>
      </c>
      <c r="G5434" s="190"/>
      <c r="H5434" s="219"/>
      <c r="I5434" s="169">
        <v>105345</v>
      </c>
      <c r="J5434" s="304" t="str">
        <f>CONCATENATE([2]Cover!$D$6,"fdd/view?i=",I5434)</f>
        <v>https://www.dgiwg.org/FAD/fdd/view?i=105345</v>
      </c>
      <c r="K5434" s="304" t="s">
        <v>39483</v>
      </c>
      <c r="L5434" s="188">
        <v>25</v>
      </c>
      <c r="M5434" s="179" t="s">
        <v>151</v>
      </c>
    </row>
    <row r="5435" spans="1:13" ht="25.5">
      <c r="A5435" s="313" t="str">
        <f t="shared" si="84"/>
        <v>PrimaryStructMatTypeCode_diatomaceousEarth</v>
      </c>
      <c r="B5435" s="330"/>
      <c r="C5435" s="334"/>
      <c r="D5435" s="188" t="s">
        <v>28365</v>
      </c>
      <c r="E5435" s="189" t="s">
        <v>28366</v>
      </c>
      <c r="F5435" s="162" t="s">
        <v>28367</v>
      </c>
      <c r="G5435" s="162" t="s">
        <v>28368</v>
      </c>
      <c r="H5435" s="219"/>
      <c r="I5435" s="169">
        <v>105348</v>
      </c>
      <c r="J5435" s="304" t="str">
        <f>CONCATENATE([2]Cover!$D$6,"fdd/view?i=",I5435)</f>
        <v>https://www.dgiwg.org/FAD/fdd/view?i=105348</v>
      </c>
      <c r="K5435" s="304" t="s">
        <v>39484</v>
      </c>
      <c r="L5435" s="188">
        <v>28</v>
      </c>
      <c r="M5435" s="179" t="s">
        <v>151</v>
      </c>
    </row>
    <row r="5436" spans="1:13" ht="25.5">
      <c r="A5436" s="313" t="str">
        <f t="shared" si="84"/>
        <v>PrimaryStructMatTypeCode_evaporite</v>
      </c>
      <c r="B5436" s="330"/>
      <c r="C5436" s="334"/>
      <c r="D5436" s="188" t="s">
        <v>28369</v>
      </c>
      <c r="E5436" s="189" t="s">
        <v>28370</v>
      </c>
      <c r="F5436" s="162" t="s">
        <v>28371</v>
      </c>
      <c r="G5436" s="190"/>
      <c r="H5436" s="219"/>
      <c r="I5436" s="169">
        <v>105438</v>
      </c>
      <c r="J5436" s="304" t="str">
        <f>CONCATENATE([2]Cover!$D$6,"fdd/view?i=",I5436)</f>
        <v>https://www.dgiwg.org/FAD/fdd/view?i=105438</v>
      </c>
      <c r="K5436" s="304" t="s">
        <v>39485</v>
      </c>
      <c r="L5436" s="188">
        <v>119</v>
      </c>
      <c r="M5436" s="179" t="s">
        <v>151</v>
      </c>
    </row>
    <row r="5437" spans="1:13" ht="51">
      <c r="A5437" s="313" t="str">
        <f t="shared" si="84"/>
        <v>PrimaryStructMatTypeCode_ferrocement</v>
      </c>
      <c r="B5437" s="330"/>
      <c r="C5437" s="334"/>
      <c r="D5437" s="188" t="s">
        <v>28372</v>
      </c>
      <c r="E5437" s="189" t="s">
        <v>28373</v>
      </c>
      <c r="F5437" s="162" t="s">
        <v>28374</v>
      </c>
      <c r="G5437" s="162" t="s">
        <v>28375</v>
      </c>
      <c r="H5437" s="219"/>
      <c r="I5437" s="169">
        <v>112761</v>
      </c>
      <c r="J5437" s="304" t="str">
        <f>CONCATENATE([2]Cover!$D$6,"fdd/view?i=",I5437)</f>
        <v>https://www.dgiwg.org/FAD/fdd/view?i=112761</v>
      </c>
      <c r="K5437" s="304" t="s">
        <v>39486</v>
      </c>
      <c r="L5437" s="188">
        <v>156</v>
      </c>
      <c r="M5437" s="179" t="s">
        <v>151</v>
      </c>
    </row>
    <row r="5438" spans="1:13" ht="38.25">
      <c r="A5438" s="313" t="str">
        <f t="shared" si="84"/>
        <v>PrimaryStructMatTypeCode_fibreglass</v>
      </c>
      <c r="B5438" s="330"/>
      <c r="C5438" s="334"/>
      <c r="D5438" s="188" t="s">
        <v>28376</v>
      </c>
      <c r="E5438" s="189" t="s">
        <v>28377</v>
      </c>
      <c r="F5438" s="162" t="s">
        <v>28378</v>
      </c>
      <c r="G5438" s="190"/>
      <c r="H5438" s="219"/>
      <c r="I5438" s="169">
        <v>112757</v>
      </c>
      <c r="J5438" s="304" t="str">
        <f>CONCATENATE([2]Cover!$D$6,"fdd/view?i=",I5438)</f>
        <v>https://www.dgiwg.org/FAD/fdd/view?i=112757</v>
      </c>
      <c r="K5438" s="304" t="s">
        <v>39487</v>
      </c>
      <c r="L5438" s="188">
        <v>152</v>
      </c>
      <c r="M5438" s="179" t="s">
        <v>151</v>
      </c>
    </row>
    <row r="5439" spans="1:13" ht="25.5">
      <c r="A5439" s="313" t="str">
        <f t="shared" si="84"/>
        <v>PrimaryStructMatTypeCode_fibreOptic</v>
      </c>
      <c r="B5439" s="330"/>
      <c r="C5439" s="334"/>
      <c r="D5439" s="188" t="s">
        <v>18877</v>
      </c>
      <c r="E5439" s="189" t="s">
        <v>18878</v>
      </c>
      <c r="F5439" s="162" t="s">
        <v>28379</v>
      </c>
      <c r="G5439" s="190"/>
      <c r="H5439" s="219"/>
      <c r="I5439" s="169">
        <v>112760</v>
      </c>
      <c r="J5439" s="304" t="str">
        <f>CONCATENATE([2]Cover!$D$6,"fdd/view?i=",I5439)</f>
        <v>https://www.dgiwg.org/FAD/fdd/view?i=112760</v>
      </c>
      <c r="K5439" s="304" t="s">
        <v>39488</v>
      </c>
      <c r="L5439" s="188">
        <v>155</v>
      </c>
      <c r="M5439" s="179" t="s">
        <v>151</v>
      </c>
    </row>
    <row r="5440" spans="1:13" ht="51">
      <c r="A5440" s="313" t="str">
        <f t="shared" si="84"/>
        <v>PrimaryStructMatTypeCode_foraminifera</v>
      </c>
      <c r="B5440" s="330"/>
      <c r="C5440" s="334"/>
      <c r="D5440" s="188" t="s">
        <v>28380</v>
      </c>
      <c r="E5440" s="189" t="s">
        <v>28381</v>
      </c>
      <c r="F5440" s="162" t="s">
        <v>28382</v>
      </c>
      <c r="G5440" s="190"/>
      <c r="H5440" s="219"/>
      <c r="I5440" s="169">
        <v>105356</v>
      </c>
      <c r="J5440" s="304" t="str">
        <f>CONCATENATE([2]Cover!$D$6,"fdd/view?i=",I5440)</f>
        <v>https://www.dgiwg.org/FAD/fdd/view?i=105356</v>
      </c>
      <c r="K5440" s="304" t="s">
        <v>39489</v>
      </c>
      <c r="L5440" s="188">
        <v>36</v>
      </c>
      <c r="M5440" s="179" t="s">
        <v>151</v>
      </c>
    </row>
    <row r="5441" spans="1:13" ht="25.5">
      <c r="A5441" s="313" t="str">
        <f t="shared" si="84"/>
        <v>PrimaryStructMatTypeCode_frozenWater</v>
      </c>
      <c r="B5441" s="330"/>
      <c r="C5441" s="334"/>
      <c r="D5441" s="188" t="s">
        <v>28383</v>
      </c>
      <c r="E5441" s="189" t="s">
        <v>28384</v>
      </c>
      <c r="F5441" s="162" t="s">
        <v>28385</v>
      </c>
      <c r="G5441" s="162" t="s">
        <v>28386</v>
      </c>
      <c r="H5441" s="219"/>
      <c r="I5441" s="169">
        <v>105422</v>
      </c>
      <c r="J5441" s="304" t="str">
        <f>CONCATENATE([2]Cover!$D$6,"fdd/view?i=",I5441)</f>
        <v>https://www.dgiwg.org/FAD/fdd/view?i=105422</v>
      </c>
      <c r="K5441" s="304" t="s">
        <v>39490</v>
      </c>
      <c r="L5441" s="188">
        <v>103</v>
      </c>
      <c r="M5441" s="179" t="s">
        <v>151</v>
      </c>
    </row>
    <row r="5442" spans="1:13">
      <c r="A5442" s="313" t="str">
        <f t="shared" si="84"/>
        <v>PrimaryStructMatTypeCode_fucus</v>
      </c>
      <c r="B5442" s="330"/>
      <c r="C5442" s="334"/>
      <c r="D5442" s="188" t="s">
        <v>28387</v>
      </c>
      <c r="E5442" s="189" t="s">
        <v>28388</v>
      </c>
      <c r="F5442" s="162" t="s">
        <v>28389</v>
      </c>
      <c r="G5442" s="162" t="s">
        <v>28390</v>
      </c>
      <c r="H5442" s="219"/>
      <c r="I5442" s="169">
        <v>105357</v>
      </c>
      <c r="J5442" s="304" t="str">
        <f>CONCATENATE([2]Cover!$D$6,"fdd/view?i=",I5442)</f>
        <v>https://www.dgiwg.org/FAD/fdd/view?i=105357</v>
      </c>
      <c r="K5442" s="304" t="s">
        <v>39491</v>
      </c>
      <c r="L5442" s="188">
        <v>37</v>
      </c>
      <c r="M5442" s="179" t="s">
        <v>151</v>
      </c>
    </row>
    <row r="5443" spans="1:13" ht="25.5">
      <c r="A5443" s="313" t="str">
        <f t="shared" ref="A5443:A5506" si="85">HYPERLINK(J5443,K5443)</f>
        <v>PrimaryStructMatTypeCode_glass</v>
      </c>
      <c r="B5443" s="330"/>
      <c r="C5443" s="334"/>
      <c r="D5443" s="188" t="s">
        <v>28391</v>
      </c>
      <c r="E5443" s="189" t="s">
        <v>28392</v>
      </c>
      <c r="F5443" s="162" t="s">
        <v>28393</v>
      </c>
      <c r="G5443" s="162" t="s">
        <v>28394</v>
      </c>
      <c r="H5443" s="219"/>
      <c r="I5443" s="169">
        <v>105360</v>
      </c>
      <c r="J5443" s="304" t="str">
        <f>CONCATENATE([2]Cover!$D$6,"fdd/view?i=",I5443)</f>
        <v>https://www.dgiwg.org/FAD/fdd/view?i=105360</v>
      </c>
      <c r="K5443" s="304" t="s">
        <v>39492</v>
      </c>
      <c r="L5443" s="188">
        <v>40</v>
      </c>
      <c r="M5443" s="179" t="s">
        <v>151</v>
      </c>
    </row>
    <row r="5444" spans="1:13" ht="25.5">
      <c r="A5444" s="313" t="str">
        <f t="shared" si="85"/>
        <v>PrimaryStructMatTypeCode_glassReinforcedPlastic</v>
      </c>
      <c r="B5444" s="330"/>
      <c r="C5444" s="334"/>
      <c r="D5444" s="188" t="s">
        <v>28395</v>
      </c>
      <c r="E5444" s="189" t="s">
        <v>28396</v>
      </c>
      <c r="F5444" s="162" t="s">
        <v>28397</v>
      </c>
      <c r="G5444" s="162" t="s">
        <v>28398</v>
      </c>
      <c r="H5444" s="219"/>
      <c r="I5444" s="169">
        <v>105439</v>
      </c>
      <c r="J5444" s="304" t="str">
        <f>CONCATENATE([2]Cover!$D$6,"fdd/view?i=",I5444)</f>
        <v>https://www.dgiwg.org/FAD/fdd/view?i=105439</v>
      </c>
      <c r="K5444" s="304" t="s">
        <v>39493</v>
      </c>
      <c r="L5444" s="188">
        <v>120</v>
      </c>
      <c r="M5444" s="179" t="s">
        <v>151</v>
      </c>
    </row>
    <row r="5445" spans="1:13" ht="25.5">
      <c r="A5445" s="313" t="str">
        <f t="shared" si="85"/>
        <v>PrimaryStructMatTypeCode_granite</v>
      </c>
      <c r="B5445" s="330"/>
      <c r="C5445" s="334"/>
      <c r="D5445" s="188" t="s">
        <v>16789</v>
      </c>
      <c r="E5445" s="189" t="s">
        <v>16790</v>
      </c>
      <c r="F5445" s="162" t="s">
        <v>28399</v>
      </c>
      <c r="G5445" s="162" t="s">
        <v>28400</v>
      </c>
      <c r="H5445" s="219"/>
      <c r="I5445" s="169">
        <v>105363</v>
      </c>
      <c r="J5445" s="304" t="str">
        <f>CONCATENATE([2]Cover!$D$6,"fdd/view?i=",I5445)</f>
        <v>https://www.dgiwg.org/FAD/fdd/view?i=105363</v>
      </c>
      <c r="K5445" s="304" t="s">
        <v>39494</v>
      </c>
      <c r="L5445" s="188">
        <v>43</v>
      </c>
      <c r="M5445" s="179" t="s">
        <v>151</v>
      </c>
    </row>
    <row r="5446" spans="1:13" ht="25.5">
      <c r="A5446" s="313" t="str">
        <f t="shared" si="85"/>
        <v>PrimaryStructMatTypeCode_gravel</v>
      </c>
      <c r="B5446" s="330"/>
      <c r="C5446" s="334"/>
      <c r="D5446" s="188" t="s">
        <v>15105</v>
      </c>
      <c r="E5446" s="189" t="s">
        <v>15106</v>
      </c>
      <c r="F5446" s="162" t="s">
        <v>28401</v>
      </c>
      <c r="G5446" s="162" t="s">
        <v>28402</v>
      </c>
      <c r="H5446" s="219"/>
      <c r="I5446" s="169">
        <v>105366</v>
      </c>
      <c r="J5446" s="304" t="str">
        <f>CONCATENATE([2]Cover!$D$6,"fdd/view?i=",I5446)</f>
        <v>https://www.dgiwg.org/FAD/fdd/view?i=105366</v>
      </c>
      <c r="K5446" s="304" t="s">
        <v>39495</v>
      </c>
      <c r="L5446" s="188">
        <v>46</v>
      </c>
      <c r="M5446" s="179" t="s">
        <v>151</v>
      </c>
    </row>
    <row r="5447" spans="1:13" ht="25.5">
      <c r="A5447" s="313" t="str">
        <f t="shared" si="85"/>
        <v>PrimaryStructMatTypeCode_groundShell</v>
      </c>
      <c r="B5447" s="330"/>
      <c r="C5447" s="334"/>
      <c r="D5447" s="188" t="s">
        <v>28403</v>
      </c>
      <c r="E5447" s="189" t="s">
        <v>28404</v>
      </c>
      <c r="F5447" s="162" t="s">
        <v>28405</v>
      </c>
      <c r="G5447" s="190"/>
      <c r="H5447" s="219"/>
      <c r="I5447" s="169">
        <v>105369</v>
      </c>
      <c r="J5447" s="304" t="str">
        <f>CONCATENATE([2]Cover!$D$6,"fdd/view?i=",I5447)</f>
        <v>https://www.dgiwg.org/FAD/fdd/view?i=105369</v>
      </c>
      <c r="K5447" s="304" t="s">
        <v>39496</v>
      </c>
      <c r="L5447" s="188">
        <v>49</v>
      </c>
      <c r="M5447" s="179" t="s">
        <v>151</v>
      </c>
    </row>
    <row r="5448" spans="1:13" ht="38.25">
      <c r="A5448" s="313" t="str">
        <f t="shared" si="85"/>
        <v>PrimaryStructMatTypeCode_hideTextile</v>
      </c>
      <c r="B5448" s="330"/>
      <c r="C5448" s="334"/>
      <c r="D5448" s="188" t="s">
        <v>28406</v>
      </c>
      <c r="E5448" s="189" t="s">
        <v>28407</v>
      </c>
      <c r="F5448" s="162" t="s">
        <v>28408</v>
      </c>
      <c r="G5448" s="162" t="s">
        <v>28409</v>
      </c>
      <c r="H5448" s="219"/>
      <c r="I5448" s="169">
        <v>112758</v>
      </c>
      <c r="J5448" s="304" t="str">
        <f>CONCATENATE([2]Cover!$D$6,"fdd/view?i=",I5448)</f>
        <v>https://www.dgiwg.org/FAD/fdd/view?i=112758</v>
      </c>
      <c r="K5448" s="304" t="s">
        <v>39497</v>
      </c>
      <c r="L5448" s="188">
        <v>153</v>
      </c>
      <c r="M5448" s="179" t="s">
        <v>151</v>
      </c>
    </row>
    <row r="5449" spans="1:13" ht="38.25">
      <c r="A5449" s="313" t="str">
        <f t="shared" si="85"/>
        <v>PrimaryStructMatTypeCode_iron</v>
      </c>
      <c r="B5449" s="330"/>
      <c r="C5449" s="334"/>
      <c r="D5449" s="188" t="s">
        <v>28410</v>
      </c>
      <c r="E5449" s="189" t="s">
        <v>28411</v>
      </c>
      <c r="F5449" s="162" t="s">
        <v>28412</v>
      </c>
      <c r="G5449" s="162" t="s">
        <v>28413</v>
      </c>
      <c r="H5449" s="219"/>
      <c r="I5449" s="169">
        <v>105371</v>
      </c>
      <c r="J5449" s="304" t="str">
        <f>CONCATENATE([2]Cover!$D$6,"fdd/view?i=",I5449)</f>
        <v>https://www.dgiwg.org/FAD/fdd/view?i=105371</v>
      </c>
      <c r="K5449" s="304" t="s">
        <v>39498</v>
      </c>
      <c r="L5449" s="188">
        <v>51</v>
      </c>
      <c r="M5449" s="179" t="s">
        <v>151</v>
      </c>
    </row>
    <row r="5450" spans="1:13" ht="25.5">
      <c r="A5450" s="313" t="str">
        <f t="shared" si="85"/>
        <v>PrimaryStructMatTypeCode_lava</v>
      </c>
      <c r="B5450" s="330"/>
      <c r="C5450" s="334"/>
      <c r="D5450" s="188" t="s">
        <v>19007</v>
      </c>
      <c r="E5450" s="189" t="s">
        <v>19008</v>
      </c>
      <c r="F5450" s="162" t="s">
        <v>28414</v>
      </c>
      <c r="G5450" s="190"/>
      <c r="H5450" s="219"/>
      <c r="I5450" s="169">
        <v>105372</v>
      </c>
      <c r="J5450" s="304" t="str">
        <f>CONCATENATE([2]Cover!$D$6,"fdd/view?i=",I5450)</f>
        <v>https://www.dgiwg.org/FAD/fdd/view?i=105372</v>
      </c>
      <c r="K5450" s="304" t="s">
        <v>39499</v>
      </c>
      <c r="L5450" s="188">
        <v>52</v>
      </c>
      <c r="M5450" s="179" t="s">
        <v>151</v>
      </c>
    </row>
    <row r="5451" spans="1:13" ht="38.25">
      <c r="A5451" s="313" t="str">
        <f t="shared" si="85"/>
        <v>PrimaryStructMatTypeCode_lead</v>
      </c>
      <c r="B5451" s="330"/>
      <c r="C5451" s="334"/>
      <c r="D5451" s="188" t="s">
        <v>28415</v>
      </c>
      <c r="E5451" s="189" t="s">
        <v>28416</v>
      </c>
      <c r="F5451" s="162" t="s">
        <v>28417</v>
      </c>
      <c r="G5451" s="190"/>
      <c r="H5451" s="219"/>
      <c r="I5451" s="169">
        <v>105374</v>
      </c>
      <c r="J5451" s="304" t="str">
        <f>CONCATENATE([2]Cover!$D$6,"fdd/view?i=",I5451)</f>
        <v>https://www.dgiwg.org/FAD/fdd/view?i=105374</v>
      </c>
      <c r="K5451" s="304" t="s">
        <v>39500</v>
      </c>
      <c r="L5451" s="188">
        <v>54</v>
      </c>
      <c r="M5451" s="179" t="s">
        <v>151</v>
      </c>
    </row>
    <row r="5452" spans="1:13" ht="25.5">
      <c r="A5452" s="313" t="str">
        <f t="shared" si="85"/>
        <v>PrimaryStructMatTypeCode_loess</v>
      </c>
      <c r="B5452" s="330"/>
      <c r="C5452" s="334"/>
      <c r="D5452" s="188" t="s">
        <v>28418</v>
      </c>
      <c r="E5452" s="189" t="s">
        <v>28419</v>
      </c>
      <c r="F5452" s="162" t="s">
        <v>28420</v>
      </c>
      <c r="G5452" s="190"/>
      <c r="H5452" s="219"/>
      <c r="I5452" s="169">
        <v>105375</v>
      </c>
      <c r="J5452" s="304" t="str">
        <f>CONCATENATE([2]Cover!$D$6,"fdd/view?i=",I5452)</f>
        <v>https://www.dgiwg.org/FAD/fdd/view?i=105375</v>
      </c>
      <c r="K5452" s="304" t="s">
        <v>39501</v>
      </c>
      <c r="L5452" s="188">
        <v>55</v>
      </c>
      <c r="M5452" s="179" t="s">
        <v>151</v>
      </c>
    </row>
    <row r="5453" spans="1:13" ht="25.5">
      <c r="A5453" s="313" t="str">
        <f t="shared" si="85"/>
        <v>PrimaryStructMatTypeCode_macadam</v>
      </c>
      <c r="B5453" s="330"/>
      <c r="C5453" s="334"/>
      <c r="D5453" s="188" t="s">
        <v>15120</v>
      </c>
      <c r="E5453" s="189" t="s">
        <v>15121</v>
      </c>
      <c r="F5453" s="162" t="s">
        <v>28421</v>
      </c>
      <c r="G5453" s="162" t="s">
        <v>28422</v>
      </c>
      <c r="H5453" s="221" t="s">
        <v>15124</v>
      </c>
      <c r="I5453" s="169">
        <v>105377</v>
      </c>
      <c r="J5453" s="304" t="str">
        <f>CONCATENATE([2]Cover!$D$6,"fdd/view?i=",I5453)</f>
        <v>https://www.dgiwg.org/FAD/fdd/view?i=105377</v>
      </c>
      <c r="K5453" s="304" t="s">
        <v>39502</v>
      </c>
      <c r="L5453" s="188">
        <v>57</v>
      </c>
      <c r="M5453" s="179" t="s">
        <v>151</v>
      </c>
    </row>
    <row r="5454" spans="1:13" ht="25.5">
      <c r="A5454" s="313" t="str">
        <f t="shared" si="85"/>
        <v>PrimaryStructMatTypeCode_madrepore</v>
      </c>
      <c r="B5454" s="330"/>
      <c r="C5454" s="334"/>
      <c r="D5454" s="188" t="s">
        <v>28423</v>
      </c>
      <c r="E5454" s="189" t="s">
        <v>28424</v>
      </c>
      <c r="F5454" s="162" t="s">
        <v>28425</v>
      </c>
      <c r="G5454" s="190"/>
      <c r="H5454" s="219"/>
      <c r="I5454" s="169">
        <v>105378</v>
      </c>
      <c r="J5454" s="304" t="str">
        <f>CONCATENATE([2]Cover!$D$6,"fdd/view?i=",I5454)</f>
        <v>https://www.dgiwg.org/FAD/fdd/view?i=105378</v>
      </c>
      <c r="K5454" s="304" t="s">
        <v>39503</v>
      </c>
      <c r="L5454" s="188">
        <v>58</v>
      </c>
      <c r="M5454" s="179" t="s">
        <v>151</v>
      </c>
    </row>
    <row r="5455" spans="1:13" ht="25.5">
      <c r="A5455" s="313" t="str">
        <f t="shared" si="85"/>
        <v>PrimaryStructMatTypeCode_manganese</v>
      </c>
      <c r="B5455" s="330"/>
      <c r="C5455" s="334"/>
      <c r="D5455" s="188" t="s">
        <v>28426</v>
      </c>
      <c r="E5455" s="189" t="s">
        <v>28427</v>
      </c>
      <c r="F5455" s="162" t="s">
        <v>28428</v>
      </c>
      <c r="G5455" s="162" t="s">
        <v>28429</v>
      </c>
      <c r="H5455" s="219"/>
      <c r="I5455" s="169">
        <v>105379</v>
      </c>
      <c r="J5455" s="304" t="str">
        <f>CONCATENATE([2]Cover!$D$6,"fdd/view?i=",I5455)</f>
        <v>https://www.dgiwg.org/FAD/fdd/view?i=105379</v>
      </c>
      <c r="K5455" s="304" t="s">
        <v>39504</v>
      </c>
      <c r="L5455" s="188">
        <v>59</v>
      </c>
      <c r="M5455" s="179" t="s">
        <v>151</v>
      </c>
    </row>
    <row r="5456" spans="1:13" ht="38.25">
      <c r="A5456" s="313" t="str">
        <f t="shared" si="85"/>
        <v>PrimaryStructMatTypeCode_marl</v>
      </c>
      <c r="B5456" s="330"/>
      <c r="C5456" s="334"/>
      <c r="D5456" s="188" t="s">
        <v>16806</v>
      </c>
      <c r="E5456" s="189" t="s">
        <v>16807</v>
      </c>
      <c r="F5456" s="162" t="s">
        <v>28430</v>
      </c>
      <c r="G5456" s="190"/>
      <c r="H5456" s="219"/>
      <c r="I5456" s="169">
        <v>105381</v>
      </c>
      <c r="J5456" s="304" t="str">
        <f>CONCATENATE([2]Cover!$D$6,"fdd/view?i=",I5456)</f>
        <v>https://www.dgiwg.org/FAD/fdd/view?i=105381</v>
      </c>
      <c r="K5456" s="304" t="s">
        <v>39505</v>
      </c>
      <c r="L5456" s="188">
        <v>61</v>
      </c>
      <c r="M5456" s="179" t="s">
        <v>151</v>
      </c>
    </row>
    <row r="5457" spans="1:13" ht="51">
      <c r="A5457" s="313" t="str">
        <f t="shared" si="85"/>
        <v>PrimaryStructMatTypeCode_masonry</v>
      </c>
      <c r="B5457" s="330"/>
      <c r="C5457" s="334"/>
      <c r="D5457" s="188" t="s">
        <v>18096</v>
      </c>
      <c r="E5457" s="189" t="s">
        <v>18097</v>
      </c>
      <c r="F5457" s="162" t="s">
        <v>18098</v>
      </c>
      <c r="G5457" s="190"/>
      <c r="H5457" s="221" t="s">
        <v>18099</v>
      </c>
      <c r="I5457" s="169">
        <v>105382</v>
      </c>
      <c r="J5457" s="304" t="str">
        <f>CONCATENATE([2]Cover!$D$6,"fdd/view?i=",I5457)</f>
        <v>https://www.dgiwg.org/FAD/fdd/view?i=105382</v>
      </c>
      <c r="K5457" s="304" t="s">
        <v>39506</v>
      </c>
      <c r="L5457" s="188">
        <v>62</v>
      </c>
      <c r="M5457" s="179" t="s">
        <v>151</v>
      </c>
    </row>
    <row r="5458" spans="1:13" ht="25.5">
      <c r="A5458" s="313" t="str">
        <f t="shared" si="85"/>
        <v>PrimaryStructMatTypeCode_matte</v>
      </c>
      <c r="B5458" s="330"/>
      <c r="C5458" s="334"/>
      <c r="D5458" s="188" t="s">
        <v>28431</v>
      </c>
      <c r="E5458" s="189" t="s">
        <v>28432</v>
      </c>
      <c r="F5458" s="162" t="s">
        <v>28433</v>
      </c>
      <c r="G5458" s="190"/>
      <c r="H5458" s="219"/>
      <c r="I5458" s="169">
        <v>105383</v>
      </c>
      <c r="J5458" s="304" t="str">
        <f>CONCATENATE([2]Cover!$D$6,"fdd/view?i=",I5458)</f>
        <v>https://www.dgiwg.org/FAD/fdd/view?i=105383</v>
      </c>
      <c r="K5458" s="304" t="s">
        <v>39507</v>
      </c>
      <c r="L5458" s="188">
        <v>63</v>
      </c>
      <c r="M5458" s="179" t="s">
        <v>151</v>
      </c>
    </row>
    <row r="5459" spans="1:13" ht="38.25">
      <c r="A5459" s="313" t="str">
        <f t="shared" si="85"/>
        <v>PrimaryStructMatTypeCode_metal</v>
      </c>
      <c r="B5459" s="330"/>
      <c r="C5459" s="334"/>
      <c r="D5459" s="188" t="s">
        <v>22444</v>
      </c>
      <c r="E5459" s="189" t="s">
        <v>22445</v>
      </c>
      <c r="F5459" s="162" t="s">
        <v>28434</v>
      </c>
      <c r="G5459" s="162" t="s">
        <v>28435</v>
      </c>
      <c r="H5459" s="219"/>
      <c r="I5459" s="169">
        <v>105384</v>
      </c>
      <c r="J5459" s="304" t="str">
        <f>CONCATENATE([2]Cover!$D$6,"fdd/view?i=",I5459)</f>
        <v>https://www.dgiwg.org/FAD/fdd/view?i=105384</v>
      </c>
      <c r="K5459" s="304" t="s">
        <v>39508</v>
      </c>
      <c r="L5459" s="188">
        <v>64</v>
      </c>
      <c r="M5459" s="179" t="s">
        <v>151</v>
      </c>
    </row>
    <row r="5460" spans="1:13" ht="25.5">
      <c r="A5460" s="313" t="str">
        <f t="shared" si="85"/>
        <v>PrimaryStructMatTypeCode_mud</v>
      </c>
      <c r="B5460" s="330"/>
      <c r="C5460" s="334"/>
      <c r="D5460" s="188" t="s">
        <v>16814</v>
      </c>
      <c r="E5460" s="189" t="s">
        <v>16815</v>
      </c>
      <c r="F5460" s="162" t="s">
        <v>28436</v>
      </c>
      <c r="G5460" s="162" t="s">
        <v>28437</v>
      </c>
      <c r="H5460" s="219"/>
      <c r="I5460" s="169">
        <v>105385</v>
      </c>
      <c r="J5460" s="304" t="str">
        <f>CONCATENATE([2]Cover!$D$6,"fdd/view?i=",I5460)</f>
        <v>https://www.dgiwg.org/FAD/fdd/view?i=105385</v>
      </c>
      <c r="K5460" s="304" t="s">
        <v>39509</v>
      </c>
      <c r="L5460" s="188">
        <v>65</v>
      </c>
      <c r="M5460" s="179" t="s">
        <v>151</v>
      </c>
    </row>
    <row r="5461" spans="1:13" ht="63.75">
      <c r="A5461" s="313" t="str">
        <f t="shared" si="85"/>
        <v>PrimaryStructMatTypeCode_mudBasedConstruction</v>
      </c>
      <c r="B5461" s="330"/>
      <c r="C5461" s="334"/>
      <c r="D5461" s="188" t="s">
        <v>28438</v>
      </c>
      <c r="E5461" s="189" t="s">
        <v>28439</v>
      </c>
      <c r="F5461" s="162" t="s">
        <v>28440</v>
      </c>
      <c r="G5461" s="162" t="s">
        <v>28441</v>
      </c>
      <c r="H5461" s="219"/>
      <c r="I5461" s="169">
        <v>112756</v>
      </c>
      <c r="J5461" s="304" t="str">
        <f>CONCATENATE([2]Cover!$D$6,"fdd/view?i=",I5461)</f>
        <v>https://www.dgiwg.org/FAD/fdd/view?i=112756</v>
      </c>
      <c r="K5461" s="304" t="s">
        <v>39510</v>
      </c>
      <c r="L5461" s="188">
        <v>151</v>
      </c>
      <c r="M5461" s="179" t="s">
        <v>151</v>
      </c>
    </row>
    <row r="5462" spans="1:13" ht="51">
      <c r="A5462" s="313" t="str">
        <f t="shared" si="85"/>
        <v>PrimaryStructMatTypeCode_mussels</v>
      </c>
      <c r="B5462" s="330"/>
      <c r="C5462" s="334"/>
      <c r="D5462" s="188" t="s">
        <v>28442</v>
      </c>
      <c r="E5462" s="189" t="s">
        <v>28443</v>
      </c>
      <c r="F5462" s="162" t="s">
        <v>28444</v>
      </c>
      <c r="G5462" s="162" t="s">
        <v>28445</v>
      </c>
      <c r="H5462" s="219"/>
      <c r="I5462" s="169">
        <v>105386</v>
      </c>
      <c r="J5462" s="304" t="str">
        <f>CONCATENATE([2]Cover!$D$6,"fdd/view?i=",I5462)</f>
        <v>https://www.dgiwg.org/FAD/fdd/view?i=105386</v>
      </c>
      <c r="K5462" s="304" t="s">
        <v>39511</v>
      </c>
      <c r="L5462" s="188">
        <v>66</v>
      </c>
      <c r="M5462" s="179" t="s">
        <v>151</v>
      </c>
    </row>
    <row r="5463" spans="1:13" ht="76.5">
      <c r="A5463" s="313" t="str">
        <f t="shared" si="85"/>
        <v>PrimaryStructMatTypeCode_naturalFibre</v>
      </c>
      <c r="B5463" s="330"/>
      <c r="C5463" s="334"/>
      <c r="D5463" s="188" t="s">
        <v>28446</v>
      </c>
      <c r="E5463" s="189" t="s">
        <v>28447</v>
      </c>
      <c r="F5463" s="162" t="s">
        <v>28448</v>
      </c>
      <c r="G5463" s="162" t="s">
        <v>28449</v>
      </c>
      <c r="H5463" s="219"/>
      <c r="I5463" s="169">
        <v>112759</v>
      </c>
      <c r="J5463" s="304" t="str">
        <f>CONCATENATE([2]Cover!$D$6,"fdd/view?i=",I5463)</f>
        <v>https://www.dgiwg.org/FAD/fdd/view?i=112759</v>
      </c>
      <c r="K5463" s="304" t="s">
        <v>39512</v>
      </c>
      <c r="L5463" s="188">
        <v>154</v>
      </c>
      <c r="M5463" s="179" t="s">
        <v>151</v>
      </c>
    </row>
    <row r="5464" spans="1:13" ht="25.5">
      <c r="A5464" s="313" t="str">
        <f t="shared" si="85"/>
        <v>PrimaryStructMatTypeCode_ooze</v>
      </c>
      <c r="B5464" s="330"/>
      <c r="C5464" s="334"/>
      <c r="D5464" s="188" t="s">
        <v>28450</v>
      </c>
      <c r="E5464" s="189" t="s">
        <v>28451</v>
      </c>
      <c r="F5464" s="162" t="s">
        <v>28452</v>
      </c>
      <c r="G5464" s="190"/>
      <c r="H5464" s="219"/>
      <c r="I5464" s="169">
        <v>105389</v>
      </c>
      <c r="J5464" s="304" t="str">
        <f>CONCATENATE([2]Cover!$D$6,"fdd/view?i=",I5464)</f>
        <v>https://www.dgiwg.org/FAD/fdd/view?i=105389</v>
      </c>
      <c r="K5464" s="304" t="s">
        <v>39513</v>
      </c>
      <c r="L5464" s="188">
        <v>69</v>
      </c>
      <c r="M5464" s="179" t="s">
        <v>151</v>
      </c>
    </row>
    <row r="5465" spans="1:13" ht="38.25">
      <c r="A5465" s="313" t="str">
        <f t="shared" si="85"/>
        <v>PrimaryStructMatTypeCode_oysters</v>
      </c>
      <c r="B5465" s="330"/>
      <c r="C5465" s="334"/>
      <c r="D5465" s="188" t="s">
        <v>28453</v>
      </c>
      <c r="E5465" s="189" t="s">
        <v>28454</v>
      </c>
      <c r="F5465" s="162" t="s">
        <v>28455</v>
      </c>
      <c r="G5465" s="162" t="s">
        <v>28456</v>
      </c>
      <c r="H5465" s="219"/>
      <c r="I5465" s="169">
        <v>105390</v>
      </c>
      <c r="J5465" s="304" t="str">
        <f>CONCATENATE([2]Cover!$D$6,"fdd/view?i=",I5465)</f>
        <v>https://www.dgiwg.org/FAD/fdd/view?i=105390</v>
      </c>
      <c r="K5465" s="304" t="s">
        <v>39514</v>
      </c>
      <c r="L5465" s="188">
        <v>70</v>
      </c>
      <c r="M5465" s="179" t="s">
        <v>151</v>
      </c>
    </row>
    <row r="5466" spans="1:13" ht="25.5">
      <c r="A5466" s="313" t="str">
        <f t="shared" si="85"/>
        <v>PrimaryStructMatTypeCode_pebbles</v>
      </c>
      <c r="B5466" s="330"/>
      <c r="C5466" s="334"/>
      <c r="D5466" s="188" t="s">
        <v>28457</v>
      </c>
      <c r="E5466" s="189" t="s">
        <v>28458</v>
      </c>
      <c r="F5466" s="162" t="s">
        <v>28459</v>
      </c>
      <c r="G5466" s="190"/>
      <c r="H5466" s="219"/>
      <c r="I5466" s="169">
        <v>105393</v>
      </c>
      <c r="J5466" s="304" t="str">
        <f>CONCATENATE([2]Cover!$D$6,"fdd/view?i=",I5466)</f>
        <v>https://www.dgiwg.org/FAD/fdd/view?i=105393</v>
      </c>
      <c r="K5466" s="304" t="s">
        <v>39515</v>
      </c>
      <c r="L5466" s="188">
        <v>73</v>
      </c>
      <c r="M5466" s="179" t="s">
        <v>151</v>
      </c>
    </row>
    <row r="5467" spans="1:13" ht="38.25">
      <c r="A5467" s="313" t="str">
        <f t="shared" si="85"/>
        <v>PrimaryStructMatTypeCode_plantMaterial</v>
      </c>
      <c r="B5467" s="330"/>
      <c r="C5467" s="334"/>
      <c r="D5467" s="188" t="s">
        <v>28460</v>
      </c>
      <c r="E5467" s="189" t="s">
        <v>28461</v>
      </c>
      <c r="F5467" s="162" t="s">
        <v>28462</v>
      </c>
      <c r="G5467" s="162" t="s">
        <v>28463</v>
      </c>
      <c r="H5467" s="219"/>
      <c r="I5467" s="169">
        <v>105365</v>
      </c>
      <c r="J5467" s="304" t="str">
        <f>CONCATENATE([2]Cover!$D$6,"fdd/view?i=",I5467)</f>
        <v>https://www.dgiwg.org/FAD/fdd/view?i=105365</v>
      </c>
      <c r="K5467" s="304" t="s">
        <v>39516</v>
      </c>
      <c r="L5467" s="188">
        <v>45</v>
      </c>
      <c r="M5467" s="179" t="s">
        <v>151</v>
      </c>
    </row>
    <row r="5468" spans="1:13" ht="38.25">
      <c r="A5468" s="313" t="str">
        <f t="shared" si="85"/>
        <v>PrimaryStructMatTypeCode_plastic</v>
      </c>
      <c r="B5468" s="330"/>
      <c r="C5468" s="334"/>
      <c r="D5468" s="188" t="s">
        <v>28464</v>
      </c>
      <c r="E5468" s="189" t="s">
        <v>28465</v>
      </c>
      <c r="F5468" s="162" t="s">
        <v>28466</v>
      </c>
      <c r="G5468" s="162" t="s">
        <v>28467</v>
      </c>
      <c r="H5468" s="219"/>
      <c r="I5468" s="169">
        <v>105394</v>
      </c>
      <c r="J5468" s="304" t="str">
        <f>CONCATENATE([2]Cover!$D$6,"fdd/view?i=",I5468)</f>
        <v>https://www.dgiwg.org/FAD/fdd/view?i=105394</v>
      </c>
      <c r="K5468" s="304" t="s">
        <v>39517</v>
      </c>
      <c r="L5468" s="188">
        <v>74</v>
      </c>
      <c r="M5468" s="179" t="s">
        <v>151</v>
      </c>
    </row>
    <row r="5469" spans="1:13" ht="25.5">
      <c r="A5469" s="313" t="str">
        <f t="shared" si="85"/>
        <v>PrimaryStructMatTypeCode_prestressedConcrete</v>
      </c>
      <c r="B5469" s="330"/>
      <c r="C5469" s="334"/>
      <c r="D5469" s="188" t="s">
        <v>28468</v>
      </c>
      <c r="E5469" s="189" t="s">
        <v>28469</v>
      </c>
      <c r="F5469" s="162" t="s">
        <v>28470</v>
      </c>
      <c r="G5469" s="190"/>
      <c r="H5469" s="219"/>
      <c r="I5469" s="169">
        <v>105397</v>
      </c>
      <c r="J5469" s="304" t="str">
        <f>CONCATENATE([2]Cover!$D$6,"fdd/view?i=",I5469)</f>
        <v>https://www.dgiwg.org/FAD/fdd/view?i=105397</v>
      </c>
      <c r="K5469" s="304" t="s">
        <v>39518</v>
      </c>
      <c r="L5469" s="188">
        <v>77</v>
      </c>
      <c r="M5469" s="179" t="s">
        <v>151</v>
      </c>
    </row>
    <row r="5470" spans="1:13" ht="38.25">
      <c r="A5470" s="313" t="str">
        <f t="shared" si="85"/>
        <v>PrimaryStructMatTypeCode_pteropods</v>
      </c>
      <c r="B5470" s="330"/>
      <c r="C5470" s="334"/>
      <c r="D5470" s="188" t="s">
        <v>28471</v>
      </c>
      <c r="E5470" s="189" t="s">
        <v>28472</v>
      </c>
      <c r="F5470" s="162" t="s">
        <v>28473</v>
      </c>
      <c r="G5470" s="190"/>
      <c r="H5470" s="219"/>
      <c r="I5470" s="169">
        <v>206543</v>
      </c>
      <c r="J5470" s="304" t="str">
        <f>CONCATENATE([2]Cover!$D$6,"fdd/view?i=",I5470)</f>
        <v>https://www.dgiwg.org/FAD/fdd/view?i=206543</v>
      </c>
      <c r="K5470" s="304" t="s">
        <v>39519</v>
      </c>
      <c r="L5470" s="188">
        <v>159</v>
      </c>
      <c r="M5470" s="179" t="s">
        <v>1295</v>
      </c>
    </row>
    <row r="5471" spans="1:13" ht="51">
      <c r="A5471" s="313" t="str">
        <f t="shared" si="85"/>
        <v>PrimaryStructMatTypeCode_pumice</v>
      </c>
      <c r="B5471" s="330"/>
      <c r="C5471" s="334"/>
      <c r="D5471" s="188" t="s">
        <v>28474</v>
      </c>
      <c r="E5471" s="189" t="s">
        <v>28475</v>
      </c>
      <c r="F5471" s="162" t="s">
        <v>28476</v>
      </c>
      <c r="G5471" s="162" t="s">
        <v>28477</v>
      </c>
      <c r="H5471" s="219"/>
      <c r="I5471" s="169">
        <v>105399</v>
      </c>
      <c r="J5471" s="304" t="str">
        <f>CONCATENATE([2]Cover!$D$6,"fdd/view?i=",I5471)</f>
        <v>https://www.dgiwg.org/FAD/fdd/view?i=105399</v>
      </c>
      <c r="K5471" s="304" t="s">
        <v>39520</v>
      </c>
      <c r="L5471" s="188">
        <v>79</v>
      </c>
      <c r="M5471" s="179" t="s">
        <v>151</v>
      </c>
    </row>
    <row r="5472" spans="1:13" ht="38.25">
      <c r="A5472" s="313" t="str">
        <f t="shared" si="85"/>
        <v>PrimaryStructMatTypeCode_quartz</v>
      </c>
      <c r="B5472" s="330"/>
      <c r="C5472" s="334"/>
      <c r="D5472" s="188" t="s">
        <v>28478</v>
      </c>
      <c r="E5472" s="189" t="s">
        <v>28479</v>
      </c>
      <c r="F5472" s="162" t="s">
        <v>28480</v>
      </c>
      <c r="G5472" s="162" t="s">
        <v>28481</v>
      </c>
      <c r="H5472" s="219"/>
      <c r="I5472" s="169">
        <v>105400</v>
      </c>
      <c r="J5472" s="304" t="str">
        <f>CONCATENATE([2]Cover!$D$6,"fdd/view?i=",I5472)</f>
        <v>https://www.dgiwg.org/FAD/fdd/view?i=105400</v>
      </c>
      <c r="K5472" s="304" t="s">
        <v>39521</v>
      </c>
      <c r="L5472" s="188">
        <v>80</v>
      </c>
      <c r="M5472" s="179" t="s">
        <v>151</v>
      </c>
    </row>
    <row r="5473" spans="1:13" ht="25.5">
      <c r="A5473" s="313" t="str">
        <f t="shared" si="85"/>
        <v>PrimaryStructMatTypeCode_radiolaria</v>
      </c>
      <c r="B5473" s="330"/>
      <c r="C5473" s="334"/>
      <c r="D5473" s="188" t="s">
        <v>28482</v>
      </c>
      <c r="E5473" s="189" t="s">
        <v>28483</v>
      </c>
      <c r="F5473" s="162" t="s">
        <v>28484</v>
      </c>
      <c r="G5473" s="190"/>
      <c r="H5473" s="219"/>
      <c r="I5473" s="169">
        <v>105401</v>
      </c>
      <c r="J5473" s="304" t="str">
        <f>CONCATENATE([2]Cover!$D$6,"fdd/view?i=",I5473)</f>
        <v>https://www.dgiwg.org/FAD/fdd/view?i=105401</v>
      </c>
      <c r="K5473" s="304" t="s">
        <v>39522</v>
      </c>
      <c r="L5473" s="188">
        <v>81</v>
      </c>
      <c r="M5473" s="179" t="s">
        <v>151</v>
      </c>
    </row>
    <row r="5474" spans="1:13" ht="25.5">
      <c r="A5474" s="313" t="str">
        <f t="shared" si="85"/>
        <v>PrimaryStructMatTypeCode_reinforcedConcrete</v>
      </c>
      <c r="B5474" s="330"/>
      <c r="C5474" s="334"/>
      <c r="D5474" s="188" t="s">
        <v>18106</v>
      </c>
      <c r="E5474" s="189" t="s">
        <v>18107</v>
      </c>
      <c r="F5474" s="162" t="s">
        <v>18108</v>
      </c>
      <c r="G5474" s="190"/>
      <c r="H5474" s="221" t="s">
        <v>18109</v>
      </c>
      <c r="I5474" s="169">
        <v>105403</v>
      </c>
      <c r="J5474" s="304" t="str">
        <f>CONCATENATE([2]Cover!$D$6,"fdd/view?i=",I5474)</f>
        <v>https://www.dgiwg.org/FAD/fdd/view?i=105403</v>
      </c>
      <c r="K5474" s="304" t="s">
        <v>39523</v>
      </c>
      <c r="L5474" s="188">
        <v>83</v>
      </c>
      <c r="M5474" s="179" t="s">
        <v>151</v>
      </c>
    </row>
    <row r="5475" spans="1:13">
      <c r="A5475" s="313" t="str">
        <f t="shared" si="85"/>
        <v>PrimaryStructMatTypeCode_rock</v>
      </c>
      <c r="B5475" s="330"/>
      <c r="C5475" s="334"/>
      <c r="D5475" s="188" t="s">
        <v>28485</v>
      </c>
      <c r="E5475" s="189" t="s">
        <v>28486</v>
      </c>
      <c r="F5475" s="162" t="s">
        <v>28487</v>
      </c>
      <c r="G5475" s="190"/>
      <c r="H5475" s="219"/>
      <c r="I5475" s="169">
        <v>105404</v>
      </c>
      <c r="J5475" s="304" t="str">
        <f>CONCATENATE([2]Cover!$D$6,"fdd/view?i=",I5475)</f>
        <v>https://www.dgiwg.org/FAD/fdd/view?i=105404</v>
      </c>
      <c r="K5475" s="304" t="s">
        <v>39524</v>
      </c>
      <c r="L5475" s="188">
        <v>84</v>
      </c>
      <c r="M5475" s="179" t="s">
        <v>151</v>
      </c>
    </row>
    <row r="5476" spans="1:13" ht="25.5">
      <c r="A5476" s="313" t="str">
        <f t="shared" si="85"/>
        <v>PrimaryStructMatTypeCode_rubble</v>
      </c>
      <c r="B5476" s="330"/>
      <c r="C5476" s="334"/>
      <c r="D5476" s="188" t="s">
        <v>28488</v>
      </c>
      <c r="E5476" s="189" t="s">
        <v>28489</v>
      </c>
      <c r="F5476" s="162" t="s">
        <v>28490</v>
      </c>
      <c r="G5476" s="190"/>
      <c r="H5476" s="219"/>
      <c r="I5476" s="169">
        <v>105406</v>
      </c>
      <c r="J5476" s="304" t="str">
        <f>CONCATENATE([2]Cover!$D$6,"fdd/view?i=",I5476)</f>
        <v>https://www.dgiwg.org/FAD/fdd/view?i=105406</v>
      </c>
      <c r="K5476" s="304" t="s">
        <v>39525</v>
      </c>
      <c r="L5476" s="188">
        <v>86</v>
      </c>
      <c r="M5476" s="179" t="s">
        <v>151</v>
      </c>
    </row>
    <row r="5477" spans="1:13" ht="76.5">
      <c r="A5477" s="313" t="str">
        <f t="shared" si="85"/>
        <v>PrimaryStructMatTypeCode_sand</v>
      </c>
      <c r="B5477" s="330"/>
      <c r="C5477" s="334"/>
      <c r="D5477" s="188" t="s">
        <v>15137</v>
      </c>
      <c r="E5477" s="189" t="s">
        <v>15138</v>
      </c>
      <c r="F5477" s="162" t="s">
        <v>18114</v>
      </c>
      <c r="G5477" s="162" t="s">
        <v>18115</v>
      </c>
      <c r="H5477" s="219"/>
      <c r="I5477" s="169">
        <v>105408</v>
      </c>
      <c r="J5477" s="304" t="str">
        <f>CONCATENATE([2]Cover!$D$6,"fdd/view?i=",I5477)</f>
        <v>https://www.dgiwg.org/FAD/fdd/view?i=105408</v>
      </c>
      <c r="K5477" s="304" t="s">
        <v>39526</v>
      </c>
      <c r="L5477" s="188">
        <v>88</v>
      </c>
      <c r="M5477" s="179" t="s">
        <v>151</v>
      </c>
    </row>
    <row r="5478" spans="1:13" ht="38.25">
      <c r="A5478" s="313" t="str">
        <f t="shared" si="85"/>
        <v>PrimaryStructMatTypeCode_schist</v>
      </c>
      <c r="B5478" s="330"/>
      <c r="C5478" s="334"/>
      <c r="D5478" s="188" t="s">
        <v>16819</v>
      </c>
      <c r="E5478" s="189" t="s">
        <v>16820</v>
      </c>
      <c r="F5478" s="162" t="s">
        <v>28491</v>
      </c>
      <c r="G5478" s="190"/>
      <c r="H5478" s="219"/>
      <c r="I5478" s="169">
        <v>105410</v>
      </c>
      <c r="J5478" s="304" t="str">
        <f>CONCATENATE([2]Cover!$D$6,"fdd/view?i=",I5478)</f>
        <v>https://www.dgiwg.org/FAD/fdd/view?i=105410</v>
      </c>
      <c r="K5478" s="304" t="s">
        <v>39527</v>
      </c>
      <c r="L5478" s="188">
        <v>90</v>
      </c>
      <c r="M5478" s="179" t="s">
        <v>151</v>
      </c>
    </row>
    <row r="5479" spans="1:13" ht="25.5">
      <c r="A5479" s="313" t="str">
        <f t="shared" si="85"/>
        <v>PrimaryStructMatTypeCode_scoria</v>
      </c>
      <c r="B5479" s="330"/>
      <c r="C5479" s="334"/>
      <c r="D5479" s="188" t="s">
        <v>28492</v>
      </c>
      <c r="E5479" s="189" t="s">
        <v>28493</v>
      </c>
      <c r="F5479" s="162" t="s">
        <v>28494</v>
      </c>
      <c r="G5479" s="190"/>
      <c r="H5479" s="219"/>
      <c r="I5479" s="169">
        <v>105412</v>
      </c>
      <c r="J5479" s="304" t="str">
        <f>CONCATENATE([2]Cover!$D$6,"fdd/view?i=",I5479)</f>
        <v>https://www.dgiwg.org/FAD/fdd/view?i=105412</v>
      </c>
      <c r="K5479" s="304" t="s">
        <v>39528</v>
      </c>
      <c r="L5479" s="188">
        <v>92</v>
      </c>
      <c r="M5479" s="179" t="s">
        <v>151</v>
      </c>
    </row>
    <row r="5480" spans="1:13" ht="25.5">
      <c r="A5480" s="313" t="str">
        <f t="shared" si="85"/>
        <v>PrimaryStructMatTypeCode_seaMoss</v>
      </c>
      <c r="B5480" s="330"/>
      <c r="C5480" s="334"/>
      <c r="D5480" s="188" t="s">
        <v>28495</v>
      </c>
      <c r="E5480" s="189" t="s">
        <v>28496</v>
      </c>
      <c r="F5480" s="162" t="s">
        <v>28497</v>
      </c>
      <c r="G5480" s="190"/>
      <c r="H5480" s="219"/>
      <c r="I5480" s="169">
        <v>105395</v>
      </c>
      <c r="J5480" s="304" t="str">
        <f>CONCATENATE([2]Cover!$D$6,"fdd/view?i=",I5480)</f>
        <v>https://www.dgiwg.org/FAD/fdd/view?i=105395</v>
      </c>
      <c r="K5480" s="304" t="s">
        <v>39529</v>
      </c>
      <c r="L5480" s="188">
        <v>75</v>
      </c>
      <c r="M5480" s="179" t="s">
        <v>151</v>
      </c>
    </row>
    <row r="5481" spans="1:13" ht="25.5">
      <c r="A5481" s="313" t="str">
        <f t="shared" si="85"/>
        <v>PrimaryStructMatTypeCode_shell</v>
      </c>
      <c r="B5481" s="330"/>
      <c r="C5481" s="334"/>
      <c r="D5481" s="188" t="s">
        <v>28498</v>
      </c>
      <c r="E5481" s="189" t="s">
        <v>28499</v>
      </c>
      <c r="F5481" s="162" t="s">
        <v>28500</v>
      </c>
      <c r="G5481" s="190"/>
      <c r="H5481" s="219"/>
      <c r="I5481" s="169">
        <v>105416</v>
      </c>
      <c r="J5481" s="304" t="str">
        <f>CONCATENATE([2]Cover!$D$6,"fdd/view?i=",I5481)</f>
        <v>https://www.dgiwg.org/FAD/fdd/view?i=105416</v>
      </c>
      <c r="K5481" s="304" t="s">
        <v>39530</v>
      </c>
      <c r="L5481" s="188">
        <v>96</v>
      </c>
      <c r="M5481" s="179" t="s">
        <v>151</v>
      </c>
    </row>
    <row r="5482" spans="1:13" ht="25.5">
      <c r="A5482" s="313" t="str">
        <f t="shared" si="85"/>
        <v>PrimaryStructMatTypeCode_shingle</v>
      </c>
      <c r="B5482" s="330"/>
      <c r="C5482" s="334"/>
      <c r="D5482" s="188" t="s">
        <v>28501</v>
      </c>
      <c r="E5482" s="189" t="s">
        <v>28502</v>
      </c>
      <c r="F5482" s="162" t="s">
        <v>28503</v>
      </c>
      <c r="G5482" s="190"/>
      <c r="H5482" s="219"/>
      <c r="I5482" s="169">
        <v>105417</v>
      </c>
      <c r="J5482" s="304" t="str">
        <f>CONCATENATE([2]Cover!$D$6,"fdd/view?i=",I5482)</f>
        <v>https://www.dgiwg.org/FAD/fdd/view?i=105417</v>
      </c>
      <c r="K5482" s="304" t="s">
        <v>39531</v>
      </c>
      <c r="L5482" s="188">
        <v>98</v>
      </c>
      <c r="M5482" s="179" t="s">
        <v>151</v>
      </c>
    </row>
    <row r="5483" spans="1:13" ht="38.25">
      <c r="A5483" s="313" t="str">
        <f t="shared" si="85"/>
        <v>PrimaryStructMatTypeCode_silt</v>
      </c>
      <c r="B5483" s="330"/>
      <c r="C5483" s="334"/>
      <c r="D5483" s="188" t="s">
        <v>28504</v>
      </c>
      <c r="E5483" s="189" t="s">
        <v>28505</v>
      </c>
      <c r="F5483" s="162" t="s">
        <v>28506</v>
      </c>
      <c r="G5483" s="190"/>
      <c r="H5483" s="219"/>
      <c r="I5483" s="169">
        <v>105418</v>
      </c>
      <c r="J5483" s="304" t="str">
        <f>CONCATENATE([2]Cover!$D$6,"fdd/view?i=",I5483)</f>
        <v>https://www.dgiwg.org/FAD/fdd/view?i=105418</v>
      </c>
      <c r="K5483" s="304" t="s">
        <v>39532</v>
      </c>
      <c r="L5483" s="188">
        <v>99</v>
      </c>
      <c r="M5483" s="179" t="s">
        <v>151</v>
      </c>
    </row>
    <row r="5484" spans="1:13" ht="25.5">
      <c r="A5484" s="313" t="str">
        <f t="shared" si="85"/>
        <v>PrimaryStructMatTypeCode_sod</v>
      </c>
      <c r="B5484" s="330"/>
      <c r="C5484" s="334"/>
      <c r="D5484" s="188" t="s">
        <v>28507</v>
      </c>
      <c r="E5484" s="189" t="s">
        <v>28508</v>
      </c>
      <c r="F5484" s="162" t="s">
        <v>28509</v>
      </c>
      <c r="G5484" s="190"/>
      <c r="H5484" s="221" t="s">
        <v>28510</v>
      </c>
      <c r="I5484" s="169">
        <v>108235</v>
      </c>
      <c r="J5484" s="304" t="str">
        <f>CONCATENATE([2]Cover!$D$6,"fdd/view?i=",I5484)</f>
        <v>https://www.dgiwg.org/FAD/fdd/view?i=108235</v>
      </c>
      <c r="K5484" s="304" t="s">
        <v>39533</v>
      </c>
      <c r="L5484" s="188">
        <v>136</v>
      </c>
      <c r="M5484" s="179" t="s">
        <v>151</v>
      </c>
    </row>
    <row r="5485" spans="1:13" ht="38.25">
      <c r="A5485" s="313" t="str">
        <f t="shared" si="85"/>
        <v>PrimaryStructMatTypeCode_soil</v>
      </c>
      <c r="B5485" s="330"/>
      <c r="C5485" s="334"/>
      <c r="D5485" s="188" t="s">
        <v>18127</v>
      </c>
      <c r="E5485" s="189" t="s">
        <v>18128</v>
      </c>
      <c r="F5485" s="162" t="s">
        <v>18129</v>
      </c>
      <c r="G5485" s="190"/>
      <c r="H5485" s="219"/>
      <c r="I5485" s="169">
        <v>105423</v>
      </c>
      <c r="J5485" s="304" t="str">
        <f>CONCATENATE([2]Cover!$D$6,"fdd/view?i=",I5485)</f>
        <v>https://www.dgiwg.org/FAD/fdd/view?i=105423</v>
      </c>
      <c r="K5485" s="304" t="s">
        <v>39534</v>
      </c>
      <c r="L5485" s="188">
        <v>104</v>
      </c>
      <c r="M5485" s="179" t="s">
        <v>151</v>
      </c>
    </row>
    <row r="5486" spans="1:13" ht="25.5">
      <c r="A5486" s="313" t="str">
        <f t="shared" si="85"/>
        <v>PrimaryStructMatTypeCode_spicules</v>
      </c>
      <c r="B5486" s="330"/>
      <c r="C5486" s="334"/>
      <c r="D5486" s="188" t="s">
        <v>28511</v>
      </c>
      <c r="E5486" s="189" t="s">
        <v>28512</v>
      </c>
      <c r="F5486" s="162" t="s">
        <v>28513</v>
      </c>
      <c r="G5486" s="190"/>
      <c r="H5486" s="219"/>
      <c r="I5486" s="169">
        <v>105424</v>
      </c>
      <c r="J5486" s="304" t="str">
        <f>CONCATENATE([2]Cover!$D$6,"fdd/view?i=",I5486)</f>
        <v>https://www.dgiwg.org/FAD/fdd/view?i=105424</v>
      </c>
      <c r="K5486" s="304" t="s">
        <v>39535</v>
      </c>
      <c r="L5486" s="188">
        <v>105</v>
      </c>
      <c r="M5486" s="179" t="s">
        <v>151</v>
      </c>
    </row>
    <row r="5487" spans="1:13" ht="38.25">
      <c r="A5487" s="313" t="str">
        <f t="shared" si="85"/>
        <v>PrimaryStructMatTypeCode_sponge</v>
      </c>
      <c r="B5487" s="330"/>
      <c r="C5487" s="334"/>
      <c r="D5487" s="188" t="s">
        <v>28514</v>
      </c>
      <c r="E5487" s="189" t="s">
        <v>28515</v>
      </c>
      <c r="F5487" s="162" t="s">
        <v>28516</v>
      </c>
      <c r="G5487" s="190"/>
      <c r="H5487" s="219"/>
      <c r="I5487" s="169">
        <v>105425</v>
      </c>
      <c r="J5487" s="304" t="str">
        <f>CONCATENATE([2]Cover!$D$6,"fdd/view?i=",I5487)</f>
        <v>https://www.dgiwg.org/FAD/fdd/view?i=105425</v>
      </c>
      <c r="K5487" s="304" t="s">
        <v>39536</v>
      </c>
      <c r="L5487" s="188">
        <v>106</v>
      </c>
      <c r="M5487" s="179" t="s">
        <v>151</v>
      </c>
    </row>
    <row r="5488" spans="1:13" ht="38.25">
      <c r="A5488" s="313" t="str">
        <f t="shared" si="85"/>
        <v>PrimaryStructMatTypeCode_steel</v>
      </c>
      <c r="B5488" s="330"/>
      <c r="C5488" s="334"/>
      <c r="D5488" s="188" t="s">
        <v>28517</v>
      </c>
      <c r="E5488" s="189" t="s">
        <v>28518</v>
      </c>
      <c r="F5488" s="162" t="s">
        <v>28519</v>
      </c>
      <c r="G5488" s="162" t="s">
        <v>28520</v>
      </c>
      <c r="H5488" s="219"/>
      <c r="I5488" s="169">
        <v>105426</v>
      </c>
      <c r="J5488" s="304" t="str">
        <f>CONCATENATE([2]Cover!$D$6,"fdd/view?i=",I5488)</f>
        <v>https://www.dgiwg.org/FAD/fdd/view?i=105426</v>
      </c>
      <c r="K5488" s="304" t="s">
        <v>39537</v>
      </c>
      <c r="L5488" s="188">
        <v>107</v>
      </c>
      <c r="M5488" s="179" t="s">
        <v>151</v>
      </c>
    </row>
    <row r="5489" spans="1:13" ht="38.25">
      <c r="A5489" s="313" t="str">
        <f t="shared" si="85"/>
        <v>PrimaryStructMatTypeCode_stone</v>
      </c>
      <c r="B5489" s="330"/>
      <c r="C5489" s="334"/>
      <c r="D5489" s="188" t="s">
        <v>15143</v>
      </c>
      <c r="E5489" s="189" t="s">
        <v>15144</v>
      </c>
      <c r="F5489" s="162" t="s">
        <v>28521</v>
      </c>
      <c r="G5489" s="162" t="s">
        <v>28522</v>
      </c>
      <c r="H5489" s="219"/>
      <c r="I5489" s="169">
        <v>105427</v>
      </c>
      <c r="J5489" s="304" t="str">
        <f>CONCATENATE([2]Cover!$D$6,"fdd/view?i=",I5489)</f>
        <v>https://www.dgiwg.org/FAD/fdd/view?i=105427</v>
      </c>
      <c r="K5489" s="304" t="s">
        <v>39538</v>
      </c>
      <c r="L5489" s="188">
        <v>108</v>
      </c>
      <c r="M5489" s="179" t="s">
        <v>151</v>
      </c>
    </row>
    <row r="5490" spans="1:13" ht="38.25">
      <c r="A5490" s="313" t="str">
        <f t="shared" si="85"/>
        <v>PrimaryStructMatTypeCode_treatedTimber</v>
      </c>
      <c r="B5490" s="330"/>
      <c r="C5490" s="334"/>
      <c r="D5490" s="188" t="s">
        <v>28523</v>
      </c>
      <c r="E5490" s="189" t="s">
        <v>28524</v>
      </c>
      <c r="F5490" s="162" t="s">
        <v>28525</v>
      </c>
      <c r="G5490" s="162" t="s">
        <v>28526</v>
      </c>
      <c r="H5490" s="219"/>
      <c r="I5490" s="169">
        <v>112755</v>
      </c>
      <c r="J5490" s="304" t="str">
        <f>CONCATENATE([2]Cover!$D$6,"fdd/view?i=",I5490)</f>
        <v>https://www.dgiwg.org/FAD/fdd/view?i=112755</v>
      </c>
      <c r="K5490" s="304" t="s">
        <v>39539</v>
      </c>
      <c r="L5490" s="188">
        <v>150</v>
      </c>
      <c r="M5490" s="179" t="s">
        <v>151</v>
      </c>
    </row>
    <row r="5491" spans="1:13" ht="25.5">
      <c r="A5491" s="313" t="str">
        <f t="shared" si="85"/>
        <v>PrimaryStructMatTypeCode_tufa</v>
      </c>
      <c r="B5491" s="330"/>
      <c r="C5491" s="334"/>
      <c r="D5491" s="188" t="s">
        <v>28527</v>
      </c>
      <c r="E5491" s="189" t="s">
        <v>28528</v>
      </c>
      <c r="F5491" s="162" t="s">
        <v>28529</v>
      </c>
      <c r="G5491" s="162" t="s">
        <v>28530</v>
      </c>
      <c r="H5491" s="219"/>
      <c r="I5491" s="169">
        <v>105430</v>
      </c>
      <c r="J5491" s="304" t="str">
        <f>CONCATENATE([2]Cover!$D$6,"fdd/view?i=",I5491)</f>
        <v>https://www.dgiwg.org/FAD/fdd/view?i=105430</v>
      </c>
      <c r="K5491" s="304" t="s">
        <v>39540</v>
      </c>
      <c r="L5491" s="188">
        <v>111</v>
      </c>
      <c r="M5491" s="179" t="s">
        <v>151</v>
      </c>
    </row>
    <row r="5492" spans="1:13">
      <c r="A5492" s="313" t="str">
        <f t="shared" si="85"/>
        <v>PrimaryStructMatTypeCode_turf</v>
      </c>
      <c r="B5492" s="330"/>
      <c r="C5492" s="334"/>
      <c r="D5492" s="188" t="s">
        <v>28531</v>
      </c>
      <c r="E5492" s="189" t="s">
        <v>28510</v>
      </c>
      <c r="F5492" s="162" t="s">
        <v>28532</v>
      </c>
      <c r="G5492" s="190"/>
      <c r="H5492" s="221" t="s">
        <v>28533</v>
      </c>
      <c r="I5492" s="169">
        <v>112763</v>
      </c>
      <c r="J5492" s="304" t="str">
        <f>CONCATENATE([2]Cover!$D$6,"fdd/view?i=",I5492)</f>
        <v>https://www.dgiwg.org/FAD/fdd/view?i=112763</v>
      </c>
      <c r="K5492" s="304" t="s">
        <v>39541</v>
      </c>
      <c r="L5492" s="188">
        <v>158</v>
      </c>
      <c r="M5492" s="179" t="s">
        <v>151</v>
      </c>
    </row>
    <row r="5493" spans="1:13" ht="25.5">
      <c r="A5493" s="313" t="str">
        <f t="shared" si="85"/>
        <v>PrimaryStructMatTypeCode_vegetation</v>
      </c>
      <c r="B5493" s="330"/>
      <c r="C5493" s="334"/>
      <c r="D5493" s="188" t="s">
        <v>20854</v>
      </c>
      <c r="E5493" s="189" t="s">
        <v>20855</v>
      </c>
      <c r="F5493" s="162" t="s">
        <v>28534</v>
      </c>
      <c r="G5493" s="190"/>
      <c r="H5493" s="219"/>
      <c r="I5493" s="169">
        <v>105432</v>
      </c>
      <c r="J5493" s="304" t="str">
        <f>CONCATENATE([2]Cover!$D$6,"fdd/view?i=",I5493)</f>
        <v>https://www.dgiwg.org/FAD/fdd/view?i=105432</v>
      </c>
      <c r="K5493" s="304" t="s">
        <v>39542</v>
      </c>
      <c r="L5493" s="188">
        <v>113</v>
      </c>
      <c r="M5493" s="179" t="s">
        <v>151</v>
      </c>
    </row>
    <row r="5494" spans="1:13" ht="25.5">
      <c r="A5494" s="313" t="str">
        <f t="shared" si="85"/>
        <v>PrimaryStructMatTypeCode_volcanicAsh</v>
      </c>
      <c r="B5494" s="330"/>
      <c r="C5494" s="334"/>
      <c r="D5494" s="188" t="s">
        <v>28535</v>
      </c>
      <c r="E5494" s="189" t="s">
        <v>28536</v>
      </c>
      <c r="F5494" s="162" t="s">
        <v>28537</v>
      </c>
      <c r="G5494" s="190"/>
      <c r="H5494" s="219"/>
      <c r="I5494" s="169">
        <v>105434</v>
      </c>
      <c r="J5494" s="304" t="str">
        <f>CONCATENATE([2]Cover!$D$6,"fdd/view?i=",I5494)</f>
        <v>https://www.dgiwg.org/FAD/fdd/view?i=105434</v>
      </c>
      <c r="K5494" s="304" t="s">
        <v>39543</v>
      </c>
      <c r="L5494" s="188">
        <v>115</v>
      </c>
      <c r="M5494" s="179" t="s">
        <v>151</v>
      </c>
    </row>
    <row r="5495" spans="1:13" ht="38.25">
      <c r="A5495" s="313" t="str">
        <f t="shared" si="85"/>
        <v>PrimaryStructMatTypeCode_water</v>
      </c>
      <c r="B5495" s="330"/>
      <c r="C5495" s="334"/>
      <c r="D5495" s="188" t="s">
        <v>15146</v>
      </c>
      <c r="E5495" s="189" t="s">
        <v>15147</v>
      </c>
      <c r="F5495" s="162" t="s">
        <v>17397</v>
      </c>
      <c r="G5495" s="162" t="s">
        <v>28538</v>
      </c>
      <c r="H5495" s="219"/>
      <c r="I5495" s="169">
        <v>105435</v>
      </c>
      <c r="J5495" s="304" t="str">
        <f>CONCATENATE([2]Cover!$D$6,"fdd/view?i=",I5495)</f>
        <v>https://www.dgiwg.org/FAD/fdd/view?i=105435</v>
      </c>
      <c r="K5495" s="304" t="s">
        <v>39544</v>
      </c>
      <c r="L5495" s="188">
        <v>116</v>
      </c>
      <c r="M5495" s="179" t="s">
        <v>151</v>
      </c>
    </row>
    <row r="5496" spans="1:13" ht="38.25">
      <c r="A5496" s="313" t="str">
        <f t="shared" si="85"/>
        <v>PrimaryStructMatTypeCode_wood</v>
      </c>
      <c r="B5496" s="331"/>
      <c r="C5496" s="335"/>
      <c r="D5496" s="181" t="s">
        <v>15149</v>
      </c>
      <c r="E5496" s="192" t="s">
        <v>15150</v>
      </c>
      <c r="F5496" s="193" t="s">
        <v>28539</v>
      </c>
      <c r="G5496" s="193" t="s">
        <v>28540</v>
      </c>
      <c r="H5496" s="220"/>
      <c r="I5496" s="169">
        <v>105436</v>
      </c>
      <c r="J5496" s="304" t="str">
        <f>CONCATENATE([2]Cover!$D$6,"fdd/view?i=",I5496)</f>
        <v>https://www.dgiwg.org/FAD/fdd/view?i=105436</v>
      </c>
      <c r="K5496" s="304" t="s">
        <v>39545</v>
      </c>
      <c r="L5496" s="181">
        <v>117</v>
      </c>
      <c r="M5496" s="179" t="s">
        <v>151</v>
      </c>
    </row>
    <row r="5497" spans="1:13" ht="25.5">
      <c r="A5497" s="313" t="str">
        <f t="shared" si="85"/>
        <v>ProcedureDesignCriteriaCode_national</v>
      </c>
      <c r="B5497" s="332" t="str">
        <f>HYPERLINK("[#]Datatypes!A1053:L1053","ProcedureDesignCriteriaCode")</f>
        <v>ProcedureDesignCriteriaCode</v>
      </c>
      <c r="C5497" s="333" t="s">
        <v>12648</v>
      </c>
      <c r="D5497" s="202" t="s">
        <v>13398</v>
      </c>
      <c r="E5497" s="203" t="s">
        <v>13399</v>
      </c>
      <c r="F5497" s="204" t="s">
        <v>28541</v>
      </c>
      <c r="G5497" s="205"/>
      <c r="H5497" s="218"/>
      <c r="I5497" s="169">
        <v>115760</v>
      </c>
      <c r="J5497" s="304" t="str">
        <f>CONCATENATE([2]Cover!$D$6,"fdd/view?i=",I5497)</f>
        <v>https://www.dgiwg.org/FAD/fdd/view?i=115760</v>
      </c>
      <c r="K5497" s="304" t="s">
        <v>39546</v>
      </c>
      <c r="L5497" s="202">
        <v>3</v>
      </c>
      <c r="M5497" s="179" t="s">
        <v>151</v>
      </c>
    </row>
    <row r="5498" spans="1:13">
      <c r="A5498" s="313" t="str">
        <f t="shared" si="85"/>
        <v>ProcedureDesignCriteriaCode_nato</v>
      </c>
      <c r="B5498" s="330"/>
      <c r="C5498" s="334"/>
      <c r="D5498" s="188" t="s">
        <v>28542</v>
      </c>
      <c r="E5498" s="189" t="s">
        <v>28543</v>
      </c>
      <c r="F5498" s="162" t="s">
        <v>28544</v>
      </c>
      <c r="G5498" s="190"/>
      <c r="H5498" s="219"/>
      <c r="I5498" s="169">
        <v>115761</v>
      </c>
      <c r="J5498" s="304" t="str">
        <f>CONCATENATE([2]Cover!$D$6,"fdd/view?i=",I5498)</f>
        <v>https://www.dgiwg.org/FAD/fdd/view?i=115761</v>
      </c>
      <c r="K5498" s="304" t="s">
        <v>39547</v>
      </c>
      <c r="L5498" s="188">
        <v>4</v>
      </c>
      <c r="M5498" s="179" t="s">
        <v>151</v>
      </c>
    </row>
    <row r="5499" spans="1:13" ht="25.5">
      <c r="A5499" s="313" t="str">
        <f t="shared" si="85"/>
        <v>ProcedureDesignCriteriaCode_pansOps</v>
      </c>
      <c r="B5499" s="330"/>
      <c r="C5499" s="334"/>
      <c r="D5499" s="188" t="s">
        <v>28545</v>
      </c>
      <c r="E5499" s="189" t="s">
        <v>28546</v>
      </c>
      <c r="F5499" s="162" t="s">
        <v>28547</v>
      </c>
      <c r="G5499" s="190"/>
      <c r="H5499" s="219"/>
      <c r="I5499" s="169">
        <v>115758</v>
      </c>
      <c r="J5499" s="304" t="str">
        <f>CONCATENATE([2]Cover!$D$6,"fdd/view?i=",I5499)</f>
        <v>https://www.dgiwg.org/FAD/fdd/view?i=115758</v>
      </c>
      <c r="K5499" s="304" t="s">
        <v>39548</v>
      </c>
      <c r="L5499" s="188">
        <v>1</v>
      </c>
      <c r="M5499" s="179" t="s">
        <v>151</v>
      </c>
    </row>
    <row r="5500" spans="1:13" ht="25.5">
      <c r="A5500" s="313" t="str">
        <f t="shared" si="85"/>
        <v>ProcedureDesignCriteriaCode_terps</v>
      </c>
      <c r="B5500" s="331"/>
      <c r="C5500" s="335"/>
      <c r="D5500" s="181" t="s">
        <v>28548</v>
      </c>
      <c r="E5500" s="192" t="s">
        <v>28549</v>
      </c>
      <c r="F5500" s="193" t="s">
        <v>28550</v>
      </c>
      <c r="G5500" s="194"/>
      <c r="H5500" s="220"/>
      <c r="I5500" s="169">
        <v>115759</v>
      </c>
      <c r="J5500" s="304" t="str">
        <f>CONCATENATE([2]Cover!$D$6,"fdd/view?i=",I5500)</f>
        <v>https://www.dgiwg.org/FAD/fdd/view?i=115759</v>
      </c>
      <c r="K5500" s="304" t="s">
        <v>39549</v>
      </c>
      <c r="L5500" s="181">
        <v>2</v>
      </c>
      <c r="M5500" s="179" t="s">
        <v>151</v>
      </c>
    </row>
    <row r="5501" spans="1:13" ht="38.25">
      <c r="A5501" s="313" t="str">
        <f t="shared" si="85"/>
        <v>ProcedureMinimaTypeCode_alternate</v>
      </c>
      <c r="B5501" s="332" t="str">
        <f>HYPERLINK("[#]Datatypes!A1055:L1055","ProcedureMinimaTypeCode")</f>
        <v>ProcedureMinimaTypeCode</v>
      </c>
      <c r="C5501" s="333" t="s">
        <v>12650</v>
      </c>
      <c r="D5501" s="202" t="s">
        <v>15441</v>
      </c>
      <c r="E5501" s="203" t="s">
        <v>15442</v>
      </c>
      <c r="F5501" s="204" t="s">
        <v>28551</v>
      </c>
      <c r="G5501" s="205"/>
      <c r="H5501" s="218"/>
      <c r="I5501" s="169">
        <v>119687</v>
      </c>
      <c r="J5501" s="304" t="str">
        <f>CONCATENATE([2]Cover!$D$6,"fdd/view?i=",I5501)</f>
        <v>https://www.dgiwg.org/FAD/fdd/view?i=119687</v>
      </c>
      <c r="K5501" s="304" t="s">
        <v>39550</v>
      </c>
      <c r="L5501" s="202">
        <v>2</v>
      </c>
      <c r="M5501" s="179" t="s">
        <v>151</v>
      </c>
    </row>
    <row r="5502" spans="1:13" ht="38.25">
      <c r="A5502" s="313" t="str">
        <f t="shared" si="85"/>
        <v>ProcedureMinimaTypeCode_primary</v>
      </c>
      <c r="B5502" s="331"/>
      <c r="C5502" s="335"/>
      <c r="D5502" s="181" t="s">
        <v>14901</v>
      </c>
      <c r="E5502" s="192" t="s">
        <v>14902</v>
      </c>
      <c r="F5502" s="193" t="s">
        <v>28552</v>
      </c>
      <c r="G5502" s="194"/>
      <c r="H5502" s="220"/>
      <c r="I5502" s="169">
        <v>119686</v>
      </c>
      <c r="J5502" s="304" t="str">
        <f>CONCATENATE([2]Cover!$D$6,"fdd/view?i=",I5502)</f>
        <v>https://www.dgiwg.org/FAD/fdd/view?i=119686</v>
      </c>
      <c r="K5502" s="304" t="s">
        <v>39551</v>
      </c>
      <c r="L5502" s="181">
        <v>1</v>
      </c>
      <c r="M5502" s="179" t="s">
        <v>151</v>
      </c>
    </row>
    <row r="5503" spans="1:13">
      <c r="A5503" s="313" t="str">
        <f t="shared" si="85"/>
        <v>ProductCode_aircraft</v>
      </c>
      <c r="B5503" s="332" t="str">
        <f>HYPERLINK("[#]Datatypes!A1061:L1061","ProductCode")</f>
        <v>ProductCode</v>
      </c>
      <c r="C5503" s="333" t="s">
        <v>12658</v>
      </c>
      <c r="D5503" s="202" t="s">
        <v>25468</v>
      </c>
      <c r="E5503" s="203" t="s">
        <v>25469</v>
      </c>
      <c r="F5503" s="204" t="s">
        <v>28553</v>
      </c>
      <c r="G5503" s="204" t="s">
        <v>28554</v>
      </c>
      <c r="H5503" s="218"/>
      <c r="I5503" s="169">
        <v>106461</v>
      </c>
      <c r="J5503" s="304" t="str">
        <f>CONCATENATE([2]Cover!$D$6,"fdd/view?i=",I5503)</f>
        <v>https://www.dgiwg.org/FAD/fdd/view?i=106461</v>
      </c>
      <c r="K5503" s="304" t="s">
        <v>39552</v>
      </c>
      <c r="L5503" s="202">
        <v>1</v>
      </c>
      <c r="M5503" s="179" t="s">
        <v>151</v>
      </c>
    </row>
    <row r="5504" spans="1:13" ht="25.5">
      <c r="A5504" s="313" t="str">
        <f t="shared" si="85"/>
        <v>ProductCode_aluminum</v>
      </c>
      <c r="B5504" s="330"/>
      <c r="C5504" s="334"/>
      <c r="D5504" s="188" t="s">
        <v>28335</v>
      </c>
      <c r="E5504" s="189" t="s">
        <v>28336</v>
      </c>
      <c r="F5504" s="162" t="s">
        <v>28337</v>
      </c>
      <c r="G5504" s="190"/>
      <c r="H5504" s="219"/>
      <c r="I5504" s="169">
        <v>106462</v>
      </c>
      <c r="J5504" s="304" t="str">
        <f>CONCATENATE([2]Cover!$D$6,"fdd/view?i=",I5504)</f>
        <v>https://www.dgiwg.org/FAD/fdd/view?i=106462</v>
      </c>
      <c r="K5504" s="304" t="s">
        <v>39553</v>
      </c>
      <c r="L5504" s="188">
        <v>2</v>
      </c>
      <c r="M5504" s="179" t="s">
        <v>151</v>
      </c>
    </row>
    <row r="5505" spans="1:13" ht="25.5">
      <c r="A5505" s="313" t="str">
        <f t="shared" si="85"/>
        <v>ProductCode_ammunition</v>
      </c>
      <c r="B5505" s="330"/>
      <c r="C5505" s="334"/>
      <c r="D5505" s="188" t="s">
        <v>28555</v>
      </c>
      <c r="E5505" s="189" t="s">
        <v>28556</v>
      </c>
      <c r="F5505" s="162" t="s">
        <v>28557</v>
      </c>
      <c r="G5505" s="190"/>
      <c r="H5505" s="219"/>
      <c r="I5505" s="169">
        <v>106463</v>
      </c>
      <c r="J5505" s="304" t="str">
        <f>CONCATENATE([2]Cover!$D$6,"fdd/view?i=",I5505)</f>
        <v>https://www.dgiwg.org/FAD/fdd/view?i=106463</v>
      </c>
      <c r="K5505" s="304" t="s">
        <v>39554</v>
      </c>
      <c r="L5505" s="188">
        <v>3</v>
      </c>
      <c r="M5505" s="179" t="s">
        <v>151</v>
      </c>
    </row>
    <row r="5506" spans="1:13" ht="25.5">
      <c r="A5506" s="313" t="str">
        <f t="shared" si="85"/>
        <v>ProductCode_asphalt</v>
      </c>
      <c r="B5506" s="330"/>
      <c r="C5506" s="334"/>
      <c r="D5506" s="188" t="s">
        <v>15076</v>
      </c>
      <c r="E5506" s="189" t="s">
        <v>15077</v>
      </c>
      <c r="F5506" s="162" t="s">
        <v>28338</v>
      </c>
      <c r="G5506" s="190"/>
      <c r="H5506" s="219"/>
      <c r="I5506" s="169">
        <v>106464</v>
      </c>
      <c r="J5506" s="304" t="str">
        <f>CONCATENATE([2]Cover!$D$6,"fdd/view?i=",I5506)</f>
        <v>https://www.dgiwg.org/FAD/fdd/view?i=106464</v>
      </c>
      <c r="K5506" s="304" t="s">
        <v>39555</v>
      </c>
      <c r="L5506" s="188">
        <v>4</v>
      </c>
      <c r="M5506" s="179" t="s">
        <v>151</v>
      </c>
    </row>
    <row r="5507" spans="1:13" ht="51">
      <c r="A5507" s="313" t="str">
        <f t="shared" ref="A5507:A5570" si="86">HYPERLINK(J5507,K5507)</f>
        <v>ProductCode_basalt</v>
      </c>
      <c r="B5507" s="330"/>
      <c r="C5507" s="334"/>
      <c r="D5507" s="188" t="s">
        <v>16774</v>
      </c>
      <c r="E5507" s="189" t="s">
        <v>16775</v>
      </c>
      <c r="F5507" s="162" t="s">
        <v>28558</v>
      </c>
      <c r="G5507" s="162" t="s">
        <v>28559</v>
      </c>
      <c r="H5507" s="219"/>
      <c r="I5507" s="169">
        <v>106468</v>
      </c>
      <c r="J5507" s="304" t="str">
        <f>CONCATENATE([2]Cover!$D$6,"fdd/view?i=",I5507)</f>
        <v>https://www.dgiwg.org/FAD/fdd/view?i=106468</v>
      </c>
      <c r="K5507" s="304" t="s">
        <v>39556</v>
      </c>
      <c r="L5507" s="188">
        <v>8</v>
      </c>
      <c r="M5507" s="179" t="s">
        <v>151</v>
      </c>
    </row>
    <row r="5508" spans="1:13" ht="25.5">
      <c r="A5508" s="313" t="str">
        <f t="shared" si="86"/>
        <v>ProductCode_bauxite</v>
      </c>
      <c r="B5508" s="330"/>
      <c r="C5508" s="334"/>
      <c r="D5508" s="188" t="s">
        <v>28560</v>
      </c>
      <c r="E5508" s="189" t="s">
        <v>28561</v>
      </c>
      <c r="F5508" s="162" t="s">
        <v>28562</v>
      </c>
      <c r="G5508" s="162" t="s">
        <v>28563</v>
      </c>
      <c r="H5508" s="219"/>
      <c r="I5508" s="169">
        <v>106469</v>
      </c>
      <c r="J5508" s="304" t="str">
        <f>CONCATENATE([2]Cover!$D$6,"fdd/view?i=",I5508)</f>
        <v>https://www.dgiwg.org/FAD/fdd/view?i=106469</v>
      </c>
      <c r="K5508" s="304" t="s">
        <v>39557</v>
      </c>
      <c r="L5508" s="188">
        <v>9</v>
      </c>
      <c r="M5508" s="179" t="s">
        <v>151</v>
      </c>
    </row>
    <row r="5509" spans="1:13">
      <c r="A5509" s="313" t="str">
        <f t="shared" si="86"/>
        <v>ProductCode_beverage</v>
      </c>
      <c r="B5509" s="330"/>
      <c r="C5509" s="334"/>
      <c r="D5509" s="188" t="s">
        <v>28564</v>
      </c>
      <c r="E5509" s="189" t="s">
        <v>28565</v>
      </c>
      <c r="F5509" s="162" t="s">
        <v>28566</v>
      </c>
      <c r="G5509" s="162" t="s">
        <v>28567</v>
      </c>
      <c r="H5509" s="219"/>
      <c r="I5509" s="169">
        <v>207919</v>
      </c>
      <c r="J5509" s="304" t="str">
        <f>CONCATENATE([2]Cover!$D$6,"fdd/view?i=",I5509)</f>
        <v>https://www.dgiwg.org/FAD/fdd/view?i=207919</v>
      </c>
      <c r="K5509" s="304" t="s">
        <v>39558</v>
      </c>
      <c r="L5509" s="188">
        <v>170</v>
      </c>
      <c r="M5509" s="179" t="s">
        <v>1295</v>
      </c>
    </row>
    <row r="5510" spans="1:13" ht="25.5">
      <c r="A5510" s="313" t="str">
        <f t="shared" si="86"/>
        <v>ProductCode_biochemical</v>
      </c>
      <c r="B5510" s="330"/>
      <c r="C5510" s="334"/>
      <c r="D5510" s="188" t="s">
        <v>28568</v>
      </c>
      <c r="E5510" s="189" t="s">
        <v>28569</v>
      </c>
      <c r="F5510" s="162" t="s">
        <v>28570</v>
      </c>
      <c r="G5510" s="162" t="s">
        <v>28571</v>
      </c>
      <c r="H5510" s="219"/>
      <c r="I5510" s="169">
        <v>108634</v>
      </c>
      <c r="J5510" s="304" t="str">
        <f>CONCATENATE([2]Cover!$D$6,"fdd/view?i=",I5510)</f>
        <v>https://www.dgiwg.org/FAD/fdd/view?i=108634</v>
      </c>
      <c r="K5510" s="304" t="s">
        <v>39559</v>
      </c>
      <c r="L5510" s="188">
        <v>136</v>
      </c>
      <c r="M5510" s="179" t="s">
        <v>151</v>
      </c>
    </row>
    <row r="5511" spans="1:13" ht="102">
      <c r="A5511" s="313" t="str">
        <f t="shared" si="86"/>
        <v>ProductCode_biodiesel</v>
      </c>
      <c r="B5511" s="330"/>
      <c r="C5511" s="334"/>
      <c r="D5511" s="188" t="s">
        <v>17318</v>
      </c>
      <c r="E5511" s="189" t="s">
        <v>17319</v>
      </c>
      <c r="F5511" s="162" t="s">
        <v>17320</v>
      </c>
      <c r="G5511" s="162" t="s">
        <v>28572</v>
      </c>
      <c r="H5511" s="219"/>
      <c r="I5511" s="169">
        <v>119110</v>
      </c>
      <c r="J5511" s="304" t="str">
        <f>CONCATENATE([2]Cover!$D$6,"fdd/view?i=",I5511)</f>
        <v>https://www.dgiwg.org/FAD/fdd/view?i=119110</v>
      </c>
      <c r="K5511" s="304" t="s">
        <v>39560</v>
      </c>
      <c r="L5511" s="188">
        <v>214</v>
      </c>
      <c r="M5511" s="179" t="s">
        <v>151</v>
      </c>
    </row>
    <row r="5512" spans="1:13" ht="25.5">
      <c r="A5512" s="313" t="str">
        <f t="shared" si="86"/>
        <v>ProductCode_bivalveMollusc</v>
      </c>
      <c r="B5512" s="330"/>
      <c r="C5512" s="334"/>
      <c r="D5512" s="188" t="s">
        <v>28573</v>
      </c>
      <c r="E5512" s="189" t="s">
        <v>28574</v>
      </c>
      <c r="F5512" s="162" t="s">
        <v>28575</v>
      </c>
      <c r="G5512" s="162" t="s">
        <v>28576</v>
      </c>
      <c r="H5512" s="219"/>
      <c r="I5512" s="169">
        <v>106471</v>
      </c>
      <c r="J5512" s="304" t="str">
        <f>CONCATENATE([2]Cover!$D$6,"fdd/view?i=",I5512)</f>
        <v>https://www.dgiwg.org/FAD/fdd/view?i=106471</v>
      </c>
      <c r="K5512" s="304" t="s">
        <v>39561</v>
      </c>
      <c r="L5512" s="188">
        <v>11</v>
      </c>
      <c r="M5512" s="179" t="s">
        <v>151</v>
      </c>
    </row>
    <row r="5513" spans="1:13" ht="25.5">
      <c r="A5513" s="313" t="str">
        <f t="shared" si="86"/>
        <v>ProductCode_brick</v>
      </c>
      <c r="B5513" s="330"/>
      <c r="C5513" s="334"/>
      <c r="D5513" s="188" t="s">
        <v>15087</v>
      </c>
      <c r="E5513" s="189" t="s">
        <v>15088</v>
      </c>
      <c r="F5513" s="162" t="s">
        <v>28339</v>
      </c>
      <c r="G5513" s="190"/>
      <c r="H5513" s="219"/>
      <c r="I5513" s="169">
        <v>106473</v>
      </c>
      <c r="J5513" s="304" t="str">
        <f>CONCATENATE([2]Cover!$D$6,"fdd/view?i=",I5513)</f>
        <v>https://www.dgiwg.org/FAD/fdd/view?i=106473</v>
      </c>
      <c r="K5513" s="304" t="s">
        <v>39562</v>
      </c>
      <c r="L5513" s="188">
        <v>13</v>
      </c>
      <c r="M5513" s="179" t="s">
        <v>151</v>
      </c>
    </row>
    <row r="5514" spans="1:13" ht="38.25">
      <c r="A5514" s="313" t="str">
        <f t="shared" si="86"/>
        <v>ProductCode_brine</v>
      </c>
      <c r="B5514" s="330"/>
      <c r="C5514" s="334"/>
      <c r="D5514" s="188" t="s">
        <v>28577</v>
      </c>
      <c r="E5514" s="189" t="s">
        <v>28578</v>
      </c>
      <c r="F5514" s="162" t="s">
        <v>28579</v>
      </c>
      <c r="G5514" s="162" t="s">
        <v>28580</v>
      </c>
      <c r="H5514" s="219"/>
      <c r="I5514" s="169">
        <v>112772</v>
      </c>
      <c r="J5514" s="304" t="str">
        <f>CONCATENATE([2]Cover!$D$6,"fdd/view?i=",I5514)</f>
        <v>https://www.dgiwg.org/FAD/fdd/view?i=112772</v>
      </c>
      <c r="K5514" s="304" t="s">
        <v>39563</v>
      </c>
      <c r="L5514" s="188">
        <v>149</v>
      </c>
      <c r="M5514" s="179" t="s">
        <v>151</v>
      </c>
    </row>
    <row r="5515" spans="1:13" ht="38.25">
      <c r="A5515" s="313" t="str">
        <f t="shared" si="86"/>
        <v>ProductCode_cement</v>
      </c>
      <c r="B5515" s="330"/>
      <c r="C5515" s="334"/>
      <c r="D5515" s="188" t="s">
        <v>28581</v>
      </c>
      <c r="E5515" s="189" t="s">
        <v>28582</v>
      </c>
      <c r="F5515" s="162" t="s">
        <v>28583</v>
      </c>
      <c r="G5515" s="162" t="s">
        <v>28584</v>
      </c>
      <c r="H5515" s="219"/>
      <c r="I5515" s="169">
        <v>106475</v>
      </c>
      <c r="J5515" s="304" t="str">
        <f>CONCATENATE([2]Cover!$D$6,"fdd/view?i=",I5515)</f>
        <v>https://www.dgiwg.org/FAD/fdd/view?i=106475</v>
      </c>
      <c r="K5515" s="304" t="s">
        <v>39564</v>
      </c>
      <c r="L5515" s="188">
        <v>15</v>
      </c>
      <c r="M5515" s="179" t="s">
        <v>151</v>
      </c>
    </row>
    <row r="5516" spans="1:13" ht="25.5">
      <c r="A5516" s="313" t="str">
        <f t="shared" si="86"/>
        <v>ProductCode_chalk</v>
      </c>
      <c r="B5516" s="330"/>
      <c r="C5516" s="334"/>
      <c r="D5516" s="188" t="s">
        <v>28345</v>
      </c>
      <c r="E5516" s="189" t="s">
        <v>28346</v>
      </c>
      <c r="F5516" s="162" t="s">
        <v>28347</v>
      </c>
      <c r="G5516" s="190"/>
      <c r="H5516" s="219"/>
      <c r="I5516" s="169">
        <v>106590</v>
      </c>
      <c r="J5516" s="304" t="str">
        <f>CONCATENATE([2]Cover!$D$6,"fdd/view?i=",I5516)</f>
        <v>https://www.dgiwg.org/FAD/fdd/view?i=106590</v>
      </c>
      <c r="K5516" s="304" t="s">
        <v>39565</v>
      </c>
      <c r="L5516" s="188">
        <v>130</v>
      </c>
      <c r="M5516" s="179" t="s">
        <v>151</v>
      </c>
    </row>
    <row r="5517" spans="1:13" ht="38.25">
      <c r="A5517" s="313" t="str">
        <f t="shared" si="86"/>
        <v>ProductCode_charcoal</v>
      </c>
      <c r="B5517" s="330"/>
      <c r="C5517" s="334"/>
      <c r="D5517" s="188" t="s">
        <v>28585</v>
      </c>
      <c r="E5517" s="189" t="s">
        <v>28586</v>
      </c>
      <c r="F5517" s="162" t="s">
        <v>28587</v>
      </c>
      <c r="G5517" s="162" t="s">
        <v>28588</v>
      </c>
      <c r="H5517" s="219"/>
      <c r="I5517" s="169">
        <v>112781</v>
      </c>
      <c r="J5517" s="304" t="str">
        <f>CONCATENATE([2]Cover!$D$6,"fdd/view?i=",I5517)</f>
        <v>https://www.dgiwg.org/FAD/fdd/view?i=112781</v>
      </c>
      <c r="K5517" s="304" t="s">
        <v>39566</v>
      </c>
      <c r="L5517" s="188">
        <v>159</v>
      </c>
      <c r="M5517" s="179" t="s">
        <v>151</v>
      </c>
    </row>
    <row r="5518" spans="1:13">
      <c r="A5518" s="313" t="str">
        <f t="shared" si="86"/>
        <v>ProductCode_chemical</v>
      </c>
      <c r="B5518" s="330"/>
      <c r="C5518" s="334"/>
      <c r="D5518" s="188" t="s">
        <v>19310</v>
      </c>
      <c r="E5518" s="189" t="s">
        <v>19311</v>
      </c>
      <c r="F5518" s="162" t="s">
        <v>28589</v>
      </c>
      <c r="G5518" s="190"/>
      <c r="H5518" s="219"/>
      <c r="I5518" s="169">
        <v>106476</v>
      </c>
      <c r="J5518" s="304" t="str">
        <f>CONCATENATE([2]Cover!$D$6,"fdd/view?i=",I5518)</f>
        <v>https://www.dgiwg.org/FAD/fdd/view?i=106476</v>
      </c>
      <c r="K5518" s="304" t="s">
        <v>39567</v>
      </c>
      <c r="L5518" s="188">
        <v>16</v>
      </c>
      <c r="M5518" s="179" t="s">
        <v>151</v>
      </c>
    </row>
    <row r="5519" spans="1:13" ht="25.5">
      <c r="A5519" s="313" t="str">
        <f t="shared" si="86"/>
        <v>ProductCode_chromium</v>
      </c>
      <c r="B5519" s="330"/>
      <c r="C5519" s="334"/>
      <c r="D5519" s="188" t="s">
        <v>28590</v>
      </c>
      <c r="E5519" s="189" t="s">
        <v>28591</v>
      </c>
      <c r="F5519" s="162" t="s">
        <v>28592</v>
      </c>
      <c r="G5519" s="162" t="s">
        <v>28593</v>
      </c>
      <c r="H5519" s="219"/>
      <c r="I5519" s="169">
        <v>112774</v>
      </c>
      <c r="J5519" s="304" t="str">
        <f>CONCATENATE([2]Cover!$D$6,"fdd/view?i=",I5519)</f>
        <v>https://www.dgiwg.org/FAD/fdd/view?i=112774</v>
      </c>
      <c r="K5519" s="304" t="s">
        <v>39568</v>
      </c>
      <c r="L5519" s="188">
        <v>151</v>
      </c>
      <c r="M5519" s="179" t="s">
        <v>151</v>
      </c>
    </row>
    <row r="5520" spans="1:13" ht="38.25">
      <c r="A5520" s="313" t="str">
        <f t="shared" si="86"/>
        <v>ProductCode_clay</v>
      </c>
      <c r="B5520" s="330"/>
      <c r="C5520" s="334"/>
      <c r="D5520" s="188" t="s">
        <v>15090</v>
      </c>
      <c r="E5520" s="189" t="s">
        <v>15091</v>
      </c>
      <c r="F5520" s="162" t="s">
        <v>28352</v>
      </c>
      <c r="G5520" s="162" t="s">
        <v>28353</v>
      </c>
      <c r="H5520" s="219"/>
      <c r="I5520" s="169">
        <v>106477</v>
      </c>
      <c r="J5520" s="304" t="str">
        <f>CONCATENATE([2]Cover!$D$6,"fdd/view?i=",I5520)</f>
        <v>https://www.dgiwg.org/FAD/fdd/view?i=106477</v>
      </c>
      <c r="K5520" s="304" t="s">
        <v>39569</v>
      </c>
      <c r="L5520" s="188">
        <v>17</v>
      </c>
      <c r="M5520" s="179" t="s">
        <v>151</v>
      </c>
    </row>
    <row r="5521" spans="1:13" ht="153">
      <c r="A5521" s="313" t="str">
        <f t="shared" si="86"/>
        <v>ProductCode_clothing</v>
      </c>
      <c r="B5521" s="330"/>
      <c r="C5521" s="334"/>
      <c r="D5521" s="188" t="s">
        <v>28594</v>
      </c>
      <c r="E5521" s="189" t="s">
        <v>28595</v>
      </c>
      <c r="F5521" s="162" t="s">
        <v>28596</v>
      </c>
      <c r="G5521" s="162" t="s">
        <v>28597</v>
      </c>
      <c r="H5521" s="219"/>
      <c r="I5521" s="169">
        <v>118543</v>
      </c>
      <c r="J5521" s="304" t="str">
        <f>CONCATENATE([2]Cover!$D$6,"fdd/view?i=",I5521)</f>
        <v>https://www.dgiwg.org/FAD/fdd/view?i=118543</v>
      </c>
      <c r="K5521" s="304" t="s">
        <v>39570</v>
      </c>
      <c r="L5521" s="188">
        <v>165</v>
      </c>
      <c r="M5521" s="179" t="s">
        <v>151</v>
      </c>
    </row>
    <row r="5522" spans="1:13" ht="25.5">
      <c r="A5522" s="313" t="str">
        <f t="shared" si="86"/>
        <v>ProductCode_coal</v>
      </c>
      <c r="B5522" s="330"/>
      <c r="C5522" s="334"/>
      <c r="D5522" s="188" t="s">
        <v>17329</v>
      </c>
      <c r="E5522" s="189" t="s">
        <v>17330</v>
      </c>
      <c r="F5522" s="162" t="s">
        <v>17331</v>
      </c>
      <c r="G5522" s="162" t="s">
        <v>17332</v>
      </c>
      <c r="H5522" s="219"/>
      <c r="I5522" s="169">
        <v>106478</v>
      </c>
      <c r="J5522" s="304" t="str">
        <f>CONCATENATE([2]Cover!$D$6,"fdd/view?i=",I5522)</f>
        <v>https://www.dgiwg.org/FAD/fdd/view?i=106478</v>
      </c>
      <c r="K5522" s="304" t="s">
        <v>39571</v>
      </c>
      <c r="L5522" s="188">
        <v>18</v>
      </c>
      <c r="M5522" s="179" t="s">
        <v>151</v>
      </c>
    </row>
    <row r="5523" spans="1:13" ht="51">
      <c r="A5523" s="313" t="str">
        <f t="shared" si="86"/>
        <v>ProductCode_coalbedMethane</v>
      </c>
      <c r="B5523" s="330"/>
      <c r="C5523" s="334"/>
      <c r="D5523" s="188" t="s">
        <v>28598</v>
      </c>
      <c r="E5523" s="189" t="s">
        <v>28599</v>
      </c>
      <c r="F5523" s="162" t="s">
        <v>28600</v>
      </c>
      <c r="G5523" s="162" t="s">
        <v>28601</v>
      </c>
      <c r="H5523" s="221" t="s">
        <v>28602</v>
      </c>
      <c r="I5523" s="169">
        <v>118539</v>
      </c>
      <c r="J5523" s="304" t="str">
        <f>CONCATENATE([2]Cover!$D$6,"fdd/view?i=",I5523)</f>
        <v>https://www.dgiwg.org/FAD/fdd/view?i=118539</v>
      </c>
      <c r="K5523" s="304" t="s">
        <v>39572</v>
      </c>
      <c r="L5523" s="188">
        <v>161</v>
      </c>
      <c r="M5523" s="179" t="s">
        <v>151</v>
      </c>
    </row>
    <row r="5524" spans="1:13">
      <c r="A5524" s="313" t="str">
        <f t="shared" si="86"/>
        <v>ProductCode_cobbles</v>
      </c>
      <c r="B5524" s="330"/>
      <c r="C5524" s="334"/>
      <c r="D5524" s="188" t="s">
        <v>28354</v>
      </c>
      <c r="E5524" s="189" t="s">
        <v>28355</v>
      </c>
      <c r="F5524" s="162" t="s">
        <v>28356</v>
      </c>
      <c r="G5524" s="190"/>
      <c r="H5524" s="219"/>
      <c r="I5524" s="169">
        <v>106479</v>
      </c>
      <c r="J5524" s="304" t="str">
        <f>CONCATENATE([2]Cover!$D$6,"fdd/view?i=",I5524)</f>
        <v>https://www.dgiwg.org/FAD/fdd/view?i=106479</v>
      </c>
      <c r="K5524" s="304" t="s">
        <v>39573</v>
      </c>
      <c r="L5524" s="188">
        <v>19</v>
      </c>
      <c r="M5524" s="179" t="s">
        <v>151</v>
      </c>
    </row>
    <row r="5525" spans="1:13" ht="51">
      <c r="A5525" s="313" t="str">
        <f t="shared" si="86"/>
        <v>ProductCode_coffee</v>
      </c>
      <c r="B5525" s="330"/>
      <c r="C5525" s="334"/>
      <c r="D5525" s="188" t="s">
        <v>19477</v>
      </c>
      <c r="E5525" s="189" t="s">
        <v>19478</v>
      </c>
      <c r="F5525" s="162" t="s">
        <v>28603</v>
      </c>
      <c r="G5525" s="162" t="s">
        <v>28604</v>
      </c>
      <c r="H5525" s="219"/>
      <c r="I5525" s="169">
        <v>106480</v>
      </c>
      <c r="J5525" s="304" t="str">
        <f>CONCATENATE([2]Cover!$D$6,"fdd/view?i=",I5525)</f>
        <v>https://www.dgiwg.org/FAD/fdd/view?i=106480</v>
      </c>
      <c r="K5525" s="304" t="s">
        <v>39574</v>
      </c>
      <c r="L5525" s="188">
        <v>20</v>
      </c>
      <c r="M5525" s="179" t="s">
        <v>151</v>
      </c>
    </row>
    <row r="5526" spans="1:13">
      <c r="A5526" s="313" t="str">
        <f t="shared" si="86"/>
        <v>ProductCode_coke</v>
      </c>
      <c r="B5526" s="330"/>
      <c r="C5526" s="334"/>
      <c r="D5526" s="188" t="s">
        <v>28605</v>
      </c>
      <c r="E5526" s="189" t="s">
        <v>28606</v>
      </c>
      <c r="F5526" s="162" t="s">
        <v>28607</v>
      </c>
      <c r="G5526" s="190"/>
      <c r="H5526" s="219"/>
      <c r="I5526" s="169">
        <v>106481</v>
      </c>
      <c r="J5526" s="304" t="str">
        <f>CONCATENATE([2]Cover!$D$6,"fdd/view?i=",I5526)</f>
        <v>https://www.dgiwg.org/FAD/fdd/view?i=106481</v>
      </c>
      <c r="K5526" s="304" t="s">
        <v>39575</v>
      </c>
      <c r="L5526" s="188">
        <v>21</v>
      </c>
      <c r="M5526" s="179" t="s">
        <v>151</v>
      </c>
    </row>
    <row r="5527" spans="1:13" ht="38.25">
      <c r="A5527" s="313" t="str">
        <f t="shared" si="86"/>
        <v>ProductCode_concrete</v>
      </c>
      <c r="B5527" s="330"/>
      <c r="C5527" s="334"/>
      <c r="D5527" s="188" t="s">
        <v>15093</v>
      </c>
      <c r="E5527" s="189" t="s">
        <v>15094</v>
      </c>
      <c r="F5527" s="162" t="s">
        <v>18089</v>
      </c>
      <c r="G5527" s="190"/>
      <c r="H5527" s="219"/>
      <c r="I5527" s="169">
        <v>106483</v>
      </c>
      <c r="J5527" s="304" t="str">
        <f>CONCATENATE([2]Cover!$D$6,"fdd/view?i=",I5527)</f>
        <v>https://www.dgiwg.org/FAD/fdd/view?i=106483</v>
      </c>
      <c r="K5527" s="304" t="s">
        <v>39576</v>
      </c>
      <c r="L5527" s="188">
        <v>23</v>
      </c>
      <c r="M5527" s="179" t="s">
        <v>151</v>
      </c>
    </row>
    <row r="5528" spans="1:13" ht="38.25">
      <c r="A5528" s="313" t="str">
        <f t="shared" si="86"/>
        <v>ProductCode_consumerGoods</v>
      </c>
      <c r="B5528" s="330"/>
      <c r="C5528" s="334"/>
      <c r="D5528" s="188" t="s">
        <v>28608</v>
      </c>
      <c r="E5528" s="189" t="s">
        <v>28609</v>
      </c>
      <c r="F5528" s="162" t="s">
        <v>28610</v>
      </c>
      <c r="G5528" s="162" t="s">
        <v>28611</v>
      </c>
      <c r="H5528" s="219"/>
      <c r="I5528" s="169">
        <v>106485</v>
      </c>
      <c r="J5528" s="304" t="str">
        <f>CONCATENATE([2]Cover!$D$6,"fdd/view?i=",I5528)</f>
        <v>https://www.dgiwg.org/FAD/fdd/view?i=106485</v>
      </c>
      <c r="K5528" s="304" t="s">
        <v>39577</v>
      </c>
      <c r="L5528" s="188">
        <v>25</v>
      </c>
      <c r="M5528" s="179" t="s">
        <v>151</v>
      </c>
    </row>
    <row r="5529" spans="1:13" ht="25.5">
      <c r="A5529" s="313" t="str">
        <f t="shared" si="86"/>
        <v>ProductCode_copper</v>
      </c>
      <c r="B5529" s="330"/>
      <c r="C5529" s="334"/>
      <c r="D5529" s="188" t="s">
        <v>28358</v>
      </c>
      <c r="E5529" s="189" t="s">
        <v>28359</v>
      </c>
      <c r="F5529" s="162" t="s">
        <v>28360</v>
      </c>
      <c r="G5529" s="162" t="s">
        <v>28361</v>
      </c>
      <c r="H5529" s="219"/>
      <c r="I5529" s="169">
        <v>106486</v>
      </c>
      <c r="J5529" s="304" t="str">
        <f>CONCATENATE([2]Cover!$D$6,"fdd/view?i=",I5529)</f>
        <v>https://www.dgiwg.org/FAD/fdd/view?i=106486</v>
      </c>
      <c r="K5529" s="304" t="s">
        <v>39578</v>
      </c>
      <c r="L5529" s="188">
        <v>26</v>
      </c>
      <c r="M5529" s="179" t="s">
        <v>151</v>
      </c>
    </row>
    <row r="5530" spans="1:13" ht="25.5">
      <c r="A5530" s="313" t="str">
        <f t="shared" si="86"/>
        <v>ProductCode_cotton</v>
      </c>
      <c r="B5530" s="330"/>
      <c r="C5530" s="334"/>
      <c r="D5530" s="188" t="s">
        <v>19484</v>
      </c>
      <c r="E5530" s="189" t="s">
        <v>19485</v>
      </c>
      <c r="F5530" s="162" t="s">
        <v>28612</v>
      </c>
      <c r="G5530" s="162" t="s">
        <v>28613</v>
      </c>
      <c r="H5530" s="219"/>
      <c r="I5530" s="169">
        <v>106488</v>
      </c>
      <c r="J5530" s="304" t="str">
        <f>CONCATENATE([2]Cover!$D$6,"fdd/view?i=",I5530)</f>
        <v>https://www.dgiwg.org/FAD/fdd/view?i=106488</v>
      </c>
      <c r="K5530" s="304" t="s">
        <v>39579</v>
      </c>
      <c r="L5530" s="188">
        <v>28</v>
      </c>
      <c r="M5530" s="179" t="s">
        <v>151</v>
      </c>
    </row>
    <row r="5531" spans="1:13" ht="25.5">
      <c r="A5531" s="313" t="str">
        <f t="shared" si="86"/>
        <v>ProductCode_crustacean</v>
      </c>
      <c r="B5531" s="330"/>
      <c r="C5531" s="334"/>
      <c r="D5531" s="188" t="s">
        <v>28614</v>
      </c>
      <c r="E5531" s="189" t="s">
        <v>28615</v>
      </c>
      <c r="F5531" s="162" t="s">
        <v>28616</v>
      </c>
      <c r="G5531" s="162" t="s">
        <v>28617</v>
      </c>
      <c r="H5531" s="219"/>
      <c r="I5531" s="169">
        <v>106489</v>
      </c>
      <c r="J5531" s="304" t="str">
        <f>CONCATENATE([2]Cover!$D$6,"fdd/view?i=",I5531)</f>
        <v>https://www.dgiwg.org/FAD/fdd/view?i=106489</v>
      </c>
      <c r="K5531" s="304" t="s">
        <v>39580</v>
      </c>
      <c r="L5531" s="188">
        <v>29</v>
      </c>
      <c r="M5531" s="179" t="s">
        <v>151</v>
      </c>
    </row>
    <row r="5532" spans="1:13" ht="38.25">
      <c r="A5532" s="313" t="str">
        <f t="shared" si="86"/>
        <v>ProductCode_cultivatedShellfish</v>
      </c>
      <c r="B5532" s="330"/>
      <c r="C5532" s="334"/>
      <c r="D5532" s="188" t="s">
        <v>28618</v>
      </c>
      <c r="E5532" s="189" t="s">
        <v>28619</v>
      </c>
      <c r="F5532" s="162" t="s">
        <v>28620</v>
      </c>
      <c r="G5532" s="190"/>
      <c r="H5532" s="219"/>
      <c r="I5532" s="169">
        <v>106490</v>
      </c>
      <c r="J5532" s="304" t="str">
        <f>CONCATENATE([2]Cover!$D$6,"fdd/view?i=",I5532)</f>
        <v>https://www.dgiwg.org/FAD/fdd/view?i=106490</v>
      </c>
      <c r="K5532" s="304" t="s">
        <v>39581</v>
      </c>
      <c r="L5532" s="188">
        <v>30</v>
      </c>
      <c r="M5532" s="179" t="s">
        <v>151</v>
      </c>
    </row>
    <row r="5533" spans="1:13">
      <c r="A5533" s="313" t="str">
        <f t="shared" si="86"/>
        <v>ProductCode_desalinatedWater</v>
      </c>
      <c r="B5533" s="330"/>
      <c r="C5533" s="334"/>
      <c r="D5533" s="188" t="s">
        <v>28621</v>
      </c>
      <c r="E5533" s="189" t="s">
        <v>28622</v>
      </c>
      <c r="F5533" s="162" t="s">
        <v>28623</v>
      </c>
      <c r="G5533" s="190"/>
      <c r="H5533" s="219"/>
      <c r="I5533" s="169">
        <v>106492</v>
      </c>
      <c r="J5533" s="304" t="str">
        <f>CONCATENATE([2]Cover!$D$6,"fdd/view?i=",I5533)</f>
        <v>https://www.dgiwg.org/FAD/fdd/view?i=106492</v>
      </c>
      <c r="K5533" s="304" t="s">
        <v>39582</v>
      </c>
      <c r="L5533" s="188">
        <v>32</v>
      </c>
      <c r="M5533" s="179" t="s">
        <v>151</v>
      </c>
    </row>
    <row r="5534" spans="1:13" ht="25.5">
      <c r="A5534" s="313" t="str">
        <f t="shared" si="86"/>
        <v>ProductCode_diamond</v>
      </c>
      <c r="B5534" s="330"/>
      <c r="C5534" s="334"/>
      <c r="D5534" s="188" t="s">
        <v>18516</v>
      </c>
      <c r="E5534" s="189" t="s">
        <v>18517</v>
      </c>
      <c r="F5534" s="162" t="s">
        <v>28624</v>
      </c>
      <c r="G5534" s="162" t="s">
        <v>28625</v>
      </c>
      <c r="H5534" s="219"/>
      <c r="I5534" s="169">
        <v>106493</v>
      </c>
      <c r="J5534" s="304" t="str">
        <f>CONCATENATE([2]Cover!$D$6,"fdd/view?i=",I5534)</f>
        <v>https://www.dgiwg.org/FAD/fdd/view?i=106493</v>
      </c>
      <c r="K5534" s="304" t="s">
        <v>39583</v>
      </c>
      <c r="L5534" s="188">
        <v>33</v>
      </c>
      <c r="M5534" s="179" t="s">
        <v>151</v>
      </c>
    </row>
    <row r="5535" spans="1:13" ht="25.5">
      <c r="A5535" s="313" t="str">
        <f t="shared" si="86"/>
        <v>ProductCode_diatomaceousEarth</v>
      </c>
      <c r="B5535" s="330"/>
      <c r="C5535" s="334"/>
      <c r="D5535" s="188" t="s">
        <v>28365</v>
      </c>
      <c r="E5535" s="189" t="s">
        <v>28366</v>
      </c>
      <c r="F5535" s="162" t="s">
        <v>28367</v>
      </c>
      <c r="G5535" s="162" t="s">
        <v>28368</v>
      </c>
      <c r="H5535" s="219"/>
      <c r="I5535" s="169">
        <v>106494</v>
      </c>
      <c r="J5535" s="304" t="str">
        <f>CONCATENATE([2]Cover!$D$6,"fdd/view?i=",I5535)</f>
        <v>https://www.dgiwg.org/FAD/fdd/view?i=106494</v>
      </c>
      <c r="K5535" s="304" t="s">
        <v>39584</v>
      </c>
      <c r="L5535" s="188">
        <v>34</v>
      </c>
      <c r="M5535" s="179" t="s">
        <v>151</v>
      </c>
    </row>
    <row r="5536" spans="1:13" ht="63.75">
      <c r="A5536" s="313" t="str">
        <f t="shared" si="86"/>
        <v>ProductCode_dolomite</v>
      </c>
      <c r="B5536" s="330"/>
      <c r="C5536" s="334"/>
      <c r="D5536" s="188" t="s">
        <v>16786</v>
      </c>
      <c r="E5536" s="189" t="s">
        <v>16787</v>
      </c>
      <c r="F5536" s="162" t="s">
        <v>28626</v>
      </c>
      <c r="G5536" s="162" t="s">
        <v>28627</v>
      </c>
      <c r="H5536" s="219"/>
      <c r="I5536" s="169">
        <v>106495</v>
      </c>
      <c r="J5536" s="304" t="str">
        <f>CONCATENATE([2]Cover!$D$6,"fdd/view?i=",I5536)</f>
        <v>https://www.dgiwg.org/FAD/fdd/view?i=106495</v>
      </c>
      <c r="K5536" s="304" t="s">
        <v>39585</v>
      </c>
      <c r="L5536" s="188">
        <v>35</v>
      </c>
      <c r="M5536" s="179" t="s">
        <v>151</v>
      </c>
    </row>
    <row r="5537" spans="1:13" ht="89.25">
      <c r="A5537" s="313" t="str">
        <f t="shared" si="86"/>
        <v>ProductCode_electricalEquipment</v>
      </c>
      <c r="B5537" s="330"/>
      <c r="C5537" s="334"/>
      <c r="D5537" s="188" t="s">
        <v>28632</v>
      </c>
      <c r="E5537" s="189" t="s">
        <v>28633</v>
      </c>
      <c r="F5537" s="162" t="s">
        <v>28634</v>
      </c>
      <c r="G5537" s="162" t="s">
        <v>28635</v>
      </c>
      <c r="H5537" s="219"/>
      <c r="I5537" s="169">
        <v>110739</v>
      </c>
      <c r="J5537" s="304" t="str">
        <f>CONCATENATE([2]Cover!$D$6,"fdd/view?i=",I5537)</f>
        <v>https://www.dgiwg.org/FAD/fdd/view?i=110739</v>
      </c>
      <c r="K5537" s="304" t="s">
        <v>39586</v>
      </c>
      <c r="L5537" s="188">
        <v>148</v>
      </c>
      <c r="M5537" s="179" t="s">
        <v>151</v>
      </c>
    </row>
    <row r="5538" spans="1:13" ht="25.5">
      <c r="A5538" s="313" t="str">
        <f t="shared" si="86"/>
        <v>ProductCode_electricPower</v>
      </c>
      <c r="B5538" s="330"/>
      <c r="C5538" s="334"/>
      <c r="D5538" s="188" t="s">
        <v>28628</v>
      </c>
      <c r="E5538" s="189" t="s">
        <v>28629</v>
      </c>
      <c r="F5538" s="162" t="s">
        <v>28630</v>
      </c>
      <c r="G5538" s="162" t="s">
        <v>28631</v>
      </c>
      <c r="H5538" s="219"/>
      <c r="I5538" s="169">
        <v>106497</v>
      </c>
      <c r="J5538" s="304" t="str">
        <f>CONCATENATE([2]Cover!$D$6,"fdd/view?i=",I5538)</f>
        <v>https://www.dgiwg.org/FAD/fdd/view?i=106497</v>
      </c>
      <c r="K5538" s="304" t="s">
        <v>39587</v>
      </c>
      <c r="L5538" s="188">
        <v>37</v>
      </c>
      <c r="M5538" s="179" t="s">
        <v>151</v>
      </c>
    </row>
    <row r="5539" spans="1:13" ht="114.75">
      <c r="A5539" s="313" t="str">
        <f t="shared" si="86"/>
        <v>ProductCode_electronicEquipment</v>
      </c>
      <c r="B5539" s="330"/>
      <c r="C5539" s="334"/>
      <c r="D5539" s="188" t="s">
        <v>28636</v>
      </c>
      <c r="E5539" s="189" t="s">
        <v>28637</v>
      </c>
      <c r="F5539" s="162" t="s">
        <v>28638</v>
      </c>
      <c r="G5539" s="162" t="s">
        <v>28639</v>
      </c>
      <c r="H5539" s="219"/>
      <c r="I5539" s="169">
        <v>110738</v>
      </c>
      <c r="J5539" s="304" t="str">
        <f>CONCATENATE([2]Cover!$D$6,"fdd/view?i=",I5539)</f>
        <v>https://www.dgiwg.org/FAD/fdd/view?i=110738</v>
      </c>
      <c r="K5539" s="304" t="s">
        <v>39588</v>
      </c>
      <c r="L5539" s="188">
        <v>147</v>
      </c>
      <c r="M5539" s="179" t="s">
        <v>151</v>
      </c>
    </row>
    <row r="5540" spans="1:13" ht="38.25">
      <c r="A5540" s="313" t="str">
        <f t="shared" si="86"/>
        <v>ProductCode_explosive</v>
      </c>
      <c r="B5540" s="330"/>
      <c r="C5540" s="334"/>
      <c r="D5540" s="188" t="s">
        <v>22823</v>
      </c>
      <c r="E5540" s="189" t="s">
        <v>22824</v>
      </c>
      <c r="F5540" s="162" t="s">
        <v>28640</v>
      </c>
      <c r="G5540" s="190"/>
      <c r="H5540" s="219"/>
      <c r="I5540" s="169">
        <v>106498</v>
      </c>
      <c r="J5540" s="304" t="str">
        <f>CONCATENATE([2]Cover!$D$6,"fdd/view?i=",I5540)</f>
        <v>https://www.dgiwg.org/FAD/fdd/view?i=106498</v>
      </c>
      <c r="K5540" s="304" t="s">
        <v>39589</v>
      </c>
      <c r="L5540" s="188">
        <v>38</v>
      </c>
      <c r="M5540" s="179" t="s">
        <v>151</v>
      </c>
    </row>
    <row r="5541" spans="1:13" ht="38.25">
      <c r="A5541" s="313" t="str">
        <f t="shared" si="86"/>
        <v>ProductCode_fertilizer</v>
      </c>
      <c r="B5541" s="330"/>
      <c r="C5541" s="334"/>
      <c r="D5541" s="188" t="s">
        <v>28641</v>
      </c>
      <c r="E5541" s="189" t="s">
        <v>28642</v>
      </c>
      <c r="F5541" s="162" t="s">
        <v>28643</v>
      </c>
      <c r="G5541" s="190"/>
      <c r="H5541" s="219"/>
      <c r="I5541" s="169">
        <v>112773</v>
      </c>
      <c r="J5541" s="304" t="str">
        <f>CONCATENATE([2]Cover!$D$6,"fdd/view?i=",I5541)</f>
        <v>https://www.dgiwg.org/FAD/fdd/view?i=112773</v>
      </c>
      <c r="K5541" s="304" t="s">
        <v>39590</v>
      </c>
      <c r="L5541" s="188">
        <v>150</v>
      </c>
      <c r="M5541" s="179" t="s">
        <v>151</v>
      </c>
    </row>
    <row r="5542" spans="1:13" ht="25.5">
      <c r="A5542" s="313" t="str">
        <f t="shared" si="86"/>
        <v>ProductCode_fish</v>
      </c>
      <c r="B5542" s="330"/>
      <c r="C5542" s="334"/>
      <c r="D5542" s="188" t="s">
        <v>28644</v>
      </c>
      <c r="E5542" s="189" t="s">
        <v>28645</v>
      </c>
      <c r="F5542" s="162" t="s">
        <v>28646</v>
      </c>
      <c r="G5542" s="190"/>
      <c r="H5542" s="219"/>
      <c r="I5542" s="169">
        <v>106499</v>
      </c>
      <c r="J5542" s="304" t="str">
        <f>CONCATENATE([2]Cover!$D$6,"fdd/view?i=",I5542)</f>
        <v>https://www.dgiwg.org/FAD/fdd/view?i=106499</v>
      </c>
      <c r="K5542" s="304" t="s">
        <v>39591</v>
      </c>
      <c r="L5542" s="188">
        <v>39</v>
      </c>
      <c r="M5542" s="179" t="s">
        <v>151</v>
      </c>
    </row>
    <row r="5543" spans="1:13" ht="38.25">
      <c r="A5543" s="313" t="str">
        <f t="shared" si="86"/>
        <v>ProductCode_fluorine</v>
      </c>
      <c r="B5543" s="330"/>
      <c r="C5543" s="334"/>
      <c r="D5543" s="188" t="s">
        <v>28647</v>
      </c>
      <c r="E5543" s="189" t="s">
        <v>28648</v>
      </c>
      <c r="F5543" s="162" t="s">
        <v>28649</v>
      </c>
      <c r="G5543" s="162" t="s">
        <v>28650</v>
      </c>
      <c r="H5543" s="219"/>
      <c r="J5543" s="304" t="str">
        <f>CONCATENATE([2]Cover!$D$6,"fdd/view?i=",I5543)</f>
        <v>https://www.dgiwg.org/FAD/fdd/view?i=</v>
      </c>
      <c r="K5543" s="304" t="s">
        <v>39592</v>
      </c>
      <c r="L5543" s="188">
        <v>279</v>
      </c>
      <c r="M5543" s="179" t="s">
        <v>151</v>
      </c>
    </row>
    <row r="5544" spans="1:13" ht="25.5">
      <c r="A5544" s="313" t="str">
        <f t="shared" si="86"/>
        <v>ProductCode_fluorite</v>
      </c>
      <c r="B5544" s="330"/>
      <c r="C5544" s="334"/>
      <c r="D5544" s="188" t="s">
        <v>28651</v>
      </c>
      <c r="E5544" s="189" t="s">
        <v>28652</v>
      </c>
      <c r="F5544" s="162" t="s">
        <v>28653</v>
      </c>
      <c r="G5544" s="162" t="s">
        <v>28654</v>
      </c>
      <c r="H5544" s="221" t="s">
        <v>28655</v>
      </c>
      <c r="J5544" s="304" t="str">
        <f>CONCATENATE([2]Cover!$D$6,"fdd/view?i=",I5544)</f>
        <v>https://www.dgiwg.org/FAD/fdd/view?i=</v>
      </c>
      <c r="K5544" s="304" t="s">
        <v>39593</v>
      </c>
      <c r="L5544" s="188">
        <v>173</v>
      </c>
      <c r="M5544" s="179" t="s">
        <v>151</v>
      </c>
    </row>
    <row r="5545" spans="1:13">
      <c r="A5545" s="313" t="str">
        <f t="shared" si="86"/>
        <v>ProductCode_food</v>
      </c>
      <c r="B5545" s="330"/>
      <c r="C5545" s="334"/>
      <c r="D5545" s="188" t="s">
        <v>28656</v>
      </c>
      <c r="E5545" s="189" t="s">
        <v>28657</v>
      </c>
      <c r="F5545" s="162" t="s">
        <v>28658</v>
      </c>
      <c r="G5545" s="190"/>
      <c r="H5545" s="219"/>
      <c r="I5545" s="169">
        <v>106501</v>
      </c>
      <c r="J5545" s="304" t="str">
        <f>CONCATENATE([2]Cover!$D$6,"fdd/view?i=",I5545)</f>
        <v>https://www.dgiwg.org/FAD/fdd/view?i=106501</v>
      </c>
      <c r="K5545" s="304" t="s">
        <v>39594</v>
      </c>
      <c r="L5545" s="188">
        <v>41</v>
      </c>
      <c r="M5545" s="179" t="s">
        <v>151</v>
      </c>
    </row>
    <row r="5546" spans="1:13">
      <c r="A5546" s="313" t="str">
        <f t="shared" si="86"/>
        <v>ProductCode_frozenWater</v>
      </c>
      <c r="B5546" s="330"/>
      <c r="C5546" s="334"/>
      <c r="D5546" s="188" t="s">
        <v>28383</v>
      </c>
      <c r="E5546" s="189" t="s">
        <v>28384</v>
      </c>
      <c r="F5546" s="162" t="s">
        <v>28385</v>
      </c>
      <c r="G5546" s="162" t="s">
        <v>28386</v>
      </c>
      <c r="H5546" s="219"/>
      <c r="I5546" s="169">
        <v>106503</v>
      </c>
      <c r="J5546" s="304" t="str">
        <f>CONCATENATE([2]Cover!$D$6,"fdd/view?i=",I5546)</f>
        <v>https://www.dgiwg.org/FAD/fdd/view?i=106503</v>
      </c>
      <c r="K5546" s="304" t="s">
        <v>39595</v>
      </c>
      <c r="L5546" s="188">
        <v>43</v>
      </c>
      <c r="M5546" s="179" t="s">
        <v>151</v>
      </c>
    </row>
    <row r="5547" spans="1:13" ht="25.5">
      <c r="A5547" s="313" t="str">
        <f t="shared" si="86"/>
        <v>ProductCode_fruit</v>
      </c>
      <c r="B5547" s="330"/>
      <c r="C5547" s="334"/>
      <c r="D5547" s="188" t="s">
        <v>28659</v>
      </c>
      <c r="E5547" s="189" t="s">
        <v>28660</v>
      </c>
      <c r="F5547" s="162" t="s">
        <v>28661</v>
      </c>
      <c r="G5547" s="162" t="s">
        <v>28662</v>
      </c>
      <c r="H5547" s="219"/>
      <c r="I5547" s="169">
        <v>106504</v>
      </c>
      <c r="J5547" s="304" t="str">
        <f>CONCATENATE([2]Cover!$D$6,"fdd/view?i=",I5547)</f>
        <v>https://www.dgiwg.org/FAD/fdd/view?i=106504</v>
      </c>
      <c r="K5547" s="304" t="s">
        <v>39596</v>
      </c>
      <c r="L5547" s="188">
        <v>44</v>
      </c>
      <c r="M5547" s="179" t="s">
        <v>151</v>
      </c>
    </row>
    <row r="5548" spans="1:13" ht="25.5">
      <c r="A5548" s="313" t="str">
        <f t="shared" si="86"/>
        <v>ProductCode_gas</v>
      </c>
      <c r="B5548" s="330"/>
      <c r="C5548" s="334"/>
      <c r="D5548" s="188" t="s">
        <v>18802</v>
      </c>
      <c r="E5548" s="189" t="s">
        <v>18803</v>
      </c>
      <c r="F5548" s="162" t="s">
        <v>28663</v>
      </c>
      <c r="G5548" s="190"/>
      <c r="H5548" s="219"/>
      <c r="I5548" s="169">
        <v>106505</v>
      </c>
      <c r="J5548" s="304" t="str">
        <f>CONCATENATE([2]Cover!$D$6,"fdd/view?i=",I5548)</f>
        <v>https://www.dgiwg.org/FAD/fdd/view?i=106505</v>
      </c>
      <c r="K5548" s="304" t="s">
        <v>39597</v>
      </c>
      <c r="L5548" s="188">
        <v>45</v>
      </c>
      <c r="M5548" s="179" t="s">
        <v>151</v>
      </c>
    </row>
    <row r="5549" spans="1:13" ht="25.5">
      <c r="A5549" s="313" t="str">
        <f t="shared" si="86"/>
        <v>ProductCode_glass</v>
      </c>
      <c r="B5549" s="330"/>
      <c r="C5549" s="334"/>
      <c r="D5549" s="188" t="s">
        <v>28391</v>
      </c>
      <c r="E5549" s="189" t="s">
        <v>28392</v>
      </c>
      <c r="F5549" s="162" t="s">
        <v>28393</v>
      </c>
      <c r="G5549" s="162" t="s">
        <v>28394</v>
      </c>
      <c r="H5549" s="219"/>
      <c r="I5549" s="169">
        <v>106507</v>
      </c>
      <c r="J5549" s="304" t="str">
        <f>CONCATENATE([2]Cover!$D$6,"fdd/view?i=",I5549)</f>
        <v>https://www.dgiwg.org/FAD/fdd/view?i=106507</v>
      </c>
      <c r="K5549" s="304" t="s">
        <v>39598</v>
      </c>
      <c r="L5549" s="188">
        <v>47</v>
      </c>
      <c r="M5549" s="179" t="s">
        <v>151</v>
      </c>
    </row>
    <row r="5550" spans="1:13" ht="51">
      <c r="A5550" s="313" t="str">
        <f t="shared" si="86"/>
        <v>ProductCode_gold</v>
      </c>
      <c r="B5550" s="330"/>
      <c r="C5550" s="334"/>
      <c r="D5550" s="188" t="s">
        <v>28664</v>
      </c>
      <c r="E5550" s="189" t="s">
        <v>28665</v>
      </c>
      <c r="F5550" s="162" t="s">
        <v>28666</v>
      </c>
      <c r="G5550" s="190"/>
      <c r="H5550" s="219"/>
      <c r="I5550" s="169">
        <v>106508</v>
      </c>
      <c r="J5550" s="304" t="str">
        <f>CONCATENATE([2]Cover!$D$6,"fdd/view?i=",I5550)</f>
        <v>https://www.dgiwg.org/FAD/fdd/view?i=106508</v>
      </c>
      <c r="K5550" s="304" t="s">
        <v>39599</v>
      </c>
      <c r="L5550" s="188">
        <v>48</v>
      </c>
      <c r="M5550" s="179" t="s">
        <v>151</v>
      </c>
    </row>
    <row r="5551" spans="1:13">
      <c r="A5551" s="313" t="str">
        <f t="shared" si="86"/>
        <v>ProductCode_grain</v>
      </c>
      <c r="B5551" s="330"/>
      <c r="C5551" s="334"/>
      <c r="D5551" s="188" t="s">
        <v>28667</v>
      </c>
      <c r="E5551" s="189" t="s">
        <v>28668</v>
      </c>
      <c r="F5551" s="162" t="s">
        <v>28669</v>
      </c>
      <c r="G5551" s="162" t="s">
        <v>28670</v>
      </c>
      <c r="H5551" s="219"/>
      <c r="I5551" s="169">
        <v>106509</v>
      </c>
      <c r="J5551" s="304" t="str">
        <f>CONCATENATE([2]Cover!$D$6,"fdd/view?i=",I5551)</f>
        <v>https://www.dgiwg.org/FAD/fdd/view?i=106509</v>
      </c>
      <c r="K5551" s="304" t="s">
        <v>39600</v>
      </c>
      <c r="L5551" s="188">
        <v>49</v>
      </c>
      <c r="M5551" s="179" t="s">
        <v>151</v>
      </c>
    </row>
    <row r="5552" spans="1:13" ht="38.25">
      <c r="A5552" s="313" t="str">
        <f t="shared" si="86"/>
        <v>ProductCode_granite</v>
      </c>
      <c r="B5552" s="330"/>
      <c r="C5552" s="334"/>
      <c r="D5552" s="188" t="s">
        <v>16789</v>
      </c>
      <c r="E5552" s="189" t="s">
        <v>16790</v>
      </c>
      <c r="F5552" s="162" t="s">
        <v>28671</v>
      </c>
      <c r="G5552" s="162" t="s">
        <v>28399</v>
      </c>
      <c r="H5552" s="219"/>
      <c r="I5552" s="169">
        <v>106510</v>
      </c>
      <c r="J5552" s="304" t="str">
        <f>CONCATENATE([2]Cover!$D$6,"fdd/view?i=",I5552)</f>
        <v>https://www.dgiwg.org/FAD/fdd/view?i=106510</v>
      </c>
      <c r="K5552" s="304" t="s">
        <v>39601</v>
      </c>
      <c r="L5552" s="188">
        <v>50</v>
      </c>
      <c r="M5552" s="179" t="s">
        <v>151</v>
      </c>
    </row>
    <row r="5553" spans="1:13" ht="25.5">
      <c r="A5553" s="313" t="str">
        <f t="shared" si="86"/>
        <v>ProductCode_gravel</v>
      </c>
      <c r="B5553" s="330"/>
      <c r="C5553" s="334"/>
      <c r="D5553" s="188" t="s">
        <v>15105</v>
      </c>
      <c r="E5553" s="189" t="s">
        <v>15106</v>
      </c>
      <c r="F5553" s="162" t="s">
        <v>28401</v>
      </c>
      <c r="G5553" s="162" t="s">
        <v>28402</v>
      </c>
      <c r="H5553" s="219"/>
      <c r="I5553" s="169">
        <v>106513</v>
      </c>
      <c r="J5553" s="304" t="str">
        <f>CONCATENATE([2]Cover!$D$6,"fdd/view?i=",I5553)</f>
        <v>https://www.dgiwg.org/FAD/fdd/view?i=106513</v>
      </c>
      <c r="K5553" s="304" t="s">
        <v>39602</v>
      </c>
      <c r="L5553" s="188">
        <v>53</v>
      </c>
      <c r="M5553" s="179" t="s">
        <v>151</v>
      </c>
    </row>
    <row r="5554" spans="1:13" ht="25.5">
      <c r="A5554" s="313" t="str">
        <f t="shared" si="86"/>
        <v>ProductCode_heatingSteamAndOrWater</v>
      </c>
      <c r="B5554" s="330"/>
      <c r="C5554" s="334"/>
      <c r="D5554" s="188" t="s">
        <v>28672</v>
      </c>
      <c r="E5554" s="189" t="s">
        <v>28673</v>
      </c>
      <c r="F5554" s="162" t="s">
        <v>28674</v>
      </c>
      <c r="G5554" s="162" t="s">
        <v>28675</v>
      </c>
      <c r="H5554" s="219"/>
      <c r="I5554" s="169">
        <v>103230</v>
      </c>
      <c r="J5554" s="304" t="str">
        <f>CONCATENATE([2]Cover!$D$6,"fdd/view?i=",I5554)</f>
        <v>https://www.dgiwg.org/FAD/fdd/view?i=103230</v>
      </c>
      <c r="K5554" s="304" t="s">
        <v>39603</v>
      </c>
      <c r="L5554" s="188">
        <v>146</v>
      </c>
      <c r="M5554" s="179" t="s">
        <v>151</v>
      </c>
    </row>
    <row r="5555" spans="1:13" ht="25.5">
      <c r="A5555" s="313" t="str">
        <f t="shared" si="86"/>
        <v>ProductCode_helium</v>
      </c>
      <c r="B5555" s="330"/>
      <c r="C5555" s="334"/>
      <c r="D5555" s="188" t="s">
        <v>28676</v>
      </c>
      <c r="E5555" s="189" t="s">
        <v>28677</v>
      </c>
      <c r="F5555" s="162" t="s">
        <v>28678</v>
      </c>
      <c r="G5555" s="190"/>
      <c r="H5555" s="219"/>
      <c r="I5555" s="169">
        <v>118541</v>
      </c>
      <c r="J5555" s="304" t="str">
        <f>CONCATENATE([2]Cover!$D$6,"fdd/view?i=",I5555)</f>
        <v>https://www.dgiwg.org/FAD/fdd/view?i=118541</v>
      </c>
      <c r="K5555" s="304" t="s">
        <v>39604</v>
      </c>
      <c r="L5555" s="188">
        <v>163</v>
      </c>
      <c r="M5555" s="179" t="s">
        <v>151</v>
      </c>
    </row>
    <row r="5556" spans="1:13" ht="38.25">
      <c r="A5556" s="313" t="str">
        <f t="shared" si="86"/>
        <v>ProductCode_hydrothermalFluid</v>
      </c>
      <c r="B5556" s="330"/>
      <c r="C5556" s="334"/>
      <c r="D5556" s="188" t="s">
        <v>28679</v>
      </c>
      <c r="E5556" s="189" t="s">
        <v>28680</v>
      </c>
      <c r="F5556" s="162" t="s">
        <v>28681</v>
      </c>
      <c r="G5556" s="162" t="s">
        <v>28682</v>
      </c>
      <c r="H5556" s="219"/>
      <c r="I5556" s="169">
        <v>118542</v>
      </c>
      <c r="J5556" s="304" t="str">
        <f>CONCATENATE([2]Cover!$D$6,"fdd/view?i=",I5556)</f>
        <v>https://www.dgiwg.org/FAD/fdd/view?i=118542</v>
      </c>
      <c r="K5556" s="304" t="s">
        <v>39605</v>
      </c>
      <c r="L5556" s="188">
        <v>164</v>
      </c>
      <c r="M5556" s="179" t="s">
        <v>151</v>
      </c>
    </row>
    <row r="5557" spans="1:13">
      <c r="A5557" s="313" t="str">
        <f t="shared" si="86"/>
        <v>ProductCode_ice</v>
      </c>
      <c r="B5557" s="330"/>
      <c r="C5557" s="334"/>
      <c r="D5557" s="188" t="s">
        <v>15108</v>
      </c>
      <c r="E5557" s="189" t="s">
        <v>15109</v>
      </c>
      <c r="F5557" s="162" t="s">
        <v>28683</v>
      </c>
      <c r="G5557" s="190"/>
      <c r="H5557" s="219"/>
      <c r="I5557" s="169">
        <v>106517</v>
      </c>
      <c r="J5557" s="304" t="str">
        <f>CONCATENATE([2]Cover!$D$6,"fdd/view?i=",I5557)</f>
        <v>https://www.dgiwg.org/FAD/fdd/view?i=106517</v>
      </c>
      <c r="K5557" s="304" t="s">
        <v>39606</v>
      </c>
      <c r="L5557" s="188">
        <v>57</v>
      </c>
      <c r="M5557" s="179" t="s">
        <v>151</v>
      </c>
    </row>
    <row r="5558" spans="1:13" ht="38.25">
      <c r="A5558" s="313" t="str">
        <f t="shared" si="86"/>
        <v>ProductCode_iron</v>
      </c>
      <c r="B5558" s="330"/>
      <c r="C5558" s="334"/>
      <c r="D5558" s="188" t="s">
        <v>28410</v>
      </c>
      <c r="E5558" s="189" t="s">
        <v>28411</v>
      </c>
      <c r="F5558" s="162" t="s">
        <v>28412</v>
      </c>
      <c r="G5558" s="162" t="s">
        <v>28413</v>
      </c>
      <c r="H5558" s="219"/>
      <c r="I5558" s="169">
        <v>106518</v>
      </c>
      <c r="J5558" s="304" t="str">
        <f>CONCATENATE([2]Cover!$D$6,"fdd/view?i=",I5558)</f>
        <v>https://www.dgiwg.org/FAD/fdd/view?i=106518</v>
      </c>
      <c r="K5558" s="304" t="s">
        <v>39607</v>
      </c>
      <c r="L5558" s="188">
        <v>58</v>
      </c>
      <c r="M5558" s="179" t="s">
        <v>151</v>
      </c>
    </row>
    <row r="5559" spans="1:13" ht="38.25">
      <c r="A5559" s="313" t="str">
        <f t="shared" si="86"/>
        <v>ProductCode_lead</v>
      </c>
      <c r="B5559" s="330"/>
      <c r="C5559" s="334"/>
      <c r="D5559" s="188" t="s">
        <v>28415</v>
      </c>
      <c r="E5559" s="189" t="s">
        <v>28416</v>
      </c>
      <c r="F5559" s="162" t="s">
        <v>28417</v>
      </c>
      <c r="G5559" s="190"/>
      <c r="H5559" s="219"/>
      <c r="I5559" s="169">
        <v>106519</v>
      </c>
      <c r="J5559" s="304" t="str">
        <f>CONCATENATE([2]Cover!$D$6,"fdd/view?i=",I5559)</f>
        <v>https://www.dgiwg.org/FAD/fdd/view?i=106519</v>
      </c>
      <c r="K5559" s="304" t="s">
        <v>39608</v>
      </c>
      <c r="L5559" s="188">
        <v>59</v>
      </c>
      <c r="M5559" s="179" t="s">
        <v>151</v>
      </c>
    </row>
    <row r="5560" spans="1:13" ht="51">
      <c r="A5560" s="313" t="str">
        <f t="shared" si="86"/>
        <v>ProductCode_lime</v>
      </c>
      <c r="B5560" s="330"/>
      <c r="C5560" s="334"/>
      <c r="D5560" s="188" t="s">
        <v>28684</v>
      </c>
      <c r="E5560" s="189" t="s">
        <v>28685</v>
      </c>
      <c r="F5560" s="162" t="s">
        <v>28686</v>
      </c>
      <c r="G5560" s="162" t="s">
        <v>28687</v>
      </c>
      <c r="H5560" s="221" t="s">
        <v>28688</v>
      </c>
      <c r="I5560" s="169">
        <v>106520</v>
      </c>
      <c r="J5560" s="304" t="str">
        <f>CONCATENATE([2]Cover!$D$6,"fdd/view?i=",I5560)</f>
        <v>https://www.dgiwg.org/FAD/fdd/view?i=106520</v>
      </c>
      <c r="K5560" s="304" t="s">
        <v>39609</v>
      </c>
      <c r="L5560" s="188">
        <v>60</v>
      </c>
      <c r="M5560" s="179" t="s">
        <v>151</v>
      </c>
    </row>
    <row r="5561" spans="1:13" ht="51">
      <c r="A5561" s="313" t="str">
        <f t="shared" si="86"/>
        <v>ProductCode_liquefiedNaturalGas</v>
      </c>
      <c r="B5561" s="330"/>
      <c r="C5561" s="334"/>
      <c r="D5561" s="188" t="s">
        <v>17363</v>
      </c>
      <c r="E5561" s="189" t="s">
        <v>17364</v>
      </c>
      <c r="F5561" s="162" t="s">
        <v>28689</v>
      </c>
      <c r="G5561" s="162" t="s">
        <v>28690</v>
      </c>
      <c r="H5561" s="219"/>
      <c r="I5561" s="169">
        <v>106521</v>
      </c>
      <c r="J5561" s="304" t="str">
        <f>CONCATENATE([2]Cover!$D$6,"fdd/view?i=",I5561)</f>
        <v>https://www.dgiwg.org/FAD/fdd/view?i=106521</v>
      </c>
      <c r="K5561" s="304" t="s">
        <v>39610</v>
      </c>
      <c r="L5561" s="188">
        <v>61</v>
      </c>
      <c r="M5561" s="179" t="s">
        <v>151</v>
      </c>
    </row>
    <row r="5562" spans="1:13" ht="102">
      <c r="A5562" s="313" t="str">
        <f t="shared" si="86"/>
        <v>ProductCode_liquefiedPetroleumGas</v>
      </c>
      <c r="B5562" s="330"/>
      <c r="C5562" s="334"/>
      <c r="D5562" s="188" t="s">
        <v>17368</v>
      </c>
      <c r="E5562" s="189" t="s">
        <v>17369</v>
      </c>
      <c r="F5562" s="162" t="s">
        <v>17370</v>
      </c>
      <c r="G5562" s="162" t="s">
        <v>17371</v>
      </c>
      <c r="H5562" s="219"/>
      <c r="I5562" s="169">
        <v>106522</v>
      </c>
      <c r="J5562" s="304" t="str">
        <f>CONCATENATE([2]Cover!$D$6,"fdd/view?i=",I5562)</f>
        <v>https://www.dgiwg.org/FAD/fdd/view?i=106522</v>
      </c>
      <c r="K5562" s="304" t="s">
        <v>39611</v>
      </c>
      <c r="L5562" s="188">
        <v>62</v>
      </c>
      <c r="M5562" s="179" t="s">
        <v>151</v>
      </c>
    </row>
    <row r="5563" spans="1:13">
      <c r="A5563" s="313" t="str">
        <f t="shared" si="86"/>
        <v>ProductCode_lumber</v>
      </c>
      <c r="B5563" s="330"/>
      <c r="C5563" s="334"/>
      <c r="D5563" s="188" t="s">
        <v>28691</v>
      </c>
      <c r="E5563" s="189" t="s">
        <v>28692</v>
      </c>
      <c r="F5563" s="162" t="s">
        <v>28693</v>
      </c>
      <c r="G5563" s="190"/>
      <c r="H5563" s="219"/>
      <c r="I5563" s="169">
        <v>106523</v>
      </c>
      <c r="J5563" s="304" t="str">
        <f>CONCATENATE([2]Cover!$D$6,"fdd/view?i=",I5563)</f>
        <v>https://www.dgiwg.org/FAD/fdd/view?i=106523</v>
      </c>
      <c r="K5563" s="304" t="s">
        <v>39612</v>
      </c>
      <c r="L5563" s="188">
        <v>63</v>
      </c>
      <c r="M5563" s="179" t="s">
        <v>151</v>
      </c>
    </row>
    <row r="5564" spans="1:13" ht="25.5">
      <c r="A5564" s="313" t="str">
        <f t="shared" si="86"/>
        <v>ProductCode_manganese</v>
      </c>
      <c r="B5564" s="330"/>
      <c r="C5564" s="334"/>
      <c r="D5564" s="188" t="s">
        <v>28426</v>
      </c>
      <c r="E5564" s="189" t="s">
        <v>28427</v>
      </c>
      <c r="F5564" s="162" t="s">
        <v>28428</v>
      </c>
      <c r="G5564" s="162" t="s">
        <v>28429</v>
      </c>
      <c r="H5564" s="219"/>
      <c r="I5564" s="169">
        <v>106525</v>
      </c>
      <c r="J5564" s="304" t="str">
        <f>CONCATENATE([2]Cover!$D$6,"fdd/view?i=",I5564)</f>
        <v>https://www.dgiwg.org/FAD/fdd/view?i=106525</v>
      </c>
      <c r="K5564" s="304" t="s">
        <v>39613</v>
      </c>
      <c r="L5564" s="188">
        <v>65</v>
      </c>
      <c r="M5564" s="179" t="s">
        <v>151</v>
      </c>
    </row>
    <row r="5565" spans="1:13" ht="51">
      <c r="A5565" s="313" t="str">
        <f t="shared" si="86"/>
        <v>ProductCode_marble</v>
      </c>
      <c r="B5565" s="330"/>
      <c r="C5565" s="334"/>
      <c r="D5565" s="188" t="s">
        <v>28694</v>
      </c>
      <c r="E5565" s="189" t="s">
        <v>28695</v>
      </c>
      <c r="F5565" s="162" t="s">
        <v>28696</v>
      </c>
      <c r="G5565" s="162" t="s">
        <v>28697</v>
      </c>
      <c r="H5565" s="219"/>
      <c r="I5565" s="169">
        <v>106526</v>
      </c>
      <c r="J5565" s="304" t="str">
        <f>CONCATENATE([2]Cover!$D$6,"fdd/view?i=",I5565)</f>
        <v>https://www.dgiwg.org/FAD/fdd/view?i=106526</v>
      </c>
      <c r="K5565" s="304" t="s">
        <v>39614</v>
      </c>
      <c r="L5565" s="188">
        <v>66</v>
      </c>
      <c r="M5565" s="179" t="s">
        <v>151</v>
      </c>
    </row>
    <row r="5566" spans="1:13" ht="76.5">
      <c r="A5566" s="313" t="str">
        <f t="shared" si="86"/>
        <v>ProductCode_medicalSupplies</v>
      </c>
      <c r="B5566" s="330"/>
      <c r="C5566" s="334"/>
      <c r="D5566" s="188" t="s">
        <v>28698</v>
      </c>
      <c r="E5566" s="189" t="s">
        <v>28699</v>
      </c>
      <c r="F5566" s="162" t="s">
        <v>28700</v>
      </c>
      <c r="G5566" s="162" t="s">
        <v>28701</v>
      </c>
      <c r="H5566" s="219"/>
      <c r="I5566" s="169">
        <v>106528</v>
      </c>
      <c r="J5566" s="304" t="str">
        <f>CONCATENATE([2]Cover!$D$6,"fdd/view?i=",I5566)</f>
        <v>https://www.dgiwg.org/FAD/fdd/view?i=106528</v>
      </c>
      <c r="K5566" s="304" t="s">
        <v>39615</v>
      </c>
      <c r="L5566" s="188">
        <v>68</v>
      </c>
      <c r="M5566" s="179" t="s">
        <v>151</v>
      </c>
    </row>
    <row r="5567" spans="1:13" ht="38.25">
      <c r="A5567" s="313" t="str">
        <f t="shared" si="86"/>
        <v>ProductCode_metal</v>
      </c>
      <c r="B5567" s="330"/>
      <c r="C5567" s="334"/>
      <c r="D5567" s="188" t="s">
        <v>22444</v>
      </c>
      <c r="E5567" s="189" t="s">
        <v>22445</v>
      </c>
      <c r="F5567" s="162" t="s">
        <v>28434</v>
      </c>
      <c r="G5567" s="162" t="s">
        <v>28435</v>
      </c>
      <c r="H5567" s="219"/>
      <c r="I5567" s="169">
        <v>106529</v>
      </c>
      <c r="J5567" s="304" t="str">
        <f>CONCATENATE([2]Cover!$D$6,"fdd/view?i=",I5567)</f>
        <v>https://www.dgiwg.org/FAD/fdd/view?i=106529</v>
      </c>
      <c r="K5567" s="304" t="s">
        <v>39616</v>
      </c>
      <c r="L5567" s="188">
        <v>69</v>
      </c>
      <c r="M5567" s="179" t="s">
        <v>151</v>
      </c>
    </row>
    <row r="5568" spans="1:13" ht="114.75">
      <c r="A5568" s="313" t="str">
        <f t="shared" si="86"/>
        <v>ProductCode_mica</v>
      </c>
      <c r="B5568" s="330"/>
      <c r="C5568" s="334"/>
      <c r="D5568" s="188" t="s">
        <v>28702</v>
      </c>
      <c r="E5568" s="189" t="s">
        <v>28703</v>
      </c>
      <c r="F5568" s="162" t="s">
        <v>28704</v>
      </c>
      <c r="G5568" s="162" t="s">
        <v>28705</v>
      </c>
      <c r="H5568" s="219"/>
      <c r="J5568" s="304" t="str">
        <f>CONCATENATE([2]Cover!$D$6,"fdd/view?i=",I5568)</f>
        <v>https://www.dgiwg.org/FAD/fdd/view?i=</v>
      </c>
      <c r="K5568" s="304" t="s">
        <v>39617</v>
      </c>
      <c r="L5568" s="188">
        <v>283</v>
      </c>
      <c r="M5568" s="179" t="s">
        <v>151</v>
      </c>
    </row>
    <row r="5569" spans="1:13" ht="38.25">
      <c r="A5569" s="313" t="str">
        <f t="shared" si="86"/>
        <v>ProductCode_milk</v>
      </c>
      <c r="B5569" s="330"/>
      <c r="C5569" s="334"/>
      <c r="D5569" s="188" t="s">
        <v>28706</v>
      </c>
      <c r="E5569" s="189" t="s">
        <v>28707</v>
      </c>
      <c r="F5569" s="162" t="s">
        <v>28708</v>
      </c>
      <c r="G5569" s="162" t="s">
        <v>28709</v>
      </c>
      <c r="H5569" s="219"/>
      <c r="I5569" s="169">
        <v>106530</v>
      </c>
      <c r="J5569" s="304" t="str">
        <f>CONCATENATE([2]Cover!$D$6,"fdd/view?i=",I5569)</f>
        <v>https://www.dgiwg.org/FAD/fdd/view?i=106530</v>
      </c>
      <c r="K5569" s="304" t="s">
        <v>39618</v>
      </c>
      <c r="L5569" s="188">
        <v>70</v>
      </c>
      <c r="M5569" s="179" t="s">
        <v>151</v>
      </c>
    </row>
    <row r="5570" spans="1:13" ht="25.5">
      <c r="A5570" s="313" t="str">
        <f t="shared" si="86"/>
        <v>ProductCode_milledGrain</v>
      </c>
      <c r="B5570" s="330"/>
      <c r="C5570" s="334"/>
      <c r="D5570" s="188" t="s">
        <v>28710</v>
      </c>
      <c r="E5570" s="189" t="s">
        <v>28711</v>
      </c>
      <c r="F5570" s="162" t="s">
        <v>28712</v>
      </c>
      <c r="G5570" s="190"/>
      <c r="H5570" s="221" t="s">
        <v>28713</v>
      </c>
      <c r="I5570" s="169">
        <v>117953</v>
      </c>
      <c r="J5570" s="304" t="str">
        <f>CONCATENATE([2]Cover!$D$6,"fdd/view?i=",I5570)</f>
        <v>https://www.dgiwg.org/FAD/fdd/view?i=117953</v>
      </c>
      <c r="K5570" s="304" t="s">
        <v>39619</v>
      </c>
      <c r="L5570" s="188">
        <v>160</v>
      </c>
      <c r="M5570" s="179" t="s">
        <v>151</v>
      </c>
    </row>
    <row r="5571" spans="1:13" ht="25.5">
      <c r="A5571" s="313" t="str">
        <f t="shared" ref="A5571:A5634" si="87">HYPERLINK(J5571,K5571)</f>
        <v>ProductCode_motorVehicle</v>
      </c>
      <c r="B5571" s="330"/>
      <c r="C5571" s="334"/>
      <c r="D5571" s="188" t="s">
        <v>28714</v>
      </c>
      <c r="E5571" s="189" t="s">
        <v>28715</v>
      </c>
      <c r="F5571" s="162" t="s">
        <v>28716</v>
      </c>
      <c r="G5571" s="162" t="s">
        <v>28717</v>
      </c>
      <c r="H5571" s="219"/>
      <c r="I5571" s="169">
        <v>106465</v>
      </c>
      <c r="J5571" s="304" t="str">
        <f>CONCATENATE([2]Cover!$D$6,"fdd/view?i=",I5571)</f>
        <v>https://www.dgiwg.org/FAD/fdd/view?i=106465</v>
      </c>
      <c r="K5571" s="304" t="s">
        <v>39620</v>
      </c>
      <c r="L5571" s="188">
        <v>5</v>
      </c>
      <c r="M5571" s="179" t="s">
        <v>151</v>
      </c>
    </row>
    <row r="5572" spans="1:13" ht="51">
      <c r="A5572" s="313" t="str">
        <f t="shared" si="87"/>
        <v>ProductCode_munitions</v>
      </c>
      <c r="B5572" s="330"/>
      <c r="C5572" s="334"/>
      <c r="D5572" s="188" t="s">
        <v>28718</v>
      </c>
      <c r="E5572" s="189" t="s">
        <v>28719</v>
      </c>
      <c r="F5572" s="162" t="s">
        <v>28720</v>
      </c>
      <c r="G5572" s="162" t="s">
        <v>28721</v>
      </c>
      <c r="H5572" s="219"/>
      <c r="I5572" s="169">
        <v>112777</v>
      </c>
      <c r="J5572" s="304" t="str">
        <f>CONCATENATE([2]Cover!$D$6,"fdd/view?i=",I5572)</f>
        <v>https://www.dgiwg.org/FAD/fdd/view?i=112777</v>
      </c>
      <c r="K5572" s="304" t="s">
        <v>39621</v>
      </c>
      <c r="L5572" s="188">
        <v>154</v>
      </c>
      <c r="M5572" s="179" t="s">
        <v>151</v>
      </c>
    </row>
    <row r="5573" spans="1:13" ht="51">
      <c r="A5573" s="313" t="str">
        <f t="shared" si="87"/>
        <v>ProductCode_mussels</v>
      </c>
      <c r="B5573" s="330"/>
      <c r="C5573" s="334"/>
      <c r="D5573" s="188" t="s">
        <v>28442</v>
      </c>
      <c r="E5573" s="189" t="s">
        <v>28443</v>
      </c>
      <c r="F5573" s="162" t="s">
        <v>28444</v>
      </c>
      <c r="G5573" s="162" t="s">
        <v>28445</v>
      </c>
      <c r="H5573" s="219"/>
      <c r="I5573" s="169">
        <v>106532</v>
      </c>
      <c r="J5573" s="304" t="str">
        <f>CONCATENATE([2]Cover!$D$6,"fdd/view?i=",I5573)</f>
        <v>https://www.dgiwg.org/FAD/fdd/view?i=106532</v>
      </c>
      <c r="K5573" s="304" t="s">
        <v>39622</v>
      </c>
      <c r="L5573" s="188">
        <v>72</v>
      </c>
      <c r="M5573" s="179" t="s">
        <v>151</v>
      </c>
    </row>
    <row r="5574" spans="1:13" ht="63.75">
      <c r="A5574" s="313" t="str">
        <f t="shared" si="87"/>
        <v>ProductCode_naturalGasCondensate</v>
      </c>
      <c r="B5574" s="330"/>
      <c r="C5574" s="334"/>
      <c r="D5574" s="188" t="s">
        <v>28722</v>
      </c>
      <c r="E5574" s="189" t="s">
        <v>28723</v>
      </c>
      <c r="F5574" s="162" t="s">
        <v>28724</v>
      </c>
      <c r="G5574" s="162" t="s">
        <v>28725</v>
      </c>
      <c r="H5574" s="219"/>
      <c r="I5574" s="169">
        <v>118540</v>
      </c>
      <c r="J5574" s="304" t="str">
        <f>CONCATENATE([2]Cover!$D$6,"fdd/view?i=",I5574)</f>
        <v>https://www.dgiwg.org/FAD/fdd/view?i=118540</v>
      </c>
      <c r="K5574" s="304" t="s">
        <v>39623</v>
      </c>
      <c r="L5574" s="188">
        <v>162</v>
      </c>
      <c r="M5574" s="179" t="s">
        <v>151</v>
      </c>
    </row>
    <row r="5575" spans="1:13" ht="25.5">
      <c r="A5575" s="313" t="str">
        <f t="shared" si="87"/>
        <v>ProductCode_nickel</v>
      </c>
      <c r="B5575" s="330"/>
      <c r="C5575" s="334"/>
      <c r="D5575" s="188" t="s">
        <v>28726</v>
      </c>
      <c r="E5575" s="189" t="s">
        <v>28727</v>
      </c>
      <c r="F5575" s="162" t="s">
        <v>28728</v>
      </c>
      <c r="G5575" s="162" t="s">
        <v>28729</v>
      </c>
      <c r="H5575" s="219"/>
      <c r="I5575" s="169">
        <v>112775</v>
      </c>
      <c r="J5575" s="304" t="str">
        <f>CONCATENATE([2]Cover!$D$6,"fdd/view?i=",I5575)</f>
        <v>https://www.dgiwg.org/FAD/fdd/view?i=112775</v>
      </c>
      <c r="K5575" s="304" t="s">
        <v>39624</v>
      </c>
      <c r="L5575" s="188">
        <v>152</v>
      </c>
      <c r="M5575" s="179" t="s">
        <v>151</v>
      </c>
    </row>
    <row r="5576" spans="1:13" ht="25.5">
      <c r="A5576" s="313" t="str">
        <f t="shared" si="87"/>
        <v>ProductCode_nonSolidHydrocarbonFuel</v>
      </c>
      <c r="B5576" s="330"/>
      <c r="C5576" s="334"/>
      <c r="D5576" s="188" t="s">
        <v>28733</v>
      </c>
      <c r="E5576" s="189" t="s">
        <v>28734</v>
      </c>
      <c r="F5576" s="162" t="s">
        <v>28735</v>
      </c>
      <c r="G5576" s="190"/>
      <c r="H5576" s="219"/>
      <c r="I5576" s="169">
        <v>106534</v>
      </c>
      <c r="J5576" s="304" t="str">
        <f>CONCATENATE([2]Cover!$D$6,"fdd/view?i=",I5576)</f>
        <v>https://www.dgiwg.org/FAD/fdd/view?i=106534</v>
      </c>
      <c r="K5576" s="304" t="s">
        <v>39625</v>
      </c>
      <c r="L5576" s="188">
        <v>74</v>
      </c>
      <c r="M5576" s="179" t="s">
        <v>151</v>
      </c>
    </row>
    <row r="5577" spans="1:13">
      <c r="A5577" s="313" t="str">
        <f t="shared" si="87"/>
        <v>ProductCode_noProduct</v>
      </c>
      <c r="B5577" s="330"/>
      <c r="C5577" s="334"/>
      <c r="D5577" s="188" t="s">
        <v>28730</v>
      </c>
      <c r="E5577" s="189" t="s">
        <v>28731</v>
      </c>
      <c r="F5577" s="162" t="s">
        <v>28732</v>
      </c>
      <c r="G5577" s="190"/>
      <c r="H5577" s="219"/>
      <c r="I5577" s="169">
        <v>106533</v>
      </c>
      <c r="J5577" s="304" t="str">
        <f>CONCATENATE([2]Cover!$D$6,"fdd/view?i=",I5577)</f>
        <v>https://www.dgiwg.org/FAD/fdd/view?i=106533</v>
      </c>
      <c r="K5577" s="304" t="s">
        <v>39626</v>
      </c>
      <c r="L5577" s="188">
        <v>73</v>
      </c>
      <c r="M5577" s="179" t="s">
        <v>151</v>
      </c>
    </row>
    <row r="5578" spans="1:13" ht="127.5">
      <c r="A5578" s="313" t="str">
        <f t="shared" si="87"/>
        <v>ProductCode_nuclearFuel</v>
      </c>
      <c r="B5578" s="330"/>
      <c r="C5578" s="334"/>
      <c r="D5578" s="188" t="s">
        <v>28736</v>
      </c>
      <c r="E5578" s="189" t="s">
        <v>28737</v>
      </c>
      <c r="F5578" s="162" t="s">
        <v>28738</v>
      </c>
      <c r="G5578" s="162" t="s">
        <v>28739</v>
      </c>
      <c r="H5578" s="221" t="s">
        <v>28740</v>
      </c>
      <c r="J5578" s="304" t="str">
        <f>CONCATENATE([2]Cover!$D$6,"fdd/view?i=",I5578)</f>
        <v>https://www.dgiwg.org/FAD/fdd/view?i=</v>
      </c>
      <c r="K5578" s="304" t="s">
        <v>39627</v>
      </c>
      <c r="L5578" s="188">
        <v>435</v>
      </c>
      <c r="M5578" s="179" t="s">
        <v>151</v>
      </c>
    </row>
    <row r="5579" spans="1:13">
      <c r="A5579" s="313" t="str">
        <f t="shared" si="87"/>
        <v>ProductCode_oliveOil</v>
      </c>
      <c r="B5579" s="330"/>
      <c r="C5579" s="334"/>
      <c r="D5579" s="188" t="s">
        <v>28741</v>
      </c>
      <c r="E5579" s="189" t="s">
        <v>28742</v>
      </c>
      <c r="F5579" s="162" t="s">
        <v>28743</v>
      </c>
      <c r="G5579" s="162" t="s">
        <v>28744</v>
      </c>
      <c r="H5579" s="219"/>
      <c r="I5579" s="169">
        <v>112778</v>
      </c>
      <c r="J5579" s="304" t="str">
        <f>CONCATENATE([2]Cover!$D$6,"fdd/view?i=",I5579)</f>
        <v>https://www.dgiwg.org/FAD/fdd/view?i=112778</v>
      </c>
      <c r="K5579" s="304" t="s">
        <v>39628</v>
      </c>
      <c r="L5579" s="188">
        <v>155</v>
      </c>
      <c r="M5579" s="179" t="s">
        <v>151</v>
      </c>
    </row>
    <row r="5580" spans="1:13" ht="38.25">
      <c r="A5580" s="313" t="str">
        <f t="shared" si="87"/>
        <v>ProductCode_oysters</v>
      </c>
      <c r="B5580" s="330"/>
      <c r="C5580" s="334"/>
      <c r="D5580" s="188" t="s">
        <v>28453</v>
      </c>
      <c r="E5580" s="189" t="s">
        <v>28454</v>
      </c>
      <c r="F5580" s="162" t="s">
        <v>28455</v>
      </c>
      <c r="G5580" s="162" t="s">
        <v>28456</v>
      </c>
      <c r="H5580" s="219"/>
      <c r="I5580" s="169">
        <v>106537</v>
      </c>
      <c r="J5580" s="304" t="str">
        <f>CONCATENATE([2]Cover!$D$6,"fdd/view?i=",I5580)</f>
        <v>https://www.dgiwg.org/FAD/fdd/view?i=106537</v>
      </c>
      <c r="K5580" s="304" t="s">
        <v>39629</v>
      </c>
      <c r="L5580" s="188">
        <v>77</v>
      </c>
      <c r="M5580" s="179" t="s">
        <v>151</v>
      </c>
    </row>
    <row r="5581" spans="1:13" ht="38.25">
      <c r="A5581" s="313" t="str">
        <f t="shared" si="87"/>
        <v>ProductCode_paper</v>
      </c>
      <c r="B5581" s="330"/>
      <c r="C5581" s="334"/>
      <c r="D5581" s="188" t="s">
        <v>28745</v>
      </c>
      <c r="E5581" s="189" t="s">
        <v>28746</v>
      </c>
      <c r="F5581" s="162" t="s">
        <v>28747</v>
      </c>
      <c r="G5581" s="162" t="s">
        <v>28748</v>
      </c>
      <c r="H5581" s="219"/>
      <c r="I5581" s="169">
        <v>106540</v>
      </c>
      <c r="J5581" s="304" t="str">
        <f>CONCATENATE([2]Cover!$D$6,"fdd/view?i=",I5581)</f>
        <v>https://www.dgiwg.org/FAD/fdd/view?i=106540</v>
      </c>
      <c r="K5581" s="304" t="s">
        <v>39630</v>
      </c>
      <c r="L5581" s="188">
        <v>80</v>
      </c>
      <c r="M5581" s="179" t="s">
        <v>151</v>
      </c>
    </row>
    <row r="5582" spans="1:13" ht="25.5">
      <c r="A5582" s="313" t="str">
        <f t="shared" si="87"/>
        <v>ProductCode_petrochemical</v>
      </c>
      <c r="B5582" s="330"/>
      <c r="C5582" s="334"/>
      <c r="D5582" s="188" t="s">
        <v>28749</v>
      </c>
      <c r="E5582" s="189" t="s">
        <v>28750</v>
      </c>
      <c r="F5582" s="162" t="s">
        <v>28751</v>
      </c>
      <c r="G5582" s="190"/>
      <c r="H5582" s="219"/>
      <c r="I5582" s="169">
        <v>108635</v>
      </c>
      <c r="J5582" s="304" t="str">
        <f>CONCATENATE([2]Cover!$D$6,"fdd/view?i=",I5582)</f>
        <v>https://www.dgiwg.org/FAD/fdd/view?i=108635</v>
      </c>
      <c r="K5582" s="304" t="s">
        <v>39631</v>
      </c>
      <c r="L5582" s="188">
        <v>137</v>
      </c>
      <c r="M5582" s="179" t="s">
        <v>151</v>
      </c>
    </row>
    <row r="5583" spans="1:13">
      <c r="A5583" s="313" t="str">
        <f t="shared" si="87"/>
        <v>ProductCode_petrol</v>
      </c>
      <c r="B5583" s="330"/>
      <c r="C5583" s="334"/>
      <c r="D5583" s="188" t="s">
        <v>17385</v>
      </c>
      <c r="E5583" s="189" t="s">
        <v>17386</v>
      </c>
      <c r="F5583" s="162" t="s">
        <v>17387</v>
      </c>
      <c r="G5583" s="190"/>
      <c r="H5583" s="221" t="s">
        <v>17388</v>
      </c>
      <c r="I5583" s="169">
        <v>106506</v>
      </c>
      <c r="J5583" s="304" t="str">
        <f>CONCATENATE([2]Cover!$D$6,"fdd/view?i=",I5583)</f>
        <v>https://www.dgiwg.org/FAD/fdd/view?i=106506</v>
      </c>
      <c r="K5583" s="304" t="s">
        <v>39632</v>
      </c>
      <c r="L5583" s="188">
        <v>46</v>
      </c>
      <c r="M5583" s="179" t="s">
        <v>151</v>
      </c>
    </row>
    <row r="5584" spans="1:13" ht="51">
      <c r="A5584" s="313" t="str">
        <f t="shared" si="87"/>
        <v>ProductCode_petroleum</v>
      </c>
      <c r="B5584" s="330"/>
      <c r="C5584" s="334"/>
      <c r="D5584" s="188" t="s">
        <v>28752</v>
      </c>
      <c r="E5584" s="189" t="s">
        <v>28753</v>
      </c>
      <c r="F5584" s="162" t="s">
        <v>28754</v>
      </c>
      <c r="G5584" s="162" t="s">
        <v>28755</v>
      </c>
      <c r="H5584" s="221" t="s">
        <v>28756</v>
      </c>
      <c r="I5584" s="169">
        <v>106543</v>
      </c>
      <c r="J5584" s="304" t="str">
        <f>CONCATENATE([2]Cover!$D$6,"fdd/view?i=",I5584)</f>
        <v>https://www.dgiwg.org/FAD/fdd/view?i=106543</v>
      </c>
      <c r="K5584" s="304" t="s">
        <v>39633</v>
      </c>
      <c r="L5584" s="188">
        <v>83</v>
      </c>
      <c r="M5584" s="179" t="s">
        <v>151</v>
      </c>
    </row>
    <row r="5585" spans="1:13" ht="76.5">
      <c r="A5585" s="313" t="str">
        <f t="shared" si="87"/>
        <v>ProductCode_petroleumLubricant</v>
      </c>
      <c r="B5585" s="330"/>
      <c r="C5585" s="334"/>
      <c r="D5585" s="188" t="s">
        <v>28761</v>
      </c>
      <c r="E5585" s="189" t="s">
        <v>28762</v>
      </c>
      <c r="F5585" s="162" t="s">
        <v>28763</v>
      </c>
      <c r="G5585" s="162" t="s">
        <v>28764</v>
      </c>
      <c r="H5585" s="219"/>
      <c r="I5585" s="169">
        <v>119109</v>
      </c>
      <c r="J5585" s="304" t="str">
        <f>CONCATENATE([2]Cover!$D$6,"fdd/view?i=",I5585)</f>
        <v>https://www.dgiwg.org/FAD/fdd/view?i=119109</v>
      </c>
      <c r="K5585" s="304" t="s">
        <v>39634</v>
      </c>
      <c r="L5585" s="188">
        <v>192</v>
      </c>
      <c r="M5585" s="179" t="s">
        <v>151</v>
      </c>
    </row>
    <row r="5586" spans="1:13" ht="76.5">
      <c r="A5586" s="313" t="str">
        <f t="shared" si="87"/>
        <v>ProductCode_petroleumNaturalGas</v>
      </c>
      <c r="B5586" s="330"/>
      <c r="C5586" s="334"/>
      <c r="D5586" s="188" t="s">
        <v>28757</v>
      </c>
      <c r="E5586" s="189" t="s">
        <v>28758</v>
      </c>
      <c r="F5586" s="162" t="s">
        <v>28759</v>
      </c>
      <c r="G5586" s="162" t="s">
        <v>28760</v>
      </c>
      <c r="H5586" s="219"/>
      <c r="I5586" s="169">
        <v>111290</v>
      </c>
      <c r="J5586" s="304" t="str">
        <f>CONCATENATE([2]Cover!$D$6,"fdd/view?i=",I5586)</f>
        <v>https://www.dgiwg.org/FAD/fdd/view?i=111290</v>
      </c>
      <c r="K5586" s="304" t="s">
        <v>39635</v>
      </c>
      <c r="L5586" s="188">
        <v>157</v>
      </c>
      <c r="M5586" s="179" t="s">
        <v>151</v>
      </c>
    </row>
    <row r="5587" spans="1:13" ht="25.5">
      <c r="A5587" s="313" t="str">
        <f t="shared" si="87"/>
        <v>ProductCode_phosphate</v>
      </c>
      <c r="B5587" s="330"/>
      <c r="C5587" s="334"/>
      <c r="D5587" s="188" t="s">
        <v>28765</v>
      </c>
      <c r="E5587" s="189" t="s">
        <v>28766</v>
      </c>
      <c r="F5587" s="162" t="s">
        <v>28767</v>
      </c>
      <c r="G5587" s="162" t="s">
        <v>28768</v>
      </c>
      <c r="H5587" s="219"/>
      <c r="J5587" s="304" t="str">
        <f>CONCATENATE([2]Cover!$D$6,"fdd/view?i=",I5587)</f>
        <v>https://www.dgiwg.org/FAD/fdd/view?i=</v>
      </c>
      <c r="K5587" s="304" t="s">
        <v>39636</v>
      </c>
      <c r="L5587" s="188">
        <v>204</v>
      </c>
      <c r="M5587" s="179" t="s">
        <v>151</v>
      </c>
    </row>
    <row r="5588" spans="1:13" ht="51">
      <c r="A5588" s="313" t="str">
        <f t="shared" si="87"/>
        <v>ProductCode_phosphorus</v>
      </c>
      <c r="B5588" s="330"/>
      <c r="C5588" s="334"/>
      <c r="D5588" s="188" t="s">
        <v>28769</v>
      </c>
      <c r="E5588" s="189" t="s">
        <v>28770</v>
      </c>
      <c r="F5588" s="162" t="s">
        <v>28771</v>
      </c>
      <c r="G5588" s="162" t="s">
        <v>28772</v>
      </c>
      <c r="H5588" s="219"/>
      <c r="J5588" s="304" t="str">
        <f>CONCATENATE([2]Cover!$D$6,"fdd/view?i=",I5588)</f>
        <v>https://www.dgiwg.org/FAD/fdd/view?i=</v>
      </c>
      <c r="K5588" s="304" t="s">
        <v>39637</v>
      </c>
      <c r="L5588" s="188">
        <v>325</v>
      </c>
      <c r="M5588" s="179" t="s">
        <v>151</v>
      </c>
    </row>
    <row r="5589" spans="1:13" ht="38.25">
      <c r="A5589" s="313" t="str">
        <f t="shared" si="87"/>
        <v>ProductCode_plastic</v>
      </c>
      <c r="B5589" s="330"/>
      <c r="C5589" s="334"/>
      <c r="D5589" s="188" t="s">
        <v>28464</v>
      </c>
      <c r="E5589" s="189" t="s">
        <v>28465</v>
      </c>
      <c r="F5589" s="162" t="s">
        <v>28466</v>
      </c>
      <c r="G5589" s="162" t="s">
        <v>28467</v>
      </c>
      <c r="H5589" s="219"/>
      <c r="I5589" s="169">
        <v>106544</v>
      </c>
      <c r="J5589" s="304" t="str">
        <f>CONCATENATE([2]Cover!$D$6,"fdd/view?i=",I5589)</f>
        <v>https://www.dgiwg.org/FAD/fdd/view?i=106544</v>
      </c>
      <c r="K5589" s="304" t="s">
        <v>39638</v>
      </c>
      <c r="L5589" s="188">
        <v>84</v>
      </c>
      <c r="M5589" s="179" t="s">
        <v>151</v>
      </c>
    </row>
    <row r="5590" spans="1:13" ht="102">
      <c r="A5590" s="313" t="str">
        <f t="shared" si="87"/>
        <v>ProductCode_porphyry</v>
      </c>
      <c r="B5590" s="330"/>
      <c r="C5590" s="334"/>
      <c r="D5590" s="188" t="s">
        <v>28773</v>
      </c>
      <c r="E5590" s="189" t="s">
        <v>28774</v>
      </c>
      <c r="F5590" s="162" t="s">
        <v>28775</v>
      </c>
      <c r="G5590" s="162" t="s">
        <v>28776</v>
      </c>
      <c r="H5590" s="219"/>
      <c r="I5590" s="169">
        <v>106545</v>
      </c>
      <c r="J5590" s="304" t="str">
        <f>CONCATENATE([2]Cover!$D$6,"fdd/view?i=",I5590)</f>
        <v>https://www.dgiwg.org/FAD/fdd/view?i=106545</v>
      </c>
      <c r="K5590" s="304" t="s">
        <v>39639</v>
      </c>
      <c r="L5590" s="188">
        <v>85</v>
      </c>
      <c r="M5590" s="179" t="s">
        <v>151</v>
      </c>
    </row>
    <row r="5591" spans="1:13" ht="38.25">
      <c r="A5591" s="313" t="str">
        <f t="shared" si="87"/>
        <v>ProductCode_pottery</v>
      </c>
      <c r="B5591" s="330"/>
      <c r="C5591" s="334"/>
      <c r="D5591" s="188" t="s">
        <v>28777</v>
      </c>
      <c r="E5591" s="189" t="s">
        <v>28778</v>
      </c>
      <c r="F5591" s="162" t="s">
        <v>28779</v>
      </c>
      <c r="G5591" s="162" t="s">
        <v>28780</v>
      </c>
      <c r="H5591" s="219"/>
      <c r="I5591" s="169">
        <v>112780</v>
      </c>
      <c r="J5591" s="304" t="str">
        <f>CONCATENATE([2]Cover!$D$6,"fdd/view?i=",I5591)</f>
        <v>https://www.dgiwg.org/FAD/fdd/view?i=112780</v>
      </c>
      <c r="K5591" s="304" t="s">
        <v>39640</v>
      </c>
      <c r="L5591" s="188">
        <v>158</v>
      </c>
      <c r="M5591" s="179" t="s">
        <v>151</v>
      </c>
    </row>
    <row r="5592" spans="1:13" ht="25.5">
      <c r="A5592" s="313" t="str">
        <f t="shared" si="87"/>
        <v>ProductCode_prestressedConcrete</v>
      </c>
      <c r="B5592" s="330"/>
      <c r="C5592" s="334"/>
      <c r="D5592" s="188" t="s">
        <v>28468</v>
      </c>
      <c r="E5592" s="189" t="s">
        <v>28469</v>
      </c>
      <c r="F5592" s="162" t="s">
        <v>28470</v>
      </c>
      <c r="G5592" s="190"/>
      <c r="H5592" s="219"/>
      <c r="I5592" s="169">
        <v>106547</v>
      </c>
      <c r="J5592" s="304" t="str">
        <f>CONCATENATE([2]Cover!$D$6,"fdd/view?i=",I5592)</f>
        <v>https://www.dgiwg.org/FAD/fdd/view?i=106547</v>
      </c>
      <c r="K5592" s="304" t="s">
        <v>39641</v>
      </c>
      <c r="L5592" s="188">
        <v>87</v>
      </c>
      <c r="M5592" s="179" t="s">
        <v>151</v>
      </c>
    </row>
    <row r="5593" spans="1:13" ht="51">
      <c r="A5593" s="313" t="str">
        <f t="shared" si="87"/>
        <v>ProductCode_pumice</v>
      </c>
      <c r="B5593" s="330"/>
      <c r="C5593" s="334"/>
      <c r="D5593" s="188" t="s">
        <v>28474</v>
      </c>
      <c r="E5593" s="189" t="s">
        <v>28475</v>
      </c>
      <c r="F5593" s="162" t="s">
        <v>28476</v>
      </c>
      <c r="G5593" s="162" t="s">
        <v>28477</v>
      </c>
      <c r="H5593" s="219"/>
      <c r="I5593" s="169">
        <v>106548</v>
      </c>
      <c r="J5593" s="304" t="str">
        <f>CONCATENATE([2]Cover!$D$6,"fdd/view?i=",I5593)</f>
        <v>https://www.dgiwg.org/FAD/fdd/view?i=106548</v>
      </c>
      <c r="K5593" s="304" t="s">
        <v>39642</v>
      </c>
      <c r="L5593" s="188">
        <v>88</v>
      </c>
      <c r="M5593" s="179" t="s">
        <v>151</v>
      </c>
    </row>
    <row r="5594" spans="1:13" ht="76.5">
      <c r="A5594" s="313" t="str">
        <f t="shared" si="87"/>
        <v>ProductCode_quartz</v>
      </c>
      <c r="B5594" s="330"/>
      <c r="C5594" s="334"/>
      <c r="D5594" s="188" t="s">
        <v>28478</v>
      </c>
      <c r="E5594" s="189" t="s">
        <v>28479</v>
      </c>
      <c r="F5594" s="162" t="s">
        <v>28781</v>
      </c>
      <c r="G5594" s="162" t="s">
        <v>28782</v>
      </c>
      <c r="H5594" s="219"/>
      <c r="I5594" s="169">
        <v>106549</v>
      </c>
      <c r="J5594" s="304" t="str">
        <f>CONCATENATE([2]Cover!$D$6,"fdd/view?i=",I5594)</f>
        <v>https://www.dgiwg.org/FAD/fdd/view?i=106549</v>
      </c>
      <c r="K5594" s="304" t="s">
        <v>39643</v>
      </c>
      <c r="L5594" s="188">
        <v>89</v>
      </c>
      <c r="M5594" s="179" t="s">
        <v>151</v>
      </c>
    </row>
    <row r="5595" spans="1:13" ht="25.5">
      <c r="A5595" s="313" t="str">
        <f t="shared" si="87"/>
        <v>ProductCode_radioactiveMaterial</v>
      </c>
      <c r="B5595" s="330"/>
      <c r="C5595" s="334"/>
      <c r="D5595" s="188" t="s">
        <v>18830</v>
      </c>
      <c r="E5595" s="189" t="s">
        <v>18831</v>
      </c>
      <c r="F5595" s="162" t="s">
        <v>18832</v>
      </c>
      <c r="G5595" s="190"/>
      <c r="H5595" s="219"/>
      <c r="I5595" s="169">
        <v>106550</v>
      </c>
      <c r="J5595" s="304" t="str">
        <f>CONCATENATE([2]Cover!$D$6,"fdd/view?i=",I5595)</f>
        <v>https://www.dgiwg.org/FAD/fdd/view?i=106550</v>
      </c>
      <c r="K5595" s="304" t="s">
        <v>39644</v>
      </c>
      <c r="L5595" s="188">
        <v>90</v>
      </c>
      <c r="M5595" s="179" t="s">
        <v>151</v>
      </c>
    </row>
    <row r="5596" spans="1:13">
      <c r="A5596" s="313" t="str">
        <f t="shared" si="87"/>
        <v>ProductCode_rice</v>
      </c>
      <c r="B5596" s="330"/>
      <c r="C5596" s="334"/>
      <c r="D5596" s="188" t="s">
        <v>19568</v>
      </c>
      <c r="E5596" s="189" t="s">
        <v>19569</v>
      </c>
      <c r="F5596" s="162" t="s">
        <v>19570</v>
      </c>
      <c r="G5596" s="190"/>
      <c r="H5596" s="219"/>
      <c r="I5596" s="169">
        <v>106552</v>
      </c>
      <c r="J5596" s="304" t="str">
        <f>CONCATENATE([2]Cover!$D$6,"fdd/view?i=",I5596)</f>
        <v>https://www.dgiwg.org/FAD/fdd/view?i=106552</v>
      </c>
      <c r="K5596" s="304" t="s">
        <v>39645</v>
      </c>
      <c r="L5596" s="188">
        <v>92</v>
      </c>
      <c r="M5596" s="179" t="s">
        <v>151</v>
      </c>
    </row>
    <row r="5597" spans="1:13">
      <c r="A5597" s="313" t="str">
        <f t="shared" si="87"/>
        <v>ProductCode_rock</v>
      </c>
      <c r="B5597" s="330"/>
      <c r="C5597" s="334"/>
      <c r="D5597" s="188" t="s">
        <v>28485</v>
      </c>
      <c r="E5597" s="189" t="s">
        <v>28486</v>
      </c>
      <c r="F5597" s="162" t="s">
        <v>28487</v>
      </c>
      <c r="G5597" s="190"/>
      <c r="H5597" s="219"/>
      <c r="I5597" s="169">
        <v>106553</v>
      </c>
      <c r="J5597" s="304" t="str">
        <f>CONCATENATE([2]Cover!$D$6,"fdd/view?i=",I5597)</f>
        <v>https://www.dgiwg.org/FAD/fdd/view?i=106553</v>
      </c>
      <c r="K5597" s="304" t="s">
        <v>39646</v>
      </c>
      <c r="L5597" s="188">
        <v>93</v>
      </c>
      <c r="M5597" s="179" t="s">
        <v>151</v>
      </c>
    </row>
    <row r="5598" spans="1:13" ht="51">
      <c r="A5598" s="313" t="str">
        <f t="shared" si="87"/>
        <v>ProductCode_rubber</v>
      </c>
      <c r="B5598" s="330"/>
      <c r="C5598" s="334"/>
      <c r="D5598" s="188" t="s">
        <v>19572</v>
      </c>
      <c r="E5598" s="189" t="s">
        <v>19573</v>
      </c>
      <c r="F5598" s="162" t="s">
        <v>28783</v>
      </c>
      <c r="G5598" s="162" t="s">
        <v>28784</v>
      </c>
      <c r="H5598" s="219"/>
      <c r="I5598" s="169">
        <v>106554</v>
      </c>
      <c r="J5598" s="304" t="str">
        <f>CONCATENATE([2]Cover!$D$6,"fdd/view?i=",I5598)</f>
        <v>https://www.dgiwg.org/FAD/fdd/view?i=106554</v>
      </c>
      <c r="K5598" s="304" t="s">
        <v>39647</v>
      </c>
      <c r="L5598" s="188">
        <v>94</v>
      </c>
      <c r="M5598" s="179" t="s">
        <v>151</v>
      </c>
    </row>
    <row r="5599" spans="1:13" ht="38.25">
      <c r="A5599" s="313" t="str">
        <f t="shared" si="87"/>
        <v>ProductCode_salt</v>
      </c>
      <c r="B5599" s="330"/>
      <c r="C5599" s="334"/>
      <c r="D5599" s="188" t="s">
        <v>28785</v>
      </c>
      <c r="E5599" s="189" t="s">
        <v>28786</v>
      </c>
      <c r="F5599" s="162" t="s">
        <v>28787</v>
      </c>
      <c r="G5599" s="162" t="s">
        <v>28788</v>
      </c>
      <c r="H5599" s="219"/>
      <c r="I5599" s="169">
        <v>106555</v>
      </c>
      <c r="J5599" s="304" t="str">
        <f>CONCATENATE([2]Cover!$D$6,"fdd/view?i=",I5599)</f>
        <v>https://www.dgiwg.org/FAD/fdd/view?i=106555</v>
      </c>
      <c r="K5599" s="304" t="s">
        <v>39648</v>
      </c>
      <c r="L5599" s="188">
        <v>95</v>
      </c>
      <c r="M5599" s="179" t="s">
        <v>151</v>
      </c>
    </row>
    <row r="5600" spans="1:13" ht="76.5">
      <c r="A5600" s="313" t="str">
        <f t="shared" si="87"/>
        <v>ProductCode_sand</v>
      </c>
      <c r="B5600" s="330"/>
      <c r="C5600" s="334"/>
      <c r="D5600" s="188" t="s">
        <v>15137</v>
      </c>
      <c r="E5600" s="189" t="s">
        <v>15138</v>
      </c>
      <c r="F5600" s="162" t="s">
        <v>18114</v>
      </c>
      <c r="G5600" s="162" t="s">
        <v>18115</v>
      </c>
      <c r="H5600" s="219"/>
      <c r="I5600" s="169">
        <v>106556</v>
      </c>
      <c r="J5600" s="304" t="str">
        <f>CONCATENATE([2]Cover!$D$6,"fdd/view?i=",I5600)</f>
        <v>https://www.dgiwg.org/FAD/fdd/view?i=106556</v>
      </c>
      <c r="K5600" s="304" t="s">
        <v>39649</v>
      </c>
      <c r="L5600" s="188">
        <v>96</v>
      </c>
      <c r="M5600" s="179" t="s">
        <v>151</v>
      </c>
    </row>
    <row r="5601" spans="1:13" ht="51">
      <c r="A5601" s="313" t="str">
        <f t="shared" si="87"/>
        <v>ProductCode_sandstone</v>
      </c>
      <c r="B5601" s="330"/>
      <c r="C5601" s="334"/>
      <c r="D5601" s="188" t="s">
        <v>28789</v>
      </c>
      <c r="E5601" s="189" t="s">
        <v>28790</v>
      </c>
      <c r="F5601" s="162" t="s">
        <v>28791</v>
      </c>
      <c r="G5601" s="162" t="s">
        <v>28792</v>
      </c>
      <c r="H5601" s="219"/>
      <c r="I5601" s="169">
        <v>106557</v>
      </c>
      <c r="J5601" s="304" t="str">
        <f>CONCATENATE([2]Cover!$D$6,"fdd/view?i=",I5601)</f>
        <v>https://www.dgiwg.org/FAD/fdd/view?i=106557</v>
      </c>
      <c r="K5601" s="304" t="s">
        <v>39650</v>
      </c>
      <c r="L5601" s="188">
        <v>97</v>
      </c>
      <c r="M5601" s="179" t="s">
        <v>151</v>
      </c>
    </row>
    <row r="5602" spans="1:13" ht="63.75">
      <c r="A5602" s="313" t="str">
        <f t="shared" si="87"/>
        <v>ProductCode_selenium</v>
      </c>
      <c r="B5602" s="330"/>
      <c r="C5602" s="334"/>
      <c r="D5602" s="188" t="s">
        <v>28793</v>
      </c>
      <c r="E5602" s="189" t="s">
        <v>28794</v>
      </c>
      <c r="F5602" s="162" t="s">
        <v>28795</v>
      </c>
      <c r="G5602" s="162" t="s">
        <v>28796</v>
      </c>
      <c r="H5602" s="219"/>
      <c r="J5602" s="304" t="str">
        <f>CONCATENATE([2]Cover!$D$6,"fdd/view?i=",I5602)</f>
        <v>https://www.dgiwg.org/FAD/fdd/view?i=</v>
      </c>
      <c r="K5602" s="304" t="s">
        <v>39651</v>
      </c>
      <c r="L5602" s="188">
        <v>339</v>
      </c>
      <c r="M5602" s="179" t="s">
        <v>151</v>
      </c>
    </row>
    <row r="5603" spans="1:13">
      <c r="A5603" s="313" t="str">
        <f t="shared" si="87"/>
        <v>ProductCode_sewage</v>
      </c>
      <c r="B5603" s="330"/>
      <c r="C5603" s="334"/>
      <c r="D5603" s="188" t="s">
        <v>13360</v>
      </c>
      <c r="E5603" s="189" t="s">
        <v>13361</v>
      </c>
      <c r="F5603" s="162" t="s">
        <v>18840</v>
      </c>
      <c r="G5603" s="190"/>
      <c r="H5603" s="219"/>
      <c r="I5603" s="169">
        <v>106561</v>
      </c>
      <c r="J5603" s="304" t="str">
        <f>CONCATENATE([2]Cover!$D$6,"fdd/view?i=",I5603)</f>
        <v>https://www.dgiwg.org/FAD/fdd/view?i=106561</v>
      </c>
      <c r="K5603" s="304" t="s">
        <v>39652</v>
      </c>
      <c r="L5603" s="188">
        <v>101</v>
      </c>
      <c r="M5603" s="179" t="s">
        <v>151</v>
      </c>
    </row>
    <row r="5604" spans="1:13" ht="38.25">
      <c r="A5604" s="313" t="str">
        <f t="shared" si="87"/>
        <v>ProductCode_silver</v>
      </c>
      <c r="B5604" s="330"/>
      <c r="C5604" s="334"/>
      <c r="D5604" s="188" t="s">
        <v>28797</v>
      </c>
      <c r="E5604" s="189" t="s">
        <v>28798</v>
      </c>
      <c r="F5604" s="162" t="s">
        <v>28799</v>
      </c>
      <c r="G5604" s="190"/>
      <c r="H5604" s="219"/>
      <c r="I5604" s="169">
        <v>106565</v>
      </c>
      <c r="J5604" s="304" t="str">
        <f>CONCATENATE([2]Cover!$D$6,"fdd/view?i=",I5604)</f>
        <v>https://www.dgiwg.org/FAD/fdd/view?i=106565</v>
      </c>
      <c r="K5604" s="304" t="s">
        <v>39653</v>
      </c>
      <c r="L5604" s="188">
        <v>105</v>
      </c>
      <c r="M5604" s="179" t="s">
        <v>151</v>
      </c>
    </row>
    <row r="5605" spans="1:13" ht="25.5">
      <c r="A5605" s="313" t="str">
        <f t="shared" si="87"/>
        <v>ProductCode_snow</v>
      </c>
      <c r="B5605" s="330"/>
      <c r="C5605" s="334"/>
      <c r="D5605" s="188" t="s">
        <v>15140</v>
      </c>
      <c r="E5605" s="189" t="s">
        <v>15141</v>
      </c>
      <c r="F5605" s="162" t="s">
        <v>28800</v>
      </c>
      <c r="G5605" s="162" t="s">
        <v>28801</v>
      </c>
      <c r="H5605" s="219"/>
      <c r="I5605" s="169">
        <v>106566</v>
      </c>
      <c r="J5605" s="304" t="str">
        <f>CONCATENATE([2]Cover!$D$6,"fdd/view?i=",I5605)</f>
        <v>https://www.dgiwg.org/FAD/fdd/view?i=106566</v>
      </c>
      <c r="K5605" s="304" t="s">
        <v>39654</v>
      </c>
      <c r="L5605" s="188">
        <v>106</v>
      </c>
      <c r="M5605" s="179" t="s">
        <v>151</v>
      </c>
    </row>
    <row r="5606" spans="1:13" ht="38.25">
      <c r="A5606" s="313" t="str">
        <f t="shared" si="87"/>
        <v>ProductCode_steel</v>
      </c>
      <c r="B5606" s="330"/>
      <c r="C5606" s="334"/>
      <c r="D5606" s="188" t="s">
        <v>28517</v>
      </c>
      <c r="E5606" s="189" t="s">
        <v>28518</v>
      </c>
      <c r="F5606" s="162" t="s">
        <v>28519</v>
      </c>
      <c r="G5606" s="162" t="s">
        <v>28520</v>
      </c>
      <c r="H5606" s="219"/>
      <c r="I5606" s="169">
        <v>106569</v>
      </c>
      <c r="J5606" s="304" t="str">
        <f>CONCATENATE([2]Cover!$D$6,"fdd/view?i=",I5606)</f>
        <v>https://www.dgiwg.org/FAD/fdd/view?i=106569</v>
      </c>
      <c r="K5606" s="304" t="s">
        <v>39655</v>
      </c>
      <c r="L5606" s="188">
        <v>109</v>
      </c>
      <c r="M5606" s="179" t="s">
        <v>151</v>
      </c>
    </row>
    <row r="5607" spans="1:13" ht="38.25">
      <c r="A5607" s="313" t="str">
        <f t="shared" si="87"/>
        <v>ProductCode_stone</v>
      </c>
      <c r="B5607" s="330"/>
      <c r="C5607" s="334"/>
      <c r="D5607" s="188" t="s">
        <v>15143</v>
      </c>
      <c r="E5607" s="189" t="s">
        <v>15144</v>
      </c>
      <c r="F5607" s="162" t="s">
        <v>28521</v>
      </c>
      <c r="G5607" s="162" t="s">
        <v>28522</v>
      </c>
      <c r="H5607" s="219"/>
      <c r="I5607" s="169">
        <v>106570</v>
      </c>
      <c r="J5607" s="304" t="str">
        <f>CONCATENATE([2]Cover!$D$6,"fdd/view?i=",I5607)</f>
        <v>https://www.dgiwg.org/FAD/fdd/view?i=106570</v>
      </c>
      <c r="K5607" s="304" t="s">
        <v>39656</v>
      </c>
      <c r="L5607" s="188">
        <v>110</v>
      </c>
      <c r="M5607" s="179" t="s">
        <v>151</v>
      </c>
    </row>
    <row r="5608" spans="1:13" ht="63.75">
      <c r="A5608" s="313" t="str">
        <f t="shared" si="87"/>
        <v>ProductCode_sugar</v>
      </c>
      <c r="B5608" s="330"/>
      <c r="C5608" s="334"/>
      <c r="D5608" s="188" t="s">
        <v>28802</v>
      </c>
      <c r="E5608" s="189" t="s">
        <v>28803</v>
      </c>
      <c r="F5608" s="162" t="s">
        <v>28804</v>
      </c>
      <c r="G5608" s="162" t="s">
        <v>28805</v>
      </c>
      <c r="H5608" s="219"/>
      <c r="I5608" s="169">
        <v>106571</v>
      </c>
      <c r="J5608" s="304" t="str">
        <f>CONCATENATE([2]Cover!$D$6,"fdd/view?i=",I5608)</f>
        <v>https://www.dgiwg.org/FAD/fdd/view?i=106571</v>
      </c>
      <c r="K5608" s="304" t="s">
        <v>39657</v>
      </c>
      <c r="L5608" s="188">
        <v>111</v>
      </c>
      <c r="M5608" s="179" t="s">
        <v>151</v>
      </c>
    </row>
    <row r="5609" spans="1:13" ht="25.5">
      <c r="A5609" s="313" t="str">
        <f t="shared" si="87"/>
        <v>ProductCode_textile</v>
      </c>
      <c r="B5609" s="330"/>
      <c r="C5609" s="334"/>
      <c r="D5609" s="188" t="s">
        <v>28806</v>
      </c>
      <c r="E5609" s="189" t="s">
        <v>28807</v>
      </c>
      <c r="F5609" s="162" t="s">
        <v>28808</v>
      </c>
      <c r="G5609" s="190"/>
      <c r="H5609" s="219"/>
      <c r="I5609" s="169">
        <v>106574</v>
      </c>
      <c r="J5609" s="304" t="str">
        <f>CONCATENATE([2]Cover!$D$6,"fdd/view?i=",I5609)</f>
        <v>https://www.dgiwg.org/FAD/fdd/view?i=106574</v>
      </c>
      <c r="K5609" s="304" t="s">
        <v>39658</v>
      </c>
      <c r="L5609" s="188">
        <v>114</v>
      </c>
      <c r="M5609" s="179" t="s">
        <v>151</v>
      </c>
    </row>
    <row r="5610" spans="1:13" ht="25.5">
      <c r="A5610" s="313" t="str">
        <f t="shared" si="87"/>
        <v>ProductCode_timber</v>
      </c>
      <c r="B5610" s="330"/>
      <c r="C5610" s="334"/>
      <c r="D5610" s="188" t="s">
        <v>19598</v>
      </c>
      <c r="E5610" s="189" t="s">
        <v>19599</v>
      </c>
      <c r="F5610" s="162" t="s">
        <v>28809</v>
      </c>
      <c r="G5610" s="190"/>
      <c r="H5610" s="219"/>
      <c r="I5610" s="169">
        <v>106576</v>
      </c>
      <c r="J5610" s="304" t="str">
        <f>CONCATENATE([2]Cover!$D$6,"fdd/view?i=",I5610)</f>
        <v>https://www.dgiwg.org/FAD/fdd/view?i=106576</v>
      </c>
      <c r="K5610" s="304" t="s">
        <v>39659</v>
      </c>
      <c r="L5610" s="188">
        <v>116</v>
      </c>
      <c r="M5610" s="179" t="s">
        <v>151</v>
      </c>
    </row>
    <row r="5611" spans="1:13" ht="51">
      <c r="A5611" s="313" t="str">
        <f t="shared" si="87"/>
        <v>ProductCode_tin</v>
      </c>
      <c r="B5611" s="330"/>
      <c r="C5611" s="334"/>
      <c r="D5611" s="188" t="s">
        <v>28810</v>
      </c>
      <c r="E5611" s="189" t="s">
        <v>28811</v>
      </c>
      <c r="F5611" s="162" t="s">
        <v>28812</v>
      </c>
      <c r="G5611" s="162" t="s">
        <v>28813</v>
      </c>
      <c r="H5611" s="219"/>
      <c r="I5611" s="169">
        <v>112776</v>
      </c>
      <c r="J5611" s="304" t="str">
        <f>CONCATENATE([2]Cover!$D$6,"fdd/view?i=",I5611)</f>
        <v>https://www.dgiwg.org/FAD/fdd/view?i=112776</v>
      </c>
      <c r="K5611" s="304" t="s">
        <v>39660</v>
      </c>
      <c r="L5611" s="188">
        <v>153</v>
      </c>
      <c r="M5611" s="179" t="s">
        <v>151</v>
      </c>
    </row>
    <row r="5612" spans="1:13" ht="38.25">
      <c r="A5612" s="313" t="str">
        <f t="shared" si="87"/>
        <v>ProductCode_tobacco</v>
      </c>
      <c r="B5612" s="330"/>
      <c r="C5612" s="334"/>
      <c r="D5612" s="188" t="s">
        <v>19601</v>
      </c>
      <c r="E5612" s="189" t="s">
        <v>19602</v>
      </c>
      <c r="F5612" s="162" t="s">
        <v>28814</v>
      </c>
      <c r="G5612" s="162" t="s">
        <v>28815</v>
      </c>
      <c r="H5612" s="219"/>
      <c r="I5612" s="169">
        <v>106577</v>
      </c>
      <c r="J5612" s="304" t="str">
        <f>CONCATENATE([2]Cover!$D$6,"fdd/view?i=",I5612)</f>
        <v>https://www.dgiwg.org/FAD/fdd/view?i=106577</v>
      </c>
      <c r="K5612" s="304" t="s">
        <v>39661</v>
      </c>
      <c r="L5612" s="188">
        <v>117</v>
      </c>
      <c r="M5612" s="179" t="s">
        <v>151</v>
      </c>
    </row>
    <row r="5613" spans="1:13" ht="63.75">
      <c r="A5613" s="313" t="str">
        <f t="shared" si="87"/>
        <v>ProductCode_travertine</v>
      </c>
      <c r="B5613" s="330"/>
      <c r="C5613" s="334"/>
      <c r="D5613" s="188" t="s">
        <v>28816</v>
      </c>
      <c r="E5613" s="189" t="s">
        <v>28817</v>
      </c>
      <c r="F5613" s="162" t="s">
        <v>28818</v>
      </c>
      <c r="G5613" s="162" t="s">
        <v>28819</v>
      </c>
      <c r="H5613" s="219"/>
      <c r="I5613" s="169">
        <v>106578</v>
      </c>
      <c r="J5613" s="304" t="str">
        <f>CONCATENATE([2]Cover!$D$6,"fdd/view?i=",I5613)</f>
        <v>https://www.dgiwg.org/FAD/fdd/view?i=106578</v>
      </c>
      <c r="K5613" s="304" t="s">
        <v>39662</v>
      </c>
      <c r="L5613" s="188">
        <v>118</v>
      </c>
      <c r="M5613" s="179" t="s">
        <v>151</v>
      </c>
    </row>
    <row r="5614" spans="1:13" ht="38.25">
      <c r="A5614" s="313" t="str">
        <f t="shared" si="87"/>
        <v>ProductCode_uranium</v>
      </c>
      <c r="B5614" s="330"/>
      <c r="C5614" s="334"/>
      <c r="D5614" s="188" t="s">
        <v>28820</v>
      </c>
      <c r="E5614" s="189" t="s">
        <v>28821</v>
      </c>
      <c r="F5614" s="162" t="s">
        <v>28822</v>
      </c>
      <c r="G5614" s="162" t="s">
        <v>28823</v>
      </c>
      <c r="H5614" s="219"/>
      <c r="I5614" s="169">
        <v>106580</v>
      </c>
      <c r="J5614" s="304" t="str">
        <f>CONCATENATE([2]Cover!$D$6,"fdd/view?i=",I5614)</f>
        <v>https://www.dgiwg.org/FAD/fdd/view?i=106580</v>
      </c>
      <c r="K5614" s="304" t="s">
        <v>39663</v>
      </c>
      <c r="L5614" s="188">
        <v>120</v>
      </c>
      <c r="M5614" s="179" t="s">
        <v>151</v>
      </c>
    </row>
    <row r="5615" spans="1:13" ht="25.5">
      <c r="A5615" s="313" t="str">
        <f t="shared" si="87"/>
        <v>ProductCode_vanadium</v>
      </c>
      <c r="B5615" s="330"/>
      <c r="C5615" s="334"/>
      <c r="D5615" s="188" t="s">
        <v>28824</v>
      </c>
      <c r="E5615" s="189" t="s">
        <v>28825</v>
      </c>
      <c r="F5615" s="162" t="s">
        <v>28826</v>
      </c>
      <c r="G5615" s="162" t="s">
        <v>28827</v>
      </c>
      <c r="H5615" s="219"/>
      <c r="J5615" s="304" t="str">
        <f>CONCATENATE([2]Cover!$D$6,"fdd/view?i=",I5615)</f>
        <v>https://www.dgiwg.org/FAD/fdd/view?i=</v>
      </c>
      <c r="K5615" s="304" t="s">
        <v>39664</v>
      </c>
      <c r="L5615" s="188">
        <v>224</v>
      </c>
      <c r="M5615" s="179" t="s">
        <v>151</v>
      </c>
    </row>
    <row r="5616" spans="1:13" ht="25.5">
      <c r="A5616" s="313" t="str">
        <f t="shared" si="87"/>
        <v>ProductCode_vegetationProduct</v>
      </c>
      <c r="B5616" s="330"/>
      <c r="C5616" s="334"/>
      <c r="D5616" s="188" t="s">
        <v>28828</v>
      </c>
      <c r="E5616" s="189" t="s">
        <v>28829</v>
      </c>
      <c r="F5616" s="162" t="s">
        <v>28830</v>
      </c>
      <c r="G5616" s="162" t="s">
        <v>28831</v>
      </c>
      <c r="H5616" s="219"/>
      <c r="I5616" s="169">
        <v>106581</v>
      </c>
      <c r="J5616" s="304" t="str">
        <f>CONCATENATE([2]Cover!$D$6,"fdd/view?i=",I5616)</f>
        <v>https://www.dgiwg.org/FAD/fdd/view?i=106581</v>
      </c>
      <c r="K5616" s="304" t="s">
        <v>39665</v>
      </c>
      <c r="L5616" s="188">
        <v>121</v>
      </c>
      <c r="M5616" s="179" t="s">
        <v>151</v>
      </c>
    </row>
    <row r="5617" spans="1:13" ht="38.25">
      <c r="A5617" s="313" t="str">
        <f t="shared" si="87"/>
        <v>ProductCode_water</v>
      </c>
      <c r="B5617" s="330"/>
      <c r="C5617" s="334"/>
      <c r="D5617" s="188" t="s">
        <v>15146</v>
      </c>
      <c r="E5617" s="189" t="s">
        <v>15147</v>
      </c>
      <c r="F5617" s="162" t="s">
        <v>17397</v>
      </c>
      <c r="G5617" s="162" t="s">
        <v>28538</v>
      </c>
      <c r="H5617" s="219"/>
      <c r="I5617" s="169">
        <v>106582</v>
      </c>
      <c r="J5617" s="304" t="str">
        <f>CONCATENATE([2]Cover!$D$6,"fdd/view?i=",I5617)</f>
        <v>https://www.dgiwg.org/FAD/fdd/view?i=106582</v>
      </c>
      <c r="K5617" s="304" t="s">
        <v>39666</v>
      </c>
      <c r="L5617" s="188">
        <v>122</v>
      </c>
      <c r="M5617" s="179" t="s">
        <v>151</v>
      </c>
    </row>
    <row r="5618" spans="1:13" ht="25.5">
      <c r="A5618" s="313" t="str">
        <f t="shared" si="87"/>
        <v>ProductCode_whaleProducts</v>
      </c>
      <c r="B5618" s="330"/>
      <c r="C5618" s="334"/>
      <c r="D5618" s="188" t="s">
        <v>28832</v>
      </c>
      <c r="E5618" s="189" t="s">
        <v>28833</v>
      </c>
      <c r="F5618" s="162" t="s">
        <v>28834</v>
      </c>
      <c r="G5618" s="162" t="s">
        <v>28835</v>
      </c>
      <c r="H5618" s="219"/>
      <c r="I5618" s="169">
        <v>112779</v>
      </c>
      <c r="J5618" s="304" t="str">
        <f>CONCATENATE([2]Cover!$D$6,"fdd/view?i=",I5618)</f>
        <v>https://www.dgiwg.org/FAD/fdd/view?i=112779</v>
      </c>
      <c r="K5618" s="304" t="s">
        <v>39667</v>
      </c>
      <c r="L5618" s="188">
        <v>156</v>
      </c>
      <c r="M5618" s="179" t="s">
        <v>151</v>
      </c>
    </row>
    <row r="5619" spans="1:13" ht="38.25">
      <c r="A5619" s="313" t="str">
        <f t="shared" si="87"/>
        <v>ProductCode_wine</v>
      </c>
      <c r="B5619" s="330"/>
      <c r="C5619" s="334"/>
      <c r="D5619" s="188" t="s">
        <v>28836</v>
      </c>
      <c r="E5619" s="189" t="s">
        <v>28837</v>
      </c>
      <c r="F5619" s="162" t="s">
        <v>28838</v>
      </c>
      <c r="G5619" s="162" t="s">
        <v>28839</v>
      </c>
      <c r="H5619" s="219"/>
      <c r="I5619" s="169">
        <v>106583</v>
      </c>
      <c r="J5619" s="304" t="str">
        <f>CONCATENATE([2]Cover!$D$6,"fdd/view?i=",I5619)</f>
        <v>https://www.dgiwg.org/FAD/fdd/view?i=106583</v>
      </c>
      <c r="K5619" s="304" t="s">
        <v>39668</v>
      </c>
      <c r="L5619" s="188">
        <v>123</v>
      </c>
      <c r="M5619" s="179" t="s">
        <v>151</v>
      </c>
    </row>
    <row r="5620" spans="1:13" ht="25.5">
      <c r="A5620" s="313" t="str">
        <f t="shared" si="87"/>
        <v>ProductCode_zinc</v>
      </c>
      <c r="B5620" s="331"/>
      <c r="C5620" s="335"/>
      <c r="D5620" s="181" t="s">
        <v>28840</v>
      </c>
      <c r="E5620" s="192" t="s">
        <v>28841</v>
      </c>
      <c r="F5620" s="193" t="s">
        <v>28842</v>
      </c>
      <c r="G5620" s="193" t="s">
        <v>28843</v>
      </c>
      <c r="H5620" s="220"/>
      <c r="I5620" s="169">
        <v>106586</v>
      </c>
      <c r="J5620" s="304" t="str">
        <f>CONCATENATE([2]Cover!$D$6,"fdd/view?i=",I5620)</f>
        <v>https://www.dgiwg.org/FAD/fdd/view?i=106586</v>
      </c>
      <c r="K5620" s="304" t="s">
        <v>39669</v>
      </c>
      <c r="L5620" s="181">
        <v>126</v>
      </c>
      <c r="M5620" s="179" t="s">
        <v>151</v>
      </c>
    </row>
    <row r="5621" spans="1:13" ht="25.5">
      <c r="A5621" s="313" t="str">
        <f t="shared" si="87"/>
        <v>PylonConfigurationCode_shapedLikeA</v>
      </c>
      <c r="B5621" s="332" t="str">
        <f>HYPERLINK("[#]Datatypes!A1063:L1063","PylonConfigurationCode")</f>
        <v>PylonConfigurationCode</v>
      </c>
      <c r="C5621" s="333" t="s">
        <v>12660</v>
      </c>
      <c r="D5621" s="202" t="s">
        <v>28844</v>
      </c>
      <c r="E5621" s="225" t="s">
        <v>28845</v>
      </c>
      <c r="F5621" s="204" t="s">
        <v>28846</v>
      </c>
      <c r="G5621" s="205"/>
      <c r="H5621" s="218"/>
      <c r="I5621" s="169">
        <v>112428</v>
      </c>
      <c r="J5621" s="304" t="str">
        <f>CONCATENATE([2]Cover!$D$6,"fdd/view?i=",I5621)</f>
        <v>https://www.dgiwg.org/FAD/fdd/view?i=112428</v>
      </c>
      <c r="K5621" s="304" t="s">
        <v>39670</v>
      </c>
      <c r="L5621" s="202">
        <v>1</v>
      </c>
      <c r="M5621" s="179" t="s">
        <v>151</v>
      </c>
    </row>
    <row r="5622" spans="1:13" ht="25.5">
      <c r="A5622" s="313" t="str">
        <f t="shared" si="87"/>
        <v>PylonConfigurationCode_shapedLikeH</v>
      </c>
      <c r="B5622" s="330"/>
      <c r="C5622" s="334"/>
      <c r="D5622" s="188" t="s">
        <v>28847</v>
      </c>
      <c r="E5622" s="226" t="s">
        <v>28848</v>
      </c>
      <c r="F5622" s="162" t="s">
        <v>28849</v>
      </c>
      <c r="G5622" s="190"/>
      <c r="H5622" s="219"/>
      <c r="I5622" s="169">
        <v>112430</v>
      </c>
      <c r="J5622" s="304" t="str">
        <f>CONCATENATE([2]Cover!$D$6,"fdd/view?i=",I5622)</f>
        <v>https://www.dgiwg.org/FAD/fdd/view?i=112430</v>
      </c>
      <c r="K5622" s="304" t="s">
        <v>39671</v>
      </c>
      <c r="L5622" s="188">
        <v>2</v>
      </c>
      <c r="M5622" s="179" t="s">
        <v>151</v>
      </c>
    </row>
    <row r="5623" spans="1:13" ht="25.5">
      <c r="A5623" s="313" t="str">
        <f t="shared" si="87"/>
        <v>PylonConfigurationCode_shapedLikeI</v>
      </c>
      <c r="B5623" s="330"/>
      <c r="C5623" s="334"/>
      <c r="D5623" s="188" t="s">
        <v>28850</v>
      </c>
      <c r="E5623" s="226" t="s">
        <v>28851</v>
      </c>
      <c r="F5623" s="162" t="s">
        <v>28852</v>
      </c>
      <c r="G5623" s="162" t="s">
        <v>28853</v>
      </c>
      <c r="H5623" s="219"/>
      <c r="I5623" s="169">
        <v>112432</v>
      </c>
      <c r="J5623" s="304" t="str">
        <f>CONCATENATE([2]Cover!$D$6,"fdd/view?i=",I5623)</f>
        <v>https://www.dgiwg.org/FAD/fdd/view?i=112432</v>
      </c>
      <c r="K5623" s="304" t="s">
        <v>39672</v>
      </c>
      <c r="L5623" s="188">
        <v>3</v>
      </c>
      <c r="M5623" s="179" t="s">
        <v>151</v>
      </c>
    </row>
    <row r="5624" spans="1:13" ht="25.5">
      <c r="A5624" s="313" t="str">
        <f t="shared" si="87"/>
        <v>PylonConfigurationCode_shapedLikeT</v>
      </c>
      <c r="B5624" s="330"/>
      <c r="C5624" s="334"/>
      <c r="D5624" s="188" t="s">
        <v>23231</v>
      </c>
      <c r="E5624" s="226" t="s">
        <v>28854</v>
      </c>
      <c r="F5624" s="162" t="s">
        <v>28855</v>
      </c>
      <c r="G5624" s="162" t="s">
        <v>28856</v>
      </c>
      <c r="H5624" s="219"/>
      <c r="I5624" s="169">
        <v>112436</v>
      </c>
      <c r="J5624" s="304" t="str">
        <f>CONCATENATE([2]Cover!$D$6,"fdd/view?i=",I5624)</f>
        <v>https://www.dgiwg.org/FAD/fdd/view?i=112436</v>
      </c>
      <c r="K5624" s="304" t="s">
        <v>39673</v>
      </c>
      <c r="L5624" s="188">
        <v>5</v>
      </c>
      <c r="M5624" s="179" t="s">
        <v>151</v>
      </c>
    </row>
    <row r="5625" spans="1:13" ht="25.5">
      <c r="A5625" s="313" t="str">
        <f t="shared" si="87"/>
        <v>PylonConfigurationCode_shapedLikeY</v>
      </c>
      <c r="B5625" s="331"/>
      <c r="C5625" s="335"/>
      <c r="D5625" s="181" t="s">
        <v>28857</v>
      </c>
      <c r="E5625" s="227" t="s">
        <v>28858</v>
      </c>
      <c r="F5625" s="193" t="s">
        <v>28859</v>
      </c>
      <c r="G5625" s="194"/>
      <c r="H5625" s="220"/>
      <c r="I5625" s="169">
        <v>112434</v>
      </c>
      <c r="J5625" s="304" t="str">
        <f>CONCATENATE([2]Cover!$D$6,"fdd/view?i=",I5625)</f>
        <v>https://www.dgiwg.org/FAD/fdd/view?i=112434</v>
      </c>
      <c r="K5625" s="304" t="s">
        <v>39674</v>
      </c>
      <c r="L5625" s="181">
        <v>4</v>
      </c>
      <c r="M5625" s="179" t="s">
        <v>151</v>
      </c>
    </row>
    <row r="5626" spans="1:13" ht="25.5">
      <c r="A5626" s="313" t="str">
        <f t="shared" si="87"/>
        <v>PylonMaterialCode_aluminum</v>
      </c>
      <c r="B5626" s="332" t="str">
        <f>HYPERLINK("[#]Datatypes!A1065:L1065","PylonMaterialCode")</f>
        <v>PylonMaterialCode</v>
      </c>
      <c r="C5626" s="333" t="s">
        <v>12662</v>
      </c>
      <c r="D5626" s="202" t="s">
        <v>28335</v>
      </c>
      <c r="E5626" s="203" t="s">
        <v>28336</v>
      </c>
      <c r="F5626" s="204" t="s">
        <v>28337</v>
      </c>
      <c r="G5626" s="205"/>
      <c r="H5626" s="218"/>
      <c r="I5626" s="169">
        <v>110294</v>
      </c>
      <c r="J5626" s="304" t="str">
        <f>CONCATENATE([2]Cover!$D$6,"fdd/view?i=",I5626)</f>
        <v>https://www.dgiwg.org/FAD/fdd/view?i=110294</v>
      </c>
      <c r="K5626" s="304" t="s">
        <v>39675</v>
      </c>
      <c r="L5626" s="202">
        <v>1</v>
      </c>
      <c r="M5626" s="179" t="s">
        <v>151</v>
      </c>
    </row>
    <row r="5627" spans="1:13" ht="38.25">
      <c r="A5627" s="313" t="str">
        <f t="shared" si="87"/>
        <v>PylonMaterialCode_concrete</v>
      </c>
      <c r="B5627" s="330"/>
      <c r="C5627" s="334"/>
      <c r="D5627" s="188" t="s">
        <v>15093</v>
      </c>
      <c r="E5627" s="189" t="s">
        <v>15094</v>
      </c>
      <c r="F5627" s="162" t="s">
        <v>18089</v>
      </c>
      <c r="G5627" s="190"/>
      <c r="H5627" s="219"/>
      <c r="I5627" s="169">
        <v>110296</v>
      </c>
      <c r="J5627" s="304" t="str">
        <f>CONCATENATE([2]Cover!$D$6,"fdd/view?i=",I5627)</f>
        <v>https://www.dgiwg.org/FAD/fdd/view?i=110296</v>
      </c>
      <c r="K5627" s="304" t="s">
        <v>39676</v>
      </c>
      <c r="L5627" s="188">
        <v>3</v>
      </c>
      <c r="M5627" s="179" t="s">
        <v>151</v>
      </c>
    </row>
    <row r="5628" spans="1:13" ht="38.25">
      <c r="A5628" s="313" t="str">
        <f t="shared" si="87"/>
        <v>PylonMaterialCode_fibreglass</v>
      </c>
      <c r="B5628" s="330"/>
      <c r="C5628" s="334"/>
      <c r="D5628" s="188" t="s">
        <v>28376</v>
      </c>
      <c r="E5628" s="189" t="s">
        <v>28377</v>
      </c>
      <c r="F5628" s="162" t="s">
        <v>28378</v>
      </c>
      <c r="G5628" s="190"/>
      <c r="H5628" s="219"/>
      <c r="I5628" s="169">
        <v>110742</v>
      </c>
      <c r="J5628" s="304" t="str">
        <f>CONCATENATE([2]Cover!$D$6,"fdd/view?i=",I5628)</f>
        <v>https://www.dgiwg.org/FAD/fdd/view?i=110742</v>
      </c>
      <c r="K5628" s="304" t="s">
        <v>39677</v>
      </c>
      <c r="L5628" s="188">
        <v>9</v>
      </c>
      <c r="M5628" s="179" t="s">
        <v>151</v>
      </c>
    </row>
    <row r="5629" spans="1:13" ht="38.25">
      <c r="A5629" s="313" t="str">
        <f t="shared" si="87"/>
        <v>PylonMaterialCode_iron</v>
      </c>
      <c r="B5629" s="330"/>
      <c r="C5629" s="334"/>
      <c r="D5629" s="188" t="s">
        <v>28410</v>
      </c>
      <c r="E5629" s="189" t="s">
        <v>28411</v>
      </c>
      <c r="F5629" s="162" t="s">
        <v>28412</v>
      </c>
      <c r="G5629" s="162" t="s">
        <v>28413</v>
      </c>
      <c r="H5629" s="219"/>
      <c r="I5629" s="169">
        <v>112784</v>
      </c>
      <c r="J5629" s="304" t="str">
        <f>CONCATENATE([2]Cover!$D$6,"fdd/view?i=",I5629)</f>
        <v>https://www.dgiwg.org/FAD/fdd/view?i=112784</v>
      </c>
      <c r="K5629" s="304" t="s">
        <v>39678</v>
      </c>
      <c r="L5629" s="188">
        <v>10</v>
      </c>
      <c r="M5629" s="179" t="s">
        <v>151</v>
      </c>
    </row>
    <row r="5630" spans="1:13" ht="51">
      <c r="A5630" s="313" t="str">
        <f t="shared" si="87"/>
        <v>PylonMaterialCode_masonry</v>
      </c>
      <c r="B5630" s="330"/>
      <c r="C5630" s="334"/>
      <c r="D5630" s="188" t="s">
        <v>18096</v>
      </c>
      <c r="E5630" s="189" t="s">
        <v>18097</v>
      </c>
      <c r="F5630" s="162" t="s">
        <v>18098</v>
      </c>
      <c r="G5630" s="190"/>
      <c r="H5630" s="221" t="s">
        <v>18099</v>
      </c>
      <c r="I5630" s="169">
        <v>110297</v>
      </c>
      <c r="J5630" s="304" t="str">
        <f>CONCATENATE([2]Cover!$D$6,"fdd/view?i=",I5630)</f>
        <v>https://www.dgiwg.org/FAD/fdd/view?i=110297</v>
      </c>
      <c r="K5630" s="304" t="s">
        <v>39679</v>
      </c>
      <c r="L5630" s="188">
        <v>4</v>
      </c>
      <c r="M5630" s="179" t="s">
        <v>151</v>
      </c>
    </row>
    <row r="5631" spans="1:13" ht="38.25">
      <c r="A5631" s="313" t="str">
        <f t="shared" si="87"/>
        <v>PylonMaterialCode_metal</v>
      </c>
      <c r="B5631" s="330"/>
      <c r="C5631" s="334"/>
      <c r="D5631" s="188" t="s">
        <v>22444</v>
      </c>
      <c r="E5631" s="189" t="s">
        <v>22445</v>
      </c>
      <c r="F5631" s="162" t="s">
        <v>28434</v>
      </c>
      <c r="G5631" s="162" t="s">
        <v>28860</v>
      </c>
      <c r="H5631" s="219"/>
      <c r="I5631" s="169">
        <v>110298</v>
      </c>
      <c r="J5631" s="304" t="str">
        <f>CONCATENATE([2]Cover!$D$6,"fdd/view?i=",I5631)</f>
        <v>https://www.dgiwg.org/FAD/fdd/view?i=110298</v>
      </c>
      <c r="K5631" s="304" t="s">
        <v>39680</v>
      </c>
      <c r="L5631" s="188">
        <v>5</v>
      </c>
      <c r="M5631" s="179" t="s">
        <v>151</v>
      </c>
    </row>
    <row r="5632" spans="1:13" ht="38.25">
      <c r="A5632" s="313" t="str">
        <f t="shared" si="87"/>
        <v>PylonMaterialCode_steel</v>
      </c>
      <c r="B5632" s="330"/>
      <c r="C5632" s="334"/>
      <c r="D5632" s="188" t="s">
        <v>28517</v>
      </c>
      <c r="E5632" s="189" t="s">
        <v>28518</v>
      </c>
      <c r="F5632" s="162" t="s">
        <v>28519</v>
      </c>
      <c r="G5632" s="162" t="s">
        <v>28861</v>
      </c>
      <c r="H5632" s="219"/>
      <c r="I5632" s="169">
        <v>110741</v>
      </c>
      <c r="J5632" s="304" t="str">
        <f>CONCATENATE([2]Cover!$D$6,"fdd/view?i=",I5632)</f>
        <v>https://www.dgiwg.org/FAD/fdd/view?i=110741</v>
      </c>
      <c r="K5632" s="304" t="s">
        <v>39681</v>
      </c>
      <c r="L5632" s="188">
        <v>8</v>
      </c>
      <c r="M5632" s="179" t="s">
        <v>151</v>
      </c>
    </row>
    <row r="5633" spans="1:13" ht="38.25">
      <c r="A5633" s="313" t="str">
        <f t="shared" si="87"/>
        <v>PylonMaterialCode_wood</v>
      </c>
      <c r="B5633" s="331"/>
      <c r="C5633" s="335"/>
      <c r="D5633" s="181" t="s">
        <v>15149</v>
      </c>
      <c r="E5633" s="192" t="s">
        <v>15150</v>
      </c>
      <c r="F5633" s="193" t="s">
        <v>28539</v>
      </c>
      <c r="G5633" s="193" t="s">
        <v>28540</v>
      </c>
      <c r="H5633" s="220"/>
      <c r="I5633" s="169">
        <v>110300</v>
      </c>
      <c r="J5633" s="304" t="str">
        <f>CONCATENATE([2]Cover!$D$6,"fdd/view?i=",I5633)</f>
        <v>https://www.dgiwg.org/FAD/fdd/view?i=110300</v>
      </c>
      <c r="K5633" s="304" t="s">
        <v>39682</v>
      </c>
      <c r="L5633" s="181">
        <v>7</v>
      </c>
      <c r="M5633" s="179" t="s">
        <v>151</v>
      </c>
    </row>
    <row r="5634" spans="1:13" ht="63.75">
      <c r="A5634" s="313" t="str">
        <f t="shared" si="87"/>
        <v>RacingTypeCode_bicycle</v>
      </c>
      <c r="B5634" s="332" t="str">
        <f>HYPERLINK("[#]Datatypes!A1067:L1067","RacingTypeCode")</f>
        <v>RacingTypeCode</v>
      </c>
      <c r="C5634" s="333" t="s">
        <v>12664</v>
      </c>
      <c r="D5634" s="202" t="s">
        <v>28862</v>
      </c>
      <c r="E5634" s="203" t="s">
        <v>28863</v>
      </c>
      <c r="F5634" s="204" t="s">
        <v>28864</v>
      </c>
      <c r="G5634" s="204" t="s">
        <v>28865</v>
      </c>
      <c r="H5634" s="222" t="s">
        <v>28866</v>
      </c>
      <c r="I5634" s="169">
        <v>118902</v>
      </c>
      <c r="J5634" s="304" t="str">
        <f>CONCATENATE([2]Cover!$D$6,"fdd/view?i=",I5634)</f>
        <v>https://www.dgiwg.org/FAD/fdd/view?i=118902</v>
      </c>
      <c r="K5634" s="304" t="s">
        <v>39683</v>
      </c>
      <c r="L5634" s="202">
        <v>1</v>
      </c>
      <c r="M5634" s="179" t="s">
        <v>151</v>
      </c>
    </row>
    <row r="5635" spans="1:13" ht="51">
      <c r="A5635" s="313" t="str">
        <f t="shared" ref="A5635:A5698" si="88">HYPERLINK(J5635,K5635)</f>
        <v>RacingTypeCode_camel</v>
      </c>
      <c r="B5635" s="330"/>
      <c r="C5635" s="334"/>
      <c r="D5635" s="188" t="s">
        <v>28867</v>
      </c>
      <c r="E5635" s="189" t="s">
        <v>28868</v>
      </c>
      <c r="F5635" s="162" t="s">
        <v>28869</v>
      </c>
      <c r="G5635" s="162" t="s">
        <v>28870</v>
      </c>
      <c r="H5635" s="219"/>
      <c r="I5635" s="169">
        <v>118903</v>
      </c>
      <c r="J5635" s="304" t="str">
        <f>CONCATENATE([2]Cover!$D$6,"fdd/view?i=",I5635)</f>
        <v>https://www.dgiwg.org/FAD/fdd/view?i=118903</v>
      </c>
      <c r="K5635" s="304" t="s">
        <v>39684</v>
      </c>
      <c r="L5635" s="188">
        <v>2</v>
      </c>
      <c r="M5635" s="179" t="s">
        <v>151</v>
      </c>
    </row>
    <row r="5636" spans="1:13" ht="38.25">
      <c r="A5636" s="313" t="str">
        <f t="shared" si="88"/>
        <v>RacingTypeCode_greyhound</v>
      </c>
      <c r="B5636" s="330"/>
      <c r="C5636" s="334"/>
      <c r="D5636" s="188" t="s">
        <v>28871</v>
      </c>
      <c r="E5636" s="189" t="s">
        <v>28872</v>
      </c>
      <c r="F5636" s="162" t="s">
        <v>28873</v>
      </c>
      <c r="G5636" s="162" t="s">
        <v>28874</v>
      </c>
      <c r="H5636" s="219"/>
      <c r="I5636" s="169">
        <v>118904</v>
      </c>
      <c r="J5636" s="304" t="str">
        <f>CONCATENATE([2]Cover!$D$6,"fdd/view?i=",I5636)</f>
        <v>https://www.dgiwg.org/FAD/fdd/view?i=118904</v>
      </c>
      <c r="K5636" s="304" t="s">
        <v>39685</v>
      </c>
      <c r="L5636" s="188">
        <v>3</v>
      </c>
      <c r="M5636" s="179" t="s">
        <v>151</v>
      </c>
    </row>
    <row r="5637" spans="1:13" ht="25.5">
      <c r="A5637" s="313" t="str">
        <f t="shared" si="88"/>
        <v>RacingTypeCode_harness</v>
      </c>
      <c r="B5637" s="330"/>
      <c r="C5637" s="334"/>
      <c r="D5637" s="188" t="s">
        <v>28875</v>
      </c>
      <c r="E5637" s="189" t="s">
        <v>28876</v>
      </c>
      <c r="F5637" s="162" t="s">
        <v>28877</v>
      </c>
      <c r="G5637" s="190"/>
      <c r="H5637" s="221" t="s">
        <v>28878</v>
      </c>
      <c r="I5637" s="169">
        <v>118905</v>
      </c>
      <c r="J5637" s="304" t="str">
        <f>CONCATENATE([2]Cover!$D$6,"fdd/view?i=",I5637)</f>
        <v>https://www.dgiwg.org/FAD/fdd/view?i=118905</v>
      </c>
      <c r="K5637" s="304" t="s">
        <v>39686</v>
      </c>
      <c r="L5637" s="188">
        <v>4</v>
      </c>
      <c r="M5637" s="179" t="s">
        <v>151</v>
      </c>
    </row>
    <row r="5638" spans="1:13" ht="51">
      <c r="A5638" s="313" t="str">
        <f t="shared" si="88"/>
        <v>RacingTypeCode_horse</v>
      </c>
      <c r="B5638" s="330"/>
      <c r="C5638" s="334"/>
      <c r="D5638" s="188" t="s">
        <v>28879</v>
      </c>
      <c r="E5638" s="189" t="s">
        <v>28880</v>
      </c>
      <c r="F5638" s="162" t="s">
        <v>28881</v>
      </c>
      <c r="G5638" s="162" t="s">
        <v>28882</v>
      </c>
      <c r="H5638" s="221" t="s">
        <v>28883</v>
      </c>
      <c r="I5638" s="169">
        <v>118906</v>
      </c>
      <c r="J5638" s="304" t="str">
        <f>CONCATENATE([2]Cover!$D$6,"fdd/view?i=",I5638)</f>
        <v>https://www.dgiwg.org/FAD/fdd/view?i=118906</v>
      </c>
      <c r="K5638" s="304" t="s">
        <v>39687</v>
      </c>
      <c r="L5638" s="188">
        <v>5</v>
      </c>
      <c r="M5638" s="179" t="s">
        <v>151</v>
      </c>
    </row>
    <row r="5639" spans="1:13" ht="38.25">
      <c r="A5639" s="313" t="str">
        <f t="shared" si="88"/>
        <v>RacingTypeCode_iceSkate</v>
      </c>
      <c r="B5639" s="330"/>
      <c r="C5639" s="334"/>
      <c r="D5639" s="188" t="s">
        <v>28884</v>
      </c>
      <c r="E5639" s="189" t="s">
        <v>28885</v>
      </c>
      <c r="F5639" s="162" t="s">
        <v>28886</v>
      </c>
      <c r="G5639" s="162" t="s">
        <v>28887</v>
      </c>
      <c r="H5639" s="219"/>
      <c r="I5639" s="169">
        <v>118907</v>
      </c>
      <c r="J5639" s="304" t="str">
        <f>CONCATENATE([2]Cover!$D$6,"fdd/view?i=",I5639)</f>
        <v>https://www.dgiwg.org/FAD/fdd/view?i=118907</v>
      </c>
      <c r="K5639" s="304" t="s">
        <v>39688</v>
      </c>
      <c r="L5639" s="188">
        <v>6</v>
      </c>
      <c r="M5639" s="179" t="s">
        <v>151</v>
      </c>
    </row>
    <row r="5640" spans="1:13" ht="51">
      <c r="A5640" s="313" t="str">
        <f t="shared" si="88"/>
        <v>RacingTypeCode_motorVehicle</v>
      </c>
      <c r="B5640" s="330"/>
      <c r="C5640" s="334"/>
      <c r="D5640" s="188" t="s">
        <v>28714</v>
      </c>
      <c r="E5640" s="189" t="s">
        <v>28715</v>
      </c>
      <c r="F5640" s="162" t="s">
        <v>28888</v>
      </c>
      <c r="G5640" s="162" t="s">
        <v>28889</v>
      </c>
      <c r="H5640" s="219"/>
      <c r="I5640" s="169">
        <v>118908</v>
      </c>
      <c r="J5640" s="304" t="str">
        <f>CONCATENATE([2]Cover!$D$6,"fdd/view?i=",I5640)</f>
        <v>https://www.dgiwg.org/FAD/fdd/view?i=118908</v>
      </c>
      <c r="K5640" s="304" t="s">
        <v>39689</v>
      </c>
      <c r="L5640" s="188">
        <v>7</v>
      </c>
      <c r="M5640" s="179" t="s">
        <v>151</v>
      </c>
    </row>
    <row r="5641" spans="1:13" ht="76.5">
      <c r="A5641" s="313" t="str">
        <f t="shared" si="88"/>
        <v>RacingTypeCode_rollerSkate</v>
      </c>
      <c r="B5641" s="330"/>
      <c r="C5641" s="334"/>
      <c r="D5641" s="188" t="s">
        <v>28890</v>
      </c>
      <c r="E5641" s="189" t="s">
        <v>28891</v>
      </c>
      <c r="F5641" s="162" t="s">
        <v>28892</v>
      </c>
      <c r="G5641" s="162" t="s">
        <v>28893</v>
      </c>
      <c r="H5641" s="219"/>
      <c r="I5641" s="169">
        <v>118909</v>
      </c>
      <c r="J5641" s="304" t="str">
        <f>CONCATENATE([2]Cover!$D$6,"fdd/view?i=",I5641)</f>
        <v>https://www.dgiwg.org/FAD/fdd/view?i=118909</v>
      </c>
      <c r="K5641" s="304" t="s">
        <v>39690</v>
      </c>
      <c r="L5641" s="188">
        <v>8</v>
      </c>
      <c r="M5641" s="179" t="s">
        <v>151</v>
      </c>
    </row>
    <row r="5642" spans="1:13" ht="25.5">
      <c r="A5642" s="313" t="str">
        <f t="shared" si="88"/>
        <v>RacingTypeCode_trackAndField</v>
      </c>
      <c r="B5642" s="331"/>
      <c r="C5642" s="335"/>
      <c r="D5642" s="181" t="s">
        <v>28894</v>
      </c>
      <c r="E5642" s="192" t="s">
        <v>28895</v>
      </c>
      <c r="F5642" s="193" t="s">
        <v>28896</v>
      </c>
      <c r="G5642" s="194"/>
      <c r="H5642" s="220"/>
      <c r="I5642" s="169">
        <v>118910</v>
      </c>
      <c r="J5642" s="304" t="str">
        <f>CONCATENATE([2]Cover!$D$6,"fdd/view?i=",I5642)</f>
        <v>https://www.dgiwg.org/FAD/fdd/view?i=118910</v>
      </c>
      <c r="K5642" s="304" t="s">
        <v>39691</v>
      </c>
      <c r="L5642" s="181">
        <v>9</v>
      </c>
      <c r="M5642" s="179" t="s">
        <v>151</v>
      </c>
    </row>
    <row r="5643" spans="1:13" ht="76.5">
      <c r="A5643" s="313" t="str">
        <f t="shared" si="88"/>
        <v>RacingVehicleTypeCode_formulaOneCar</v>
      </c>
      <c r="B5643" s="332" t="str">
        <f>HYPERLINK("[#]Datatypes!A1069:L1069","RacingVehicleTypeCode")</f>
        <v>RacingVehicleTypeCode</v>
      </c>
      <c r="C5643" s="333" t="s">
        <v>12666</v>
      </c>
      <c r="D5643" s="202" t="s">
        <v>28897</v>
      </c>
      <c r="E5643" s="203" t="s">
        <v>28898</v>
      </c>
      <c r="F5643" s="204" t="s">
        <v>28899</v>
      </c>
      <c r="G5643" s="204" t="s">
        <v>28900</v>
      </c>
      <c r="H5643" s="218"/>
      <c r="I5643" s="169">
        <v>118897</v>
      </c>
      <c r="J5643" s="304" t="str">
        <f>CONCATENATE([2]Cover!$D$6,"fdd/view?i=",I5643)</f>
        <v>https://www.dgiwg.org/FAD/fdd/view?i=118897</v>
      </c>
      <c r="K5643" s="304" t="s">
        <v>39692</v>
      </c>
      <c r="L5643" s="202">
        <v>1</v>
      </c>
      <c r="M5643" s="179" t="s">
        <v>151</v>
      </c>
    </row>
    <row r="5644" spans="1:13" ht="38.25">
      <c r="A5644" s="313" t="str">
        <f t="shared" si="88"/>
        <v>RacingVehicleTypeCode_indyCar</v>
      </c>
      <c r="B5644" s="330"/>
      <c r="C5644" s="334"/>
      <c r="D5644" s="188" t="s">
        <v>28901</v>
      </c>
      <c r="E5644" s="189" t="s">
        <v>28902</v>
      </c>
      <c r="F5644" s="162" t="s">
        <v>28903</v>
      </c>
      <c r="G5644" s="162" t="s">
        <v>28904</v>
      </c>
      <c r="H5644" s="219"/>
      <c r="I5644" s="169">
        <v>118898</v>
      </c>
      <c r="J5644" s="304" t="str">
        <f>CONCATENATE([2]Cover!$D$6,"fdd/view?i=",I5644)</f>
        <v>https://www.dgiwg.org/FAD/fdd/view?i=118898</v>
      </c>
      <c r="K5644" s="304" t="s">
        <v>39693</v>
      </c>
      <c r="L5644" s="188">
        <v>2</v>
      </c>
      <c r="M5644" s="179" t="s">
        <v>151</v>
      </c>
    </row>
    <row r="5645" spans="1:13" ht="38.25">
      <c r="A5645" s="313" t="str">
        <f t="shared" si="88"/>
        <v>RacingVehicleTypeCode_motorcycle</v>
      </c>
      <c r="B5645" s="330"/>
      <c r="C5645" s="334"/>
      <c r="D5645" s="188" t="s">
        <v>28905</v>
      </c>
      <c r="E5645" s="189" t="s">
        <v>28906</v>
      </c>
      <c r="F5645" s="162" t="s">
        <v>28907</v>
      </c>
      <c r="G5645" s="162" t="s">
        <v>28908</v>
      </c>
      <c r="H5645" s="219"/>
      <c r="I5645" s="169">
        <v>118899</v>
      </c>
      <c r="J5645" s="304" t="str">
        <f>CONCATENATE([2]Cover!$D$6,"fdd/view?i=",I5645)</f>
        <v>https://www.dgiwg.org/FAD/fdd/view?i=118899</v>
      </c>
      <c r="K5645" s="304" t="s">
        <v>39694</v>
      </c>
      <c r="L5645" s="188">
        <v>3</v>
      </c>
      <c r="M5645" s="179" t="s">
        <v>151</v>
      </c>
    </row>
    <row r="5646" spans="1:13" ht="76.5">
      <c r="A5646" s="313" t="str">
        <f t="shared" si="88"/>
        <v>RacingVehicleTypeCode_pickupTruck</v>
      </c>
      <c r="B5646" s="330"/>
      <c r="C5646" s="334"/>
      <c r="D5646" s="188" t="s">
        <v>28909</v>
      </c>
      <c r="E5646" s="189" t="s">
        <v>28910</v>
      </c>
      <c r="F5646" s="162" t="s">
        <v>28911</v>
      </c>
      <c r="G5646" s="162" t="s">
        <v>28912</v>
      </c>
      <c r="H5646" s="219"/>
      <c r="I5646" s="169">
        <v>118900</v>
      </c>
      <c r="J5646" s="304" t="str">
        <f>CONCATENATE([2]Cover!$D$6,"fdd/view?i=",I5646)</f>
        <v>https://www.dgiwg.org/FAD/fdd/view?i=118900</v>
      </c>
      <c r="K5646" s="304" t="s">
        <v>39695</v>
      </c>
      <c r="L5646" s="188">
        <v>4</v>
      </c>
      <c r="M5646" s="179" t="s">
        <v>151</v>
      </c>
    </row>
    <row r="5647" spans="1:13" ht="76.5">
      <c r="A5647" s="313" t="str">
        <f t="shared" si="88"/>
        <v>RacingVehicleTypeCode_stockCar</v>
      </c>
      <c r="B5647" s="331"/>
      <c r="C5647" s="335"/>
      <c r="D5647" s="181" t="s">
        <v>28913</v>
      </c>
      <c r="E5647" s="192" t="s">
        <v>28914</v>
      </c>
      <c r="F5647" s="193" t="s">
        <v>28915</v>
      </c>
      <c r="G5647" s="193" t="s">
        <v>28916</v>
      </c>
      <c r="H5647" s="220"/>
      <c r="I5647" s="169">
        <v>118901</v>
      </c>
      <c r="J5647" s="304" t="str">
        <f>CONCATENATE([2]Cover!$D$6,"fdd/view?i=",I5647)</f>
        <v>https://www.dgiwg.org/FAD/fdd/view?i=118901</v>
      </c>
      <c r="K5647" s="304" t="s">
        <v>39696</v>
      </c>
      <c r="L5647" s="181">
        <v>5</v>
      </c>
      <c r="M5647" s="179" t="s">
        <v>151</v>
      </c>
    </row>
    <row r="5648" spans="1:13" ht="25.5">
      <c r="A5648" s="313" t="str">
        <f t="shared" si="88"/>
        <v>RadarAntennaConfigurationCode_domeEnclosed</v>
      </c>
      <c r="B5648" s="332" t="str">
        <f>HYPERLINK("[#]Datatypes!A1071:L1071","RadarAntennaConfigurationCode")</f>
        <v>RadarAntennaConfigurationCode</v>
      </c>
      <c r="C5648" s="333" t="s">
        <v>12668</v>
      </c>
      <c r="D5648" s="202" t="s">
        <v>28917</v>
      </c>
      <c r="E5648" s="203" t="s">
        <v>28918</v>
      </c>
      <c r="F5648" s="204" t="s">
        <v>28919</v>
      </c>
      <c r="G5648" s="205"/>
      <c r="H5648" s="218"/>
      <c r="I5648" s="169">
        <v>108666</v>
      </c>
      <c r="J5648" s="304" t="str">
        <f>CONCATENATE([2]Cover!$D$6,"fdd/view?i=",I5648)</f>
        <v>https://www.dgiwg.org/FAD/fdd/view?i=108666</v>
      </c>
      <c r="K5648" s="304" t="s">
        <v>39697</v>
      </c>
      <c r="L5648" s="202">
        <v>1</v>
      </c>
      <c r="M5648" s="179" t="s">
        <v>151</v>
      </c>
    </row>
    <row r="5649" spans="1:13" ht="38.25">
      <c r="A5649" s="313" t="str">
        <f t="shared" si="88"/>
        <v>RadarAntennaConfigurationCode_mastMounted</v>
      </c>
      <c r="B5649" s="330"/>
      <c r="C5649" s="334"/>
      <c r="D5649" s="188" t="s">
        <v>28920</v>
      </c>
      <c r="E5649" s="189" t="s">
        <v>28921</v>
      </c>
      <c r="F5649" s="162" t="s">
        <v>28922</v>
      </c>
      <c r="G5649" s="190"/>
      <c r="H5649" s="219"/>
      <c r="I5649" s="169">
        <v>108667</v>
      </c>
      <c r="J5649" s="304" t="str">
        <f>CONCATENATE([2]Cover!$D$6,"fdd/view?i=",I5649)</f>
        <v>https://www.dgiwg.org/FAD/fdd/view?i=108667</v>
      </c>
      <c r="K5649" s="304" t="s">
        <v>39698</v>
      </c>
      <c r="L5649" s="188">
        <v>2</v>
      </c>
      <c r="M5649" s="179" t="s">
        <v>151</v>
      </c>
    </row>
    <row r="5650" spans="1:13" ht="25.5">
      <c r="A5650" s="313" t="str">
        <f t="shared" si="88"/>
        <v>RadarAntennaConfigurationCode_radome</v>
      </c>
      <c r="B5650" s="330"/>
      <c r="C5650" s="334"/>
      <c r="D5650" s="188" t="s">
        <v>28923</v>
      </c>
      <c r="E5650" s="189" t="s">
        <v>28924</v>
      </c>
      <c r="F5650" s="162" t="s">
        <v>28925</v>
      </c>
      <c r="G5650" s="162" t="s">
        <v>28926</v>
      </c>
      <c r="H5650" s="219"/>
      <c r="I5650" s="169">
        <v>108668</v>
      </c>
      <c r="J5650" s="304" t="str">
        <f>CONCATENATE([2]Cover!$D$6,"fdd/view?i=",I5650)</f>
        <v>https://www.dgiwg.org/FAD/fdd/view?i=108668</v>
      </c>
      <c r="K5650" s="304" t="s">
        <v>39699</v>
      </c>
      <c r="L5650" s="188">
        <v>3</v>
      </c>
      <c r="M5650" s="179" t="s">
        <v>151</v>
      </c>
    </row>
    <row r="5651" spans="1:13" ht="38.25">
      <c r="A5651" s="313" t="str">
        <f t="shared" si="88"/>
        <v>RadarAntennaConfigurationCode_radomeOnTower</v>
      </c>
      <c r="B5651" s="330"/>
      <c r="C5651" s="334"/>
      <c r="D5651" s="188" t="s">
        <v>28927</v>
      </c>
      <c r="E5651" s="189" t="s">
        <v>28928</v>
      </c>
      <c r="F5651" s="162" t="s">
        <v>28929</v>
      </c>
      <c r="G5651" s="190"/>
      <c r="H5651" s="219"/>
      <c r="I5651" s="169">
        <v>108921</v>
      </c>
      <c r="J5651" s="304" t="str">
        <f>CONCATENATE([2]Cover!$D$6,"fdd/view?i=",I5651)</f>
        <v>https://www.dgiwg.org/FAD/fdd/view?i=108921</v>
      </c>
      <c r="K5651" s="304" t="s">
        <v>39700</v>
      </c>
      <c r="L5651" s="188">
        <v>4</v>
      </c>
      <c r="M5651" s="179" t="s">
        <v>151</v>
      </c>
    </row>
    <row r="5652" spans="1:13" ht="25.5">
      <c r="A5652" s="313" t="str">
        <f t="shared" si="88"/>
        <v>RadarAntennaConfigurationCode_scanner</v>
      </c>
      <c r="B5652" s="330"/>
      <c r="C5652" s="334"/>
      <c r="D5652" s="188" t="s">
        <v>28930</v>
      </c>
      <c r="E5652" s="189" t="s">
        <v>28931</v>
      </c>
      <c r="F5652" s="162" t="s">
        <v>28932</v>
      </c>
      <c r="G5652" s="162" t="s">
        <v>28933</v>
      </c>
      <c r="H5652" s="219"/>
      <c r="I5652" s="169">
        <v>108922</v>
      </c>
      <c r="J5652" s="304" t="str">
        <f>CONCATENATE([2]Cover!$D$6,"fdd/view?i=",I5652)</f>
        <v>https://www.dgiwg.org/FAD/fdd/view?i=108922</v>
      </c>
      <c r="K5652" s="304" t="s">
        <v>39701</v>
      </c>
      <c r="L5652" s="188">
        <v>5</v>
      </c>
      <c r="M5652" s="179" t="s">
        <v>151</v>
      </c>
    </row>
    <row r="5653" spans="1:13" ht="25.5">
      <c r="A5653" s="313" t="str">
        <f t="shared" si="88"/>
        <v>RadarAntennaConfigurationCode_towerMounted</v>
      </c>
      <c r="B5653" s="331"/>
      <c r="C5653" s="335"/>
      <c r="D5653" s="181" t="s">
        <v>28934</v>
      </c>
      <c r="E5653" s="192" t="s">
        <v>28935</v>
      </c>
      <c r="F5653" s="193" t="s">
        <v>28936</v>
      </c>
      <c r="G5653" s="194"/>
      <c r="H5653" s="220"/>
      <c r="I5653" s="169">
        <v>108923</v>
      </c>
      <c r="J5653" s="304" t="str">
        <f>CONCATENATE([2]Cover!$D$6,"fdd/view?i=",I5653)</f>
        <v>https://www.dgiwg.org/FAD/fdd/view?i=108923</v>
      </c>
      <c r="K5653" s="304" t="s">
        <v>39702</v>
      </c>
      <c r="L5653" s="181">
        <v>6</v>
      </c>
      <c r="M5653" s="179" t="s">
        <v>151</v>
      </c>
    </row>
    <row r="5654" spans="1:13" ht="38.25">
      <c r="A5654" s="313" t="str">
        <f t="shared" si="88"/>
        <v>RadarSignificanceCode_asphalt</v>
      </c>
      <c r="B5654" s="332" t="str">
        <f>HYPERLINK("[#]Datatypes!A1073:L1073","RadarSignificanceCode")</f>
        <v>RadarSignificanceCode</v>
      </c>
      <c r="C5654" s="333" t="s">
        <v>12670</v>
      </c>
      <c r="D5654" s="202" t="s">
        <v>15076</v>
      </c>
      <c r="E5654" s="203" t="s">
        <v>15077</v>
      </c>
      <c r="F5654" s="204" t="s">
        <v>28937</v>
      </c>
      <c r="G5654" s="204" t="s">
        <v>28938</v>
      </c>
      <c r="H5654" s="218"/>
      <c r="I5654" s="169">
        <v>202776</v>
      </c>
      <c r="J5654" s="304" t="str">
        <f>CONCATENATE([2]Cover!$D$6,"fdd/view?i=",I5654)</f>
        <v>https://www.dgiwg.org/FAD/fdd/view?i=202776</v>
      </c>
      <c r="K5654" s="304" t="s">
        <v>39703</v>
      </c>
      <c r="L5654" s="202">
        <v>14</v>
      </c>
      <c r="M5654" s="179" t="s">
        <v>1295</v>
      </c>
    </row>
    <row r="5655" spans="1:13" ht="102">
      <c r="A5655" s="313" t="str">
        <f t="shared" si="88"/>
        <v>RadarSignificanceCode_composition</v>
      </c>
      <c r="B5655" s="330"/>
      <c r="C5655" s="334"/>
      <c r="D5655" s="188" t="s">
        <v>28939</v>
      </c>
      <c r="E5655" s="189" t="s">
        <v>28940</v>
      </c>
      <c r="F5655" s="162" t="s">
        <v>28941</v>
      </c>
      <c r="G5655" s="162" t="s">
        <v>28942</v>
      </c>
      <c r="H5655" s="219"/>
      <c r="I5655" s="169">
        <v>202766</v>
      </c>
      <c r="J5655" s="304" t="str">
        <f>CONCATENATE([2]Cover!$D$6,"fdd/view?i=",I5655)</f>
        <v>https://www.dgiwg.org/FAD/fdd/view?i=202766</v>
      </c>
      <c r="K5655" s="304" t="s">
        <v>39704</v>
      </c>
      <c r="L5655" s="188">
        <v>4</v>
      </c>
      <c r="M5655" s="179" t="s">
        <v>1295</v>
      </c>
    </row>
    <row r="5656" spans="1:13" ht="38.25">
      <c r="A5656" s="313" t="str">
        <f t="shared" si="88"/>
        <v>RadarSignificanceCode_concrete</v>
      </c>
      <c r="B5656" s="330"/>
      <c r="C5656" s="334"/>
      <c r="D5656" s="188" t="s">
        <v>15093</v>
      </c>
      <c r="E5656" s="189" t="s">
        <v>15094</v>
      </c>
      <c r="F5656" s="162" t="s">
        <v>28943</v>
      </c>
      <c r="G5656" s="162" t="s">
        <v>28938</v>
      </c>
      <c r="H5656" s="219"/>
      <c r="I5656" s="169">
        <v>202771</v>
      </c>
      <c r="J5656" s="304" t="str">
        <f>CONCATENATE([2]Cover!$D$6,"fdd/view?i=",I5656)</f>
        <v>https://www.dgiwg.org/FAD/fdd/view?i=202771</v>
      </c>
      <c r="K5656" s="304" t="s">
        <v>39705</v>
      </c>
      <c r="L5656" s="188">
        <v>9</v>
      </c>
      <c r="M5656" s="179" t="s">
        <v>1295</v>
      </c>
    </row>
    <row r="5657" spans="1:13" ht="63.75">
      <c r="A5657" s="313" t="str">
        <f t="shared" si="88"/>
        <v>RadarSignificanceCode_earthen</v>
      </c>
      <c r="B5657" s="330"/>
      <c r="C5657" s="334"/>
      <c r="D5657" s="188" t="s">
        <v>15101</v>
      </c>
      <c r="E5657" s="189" t="s">
        <v>15102</v>
      </c>
      <c r="F5657" s="162" t="s">
        <v>28944</v>
      </c>
      <c r="G5657" s="162" t="s">
        <v>28945</v>
      </c>
      <c r="H5657" s="219"/>
      <c r="I5657" s="169">
        <v>202767</v>
      </c>
      <c r="J5657" s="304" t="str">
        <f>CONCATENATE([2]Cover!$D$6,"fdd/view?i=",I5657)</f>
        <v>https://www.dgiwg.org/FAD/fdd/view?i=202767</v>
      </c>
      <c r="K5657" s="304" t="s">
        <v>39706</v>
      </c>
      <c r="L5657" s="188">
        <v>5</v>
      </c>
      <c r="M5657" s="179" t="s">
        <v>1295</v>
      </c>
    </row>
    <row r="5658" spans="1:13" ht="38.25">
      <c r="A5658" s="313" t="str">
        <f t="shared" si="88"/>
        <v>RadarSignificanceCode_frozenWater</v>
      </c>
      <c r="B5658" s="330"/>
      <c r="C5658" s="334"/>
      <c r="D5658" s="188" t="s">
        <v>28383</v>
      </c>
      <c r="E5658" s="189" t="s">
        <v>28384</v>
      </c>
      <c r="F5658" s="162" t="s">
        <v>28946</v>
      </c>
      <c r="G5658" s="162" t="s">
        <v>28947</v>
      </c>
      <c r="H5658" s="219"/>
      <c r="I5658" s="169">
        <v>202775</v>
      </c>
      <c r="J5658" s="304" t="str">
        <f>CONCATENATE([2]Cover!$D$6,"fdd/view?i=",I5658)</f>
        <v>https://www.dgiwg.org/FAD/fdd/view?i=202775</v>
      </c>
      <c r="K5658" s="304" t="s">
        <v>39707</v>
      </c>
      <c r="L5658" s="188">
        <v>13</v>
      </c>
      <c r="M5658" s="179" t="s">
        <v>1295</v>
      </c>
    </row>
    <row r="5659" spans="1:13" ht="63.75">
      <c r="A5659" s="313" t="str">
        <f t="shared" si="88"/>
        <v>RadarSignificanceCode_marsh</v>
      </c>
      <c r="B5659" s="330"/>
      <c r="C5659" s="334"/>
      <c r="D5659" s="188" t="s">
        <v>28948</v>
      </c>
      <c r="E5659" s="189" t="s">
        <v>3146</v>
      </c>
      <c r="F5659" s="162" t="s">
        <v>28949</v>
      </c>
      <c r="G5659" s="162" t="s">
        <v>28950</v>
      </c>
      <c r="H5659" s="219"/>
      <c r="I5659" s="169">
        <v>202773</v>
      </c>
      <c r="J5659" s="304" t="str">
        <f>CONCATENATE([2]Cover!$D$6,"fdd/view?i=",I5659)</f>
        <v>https://www.dgiwg.org/FAD/fdd/view?i=202773</v>
      </c>
      <c r="K5659" s="304" t="s">
        <v>39708</v>
      </c>
      <c r="L5659" s="188">
        <v>11</v>
      </c>
      <c r="M5659" s="179" t="s">
        <v>1295</v>
      </c>
    </row>
    <row r="5660" spans="1:13" ht="76.5">
      <c r="A5660" s="313" t="str">
        <f t="shared" si="88"/>
        <v>RadarSignificanceCode_masonry</v>
      </c>
      <c r="B5660" s="330"/>
      <c r="C5660" s="334"/>
      <c r="D5660" s="188" t="s">
        <v>18096</v>
      </c>
      <c r="E5660" s="189" t="s">
        <v>18097</v>
      </c>
      <c r="F5660" s="162" t="s">
        <v>28951</v>
      </c>
      <c r="G5660" s="162" t="s">
        <v>28952</v>
      </c>
      <c r="H5660" s="221" t="s">
        <v>18099</v>
      </c>
      <c r="I5660" s="169">
        <v>202765</v>
      </c>
      <c r="J5660" s="304" t="str">
        <f>CONCATENATE([2]Cover!$D$6,"fdd/view?i=",I5660)</f>
        <v>https://www.dgiwg.org/FAD/fdd/view?i=202765</v>
      </c>
      <c r="K5660" s="304" t="s">
        <v>39709</v>
      </c>
      <c r="L5660" s="188">
        <v>3</v>
      </c>
      <c r="M5660" s="179" t="s">
        <v>1295</v>
      </c>
    </row>
    <row r="5661" spans="1:13" ht="89.25">
      <c r="A5661" s="313" t="str">
        <f t="shared" si="88"/>
        <v>RadarSignificanceCode_metal</v>
      </c>
      <c r="B5661" s="330"/>
      <c r="C5661" s="334"/>
      <c r="D5661" s="188" t="s">
        <v>22444</v>
      </c>
      <c r="E5661" s="189" t="s">
        <v>22445</v>
      </c>
      <c r="F5661" s="162" t="s">
        <v>28953</v>
      </c>
      <c r="G5661" s="162" t="s">
        <v>28954</v>
      </c>
      <c r="H5661" s="219"/>
      <c r="I5661" s="169">
        <v>202763</v>
      </c>
      <c r="J5661" s="304" t="str">
        <f>CONCATENATE([2]Cover!$D$6,"fdd/view?i=",I5661)</f>
        <v>https://www.dgiwg.org/FAD/fdd/view?i=202763</v>
      </c>
      <c r="K5661" s="304" t="s">
        <v>39710</v>
      </c>
      <c r="L5661" s="188">
        <v>1</v>
      </c>
      <c r="M5661" s="179" t="s">
        <v>1295</v>
      </c>
    </row>
    <row r="5662" spans="1:13" ht="51">
      <c r="A5662" s="313" t="str">
        <f t="shared" si="88"/>
        <v>RadarSignificanceCode_partMetal</v>
      </c>
      <c r="B5662" s="330"/>
      <c r="C5662" s="334"/>
      <c r="D5662" s="188" t="s">
        <v>28955</v>
      </c>
      <c r="E5662" s="189" t="s">
        <v>28956</v>
      </c>
      <c r="F5662" s="162" t="s">
        <v>28957</v>
      </c>
      <c r="G5662" s="162" t="s">
        <v>28958</v>
      </c>
      <c r="H5662" s="219"/>
      <c r="I5662" s="169">
        <v>202764</v>
      </c>
      <c r="J5662" s="304" t="str">
        <f>CONCATENATE([2]Cover!$D$6,"fdd/view?i=",I5662)</f>
        <v>https://www.dgiwg.org/FAD/fdd/view?i=202764</v>
      </c>
      <c r="K5662" s="304" t="s">
        <v>39711</v>
      </c>
      <c r="L5662" s="188">
        <v>2</v>
      </c>
      <c r="M5662" s="179" t="s">
        <v>1295</v>
      </c>
    </row>
    <row r="5663" spans="1:13" ht="51">
      <c r="A5663" s="313" t="str">
        <f t="shared" si="88"/>
        <v>RadarSignificanceCode_rocky</v>
      </c>
      <c r="B5663" s="330"/>
      <c r="C5663" s="334"/>
      <c r="D5663" s="188" t="s">
        <v>28293</v>
      </c>
      <c r="E5663" s="189" t="s">
        <v>28294</v>
      </c>
      <c r="F5663" s="162" t="s">
        <v>28959</v>
      </c>
      <c r="G5663" s="190"/>
      <c r="H5663" s="219"/>
      <c r="I5663" s="169">
        <v>202770</v>
      </c>
      <c r="J5663" s="304" t="str">
        <f>CONCATENATE([2]Cover!$D$6,"fdd/view?i=",I5663)</f>
        <v>https://www.dgiwg.org/FAD/fdd/view?i=202770</v>
      </c>
      <c r="K5663" s="304" t="s">
        <v>39712</v>
      </c>
      <c r="L5663" s="188">
        <v>8</v>
      </c>
      <c r="M5663" s="179" t="s">
        <v>1295</v>
      </c>
    </row>
    <row r="5664" spans="1:13" ht="38.25">
      <c r="A5664" s="313" t="str">
        <f t="shared" si="88"/>
        <v>RadarSignificanceCode_sandy</v>
      </c>
      <c r="B5664" s="330"/>
      <c r="C5664" s="334"/>
      <c r="D5664" s="188" t="s">
        <v>28960</v>
      </c>
      <c r="E5664" s="189" t="s">
        <v>28961</v>
      </c>
      <c r="F5664" s="162" t="s">
        <v>28962</v>
      </c>
      <c r="G5664" s="162" t="s">
        <v>28963</v>
      </c>
      <c r="H5664" s="219"/>
      <c r="I5664" s="169">
        <v>202769</v>
      </c>
      <c r="J5664" s="304" t="str">
        <f>CONCATENATE([2]Cover!$D$6,"fdd/view?i=",I5664)</f>
        <v>https://www.dgiwg.org/FAD/fdd/view?i=202769</v>
      </c>
      <c r="K5664" s="304" t="s">
        <v>39713</v>
      </c>
      <c r="L5664" s="188">
        <v>7</v>
      </c>
      <c r="M5664" s="179" t="s">
        <v>1295</v>
      </c>
    </row>
    <row r="5665" spans="1:13" ht="38.25">
      <c r="A5665" s="313" t="str">
        <f t="shared" si="88"/>
        <v>RadarSignificanceCode_soil</v>
      </c>
      <c r="B5665" s="330"/>
      <c r="C5665" s="334"/>
      <c r="D5665" s="188" t="s">
        <v>18127</v>
      </c>
      <c r="E5665" s="189" t="s">
        <v>18128</v>
      </c>
      <c r="F5665" s="162" t="s">
        <v>28964</v>
      </c>
      <c r="G5665" s="190"/>
      <c r="H5665" s="219"/>
      <c r="I5665" s="169">
        <v>202772</v>
      </c>
      <c r="J5665" s="304" t="str">
        <f>CONCATENATE([2]Cover!$D$6,"fdd/view?i=",I5665)</f>
        <v>https://www.dgiwg.org/FAD/fdd/view?i=202772</v>
      </c>
      <c r="K5665" s="304" t="s">
        <v>39714</v>
      </c>
      <c r="L5665" s="188">
        <v>10</v>
      </c>
      <c r="M5665" s="179" t="s">
        <v>1295</v>
      </c>
    </row>
    <row r="5666" spans="1:13" ht="25.5">
      <c r="A5666" s="313" t="str">
        <f t="shared" si="88"/>
        <v>RadarSignificanceCode_trees</v>
      </c>
      <c r="B5666" s="330"/>
      <c r="C5666" s="334"/>
      <c r="D5666" s="188" t="s">
        <v>28965</v>
      </c>
      <c r="E5666" s="189" t="s">
        <v>28966</v>
      </c>
      <c r="F5666" s="162" t="s">
        <v>28967</v>
      </c>
      <c r="G5666" s="190"/>
      <c r="H5666" s="219"/>
      <c r="I5666" s="169">
        <v>202774</v>
      </c>
      <c r="J5666" s="304" t="str">
        <f>CONCATENATE([2]Cover!$D$6,"fdd/view?i=",I5666)</f>
        <v>https://www.dgiwg.org/FAD/fdd/view?i=202774</v>
      </c>
      <c r="K5666" s="304" t="s">
        <v>39715</v>
      </c>
      <c r="L5666" s="188">
        <v>12</v>
      </c>
      <c r="M5666" s="179" t="s">
        <v>1295</v>
      </c>
    </row>
    <row r="5667" spans="1:13">
      <c r="A5667" s="313" t="str">
        <f t="shared" si="88"/>
        <v>RadarSignificanceCode_water</v>
      </c>
      <c r="B5667" s="331"/>
      <c r="C5667" s="335"/>
      <c r="D5667" s="181" t="s">
        <v>15146</v>
      </c>
      <c r="E5667" s="192" t="s">
        <v>15147</v>
      </c>
      <c r="F5667" s="193" t="s">
        <v>28968</v>
      </c>
      <c r="G5667" s="194"/>
      <c r="H5667" s="220"/>
      <c r="I5667" s="169">
        <v>202768</v>
      </c>
      <c r="J5667" s="304" t="str">
        <f>CONCATENATE([2]Cover!$D$6,"fdd/view?i=",I5667)</f>
        <v>https://www.dgiwg.org/FAD/fdd/view?i=202768</v>
      </c>
      <c r="K5667" s="304" t="s">
        <v>39716</v>
      </c>
      <c r="L5667" s="181">
        <v>6</v>
      </c>
      <c r="M5667" s="179" t="s">
        <v>1295</v>
      </c>
    </row>
    <row r="5668" spans="1:13" ht="38.25">
      <c r="A5668" s="313" t="str">
        <f t="shared" si="88"/>
        <v>RadarStationFunctionCode_aerodromeGroundSurveillance</v>
      </c>
      <c r="B5668" s="332" t="str">
        <f>HYPERLINK("[#]Datatypes!A1075:L1075","RadarStationFunctionCode")</f>
        <v>RadarStationFunctionCode</v>
      </c>
      <c r="C5668" s="333" t="s">
        <v>12672</v>
      </c>
      <c r="D5668" s="202" t="s">
        <v>28969</v>
      </c>
      <c r="E5668" s="203" t="s">
        <v>28970</v>
      </c>
      <c r="F5668" s="204" t="s">
        <v>28971</v>
      </c>
      <c r="G5668" s="204" t="s">
        <v>28972</v>
      </c>
      <c r="H5668" s="218"/>
      <c r="I5668" s="169">
        <v>207950</v>
      </c>
      <c r="J5668" s="304" t="str">
        <f>CONCATENATE([2]Cover!$D$6,"fdd/view?i=",I5668)</f>
        <v>https://www.dgiwg.org/FAD/fdd/view?i=207950</v>
      </c>
      <c r="K5668" s="304" t="s">
        <v>39717</v>
      </c>
      <c r="L5668" s="202">
        <v>11</v>
      </c>
      <c r="M5668" s="179" t="s">
        <v>1295</v>
      </c>
    </row>
    <row r="5669" spans="1:13" ht="38.25">
      <c r="A5669" s="313" t="str">
        <f t="shared" si="88"/>
        <v>RadarStationFunctionCode_aircraftFlightTracking</v>
      </c>
      <c r="B5669" s="330"/>
      <c r="C5669" s="334"/>
      <c r="D5669" s="188" t="s">
        <v>28973</v>
      </c>
      <c r="E5669" s="189" t="s">
        <v>28974</v>
      </c>
      <c r="F5669" s="162" t="s">
        <v>28975</v>
      </c>
      <c r="G5669" s="190"/>
      <c r="H5669" s="219"/>
      <c r="I5669" s="169">
        <v>117956</v>
      </c>
      <c r="J5669" s="304" t="str">
        <f>CONCATENATE([2]Cover!$D$6,"fdd/view?i=",I5669)</f>
        <v>https://www.dgiwg.org/FAD/fdd/view?i=117956</v>
      </c>
      <c r="K5669" s="304" t="s">
        <v>39718</v>
      </c>
      <c r="L5669" s="188">
        <v>8</v>
      </c>
      <c r="M5669" s="179" t="s">
        <v>151</v>
      </c>
    </row>
    <row r="5670" spans="1:13" ht="25.5">
      <c r="A5670" s="313" t="str">
        <f t="shared" si="88"/>
        <v>RadarStationFunctionCode_coastalRadar</v>
      </c>
      <c r="B5670" s="330"/>
      <c r="C5670" s="334"/>
      <c r="D5670" s="188" t="s">
        <v>28976</v>
      </c>
      <c r="E5670" s="189" t="s">
        <v>28977</v>
      </c>
      <c r="F5670" s="162" t="s">
        <v>28978</v>
      </c>
      <c r="G5670" s="190"/>
      <c r="H5670" s="219"/>
      <c r="I5670" s="169">
        <v>107092</v>
      </c>
      <c r="J5670" s="304" t="str">
        <f>CONCATENATE([2]Cover!$D$6,"fdd/view?i=",I5670)</f>
        <v>https://www.dgiwg.org/FAD/fdd/view?i=107092</v>
      </c>
      <c r="K5670" s="304" t="s">
        <v>39719</v>
      </c>
      <c r="L5670" s="188">
        <v>2</v>
      </c>
      <c r="M5670" s="179" t="s">
        <v>151</v>
      </c>
    </row>
    <row r="5671" spans="1:13" ht="25.5">
      <c r="A5671" s="313" t="str">
        <f t="shared" si="88"/>
        <v>RadarStationFunctionCode_earlyWarning</v>
      </c>
      <c r="B5671" s="330"/>
      <c r="C5671" s="334"/>
      <c r="D5671" s="188" t="s">
        <v>28979</v>
      </c>
      <c r="E5671" s="189" t="s">
        <v>28980</v>
      </c>
      <c r="F5671" s="162" t="s">
        <v>28981</v>
      </c>
      <c r="G5671" s="190"/>
      <c r="H5671" s="219"/>
      <c r="I5671" s="169">
        <v>107095</v>
      </c>
      <c r="J5671" s="304" t="str">
        <f>CONCATENATE([2]Cover!$D$6,"fdd/view?i=",I5671)</f>
        <v>https://www.dgiwg.org/FAD/fdd/view?i=107095</v>
      </c>
      <c r="K5671" s="304" t="s">
        <v>39720</v>
      </c>
      <c r="L5671" s="188">
        <v>5</v>
      </c>
      <c r="M5671" s="179" t="s">
        <v>151</v>
      </c>
    </row>
    <row r="5672" spans="1:13" ht="63.75">
      <c r="A5672" s="313" t="str">
        <f t="shared" si="88"/>
        <v>RadarStationFunctionCode_fireControlTracking</v>
      </c>
      <c r="B5672" s="330"/>
      <c r="C5672" s="334"/>
      <c r="D5672" s="188" t="s">
        <v>28982</v>
      </c>
      <c r="E5672" s="189" t="s">
        <v>28983</v>
      </c>
      <c r="F5672" s="162" t="s">
        <v>28984</v>
      </c>
      <c r="G5672" s="190"/>
      <c r="H5672" s="219"/>
      <c r="I5672" s="169">
        <v>117957</v>
      </c>
      <c r="J5672" s="304" t="str">
        <f>CONCATENATE([2]Cover!$D$6,"fdd/view?i=",I5672)</f>
        <v>https://www.dgiwg.org/FAD/fdd/view?i=117957</v>
      </c>
      <c r="K5672" s="304" t="s">
        <v>39721</v>
      </c>
      <c r="L5672" s="188">
        <v>9</v>
      </c>
      <c r="M5672" s="179" t="s">
        <v>151</v>
      </c>
    </row>
    <row r="5673" spans="1:13" ht="63.75">
      <c r="A5673" s="313" t="str">
        <f t="shared" si="88"/>
        <v>RadarStationFunctionCode_generalSurveillance</v>
      </c>
      <c r="B5673" s="330"/>
      <c r="C5673" s="334"/>
      <c r="D5673" s="188" t="s">
        <v>28985</v>
      </c>
      <c r="E5673" s="189" t="s">
        <v>28986</v>
      </c>
      <c r="F5673" s="162" t="s">
        <v>28987</v>
      </c>
      <c r="G5673" s="190"/>
      <c r="H5673" s="219"/>
      <c r="I5673" s="169">
        <v>107091</v>
      </c>
      <c r="J5673" s="304" t="str">
        <f>CONCATENATE([2]Cover!$D$6,"fdd/view?i=",I5673)</f>
        <v>https://www.dgiwg.org/FAD/fdd/view?i=107091</v>
      </c>
      <c r="K5673" s="304" t="s">
        <v>39722</v>
      </c>
      <c r="L5673" s="188">
        <v>1</v>
      </c>
      <c r="M5673" s="179" t="s">
        <v>151</v>
      </c>
    </row>
    <row r="5674" spans="1:13" ht="51">
      <c r="A5674" s="313" t="str">
        <f t="shared" si="88"/>
        <v>RadarStationFunctionCode_launchControlTracking</v>
      </c>
      <c r="B5674" s="330"/>
      <c r="C5674" s="334"/>
      <c r="D5674" s="188" t="s">
        <v>28988</v>
      </c>
      <c r="E5674" s="189" t="s">
        <v>28989</v>
      </c>
      <c r="F5674" s="162" t="s">
        <v>28990</v>
      </c>
      <c r="G5674" s="162" t="s">
        <v>28991</v>
      </c>
      <c r="H5674" s="219"/>
      <c r="I5674" s="169">
        <v>117958</v>
      </c>
      <c r="J5674" s="304" t="str">
        <f>CONCATENATE([2]Cover!$D$6,"fdd/view?i=",I5674)</f>
        <v>https://www.dgiwg.org/FAD/fdd/view?i=117958</v>
      </c>
      <c r="K5674" s="304" t="s">
        <v>39723</v>
      </c>
      <c r="L5674" s="188">
        <v>10</v>
      </c>
      <c r="M5674" s="179" t="s">
        <v>151</v>
      </c>
    </row>
    <row r="5675" spans="1:13" ht="51">
      <c r="A5675" s="313" t="str">
        <f t="shared" si="88"/>
        <v>RadarStationFunctionCode_precisionApproach</v>
      </c>
      <c r="B5675" s="330"/>
      <c r="C5675" s="334"/>
      <c r="D5675" s="188" t="s">
        <v>28992</v>
      </c>
      <c r="E5675" s="189" t="s">
        <v>28993</v>
      </c>
      <c r="F5675" s="162" t="s">
        <v>28994</v>
      </c>
      <c r="G5675" s="162" t="s">
        <v>3474</v>
      </c>
      <c r="H5675" s="219"/>
      <c r="I5675" s="169">
        <v>207951</v>
      </c>
      <c r="J5675" s="304" t="str">
        <f>CONCATENATE([2]Cover!$D$6,"fdd/view?i=",I5675)</f>
        <v>https://www.dgiwg.org/FAD/fdd/view?i=207951</v>
      </c>
      <c r="K5675" s="304" t="s">
        <v>39724</v>
      </c>
      <c r="L5675" s="188">
        <v>12</v>
      </c>
      <c r="M5675" s="179" t="s">
        <v>1295</v>
      </c>
    </row>
    <row r="5676" spans="1:13" ht="25.5">
      <c r="A5676" s="313" t="str">
        <f t="shared" si="88"/>
        <v>RadarStationFunctionCode_satelliteTracking</v>
      </c>
      <c r="B5676" s="330"/>
      <c r="C5676" s="334"/>
      <c r="D5676" s="188" t="s">
        <v>28995</v>
      </c>
      <c r="E5676" s="189" t="s">
        <v>28996</v>
      </c>
      <c r="F5676" s="162" t="s">
        <v>28997</v>
      </c>
      <c r="G5676" s="190"/>
      <c r="H5676" s="219"/>
      <c r="I5676" s="169">
        <v>117955</v>
      </c>
      <c r="J5676" s="304" t="str">
        <f>CONCATENATE([2]Cover!$D$6,"fdd/view?i=",I5676)</f>
        <v>https://www.dgiwg.org/FAD/fdd/view?i=117955</v>
      </c>
      <c r="K5676" s="304" t="s">
        <v>39725</v>
      </c>
      <c r="L5676" s="188">
        <v>7</v>
      </c>
      <c r="M5676" s="179" t="s">
        <v>151</v>
      </c>
    </row>
    <row r="5677" spans="1:13" ht="38.25">
      <c r="A5677" s="313" t="str">
        <f t="shared" si="88"/>
        <v>RadarStationFunctionCode_weather</v>
      </c>
      <c r="B5677" s="331"/>
      <c r="C5677" s="335"/>
      <c r="D5677" s="181" t="s">
        <v>28998</v>
      </c>
      <c r="E5677" s="192" t="s">
        <v>28999</v>
      </c>
      <c r="F5677" s="193" t="s">
        <v>29000</v>
      </c>
      <c r="G5677" s="194"/>
      <c r="H5677" s="220"/>
      <c r="I5677" s="169">
        <v>117954</v>
      </c>
      <c r="J5677" s="304" t="str">
        <f>CONCATENATE([2]Cover!$D$6,"fdd/view?i=",I5677)</f>
        <v>https://www.dgiwg.org/FAD/fdd/view?i=117954</v>
      </c>
      <c r="K5677" s="304" t="s">
        <v>39726</v>
      </c>
      <c r="L5677" s="181">
        <v>6</v>
      </c>
      <c r="M5677" s="179" t="s">
        <v>151</v>
      </c>
    </row>
    <row r="5678" spans="1:13" ht="25.5">
      <c r="A5678" s="313" t="str">
        <f t="shared" si="88"/>
        <v>RadioCommDirectionCode_bidirectional</v>
      </c>
      <c r="B5678" s="332" t="str">
        <f>HYPERLINK("[#]Datatypes!A1077:L1077","RadioCommDirectionCode")</f>
        <v>RadioCommDirectionCode</v>
      </c>
      <c r="C5678" s="333" t="s">
        <v>12674</v>
      </c>
      <c r="D5678" s="202" t="s">
        <v>5684</v>
      </c>
      <c r="E5678" s="203" t="s">
        <v>5685</v>
      </c>
      <c r="F5678" s="204" t="s">
        <v>29001</v>
      </c>
      <c r="G5678" s="205"/>
      <c r="H5678" s="218"/>
      <c r="I5678" s="169">
        <v>116563</v>
      </c>
      <c r="J5678" s="304" t="str">
        <f>CONCATENATE([2]Cover!$D$6,"fdd/view?i=",I5678)</f>
        <v>https://www.dgiwg.org/FAD/fdd/view?i=116563</v>
      </c>
      <c r="K5678" s="304" t="s">
        <v>39727</v>
      </c>
      <c r="L5678" s="202">
        <v>1</v>
      </c>
      <c r="M5678" s="179" t="s">
        <v>151</v>
      </c>
    </row>
    <row r="5679" spans="1:13" ht="25.5">
      <c r="A5679" s="313" t="str">
        <f t="shared" si="88"/>
        <v>RadioCommDirectionCode_downcast</v>
      </c>
      <c r="B5679" s="330"/>
      <c r="C5679" s="334"/>
      <c r="D5679" s="188" t="s">
        <v>29002</v>
      </c>
      <c r="E5679" s="189" t="s">
        <v>29003</v>
      </c>
      <c r="F5679" s="162" t="s">
        <v>29004</v>
      </c>
      <c r="G5679" s="190"/>
      <c r="H5679" s="219"/>
      <c r="I5679" s="169">
        <v>116564</v>
      </c>
      <c r="J5679" s="304" t="str">
        <f>CONCATENATE([2]Cover!$D$6,"fdd/view?i=",I5679)</f>
        <v>https://www.dgiwg.org/FAD/fdd/view?i=116564</v>
      </c>
      <c r="K5679" s="304" t="s">
        <v>39728</v>
      </c>
      <c r="L5679" s="188">
        <v>2</v>
      </c>
      <c r="M5679" s="179" t="s">
        <v>151</v>
      </c>
    </row>
    <row r="5680" spans="1:13" ht="25.5">
      <c r="A5680" s="313" t="str">
        <f t="shared" si="88"/>
        <v>RadioCommDirectionCode_downlink</v>
      </c>
      <c r="B5680" s="330"/>
      <c r="C5680" s="334"/>
      <c r="D5680" s="188" t="s">
        <v>29005</v>
      </c>
      <c r="E5680" s="189" t="s">
        <v>29006</v>
      </c>
      <c r="F5680" s="162" t="s">
        <v>29007</v>
      </c>
      <c r="G5680" s="190"/>
      <c r="H5680" s="219"/>
      <c r="I5680" s="169">
        <v>116565</v>
      </c>
      <c r="J5680" s="304" t="str">
        <f>CONCATENATE([2]Cover!$D$6,"fdd/view?i=",I5680)</f>
        <v>https://www.dgiwg.org/FAD/fdd/view?i=116565</v>
      </c>
      <c r="K5680" s="304" t="s">
        <v>39729</v>
      </c>
      <c r="L5680" s="188">
        <v>3</v>
      </c>
      <c r="M5680" s="179" t="s">
        <v>151</v>
      </c>
    </row>
    <row r="5681" spans="1:13" ht="25.5">
      <c r="A5681" s="313" t="str">
        <f t="shared" si="88"/>
        <v>RadioCommDirectionCode_upcast</v>
      </c>
      <c r="B5681" s="330"/>
      <c r="C5681" s="334"/>
      <c r="D5681" s="188" t="s">
        <v>29008</v>
      </c>
      <c r="E5681" s="189" t="s">
        <v>29009</v>
      </c>
      <c r="F5681" s="162" t="s">
        <v>29010</v>
      </c>
      <c r="G5681" s="190"/>
      <c r="H5681" s="219"/>
      <c r="I5681" s="169">
        <v>116566</v>
      </c>
      <c r="J5681" s="304" t="str">
        <f>CONCATENATE([2]Cover!$D$6,"fdd/view?i=",I5681)</f>
        <v>https://www.dgiwg.org/FAD/fdd/view?i=116566</v>
      </c>
      <c r="K5681" s="304" t="s">
        <v>39730</v>
      </c>
      <c r="L5681" s="188">
        <v>4</v>
      </c>
      <c r="M5681" s="179" t="s">
        <v>151</v>
      </c>
    </row>
    <row r="5682" spans="1:13" ht="25.5">
      <c r="A5682" s="313" t="str">
        <f t="shared" si="88"/>
        <v>RadioCommDirectionCode_uplink</v>
      </c>
      <c r="B5682" s="331"/>
      <c r="C5682" s="335"/>
      <c r="D5682" s="181" t="s">
        <v>29011</v>
      </c>
      <c r="E5682" s="192" t="s">
        <v>29012</v>
      </c>
      <c r="F5682" s="193" t="s">
        <v>29013</v>
      </c>
      <c r="G5682" s="194"/>
      <c r="H5682" s="220"/>
      <c r="I5682" s="169">
        <v>116567</v>
      </c>
      <c r="J5682" s="304" t="str">
        <f>CONCATENATE([2]Cover!$D$6,"fdd/view?i=",I5682)</f>
        <v>https://www.dgiwg.org/FAD/fdd/view?i=116567</v>
      </c>
      <c r="K5682" s="304" t="s">
        <v>39731</v>
      </c>
      <c r="L5682" s="181">
        <v>5</v>
      </c>
      <c r="M5682" s="179" t="s">
        <v>151</v>
      </c>
    </row>
    <row r="5683" spans="1:13" ht="76.5">
      <c r="A5683" s="313" t="str">
        <f t="shared" si="88"/>
        <v>RadioEmissionClassCode_a2</v>
      </c>
      <c r="B5683" s="332" t="str">
        <f>HYPERLINK("[#]Datatypes!A1079:L1079","RadioEmissionClassCode")</f>
        <v>RadioEmissionClassCode</v>
      </c>
      <c r="C5683" s="333" t="s">
        <v>12676</v>
      </c>
      <c r="D5683" s="202" t="s">
        <v>24014</v>
      </c>
      <c r="E5683" s="203" t="s">
        <v>24015</v>
      </c>
      <c r="F5683" s="204" t="s">
        <v>29014</v>
      </c>
      <c r="G5683" s="204" t="s">
        <v>29015</v>
      </c>
      <c r="H5683" s="218"/>
      <c r="I5683" s="169">
        <v>207044</v>
      </c>
      <c r="J5683" s="304" t="str">
        <f>CONCATENATE([2]Cover!$D$6,"fdd/view?i=",I5683)</f>
        <v>https://www.dgiwg.org/FAD/fdd/view?i=207044</v>
      </c>
      <c r="K5683" s="304" t="s">
        <v>39732</v>
      </c>
      <c r="L5683" s="202">
        <v>1</v>
      </c>
      <c r="M5683" s="179" t="s">
        <v>1295</v>
      </c>
    </row>
    <row r="5684" spans="1:13">
      <c r="A5684" s="313" t="str">
        <f t="shared" si="88"/>
        <v>RadioEmissionClassCode_a3A</v>
      </c>
      <c r="B5684" s="330"/>
      <c r="C5684" s="334"/>
      <c r="D5684" s="188" t="s">
        <v>29017</v>
      </c>
      <c r="E5684" s="189" t="s">
        <v>29016</v>
      </c>
      <c r="F5684" s="162" t="s">
        <v>29018</v>
      </c>
      <c r="G5684" s="190"/>
      <c r="H5684" s="219"/>
      <c r="I5684" s="169">
        <v>207045</v>
      </c>
      <c r="J5684" s="304" t="str">
        <f>CONCATENATE([2]Cover!$D$6,"fdd/view?i=",I5684)</f>
        <v>https://www.dgiwg.org/FAD/fdd/view?i=207045</v>
      </c>
      <c r="K5684" s="304" t="s">
        <v>39733</v>
      </c>
      <c r="L5684" s="188">
        <v>2</v>
      </c>
      <c r="M5684" s="179" t="s">
        <v>1295</v>
      </c>
    </row>
    <row r="5685" spans="1:13">
      <c r="A5685" s="313" t="str">
        <f t="shared" si="88"/>
        <v>RadioEmissionClassCode_a3B</v>
      </c>
      <c r="B5685" s="330"/>
      <c r="C5685" s="334"/>
      <c r="D5685" s="188" t="s">
        <v>29020</v>
      </c>
      <c r="E5685" s="189" t="s">
        <v>29019</v>
      </c>
      <c r="F5685" s="162" t="s">
        <v>29021</v>
      </c>
      <c r="G5685" s="190"/>
      <c r="H5685" s="219"/>
      <c r="I5685" s="169">
        <v>207046</v>
      </c>
      <c r="J5685" s="304" t="str">
        <f>CONCATENATE([2]Cover!$D$6,"fdd/view?i=",I5685)</f>
        <v>https://www.dgiwg.org/FAD/fdd/view?i=207046</v>
      </c>
      <c r="K5685" s="304" t="s">
        <v>39734</v>
      </c>
      <c r="L5685" s="188">
        <v>3</v>
      </c>
      <c r="M5685" s="179" t="s">
        <v>1295</v>
      </c>
    </row>
    <row r="5686" spans="1:13" ht="51">
      <c r="A5686" s="313" t="str">
        <f t="shared" si="88"/>
        <v>RadioEmissionClassCode_a3E</v>
      </c>
      <c r="B5686" s="330"/>
      <c r="C5686" s="334"/>
      <c r="D5686" s="188" t="s">
        <v>29023</v>
      </c>
      <c r="E5686" s="189" t="s">
        <v>29022</v>
      </c>
      <c r="F5686" s="162" t="s">
        <v>29024</v>
      </c>
      <c r="G5686" s="162" t="s">
        <v>29025</v>
      </c>
      <c r="H5686" s="219"/>
      <c r="I5686" s="169">
        <v>207047</v>
      </c>
      <c r="J5686" s="304" t="str">
        <f>CONCATENATE([2]Cover!$D$6,"fdd/view?i=",I5686)</f>
        <v>https://www.dgiwg.org/FAD/fdd/view?i=207047</v>
      </c>
      <c r="K5686" s="304" t="s">
        <v>39735</v>
      </c>
      <c r="L5686" s="188">
        <v>4</v>
      </c>
      <c r="M5686" s="179" t="s">
        <v>1295</v>
      </c>
    </row>
    <row r="5687" spans="1:13">
      <c r="A5687" s="313" t="str">
        <f t="shared" si="88"/>
        <v>RadioEmissionClassCode_a3H</v>
      </c>
      <c r="B5687" s="330"/>
      <c r="C5687" s="334"/>
      <c r="D5687" s="188" t="s">
        <v>29027</v>
      </c>
      <c r="E5687" s="189" t="s">
        <v>29026</v>
      </c>
      <c r="F5687" s="162" t="s">
        <v>29028</v>
      </c>
      <c r="G5687" s="190"/>
      <c r="H5687" s="219"/>
      <c r="I5687" s="169">
        <v>207048</v>
      </c>
      <c r="J5687" s="304" t="str">
        <f>CONCATENATE([2]Cover!$D$6,"fdd/view?i=",I5687)</f>
        <v>https://www.dgiwg.org/FAD/fdd/view?i=207048</v>
      </c>
      <c r="K5687" s="304" t="s">
        <v>39736</v>
      </c>
      <c r="L5687" s="188">
        <v>5</v>
      </c>
      <c r="M5687" s="179" t="s">
        <v>1295</v>
      </c>
    </row>
    <row r="5688" spans="1:13">
      <c r="A5688" s="313" t="str">
        <f t="shared" si="88"/>
        <v>RadioEmissionClassCode_a3J</v>
      </c>
      <c r="B5688" s="330"/>
      <c r="C5688" s="334"/>
      <c r="D5688" s="188" t="s">
        <v>29030</v>
      </c>
      <c r="E5688" s="189" t="s">
        <v>29029</v>
      </c>
      <c r="F5688" s="162" t="s">
        <v>29031</v>
      </c>
      <c r="G5688" s="190"/>
      <c r="H5688" s="219"/>
      <c r="I5688" s="169">
        <v>207049</v>
      </c>
      <c r="J5688" s="304" t="str">
        <f>CONCATENATE([2]Cover!$D$6,"fdd/view?i=",I5688)</f>
        <v>https://www.dgiwg.org/FAD/fdd/view?i=207049</v>
      </c>
      <c r="K5688" s="304" t="s">
        <v>39737</v>
      </c>
      <c r="L5688" s="188">
        <v>6</v>
      </c>
      <c r="M5688" s="179" t="s">
        <v>1295</v>
      </c>
    </row>
    <row r="5689" spans="1:13">
      <c r="A5689" s="313" t="str">
        <f t="shared" si="88"/>
        <v>RadioEmissionClassCode_a3L</v>
      </c>
      <c r="B5689" s="330"/>
      <c r="C5689" s="334"/>
      <c r="D5689" s="188" t="s">
        <v>29033</v>
      </c>
      <c r="E5689" s="189" t="s">
        <v>29032</v>
      </c>
      <c r="F5689" s="162" t="s">
        <v>29034</v>
      </c>
      <c r="G5689" s="190"/>
      <c r="H5689" s="219"/>
      <c r="I5689" s="169">
        <v>207050</v>
      </c>
      <c r="J5689" s="304" t="str">
        <f>CONCATENATE([2]Cover!$D$6,"fdd/view?i=",I5689)</f>
        <v>https://www.dgiwg.org/FAD/fdd/view?i=207050</v>
      </c>
      <c r="K5689" s="304" t="s">
        <v>39738</v>
      </c>
      <c r="L5689" s="188">
        <v>7</v>
      </c>
      <c r="M5689" s="179" t="s">
        <v>1295</v>
      </c>
    </row>
    <row r="5690" spans="1:13">
      <c r="A5690" s="313" t="str">
        <f t="shared" si="88"/>
        <v>RadioEmissionClassCode_a3U</v>
      </c>
      <c r="B5690" s="330"/>
      <c r="C5690" s="334"/>
      <c r="D5690" s="188" t="s">
        <v>29036</v>
      </c>
      <c r="E5690" s="189" t="s">
        <v>29035</v>
      </c>
      <c r="F5690" s="162" t="s">
        <v>29037</v>
      </c>
      <c r="G5690" s="190"/>
      <c r="H5690" s="219"/>
      <c r="I5690" s="169">
        <v>207051</v>
      </c>
      <c r="J5690" s="304" t="str">
        <f>CONCATENATE([2]Cover!$D$6,"fdd/view?i=",I5690)</f>
        <v>https://www.dgiwg.org/FAD/fdd/view?i=207051</v>
      </c>
      <c r="K5690" s="304" t="s">
        <v>39739</v>
      </c>
      <c r="L5690" s="188">
        <v>8</v>
      </c>
      <c r="M5690" s="179" t="s">
        <v>1295</v>
      </c>
    </row>
    <row r="5691" spans="1:13" ht="25.5">
      <c r="A5691" s="313" t="str">
        <f t="shared" si="88"/>
        <v>RadioEmissionClassCode_a8W</v>
      </c>
      <c r="B5691" s="330"/>
      <c r="C5691" s="334"/>
      <c r="D5691" s="188" t="s">
        <v>29039</v>
      </c>
      <c r="E5691" s="189" t="s">
        <v>29038</v>
      </c>
      <c r="F5691" s="162" t="s">
        <v>29040</v>
      </c>
      <c r="G5691" s="190"/>
      <c r="H5691" s="219"/>
      <c r="I5691" s="169">
        <v>207052</v>
      </c>
      <c r="J5691" s="304" t="str">
        <f>CONCATENATE([2]Cover!$D$6,"fdd/view?i=",I5691)</f>
        <v>https://www.dgiwg.org/FAD/fdd/view?i=207052</v>
      </c>
      <c r="K5691" s="304" t="s">
        <v>39740</v>
      </c>
      <c r="L5691" s="188">
        <v>9</v>
      </c>
      <c r="M5691" s="179" t="s">
        <v>1295</v>
      </c>
    </row>
    <row r="5692" spans="1:13" ht="25.5">
      <c r="A5692" s="313" t="str">
        <f t="shared" si="88"/>
        <v>RadioEmissionClassCode_a9W</v>
      </c>
      <c r="B5692" s="330"/>
      <c r="C5692" s="334"/>
      <c r="D5692" s="188" t="s">
        <v>29042</v>
      </c>
      <c r="E5692" s="189" t="s">
        <v>29041</v>
      </c>
      <c r="F5692" s="162" t="s">
        <v>29043</v>
      </c>
      <c r="G5692" s="190"/>
      <c r="H5692" s="219"/>
      <c r="I5692" s="169">
        <v>207053</v>
      </c>
      <c r="J5692" s="304" t="str">
        <f>CONCATENATE([2]Cover!$D$6,"fdd/view?i=",I5692)</f>
        <v>https://www.dgiwg.org/FAD/fdd/view?i=207053</v>
      </c>
      <c r="K5692" s="304" t="s">
        <v>39741</v>
      </c>
      <c r="L5692" s="188">
        <v>10</v>
      </c>
      <c r="M5692" s="179" t="s">
        <v>1295</v>
      </c>
    </row>
    <row r="5693" spans="1:13">
      <c r="A5693" s="313" t="str">
        <f t="shared" si="88"/>
        <v>RadioEmissionClassCode_g1D</v>
      </c>
      <c r="B5693" s="330"/>
      <c r="C5693" s="334"/>
      <c r="D5693" s="188" t="s">
        <v>29045</v>
      </c>
      <c r="E5693" s="189" t="s">
        <v>29044</v>
      </c>
      <c r="F5693" s="162" t="s">
        <v>29046</v>
      </c>
      <c r="G5693" s="190"/>
      <c r="H5693" s="219"/>
      <c r="I5693" s="169">
        <v>207054</v>
      </c>
      <c r="J5693" s="304" t="str">
        <f>CONCATENATE([2]Cover!$D$6,"fdd/view?i=",I5693)</f>
        <v>https://www.dgiwg.org/FAD/fdd/view?i=207054</v>
      </c>
      <c r="K5693" s="304" t="s">
        <v>39742</v>
      </c>
      <c r="L5693" s="188">
        <v>11</v>
      </c>
      <c r="M5693" s="179" t="s">
        <v>1295</v>
      </c>
    </row>
    <row r="5694" spans="1:13" ht="25.5">
      <c r="A5694" s="313" t="str">
        <f t="shared" si="88"/>
        <v>RadioEmissionClassCode_j3E</v>
      </c>
      <c r="B5694" s="330"/>
      <c r="C5694" s="334"/>
      <c r="D5694" s="188" t="s">
        <v>29048</v>
      </c>
      <c r="E5694" s="189" t="s">
        <v>29047</v>
      </c>
      <c r="F5694" s="162" t="s">
        <v>29049</v>
      </c>
      <c r="G5694" s="190"/>
      <c r="H5694" s="219"/>
      <c r="I5694" s="169">
        <v>207055</v>
      </c>
      <c r="J5694" s="304" t="str">
        <f>CONCATENATE([2]Cover!$D$6,"fdd/view?i=",I5694)</f>
        <v>https://www.dgiwg.org/FAD/fdd/view?i=207055</v>
      </c>
      <c r="K5694" s="304" t="s">
        <v>39743</v>
      </c>
      <c r="L5694" s="188">
        <v>12</v>
      </c>
      <c r="M5694" s="179" t="s">
        <v>1295</v>
      </c>
    </row>
    <row r="5695" spans="1:13" ht="25.5">
      <c r="A5695" s="313" t="str">
        <f t="shared" si="88"/>
        <v>RadioEmissionClassCode_nonA1A</v>
      </c>
      <c r="B5695" s="330"/>
      <c r="C5695" s="334"/>
      <c r="D5695" s="188" t="s">
        <v>29050</v>
      </c>
      <c r="E5695" s="189" t="s">
        <v>29051</v>
      </c>
      <c r="F5695" s="162" t="s">
        <v>29052</v>
      </c>
      <c r="G5695" s="190"/>
      <c r="H5695" s="219"/>
      <c r="I5695" s="169">
        <v>207056</v>
      </c>
      <c r="J5695" s="304" t="str">
        <f>CONCATENATE([2]Cover!$D$6,"fdd/view?i=",I5695)</f>
        <v>https://www.dgiwg.org/FAD/fdd/view?i=207056</v>
      </c>
      <c r="K5695" s="304" t="s">
        <v>39744</v>
      </c>
      <c r="L5695" s="188">
        <v>13</v>
      </c>
      <c r="M5695" s="179" t="s">
        <v>1295</v>
      </c>
    </row>
    <row r="5696" spans="1:13" ht="25.5">
      <c r="A5696" s="313" t="str">
        <f t="shared" si="88"/>
        <v>RadioEmissionClassCode_nonA2A</v>
      </c>
      <c r="B5696" s="330"/>
      <c r="C5696" s="334"/>
      <c r="D5696" s="188" t="s">
        <v>29053</v>
      </c>
      <c r="E5696" s="189" t="s">
        <v>29054</v>
      </c>
      <c r="F5696" s="162" t="s">
        <v>29055</v>
      </c>
      <c r="G5696" s="190"/>
      <c r="H5696" s="219"/>
      <c r="I5696" s="169">
        <v>207057</v>
      </c>
      <c r="J5696" s="304" t="str">
        <f>CONCATENATE([2]Cover!$D$6,"fdd/view?i=",I5696)</f>
        <v>https://www.dgiwg.org/FAD/fdd/view?i=207057</v>
      </c>
      <c r="K5696" s="304" t="s">
        <v>39745</v>
      </c>
      <c r="L5696" s="188">
        <v>14</v>
      </c>
      <c r="M5696" s="179" t="s">
        <v>1295</v>
      </c>
    </row>
    <row r="5697" spans="1:13">
      <c r="A5697" s="313" t="str">
        <f t="shared" si="88"/>
        <v>RadioEmissionClassCode_nox</v>
      </c>
      <c r="B5697" s="330"/>
      <c r="C5697" s="334"/>
      <c r="D5697" s="188" t="s">
        <v>29057</v>
      </c>
      <c r="E5697" s="189" t="s">
        <v>29056</v>
      </c>
      <c r="F5697" s="162" t="s">
        <v>29058</v>
      </c>
      <c r="G5697" s="190"/>
      <c r="H5697" s="219"/>
      <c r="I5697" s="169">
        <v>207058</v>
      </c>
      <c r="J5697" s="304" t="str">
        <f>CONCATENATE([2]Cover!$D$6,"fdd/view?i=",I5697)</f>
        <v>https://www.dgiwg.org/FAD/fdd/view?i=207058</v>
      </c>
      <c r="K5697" s="304" t="s">
        <v>39746</v>
      </c>
      <c r="L5697" s="188">
        <v>15</v>
      </c>
      <c r="M5697" s="179" t="s">
        <v>1295</v>
      </c>
    </row>
    <row r="5698" spans="1:13">
      <c r="A5698" s="313" t="str">
        <f t="shared" si="88"/>
        <v>RadioEmissionClassCode_pon</v>
      </c>
      <c r="B5698" s="331"/>
      <c r="C5698" s="335"/>
      <c r="D5698" s="181" t="s">
        <v>29060</v>
      </c>
      <c r="E5698" s="192" t="s">
        <v>29059</v>
      </c>
      <c r="F5698" s="193" t="s">
        <v>29061</v>
      </c>
      <c r="G5698" s="194"/>
      <c r="H5698" s="220"/>
      <c r="I5698" s="169">
        <v>207060</v>
      </c>
      <c r="J5698" s="304" t="str">
        <f>CONCATENATE([2]Cover!$D$6,"fdd/view?i=",I5698)</f>
        <v>https://www.dgiwg.org/FAD/fdd/view?i=207060</v>
      </c>
      <c r="K5698" s="304" t="s">
        <v>39747</v>
      </c>
      <c r="L5698" s="181">
        <v>17</v>
      </c>
      <c r="M5698" s="179" t="s">
        <v>1295</v>
      </c>
    </row>
    <row r="5699" spans="1:13" ht="25.5">
      <c r="A5699" s="313" t="str">
        <f t="shared" ref="A5699:A5762" si="89">HYPERLINK(J5699,K5699)</f>
        <v>RadioNavServCoverageTypeCode_actualCoverage</v>
      </c>
      <c r="B5699" s="332" t="str">
        <f>HYPERLINK("[#]Datatypes!A1081:L1081","RadioNavServCoverageTypeCode")</f>
        <v>RadioNavServCoverageTypeCode</v>
      </c>
      <c r="C5699" s="333" t="s">
        <v>12678</v>
      </c>
      <c r="D5699" s="202" t="s">
        <v>29062</v>
      </c>
      <c r="E5699" s="203" t="s">
        <v>29063</v>
      </c>
      <c r="F5699" s="204" t="s">
        <v>29064</v>
      </c>
      <c r="G5699" s="204" t="s">
        <v>29065</v>
      </c>
      <c r="H5699" s="218"/>
      <c r="I5699" s="169">
        <v>115358</v>
      </c>
      <c r="J5699" s="304" t="str">
        <f>CONCATENATE([2]Cover!$D$6,"fdd/view?i=",I5699)</f>
        <v>https://www.dgiwg.org/FAD/fdd/view?i=115358</v>
      </c>
      <c r="K5699" s="304" t="s">
        <v>39748</v>
      </c>
      <c r="L5699" s="202">
        <v>2</v>
      </c>
      <c r="M5699" s="179" t="s">
        <v>151</v>
      </c>
    </row>
    <row r="5700" spans="1:13" ht="25.5">
      <c r="A5700" s="313" t="str">
        <f t="shared" si="89"/>
        <v>RadioNavServCoverageTypeCode_restricted</v>
      </c>
      <c r="B5700" s="330"/>
      <c r="C5700" s="334"/>
      <c r="D5700" s="188" t="s">
        <v>13338</v>
      </c>
      <c r="E5700" s="189" t="s">
        <v>13339</v>
      </c>
      <c r="F5700" s="162" t="s">
        <v>29066</v>
      </c>
      <c r="G5700" s="190"/>
      <c r="H5700" s="219"/>
      <c r="I5700" s="169">
        <v>115359</v>
      </c>
      <c r="J5700" s="304" t="str">
        <f>CONCATENATE([2]Cover!$D$6,"fdd/view?i=",I5700)</f>
        <v>https://www.dgiwg.org/FAD/fdd/view?i=115359</v>
      </c>
      <c r="K5700" s="304" t="s">
        <v>39749</v>
      </c>
      <c r="L5700" s="188">
        <v>3</v>
      </c>
      <c r="M5700" s="179" t="s">
        <v>151</v>
      </c>
    </row>
    <row r="5701" spans="1:13" ht="25.5">
      <c r="A5701" s="313" t="str">
        <f t="shared" si="89"/>
        <v>RadioNavServCoverageTypeCode_theoreticalCoverage</v>
      </c>
      <c r="B5701" s="331"/>
      <c r="C5701" s="335"/>
      <c r="D5701" s="181" t="s">
        <v>29067</v>
      </c>
      <c r="E5701" s="192" t="s">
        <v>29068</v>
      </c>
      <c r="F5701" s="193" t="s">
        <v>29069</v>
      </c>
      <c r="G5701" s="194"/>
      <c r="H5701" s="223" t="s">
        <v>29070</v>
      </c>
      <c r="I5701" s="169">
        <v>115357</v>
      </c>
      <c r="J5701" s="304" t="str">
        <f>CONCATENATE([2]Cover!$D$6,"fdd/view?i=",I5701)</f>
        <v>https://www.dgiwg.org/FAD/fdd/view?i=115357</v>
      </c>
      <c r="K5701" s="304" t="s">
        <v>39750</v>
      </c>
      <c r="L5701" s="181">
        <v>1</v>
      </c>
      <c r="M5701" s="179" t="s">
        <v>151</v>
      </c>
    </row>
    <row r="5702" spans="1:13" ht="25.5">
      <c r="A5702" s="313" t="str">
        <f t="shared" si="89"/>
        <v>RadioNavServLimitationTypeCode_outOfTolerance</v>
      </c>
      <c r="B5702" s="332" t="str">
        <f>HYPERLINK("[#]Datatypes!A1083:L1083","RadioNavServLimitationTypeCode")</f>
        <v>RadioNavServLimitationTypeCode</v>
      </c>
      <c r="C5702" s="333" t="s">
        <v>12680</v>
      </c>
      <c r="D5702" s="202" t="s">
        <v>29071</v>
      </c>
      <c r="E5702" s="203" t="s">
        <v>29072</v>
      </c>
      <c r="F5702" s="204" t="s">
        <v>29073</v>
      </c>
      <c r="G5702" s="205"/>
      <c r="H5702" s="218"/>
      <c r="I5702" s="169">
        <v>115354</v>
      </c>
      <c r="J5702" s="304" t="str">
        <f>CONCATENATE([2]Cover!$D$6,"fdd/view?i=",I5702)</f>
        <v>https://www.dgiwg.org/FAD/fdd/view?i=115354</v>
      </c>
      <c r="K5702" s="304" t="s">
        <v>39751</v>
      </c>
      <c r="L5702" s="202">
        <v>3</v>
      </c>
      <c r="M5702" s="179" t="s">
        <v>151</v>
      </c>
    </row>
    <row r="5703" spans="1:13" ht="51">
      <c r="A5703" s="313" t="str">
        <f t="shared" si="89"/>
        <v>RadioNavServLimitationTypeCode_roughness</v>
      </c>
      <c r="B5703" s="330"/>
      <c r="C5703" s="334"/>
      <c r="D5703" s="188" t="s">
        <v>29074</v>
      </c>
      <c r="E5703" s="189" t="s">
        <v>29075</v>
      </c>
      <c r="F5703" s="162" t="s">
        <v>29076</v>
      </c>
      <c r="G5703" s="162" t="s">
        <v>29077</v>
      </c>
      <c r="H5703" s="219"/>
      <c r="I5703" s="169">
        <v>115355</v>
      </c>
      <c r="J5703" s="304" t="str">
        <f>CONCATENATE([2]Cover!$D$6,"fdd/view?i=",I5703)</f>
        <v>https://www.dgiwg.org/FAD/fdd/view?i=115355</v>
      </c>
      <c r="K5703" s="304" t="s">
        <v>39752</v>
      </c>
      <c r="L5703" s="188">
        <v>4</v>
      </c>
      <c r="M5703" s="179" t="s">
        <v>151</v>
      </c>
    </row>
    <row r="5704" spans="1:13" ht="25.5">
      <c r="A5704" s="313" t="str">
        <f t="shared" si="89"/>
        <v>RadioNavServLimitationTypeCode_scalloping</v>
      </c>
      <c r="B5704" s="330"/>
      <c r="C5704" s="334"/>
      <c r="D5704" s="188" t="s">
        <v>29078</v>
      </c>
      <c r="E5704" s="189" t="s">
        <v>29079</v>
      </c>
      <c r="F5704" s="162" t="s">
        <v>29080</v>
      </c>
      <c r="G5704" s="162" t="s">
        <v>29081</v>
      </c>
      <c r="H5704" s="219"/>
      <c r="I5704" s="169">
        <v>115356</v>
      </c>
      <c r="J5704" s="304" t="str">
        <f>CONCATENATE([2]Cover!$D$6,"fdd/view?i=",I5704)</f>
        <v>https://www.dgiwg.org/FAD/fdd/view?i=115356</v>
      </c>
      <c r="K5704" s="304" t="s">
        <v>39753</v>
      </c>
      <c r="L5704" s="188">
        <v>5</v>
      </c>
      <c r="M5704" s="179" t="s">
        <v>151</v>
      </c>
    </row>
    <row r="5705" spans="1:13" ht="25.5">
      <c r="A5705" s="313" t="str">
        <f t="shared" si="89"/>
        <v>RadioNavServLimitationTypeCode_unreliable</v>
      </c>
      <c r="B5705" s="330"/>
      <c r="C5705" s="334"/>
      <c r="D5705" s="188" t="s">
        <v>29082</v>
      </c>
      <c r="E5705" s="189" t="s">
        <v>29083</v>
      </c>
      <c r="F5705" s="162" t="s">
        <v>29084</v>
      </c>
      <c r="G5705" s="190"/>
      <c r="H5705" s="221" t="s">
        <v>29085</v>
      </c>
      <c r="I5705" s="169">
        <v>115352</v>
      </c>
      <c r="J5705" s="304" t="str">
        <f>CONCATENATE([2]Cover!$D$6,"fdd/view?i=",I5705)</f>
        <v>https://www.dgiwg.org/FAD/fdd/view?i=115352</v>
      </c>
      <c r="K5705" s="304" t="s">
        <v>39754</v>
      </c>
      <c r="L5705" s="188">
        <v>1</v>
      </c>
      <c r="M5705" s="179" t="s">
        <v>151</v>
      </c>
    </row>
    <row r="5706" spans="1:13" ht="25.5">
      <c r="A5706" s="313" t="str">
        <f t="shared" si="89"/>
        <v>RadioNavServLimitationTypeCode_unusable</v>
      </c>
      <c r="B5706" s="331"/>
      <c r="C5706" s="335"/>
      <c r="D5706" s="181" t="s">
        <v>29086</v>
      </c>
      <c r="E5706" s="192" t="s">
        <v>29087</v>
      </c>
      <c r="F5706" s="193" t="s">
        <v>29088</v>
      </c>
      <c r="G5706" s="194"/>
      <c r="H5706" s="223" t="s">
        <v>29089</v>
      </c>
      <c r="I5706" s="169">
        <v>115353</v>
      </c>
      <c r="J5706" s="304" t="str">
        <f>CONCATENATE([2]Cover!$D$6,"fdd/view?i=",I5706)</f>
        <v>https://www.dgiwg.org/FAD/fdd/view?i=115353</v>
      </c>
      <c r="K5706" s="304" t="s">
        <v>39755</v>
      </c>
      <c r="L5706" s="181">
        <v>2</v>
      </c>
      <c r="M5706" s="179" t="s">
        <v>151</v>
      </c>
    </row>
    <row r="5707" spans="1:13">
      <c r="A5707" s="313" t="str">
        <f t="shared" si="89"/>
        <v>RailwayClassCode_branchLine</v>
      </c>
      <c r="B5707" s="332" t="str">
        <f>HYPERLINK("[#]Datatypes!A1085:L1085","RailwayClassCode")</f>
        <v>RailwayClassCode</v>
      </c>
      <c r="C5707" s="333" t="s">
        <v>12682</v>
      </c>
      <c r="D5707" s="202" t="s">
        <v>29090</v>
      </c>
      <c r="E5707" s="203" t="s">
        <v>29091</v>
      </c>
      <c r="F5707" s="204" t="s">
        <v>29092</v>
      </c>
      <c r="G5707" s="204" t="s">
        <v>29093</v>
      </c>
      <c r="H5707" s="218"/>
      <c r="I5707" s="169">
        <v>110399</v>
      </c>
      <c r="J5707" s="304" t="str">
        <f>CONCATENATE([2]Cover!$D$6,"fdd/view?i=",I5707)</f>
        <v>https://www.dgiwg.org/FAD/fdd/view?i=110399</v>
      </c>
      <c r="K5707" s="304" t="s">
        <v>39756</v>
      </c>
      <c r="L5707" s="202">
        <v>3</v>
      </c>
      <c r="M5707" s="179" t="s">
        <v>151</v>
      </c>
    </row>
    <row r="5708" spans="1:13" ht="38.25">
      <c r="A5708" s="313" t="str">
        <f t="shared" si="89"/>
        <v>RailwayClassCode_highSpeedRail</v>
      </c>
      <c r="B5708" s="330"/>
      <c r="C5708" s="334"/>
      <c r="D5708" s="188" t="s">
        <v>29094</v>
      </c>
      <c r="E5708" s="189" t="s">
        <v>29095</v>
      </c>
      <c r="F5708" s="162" t="s">
        <v>29096</v>
      </c>
      <c r="G5708" s="162" t="s">
        <v>29097</v>
      </c>
      <c r="H5708" s="219"/>
      <c r="I5708" s="169">
        <v>110397</v>
      </c>
      <c r="J5708" s="304" t="str">
        <f>CONCATENATE([2]Cover!$D$6,"fdd/view?i=",I5708)</f>
        <v>https://www.dgiwg.org/FAD/fdd/view?i=110397</v>
      </c>
      <c r="K5708" s="304" t="s">
        <v>39757</v>
      </c>
      <c r="L5708" s="188">
        <v>1</v>
      </c>
      <c r="M5708" s="179" t="s">
        <v>151</v>
      </c>
    </row>
    <row r="5709" spans="1:13" ht="51">
      <c r="A5709" s="313" t="str">
        <f t="shared" si="89"/>
        <v>RailwayClassCode_mainLine</v>
      </c>
      <c r="B5709" s="331"/>
      <c r="C5709" s="335"/>
      <c r="D5709" s="181" t="s">
        <v>29098</v>
      </c>
      <c r="E5709" s="192" t="s">
        <v>29099</v>
      </c>
      <c r="F5709" s="193" t="s">
        <v>29100</v>
      </c>
      <c r="G5709" s="193" t="s">
        <v>29101</v>
      </c>
      <c r="H5709" s="220"/>
      <c r="I5709" s="169">
        <v>110398</v>
      </c>
      <c r="J5709" s="304" t="str">
        <f>CONCATENATE([2]Cover!$D$6,"fdd/view?i=",I5709)</f>
        <v>https://www.dgiwg.org/FAD/fdd/view?i=110398</v>
      </c>
      <c r="K5709" s="304" t="s">
        <v>39758</v>
      </c>
      <c r="L5709" s="181">
        <v>2</v>
      </c>
      <c r="M5709" s="179" t="s">
        <v>151</v>
      </c>
    </row>
    <row r="5710" spans="1:13" ht="25.5">
      <c r="A5710" s="313" t="str">
        <f t="shared" si="89"/>
        <v>RailwayGaugeClassCode_broad</v>
      </c>
      <c r="B5710" s="332" t="str">
        <f>HYPERLINK("[#]Datatypes!A1087:L1087","RailwayGaugeClassCode")</f>
        <v>RailwayGaugeClassCode</v>
      </c>
      <c r="C5710" s="333" t="s">
        <v>12684</v>
      </c>
      <c r="D5710" s="202" t="s">
        <v>29102</v>
      </c>
      <c r="E5710" s="203" t="s">
        <v>29103</v>
      </c>
      <c r="F5710" s="204" t="s">
        <v>29104</v>
      </c>
      <c r="G5710" s="205"/>
      <c r="H5710" s="218"/>
      <c r="I5710" s="169">
        <v>107165</v>
      </c>
      <c r="J5710" s="304" t="str">
        <f>CONCATENATE([2]Cover!$D$6,"fdd/view?i=",I5710)</f>
        <v>https://www.dgiwg.org/FAD/fdd/view?i=107165</v>
      </c>
      <c r="K5710" s="304" t="s">
        <v>39759</v>
      </c>
      <c r="L5710" s="202">
        <v>1</v>
      </c>
      <c r="M5710" s="179" t="s">
        <v>151</v>
      </c>
    </row>
    <row r="5711" spans="1:13" ht="25.5">
      <c r="A5711" s="313" t="str">
        <f t="shared" si="89"/>
        <v>RailwayGaugeClassCode_narrow</v>
      </c>
      <c r="B5711" s="330"/>
      <c r="C5711" s="334"/>
      <c r="D5711" s="188" t="s">
        <v>29105</v>
      </c>
      <c r="E5711" s="189" t="s">
        <v>29106</v>
      </c>
      <c r="F5711" s="162" t="s">
        <v>29107</v>
      </c>
      <c r="G5711" s="190"/>
      <c r="H5711" s="219"/>
      <c r="I5711" s="169">
        <v>107166</v>
      </c>
      <c r="J5711" s="304" t="str">
        <f>CONCATENATE([2]Cover!$D$6,"fdd/view?i=",I5711)</f>
        <v>https://www.dgiwg.org/FAD/fdd/view?i=107166</v>
      </c>
      <c r="K5711" s="304" t="s">
        <v>39760</v>
      </c>
      <c r="L5711" s="188">
        <v>2</v>
      </c>
      <c r="M5711" s="179" t="s">
        <v>151</v>
      </c>
    </row>
    <row r="5712" spans="1:13" ht="25.5">
      <c r="A5712" s="313" t="str">
        <f t="shared" si="89"/>
        <v>RailwayGaugeClassCode_standard</v>
      </c>
      <c r="B5712" s="331"/>
      <c r="C5712" s="335"/>
      <c r="D5712" s="181" t="s">
        <v>29108</v>
      </c>
      <c r="E5712" s="192" t="s">
        <v>29109</v>
      </c>
      <c r="F5712" s="193" t="s">
        <v>29110</v>
      </c>
      <c r="G5712" s="193" t="s">
        <v>29111</v>
      </c>
      <c r="H5712" s="220"/>
      <c r="I5712" s="169">
        <v>107167</v>
      </c>
      <c r="J5712" s="304" t="str">
        <f>CONCATENATE([2]Cover!$D$6,"fdd/view?i=",I5712)</f>
        <v>https://www.dgiwg.org/FAD/fdd/view?i=107167</v>
      </c>
      <c r="K5712" s="304" t="s">
        <v>39761</v>
      </c>
      <c r="L5712" s="181">
        <v>3</v>
      </c>
      <c r="M5712" s="179" t="s">
        <v>151</v>
      </c>
    </row>
    <row r="5713" spans="1:13" ht="25.5">
      <c r="A5713" s="313" t="str">
        <f t="shared" si="89"/>
        <v>RailwayPowerMethodCode_electrifiedTrack</v>
      </c>
      <c r="B5713" s="332" t="str">
        <f>HYPERLINK("[#]Datatypes!A1089:L1089","RailwayPowerMethodCode")</f>
        <v>RailwayPowerMethodCode</v>
      </c>
      <c r="C5713" s="333" t="s">
        <v>12686</v>
      </c>
      <c r="D5713" s="202" t="s">
        <v>29112</v>
      </c>
      <c r="E5713" s="203" t="s">
        <v>29113</v>
      </c>
      <c r="F5713" s="204" t="s">
        <v>29114</v>
      </c>
      <c r="G5713" s="205"/>
      <c r="H5713" s="218"/>
      <c r="I5713" s="169">
        <v>107263</v>
      </c>
      <c r="J5713" s="304" t="str">
        <f>CONCATENATE([2]Cover!$D$6,"fdd/view?i=",I5713)</f>
        <v>https://www.dgiwg.org/FAD/fdd/view?i=107263</v>
      </c>
      <c r="K5713" s="304" t="s">
        <v>39762</v>
      </c>
      <c r="L5713" s="202">
        <v>1</v>
      </c>
      <c r="M5713" s="179" t="s">
        <v>151</v>
      </c>
    </row>
    <row r="5714" spans="1:13" ht="25.5">
      <c r="A5714" s="313" t="str">
        <f t="shared" si="89"/>
        <v>RailwayPowerMethodCode_nonElectrified</v>
      </c>
      <c r="B5714" s="330"/>
      <c r="C5714" s="334"/>
      <c r="D5714" s="188" t="s">
        <v>29115</v>
      </c>
      <c r="E5714" s="189" t="s">
        <v>29116</v>
      </c>
      <c r="F5714" s="162" t="s">
        <v>29117</v>
      </c>
      <c r="G5714" s="162" t="s">
        <v>29118</v>
      </c>
      <c r="H5714" s="219"/>
      <c r="I5714" s="169">
        <v>107265</v>
      </c>
      <c r="J5714" s="304" t="str">
        <f>CONCATENATE([2]Cover!$D$6,"fdd/view?i=",I5714)</f>
        <v>https://www.dgiwg.org/FAD/fdd/view?i=107265</v>
      </c>
      <c r="K5714" s="304" t="s">
        <v>39763</v>
      </c>
      <c r="L5714" s="188">
        <v>4</v>
      </c>
      <c r="M5714" s="179" t="s">
        <v>151</v>
      </c>
    </row>
    <row r="5715" spans="1:13" ht="25.5">
      <c r="A5715" s="313" t="str">
        <f t="shared" si="89"/>
        <v>RailwayPowerMethodCode_overheadElectrified</v>
      </c>
      <c r="B5715" s="331"/>
      <c r="C5715" s="335"/>
      <c r="D5715" s="181" t="s">
        <v>29119</v>
      </c>
      <c r="E5715" s="192" t="s">
        <v>29120</v>
      </c>
      <c r="F5715" s="193" t="s">
        <v>29121</v>
      </c>
      <c r="G5715" s="194"/>
      <c r="H5715" s="220"/>
      <c r="I5715" s="169">
        <v>107264</v>
      </c>
      <c r="J5715" s="304" t="str">
        <f>CONCATENATE([2]Cover!$D$6,"fdd/view?i=",I5715)</f>
        <v>https://www.dgiwg.org/FAD/fdd/view?i=107264</v>
      </c>
      <c r="K5715" s="304" t="s">
        <v>39764</v>
      </c>
      <c r="L5715" s="181">
        <v>3</v>
      </c>
      <c r="M5715" s="179" t="s">
        <v>151</v>
      </c>
    </row>
    <row r="5716" spans="1:13" ht="114.75">
      <c r="A5716" s="313" t="str">
        <f t="shared" si="89"/>
        <v>RailwayUseCode_automatedTransitSystem</v>
      </c>
      <c r="B5716" s="332" t="str">
        <f>HYPERLINK("[#]Datatypes!A1091:L1091","RailwayUseCode")</f>
        <v>RailwayUseCode</v>
      </c>
      <c r="C5716" s="333" t="s">
        <v>12688</v>
      </c>
      <c r="D5716" s="202" t="s">
        <v>29122</v>
      </c>
      <c r="E5716" s="203" t="s">
        <v>29123</v>
      </c>
      <c r="F5716" s="204" t="s">
        <v>29124</v>
      </c>
      <c r="G5716" s="204" t="s">
        <v>29125</v>
      </c>
      <c r="H5716" s="222" t="s">
        <v>29126</v>
      </c>
      <c r="I5716" s="169">
        <v>110331</v>
      </c>
      <c r="J5716" s="304" t="str">
        <f>CONCATENATE([2]Cover!$D$6,"fdd/view?i=",I5716)</f>
        <v>https://www.dgiwg.org/FAD/fdd/view?i=110331</v>
      </c>
      <c r="K5716" s="304" t="s">
        <v>39765</v>
      </c>
      <c r="L5716" s="202">
        <v>32</v>
      </c>
      <c r="M5716" s="179" t="s">
        <v>151</v>
      </c>
    </row>
    <row r="5717" spans="1:13">
      <c r="A5717" s="313" t="str">
        <f t="shared" si="89"/>
        <v>RailwayUseCode_carline</v>
      </c>
      <c r="B5717" s="330"/>
      <c r="C5717" s="334"/>
      <c r="D5717" s="188" t="s">
        <v>29127</v>
      </c>
      <c r="E5717" s="189" t="s">
        <v>29128</v>
      </c>
      <c r="F5717" s="162" t="s">
        <v>29129</v>
      </c>
      <c r="G5717" s="190"/>
      <c r="H5717" s="219"/>
      <c r="I5717" s="169">
        <v>107270</v>
      </c>
      <c r="J5717" s="304" t="str">
        <f>CONCATENATE([2]Cover!$D$6,"fdd/view?i=",I5717)</f>
        <v>https://www.dgiwg.org/FAD/fdd/view?i=107270</v>
      </c>
      <c r="K5717" s="304" t="s">
        <v>39766</v>
      </c>
      <c r="L5717" s="188">
        <v>2</v>
      </c>
      <c r="M5717" s="179" t="s">
        <v>151</v>
      </c>
    </row>
    <row r="5718" spans="1:13" ht="25.5">
      <c r="A5718" s="313" t="str">
        <f t="shared" si="89"/>
        <v>RailwayUseCode_funicular</v>
      </c>
      <c r="B5718" s="330"/>
      <c r="C5718" s="334"/>
      <c r="D5718" s="188" t="s">
        <v>29130</v>
      </c>
      <c r="E5718" s="189" t="s">
        <v>29131</v>
      </c>
      <c r="F5718" s="162" t="s">
        <v>29132</v>
      </c>
      <c r="G5718" s="162" t="s">
        <v>29133</v>
      </c>
      <c r="H5718" s="221" t="s">
        <v>29134</v>
      </c>
      <c r="I5718" s="169">
        <v>107278</v>
      </c>
      <c r="J5718" s="304" t="str">
        <f>CONCATENATE([2]Cover!$D$6,"fdd/view?i=",I5718)</f>
        <v>https://www.dgiwg.org/FAD/fdd/view?i=107278</v>
      </c>
      <c r="K5718" s="304" t="s">
        <v>39767</v>
      </c>
      <c r="L5718" s="188">
        <v>15</v>
      </c>
      <c r="M5718" s="179" t="s">
        <v>151</v>
      </c>
    </row>
    <row r="5719" spans="1:13" ht="25.5">
      <c r="A5719" s="313" t="str">
        <f t="shared" si="89"/>
        <v>RailwayUseCode_logging</v>
      </c>
      <c r="B5719" s="330"/>
      <c r="C5719" s="334"/>
      <c r="D5719" s="188" t="s">
        <v>29135</v>
      </c>
      <c r="E5719" s="189" t="s">
        <v>29136</v>
      </c>
      <c r="F5719" s="162" t="s">
        <v>29137</v>
      </c>
      <c r="G5719" s="162" t="s">
        <v>29138</v>
      </c>
      <c r="H5719" s="219"/>
      <c r="I5719" s="169">
        <v>107273</v>
      </c>
      <c r="J5719" s="304" t="str">
        <f>CONCATENATE([2]Cover!$D$6,"fdd/view?i=",I5719)</f>
        <v>https://www.dgiwg.org/FAD/fdd/view?i=107273</v>
      </c>
      <c r="K5719" s="304" t="s">
        <v>39768</v>
      </c>
      <c r="L5719" s="188">
        <v>8</v>
      </c>
      <c r="M5719" s="179" t="s">
        <v>151</v>
      </c>
    </row>
    <row r="5720" spans="1:13" ht="25.5">
      <c r="A5720" s="313" t="str">
        <f t="shared" si="89"/>
        <v>RailwayUseCode_longHaul</v>
      </c>
      <c r="B5720" s="330"/>
      <c r="C5720" s="334"/>
      <c r="D5720" s="188" t="s">
        <v>29139</v>
      </c>
      <c r="E5720" s="189" t="s">
        <v>29140</v>
      </c>
      <c r="F5720" s="162" t="s">
        <v>29141</v>
      </c>
      <c r="G5720" s="190"/>
      <c r="H5720" s="219"/>
      <c r="I5720" s="169">
        <v>110645</v>
      </c>
      <c r="J5720" s="304" t="str">
        <f>CONCATENATE([2]Cover!$D$6,"fdd/view?i=",I5720)</f>
        <v>https://www.dgiwg.org/FAD/fdd/view?i=110645</v>
      </c>
      <c r="K5720" s="304" t="s">
        <v>39769</v>
      </c>
      <c r="L5720" s="188">
        <v>33</v>
      </c>
      <c r="M5720" s="179" t="s">
        <v>151</v>
      </c>
    </row>
    <row r="5721" spans="1:13" ht="25.5">
      <c r="A5721" s="313" t="str">
        <f t="shared" si="89"/>
        <v>RailwayUseCode_marineRailway</v>
      </c>
      <c r="B5721" s="330"/>
      <c r="C5721" s="334"/>
      <c r="D5721" s="188" t="s">
        <v>29142</v>
      </c>
      <c r="E5721" s="189" t="s">
        <v>29143</v>
      </c>
      <c r="F5721" s="162" t="s">
        <v>29144</v>
      </c>
      <c r="G5721" s="190"/>
      <c r="H5721" s="219"/>
      <c r="I5721" s="169">
        <v>107276</v>
      </c>
      <c r="J5721" s="304" t="str">
        <f>CONCATENATE([2]Cover!$D$6,"fdd/view?i=",I5721)</f>
        <v>https://www.dgiwg.org/FAD/fdd/view?i=107276</v>
      </c>
      <c r="K5721" s="304" t="s">
        <v>39770</v>
      </c>
      <c r="L5721" s="188">
        <v>13</v>
      </c>
      <c r="M5721" s="179" t="s">
        <v>151</v>
      </c>
    </row>
    <row r="5722" spans="1:13">
      <c r="A5722" s="313" t="str">
        <f t="shared" si="89"/>
        <v>RailwayUseCode_museum</v>
      </c>
      <c r="B5722" s="330"/>
      <c r="C5722" s="334"/>
      <c r="D5722" s="188" t="s">
        <v>21868</v>
      </c>
      <c r="E5722" s="189" t="s">
        <v>21869</v>
      </c>
      <c r="F5722" s="162" t="s">
        <v>29145</v>
      </c>
      <c r="G5722" s="190"/>
      <c r="H5722" s="219"/>
      <c r="I5722" s="169">
        <v>109731</v>
      </c>
      <c r="J5722" s="304" t="str">
        <f>CONCATENATE([2]Cover!$D$6,"fdd/view?i=",I5722)</f>
        <v>https://www.dgiwg.org/FAD/fdd/view?i=109731</v>
      </c>
      <c r="K5722" s="304" t="s">
        <v>39771</v>
      </c>
      <c r="L5722" s="188">
        <v>24</v>
      </c>
      <c r="M5722" s="179" t="s">
        <v>151</v>
      </c>
    </row>
    <row r="5723" spans="1:13">
      <c r="A5723" s="313" t="str">
        <f t="shared" si="89"/>
        <v>RailwayUseCode_railRapidTransit</v>
      </c>
      <c r="B5723" s="330"/>
      <c r="C5723" s="334"/>
      <c r="D5723" s="188" t="s">
        <v>29146</v>
      </c>
      <c r="E5723" s="189" t="s">
        <v>29147</v>
      </c>
      <c r="F5723" s="162" t="s">
        <v>29148</v>
      </c>
      <c r="G5723" s="162" t="s">
        <v>29149</v>
      </c>
      <c r="H5723" s="219"/>
      <c r="I5723" s="169">
        <v>107275</v>
      </c>
      <c r="J5723" s="304" t="str">
        <f>CONCATENATE([2]Cover!$D$6,"fdd/view?i=",I5723)</f>
        <v>https://www.dgiwg.org/FAD/fdd/view?i=107275</v>
      </c>
      <c r="K5723" s="304" t="s">
        <v>39772</v>
      </c>
      <c r="L5723" s="188">
        <v>11</v>
      </c>
      <c r="M5723" s="179" t="s">
        <v>151</v>
      </c>
    </row>
    <row r="5724" spans="1:13">
      <c r="A5724" s="313" t="str">
        <f t="shared" si="89"/>
        <v>RailwayUseCode_tramway</v>
      </c>
      <c r="B5724" s="330"/>
      <c r="C5724" s="334"/>
      <c r="D5724" s="188" t="s">
        <v>29150</v>
      </c>
      <c r="E5724" s="189" t="s">
        <v>29151</v>
      </c>
      <c r="F5724" s="162" t="s">
        <v>29152</v>
      </c>
      <c r="G5724" s="190"/>
      <c r="H5724" s="219"/>
      <c r="I5724" s="169">
        <v>107277</v>
      </c>
      <c r="J5724" s="304" t="str">
        <f>CONCATENATE([2]Cover!$D$6,"fdd/view?i=",I5724)</f>
        <v>https://www.dgiwg.org/FAD/fdd/view?i=107277</v>
      </c>
      <c r="K5724" s="304" t="s">
        <v>39773</v>
      </c>
      <c r="L5724" s="188">
        <v>14</v>
      </c>
      <c r="M5724" s="179" t="s">
        <v>151</v>
      </c>
    </row>
    <row r="5725" spans="1:13" ht="38.25">
      <c r="A5725" s="313" t="str">
        <f t="shared" si="89"/>
        <v>RailwayUseCode_undergroundRailway</v>
      </c>
      <c r="B5725" s="331"/>
      <c r="C5725" s="335"/>
      <c r="D5725" s="181" t="s">
        <v>29153</v>
      </c>
      <c r="E5725" s="192" t="s">
        <v>29154</v>
      </c>
      <c r="F5725" s="193" t="s">
        <v>29155</v>
      </c>
      <c r="G5725" s="193" t="s">
        <v>29156</v>
      </c>
      <c r="H5725" s="220"/>
      <c r="I5725" s="169">
        <v>107272</v>
      </c>
      <c r="J5725" s="304" t="str">
        <f>CONCATENATE([2]Cover!$D$6,"fdd/view?i=",I5725)</f>
        <v>https://www.dgiwg.org/FAD/fdd/view?i=107272</v>
      </c>
      <c r="K5725" s="304" t="s">
        <v>39774</v>
      </c>
      <c r="L5725" s="181">
        <v>6</v>
      </c>
      <c r="M5725" s="179" t="s">
        <v>151</v>
      </c>
    </row>
    <row r="5726" spans="1:13" ht="165.75">
      <c r="A5726" s="313" t="str">
        <f t="shared" si="89"/>
        <v>RapidClassCode_advanced</v>
      </c>
      <c r="B5726" s="332" t="str">
        <f>HYPERLINK("[#]Datatypes!A1093:L1093","RapidClassCode")</f>
        <v>RapidClassCode</v>
      </c>
      <c r="C5726" s="333" t="s">
        <v>12690</v>
      </c>
      <c r="D5726" s="202" t="s">
        <v>29168</v>
      </c>
      <c r="E5726" s="203" t="s">
        <v>29169</v>
      </c>
      <c r="F5726" s="204" t="s">
        <v>29170</v>
      </c>
      <c r="G5726" s="204" t="s">
        <v>29171</v>
      </c>
      <c r="H5726" s="218"/>
      <c r="I5726" s="169">
        <v>103110</v>
      </c>
      <c r="J5726" s="304" t="str">
        <f>CONCATENATE([2]Cover!$D$6,"fdd/view?i=",I5726)</f>
        <v>https://www.dgiwg.org/FAD/fdd/view?i=103110</v>
      </c>
      <c r="K5726" s="304" t="s">
        <v>39775</v>
      </c>
      <c r="L5726" s="202">
        <v>4</v>
      </c>
      <c r="M5726" s="179" t="s">
        <v>151</v>
      </c>
    </row>
    <row r="5727" spans="1:13" ht="25.5">
      <c r="A5727" s="313" t="str">
        <f t="shared" si="89"/>
        <v>RapidClassCode_easy</v>
      </c>
      <c r="B5727" s="330"/>
      <c r="C5727" s="334"/>
      <c r="D5727" s="188" t="s">
        <v>18815</v>
      </c>
      <c r="E5727" s="189" t="s">
        <v>29157</v>
      </c>
      <c r="F5727" s="162" t="s">
        <v>29158</v>
      </c>
      <c r="G5727" s="162" t="s">
        <v>29159</v>
      </c>
      <c r="H5727" s="219"/>
      <c r="I5727" s="169">
        <v>103107</v>
      </c>
      <c r="J5727" s="304" t="str">
        <f>CONCATENATE([2]Cover!$D$6,"fdd/view?i=",I5727)</f>
        <v>https://www.dgiwg.org/FAD/fdd/view?i=103107</v>
      </c>
      <c r="K5727" s="304" t="s">
        <v>39776</v>
      </c>
      <c r="L5727" s="188">
        <v>1</v>
      </c>
      <c r="M5727" s="179" t="s">
        <v>151</v>
      </c>
    </row>
    <row r="5728" spans="1:13" ht="76.5">
      <c r="A5728" s="313" t="str">
        <f t="shared" si="89"/>
        <v>RapidClassCode_expert</v>
      </c>
      <c r="B5728" s="330"/>
      <c r="C5728" s="334"/>
      <c r="D5728" s="188" t="s">
        <v>29172</v>
      </c>
      <c r="E5728" s="189" t="s">
        <v>29173</v>
      </c>
      <c r="F5728" s="162" t="s">
        <v>29174</v>
      </c>
      <c r="G5728" s="162" t="s">
        <v>29175</v>
      </c>
      <c r="H5728" s="219"/>
      <c r="I5728" s="169">
        <v>103111</v>
      </c>
      <c r="J5728" s="304" t="str">
        <f>CONCATENATE([2]Cover!$D$6,"fdd/view?i=",I5728)</f>
        <v>https://www.dgiwg.org/FAD/fdd/view?i=103111</v>
      </c>
      <c r="K5728" s="304" t="s">
        <v>39777</v>
      </c>
      <c r="L5728" s="188">
        <v>5</v>
      </c>
      <c r="M5728" s="179" t="s">
        <v>151</v>
      </c>
    </row>
    <row r="5729" spans="1:13" ht="89.25">
      <c r="A5729" s="313" t="str">
        <f t="shared" si="89"/>
        <v>RapidClassCode_extremeExploratory</v>
      </c>
      <c r="B5729" s="330"/>
      <c r="C5729" s="334"/>
      <c r="D5729" s="188" t="s">
        <v>29176</v>
      </c>
      <c r="E5729" s="189" t="s">
        <v>29177</v>
      </c>
      <c r="F5729" s="162" t="s">
        <v>29178</v>
      </c>
      <c r="G5729" s="162" t="s">
        <v>29179</v>
      </c>
      <c r="H5729" s="219"/>
      <c r="I5729" s="169">
        <v>103112</v>
      </c>
      <c r="J5729" s="304" t="str">
        <f>CONCATENATE([2]Cover!$D$6,"fdd/view?i=",I5729)</f>
        <v>https://www.dgiwg.org/FAD/fdd/view?i=103112</v>
      </c>
      <c r="K5729" s="304" t="s">
        <v>39778</v>
      </c>
      <c r="L5729" s="188">
        <v>6</v>
      </c>
      <c r="M5729" s="179" t="s">
        <v>151</v>
      </c>
    </row>
    <row r="5730" spans="1:13" ht="140.25">
      <c r="A5730" s="313" t="str">
        <f t="shared" si="89"/>
        <v>RapidClassCode_intermediate</v>
      </c>
      <c r="B5730" s="330"/>
      <c r="C5730" s="334"/>
      <c r="D5730" s="188" t="s">
        <v>29164</v>
      </c>
      <c r="E5730" s="189" t="s">
        <v>29165</v>
      </c>
      <c r="F5730" s="162" t="s">
        <v>29166</v>
      </c>
      <c r="G5730" s="162" t="s">
        <v>29167</v>
      </c>
      <c r="H5730" s="219"/>
      <c r="I5730" s="169">
        <v>103109</v>
      </c>
      <c r="J5730" s="304" t="str">
        <f>CONCATENATE([2]Cover!$D$6,"fdd/view?i=",I5730)</f>
        <v>https://www.dgiwg.org/FAD/fdd/view?i=103109</v>
      </c>
      <c r="K5730" s="304" t="s">
        <v>39779</v>
      </c>
      <c r="L5730" s="188">
        <v>3</v>
      </c>
      <c r="M5730" s="179" t="s">
        <v>151</v>
      </c>
    </row>
    <row r="5731" spans="1:13" ht="89.25">
      <c r="A5731" s="313" t="str">
        <f t="shared" si="89"/>
        <v>RapidClassCode_novice</v>
      </c>
      <c r="B5731" s="331"/>
      <c r="C5731" s="335"/>
      <c r="D5731" s="181" t="s">
        <v>29160</v>
      </c>
      <c r="E5731" s="192" t="s">
        <v>29161</v>
      </c>
      <c r="F5731" s="193" t="s">
        <v>29162</v>
      </c>
      <c r="G5731" s="193" t="s">
        <v>29163</v>
      </c>
      <c r="H5731" s="220"/>
      <c r="I5731" s="169">
        <v>103108</v>
      </c>
      <c r="J5731" s="304" t="str">
        <f>CONCATENATE([2]Cover!$D$6,"fdd/view?i=",I5731)</f>
        <v>https://www.dgiwg.org/FAD/fdd/view?i=103108</v>
      </c>
      <c r="K5731" s="304" t="s">
        <v>39780</v>
      </c>
      <c r="L5731" s="181">
        <v>2</v>
      </c>
      <c r="M5731" s="179" t="s">
        <v>151</v>
      </c>
    </row>
    <row r="5732" spans="1:13" ht="25.5">
      <c r="A5732" s="313" t="str">
        <f t="shared" si="89"/>
        <v>RawMaterialCode_aluminum</v>
      </c>
      <c r="B5732" s="332" t="str">
        <f>HYPERLINK("[#]Datatypes!A1095:L1095","RawMaterialCode")</f>
        <v>RawMaterialCode</v>
      </c>
      <c r="C5732" s="333" t="s">
        <v>12692</v>
      </c>
      <c r="D5732" s="202" t="s">
        <v>28335</v>
      </c>
      <c r="E5732" s="203" t="s">
        <v>28336</v>
      </c>
      <c r="F5732" s="204" t="s">
        <v>28337</v>
      </c>
      <c r="G5732" s="205"/>
      <c r="H5732" s="218"/>
      <c r="I5732" s="169">
        <v>106848</v>
      </c>
      <c r="J5732" s="304" t="str">
        <f>CONCATENATE([2]Cover!$D$6,"fdd/view?i=",I5732)</f>
        <v>https://www.dgiwg.org/FAD/fdd/view?i=106848</v>
      </c>
      <c r="K5732" s="304" t="s">
        <v>39781</v>
      </c>
      <c r="L5732" s="202">
        <v>1</v>
      </c>
      <c r="M5732" s="179" t="s">
        <v>151</v>
      </c>
    </row>
    <row r="5733" spans="1:13" ht="25.5">
      <c r="A5733" s="313" t="str">
        <f t="shared" si="89"/>
        <v>RawMaterialCode_asphalt</v>
      </c>
      <c r="B5733" s="330"/>
      <c r="C5733" s="334"/>
      <c r="D5733" s="188" t="s">
        <v>15076</v>
      </c>
      <c r="E5733" s="189" t="s">
        <v>15077</v>
      </c>
      <c r="F5733" s="162" t="s">
        <v>28338</v>
      </c>
      <c r="G5733" s="190"/>
      <c r="H5733" s="219"/>
      <c r="I5733" s="169">
        <v>106849</v>
      </c>
      <c r="J5733" s="304" t="str">
        <f>CONCATENATE([2]Cover!$D$6,"fdd/view?i=",I5733)</f>
        <v>https://www.dgiwg.org/FAD/fdd/view?i=106849</v>
      </c>
      <c r="K5733" s="304" t="s">
        <v>39782</v>
      </c>
      <c r="L5733" s="188">
        <v>2</v>
      </c>
      <c r="M5733" s="179" t="s">
        <v>151</v>
      </c>
    </row>
    <row r="5734" spans="1:13" ht="25.5">
      <c r="A5734" s="313" t="str">
        <f t="shared" si="89"/>
        <v>RawMaterialCode_bauxite</v>
      </c>
      <c r="B5734" s="330"/>
      <c r="C5734" s="334"/>
      <c r="D5734" s="188" t="s">
        <v>28560</v>
      </c>
      <c r="E5734" s="189" t="s">
        <v>28561</v>
      </c>
      <c r="F5734" s="162" t="s">
        <v>28562</v>
      </c>
      <c r="G5734" s="162" t="s">
        <v>28563</v>
      </c>
      <c r="H5734" s="219"/>
      <c r="I5734" s="169">
        <v>106852</v>
      </c>
      <c r="J5734" s="304" t="str">
        <f>CONCATENATE([2]Cover!$D$6,"fdd/view?i=",I5734)</f>
        <v>https://www.dgiwg.org/FAD/fdd/view?i=106852</v>
      </c>
      <c r="K5734" s="304" t="s">
        <v>39783</v>
      </c>
      <c r="L5734" s="188">
        <v>5</v>
      </c>
      <c r="M5734" s="179" t="s">
        <v>151</v>
      </c>
    </row>
    <row r="5735" spans="1:13" ht="102">
      <c r="A5735" s="313" t="str">
        <f t="shared" si="89"/>
        <v>RawMaterialCode_biodiesel</v>
      </c>
      <c r="B5735" s="330"/>
      <c r="C5735" s="334"/>
      <c r="D5735" s="188" t="s">
        <v>17318</v>
      </c>
      <c r="E5735" s="189" t="s">
        <v>17319</v>
      </c>
      <c r="F5735" s="162" t="s">
        <v>17320</v>
      </c>
      <c r="G5735" s="162" t="s">
        <v>28572</v>
      </c>
      <c r="H5735" s="219"/>
      <c r="I5735" s="169">
        <v>118538</v>
      </c>
      <c r="J5735" s="304" t="str">
        <f>CONCATENATE([2]Cover!$D$6,"fdd/view?i=",I5735)</f>
        <v>https://www.dgiwg.org/FAD/fdd/view?i=118538</v>
      </c>
      <c r="K5735" s="304" t="s">
        <v>39784</v>
      </c>
      <c r="L5735" s="188">
        <v>119</v>
      </c>
      <c r="M5735" s="179" t="s">
        <v>151</v>
      </c>
    </row>
    <row r="5736" spans="1:13" ht="38.25">
      <c r="A5736" s="313" t="str">
        <f t="shared" si="89"/>
        <v>RawMaterialCode_cement</v>
      </c>
      <c r="B5736" s="330"/>
      <c r="C5736" s="334"/>
      <c r="D5736" s="188" t="s">
        <v>28581</v>
      </c>
      <c r="E5736" s="189" t="s">
        <v>28582</v>
      </c>
      <c r="F5736" s="162" t="s">
        <v>28583</v>
      </c>
      <c r="G5736" s="162" t="s">
        <v>28584</v>
      </c>
      <c r="H5736" s="219"/>
      <c r="I5736" s="169">
        <v>106856</v>
      </c>
      <c r="J5736" s="304" t="str">
        <f>CONCATENATE([2]Cover!$D$6,"fdd/view?i=",I5736)</f>
        <v>https://www.dgiwg.org/FAD/fdd/view?i=106856</v>
      </c>
      <c r="K5736" s="304" t="s">
        <v>39785</v>
      </c>
      <c r="L5736" s="188">
        <v>9</v>
      </c>
      <c r="M5736" s="179" t="s">
        <v>151</v>
      </c>
    </row>
    <row r="5737" spans="1:13">
      <c r="A5737" s="313" t="str">
        <f t="shared" si="89"/>
        <v>RawMaterialCode_chemical</v>
      </c>
      <c r="B5737" s="330"/>
      <c r="C5737" s="334"/>
      <c r="D5737" s="188" t="s">
        <v>19310</v>
      </c>
      <c r="E5737" s="189" t="s">
        <v>19311</v>
      </c>
      <c r="F5737" s="162" t="s">
        <v>28589</v>
      </c>
      <c r="G5737" s="190"/>
      <c r="H5737" s="219"/>
      <c r="I5737" s="169">
        <v>106857</v>
      </c>
      <c r="J5737" s="304" t="str">
        <f>CONCATENATE([2]Cover!$D$6,"fdd/view?i=",I5737)</f>
        <v>https://www.dgiwg.org/FAD/fdd/view?i=106857</v>
      </c>
      <c r="K5737" s="304" t="s">
        <v>39786</v>
      </c>
      <c r="L5737" s="188">
        <v>10</v>
      </c>
      <c r="M5737" s="179" t="s">
        <v>151</v>
      </c>
    </row>
    <row r="5738" spans="1:13" ht="38.25">
      <c r="A5738" s="313" t="str">
        <f t="shared" si="89"/>
        <v>RawMaterialCode_clay</v>
      </c>
      <c r="B5738" s="330"/>
      <c r="C5738" s="334"/>
      <c r="D5738" s="188" t="s">
        <v>15090</v>
      </c>
      <c r="E5738" s="189" t="s">
        <v>15091</v>
      </c>
      <c r="F5738" s="162" t="s">
        <v>28352</v>
      </c>
      <c r="G5738" s="162" t="s">
        <v>28353</v>
      </c>
      <c r="H5738" s="219"/>
      <c r="I5738" s="169">
        <v>106858</v>
      </c>
      <c r="J5738" s="304" t="str">
        <f>CONCATENATE([2]Cover!$D$6,"fdd/view?i=",I5738)</f>
        <v>https://www.dgiwg.org/FAD/fdd/view?i=106858</v>
      </c>
      <c r="K5738" s="304" t="s">
        <v>39787</v>
      </c>
      <c r="L5738" s="188">
        <v>11</v>
      </c>
      <c r="M5738" s="179" t="s">
        <v>151</v>
      </c>
    </row>
    <row r="5739" spans="1:13" ht="25.5">
      <c r="A5739" s="313" t="str">
        <f t="shared" si="89"/>
        <v>RawMaterialCode_coal</v>
      </c>
      <c r="B5739" s="330"/>
      <c r="C5739" s="334"/>
      <c r="D5739" s="188" t="s">
        <v>17329</v>
      </c>
      <c r="E5739" s="189" t="s">
        <v>17330</v>
      </c>
      <c r="F5739" s="162" t="s">
        <v>17331</v>
      </c>
      <c r="G5739" s="162" t="s">
        <v>17332</v>
      </c>
      <c r="H5739" s="219"/>
      <c r="I5739" s="169">
        <v>106859</v>
      </c>
      <c r="J5739" s="304" t="str">
        <f>CONCATENATE([2]Cover!$D$6,"fdd/view?i=",I5739)</f>
        <v>https://www.dgiwg.org/FAD/fdd/view?i=106859</v>
      </c>
      <c r="K5739" s="304" t="s">
        <v>39788</v>
      </c>
      <c r="L5739" s="188">
        <v>12</v>
      </c>
      <c r="M5739" s="179" t="s">
        <v>151</v>
      </c>
    </row>
    <row r="5740" spans="1:13">
      <c r="A5740" s="313" t="str">
        <f t="shared" si="89"/>
        <v>RawMaterialCode_coke</v>
      </c>
      <c r="B5740" s="330"/>
      <c r="C5740" s="334"/>
      <c r="D5740" s="188" t="s">
        <v>28605</v>
      </c>
      <c r="E5740" s="189" t="s">
        <v>28606</v>
      </c>
      <c r="F5740" s="162" t="s">
        <v>28607</v>
      </c>
      <c r="G5740" s="190"/>
      <c r="H5740" s="219"/>
      <c r="I5740" s="169">
        <v>106861</v>
      </c>
      <c r="J5740" s="304" t="str">
        <f>CONCATENATE([2]Cover!$D$6,"fdd/view?i=",I5740)</f>
        <v>https://www.dgiwg.org/FAD/fdd/view?i=106861</v>
      </c>
      <c r="K5740" s="304" t="s">
        <v>39789</v>
      </c>
      <c r="L5740" s="188">
        <v>14</v>
      </c>
      <c r="M5740" s="179" t="s">
        <v>151</v>
      </c>
    </row>
    <row r="5741" spans="1:13" ht="25.5">
      <c r="A5741" s="313" t="str">
        <f t="shared" si="89"/>
        <v>RawMaterialCode_copper</v>
      </c>
      <c r="B5741" s="330"/>
      <c r="C5741" s="334"/>
      <c r="D5741" s="188" t="s">
        <v>28358</v>
      </c>
      <c r="E5741" s="189" t="s">
        <v>28359</v>
      </c>
      <c r="F5741" s="162" t="s">
        <v>28360</v>
      </c>
      <c r="G5741" s="162" t="s">
        <v>28361</v>
      </c>
      <c r="H5741" s="219"/>
      <c r="I5741" s="169">
        <v>106863</v>
      </c>
      <c r="J5741" s="304" t="str">
        <f>CONCATENATE([2]Cover!$D$6,"fdd/view?i=",I5741)</f>
        <v>https://www.dgiwg.org/FAD/fdd/view?i=106863</v>
      </c>
      <c r="K5741" s="304" t="s">
        <v>39790</v>
      </c>
      <c r="L5741" s="188">
        <v>16</v>
      </c>
      <c r="M5741" s="179" t="s">
        <v>151</v>
      </c>
    </row>
    <row r="5742" spans="1:13" ht="25.5">
      <c r="A5742" s="313" t="str">
        <f t="shared" si="89"/>
        <v>RawMaterialCode_cotton</v>
      </c>
      <c r="B5742" s="330"/>
      <c r="C5742" s="334"/>
      <c r="D5742" s="188" t="s">
        <v>19484</v>
      </c>
      <c r="E5742" s="189" t="s">
        <v>19485</v>
      </c>
      <c r="F5742" s="162" t="s">
        <v>28612</v>
      </c>
      <c r="G5742" s="162" t="s">
        <v>28613</v>
      </c>
      <c r="H5742" s="219"/>
      <c r="I5742" s="169">
        <v>106865</v>
      </c>
      <c r="J5742" s="304" t="str">
        <f>CONCATENATE([2]Cover!$D$6,"fdd/view?i=",I5742)</f>
        <v>https://www.dgiwg.org/FAD/fdd/view?i=106865</v>
      </c>
      <c r="K5742" s="304" t="s">
        <v>39791</v>
      </c>
      <c r="L5742" s="188">
        <v>18</v>
      </c>
      <c r="M5742" s="179" t="s">
        <v>151</v>
      </c>
    </row>
    <row r="5743" spans="1:13" ht="25.5">
      <c r="A5743" s="313" t="str">
        <f t="shared" si="89"/>
        <v>RawMaterialCode_electricPower</v>
      </c>
      <c r="B5743" s="330"/>
      <c r="C5743" s="334"/>
      <c r="D5743" s="188" t="s">
        <v>28628</v>
      </c>
      <c r="E5743" s="189" t="s">
        <v>28629</v>
      </c>
      <c r="F5743" s="162" t="s">
        <v>28630</v>
      </c>
      <c r="G5743" s="162" t="s">
        <v>28631</v>
      </c>
      <c r="H5743" s="219"/>
      <c r="I5743" s="169">
        <v>106870</v>
      </c>
      <c r="J5743" s="304" t="str">
        <f>CONCATENATE([2]Cover!$D$6,"fdd/view?i=",I5743)</f>
        <v>https://www.dgiwg.org/FAD/fdd/view?i=106870</v>
      </c>
      <c r="K5743" s="304" t="s">
        <v>39792</v>
      </c>
      <c r="L5743" s="188">
        <v>23</v>
      </c>
      <c r="M5743" s="179" t="s">
        <v>151</v>
      </c>
    </row>
    <row r="5744" spans="1:13" ht="25.5">
      <c r="A5744" s="313" t="str">
        <f t="shared" si="89"/>
        <v>RawMaterialCode_gas</v>
      </c>
      <c r="B5744" s="330"/>
      <c r="C5744" s="334"/>
      <c r="D5744" s="188" t="s">
        <v>18802</v>
      </c>
      <c r="E5744" s="189" t="s">
        <v>18803</v>
      </c>
      <c r="F5744" s="162" t="s">
        <v>29180</v>
      </c>
      <c r="G5744" s="190"/>
      <c r="H5744" s="219"/>
      <c r="I5744" s="169">
        <v>106874</v>
      </c>
      <c r="J5744" s="304" t="str">
        <f>CONCATENATE([2]Cover!$D$6,"fdd/view?i=",I5744)</f>
        <v>https://www.dgiwg.org/FAD/fdd/view?i=106874</v>
      </c>
      <c r="K5744" s="304" t="s">
        <v>39793</v>
      </c>
      <c r="L5744" s="188">
        <v>27</v>
      </c>
      <c r="M5744" s="179" t="s">
        <v>151</v>
      </c>
    </row>
    <row r="5745" spans="1:13" ht="25.5">
      <c r="A5745" s="313" t="str">
        <f t="shared" si="89"/>
        <v>RawMaterialCode_glass</v>
      </c>
      <c r="B5745" s="330"/>
      <c r="C5745" s="334"/>
      <c r="D5745" s="188" t="s">
        <v>28391</v>
      </c>
      <c r="E5745" s="189" t="s">
        <v>28392</v>
      </c>
      <c r="F5745" s="162" t="s">
        <v>28393</v>
      </c>
      <c r="G5745" s="162" t="s">
        <v>28394</v>
      </c>
      <c r="H5745" s="219"/>
      <c r="I5745" s="169">
        <v>106875</v>
      </c>
      <c r="J5745" s="304" t="str">
        <f>CONCATENATE([2]Cover!$D$6,"fdd/view?i=",I5745)</f>
        <v>https://www.dgiwg.org/FAD/fdd/view?i=106875</v>
      </c>
      <c r="K5745" s="304" t="s">
        <v>39794</v>
      </c>
      <c r="L5745" s="188">
        <v>28</v>
      </c>
      <c r="M5745" s="179" t="s">
        <v>151</v>
      </c>
    </row>
    <row r="5746" spans="1:13" ht="51">
      <c r="A5746" s="313" t="str">
        <f t="shared" si="89"/>
        <v>RawMaterialCode_gold</v>
      </c>
      <c r="B5746" s="330"/>
      <c r="C5746" s="334"/>
      <c r="D5746" s="188" t="s">
        <v>28664</v>
      </c>
      <c r="E5746" s="189" t="s">
        <v>28665</v>
      </c>
      <c r="F5746" s="162" t="s">
        <v>28666</v>
      </c>
      <c r="G5746" s="190"/>
      <c r="H5746" s="219"/>
      <c r="I5746" s="169">
        <v>106876</v>
      </c>
      <c r="J5746" s="304" t="str">
        <f>CONCATENATE([2]Cover!$D$6,"fdd/view?i=",I5746)</f>
        <v>https://www.dgiwg.org/FAD/fdd/view?i=106876</v>
      </c>
      <c r="K5746" s="304" t="s">
        <v>39795</v>
      </c>
      <c r="L5746" s="188">
        <v>29</v>
      </c>
      <c r="M5746" s="179" t="s">
        <v>151</v>
      </c>
    </row>
    <row r="5747" spans="1:13" ht="25.5">
      <c r="A5747" s="313" t="str">
        <f t="shared" si="89"/>
        <v>RawMaterialCode_gravel</v>
      </c>
      <c r="B5747" s="330"/>
      <c r="C5747" s="334"/>
      <c r="D5747" s="188" t="s">
        <v>15105</v>
      </c>
      <c r="E5747" s="189" t="s">
        <v>15106</v>
      </c>
      <c r="F5747" s="162" t="s">
        <v>28401</v>
      </c>
      <c r="G5747" s="162" t="s">
        <v>28402</v>
      </c>
      <c r="H5747" s="219"/>
      <c r="I5747" s="169">
        <v>106881</v>
      </c>
      <c r="J5747" s="304" t="str">
        <f>CONCATENATE([2]Cover!$D$6,"fdd/view?i=",I5747)</f>
        <v>https://www.dgiwg.org/FAD/fdd/view?i=106881</v>
      </c>
      <c r="K5747" s="304" t="s">
        <v>39796</v>
      </c>
      <c r="L5747" s="188">
        <v>34</v>
      </c>
      <c r="M5747" s="179" t="s">
        <v>151</v>
      </c>
    </row>
    <row r="5748" spans="1:13">
      <c r="A5748" s="313" t="str">
        <f t="shared" si="89"/>
        <v>RawMaterialCode_ice</v>
      </c>
      <c r="B5748" s="330"/>
      <c r="C5748" s="334"/>
      <c r="D5748" s="188" t="s">
        <v>15108</v>
      </c>
      <c r="E5748" s="189" t="s">
        <v>15109</v>
      </c>
      <c r="F5748" s="162" t="s">
        <v>28683</v>
      </c>
      <c r="G5748" s="190"/>
      <c r="H5748" s="219"/>
      <c r="I5748" s="169">
        <v>106885</v>
      </c>
      <c r="J5748" s="304" t="str">
        <f>CONCATENATE([2]Cover!$D$6,"fdd/view?i=",I5748)</f>
        <v>https://www.dgiwg.org/FAD/fdd/view?i=106885</v>
      </c>
      <c r="K5748" s="304" t="s">
        <v>39797</v>
      </c>
      <c r="L5748" s="188">
        <v>38</v>
      </c>
      <c r="M5748" s="179" t="s">
        <v>151</v>
      </c>
    </row>
    <row r="5749" spans="1:13" ht="38.25">
      <c r="A5749" s="313" t="str">
        <f t="shared" si="89"/>
        <v>RawMaterialCode_iron</v>
      </c>
      <c r="B5749" s="330"/>
      <c r="C5749" s="334"/>
      <c r="D5749" s="188" t="s">
        <v>28410</v>
      </c>
      <c r="E5749" s="189" t="s">
        <v>28411</v>
      </c>
      <c r="F5749" s="162" t="s">
        <v>28412</v>
      </c>
      <c r="G5749" s="162" t="s">
        <v>28413</v>
      </c>
      <c r="H5749" s="219"/>
      <c r="I5749" s="169">
        <v>106886</v>
      </c>
      <c r="J5749" s="304" t="str">
        <f>CONCATENATE([2]Cover!$D$6,"fdd/view?i=",I5749)</f>
        <v>https://www.dgiwg.org/FAD/fdd/view?i=106886</v>
      </c>
      <c r="K5749" s="304" t="s">
        <v>39798</v>
      </c>
      <c r="L5749" s="188">
        <v>39</v>
      </c>
      <c r="M5749" s="179" t="s">
        <v>151</v>
      </c>
    </row>
    <row r="5750" spans="1:13" ht="38.25">
      <c r="A5750" s="313" t="str">
        <f t="shared" si="89"/>
        <v>RawMaterialCode_lead</v>
      </c>
      <c r="B5750" s="330"/>
      <c r="C5750" s="334"/>
      <c r="D5750" s="188" t="s">
        <v>28415</v>
      </c>
      <c r="E5750" s="189" t="s">
        <v>28416</v>
      </c>
      <c r="F5750" s="162" t="s">
        <v>28417</v>
      </c>
      <c r="G5750" s="190"/>
      <c r="H5750" s="219"/>
      <c r="I5750" s="169">
        <v>106888</v>
      </c>
      <c r="J5750" s="304" t="str">
        <f>CONCATENATE([2]Cover!$D$6,"fdd/view?i=",I5750)</f>
        <v>https://www.dgiwg.org/FAD/fdd/view?i=106888</v>
      </c>
      <c r="K5750" s="304" t="s">
        <v>39799</v>
      </c>
      <c r="L5750" s="188">
        <v>41</v>
      </c>
      <c r="M5750" s="179" t="s">
        <v>151</v>
      </c>
    </row>
    <row r="5751" spans="1:13" ht="51">
      <c r="A5751" s="313" t="str">
        <f t="shared" si="89"/>
        <v>RawMaterialCode_liquefiedNaturalGas</v>
      </c>
      <c r="B5751" s="330"/>
      <c r="C5751" s="334"/>
      <c r="D5751" s="188" t="s">
        <v>17363</v>
      </c>
      <c r="E5751" s="189" t="s">
        <v>17364</v>
      </c>
      <c r="F5751" s="162" t="s">
        <v>28689</v>
      </c>
      <c r="G5751" s="162" t="s">
        <v>29181</v>
      </c>
      <c r="H5751" s="219"/>
      <c r="I5751" s="169">
        <v>106890</v>
      </c>
      <c r="J5751" s="304" t="str">
        <f>CONCATENATE([2]Cover!$D$6,"fdd/view?i=",I5751)</f>
        <v>https://www.dgiwg.org/FAD/fdd/view?i=106890</v>
      </c>
      <c r="K5751" s="304" t="s">
        <v>39800</v>
      </c>
      <c r="L5751" s="188">
        <v>43</v>
      </c>
      <c r="M5751" s="179" t="s">
        <v>151</v>
      </c>
    </row>
    <row r="5752" spans="1:13" ht="102">
      <c r="A5752" s="313" t="str">
        <f t="shared" si="89"/>
        <v>RawMaterialCode_liquefiedPetroleumGas</v>
      </c>
      <c r="B5752" s="330"/>
      <c r="C5752" s="334"/>
      <c r="D5752" s="188" t="s">
        <v>17368</v>
      </c>
      <c r="E5752" s="189" t="s">
        <v>17369</v>
      </c>
      <c r="F5752" s="162" t="s">
        <v>17370</v>
      </c>
      <c r="G5752" s="162" t="s">
        <v>17371</v>
      </c>
      <c r="H5752" s="219"/>
      <c r="I5752" s="169">
        <v>106891</v>
      </c>
      <c r="J5752" s="304" t="str">
        <f>CONCATENATE([2]Cover!$D$6,"fdd/view?i=",I5752)</f>
        <v>https://www.dgiwg.org/FAD/fdd/view?i=106891</v>
      </c>
      <c r="K5752" s="304" t="s">
        <v>39801</v>
      </c>
      <c r="L5752" s="188">
        <v>44</v>
      </c>
      <c r="M5752" s="179" t="s">
        <v>151</v>
      </c>
    </row>
    <row r="5753" spans="1:13">
      <c r="A5753" s="313" t="str">
        <f t="shared" si="89"/>
        <v>RawMaterialCode_lumber</v>
      </c>
      <c r="B5753" s="330"/>
      <c r="C5753" s="334"/>
      <c r="D5753" s="188" t="s">
        <v>28691</v>
      </c>
      <c r="E5753" s="189" t="s">
        <v>28692</v>
      </c>
      <c r="F5753" s="162" t="s">
        <v>28693</v>
      </c>
      <c r="G5753" s="190"/>
      <c r="H5753" s="219"/>
      <c r="I5753" s="169">
        <v>106892</v>
      </c>
      <c r="J5753" s="304" t="str">
        <f>CONCATENATE([2]Cover!$D$6,"fdd/view?i=",I5753)</f>
        <v>https://www.dgiwg.org/FAD/fdd/view?i=106892</v>
      </c>
      <c r="K5753" s="304" t="s">
        <v>39802</v>
      </c>
      <c r="L5753" s="188">
        <v>45</v>
      </c>
      <c r="M5753" s="179" t="s">
        <v>151</v>
      </c>
    </row>
    <row r="5754" spans="1:13" ht="25.5">
      <c r="A5754" s="313" t="str">
        <f t="shared" si="89"/>
        <v>RawMaterialCode_manganese</v>
      </c>
      <c r="B5754" s="330"/>
      <c r="C5754" s="334"/>
      <c r="D5754" s="188" t="s">
        <v>28426</v>
      </c>
      <c r="E5754" s="189" t="s">
        <v>28427</v>
      </c>
      <c r="F5754" s="162" t="s">
        <v>28428</v>
      </c>
      <c r="G5754" s="162" t="s">
        <v>28429</v>
      </c>
      <c r="H5754" s="219"/>
      <c r="I5754" s="169">
        <v>106893</v>
      </c>
      <c r="J5754" s="304" t="str">
        <f>CONCATENATE([2]Cover!$D$6,"fdd/view?i=",I5754)</f>
        <v>https://www.dgiwg.org/FAD/fdd/view?i=106893</v>
      </c>
      <c r="K5754" s="304" t="s">
        <v>39803</v>
      </c>
      <c r="L5754" s="188">
        <v>46</v>
      </c>
      <c r="M5754" s="179" t="s">
        <v>151</v>
      </c>
    </row>
    <row r="5755" spans="1:13" ht="38.25">
      <c r="A5755" s="313" t="str">
        <f t="shared" si="89"/>
        <v>RawMaterialCode_metal</v>
      </c>
      <c r="B5755" s="330"/>
      <c r="C5755" s="334"/>
      <c r="D5755" s="188" t="s">
        <v>22444</v>
      </c>
      <c r="E5755" s="189" t="s">
        <v>22445</v>
      </c>
      <c r="F5755" s="162" t="s">
        <v>28434</v>
      </c>
      <c r="G5755" s="162" t="s">
        <v>28435</v>
      </c>
      <c r="H5755" s="219"/>
      <c r="I5755" s="169">
        <v>106895</v>
      </c>
      <c r="J5755" s="304" t="str">
        <f>CONCATENATE([2]Cover!$D$6,"fdd/view?i=",I5755)</f>
        <v>https://www.dgiwg.org/FAD/fdd/view?i=106895</v>
      </c>
      <c r="K5755" s="304" t="s">
        <v>39804</v>
      </c>
      <c r="L5755" s="188">
        <v>48</v>
      </c>
      <c r="M5755" s="179" t="s">
        <v>151</v>
      </c>
    </row>
    <row r="5756" spans="1:13">
      <c r="A5756" s="313" t="str">
        <f t="shared" si="89"/>
        <v>RawMaterialCode_noRawMaterial</v>
      </c>
      <c r="B5756" s="330"/>
      <c r="C5756" s="334"/>
      <c r="D5756" s="188" t="s">
        <v>29182</v>
      </c>
      <c r="E5756" s="189" t="s">
        <v>29183</v>
      </c>
      <c r="F5756" s="162" t="s">
        <v>29184</v>
      </c>
      <c r="G5756" s="190"/>
      <c r="H5756" s="219"/>
      <c r="I5756" s="169">
        <v>106897</v>
      </c>
      <c r="J5756" s="304" t="str">
        <f>CONCATENATE([2]Cover!$D$6,"fdd/view?i=",I5756)</f>
        <v>https://www.dgiwg.org/FAD/fdd/view?i=106897</v>
      </c>
      <c r="K5756" s="304" t="s">
        <v>39805</v>
      </c>
      <c r="L5756" s="188">
        <v>50</v>
      </c>
      <c r="M5756" s="179" t="s">
        <v>151</v>
      </c>
    </row>
    <row r="5757" spans="1:13" ht="38.25">
      <c r="A5757" s="313" t="str">
        <f t="shared" si="89"/>
        <v>RawMaterialCode_oil</v>
      </c>
      <c r="B5757" s="330"/>
      <c r="C5757" s="334"/>
      <c r="D5757" s="188" t="s">
        <v>17382</v>
      </c>
      <c r="E5757" s="189" t="s">
        <v>17383</v>
      </c>
      <c r="F5757" s="162" t="s">
        <v>17384</v>
      </c>
      <c r="G5757" s="162" t="s">
        <v>29185</v>
      </c>
      <c r="H5757" s="219"/>
      <c r="I5757" s="169">
        <v>106899</v>
      </c>
      <c r="J5757" s="304" t="str">
        <f>CONCATENATE([2]Cover!$D$6,"fdd/view?i=",I5757)</f>
        <v>https://www.dgiwg.org/FAD/fdd/view?i=106899</v>
      </c>
      <c r="K5757" s="304" t="s">
        <v>39806</v>
      </c>
      <c r="L5757" s="188">
        <v>52</v>
      </c>
      <c r="M5757" s="179" t="s">
        <v>151</v>
      </c>
    </row>
    <row r="5758" spans="1:13" ht="25.5">
      <c r="A5758" s="313" t="str">
        <f t="shared" si="89"/>
        <v>RawMaterialCode_ore</v>
      </c>
      <c r="B5758" s="330"/>
      <c r="C5758" s="334"/>
      <c r="D5758" s="188" t="s">
        <v>29186</v>
      </c>
      <c r="E5758" s="189" t="s">
        <v>29187</v>
      </c>
      <c r="F5758" s="162" t="s">
        <v>29188</v>
      </c>
      <c r="G5758" s="190"/>
      <c r="H5758" s="219"/>
      <c r="I5758" s="169">
        <v>106901</v>
      </c>
      <c r="J5758" s="304" t="str">
        <f>CONCATENATE([2]Cover!$D$6,"fdd/view?i=",I5758)</f>
        <v>https://www.dgiwg.org/FAD/fdd/view?i=106901</v>
      </c>
      <c r="K5758" s="304" t="s">
        <v>39807</v>
      </c>
      <c r="L5758" s="188">
        <v>54</v>
      </c>
      <c r="M5758" s="179" t="s">
        <v>151</v>
      </c>
    </row>
    <row r="5759" spans="1:13" ht="38.25">
      <c r="A5759" s="313" t="str">
        <f t="shared" si="89"/>
        <v>RawMaterialCode_paper</v>
      </c>
      <c r="B5759" s="330"/>
      <c r="C5759" s="334"/>
      <c r="D5759" s="188" t="s">
        <v>28745</v>
      </c>
      <c r="E5759" s="189" t="s">
        <v>28746</v>
      </c>
      <c r="F5759" s="162" t="s">
        <v>28747</v>
      </c>
      <c r="G5759" s="162" t="s">
        <v>28748</v>
      </c>
      <c r="H5759" s="219"/>
      <c r="I5759" s="169">
        <v>106904</v>
      </c>
      <c r="J5759" s="304" t="str">
        <f>CONCATENATE([2]Cover!$D$6,"fdd/view?i=",I5759)</f>
        <v>https://www.dgiwg.org/FAD/fdd/view?i=106904</v>
      </c>
      <c r="K5759" s="304" t="s">
        <v>39808</v>
      </c>
      <c r="L5759" s="188">
        <v>57</v>
      </c>
      <c r="M5759" s="179" t="s">
        <v>151</v>
      </c>
    </row>
    <row r="5760" spans="1:13" ht="76.5">
      <c r="A5760" s="313" t="str">
        <f t="shared" si="89"/>
        <v>RawMaterialCode_petroleumNaturalGas</v>
      </c>
      <c r="B5760" s="330"/>
      <c r="C5760" s="334"/>
      <c r="D5760" s="188" t="s">
        <v>28757</v>
      </c>
      <c r="E5760" s="189" t="s">
        <v>28758</v>
      </c>
      <c r="F5760" s="162" t="s">
        <v>28759</v>
      </c>
      <c r="G5760" s="162" t="s">
        <v>28760</v>
      </c>
      <c r="H5760" s="219"/>
      <c r="I5760" s="169">
        <v>111291</v>
      </c>
      <c r="J5760" s="304" t="str">
        <f>CONCATENATE([2]Cover!$D$6,"fdd/view?i=",I5760)</f>
        <v>https://www.dgiwg.org/FAD/fdd/view?i=111291</v>
      </c>
      <c r="K5760" s="304" t="s">
        <v>39809</v>
      </c>
      <c r="L5760" s="188">
        <v>118</v>
      </c>
      <c r="M5760" s="179" t="s">
        <v>151</v>
      </c>
    </row>
    <row r="5761" spans="1:13" ht="38.25">
      <c r="A5761" s="313" t="str">
        <f t="shared" si="89"/>
        <v>RawMaterialCode_plantMaterial</v>
      </c>
      <c r="B5761" s="330"/>
      <c r="C5761" s="334"/>
      <c r="D5761" s="188" t="s">
        <v>28460</v>
      </c>
      <c r="E5761" s="189" t="s">
        <v>28461</v>
      </c>
      <c r="F5761" s="162" t="s">
        <v>28462</v>
      </c>
      <c r="G5761" s="190"/>
      <c r="H5761" s="219"/>
      <c r="I5761" s="169">
        <v>106880</v>
      </c>
      <c r="J5761" s="304" t="str">
        <f>CONCATENATE([2]Cover!$D$6,"fdd/view?i=",I5761)</f>
        <v>https://www.dgiwg.org/FAD/fdd/view?i=106880</v>
      </c>
      <c r="K5761" s="304" t="s">
        <v>39810</v>
      </c>
      <c r="L5761" s="188">
        <v>33</v>
      </c>
      <c r="M5761" s="179" t="s">
        <v>151</v>
      </c>
    </row>
    <row r="5762" spans="1:13" ht="38.25">
      <c r="A5762" s="313" t="str">
        <f t="shared" si="89"/>
        <v>RawMaterialCode_plastic</v>
      </c>
      <c r="B5762" s="330"/>
      <c r="C5762" s="334"/>
      <c r="D5762" s="188" t="s">
        <v>28464</v>
      </c>
      <c r="E5762" s="189" t="s">
        <v>28465</v>
      </c>
      <c r="F5762" s="162" t="s">
        <v>28466</v>
      </c>
      <c r="G5762" s="162" t="s">
        <v>28467</v>
      </c>
      <c r="H5762" s="219"/>
      <c r="I5762" s="169">
        <v>106907</v>
      </c>
      <c r="J5762" s="304" t="str">
        <f>CONCATENATE([2]Cover!$D$6,"fdd/view?i=",I5762)</f>
        <v>https://www.dgiwg.org/FAD/fdd/view?i=106907</v>
      </c>
      <c r="K5762" s="304" t="s">
        <v>39811</v>
      </c>
      <c r="L5762" s="188">
        <v>60</v>
      </c>
      <c r="M5762" s="179" t="s">
        <v>151</v>
      </c>
    </row>
    <row r="5763" spans="1:13" ht="25.5">
      <c r="A5763" s="313" t="str">
        <f t="shared" ref="A5763:A5826" si="90">HYPERLINK(J5763,K5763)</f>
        <v>RawMaterialCode_radioactiveMaterial</v>
      </c>
      <c r="B5763" s="330"/>
      <c r="C5763" s="334"/>
      <c r="D5763" s="188" t="s">
        <v>18830</v>
      </c>
      <c r="E5763" s="189" t="s">
        <v>18831</v>
      </c>
      <c r="F5763" s="162" t="s">
        <v>18832</v>
      </c>
      <c r="G5763" s="190"/>
      <c r="H5763" s="219"/>
      <c r="I5763" s="169">
        <v>106911</v>
      </c>
      <c r="J5763" s="304" t="str">
        <f>CONCATENATE([2]Cover!$D$6,"fdd/view?i=",I5763)</f>
        <v>https://www.dgiwg.org/FAD/fdd/view?i=106911</v>
      </c>
      <c r="K5763" s="304" t="s">
        <v>39812</v>
      </c>
      <c r="L5763" s="188">
        <v>64</v>
      </c>
      <c r="M5763" s="179" t="s">
        <v>151</v>
      </c>
    </row>
    <row r="5764" spans="1:13" ht="51">
      <c r="A5764" s="313" t="str">
        <f t="shared" si="90"/>
        <v>RawMaterialCode_rubber</v>
      </c>
      <c r="B5764" s="330"/>
      <c r="C5764" s="334"/>
      <c r="D5764" s="188" t="s">
        <v>19572</v>
      </c>
      <c r="E5764" s="189" t="s">
        <v>19573</v>
      </c>
      <c r="F5764" s="162" t="s">
        <v>28783</v>
      </c>
      <c r="G5764" s="162" t="s">
        <v>28784</v>
      </c>
      <c r="H5764" s="219"/>
      <c r="I5764" s="169">
        <v>106913</v>
      </c>
      <c r="J5764" s="304" t="str">
        <f>CONCATENATE([2]Cover!$D$6,"fdd/view?i=",I5764)</f>
        <v>https://www.dgiwg.org/FAD/fdd/view?i=106913</v>
      </c>
      <c r="K5764" s="304" t="s">
        <v>39813</v>
      </c>
      <c r="L5764" s="188">
        <v>66</v>
      </c>
      <c r="M5764" s="179" t="s">
        <v>151</v>
      </c>
    </row>
    <row r="5765" spans="1:13" ht="38.25">
      <c r="A5765" s="313" t="str">
        <f t="shared" si="90"/>
        <v>RawMaterialCode_salt</v>
      </c>
      <c r="B5765" s="330"/>
      <c r="C5765" s="334"/>
      <c r="D5765" s="188" t="s">
        <v>28785</v>
      </c>
      <c r="E5765" s="189" t="s">
        <v>28786</v>
      </c>
      <c r="F5765" s="162" t="s">
        <v>28787</v>
      </c>
      <c r="G5765" s="162" t="s">
        <v>28788</v>
      </c>
      <c r="H5765" s="219"/>
      <c r="I5765" s="169">
        <v>106914</v>
      </c>
      <c r="J5765" s="304" t="str">
        <f>CONCATENATE([2]Cover!$D$6,"fdd/view?i=",I5765)</f>
        <v>https://www.dgiwg.org/FAD/fdd/view?i=106914</v>
      </c>
      <c r="K5765" s="304" t="s">
        <v>39814</v>
      </c>
      <c r="L5765" s="188">
        <v>67</v>
      </c>
      <c r="M5765" s="179" t="s">
        <v>151</v>
      </c>
    </row>
    <row r="5766" spans="1:13" ht="76.5">
      <c r="A5766" s="313" t="str">
        <f t="shared" si="90"/>
        <v>RawMaterialCode_sand</v>
      </c>
      <c r="B5766" s="330"/>
      <c r="C5766" s="334"/>
      <c r="D5766" s="188" t="s">
        <v>15137</v>
      </c>
      <c r="E5766" s="189" t="s">
        <v>15138</v>
      </c>
      <c r="F5766" s="162" t="s">
        <v>18114</v>
      </c>
      <c r="G5766" s="162" t="s">
        <v>18115</v>
      </c>
      <c r="H5766" s="219"/>
      <c r="I5766" s="169">
        <v>106915</v>
      </c>
      <c r="J5766" s="304" t="str">
        <f>CONCATENATE([2]Cover!$D$6,"fdd/view?i=",I5766)</f>
        <v>https://www.dgiwg.org/FAD/fdd/view?i=106915</v>
      </c>
      <c r="K5766" s="304" t="s">
        <v>39815</v>
      </c>
      <c r="L5766" s="188">
        <v>68</v>
      </c>
      <c r="M5766" s="179" t="s">
        <v>151</v>
      </c>
    </row>
    <row r="5767" spans="1:13">
      <c r="A5767" s="313" t="str">
        <f t="shared" si="90"/>
        <v>RawMaterialCode_sewage</v>
      </c>
      <c r="B5767" s="330"/>
      <c r="C5767" s="334"/>
      <c r="D5767" s="188" t="s">
        <v>13360</v>
      </c>
      <c r="E5767" s="189" t="s">
        <v>13361</v>
      </c>
      <c r="F5767" s="162" t="s">
        <v>18840</v>
      </c>
      <c r="G5767" s="190"/>
      <c r="H5767" s="219"/>
      <c r="I5767" s="169">
        <v>106922</v>
      </c>
      <c r="J5767" s="304" t="str">
        <f>CONCATENATE([2]Cover!$D$6,"fdd/view?i=",I5767)</f>
        <v>https://www.dgiwg.org/FAD/fdd/view?i=106922</v>
      </c>
      <c r="K5767" s="304" t="s">
        <v>39816</v>
      </c>
      <c r="L5767" s="188">
        <v>75</v>
      </c>
      <c r="M5767" s="179" t="s">
        <v>151</v>
      </c>
    </row>
    <row r="5768" spans="1:13" ht="38.25">
      <c r="A5768" s="313" t="str">
        <f t="shared" si="90"/>
        <v>RawMaterialCode_silver</v>
      </c>
      <c r="B5768" s="330"/>
      <c r="C5768" s="334"/>
      <c r="D5768" s="188" t="s">
        <v>28797</v>
      </c>
      <c r="E5768" s="189" t="s">
        <v>28798</v>
      </c>
      <c r="F5768" s="162" t="s">
        <v>28799</v>
      </c>
      <c r="G5768" s="190"/>
      <c r="H5768" s="219"/>
      <c r="I5768" s="169">
        <v>106925</v>
      </c>
      <c r="J5768" s="304" t="str">
        <f>CONCATENATE([2]Cover!$D$6,"fdd/view?i=",I5768)</f>
        <v>https://www.dgiwg.org/FAD/fdd/view?i=106925</v>
      </c>
      <c r="K5768" s="304" t="s">
        <v>39817</v>
      </c>
      <c r="L5768" s="188">
        <v>78</v>
      </c>
      <c r="M5768" s="179" t="s">
        <v>151</v>
      </c>
    </row>
    <row r="5769" spans="1:13" ht="25.5">
      <c r="A5769" s="313" t="str">
        <f t="shared" si="90"/>
        <v>RawMaterialCode_snow</v>
      </c>
      <c r="B5769" s="330"/>
      <c r="C5769" s="334"/>
      <c r="D5769" s="188" t="s">
        <v>15140</v>
      </c>
      <c r="E5769" s="189" t="s">
        <v>15141</v>
      </c>
      <c r="F5769" s="162" t="s">
        <v>28800</v>
      </c>
      <c r="G5769" s="162" t="s">
        <v>28801</v>
      </c>
      <c r="H5769" s="219"/>
      <c r="I5769" s="169">
        <v>106926</v>
      </c>
      <c r="J5769" s="304" t="str">
        <f>CONCATENATE([2]Cover!$D$6,"fdd/view?i=",I5769)</f>
        <v>https://www.dgiwg.org/FAD/fdd/view?i=106926</v>
      </c>
      <c r="K5769" s="304" t="s">
        <v>39818</v>
      </c>
      <c r="L5769" s="188">
        <v>79</v>
      </c>
      <c r="M5769" s="179" t="s">
        <v>151</v>
      </c>
    </row>
    <row r="5770" spans="1:13" ht="38.25">
      <c r="A5770" s="313" t="str">
        <f t="shared" si="90"/>
        <v>RawMaterialCode_steel</v>
      </c>
      <c r="B5770" s="330"/>
      <c r="C5770" s="334"/>
      <c r="D5770" s="188" t="s">
        <v>28517</v>
      </c>
      <c r="E5770" s="189" t="s">
        <v>28518</v>
      </c>
      <c r="F5770" s="162" t="s">
        <v>28519</v>
      </c>
      <c r="G5770" s="162" t="s">
        <v>28520</v>
      </c>
      <c r="H5770" s="219"/>
      <c r="I5770" s="169">
        <v>106930</v>
      </c>
      <c r="J5770" s="304" t="str">
        <f>CONCATENATE([2]Cover!$D$6,"fdd/view?i=",I5770)</f>
        <v>https://www.dgiwg.org/FAD/fdd/view?i=106930</v>
      </c>
      <c r="K5770" s="304" t="s">
        <v>39819</v>
      </c>
      <c r="L5770" s="188">
        <v>83</v>
      </c>
      <c r="M5770" s="179" t="s">
        <v>151</v>
      </c>
    </row>
    <row r="5771" spans="1:13" ht="38.25">
      <c r="A5771" s="313" t="str">
        <f t="shared" si="90"/>
        <v>RawMaterialCode_stone</v>
      </c>
      <c r="B5771" s="330"/>
      <c r="C5771" s="334"/>
      <c r="D5771" s="188" t="s">
        <v>15143</v>
      </c>
      <c r="E5771" s="189" t="s">
        <v>15144</v>
      </c>
      <c r="F5771" s="162" t="s">
        <v>28521</v>
      </c>
      <c r="G5771" s="162" t="s">
        <v>28522</v>
      </c>
      <c r="H5771" s="219"/>
      <c r="I5771" s="169">
        <v>106931</v>
      </c>
      <c r="J5771" s="304" t="str">
        <f>CONCATENATE([2]Cover!$D$6,"fdd/view?i=",I5771)</f>
        <v>https://www.dgiwg.org/FAD/fdd/view?i=106931</v>
      </c>
      <c r="K5771" s="304" t="s">
        <v>39820</v>
      </c>
      <c r="L5771" s="188">
        <v>84</v>
      </c>
      <c r="M5771" s="179" t="s">
        <v>151</v>
      </c>
    </row>
    <row r="5772" spans="1:13" ht="63.75">
      <c r="A5772" s="313" t="str">
        <f t="shared" si="90"/>
        <v>RawMaterialCode_sugar</v>
      </c>
      <c r="B5772" s="330"/>
      <c r="C5772" s="334"/>
      <c r="D5772" s="188" t="s">
        <v>28802</v>
      </c>
      <c r="E5772" s="189" t="s">
        <v>28803</v>
      </c>
      <c r="F5772" s="162" t="s">
        <v>28804</v>
      </c>
      <c r="G5772" s="162" t="s">
        <v>28805</v>
      </c>
      <c r="H5772" s="219"/>
      <c r="I5772" s="169">
        <v>106932</v>
      </c>
      <c r="J5772" s="304" t="str">
        <f>CONCATENATE([2]Cover!$D$6,"fdd/view?i=",I5772)</f>
        <v>https://www.dgiwg.org/FAD/fdd/view?i=106932</v>
      </c>
      <c r="K5772" s="304" t="s">
        <v>39821</v>
      </c>
      <c r="L5772" s="188">
        <v>85</v>
      </c>
      <c r="M5772" s="179" t="s">
        <v>151</v>
      </c>
    </row>
    <row r="5773" spans="1:13" ht="38.25">
      <c r="A5773" s="313" t="str">
        <f t="shared" si="90"/>
        <v>RawMaterialCode_sulphur</v>
      </c>
      <c r="B5773" s="330"/>
      <c r="C5773" s="334"/>
      <c r="D5773" s="188" t="s">
        <v>29189</v>
      </c>
      <c r="E5773" s="189" t="s">
        <v>29190</v>
      </c>
      <c r="F5773" s="162" t="s">
        <v>29191</v>
      </c>
      <c r="G5773" s="162" t="s">
        <v>29192</v>
      </c>
      <c r="H5773" s="219"/>
      <c r="J5773" s="304" t="str">
        <f>CONCATENATE([2]Cover!$D$6,"fdd/view?i=",I5773)</f>
        <v>https://www.dgiwg.org/FAD/fdd/view?i=</v>
      </c>
      <c r="K5773" s="304" t="s">
        <v>39822</v>
      </c>
      <c r="L5773" s="188">
        <v>154</v>
      </c>
      <c r="M5773" s="179" t="s">
        <v>151</v>
      </c>
    </row>
    <row r="5774" spans="1:13" ht="25.5">
      <c r="A5774" s="313" t="str">
        <f t="shared" si="90"/>
        <v>RawMaterialCode_textile</v>
      </c>
      <c r="B5774" s="330"/>
      <c r="C5774" s="334"/>
      <c r="D5774" s="188" t="s">
        <v>28806</v>
      </c>
      <c r="E5774" s="189" t="s">
        <v>28807</v>
      </c>
      <c r="F5774" s="162" t="s">
        <v>28808</v>
      </c>
      <c r="G5774" s="190"/>
      <c r="H5774" s="219"/>
      <c r="I5774" s="169">
        <v>106934</v>
      </c>
      <c r="J5774" s="304" t="str">
        <f>CONCATENATE([2]Cover!$D$6,"fdd/view?i=",I5774)</f>
        <v>https://www.dgiwg.org/FAD/fdd/view?i=106934</v>
      </c>
      <c r="K5774" s="304" t="s">
        <v>39823</v>
      </c>
      <c r="L5774" s="188">
        <v>87</v>
      </c>
      <c r="M5774" s="179" t="s">
        <v>151</v>
      </c>
    </row>
    <row r="5775" spans="1:13" ht="38.25">
      <c r="A5775" s="313" t="str">
        <f t="shared" si="90"/>
        <v>RawMaterialCode_tobacco</v>
      </c>
      <c r="B5775" s="330"/>
      <c r="C5775" s="334"/>
      <c r="D5775" s="188" t="s">
        <v>19601</v>
      </c>
      <c r="E5775" s="189" t="s">
        <v>19602</v>
      </c>
      <c r="F5775" s="162" t="s">
        <v>28814</v>
      </c>
      <c r="G5775" s="162" t="s">
        <v>28815</v>
      </c>
      <c r="H5775" s="219"/>
      <c r="I5775" s="169">
        <v>106937</v>
      </c>
      <c r="J5775" s="304" t="str">
        <f>CONCATENATE([2]Cover!$D$6,"fdd/view?i=",I5775)</f>
        <v>https://www.dgiwg.org/FAD/fdd/view?i=106937</v>
      </c>
      <c r="K5775" s="304" t="s">
        <v>39824</v>
      </c>
      <c r="L5775" s="188">
        <v>90</v>
      </c>
      <c r="M5775" s="179" t="s">
        <v>151</v>
      </c>
    </row>
    <row r="5776" spans="1:13" ht="38.25">
      <c r="A5776" s="313" t="str">
        <f t="shared" si="90"/>
        <v>RawMaterialCode_uranium</v>
      </c>
      <c r="B5776" s="330"/>
      <c r="C5776" s="334"/>
      <c r="D5776" s="188" t="s">
        <v>28820</v>
      </c>
      <c r="E5776" s="189" t="s">
        <v>28821</v>
      </c>
      <c r="F5776" s="162" t="s">
        <v>28822</v>
      </c>
      <c r="G5776" s="162" t="s">
        <v>28823</v>
      </c>
      <c r="H5776" s="219"/>
      <c r="I5776" s="169">
        <v>106940</v>
      </c>
      <c r="J5776" s="304" t="str">
        <f>CONCATENATE([2]Cover!$D$6,"fdd/view?i=",I5776)</f>
        <v>https://www.dgiwg.org/FAD/fdd/view?i=106940</v>
      </c>
      <c r="K5776" s="304" t="s">
        <v>39825</v>
      </c>
      <c r="L5776" s="188">
        <v>93</v>
      </c>
      <c r="M5776" s="179" t="s">
        <v>151</v>
      </c>
    </row>
    <row r="5777" spans="1:13">
      <c r="A5777" s="313" t="str">
        <f t="shared" si="90"/>
        <v>RawMaterialCode_vegetation</v>
      </c>
      <c r="B5777" s="330"/>
      <c r="C5777" s="334"/>
      <c r="D5777" s="188" t="s">
        <v>20854</v>
      </c>
      <c r="E5777" s="189" t="s">
        <v>20855</v>
      </c>
      <c r="F5777" s="162" t="s">
        <v>29193</v>
      </c>
      <c r="G5777" s="162" t="s">
        <v>29194</v>
      </c>
      <c r="H5777" s="219"/>
      <c r="I5777" s="169">
        <v>106941</v>
      </c>
      <c r="J5777" s="304" t="str">
        <f>CONCATENATE([2]Cover!$D$6,"fdd/view?i=",I5777)</f>
        <v>https://www.dgiwg.org/FAD/fdd/view?i=106941</v>
      </c>
      <c r="K5777" s="304" t="s">
        <v>39826</v>
      </c>
      <c r="L5777" s="188">
        <v>94</v>
      </c>
      <c r="M5777" s="179" t="s">
        <v>151</v>
      </c>
    </row>
    <row r="5778" spans="1:13" ht="38.25">
      <c r="A5778" s="313" t="str">
        <f t="shared" si="90"/>
        <v>RawMaterialCode_water</v>
      </c>
      <c r="B5778" s="330"/>
      <c r="C5778" s="334"/>
      <c r="D5778" s="188" t="s">
        <v>15146</v>
      </c>
      <c r="E5778" s="189" t="s">
        <v>15147</v>
      </c>
      <c r="F5778" s="162" t="s">
        <v>17397</v>
      </c>
      <c r="G5778" s="162" t="s">
        <v>28538</v>
      </c>
      <c r="H5778" s="219"/>
      <c r="I5778" s="169">
        <v>106943</v>
      </c>
      <c r="J5778" s="304" t="str">
        <f>CONCATENATE([2]Cover!$D$6,"fdd/view?i=",I5778)</f>
        <v>https://www.dgiwg.org/FAD/fdd/view?i=106943</v>
      </c>
      <c r="K5778" s="304" t="s">
        <v>39827</v>
      </c>
      <c r="L5778" s="188">
        <v>96</v>
      </c>
      <c r="M5778" s="179" t="s">
        <v>151</v>
      </c>
    </row>
    <row r="5779" spans="1:13" ht="38.25">
      <c r="A5779" s="313" t="str">
        <f t="shared" si="90"/>
        <v>RawMaterialCode_wood</v>
      </c>
      <c r="B5779" s="330"/>
      <c r="C5779" s="334"/>
      <c r="D5779" s="188" t="s">
        <v>15149</v>
      </c>
      <c r="E5779" s="189" t="s">
        <v>15150</v>
      </c>
      <c r="F5779" s="162" t="s">
        <v>28539</v>
      </c>
      <c r="G5779" s="162" t="s">
        <v>28540</v>
      </c>
      <c r="H5779" s="219"/>
      <c r="I5779" s="169">
        <v>106944</v>
      </c>
      <c r="J5779" s="304" t="str">
        <f>CONCATENATE([2]Cover!$D$6,"fdd/view?i=",I5779)</f>
        <v>https://www.dgiwg.org/FAD/fdd/view?i=106944</v>
      </c>
      <c r="K5779" s="304" t="s">
        <v>39828</v>
      </c>
      <c r="L5779" s="188">
        <v>97</v>
      </c>
      <c r="M5779" s="179" t="s">
        <v>151</v>
      </c>
    </row>
    <row r="5780" spans="1:13" ht="38.25">
      <c r="A5780" s="313" t="str">
        <f t="shared" si="90"/>
        <v>RawMaterialCode_woodFragments</v>
      </c>
      <c r="B5780" s="330"/>
      <c r="C5780" s="334"/>
      <c r="D5780" s="188" t="s">
        <v>29195</v>
      </c>
      <c r="E5780" s="189" t="s">
        <v>29196</v>
      </c>
      <c r="F5780" s="162" t="s">
        <v>29197</v>
      </c>
      <c r="G5780" s="190"/>
      <c r="H5780" s="219"/>
      <c r="I5780" s="169">
        <v>106917</v>
      </c>
      <c r="J5780" s="304" t="str">
        <f>CONCATENATE([2]Cover!$D$6,"fdd/view?i=",I5780)</f>
        <v>https://www.dgiwg.org/FAD/fdd/view?i=106917</v>
      </c>
      <c r="K5780" s="304" t="s">
        <v>39829</v>
      </c>
      <c r="L5780" s="188">
        <v>70</v>
      </c>
      <c r="M5780" s="179" t="s">
        <v>151</v>
      </c>
    </row>
    <row r="5781" spans="1:13" ht="25.5">
      <c r="A5781" s="313" t="str">
        <f t="shared" si="90"/>
        <v>RawMaterialCode_zinc</v>
      </c>
      <c r="B5781" s="331"/>
      <c r="C5781" s="335"/>
      <c r="D5781" s="181" t="s">
        <v>28840</v>
      </c>
      <c r="E5781" s="192" t="s">
        <v>28841</v>
      </c>
      <c r="F5781" s="193" t="s">
        <v>28842</v>
      </c>
      <c r="G5781" s="193" t="s">
        <v>28843</v>
      </c>
      <c r="H5781" s="220"/>
      <c r="I5781" s="169">
        <v>106946</v>
      </c>
      <c r="J5781" s="304" t="str">
        <f>CONCATENATE([2]Cover!$D$6,"fdd/view?i=",I5781)</f>
        <v>https://www.dgiwg.org/FAD/fdd/view?i=106946</v>
      </c>
      <c r="K5781" s="304" t="s">
        <v>39830</v>
      </c>
      <c r="L5781" s="181">
        <v>99</v>
      </c>
      <c r="M5781" s="179" t="s">
        <v>151</v>
      </c>
    </row>
    <row r="5782" spans="1:13" ht="38.25">
      <c r="A5782" s="313" t="str">
        <f t="shared" si="90"/>
        <v>RedCrossAdminRegionTypeCode_certServiceDeliveryUnitArea</v>
      </c>
      <c r="B5782" s="332" t="str">
        <f>HYPERLINK("[#]Datatypes!A1134:L1134","RedCrossAdminRegionTypeCode")</f>
        <v>RedCrossAdminRegionTypeCode</v>
      </c>
      <c r="C5782" s="333" t="s">
        <v>12726</v>
      </c>
      <c r="D5782" s="202" t="s">
        <v>29198</v>
      </c>
      <c r="E5782" s="203" t="s">
        <v>29199</v>
      </c>
      <c r="F5782" s="204" t="s">
        <v>29200</v>
      </c>
      <c r="G5782" s="205"/>
      <c r="H5782" s="218"/>
      <c r="I5782" s="169">
        <v>204724</v>
      </c>
      <c r="J5782" s="304" t="str">
        <f>CONCATENATE([2]Cover!$D$6,"fdd/view?i=",I5782)</f>
        <v>https://www.dgiwg.org/FAD/fdd/view?i=204724</v>
      </c>
      <c r="K5782" s="304" t="s">
        <v>39831</v>
      </c>
      <c r="L5782" s="202">
        <v>6</v>
      </c>
      <c r="M5782" s="179" t="s">
        <v>1295</v>
      </c>
    </row>
    <row r="5783" spans="1:13" ht="25.5">
      <c r="A5783" s="313" t="str">
        <f t="shared" si="90"/>
        <v>RedCrossAdminRegionTypeCode_chapterArea</v>
      </c>
      <c r="B5783" s="330"/>
      <c r="C5783" s="334"/>
      <c r="D5783" s="188" t="s">
        <v>29201</v>
      </c>
      <c r="E5783" s="189" t="s">
        <v>29202</v>
      </c>
      <c r="F5783" s="162" t="s">
        <v>29203</v>
      </c>
      <c r="G5783" s="190"/>
      <c r="H5783" s="219"/>
      <c r="I5783" s="169">
        <v>204721</v>
      </c>
      <c r="J5783" s="304" t="str">
        <f>CONCATENATE([2]Cover!$D$6,"fdd/view?i=",I5783)</f>
        <v>https://www.dgiwg.org/FAD/fdd/view?i=204721</v>
      </c>
      <c r="K5783" s="304" t="s">
        <v>39832</v>
      </c>
      <c r="L5783" s="188">
        <v>3</v>
      </c>
      <c r="M5783" s="179" t="s">
        <v>1295</v>
      </c>
    </row>
    <row r="5784" spans="1:13" ht="114.75">
      <c r="A5784" s="313" t="str">
        <f t="shared" si="90"/>
        <v>RedCrossAdminRegionTypeCode_region</v>
      </c>
      <c r="B5784" s="330"/>
      <c r="C5784" s="334"/>
      <c r="D5784" s="188" t="s">
        <v>27273</v>
      </c>
      <c r="E5784" s="189" t="s">
        <v>27274</v>
      </c>
      <c r="F5784" s="162" t="s">
        <v>29204</v>
      </c>
      <c r="G5784" s="162" t="s">
        <v>29205</v>
      </c>
      <c r="H5784" s="219"/>
      <c r="I5784" s="169">
        <v>204719</v>
      </c>
      <c r="J5784" s="304" t="str">
        <f>CONCATENATE([2]Cover!$D$6,"fdd/view?i=",I5784)</f>
        <v>https://www.dgiwg.org/FAD/fdd/view?i=204719</v>
      </c>
      <c r="K5784" s="304" t="s">
        <v>39833</v>
      </c>
      <c r="L5784" s="188">
        <v>1</v>
      </c>
      <c r="M5784" s="179" t="s">
        <v>1295</v>
      </c>
    </row>
    <row r="5785" spans="1:13" ht="51">
      <c r="A5785" s="313" t="str">
        <f t="shared" si="90"/>
        <v>RedCrossAdminRegionTypeCode_serviceArea</v>
      </c>
      <c r="B5785" s="330"/>
      <c r="C5785" s="334"/>
      <c r="D5785" s="188" t="s">
        <v>29206</v>
      </c>
      <c r="E5785" s="189" t="s">
        <v>29207</v>
      </c>
      <c r="F5785" s="162" t="s">
        <v>29208</v>
      </c>
      <c r="G5785" s="162" t="s">
        <v>29209</v>
      </c>
      <c r="H5785" s="219"/>
      <c r="I5785" s="169">
        <v>204720</v>
      </c>
      <c r="J5785" s="304" t="str">
        <f>CONCATENATE([2]Cover!$D$6,"fdd/view?i=",I5785)</f>
        <v>https://www.dgiwg.org/FAD/fdd/view?i=204720</v>
      </c>
      <c r="K5785" s="304" t="s">
        <v>39834</v>
      </c>
      <c r="L5785" s="188">
        <v>2</v>
      </c>
      <c r="M5785" s="179" t="s">
        <v>1295</v>
      </c>
    </row>
    <row r="5786" spans="1:13" ht="38.25">
      <c r="A5786" s="313" t="str">
        <f t="shared" si="90"/>
        <v>RedCrossAdminRegionTypeCode_stateCoordChapterArea</v>
      </c>
      <c r="B5786" s="330"/>
      <c r="C5786" s="334"/>
      <c r="D5786" s="188" t="s">
        <v>29210</v>
      </c>
      <c r="E5786" s="189" t="s">
        <v>29211</v>
      </c>
      <c r="F5786" s="162" t="s">
        <v>29212</v>
      </c>
      <c r="G5786" s="162" t="s">
        <v>29213</v>
      </c>
      <c r="H5786" s="219"/>
      <c r="I5786" s="169">
        <v>204722</v>
      </c>
      <c r="J5786" s="304" t="str">
        <f>CONCATENATE([2]Cover!$D$6,"fdd/view?i=",I5786)</f>
        <v>https://www.dgiwg.org/FAD/fdd/view?i=204722</v>
      </c>
      <c r="K5786" s="304" t="s">
        <v>39835</v>
      </c>
      <c r="L5786" s="188">
        <v>4</v>
      </c>
      <c r="M5786" s="179" t="s">
        <v>1295</v>
      </c>
    </row>
    <row r="5787" spans="1:13" ht="25.5">
      <c r="A5787" s="313" t="str">
        <f t="shared" si="90"/>
        <v>RedCrossAdminRegionTypeCode_stateServiceDeliveryArea</v>
      </c>
      <c r="B5787" s="331"/>
      <c r="C5787" s="335"/>
      <c r="D5787" s="181" t="s">
        <v>29214</v>
      </c>
      <c r="E5787" s="192" t="s">
        <v>29215</v>
      </c>
      <c r="F5787" s="193" t="s">
        <v>29216</v>
      </c>
      <c r="G5787" s="193" t="s">
        <v>29217</v>
      </c>
      <c r="H5787" s="220"/>
      <c r="I5787" s="169">
        <v>204723</v>
      </c>
      <c r="J5787" s="304" t="str">
        <f>CONCATENATE([2]Cover!$D$6,"fdd/view?i=",I5787)</f>
        <v>https://www.dgiwg.org/FAD/fdd/view?i=204723</v>
      </c>
      <c r="K5787" s="304" t="s">
        <v>39836</v>
      </c>
      <c r="L5787" s="181">
        <v>5</v>
      </c>
      <c r="M5787" s="179" t="s">
        <v>1295</v>
      </c>
    </row>
    <row r="5788" spans="1:13" ht="51">
      <c r="A5788" s="313" t="str">
        <f t="shared" si="90"/>
        <v>RvsmPointTypeCode_rvsmEntryExitPoint</v>
      </c>
      <c r="B5788" s="332" t="str">
        <f>HYPERLINK("[#]Datatypes!A1136:L1136","RvsmPointTypeCode")</f>
        <v>RvsmPointTypeCode</v>
      </c>
      <c r="C5788" s="333" t="s">
        <v>12728</v>
      </c>
      <c r="D5788" s="202" t="s">
        <v>29218</v>
      </c>
      <c r="E5788" s="203" t="s">
        <v>29219</v>
      </c>
      <c r="F5788" s="204" t="s">
        <v>29220</v>
      </c>
      <c r="G5788" s="205"/>
      <c r="H5788" s="218"/>
      <c r="I5788" s="169">
        <v>115402</v>
      </c>
      <c r="J5788" s="304" t="str">
        <f>CONCATENATE([2]Cover!$D$6,"fdd/view?i=",I5788)</f>
        <v>https://www.dgiwg.org/FAD/fdd/view?i=115402</v>
      </c>
      <c r="K5788" s="304" t="s">
        <v>39837</v>
      </c>
      <c r="L5788" s="202">
        <v>3</v>
      </c>
      <c r="M5788" s="179" t="s">
        <v>151</v>
      </c>
    </row>
    <row r="5789" spans="1:13" ht="51">
      <c r="A5789" s="313" t="str">
        <f t="shared" si="90"/>
        <v>RvsmPointTypeCode_rvsmEntryPoint</v>
      </c>
      <c r="B5789" s="330"/>
      <c r="C5789" s="334"/>
      <c r="D5789" s="188" t="s">
        <v>29221</v>
      </c>
      <c r="E5789" s="189" t="s">
        <v>29222</v>
      </c>
      <c r="F5789" s="162" t="s">
        <v>29223</v>
      </c>
      <c r="G5789" s="162" t="s">
        <v>29224</v>
      </c>
      <c r="H5789" s="219"/>
      <c r="I5789" s="169">
        <v>115403</v>
      </c>
      <c r="J5789" s="304" t="str">
        <f>CONCATENATE([2]Cover!$D$6,"fdd/view?i=",I5789)</f>
        <v>https://www.dgiwg.org/FAD/fdd/view?i=115403</v>
      </c>
      <c r="K5789" s="304" t="s">
        <v>39838</v>
      </c>
      <c r="L5789" s="188">
        <v>1</v>
      </c>
      <c r="M5789" s="179" t="s">
        <v>151</v>
      </c>
    </row>
    <row r="5790" spans="1:13" ht="51">
      <c r="A5790" s="313" t="str">
        <f t="shared" si="90"/>
        <v>RvsmPointTypeCode_rvsmExitPoint</v>
      </c>
      <c r="B5790" s="331"/>
      <c r="C5790" s="335"/>
      <c r="D5790" s="181" t="s">
        <v>29225</v>
      </c>
      <c r="E5790" s="192" t="s">
        <v>29226</v>
      </c>
      <c r="F5790" s="193" t="s">
        <v>29227</v>
      </c>
      <c r="G5790" s="193" t="s">
        <v>29224</v>
      </c>
      <c r="H5790" s="220"/>
      <c r="I5790" s="169">
        <v>115404</v>
      </c>
      <c r="J5790" s="304" t="str">
        <f>CONCATENATE([2]Cover!$D$6,"fdd/view?i=",I5790)</f>
        <v>https://www.dgiwg.org/FAD/fdd/view?i=115404</v>
      </c>
      <c r="K5790" s="304" t="s">
        <v>39839</v>
      </c>
      <c r="L5790" s="181">
        <v>2</v>
      </c>
      <c r="M5790" s="179" t="s">
        <v>151</v>
      </c>
    </row>
    <row r="5791" spans="1:13" ht="25.5">
      <c r="A5791" s="313" t="str">
        <f t="shared" si="90"/>
        <v>RefPointDetermineMethodCode_hostProvided</v>
      </c>
      <c r="B5791" s="332" t="str">
        <f>HYPERLINK("[#]Datatypes!A1140:L1140","RefPointDetermineMethodCode")</f>
        <v>RefPointDetermineMethodCode</v>
      </c>
      <c r="C5791" s="333" t="s">
        <v>12733</v>
      </c>
      <c r="D5791" s="202" t="s">
        <v>29228</v>
      </c>
      <c r="E5791" s="203" t="s">
        <v>29229</v>
      </c>
      <c r="F5791" s="204" t="s">
        <v>29230</v>
      </c>
      <c r="G5791" s="205"/>
      <c r="H5791" s="218"/>
      <c r="I5791" s="169">
        <v>119637</v>
      </c>
      <c r="J5791" s="304" t="str">
        <f>CONCATENATE([2]Cover!$D$6,"fdd/view?i=",I5791)</f>
        <v>https://www.dgiwg.org/FAD/fdd/view?i=119637</v>
      </c>
      <c r="K5791" s="304" t="s">
        <v>39840</v>
      </c>
      <c r="L5791" s="202">
        <v>9</v>
      </c>
      <c r="M5791" s="179" t="s">
        <v>151</v>
      </c>
    </row>
    <row r="5792" spans="1:13" ht="38.25">
      <c r="A5792" s="313" t="str">
        <f t="shared" si="90"/>
        <v>RefPointDetermineMethodCode_intersectRunwaysFormIntTri</v>
      </c>
      <c r="B5792" s="330"/>
      <c r="C5792" s="334"/>
      <c r="D5792" s="188" t="s">
        <v>29231</v>
      </c>
      <c r="E5792" s="189" t="s">
        <v>29232</v>
      </c>
      <c r="F5792" s="162" t="s">
        <v>29233</v>
      </c>
      <c r="G5792" s="190"/>
      <c r="H5792" s="219"/>
      <c r="I5792" s="169">
        <v>107254</v>
      </c>
      <c r="J5792" s="304" t="str">
        <f>CONCATENATE([2]Cover!$D$6,"fdd/view?i=",I5792)</f>
        <v>https://www.dgiwg.org/FAD/fdd/view?i=107254</v>
      </c>
      <c r="K5792" s="304" t="s">
        <v>39841</v>
      </c>
      <c r="L5792" s="188">
        <v>5</v>
      </c>
      <c r="M5792" s="179" t="s">
        <v>151</v>
      </c>
    </row>
    <row r="5793" spans="1:13" ht="25.5">
      <c r="A5793" s="313" t="str">
        <f t="shared" si="90"/>
        <v>RefPointDetermineMethodCode_oneRunway</v>
      </c>
      <c r="B5793" s="330"/>
      <c r="C5793" s="334"/>
      <c r="D5793" s="188" t="s">
        <v>29234</v>
      </c>
      <c r="E5793" s="189" t="s">
        <v>29235</v>
      </c>
      <c r="F5793" s="162" t="s">
        <v>29236</v>
      </c>
      <c r="G5793" s="190"/>
      <c r="H5793" s="219"/>
      <c r="I5793" s="169">
        <v>107250</v>
      </c>
      <c r="J5793" s="304" t="str">
        <f>CONCATENATE([2]Cover!$D$6,"fdd/view?i=",I5793)</f>
        <v>https://www.dgiwg.org/FAD/fdd/view?i=107250</v>
      </c>
      <c r="K5793" s="304" t="s">
        <v>39842</v>
      </c>
      <c r="L5793" s="188">
        <v>1</v>
      </c>
      <c r="M5793" s="179" t="s">
        <v>151</v>
      </c>
    </row>
    <row r="5794" spans="1:13" ht="25.5">
      <c r="A5794" s="313" t="str">
        <f t="shared" si="90"/>
        <v>RefPointDetermineMethodCode_runwaysIntersectingAtPoint</v>
      </c>
      <c r="B5794" s="330"/>
      <c r="C5794" s="334"/>
      <c r="D5794" s="188" t="s">
        <v>29237</v>
      </c>
      <c r="E5794" s="189" t="s">
        <v>29238</v>
      </c>
      <c r="F5794" s="162" t="s">
        <v>29239</v>
      </c>
      <c r="G5794" s="190"/>
      <c r="H5794" s="219"/>
      <c r="I5794" s="169">
        <v>107253</v>
      </c>
      <c r="J5794" s="304" t="str">
        <f>CONCATENATE([2]Cover!$D$6,"fdd/view?i=",I5794)</f>
        <v>https://www.dgiwg.org/FAD/fdd/view?i=107253</v>
      </c>
      <c r="K5794" s="304" t="s">
        <v>39843</v>
      </c>
      <c r="L5794" s="188">
        <v>4</v>
      </c>
      <c r="M5794" s="179" t="s">
        <v>151</v>
      </c>
    </row>
    <row r="5795" spans="1:13" ht="38.25">
      <c r="A5795" s="313" t="str">
        <f t="shared" si="90"/>
        <v>RefPointDetermineMethodCode_threeMoreParaOrNonConnect</v>
      </c>
      <c r="B5795" s="330"/>
      <c r="C5795" s="334"/>
      <c r="D5795" s="188" t="s">
        <v>29240</v>
      </c>
      <c r="E5795" s="189" t="s">
        <v>29241</v>
      </c>
      <c r="F5795" s="162" t="s">
        <v>29242</v>
      </c>
      <c r="G5795" s="190"/>
      <c r="H5795" s="219"/>
      <c r="I5795" s="169">
        <v>107252</v>
      </c>
      <c r="J5795" s="304" t="str">
        <f>CONCATENATE([2]Cover!$D$6,"fdd/view?i=",I5795)</f>
        <v>https://www.dgiwg.org/FAD/fdd/view?i=107252</v>
      </c>
      <c r="K5795" s="304" t="s">
        <v>39844</v>
      </c>
      <c r="L5795" s="188">
        <v>3</v>
      </c>
      <c r="M5795" s="179" t="s">
        <v>151</v>
      </c>
    </row>
    <row r="5796" spans="1:13" ht="38.25">
      <c r="A5796" s="313" t="str">
        <f t="shared" si="90"/>
        <v>RefPointDetermineMethodCode_twoParaOrNonConnectSemi</v>
      </c>
      <c r="B5796" s="330"/>
      <c r="C5796" s="334"/>
      <c r="D5796" s="188" t="s">
        <v>29243</v>
      </c>
      <c r="E5796" s="189" t="s">
        <v>29244</v>
      </c>
      <c r="F5796" s="162" t="s">
        <v>29245</v>
      </c>
      <c r="G5796" s="190"/>
      <c r="H5796" s="219"/>
      <c r="I5796" s="169">
        <v>107251</v>
      </c>
      <c r="J5796" s="304" t="str">
        <f>CONCATENATE([2]Cover!$D$6,"fdd/view?i=",I5796)</f>
        <v>https://www.dgiwg.org/FAD/fdd/view?i=107251</v>
      </c>
      <c r="K5796" s="304" t="s">
        <v>39845</v>
      </c>
      <c r="L5796" s="188">
        <v>2</v>
      </c>
      <c r="M5796" s="179" t="s">
        <v>151</v>
      </c>
    </row>
    <row r="5797" spans="1:13" ht="38.25">
      <c r="A5797" s="313" t="str">
        <f t="shared" si="90"/>
        <v>RefPointDetermineMethodCode_twoRunwaysDiverge90DegLess</v>
      </c>
      <c r="B5797" s="330"/>
      <c r="C5797" s="334"/>
      <c r="D5797" s="188" t="s">
        <v>29246</v>
      </c>
      <c r="E5797" s="189" t="s">
        <v>29247</v>
      </c>
      <c r="F5797" s="162" t="s">
        <v>29248</v>
      </c>
      <c r="G5797" s="190"/>
      <c r="H5797" s="219"/>
      <c r="I5797" s="169">
        <v>107255</v>
      </c>
      <c r="J5797" s="304" t="str">
        <f>CONCATENATE([2]Cover!$D$6,"fdd/view?i=",I5797)</f>
        <v>https://www.dgiwg.org/FAD/fdd/view?i=107255</v>
      </c>
      <c r="K5797" s="304" t="s">
        <v>39846</v>
      </c>
      <c r="L5797" s="188">
        <v>6</v>
      </c>
      <c r="M5797" s="179" t="s">
        <v>151</v>
      </c>
    </row>
    <row r="5798" spans="1:13" ht="38.25">
      <c r="A5798" s="313" t="str">
        <f t="shared" si="90"/>
        <v>RefPointDetermineMethodCode_twoRunwaysDivergeOver90Deg</v>
      </c>
      <c r="B5798" s="330"/>
      <c r="C5798" s="334"/>
      <c r="D5798" s="188" t="s">
        <v>29249</v>
      </c>
      <c r="E5798" s="189" t="s">
        <v>29250</v>
      </c>
      <c r="F5798" s="162" t="s">
        <v>29251</v>
      </c>
      <c r="G5798" s="190"/>
      <c r="H5798" s="219"/>
      <c r="I5798" s="169">
        <v>107256</v>
      </c>
      <c r="J5798" s="304" t="str">
        <f>CONCATENATE([2]Cover!$D$6,"fdd/view?i=",I5798)</f>
        <v>https://www.dgiwg.org/FAD/fdd/view?i=107256</v>
      </c>
      <c r="K5798" s="304" t="s">
        <v>39847</v>
      </c>
      <c r="L5798" s="188">
        <v>7</v>
      </c>
      <c r="M5798" s="179" t="s">
        <v>151</v>
      </c>
    </row>
    <row r="5799" spans="1:13" ht="25.5">
      <c r="A5799" s="313" t="str">
        <f t="shared" si="90"/>
        <v>RefPointDetermineMethodCode_widelySeparatedRunways</v>
      </c>
      <c r="B5799" s="331"/>
      <c r="C5799" s="335"/>
      <c r="D5799" s="181" t="s">
        <v>29252</v>
      </c>
      <c r="E5799" s="192" t="s">
        <v>29253</v>
      </c>
      <c r="F5799" s="193" t="s">
        <v>29254</v>
      </c>
      <c r="G5799" s="194"/>
      <c r="H5799" s="220"/>
      <c r="I5799" s="169">
        <v>107257</v>
      </c>
      <c r="J5799" s="304" t="str">
        <f>CONCATENATE([2]Cover!$D$6,"fdd/view?i=",I5799)</f>
        <v>https://www.dgiwg.org/FAD/fdd/view?i=107257</v>
      </c>
      <c r="K5799" s="304" t="s">
        <v>39848</v>
      </c>
      <c r="L5799" s="181">
        <v>8</v>
      </c>
      <c r="M5799" s="179" t="s">
        <v>151</v>
      </c>
    </row>
    <row r="5800" spans="1:13" ht="25.5">
      <c r="A5800" s="313" t="str">
        <f t="shared" si="90"/>
        <v>ReferenceWaterLevelCode_highTide</v>
      </c>
      <c r="B5800" s="332" t="str">
        <f>HYPERLINK("[#]Datatypes!A1146:L1146","ReferenceWaterLevelCode")</f>
        <v>ReferenceWaterLevelCode</v>
      </c>
      <c r="C5800" s="333" t="s">
        <v>12741</v>
      </c>
      <c r="D5800" s="202" t="s">
        <v>29255</v>
      </c>
      <c r="E5800" s="203" t="s">
        <v>29256</v>
      </c>
      <c r="F5800" s="204" t="s">
        <v>29257</v>
      </c>
      <c r="G5800" s="205"/>
      <c r="H5800" s="218"/>
      <c r="I5800" s="169">
        <v>110815</v>
      </c>
      <c r="J5800" s="304" t="str">
        <f>CONCATENATE([2]Cover!$D$6,"fdd/view?i=",I5800)</f>
        <v>https://www.dgiwg.org/FAD/fdd/view?i=110815</v>
      </c>
      <c r="K5800" s="304" t="s">
        <v>39849</v>
      </c>
      <c r="L5800" s="202">
        <v>1</v>
      </c>
      <c r="M5800" s="179" t="s">
        <v>151</v>
      </c>
    </row>
    <row r="5801" spans="1:13">
      <c r="A5801" s="313" t="str">
        <f t="shared" si="90"/>
        <v>ReferenceWaterLevelCode_lowTide</v>
      </c>
      <c r="B5801" s="331"/>
      <c r="C5801" s="335"/>
      <c r="D5801" s="181" t="s">
        <v>29258</v>
      </c>
      <c r="E5801" s="192" t="s">
        <v>29259</v>
      </c>
      <c r="F5801" s="193" t="s">
        <v>29260</v>
      </c>
      <c r="G5801" s="194"/>
      <c r="H5801" s="220"/>
      <c r="I5801" s="169">
        <v>110816</v>
      </c>
      <c r="J5801" s="304" t="str">
        <f>CONCATENATE([2]Cover!$D$6,"fdd/view?i=",I5801)</f>
        <v>https://www.dgiwg.org/FAD/fdd/view?i=110816</v>
      </c>
      <c r="K5801" s="304" t="s">
        <v>39850</v>
      </c>
      <c r="L5801" s="181">
        <v>2</v>
      </c>
      <c r="M5801" s="179" t="s">
        <v>151</v>
      </c>
    </row>
    <row r="5802" spans="1:13" ht="25.5">
      <c r="A5802" s="313" t="str">
        <f t="shared" si="90"/>
        <v>RegulatorySignTypeCode_maritimeNoticeBoard</v>
      </c>
      <c r="B5802" s="332" t="str">
        <f>HYPERLINK("[#]Datatypes!A1148:L1148","RegulatorySignTypeCode")</f>
        <v>RegulatorySignTypeCode</v>
      </c>
      <c r="C5802" s="333" t="s">
        <v>12743</v>
      </c>
      <c r="D5802" s="202" t="s">
        <v>29261</v>
      </c>
      <c r="E5802" s="203" t="s">
        <v>3120</v>
      </c>
      <c r="F5802" s="204" t="s">
        <v>3121</v>
      </c>
      <c r="G5802" s="205"/>
      <c r="H5802" s="218"/>
      <c r="I5802" s="169">
        <v>204265</v>
      </c>
      <c r="J5802" s="304" t="str">
        <f>CONCATENATE([2]Cover!$D$6,"fdd/view?i=",I5802)</f>
        <v>https://www.dgiwg.org/FAD/fdd/view?i=204265</v>
      </c>
      <c r="K5802" s="304" t="s">
        <v>39851</v>
      </c>
      <c r="L5802" s="202">
        <v>1</v>
      </c>
      <c r="M5802" s="179" t="s">
        <v>1295</v>
      </c>
    </row>
    <row r="5803" spans="1:13" ht="38.25">
      <c r="A5803" s="313" t="str">
        <f t="shared" si="90"/>
        <v>RegulatorySignTypeCode_streetSign</v>
      </c>
      <c r="B5803" s="331"/>
      <c r="C5803" s="335"/>
      <c r="D5803" s="181" t="s">
        <v>29262</v>
      </c>
      <c r="E5803" s="192" t="s">
        <v>4133</v>
      </c>
      <c r="F5803" s="193" t="s">
        <v>4134</v>
      </c>
      <c r="G5803" s="194"/>
      <c r="H5803" s="220"/>
      <c r="I5803" s="169">
        <v>204266</v>
      </c>
      <c r="J5803" s="304" t="str">
        <f>CONCATENATE([2]Cover!$D$6,"fdd/view?i=",I5803)</f>
        <v>https://www.dgiwg.org/FAD/fdd/view?i=204266</v>
      </c>
      <c r="K5803" s="304" t="s">
        <v>39852</v>
      </c>
      <c r="L5803" s="181">
        <v>2</v>
      </c>
      <c r="M5803" s="179" t="s">
        <v>1295</v>
      </c>
    </row>
    <row r="5804" spans="1:13" ht="38.25">
      <c r="A5804" s="313" t="str">
        <f t="shared" si="90"/>
        <v>RelativeLevelCode_depressed</v>
      </c>
      <c r="B5804" s="332" t="str">
        <f>HYPERLINK("[#]Datatypes!A1150:L1150","RelativeLevelCode")</f>
        <v>RelativeLevelCode</v>
      </c>
      <c r="C5804" s="333" t="s">
        <v>12745</v>
      </c>
      <c r="D5804" s="202" t="s">
        <v>29263</v>
      </c>
      <c r="E5804" s="203" t="s">
        <v>29264</v>
      </c>
      <c r="F5804" s="204" t="s">
        <v>29265</v>
      </c>
      <c r="G5804" s="204" t="s">
        <v>29266</v>
      </c>
      <c r="H5804" s="218"/>
      <c r="I5804" s="169">
        <v>110330</v>
      </c>
      <c r="J5804" s="304" t="str">
        <f>CONCATENATE([2]Cover!$D$6,"fdd/view?i=",I5804)</f>
        <v>https://www.dgiwg.org/FAD/fdd/view?i=110330</v>
      </c>
      <c r="K5804" s="304" t="s">
        <v>39853</v>
      </c>
      <c r="L5804" s="202">
        <v>3</v>
      </c>
      <c r="M5804" s="179" t="s">
        <v>151</v>
      </c>
    </row>
    <row r="5805" spans="1:13" ht="25.5">
      <c r="A5805" s="313" t="str">
        <f t="shared" si="90"/>
        <v>RelativeLevelCode_level</v>
      </c>
      <c r="B5805" s="330"/>
      <c r="C5805" s="334"/>
      <c r="D5805" s="188" t="s">
        <v>9996</v>
      </c>
      <c r="E5805" s="189" t="s">
        <v>29267</v>
      </c>
      <c r="F5805" s="162" t="s">
        <v>29268</v>
      </c>
      <c r="G5805" s="190"/>
      <c r="H5805" s="219"/>
      <c r="I5805" s="169">
        <v>110329</v>
      </c>
      <c r="J5805" s="304" t="str">
        <f>CONCATENATE([2]Cover!$D$6,"fdd/view?i=",I5805)</f>
        <v>https://www.dgiwg.org/FAD/fdd/view?i=110329</v>
      </c>
      <c r="K5805" s="304" t="s">
        <v>39854</v>
      </c>
      <c r="L5805" s="188">
        <v>2</v>
      </c>
      <c r="M5805" s="179" t="s">
        <v>151</v>
      </c>
    </row>
    <row r="5806" spans="1:13" ht="25.5">
      <c r="A5806" s="313" t="str">
        <f t="shared" si="90"/>
        <v>RelativeLevelCode_raised</v>
      </c>
      <c r="B5806" s="331"/>
      <c r="C5806" s="335"/>
      <c r="D5806" s="181" t="s">
        <v>29269</v>
      </c>
      <c r="E5806" s="192" t="s">
        <v>29270</v>
      </c>
      <c r="F5806" s="193" t="s">
        <v>29271</v>
      </c>
      <c r="G5806" s="193" t="s">
        <v>29272</v>
      </c>
      <c r="H5806" s="220"/>
      <c r="I5806" s="169">
        <v>110328</v>
      </c>
      <c r="J5806" s="304" t="str">
        <f>CONCATENATE([2]Cover!$D$6,"fdd/view?i=",I5806)</f>
        <v>https://www.dgiwg.org/FAD/fdd/view?i=110328</v>
      </c>
      <c r="K5806" s="304" t="s">
        <v>39855</v>
      </c>
      <c r="L5806" s="181">
        <v>1</v>
      </c>
      <c r="M5806" s="179" t="s">
        <v>151</v>
      </c>
    </row>
    <row r="5807" spans="1:13" ht="38.25">
      <c r="A5807" s="313" t="str">
        <f t="shared" si="90"/>
        <v>ReligiousDesignationCode_buddhism</v>
      </c>
      <c r="B5807" s="332" t="str">
        <f>HYPERLINK("[#]Datatypes!A1152:L1152","ReligiousDesignationCode")</f>
        <v>ReligiousDesignationCode</v>
      </c>
      <c r="C5807" s="333" t="s">
        <v>12747</v>
      </c>
      <c r="D5807" s="202" t="s">
        <v>29273</v>
      </c>
      <c r="E5807" s="203" t="s">
        <v>29274</v>
      </c>
      <c r="F5807" s="204" t="s">
        <v>29275</v>
      </c>
      <c r="G5807" s="205"/>
      <c r="H5807" s="218"/>
      <c r="I5807" s="169">
        <v>107129</v>
      </c>
      <c r="J5807" s="304" t="str">
        <f>CONCATENATE([2]Cover!$D$6,"fdd/view?i=",I5807)</f>
        <v>https://www.dgiwg.org/FAD/fdd/view?i=107129</v>
      </c>
      <c r="K5807" s="304" t="s">
        <v>39856</v>
      </c>
      <c r="L5807" s="202">
        <v>1</v>
      </c>
      <c r="M5807" s="179" t="s">
        <v>151</v>
      </c>
    </row>
    <row r="5808" spans="1:13" ht="51">
      <c r="A5808" s="313" t="str">
        <f t="shared" si="90"/>
        <v>ReligiousDesignationCode_chaldean</v>
      </c>
      <c r="B5808" s="330"/>
      <c r="C5808" s="334"/>
      <c r="D5808" s="188" t="s">
        <v>29276</v>
      </c>
      <c r="E5808" s="189" t="s">
        <v>29277</v>
      </c>
      <c r="F5808" s="162" t="s">
        <v>29278</v>
      </c>
      <c r="G5808" s="162" t="s">
        <v>29279</v>
      </c>
      <c r="H5808" s="219"/>
      <c r="I5808" s="169">
        <v>110323</v>
      </c>
      <c r="J5808" s="304" t="str">
        <f>CONCATENATE([2]Cover!$D$6,"fdd/view?i=",I5808)</f>
        <v>https://www.dgiwg.org/FAD/fdd/view?i=110323</v>
      </c>
      <c r="K5808" s="304" t="s">
        <v>39857</v>
      </c>
      <c r="L5808" s="188">
        <v>13</v>
      </c>
      <c r="M5808" s="179" t="s">
        <v>151</v>
      </c>
    </row>
    <row r="5809" spans="1:13" ht="25.5">
      <c r="A5809" s="313" t="str">
        <f t="shared" si="90"/>
        <v>ReligiousDesignationCode_christian</v>
      </c>
      <c r="B5809" s="330"/>
      <c r="C5809" s="334"/>
      <c r="D5809" s="188" t="s">
        <v>29280</v>
      </c>
      <c r="E5809" s="189" t="s">
        <v>29281</v>
      </c>
      <c r="F5809" s="162" t="s">
        <v>29282</v>
      </c>
      <c r="G5809" s="162" t="s">
        <v>29283</v>
      </c>
      <c r="H5809" s="219"/>
      <c r="I5809" s="169">
        <v>107132</v>
      </c>
      <c r="J5809" s="304" t="str">
        <f>CONCATENATE([2]Cover!$D$6,"fdd/view?i=",I5809)</f>
        <v>https://www.dgiwg.org/FAD/fdd/view?i=107132</v>
      </c>
      <c r="K5809" s="304" t="s">
        <v>39858</v>
      </c>
      <c r="L5809" s="188">
        <v>4</v>
      </c>
      <c r="M5809" s="179" t="s">
        <v>151</v>
      </c>
    </row>
    <row r="5810" spans="1:13" ht="38.25">
      <c r="A5810" s="313" t="str">
        <f t="shared" si="90"/>
        <v>ReligiousDesignationCode_hinduism</v>
      </c>
      <c r="B5810" s="330"/>
      <c r="C5810" s="334"/>
      <c r="D5810" s="188" t="s">
        <v>29284</v>
      </c>
      <c r="E5810" s="189" t="s">
        <v>29285</v>
      </c>
      <c r="F5810" s="162" t="s">
        <v>29286</v>
      </c>
      <c r="G5810" s="190"/>
      <c r="H5810" s="219"/>
      <c r="I5810" s="169">
        <v>110319</v>
      </c>
      <c r="J5810" s="304" t="str">
        <f>CONCATENATE([2]Cover!$D$6,"fdd/view?i=",I5810)</f>
        <v>https://www.dgiwg.org/FAD/fdd/view?i=110319</v>
      </c>
      <c r="K5810" s="304" t="s">
        <v>39859</v>
      </c>
      <c r="L5810" s="188">
        <v>9</v>
      </c>
      <c r="M5810" s="179" t="s">
        <v>151</v>
      </c>
    </row>
    <row r="5811" spans="1:13">
      <c r="A5811" s="313" t="str">
        <f t="shared" si="90"/>
        <v>ReligiousDesignationCode_islam</v>
      </c>
      <c r="B5811" s="330"/>
      <c r="C5811" s="334"/>
      <c r="D5811" s="188" t="s">
        <v>29287</v>
      </c>
      <c r="E5811" s="189" t="s">
        <v>29288</v>
      </c>
      <c r="F5811" s="162" t="s">
        <v>29289</v>
      </c>
      <c r="G5811" s="190"/>
      <c r="H5811" s="219"/>
      <c r="I5811" s="169">
        <v>107130</v>
      </c>
      <c r="J5811" s="304" t="str">
        <f>CONCATENATE([2]Cover!$D$6,"fdd/view?i=",I5811)</f>
        <v>https://www.dgiwg.org/FAD/fdd/view?i=107130</v>
      </c>
      <c r="K5811" s="304" t="s">
        <v>39860</v>
      </c>
      <c r="L5811" s="188">
        <v>2</v>
      </c>
      <c r="M5811" s="179" t="s">
        <v>151</v>
      </c>
    </row>
    <row r="5812" spans="1:13" ht="25.5">
      <c r="A5812" s="313" t="str">
        <f t="shared" si="90"/>
        <v>ReligiousDesignationCode_judaism</v>
      </c>
      <c r="B5812" s="330"/>
      <c r="C5812" s="334"/>
      <c r="D5812" s="188" t="s">
        <v>29290</v>
      </c>
      <c r="E5812" s="189" t="s">
        <v>29291</v>
      </c>
      <c r="F5812" s="162" t="s">
        <v>29292</v>
      </c>
      <c r="G5812" s="190"/>
      <c r="H5812" s="219"/>
      <c r="I5812" s="169">
        <v>107133</v>
      </c>
      <c r="J5812" s="304" t="str">
        <f>CONCATENATE([2]Cover!$D$6,"fdd/view?i=",I5812)</f>
        <v>https://www.dgiwg.org/FAD/fdd/view?i=107133</v>
      </c>
      <c r="K5812" s="304" t="s">
        <v>39861</v>
      </c>
      <c r="L5812" s="188">
        <v>5</v>
      </c>
      <c r="M5812" s="179" t="s">
        <v>151</v>
      </c>
    </row>
    <row r="5813" spans="1:13" ht="63.75">
      <c r="A5813" s="313" t="str">
        <f t="shared" si="90"/>
        <v>ReligiousDesignationCode_nestorian</v>
      </c>
      <c r="B5813" s="330"/>
      <c r="C5813" s="334"/>
      <c r="D5813" s="188" t="s">
        <v>29293</v>
      </c>
      <c r="E5813" s="189" t="s">
        <v>29294</v>
      </c>
      <c r="F5813" s="162" t="s">
        <v>29295</v>
      </c>
      <c r="G5813" s="162" t="s">
        <v>29296</v>
      </c>
      <c r="H5813" s="219"/>
      <c r="I5813" s="169">
        <v>110322</v>
      </c>
      <c r="J5813" s="304" t="str">
        <f>CONCATENATE([2]Cover!$D$6,"fdd/view?i=",I5813)</f>
        <v>https://www.dgiwg.org/FAD/fdd/view?i=110322</v>
      </c>
      <c r="K5813" s="304" t="s">
        <v>39862</v>
      </c>
      <c r="L5813" s="188">
        <v>12</v>
      </c>
      <c r="M5813" s="179" t="s">
        <v>151</v>
      </c>
    </row>
    <row r="5814" spans="1:13" ht="51">
      <c r="A5814" s="313" t="str">
        <f t="shared" si="90"/>
        <v>ReligiousDesignationCode_orthodox</v>
      </c>
      <c r="B5814" s="330"/>
      <c r="C5814" s="334"/>
      <c r="D5814" s="188" t="s">
        <v>29297</v>
      </c>
      <c r="E5814" s="189" t="s">
        <v>29298</v>
      </c>
      <c r="F5814" s="162" t="s">
        <v>29299</v>
      </c>
      <c r="G5814" s="190"/>
      <c r="H5814" s="219"/>
      <c r="I5814" s="169">
        <v>109902</v>
      </c>
      <c r="J5814" s="304" t="str">
        <f>CONCATENATE([2]Cover!$D$6,"fdd/view?i=",I5814)</f>
        <v>https://www.dgiwg.org/FAD/fdd/view?i=109902</v>
      </c>
      <c r="K5814" s="304" t="s">
        <v>39863</v>
      </c>
      <c r="L5814" s="188">
        <v>6</v>
      </c>
      <c r="M5814" s="179" t="s">
        <v>151</v>
      </c>
    </row>
    <row r="5815" spans="1:13" ht="76.5">
      <c r="A5815" s="313" t="str">
        <f t="shared" si="90"/>
        <v>ReligiousDesignationCode_protestant</v>
      </c>
      <c r="B5815" s="330"/>
      <c r="C5815" s="334"/>
      <c r="D5815" s="188" t="s">
        <v>29300</v>
      </c>
      <c r="E5815" s="189" t="s">
        <v>29301</v>
      </c>
      <c r="F5815" s="162" t="s">
        <v>29302</v>
      </c>
      <c r="G5815" s="190"/>
      <c r="H5815" s="219"/>
      <c r="I5815" s="169">
        <v>107135</v>
      </c>
      <c r="J5815" s="304" t="str">
        <f>CONCATENATE([2]Cover!$D$6,"fdd/view?i=",I5815)</f>
        <v>https://www.dgiwg.org/FAD/fdd/view?i=107135</v>
      </c>
      <c r="K5815" s="304" t="s">
        <v>39864</v>
      </c>
      <c r="L5815" s="188">
        <v>7</v>
      </c>
      <c r="M5815" s="179" t="s">
        <v>151</v>
      </c>
    </row>
    <row r="5816" spans="1:13" ht="25.5">
      <c r="A5816" s="313" t="str">
        <f t="shared" si="90"/>
        <v>ReligiousDesignationCode_romanCatholic</v>
      </c>
      <c r="B5816" s="330"/>
      <c r="C5816" s="334"/>
      <c r="D5816" s="188" t="s">
        <v>29303</v>
      </c>
      <c r="E5816" s="189" t="s">
        <v>29304</v>
      </c>
      <c r="F5816" s="162" t="s">
        <v>29305</v>
      </c>
      <c r="G5816" s="190"/>
      <c r="H5816" s="219"/>
      <c r="I5816" s="169">
        <v>107131</v>
      </c>
      <c r="J5816" s="304" t="str">
        <f>CONCATENATE([2]Cover!$D$6,"fdd/view?i=",I5816)</f>
        <v>https://www.dgiwg.org/FAD/fdd/view?i=107131</v>
      </c>
      <c r="K5816" s="304" t="s">
        <v>39865</v>
      </c>
      <c r="L5816" s="188">
        <v>3</v>
      </c>
      <c r="M5816" s="179" t="s">
        <v>151</v>
      </c>
    </row>
    <row r="5817" spans="1:13" ht="51">
      <c r="A5817" s="313" t="str">
        <f t="shared" si="90"/>
        <v>ReligiousDesignationCode_shia</v>
      </c>
      <c r="B5817" s="330"/>
      <c r="C5817" s="334"/>
      <c r="D5817" s="188" t="s">
        <v>29306</v>
      </c>
      <c r="E5817" s="189" t="s">
        <v>29307</v>
      </c>
      <c r="F5817" s="162" t="s">
        <v>29308</v>
      </c>
      <c r="G5817" s="190"/>
      <c r="H5817" s="219"/>
      <c r="I5817" s="169">
        <v>110320</v>
      </c>
      <c r="J5817" s="304" t="str">
        <f>CONCATENATE([2]Cover!$D$6,"fdd/view?i=",I5817)</f>
        <v>https://www.dgiwg.org/FAD/fdd/view?i=110320</v>
      </c>
      <c r="K5817" s="304" t="s">
        <v>39866</v>
      </c>
      <c r="L5817" s="188">
        <v>10</v>
      </c>
      <c r="M5817" s="179" t="s">
        <v>151</v>
      </c>
    </row>
    <row r="5818" spans="1:13" ht="38.25">
      <c r="A5818" s="313" t="str">
        <f t="shared" si="90"/>
        <v>ReligiousDesignationCode_shinto</v>
      </c>
      <c r="B5818" s="330"/>
      <c r="C5818" s="334"/>
      <c r="D5818" s="188" t="s">
        <v>29309</v>
      </c>
      <c r="E5818" s="189" t="s">
        <v>29310</v>
      </c>
      <c r="F5818" s="162" t="s">
        <v>29311</v>
      </c>
      <c r="G5818" s="162" t="s">
        <v>29312</v>
      </c>
      <c r="H5818" s="219"/>
      <c r="I5818" s="169">
        <v>107136</v>
      </c>
      <c r="J5818" s="304" t="str">
        <f>CONCATENATE([2]Cover!$D$6,"fdd/view?i=",I5818)</f>
        <v>https://www.dgiwg.org/FAD/fdd/view?i=107136</v>
      </c>
      <c r="K5818" s="304" t="s">
        <v>39867</v>
      </c>
      <c r="L5818" s="188">
        <v>8</v>
      </c>
      <c r="M5818" s="179" t="s">
        <v>151</v>
      </c>
    </row>
    <row r="5819" spans="1:13" ht="51">
      <c r="A5819" s="313" t="str">
        <f t="shared" si="90"/>
        <v>ReligiousDesignationCode_sunni</v>
      </c>
      <c r="B5819" s="331"/>
      <c r="C5819" s="335"/>
      <c r="D5819" s="181" t="s">
        <v>29313</v>
      </c>
      <c r="E5819" s="192" t="s">
        <v>29314</v>
      </c>
      <c r="F5819" s="193" t="s">
        <v>29315</v>
      </c>
      <c r="G5819" s="194"/>
      <c r="H5819" s="220"/>
      <c r="I5819" s="169">
        <v>110321</v>
      </c>
      <c r="J5819" s="304" t="str">
        <f>CONCATENATE([2]Cover!$D$6,"fdd/view?i=",I5819)</f>
        <v>https://www.dgiwg.org/FAD/fdd/view?i=110321</v>
      </c>
      <c r="K5819" s="304" t="s">
        <v>39868</v>
      </c>
      <c r="L5819" s="181">
        <v>11</v>
      </c>
      <c r="M5819" s="179" t="s">
        <v>151</v>
      </c>
    </row>
    <row r="5820" spans="1:13" ht="25.5">
      <c r="A5820" s="313" t="str">
        <f t="shared" si="90"/>
        <v>ReligiousFacilityTypeCode_burialSite</v>
      </c>
      <c r="B5820" s="332" t="str">
        <f>HYPERLINK("[#]Datatypes!A1154:L1154","ReligiousFacilityTypeCode")</f>
        <v>ReligiousFacilityTypeCode</v>
      </c>
      <c r="C5820" s="333" t="s">
        <v>12749</v>
      </c>
      <c r="D5820" s="202" t="s">
        <v>29316</v>
      </c>
      <c r="E5820" s="203" t="s">
        <v>29317</v>
      </c>
      <c r="F5820" s="204" t="s">
        <v>29318</v>
      </c>
      <c r="G5820" s="204" t="s">
        <v>29319</v>
      </c>
      <c r="H5820" s="218"/>
      <c r="I5820" s="169">
        <v>117959</v>
      </c>
      <c r="J5820" s="304" t="str">
        <f>CONCATENATE([2]Cover!$D$6,"fdd/view?i=",I5820)</f>
        <v>https://www.dgiwg.org/FAD/fdd/view?i=117959</v>
      </c>
      <c r="K5820" s="304" t="s">
        <v>39869</v>
      </c>
      <c r="L5820" s="202">
        <v>23</v>
      </c>
      <c r="M5820" s="179" t="s">
        <v>151</v>
      </c>
    </row>
    <row r="5821" spans="1:13" ht="51">
      <c r="A5821" s="313" t="str">
        <f t="shared" si="90"/>
        <v>ReligiousFacilityTypeCode_cathedral</v>
      </c>
      <c r="B5821" s="330"/>
      <c r="C5821" s="334"/>
      <c r="D5821" s="188" t="s">
        <v>29320</v>
      </c>
      <c r="E5821" s="189" t="s">
        <v>29321</v>
      </c>
      <c r="F5821" s="162" t="s">
        <v>29322</v>
      </c>
      <c r="G5821" s="162" t="s">
        <v>29323</v>
      </c>
      <c r="H5821" s="219"/>
      <c r="I5821" s="169">
        <v>112438</v>
      </c>
      <c r="J5821" s="304" t="str">
        <f>CONCATENATE([2]Cover!$D$6,"fdd/view?i=",I5821)</f>
        <v>https://www.dgiwg.org/FAD/fdd/view?i=112438</v>
      </c>
      <c r="K5821" s="304" t="s">
        <v>39870</v>
      </c>
      <c r="L5821" s="188">
        <v>1</v>
      </c>
      <c r="M5821" s="179" t="s">
        <v>151</v>
      </c>
    </row>
    <row r="5822" spans="1:13" ht="76.5">
      <c r="A5822" s="313" t="str">
        <f t="shared" si="90"/>
        <v>ReligiousFacilityTypeCode_chapel</v>
      </c>
      <c r="B5822" s="330"/>
      <c r="C5822" s="334"/>
      <c r="D5822" s="188" t="s">
        <v>29324</v>
      </c>
      <c r="E5822" s="189" t="s">
        <v>29325</v>
      </c>
      <c r="F5822" s="162" t="s">
        <v>29326</v>
      </c>
      <c r="G5822" s="162" t="s">
        <v>29327</v>
      </c>
      <c r="H5822" s="219"/>
      <c r="I5822" s="169">
        <v>112440</v>
      </c>
      <c r="J5822" s="304" t="str">
        <f>CONCATENATE([2]Cover!$D$6,"fdd/view?i=",I5822)</f>
        <v>https://www.dgiwg.org/FAD/fdd/view?i=112440</v>
      </c>
      <c r="K5822" s="304" t="s">
        <v>39871</v>
      </c>
      <c r="L5822" s="188">
        <v>2</v>
      </c>
      <c r="M5822" s="179" t="s">
        <v>151</v>
      </c>
    </row>
    <row r="5823" spans="1:13">
      <c r="A5823" s="313" t="str">
        <f t="shared" si="90"/>
        <v>ReligiousFacilityTypeCode_church</v>
      </c>
      <c r="B5823" s="330"/>
      <c r="C5823" s="334"/>
      <c r="D5823" s="188" t="s">
        <v>29328</v>
      </c>
      <c r="E5823" s="189" t="s">
        <v>29329</v>
      </c>
      <c r="F5823" s="162" t="s">
        <v>29330</v>
      </c>
      <c r="G5823" s="190"/>
      <c r="H5823" s="219"/>
      <c r="I5823" s="169">
        <v>112442</v>
      </c>
      <c r="J5823" s="304" t="str">
        <f>CONCATENATE([2]Cover!$D$6,"fdd/view?i=",I5823)</f>
        <v>https://www.dgiwg.org/FAD/fdd/view?i=112442</v>
      </c>
      <c r="K5823" s="304" t="s">
        <v>39872</v>
      </c>
      <c r="L5823" s="188">
        <v>3</v>
      </c>
      <c r="M5823" s="179" t="s">
        <v>151</v>
      </c>
    </row>
    <row r="5824" spans="1:13" ht="102">
      <c r="A5824" s="313" t="str">
        <f t="shared" si="90"/>
        <v>ReligiousFacilityTypeCode_convent</v>
      </c>
      <c r="B5824" s="330"/>
      <c r="C5824" s="334"/>
      <c r="D5824" s="188" t="s">
        <v>29331</v>
      </c>
      <c r="E5824" s="189" t="s">
        <v>29332</v>
      </c>
      <c r="F5824" s="162" t="s">
        <v>29333</v>
      </c>
      <c r="G5824" s="162" t="s">
        <v>29334</v>
      </c>
      <c r="H5824" s="219"/>
      <c r="I5824" s="169">
        <v>112468</v>
      </c>
      <c r="J5824" s="304" t="str">
        <f>CONCATENATE([2]Cover!$D$6,"fdd/view?i=",I5824)</f>
        <v>https://www.dgiwg.org/FAD/fdd/view?i=112468</v>
      </c>
      <c r="K5824" s="304" t="s">
        <v>39873</v>
      </c>
      <c r="L5824" s="188">
        <v>18</v>
      </c>
      <c r="M5824" s="179" t="s">
        <v>151</v>
      </c>
    </row>
    <row r="5825" spans="1:13" ht="51">
      <c r="A5825" s="313" t="str">
        <f t="shared" si="90"/>
        <v>ReligiousFacilityTypeCode_hermitage</v>
      </c>
      <c r="B5825" s="330"/>
      <c r="C5825" s="334"/>
      <c r="D5825" s="188" t="s">
        <v>29335</v>
      </c>
      <c r="E5825" s="189" t="s">
        <v>29336</v>
      </c>
      <c r="F5825" s="162" t="s">
        <v>29337</v>
      </c>
      <c r="G5825" s="162" t="s">
        <v>29338</v>
      </c>
      <c r="H5825" s="219"/>
      <c r="I5825" s="169">
        <v>112474</v>
      </c>
      <c r="J5825" s="304" t="str">
        <f>CONCATENATE([2]Cover!$D$6,"fdd/view?i=",I5825)</f>
        <v>https://www.dgiwg.org/FAD/fdd/view?i=112474</v>
      </c>
      <c r="K5825" s="304" t="s">
        <v>39874</v>
      </c>
      <c r="L5825" s="188">
        <v>21</v>
      </c>
      <c r="M5825" s="179" t="s">
        <v>151</v>
      </c>
    </row>
    <row r="5826" spans="1:13" ht="89.25">
      <c r="A5826" s="313" t="str">
        <f t="shared" si="90"/>
        <v>ReligiousFacilityTypeCode_marabout</v>
      </c>
      <c r="B5826" s="330"/>
      <c r="C5826" s="334"/>
      <c r="D5826" s="188" t="s">
        <v>29339</v>
      </c>
      <c r="E5826" s="189" t="s">
        <v>29340</v>
      </c>
      <c r="F5826" s="162" t="s">
        <v>29341</v>
      </c>
      <c r="G5826" s="162" t="s">
        <v>29342</v>
      </c>
      <c r="H5826" s="219"/>
      <c r="I5826" s="169">
        <v>112444</v>
      </c>
      <c r="J5826" s="304" t="str">
        <f>CONCATENATE([2]Cover!$D$6,"fdd/view?i=",I5826)</f>
        <v>https://www.dgiwg.org/FAD/fdd/view?i=112444</v>
      </c>
      <c r="K5826" s="304" t="s">
        <v>39875</v>
      </c>
      <c r="L5826" s="188">
        <v>4</v>
      </c>
      <c r="M5826" s="179" t="s">
        <v>151</v>
      </c>
    </row>
    <row r="5827" spans="1:13" ht="51">
      <c r="A5827" s="313" t="str">
        <f t="shared" ref="A5827:A5890" si="91">HYPERLINK(J5827,K5827)</f>
        <v>ReligiousFacilityTypeCode_minaret</v>
      </c>
      <c r="B5827" s="330"/>
      <c r="C5827" s="334"/>
      <c r="D5827" s="188" t="s">
        <v>18424</v>
      </c>
      <c r="E5827" s="189" t="s">
        <v>18425</v>
      </c>
      <c r="F5827" s="162" t="s">
        <v>29343</v>
      </c>
      <c r="G5827" s="162" t="s">
        <v>29344</v>
      </c>
      <c r="H5827" s="219"/>
      <c r="I5827" s="169">
        <v>112446</v>
      </c>
      <c r="J5827" s="304" t="str">
        <f>CONCATENATE([2]Cover!$D$6,"fdd/view?i=",I5827)</f>
        <v>https://www.dgiwg.org/FAD/fdd/view?i=112446</v>
      </c>
      <c r="K5827" s="304" t="s">
        <v>39876</v>
      </c>
      <c r="L5827" s="188">
        <v>5</v>
      </c>
      <c r="M5827" s="179" t="s">
        <v>151</v>
      </c>
    </row>
    <row r="5828" spans="1:13" ht="38.25">
      <c r="A5828" s="313" t="str">
        <f t="shared" si="91"/>
        <v>ReligiousFacilityTypeCode_mission</v>
      </c>
      <c r="B5828" s="330"/>
      <c r="C5828" s="334"/>
      <c r="D5828" s="188" t="s">
        <v>29345</v>
      </c>
      <c r="E5828" s="189" t="s">
        <v>29346</v>
      </c>
      <c r="F5828" s="162" t="s">
        <v>29347</v>
      </c>
      <c r="G5828" s="162" t="s">
        <v>29348</v>
      </c>
      <c r="H5828" s="219"/>
      <c r="I5828" s="169">
        <v>112448</v>
      </c>
      <c r="J5828" s="304" t="str">
        <f>CONCATENATE([2]Cover!$D$6,"fdd/view?i=",I5828)</f>
        <v>https://www.dgiwg.org/FAD/fdd/view?i=112448</v>
      </c>
      <c r="K5828" s="304" t="s">
        <v>39877</v>
      </c>
      <c r="L5828" s="188">
        <v>6</v>
      </c>
      <c r="M5828" s="179" t="s">
        <v>151</v>
      </c>
    </row>
    <row r="5829" spans="1:13" ht="51">
      <c r="A5829" s="313" t="str">
        <f t="shared" si="91"/>
        <v>ReligiousFacilityTypeCode_monastery</v>
      </c>
      <c r="B5829" s="330"/>
      <c r="C5829" s="334"/>
      <c r="D5829" s="188" t="s">
        <v>29349</v>
      </c>
      <c r="E5829" s="189" t="s">
        <v>29350</v>
      </c>
      <c r="F5829" s="162" t="s">
        <v>29351</v>
      </c>
      <c r="G5829" s="162" t="s">
        <v>29352</v>
      </c>
      <c r="H5829" s="219"/>
      <c r="I5829" s="169">
        <v>112470</v>
      </c>
      <c r="J5829" s="304" t="str">
        <f>CONCATENATE([2]Cover!$D$6,"fdd/view?i=",I5829)</f>
        <v>https://www.dgiwg.org/FAD/fdd/view?i=112470</v>
      </c>
      <c r="K5829" s="304" t="s">
        <v>39878</v>
      </c>
      <c r="L5829" s="188">
        <v>19</v>
      </c>
      <c r="M5829" s="179" t="s">
        <v>151</v>
      </c>
    </row>
    <row r="5830" spans="1:13" ht="25.5">
      <c r="A5830" s="313" t="str">
        <f t="shared" si="91"/>
        <v>ReligiousFacilityTypeCode_mosque</v>
      </c>
      <c r="B5830" s="330"/>
      <c r="C5830" s="334"/>
      <c r="D5830" s="188" t="s">
        <v>29353</v>
      </c>
      <c r="E5830" s="189" t="s">
        <v>29354</v>
      </c>
      <c r="F5830" s="162" t="s">
        <v>29355</v>
      </c>
      <c r="G5830" s="190"/>
      <c r="H5830" s="221" t="s">
        <v>29356</v>
      </c>
      <c r="I5830" s="169">
        <v>112450</v>
      </c>
      <c r="J5830" s="304" t="str">
        <f>CONCATENATE([2]Cover!$D$6,"fdd/view?i=",I5830)</f>
        <v>https://www.dgiwg.org/FAD/fdd/view?i=112450</v>
      </c>
      <c r="K5830" s="304" t="s">
        <v>39879</v>
      </c>
      <c r="L5830" s="188">
        <v>7</v>
      </c>
      <c r="M5830" s="179" t="s">
        <v>151</v>
      </c>
    </row>
    <row r="5831" spans="1:13" ht="51">
      <c r="A5831" s="313" t="str">
        <f t="shared" si="91"/>
        <v>ReligiousFacilityTypeCode_noviciate</v>
      </c>
      <c r="B5831" s="330"/>
      <c r="C5831" s="334"/>
      <c r="D5831" s="188" t="s">
        <v>29357</v>
      </c>
      <c r="E5831" s="189" t="s">
        <v>29358</v>
      </c>
      <c r="F5831" s="162" t="s">
        <v>29359</v>
      </c>
      <c r="G5831" s="190"/>
      <c r="H5831" s="219"/>
      <c r="I5831" s="169">
        <v>112472</v>
      </c>
      <c r="J5831" s="304" t="str">
        <f>CONCATENATE([2]Cover!$D$6,"fdd/view?i=",I5831)</f>
        <v>https://www.dgiwg.org/FAD/fdd/view?i=112472</v>
      </c>
      <c r="K5831" s="304" t="s">
        <v>39880</v>
      </c>
      <c r="L5831" s="188">
        <v>20</v>
      </c>
      <c r="M5831" s="179" t="s">
        <v>151</v>
      </c>
    </row>
    <row r="5832" spans="1:13" ht="51">
      <c r="A5832" s="313" t="str">
        <f t="shared" si="91"/>
        <v>ReligiousFacilityTypeCode_pagoda</v>
      </c>
      <c r="B5832" s="330"/>
      <c r="C5832" s="334"/>
      <c r="D5832" s="188" t="s">
        <v>29360</v>
      </c>
      <c r="E5832" s="189" t="s">
        <v>29361</v>
      </c>
      <c r="F5832" s="162" t="s">
        <v>29362</v>
      </c>
      <c r="G5832" s="162" t="s">
        <v>29363</v>
      </c>
      <c r="H5832" s="219"/>
      <c r="I5832" s="169">
        <v>112452</v>
      </c>
      <c r="J5832" s="304" t="str">
        <f>CONCATENATE([2]Cover!$D$6,"fdd/view?i=",I5832)</f>
        <v>https://www.dgiwg.org/FAD/fdd/view?i=112452</v>
      </c>
      <c r="K5832" s="304" t="s">
        <v>39881</v>
      </c>
      <c r="L5832" s="188">
        <v>8</v>
      </c>
      <c r="M5832" s="179" t="s">
        <v>151</v>
      </c>
    </row>
    <row r="5833" spans="1:13" ht="25.5">
      <c r="A5833" s="313" t="str">
        <f t="shared" si="91"/>
        <v>ReligiousFacilityTypeCode_religiousCommunity</v>
      </c>
      <c r="B5833" s="330"/>
      <c r="C5833" s="334"/>
      <c r="D5833" s="188" t="s">
        <v>29364</v>
      </c>
      <c r="E5833" s="189" t="s">
        <v>29365</v>
      </c>
      <c r="F5833" s="162" t="s">
        <v>29366</v>
      </c>
      <c r="G5833" s="162" t="s">
        <v>29367</v>
      </c>
      <c r="H5833" s="219"/>
      <c r="I5833" s="169">
        <v>112454</v>
      </c>
      <c r="J5833" s="304" t="str">
        <f>CONCATENATE([2]Cover!$D$6,"fdd/view?i=",I5833)</f>
        <v>https://www.dgiwg.org/FAD/fdd/view?i=112454</v>
      </c>
      <c r="K5833" s="304" t="s">
        <v>39882</v>
      </c>
      <c r="L5833" s="188">
        <v>9</v>
      </c>
      <c r="M5833" s="179" t="s">
        <v>151</v>
      </c>
    </row>
    <row r="5834" spans="1:13" ht="63.75">
      <c r="A5834" s="313" t="str">
        <f t="shared" si="91"/>
        <v>ReligiousFacilityTypeCode_retreat</v>
      </c>
      <c r="B5834" s="330"/>
      <c r="C5834" s="334"/>
      <c r="D5834" s="188" t="s">
        <v>29368</v>
      </c>
      <c r="E5834" s="189" t="s">
        <v>29369</v>
      </c>
      <c r="F5834" s="162" t="s">
        <v>29370</v>
      </c>
      <c r="G5834" s="162" t="s">
        <v>29371</v>
      </c>
      <c r="H5834" s="219"/>
      <c r="I5834" s="169">
        <v>112476</v>
      </c>
      <c r="J5834" s="304" t="str">
        <f>CONCATENATE([2]Cover!$D$6,"fdd/view?i=",I5834)</f>
        <v>https://www.dgiwg.org/FAD/fdd/view?i=112476</v>
      </c>
      <c r="K5834" s="304" t="s">
        <v>39883</v>
      </c>
      <c r="L5834" s="188">
        <v>22</v>
      </c>
      <c r="M5834" s="179" t="s">
        <v>151</v>
      </c>
    </row>
    <row r="5835" spans="1:13" ht="51">
      <c r="A5835" s="313" t="str">
        <f t="shared" si="91"/>
        <v>ReligiousFacilityTypeCode_seminary</v>
      </c>
      <c r="B5835" s="330"/>
      <c r="C5835" s="334"/>
      <c r="D5835" s="188" t="s">
        <v>29372</v>
      </c>
      <c r="E5835" s="189" t="s">
        <v>29373</v>
      </c>
      <c r="F5835" s="162" t="s">
        <v>29374</v>
      </c>
      <c r="G5835" s="162" t="s">
        <v>29375</v>
      </c>
      <c r="H5835" s="219"/>
      <c r="I5835" s="169">
        <v>112456</v>
      </c>
      <c r="J5835" s="304" t="str">
        <f>CONCATENATE([2]Cover!$D$6,"fdd/view?i=",I5835)</f>
        <v>https://www.dgiwg.org/FAD/fdd/view?i=112456</v>
      </c>
      <c r="K5835" s="304" t="s">
        <v>39884</v>
      </c>
      <c r="L5835" s="188">
        <v>10</v>
      </c>
      <c r="M5835" s="179" t="s">
        <v>151</v>
      </c>
    </row>
    <row r="5836" spans="1:13" ht="63.75">
      <c r="A5836" s="313" t="str">
        <f t="shared" si="91"/>
        <v>ReligiousFacilityTypeCode_shrine</v>
      </c>
      <c r="B5836" s="330"/>
      <c r="C5836" s="334"/>
      <c r="D5836" s="188" t="s">
        <v>29376</v>
      </c>
      <c r="E5836" s="189" t="s">
        <v>29377</v>
      </c>
      <c r="F5836" s="162" t="s">
        <v>29378</v>
      </c>
      <c r="G5836" s="162" t="s">
        <v>29379</v>
      </c>
      <c r="H5836" s="219"/>
      <c r="I5836" s="169">
        <v>112458</v>
      </c>
      <c r="J5836" s="304" t="str">
        <f>CONCATENATE([2]Cover!$D$6,"fdd/view?i=",I5836)</f>
        <v>https://www.dgiwg.org/FAD/fdd/view?i=112458</v>
      </c>
      <c r="K5836" s="304" t="s">
        <v>39885</v>
      </c>
      <c r="L5836" s="188">
        <v>11</v>
      </c>
      <c r="M5836" s="179" t="s">
        <v>151</v>
      </c>
    </row>
    <row r="5837" spans="1:13" ht="89.25">
      <c r="A5837" s="313" t="str">
        <f t="shared" si="91"/>
        <v>ReligiousFacilityTypeCode_stupa</v>
      </c>
      <c r="B5837" s="330"/>
      <c r="C5837" s="334"/>
      <c r="D5837" s="188" t="s">
        <v>29380</v>
      </c>
      <c r="E5837" s="189" t="s">
        <v>29381</v>
      </c>
      <c r="F5837" s="162" t="s">
        <v>29382</v>
      </c>
      <c r="G5837" s="162" t="s">
        <v>29383</v>
      </c>
      <c r="H5837" s="219"/>
      <c r="I5837" s="169">
        <v>112460</v>
      </c>
      <c r="J5837" s="304" t="str">
        <f>CONCATENATE([2]Cover!$D$6,"fdd/view?i=",I5837)</f>
        <v>https://www.dgiwg.org/FAD/fdd/view?i=112460</v>
      </c>
      <c r="K5837" s="304" t="s">
        <v>39886</v>
      </c>
      <c r="L5837" s="188">
        <v>12</v>
      </c>
      <c r="M5837" s="179" t="s">
        <v>151</v>
      </c>
    </row>
    <row r="5838" spans="1:13" ht="51">
      <c r="A5838" s="313" t="str">
        <f t="shared" si="91"/>
        <v>ReligiousFacilityTypeCode_synagogue</v>
      </c>
      <c r="B5838" s="330"/>
      <c r="C5838" s="334"/>
      <c r="D5838" s="188" t="s">
        <v>29384</v>
      </c>
      <c r="E5838" s="189" t="s">
        <v>29385</v>
      </c>
      <c r="F5838" s="162" t="s">
        <v>29386</v>
      </c>
      <c r="G5838" s="162" t="s">
        <v>29387</v>
      </c>
      <c r="H5838" s="219"/>
      <c r="I5838" s="169">
        <v>112462</v>
      </c>
      <c r="J5838" s="304" t="str">
        <f>CONCATENATE([2]Cover!$D$6,"fdd/view?i=",I5838)</f>
        <v>https://www.dgiwg.org/FAD/fdd/view?i=112462</v>
      </c>
      <c r="K5838" s="304" t="s">
        <v>39887</v>
      </c>
      <c r="L5838" s="188">
        <v>13</v>
      </c>
      <c r="M5838" s="179" t="s">
        <v>151</v>
      </c>
    </row>
    <row r="5839" spans="1:13" ht="114.75">
      <c r="A5839" s="313" t="str">
        <f t="shared" si="91"/>
        <v>ReligiousFacilityTypeCode_tabernacle</v>
      </c>
      <c r="B5839" s="330"/>
      <c r="C5839" s="334"/>
      <c r="D5839" s="188" t="s">
        <v>29388</v>
      </c>
      <c r="E5839" s="189" t="s">
        <v>29389</v>
      </c>
      <c r="F5839" s="162" t="s">
        <v>29390</v>
      </c>
      <c r="G5839" s="162" t="s">
        <v>29391</v>
      </c>
      <c r="H5839" s="219"/>
      <c r="I5839" s="169">
        <v>112464</v>
      </c>
      <c r="J5839" s="304" t="str">
        <f>CONCATENATE([2]Cover!$D$6,"fdd/view?i=",I5839)</f>
        <v>https://www.dgiwg.org/FAD/fdd/view?i=112464</v>
      </c>
      <c r="K5839" s="304" t="s">
        <v>39888</v>
      </c>
      <c r="L5839" s="188">
        <v>14</v>
      </c>
      <c r="M5839" s="179" t="s">
        <v>151</v>
      </c>
    </row>
    <row r="5840" spans="1:13" ht="63.75">
      <c r="A5840" s="313" t="str">
        <f t="shared" si="91"/>
        <v>ReligiousFacilityTypeCode_temple</v>
      </c>
      <c r="B5840" s="331"/>
      <c r="C5840" s="335"/>
      <c r="D5840" s="181" t="s">
        <v>29392</v>
      </c>
      <c r="E5840" s="192" t="s">
        <v>29393</v>
      </c>
      <c r="F5840" s="193" t="s">
        <v>29394</v>
      </c>
      <c r="G5840" s="193" t="s">
        <v>29395</v>
      </c>
      <c r="H5840" s="220"/>
      <c r="I5840" s="169">
        <v>112466</v>
      </c>
      <c r="J5840" s="304" t="str">
        <f>CONCATENATE([2]Cover!$D$6,"fdd/view?i=",I5840)</f>
        <v>https://www.dgiwg.org/FAD/fdd/view?i=112466</v>
      </c>
      <c r="K5840" s="304" t="s">
        <v>39889</v>
      </c>
      <c r="L5840" s="181">
        <v>15</v>
      </c>
      <c r="M5840" s="179" t="s">
        <v>151</v>
      </c>
    </row>
    <row r="5841" spans="1:13" ht="25.5">
      <c r="A5841" s="313" t="str">
        <f t="shared" si="91"/>
        <v>RemoteSensMineActuateMethCode_electricField</v>
      </c>
      <c r="B5841" s="332" t="str">
        <f>HYPERLINK("[#]Datatypes!A1156:L1156","RemoteSensMineActuateMethCode")</f>
        <v>RemoteSensMineActuateMethCode</v>
      </c>
      <c r="C5841" s="333" t="s">
        <v>12751</v>
      </c>
      <c r="D5841" s="202" t="s">
        <v>29396</v>
      </c>
      <c r="E5841" s="203" t="s">
        <v>29397</v>
      </c>
      <c r="F5841" s="204" t="s">
        <v>29398</v>
      </c>
      <c r="G5841" s="205"/>
      <c r="H5841" s="218"/>
      <c r="I5841" s="169">
        <v>105724</v>
      </c>
      <c r="J5841" s="304" t="str">
        <f>CONCATENATE([2]Cover!$D$6,"fdd/view?i=",I5841)</f>
        <v>https://www.dgiwg.org/FAD/fdd/view?i=105724</v>
      </c>
      <c r="K5841" s="304" t="s">
        <v>39890</v>
      </c>
      <c r="L5841" s="202">
        <v>1</v>
      </c>
      <c r="M5841" s="179" t="s">
        <v>151</v>
      </c>
    </row>
    <row r="5842" spans="1:13" ht="25.5">
      <c r="A5842" s="313" t="str">
        <f t="shared" si="91"/>
        <v>RemoteSensMineActuateMethCode_infrared</v>
      </c>
      <c r="B5842" s="330"/>
      <c r="C5842" s="334"/>
      <c r="D5842" s="188" t="s">
        <v>29399</v>
      </c>
      <c r="E5842" s="189" t="s">
        <v>29400</v>
      </c>
      <c r="F5842" s="162" t="s">
        <v>29401</v>
      </c>
      <c r="G5842" s="190"/>
      <c r="H5842" s="219"/>
      <c r="I5842" s="169">
        <v>105728</v>
      </c>
      <c r="J5842" s="304" t="str">
        <f>CONCATENATE([2]Cover!$D$6,"fdd/view?i=",I5842)</f>
        <v>https://www.dgiwg.org/FAD/fdd/view?i=105728</v>
      </c>
      <c r="K5842" s="304" t="s">
        <v>39891</v>
      </c>
      <c r="L5842" s="188">
        <v>5</v>
      </c>
      <c r="M5842" s="179" t="s">
        <v>151</v>
      </c>
    </row>
    <row r="5843" spans="1:13" ht="25.5">
      <c r="A5843" s="313" t="str">
        <f t="shared" si="91"/>
        <v>RemoteSensMineActuateMethCode_laserSensors</v>
      </c>
      <c r="B5843" s="330"/>
      <c r="C5843" s="334"/>
      <c r="D5843" s="188" t="s">
        <v>29402</v>
      </c>
      <c r="E5843" s="189" t="s">
        <v>29403</v>
      </c>
      <c r="F5843" s="162" t="s">
        <v>29404</v>
      </c>
      <c r="G5843" s="190"/>
      <c r="H5843" s="219"/>
      <c r="I5843" s="169">
        <v>105725</v>
      </c>
      <c r="J5843" s="304" t="str">
        <f>CONCATENATE([2]Cover!$D$6,"fdd/view?i=",I5843)</f>
        <v>https://www.dgiwg.org/FAD/fdd/view?i=105725</v>
      </c>
      <c r="K5843" s="304" t="s">
        <v>39892</v>
      </c>
      <c r="L5843" s="188">
        <v>2</v>
      </c>
      <c r="M5843" s="179" t="s">
        <v>151</v>
      </c>
    </row>
    <row r="5844" spans="1:13" ht="25.5">
      <c r="A5844" s="313" t="str">
        <f t="shared" si="91"/>
        <v>RemoteSensMineActuateMethCode_seismic</v>
      </c>
      <c r="B5844" s="330"/>
      <c r="C5844" s="334"/>
      <c r="D5844" s="188" t="s">
        <v>29405</v>
      </c>
      <c r="E5844" s="189" t="s">
        <v>29406</v>
      </c>
      <c r="F5844" s="162" t="s">
        <v>29407</v>
      </c>
      <c r="G5844" s="190"/>
      <c r="H5844" s="219"/>
      <c r="I5844" s="169">
        <v>105726</v>
      </c>
      <c r="J5844" s="304" t="str">
        <f>CONCATENATE([2]Cover!$D$6,"fdd/view?i=",I5844)</f>
        <v>https://www.dgiwg.org/FAD/fdd/view?i=105726</v>
      </c>
      <c r="K5844" s="304" t="s">
        <v>39893</v>
      </c>
      <c r="L5844" s="188">
        <v>3</v>
      </c>
      <c r="M5844" s="179" t="s">
        <v>151</v>
      </c>
    </row>
    <row r="5845" spans="1:13" ht="25.5">
      <c r="A5845" s="313" t="str">
        <f t="shared" si="91"/>
        <v>RemoteSensMineActuateMethCode_velocityField</v>
      </c>
      <c r="B5845" s="331"/>
      <c r="C5845" s="335"/>
      <c r="D5845" s="181" t="s">
        <v>29408</v>
      </c>
      <c r="E5845" s="192" t="s">
        <v>29409</v>
      </c>
      <c r="F5845" s="193" t="s">
        <v>29410</v>
      </c>
      <c r="G5845" s="194"/>
      <c r="H5845" s="220"/>
      <c r="I5845" s="169">
        <v>105730</v>
      </c>
      <c r="J5845" s="304" t="str">
        <f>CONCATENATE([2]Cover!$D$6,"fdd/view?i=",I5845)</f>
        <v>https://www.dgiwg.org/FAD/fdd/view?i=105730</v>
      </c>
      <c r="K5845" s="304" t="s">
        <v>39894</v>
      </c>
      <c r="L5845" s="181">
        <v>7</v>
      </c>
      <c r="M5845" s="179" t="s">
        <v>151</v>
      </c>
    </row>
    <row r="5846" spans="1:13" ht="63.75">
      <c r="A5846" s="313" t="str">
        <f t="shared" si="91"/>
        <v>ResCuiCategoryCode_controlledEnhancedSpecified</v>
      </c>
      <c r="B5846" s="332" t="str">
        <f>HYPERLINK("[#]Datatypes!A1166:L1166","ResCuiCategoryCode")</f>
        <v>ResCuiCategoryCode</v>
      </c>
      <c r="C5846" s="333" t="s">
        <v>12763</v>
      </c>
      <c r="D5846" s="202" t="s">
        <v>29411</v>
      </c>
      <c r="E5846" s="203" t="s">
        <v>29412</v>
      </c>
      <c r="F5846" s="204" t="s">
        <v>29413</v>
      </c>
      <c r="G5846" s="228" t="s">
        <v>29414</v>
      </c>
      <c r="H5846" s="218"/>
      <c r="I5846" s="169">
        <v>203698</v>
      </c>
      <c r="J5846" s="304" t="str">
        <f>CONCATENATE([2]Cover!$D$6,"fdd/view?i=",I5846)</f>
        <v>https://www.dgiwg.org/FAD/fdd/view?i=203698</v>
      </c>
      <c r="K5846" s="304" t="s">
        <v>39895</v>
      </c>
      <c r="L5846" s="202">
        <v>3</v>
      </c>
      <c r="M5846" s="179" t="s">
        <v>1295</v>
      </c>
    </row>
    <row r="5847" spans="1:13" ht="63.75">
      <c r="A5847" s="313" t="str">
        <f t="shared" si="91"/>
        <v>ResCuiCategoryCode_controlledSpecified</v>
      </c>
      <c r="B5847" s="330"/>
      <c r="C5847" s="334"/>
      <c r="D5847" s="188" t="s">
        <v>29415</v>
      </c>
      <c r="E5847" s="189" t="s">
        <v>29416</v>
      </c>
      <c r="F5847" s="162" t="s">
        <v>29417</v>
      </c>
      <c r="G5847" s="229" t="s">
        <v>29414</v>
      </c>
      <c r="H5847" s="219"/>
      <c r="I5847" s="169">
        <v>203697</v>
      </c>
      <c r="J5847" s="304" t="str">
        <f>CONCATENATE([2]Cover!$D$6,"fdd/view?i=",I5847)</f>
        <v>https://www.dgiwg.org/FAD/fdd/view?i=203697</v>
      </c>
      <c r="K5847" s="304" t="s">
        <v>39896</v>
      </c>
      <c r="L5847" s="188">
        <v>2</v>
      </c>
      <c r="M5847" s="179" t="s">
        <v>1295</v>
      </c>
    </row>
    <row r="5848" spans="1:13" ht="102">
      <c r="A5848" s="313" t="str">
        <f t="shared" si="91"/>
        <v>ResCuiCategoryCode_controlledStandard</v>
      </c>
      <c r="B5848" s="331"/>
      <c r="C5848" s="335"/>
      <c r="D5848" s="181" t="s">
        <v>29418</v>
      </c>
      <c r="E5848" s="192" t="s">
        <v>29419</v>
      </c>
      <c r="F5848" s="193" t="s">
        <v>29420</v>
      </c>
      <c r="G5848" s="230" t="s">
        <v>29421</v>
      </c>
      <c r="H5848" s="220"/>
      <c r="I5848" s="169">
        <v>203696</v>
      </c>
      <c r="J5848" s="304" t="str">
        <f>CONCATENATE([2]Cover!$D$6,"fdd/view?i=",I5848)</f>
        <v>https://www.dgiwg.org/FAD/fdd/view?i=203696</v>
      </c>
      <c r="K5848" s="304" t="s">
        <v>39897</v>
      </c>
      <c r="L5848" s="181">
        <v>1</v>
      </c>
      <c r="M5848" s="179" t="s">
        <v>1295</v>
      </c>
    </row>
    <row r="5849" spans="1:13" ht="25.5">
      <c r="A5849" s="313" t="str">
        <f t="shared" si="91"/>
        <v>CI_PresentationFormCode_documentDigital</v>
      </c>
      <c r="B5849" s="332" t="str">
        <f>HYPERLINK("[#]Datatypes!A1168:L1168","CI_PresentationFormCode")</f>
        <v>CI_PresentationFormCode</v>
      </c>
      <c r="C5849" s="333" t="s">
        <v>11790</v>
      </c>
      <c r="D5849" s="202" t="s">
        <v>29422</v>
      </c>
      <c r="E5849" s="203" t="s">
        <v>29423</v>
      </c>
      <c r="F5849" s="204" t="s">
        <v>29424</v>
      </c>
      <c r="G5849" s="205"/>
      <c r="H5849" s="218"/>
      <c r="I5849" s="169">
        <v>203020</v>
      </c>
      <c r="J5849" s="304" t="str">
        <f>CONCATENATE([2]Cover!$D$6,"fdd/view?i=",I5849)</f>
        <v>https://www.dgiwg.org/FAD/fdd/view?i=203020</v>
      </c>
      <c r="K5849" s="304" t="s">
        <v>39898</v>
      </c>
      <c r="L5849" s="202">
        <v>1</v>
      </c>
      <c r="M5849" s="179" t="s">
        <v>1295</v>
      </c>
    </row>
    <row r="5850" spans="1:13" ht="25.5">
      <c r="A5850" s="313" t="str">
        <f t="shared" si="91"/>
        <v>CI_PresentationFormCode_documentHardcopy</v>
      </c>
      <c r="B5850" s="330"/>
      <c r="C5850" s="334"/>
      <c r="D5850" s="188" t="s">
        <v>29425</v>
      </c>
      <c r="E5850" s="189" t="s">
        <v>29426</v>
      </c>
      <c r="F5850" s="162" t="s">
        <v>29427</v>
      </c>
      <c r="G5850" s="190"/>
      <c r="H5850" s="219"/>
      <c r="I5850" s="169">
        <v>203021</v>
      </c>
      <c r="J5850" s="304" t="str">
        <f>CONCATENATE([2]Cover!$D$6,"fdd/view?i=",I5850)</f>
        <v>https://www.dgiwg.org/FAD/fdd/view?i=203021</v>
      </c>
      <c r="K5850" s="304" t="s">
        <v>39899</v>
      </c>
      <c r="L5850" s="188">
        <v>2</v>
      </c>
      <c r="M5850" s="179" t="s">
        <v>1295</v>
      </c>
    </row>
    <row r="5851" spans="1:13" ht="51">
      <c r="A5851" s="313" t="str">
        <f t="shared" si="91"/>
        <v>CI_PresentationFormCode_imageDigital</v>
      </c>
      <c r="B5851" s="330"/>
      <c r="C5851" s="334"/>
      <c r="D5851" s="188" t="s">
        <v>29428</v>
      </c>
      <c r="E5851" s="189" t="s">
        <v>29429</v>
      </c>
      <c r="F5851" s="162" t="s">
        <v>29430</v>
      </c>
      <c r="G5851" s="190"/>
      <c r="H5851" s="219"/>
      <c r="I5851" s="169">
        <v>203022</v>
      </c>
      <c r="J5851" s="304" t="str">
        <f>CONCATENATE([2]Cover!$D$6,"fdd/view?i=",I5851)</f>
        <v>https://www.dgiwg.org/FAD/fdd/view?i=203022</v>
      </c>
      <c r="K5851" s="304" t="s">
        <v>39900</v>
      </c>
      <c r="L5851" s="188">
        <v>3</v>
      </c>
      <c r="M5851" s="179" t="s">
        <v>1295</v>
      </c>
    </row>
    <row r="5852" spans="1:13" ht="51">
      <c r="A5852" s="313" t="str">
        <f t="shared" si="91"/>
        <v>CI_PresentationFormCode_imageHardcopy</v>
      </c>
      <c r="B5852" s="330"/>
      <c r="C5852" s="334"/>
      <c r="D5852" s="188" t="s">
        <v>29431</v>
      </c>
      <c r="E5852" s="189" t="s">
        <v>29432</v>
      </c>
      <c r="F5852" s="162" t="s">
        <v>29430</v>
      </c>
      <c r="G5852" s="190"/>
      <c r="H5852" s="219"/>
      <c r="I5852" s="169">
        <v>203023</v>
      </c>
      <c r="J5852" s="304" t="str">
        <f>CONCATENATE([2]Cover!$D$6,"fdd/view?i=",I5852)</f>
        <v>https://www.dgiwg.org/FAD/fdd/view?i=203023</v>
      </c>
      <c r="K5852" s="304" t="s">
        <v>39901</v>
      </c>
      <c r="L5852" s="188">
        <v>4</v>
      </c>
      <c r="M5852" s="179" t="s">
        <v>1295</v>
      </c>
    </row>
    <row r="5853" spans="1:13" ht="25.5">
      <c r="A5853" s="313" t="str">
        <f t="shared" si="91"/>
        <v>CI_PresentationFormCode_mapDigital</v>
      </c>
      <c r="B5853" s="330"/>
      <c r="C5853" s="334"/>
      <c r="D5853" s="188" t="s">
        <v>29433</v>
      </c>
      <c r="E5853" s="189" t="s">
        <v>29434</v>
      </c>
      <c r="F5853" s="162" t="s">
        <v>29435</v>
      </c>
      <c r="G5853" s="190"/>
      <c r="H5853" s="219"/>
      <c r="I5853" s="169">
        <v>203024</v>
      </c>
      <c r="J5853" s="304" t="str">
        <f>CONCATENATE([2]Cover!$D$6,"fdd/view?i=",I5853)</f>
        <v>https://www.dgiwg.org/FAD/fdd/view?i=203024</v>
      </c>
      <c r="K5853" s="304" t="s">
        <v>39902</v>
      </c>
      <c r="L5853" s="188">
        <v>5</v>
      </c>
      <c r="M5853" s="179" t="s">
        <v>1295</v>
      </c>
    </row>
    <row r="5854" spans="1:13" ht="25.5">
      <c r="A5854" s="313" t="str">
        <f t="shared" si="91"/>
        <v>CI_PresentationFormCode_mapHardcopy</v>
      </c>
      <c r="B5854" s="330"/>
      <c r="C5854" s="334"/>
      <c r="D5854" s="188" t="s">
        <v>29436</v>
      </c>
      <c r="E5854" s="189" t="s">
        <v>29437</v>
      </c>
      <c r="F5854" s="162" t="s">
        <v>29438</v>
      </c>
      <c r="G5854" s="190"/>
      <c r="H5854" s="219"/>
      <c r="I5854" s="169">
        <v>203025</v>
      </c>
      <c r="J5854" s="304" t="str">
        <f>CONCATENATE([2]Cover!$D$6,"fdd/view?i=",I5854)</f>
        <v>https://www.dgiwg.org/FAD/fdd/view?i=203025</v>
      </c>
      <c r="K5854" s="304" t="s">
        <v>39903</v>
      </c>
      <c r="L5854" s="188">
        <v>6</v>
      </c>
      <c r="M5854" s="179" t="s">
        <v>1295</v>
      </c>
    </row>
    <row r="5855" spans="1:13" ht="25.5">
      <c r="A5855" s="313" t="str">
        <f t="shared" si="91"/>
        <v>CI_PresentationFormCode_modelDigital</v>
      </c>
      <c r="B5855" s="330"/>
      <c r="C5855" s="334"/>
      <c r="D5855" s="188" t="s">
        <v>29439</v>
      </c>
      <c r="E5855" s="189" t="s">
        <v>29440</v>
      </c>
      <c r="F5855" s="162" t="s">
        <v>29441</v>
      </c>
      <c r="G5855" s="190"/>
      <c r="H5855" s="219"/>
      <c r="I5855" s="169">
        <v>203026</v>
      </c>
      <c r="J5855" s="304" t="str">
        <f>CONCATENATE([2]Cover!$D$6,"fdd/view?i=",I5855)</f>
        <v>https://www.dgiwg.org/FAD/fdd/view?i=203026</v>
      </c>
      <c r="K5855" s="304" t="s">
        <v>39904</v>
      </c>
      <c r="L5855" s="188">
        <v>7</v>
      </c>
      <c r="M5855" s="179" t="s">
        <v>1295</v>
      </c>
    </row>
    <row r="5856" spans="1:13" ht="25.5">
      <c r="A5856" s="313" t="str">
        <f t="shared" si="91"/>
        <v>CI_PresentationFormCode_modelHardcopy</v>
      </c>
      <c r="B5856" s="330"/>
      <c r="C5856" s="334"/>
      <c r="D5856" s="188" t="s">
        <v>29442</v>
      </c>
      <c r="E5856" s="189" t="s">
        <v>29443</v>
      </c>
      <c r="F5856" s="162" t="s">
        <v>29444</v>
      </c>
      <c r="G5856" s="190"/>
      <c r="H5856" s="219"/>
      <c r="I5856" s="169">
        <v>203027</v>
      </c>
      <c r="J5856" s="304" t="str">
        <f>CONCATENATE([2]Cover!$D$6,"fdd/view?i=",I5856)</f>
        <v>https://www.dgiwg.org/FAD/fdd/view?i=203027</v>
      </c>
      <c r="K5856" s="304" t="s">
        <v>39905</v>
      </c>
      <c r="L5856" s="188">
        <v>8</v>
      </c>
      <c r="M5856" s="179" t="s">
        <v>1295</v>
      </c>
    </row>
    <row r="5857" spans="1:13" ht="25.5">
      <c r="A5857" s="313" t="str">
        <f t="shared" si="91"/>
        <v>CI_PresentationFormCode_profileDigital</v>
      </c>
      <c r="B5857" s="330"/>
      <c r="C5857" s="334"/>
      <c r="D5857" s="188" t="s">
        <v>29445</v>
      </c>
      <c r="E5857" s="189" t="s">
        <v>29446</v>
      </c>
      <c r="F5857" s="162" t="s">
        <v>29447</v>
      </c>
      <c r="G5857" s="190"/>
      <c r="H5857" s="219"/>
      <c r="I5857" s="169">
        <v>203028</v>
      </c>
      <c r="J5857" s="304" t="str">
        <f>CONCATENATE([2]Cover!$D$6,"fdd/view?i=",I5857)</f>
        <v>https://www.dgiwg.org/FAD/fdd/view?i=203028</v>
      </c>
      <c r="K5857" s="304" t="s">
        <v>39906</v>
      </c>
      <c r="L5857" s="188">
        <v>9</v>
      </c>
      <c r="M5857" s="179" t="s">
        <v>1295</v>
      </c>
    </row>
    <row r="5858" spans="1:13" ht="25.5">
      <c r="A5858" s="313" t="str">
        <f t="shared" si="91"/>
        <v>CI_PresentationFormCode_profileHardcopy</v>
      </c>
      <c r="B5858" s="330"/>
      <c r="C5858" s="334"/>
      <c r="D5858" s="188" t="s">
        <v>29448</v>
      </c>
      <c r="E5858" s="189" t="s">
        <v>29449</v>
      </c>
      <c r="F5858" s="162" t="s">
        <v>29450</v>
      </c>
      <c r="G5858" s="190"/>
      <c r="H5858" s="219"/>
      <c r="I5858" s="169">
        <v>203029</v>
      </c>
      <c r="J5858" s="304" t="str">
        <f>CONCATENATE([2]Cover!$D$6,"fdd/view?i=",I5858)</f>
        <v>https://www.dgiwg.org/FAD/fdd/view?i=203029</v>
      </c>
      <c r="K5858" s="304" t="s">
        <v>39907</v>
      </c>
      <c r="L5858" s="188">
        <v>10</v>
      </c>
      <c r="M5858" s="179" t="s">
        <v>1295</v>
      </c>
    </row>
    <row r="5859" spans="1:13" ht="25.5">
      <c r="A5859" s="313" t="str">
        <f t="shared" si="91"/>
        <v>CI_PresentationFormCode_tableDigital</v>
      </c>
      <c r="B5859" s="330"/>
      <c r="C5859" s="334"/>
      <c r="D5859" s="188" t="s">
        <v>29451</v>
      </c>
      <c r="E5859" s="189" t="s">
        <v>29452</v>
      </c>
      <c r="F5859" s="162" t="s">
        <v>29453</v>
      </c>
      <c r="G5859" s="190"/>
      <c r="H5859" s="219"/>
      <c r="I5859" s="169">
        <v>203030</v>
      </c>
      <c r="J5859" s="304" t="str">
        <f>CONCATENATE([2]Cover!$D$6,"fdd/view?i=",I5859)</f>
        <v>https://www.dgiwg.org/FAD/fdd/view?i=203030</v>
      </c>
      <c r="K5859" s="304" t="s">
        <v>39908</v>
      </c>
      <c r="L5859" s="188">
        <v>11</v>
      </c>
      <c r="M5859" s="179" t="s">
        <v>1295</v>
      </c>
    </row>
    <row r="5860" spans="1:13" ht="38.25">
      <c r="A5860" s="313" t="str">
        <f t="shared" si="91"/>
        <v>CI_PresentationFormCode_tableHardcopy</v>
      </c>
      <c r="B5860" s="330"/>
      <c r="C5860" s="334"/>
      <c r="D5860" s="188" t="s">
        <v>29454</v>
      </c>
      <c r="E5860" s="189" t="s">
        <v>29455</v>
      </c>
      <c r="F5860" s="162" t="s">
        <v>29456</v>
      </c>
      <c r="G5860" s="190"/>
      <c r="H5860" s="219"/>
      <c r="I5860" s="169">
        <v>203031</v>
      </c>
      <c r="J5860" s="304" t="str">
        <f>CONCATENATE([2]Cover!$D$6,"fdd/view?i=",I5860)</f>
        <v>https://www.dgiwg.org/FAD/fdd/view?i=203031</v>
      </c>
      <c r="K5860" s="304" t="s">
        <v>39909</v>
      </c>
      <c r="L5860" s="188">
        <v>12</v>
      </c>
      <c r="M5860" s="179" t="s">
        <v>1295</v>
      </c>
    </row>
    <row r="5861" spans="1:13" ht="25.5">
      <c r="A5861" s="313" t="str">
        <f t="shared" si="91"/>
        <v>CI_PresentationFormCode_videoDigital</v>
      </c>
      <c r="B5861" s="330"/>
      <c r="C5861" s="334"/>
      <c r="D5861" s="188" t="s">
        <v>29457</v>
      </c>
      <c r="E5861" s="189" t="s">
        <v>29458</v>
      </c>
      <c r="F5861" s="162" t="s">
        <v>29459</v>
      </c>
      <c r="G5861" s="190"/>
      <c r="H5861" s="219"/>
      <c r="I5861" s="169">
        <v>203032</v>
      </c>
      <c r="J5861" s="304" t="str">
        <f>CONCATENATE([2]Cover!$D$6,"fdd/view?i=",I5861)</f>
        <v>https://www.dgiwg.org/FAD/fdd/view?i=203032</v>
      </c>
      <c r="K5861" s="304" t="s">
        <v>39910</v>
      </c>
      <c r="L5861" s="188">
        <v>13</v>
      </c>
      <c r="M5861" s="179" t="s">
        <v>1295</v>
      </c>
    </row>
    <row r="5862" spans="1:13" ht="25.5">
      <c r="A5862" s="313" t="str">
        <f t="shared" si="91"/>
        <v>CI_PresentationFormCode_videoHardcopy</v>
      </c>
      <c r="B5862" s="331"/>
      <c r="C5862" s="335"/>
      <c r="D5862" s="181" t="s">
        <v>29460</v>
      </c>
      <c r="E5862" s="192" t="s">
        <v>29461</v>
      </c>
      <c r="F5862" s="193" t="s">
        <v>29462</v>
      </c>
      <c r="G5862" s="194"/>
      <c r="H5862" s="220"/>
      <c r="I5862" s="169">
        <v>203033</v>
      </c>
      <c r="J5862" s="304" t="str">
        <f>CONCATENATE([2]Cover!$D$6,"fdd/view?i=",I5862)</f>
        <v>https://www.dgiwg.org/FAD/fdd/view?i=203033</v>
      </c>
      <c r="K5862" s="304" t="s">
        <v>39911</v>
      </c>
      <c r="L5862" s="181">
        <v>14</v>
      </c>
      <c r="M5862" s="179" t="s">
        <v>1295</v>
      </c>
    </row>
    <row r="5863" spans="1:13" ht="25.5">
      <c r="A5863" s="313" t="str">
        <f t="shared" si="91"/>
        <v>CI_OnlineFunctionCode_download</v>
      </c>
      <c r="B5863" s="332" t="str">
        <f>HYPERLINK("[#]Datatypes!A1186:L1186","CI_OnlineFunctionCode")</f>
        <v>CI_OnlineFunctionCode</v>
      </c>
      <c r="C5863" s="333" t="s">
        <v>12587</v>
      </c>
      <c r="D5863" s="202" t="s">
        <v>29463</v>
      </c>
      <c r="E5863" s="203" t="s">
        <v>29464</v>
      </c>
      <c r="F5863" s="204" t="s">
        <v>29465</v>
      </c>
      <c r="G5863" s="204" t="s">
        <v>29466</v>
      </c>
      <c r="H5863" s="218"/>
      <c r="I5863" s="169">
        <v>203015</v>
      </c>
      <c r="J5863" s="304" t="str">
        <f>CONCATENATE([2]Cover!$D$6,"fdd/view?i=",I5863)</f>
        <v>https://www.dgiwg.org/FAD/fdd/view?i=203015</v>
      </c>
      <c r="K5863" s="304" t="s">
        <v>39912</v>
      </c>
      <c r="L5863" s="202">
        <v>1</v>
      </c>
      <c r="M5863" s="179" t="s">
        <v>1295</v>
      </c>
    </row>
    <row r="5864" spans="1:13" ht="25.5">
      <c r="A5864" s="313" t="str">
        <f t="shared" si="91"/>
        <v>CI_OnlineFunctionCode_information</v>
      </c>
      <c r="B5864" s="330"/>
      <c r="C5864" s="334"/>
      <c r="D5864" s="188" t="s">
        <v>19174</v>
      </c>
      <c r="E5864" s="189" t="s">
        <v>29467</v>
      </c>
      <c r="F5864" s="162" t="s">
        <v>29468</v>
      </c>
      <c r="G5864" s="190"/>
      <c r="H5864" s="219"/>
      <c r="I5864" s="169">
        <v>203016</v>
      </c>
      <c r="J5864" s="304" t="str">
        <f>CONCATENATE([2]Cover!$D$6,"fdd/view?i=",I5864)</f>
        <v>https://www.dgiwg.org/FAD/fdd/view?i=203016</v>
      </c>
      <c r="K5864" s="304" t="s">
        <v>39913</v>
      </c>
      <c r="L5864" s="188">
        <v>2</v>
      </c>
      <c r="M5864" s="179" t="s">
        <v>1295</v>
      </c>
    </row>
    <row r="5865" spans="1:13" ht="25.5">
      <c r="A5865" s="313" t="str">
        <f t="shared" si="91"/>
        <v>CI_OnlineFunctionCode_offlineAccess</v>
      </c>
      <c r="B5865" s="330"/>
      <c r="C5865" s="334"/>
      <c r="D5865" s="188" t="s">
        <v>29469</v>
      </c>
      <c r="E5865" s="189" t="s">
        <v>29470</v>
      </c>
      <c r="F5865" s="162" t="s">
        <v>29471</v>
      </c>
      <c r="G5865" s="190"/>
      <c r="H5865" s="219"/>
      <c r="I5865" s="169">
        <v>203017</v>
      </c>
      <c r="J5865" s="304" t="str">
        <f>CONCATENATE([2]Cover!$D$6,"fdd/view?i=",I5865)</f>
        <v>https://www.dgiwg.org/FAD/fdd/view?i=203017</v>
      </c>
      <c r="K5865" s="304" t="s">
        <v>39914</v>
      </c>
      <c r="L5865" s="188">
        <v>3</v>
      </c>
      <c r="M5865" s="179" t="s">
        <v>1295</v>
      </c>
    </row>
    <row r="5866" spans="1:13">
      <c r="A5866" s="313" t="str">
        <f t="shared" si="91"/>
        <v>CI_OnlineFunctionCode_order</v>
      </c>
      <c r="B5866" s="330"/>
      <c r="C5866" s="334"/>
      <c r="D5866" s="188" t="s">
        <v>29472</v>
      </c>
      <c r="E5866" s="189" t="s">
        <v>29473</v>
      </c>
      <c r="F5866" s="162" t="s">
        <v>29474</v>
      </c>
      <c r="G5866" s="190"/>
      <c r="H5866" s="219"/>
      <c r="I5866" s="169">
        <v>203018</v>
      </c>
      <c r="J5866" s="304" t="str">
        <f>CONCATENATE([2]Cover!$D$6,"fdd/view?i=",I5866)</f>
        <v>https://www.dgiwg.org/FAD/fdd/view?i=203018</v>
      </c>
      <c r="K5866" s="304" t="s">
        <v>39915</v>
      </c>
      <c r="L5866" s="188">
        <v>4</v>
      </c>
      <c r="M5866" s="179" t="s">
        <v>1295</v>
      </c>
    </row>
    <row r="5867" spans="1:13">
      <c r="A5867" s="313" t="str">
        <f t="shared" si="91"/>
        <v>CI_OnlineFunctionCode_search</v>
      </c>
      <c r="B5867" s="331"/>
      <c r="C5867" s="335"/>
      <c r="D5867" s="181" t="s">
        <v>29475</v>
      </c>
      <c r="E5867" s="192" t="s">
        <v>29476</v>
      </c>
      <c r="F5867" s="193" t="s">
        <v>29477</v>
      </c>
      <c r="G5867" s="194"/>
      <c r="H5867" s="220"/>
      <c r="I5867" s="169">
        <v>203019</v>
      </c>
      <c r="J5867" s="304" t="str">
        <f>CONCATENATE([2]Cover!$D$6,"fdd/view?i=",I5867)</f>
        <v>https://www.dgiwg.org/FAD/fdd/view?i=203019</v>
      </c>
      <c r="K5867" s="304" t="s">
        <v>39916</v>
      </c>
      <c r="L5867" s="181">
        <v>5</v>
      </c>
      <c r="M5867" s="179" t="s">
        <v>1295</v>
      </c>
    </row>
    <row r="5868" spans="1:13">
      <c r="A5868" s="313" t="str">
        <f t="shared" si="91"/>
        <v>CI_RoleCode_author</v>
      </c>
      <c r="B5868" s="332" t="str">
        <f>HYPERLINK("[#]Datatypes!A1194:L1194","CI_RoleCode")</f>
        <v>CI_RoleCode</v>
      </c>
      <c r="C5868" s="333" t="s">
        <v>12791</v>
      </c>
      <c r="D5868" s="202" t="s">
        <v>29478</v>
      </c>
      <c r="E5868" s="203" t="s">
        <v>29479</v>
      </c>
      <c r="F5868" s="204" t="s">
        <v>29480</v>
      </c>
      <c r="G5868" s="205"/>
      <c r="H5868" s="218"/>
      <c r="I5868" s="169">
        <v>203044</v>
      </c>
      <c r="J5868" s="304" t="str">
        <f>CONCATENATE([2]Cover!$D$6,"fdd/view?i=",I5868)</f>
        <v>https://www.dgiwg.org/FAD/fdd/view?i=203044</v>
      </c>
      <c r="K5868" s="304" t="s">
        <v>39917</v>
      </c>
      <c r="L5868" s="202">
        <v>11</v>
      </c>
      <c r="M5868" s="179" t="s">
        <v>1295</v>
      </c>
    </row>
    <row r="5869" spans="1:13" ht="25.5">
      <c r="A5869" s="313" t="str">
        <f t="shared" si="91"/>
        <v>CI_RoleCode_custodian</v>
      </c>
      <c r="B5869" s="330"/>
      <c r="C5869" s="334"/>
      <c r="D5869" s="188" t="s">
        <v>29481</v>
      </c>
      <c r="E5869" s="189" t="s">
        <v>29482</v>
      </c>
      <c r="F5869" s="162" t="s">
        <v>29483</v>
      </c>
      <c r="G5869" s="190"/>
      <c r="H5869" s="219"/>
      <c r="I5869" s="169">
        <v>203035</v>
      </c>
      <c r="J5869" s="304" t="str">
        <f>CONCATENATE([2]Cover!$D$6,"fdd/view?i=",I5869)</f>
        <v>https://www.dgiwg.org/FAD/fdd/view?i=203035</v>
      </c>
      <c r="K5869" s="304" t="s">
        <v>39918</v>
      </c>
      <c r="L5869" s="188">
        <v>2</v>
      </c>
      <c r="M5869" s="179" t="s">
        <v>1295</v>
      </c>
    </row>
    <row r="5870" spans="1:13">
      <c r="A5870" s="313" t="str">
        <f t="shared" si="91"/>
        <v>CI_RoleCode_distributor</v>
      </c>
      <c r="B5870" s="330"/>
      <c r="C5870" s="334"/>
      <c r="D5870" s="188" t="s">
        <v>29484</v>
      </c>
      <c r="E5870" s="189" t="s">
        <v>29485</v>
      </c>
      <c r="F5870" s="162" t="s">
        <v>29486</v>
      </c>
      <c r="G5870" s="190"/>
      <c r="H5870" s="219"/>
      <c r="I5870" s="169">
        <v>203038</v>
      </c>
      <c r="J5870" s="304" t="str">
        <f>CONCATENATE([2]Cover!$D$6,"fdd/view?i=",I5870)</f>
        <v>https://www.dgiwg.org/FAD/fdd/view?i=203038</v>
      </c>
      <c r="K5870" s="304" t="s">
        <v>39919</v>
      </c>
      <c r="L5870" s="188">
        <v>5</v>
      </c>
      <c r="M5870" s="179" t="s">
        <v>1295</v>
      </c>
    </row>
    <row r="5871" spans="1:13">
      <c r="A5871" s="313" t="str">
        <f t="shared" si="91"/>
        <v>CI_RoleCode_originator</v>
      </c>
      <c r="B5871" s="330"/>
      <c r="C5871" s="334"/>
      <c r="D5871" s="188" t="s">
        <v>29487</v>
      </c>
      <c r="E5871" s="189" t="s">
        <v>29488</v>
      </c>
      <c r="F5871" s="162" t="s">
        <v>29489</v>
      </c>
      <c r="G5871" s="190"/>
      <c r="H5871" s="219"/>
      <c r="I5871" s="169">
        <v>203039</v>
      </c>
      <c r="J5871" s="304" t="str">
        <f>CONCATENATE([2]Cover!$D$6,"fdd/view?i=",I5871)</f>
        <v>https://www.dgiwg.org/FAD/fdd/view?i=203039</v>
      </c>
      <c r="K5871" s="304" t="s">
        <v>39920</v>
      </c>
      <c r="L5871" s="188">
        <v>6</v>
      </c>
      <c r="M5871" s="179" t="s">
        <v>1295</v>
      </c>
    </row>
    <row r="5872" spans="1:13">
      <c r="A5872" s="313" t="str">
        <f t="shared" si="91"/>
        <v>CI_RoleCode_owner</v>
      </c>
      <c r="B5872" s="330"/>
      <c r="C5872" s="334"/>
      <c r="D5872" s="188" t="s">
        <v>29490</v>
      </c>
      <c r="E5872" s="189" t="s">
        <v>29491</v>
      </c>
      <c r="F5872" s="162" t="s">
        <v>29492</v>
      </c>
      <c r="G5872" s="190"/>
      <c r="H5872" s="219"/>
      <c r="I5872" s="169">
        <v>203036</v>
      </c>
      <c r="J5872" s="304" t="str">
        <f>CONCATENATE([2]Cover!$D$6,"fdd/view?i=",I5872)</f>
        <v>https://www.dgiwg.org/FAD/fdd/view?i=203036</v>
      </c>
      <c r="K5872" s="304" t="s">
        <v>39921</v>
      </c>
      <c r="L5872" s="188">
        <v>3</v>
      </c>
      <c r="M5872" s="179" t="s">
        <v>1295</v>
      </c>
    </row>
    <row r="5873" spans="1:13" ht="25.5">
      <c r="A5873" s="313" t="str">
        <f t="shared" si="91"/>
        <v>CI_RoleCode_pointOfContact</v>
      </c>
      <c r="B5873" s="330"/>
      <c r="C5873" s="334"/>
      <c r="D5873" s="188" t="s">
        <v>9711</v>
      </c>
      <c r="E5873" s="189" t="s">
        <v>29493</v>
      </c>
      <c r="F5873" s="162" t="s">
        <v>29494</v>
      </c>
      <c r="G5873" s="190"/>
      <c r="H5873" s="219"/>
      <c r="I5873" s="169">
        <v>203040</v>
      </c>
      <c r="J5873" s="304" t="str">
        <f>CONCATENATE([2]Cover!$D$6,"fdd/view?i=",I5873)</f>
        <v>https://www.dgiwg.org/FAD/fdd/view?i=203040</v>
      </c>
      <c r="K5873" s="304" t="s">
        <v>39922</v>
      </c>
      <c r="L5873" s="188">
        <v>7</v>
      </c>
      <c r="M5873" s="179" t="s">
        <v>1295</v>
      </c>
    </row>
    <row r="5874" spans="1:13">
      <c r="A5874" s="313" t="str">
        <f t="shared" si="91"/>
        <v>CI_RoleCode_principalInvestigator</v>
      </c>
      <c r="B5874" s="330"/>
      <c r="C5874" s="334"/>
      <c r="D5874" s="188" t="s">
        <v>29495</v>
      </c>
      <c r="E5874" s="189" t="s">
        <v>29496</v>
      </c>
      <c r="F5874" s="162" t="s">
        <v>29497</v>
      </c>
      <c r="G5874" s="190"/>
      <c r="H5874" s="219"/>
      <c r="I5874" s="169">
        <v>203041</v>
      </c>
      <c r="J5874" s="304" t="str">
        <f>CONCATENATE([2]Cover!$D$6,"fdd/view?i=",I5874)</f>
        <v>https://www.dgiwg.org/FAD/fdd/view?i=203041</v>
      </c>
      <c r="K5874" s="304" t="s">
        <v>39923</v>
      </c>
      <c r="L5874" s="188">
        <v>8</v>
      </c>
      <c r="M5874" s="179" t="s">
        <v>1295</v>
      </c>
    </row>
    <row r="5875" spans="1:13" ht="25.5">
      <c r="A5875" s="313" t="str">
        <f t="shared" si="91"/>
        <v>CI_RoleCode_processor</v>
      </c>
      <c r="B5875" s="330"/>
      <c r="C5875" s="334"/>
      <c r="D5875" s="188" t="s">
        <v>29498</v>
      </c>
      <c r="E5875" s="189" t="s">
        <v>29499</v>
      </c>
      <c r="F5875" s="162" t="s">
        <v>29500</v>
      </c>
      <c r="G5875" s="190"/>
      <c r="H5875" s="219"/>
      <c r="I5875" s="169">
        <v>203042</v>
      </c>
      <c r="J5875" s="304" t="str">
        <f>CONCATENATE([2]Cover!$D$6,"fdd/view?i=",I5875)</f>
        <v>https://www.dgiwg.org/FAD/fdd/view?i=203042</v>
      </c>
      <c r="K5875" s="304" t="s">
        <v>39924</v>
      </c>
      <c r="L5875" s="188">
        <v>9</v>
      </c>
      <c r="M5875" s="179" t="s">
        <v>1295</v>
      </c>
    </row>
    <row r="5876" spans="1:13">
      <c r="A5876" s="313" t="str">
        <f t="shared" si="91"/>
        <v>CI_RoleCode_provider</v>
      </c>
      <c r="B5876" s="330"/>
      <c r="C5876" s="334"/>
      <c r="D5876" s="188" t="s">
        <v>29501</v>
      </c>
      <c r="E5876" s="189" t="s">
        <v>29502</v>
      </c>
      <c r="F5876" s="162" t="s">
        <v>29503</v>
      </c>
      <c r="G5876" s="190"/>
      <c r="H5876" s="219"/>
      <c r="I5876" s="169">
        <v>203034</v>
      </c>
      <c r="J5876" s="304" t="str">
        <f>CONCATENATE([2]Cover!$D$6,"fdd/view?i=",I5876)</f>
        <v>https://www.dgiwg.org/FAD/fdd/view?i=203034</v>
      </c>
      <c r="K5876" s="304" t="s">
        <v>39925</v>
      </c>
      <c r="L5876" s="188">
        <v>1</v>
      </c>
      <c r="M5876" s="179" t="s">
        <v>1295</v>
      </c>
    </row>
    <row r="5877" spans="1:13">
      <c r="A5877" s="313" t="str">
        <f t="shared" si="91"/>
        <v>CI_RoleCode_publisher</v>
      </c>
      <c r="B5877" s="330"/>
      <c r="C5877" s="334"/>
      <c r="D5877" s="188" t="s">
        <v>29504</v>
      </c>
      <c r="E5877" s="189" t="s">
        <v>29505</v>
      </c>
      <c r="F5877" s="162" t="s">
        <v>29506</v>
      </c>
      <c r="G5877" s="190"/>
      <c r="H5877" s="219"/>
      <c r="I5877" s="169">
        <v>203043</v>
      </c>
      <c r="J5877" s="304" t="str">
        <f>CONCATENATE([2]Cover!$D$6,"fdd/view?i=",I5877)</f>
        <v>https://www.dgiwg.org/FAD/fdd/view?i=203043</v>
      </c>
      <c r="K5877" s="304" t="s">
        <v>39926</v>
      </c>
      <c r="L5877" s="188">
        <v>10</v>
      </c>
      <c r="M5877" s="179" t="s">
        <v>1295</v>
      </c>
    </row>
    <row r="5878" spans="1:13">
      <c r="A5878" s="313" t="str">
        <f t="shared" si="91"/>
        <v>CI_RoleCode_user</v>
      </c>
      <c r="B5878" s="331"/>
      <c r="C5878" s="335"/>
      <c r="D5878" s="181" t="s">
        <v>29507</v>
      </c>
      <c r="E5878" s="192" t="s">
        <v>29508</v>
      </c>
      <c r="F5878" s="193" t="s">
        <v>29509</v>
      </c>
      <c r="G5878" s="194"/>
      <c r="H5878" s="220"/>
      <c r="I5878" s="169">
        <v>203037</v>
      </c>
      <c r="J5878" s="304" t="str">
        <f>CONCATENATE([2]Cover!$D$6,"fdd/view?i=",I5878)</f>
        <v>https://www.dgiwg.org/FAD/fdd/view?i=203037</v>
      </c>
      <c r="K5878" s="304" t="s">
        <v>39927</v>
      </c>
      <c r="L5878" s="181">
        <v>4</v>
      </c>
      <c r="M5878" s="179" t="s">
        <v>1295</v>
      </c>
    </row>
    <row r="5879" spans="1:13" ht="51">
      <c r="A5879" s="313" t="str">
        <f t="shared" si="91"/>
        <v>RoadInterchangeTypeCode_cloverleaf</v>
      </c>
      <c r="B5879" s="332" t="str">
        <f>HYPERLINK("[#]Datatypes!A1215:L1215","RoadInterchangeTypeCode")</f>
        <v>RoadInterchangeTypeCode</v>
      </c>
      <c r="C5879" s="333" t="s">
        <v>12825</v>
      </c>
      <c r="D5879" s="202" t="s">
        <v>29510</v>
      </c>
      <c r="E5879" s="203" t="s">
        <v>29511</v>
      </c>
      <c r="F5879" s="204" t="s">
        <v>29512</v>
      </c>
      <c r="G5879" s="205"/>
      <c r="H5879" s="218"/>
      <c r="I5879" s="169">
        <v>107188</v>
      </c>
      <c r="J5879" s="304" t="str">
        <f>CONCATENATE([2]Cover!$D$6,"fdd/view?i=",I5879)</f>
        <v>https://www.dgiwg.org/FAD/fdd/view?i=107188</v>
      </c>
      <c r="K5879" s="304" t="s">
        <v>39928</v>
      </c>
      <c r="L5879" s="202">
        <v>1</v>
      </c>
      <c r="M5879" s="179" t="s">
        <v>151</v>
      </c>
    </row>
    <row r="5880" spans="1:13" ht="63.75">
      <c r="A5880" s="313" t="str">
        <f t="shared" si="91"/>
        <v>RoadInterchangeTypeCode_diamond</v>
      </c>
      <c r="B5880" s="330"/>
      <c r="C5880" s="334"/>
      <c r="D5880" s="188" t="s">
        <v>18516</v>
      </c>
      <c r="E5880" s="189" t="s">
        <v>18517</v>
      </c>
      <c r="F5880" s="162" t="s">
        <v>29513</v>
      </c>
      <c r="G5880" s="190"/>
      <c r="H5880" s="219"/>
      <c r="I5880" s="169">
        <v>107189</v>
      </c>
      <c r="J5880" s="304" t="str">
        <f>CONCATENATE([2]Cover!$D$6,"fdd/view?i=",I5880)</f>
        <v>https://www.dgiwg.org/FAD/fdd/view?i=107189</v>
      </c>
      <c r="K5880" s="304" t="s">
        <v>39929</v>
      </c>
      <c r="L5880" s="188">
        <v>2</v>
      </c>
      <c r="M5880" s="179" t="s">
        <v>151</v>
      </c>
    </row>
    <row r="5881" spans="1:13" ht="51">
      <c r="A5881" s="313" t="str">
        <f t="shared" si="91"/>
        <v>RoadInterchangeTypeCode_fork</v>
      </c>
      <c r="B5881" s="330"/>
      <c r="C5881" s="334"/>
      <c r="D5881" s="188" t="s">
        <v>29514</v>
      </c>
      <c r="E5881" s="189" t="s">
        <v>29515</v>
      </c>
      <c r="F5881" s="162" t="s">
        <v>29516</v>
      </c>
      <c r="G5881" s="190"/>
      <c r="H5881" s="219"/>
      <c r="I5881" s="169">
        <v>107190</v>
      </c>
      <c r="J5881" s="304" t="str">
        <f>CONCATENATE([2]Cover!$D$6,"fdd/view?i=",I5881)</f>
        <v>https://www.dgiwg.org/FAD/fdd/view?i=107190</v>
      </c>
      <c r="K5881" s="304" t="s">
        <v>39930</v>
      </c>
      <c r="L5881" s="188">
        <v>3</v>
      </c>
      <c r="M5881" s="179" t="s">
        <v>151</v>
      </c>
    </row>
    <row r="5882" spans="1:13" ht="51">
      <c r="A5882" s="313" t="str">
        <f t="shared" si="91"/>
        <v>RoadInterchangeTypeCode_rotary</v>
      </c>
      <c r="B5882" s="330"/>
      <c r="C5882" s="334"/>
      <c r="D5882" s="188" t="s">
        <v>29517</v>
      </c>
      <c r="E5882" s="189" t="s">
        <v>29518</v>
      </c>
      <c r="F5882" s="162" t="s">
        <v>29519</v>
      </c>
      <c r="G5882" s="190"/>
      <c r="H5882" s="221" t="s">
        <v>29520</v>
      </c>
      <c r="I5882" s="169">
        <v>107191</v>
      </c>
      <c r="J5882" s="304" t="str">
        <f>CONCATENATE([2]Cover!$D$6,"fdd/view?i=",I5882)</f>
        <v>https://www.dgiwg.org/FAD/fdd/view?i=107191</v>
      </c>
      <c r="K5882" s="304" t="s">
        <v>39931</v>
      </c>
      <c r="L5882" s="188">
        <v>4</v>
      </c>
      <c r="M5882" s="179" t="s">
        <v>151</v>
      </c>
    </row>
    <row r="5883" spans="1:13" ht="51">
      <c r="A5883" s="313" t="str">
        <f t="shared" si="91"/>
        <v>RoadInterchangeTypeCode_staggeredRamps</v>
      </c>
      <c r="B5883" s="330"/>
      <c r="C5883" s="334"/>
      <c r="D5883" s="188" t="s">
        <v>29521</v>
      </c>
      <c r="E5883" s="189" t="s">
        <v>29522</v>
      </c>
      <c r="F5883" s="162" t="s">
        <v>29523</v>
      </c>
      <c r="G5883" s="190"/>
      <c r="H5883" s="219"/>
      <c r="I5883" s="169">
        <v>107192</v>
      </c>
      <c r="J5883" s="304" t="str">
        <f>CONCATENATE([2]Cover!$D$6,"fdd/view?i=",I5883)</f>
        <v>https://www.dgiwg.org/FAD/fdd/view?i=107192</v>
      </c>
      <c r="K5883" s="304" t="s">
        <v>39932</v>
      </c>
      <c r="L5883" s="188">
        <v>5</v>
      </c>
      <c r="M5883" s="179" t="s">
        <v>151</v>
      </c>
    </row>
    <row r="5884" spans="1:13" ht="38.25">
      <c r="A5884" s="313" t="str">
        <f t="shared" si="91"/>
        <v>RoadInterchangeTypeCode_standardRamps</v>
      </c>
      <c r="B5884" s="330"/>
      <c r="C5884" s="334"/>
      <c r="D5884" s="188" t="s">
        <v>29524</v>
      </c>
      <c r="E5884" s="189" t="s">
        <v>29525</v>
      </c>
      <c r="F5884" s="162" t="s">
        <v>29526</v>
      </c>
      <c r="G5884" s="190"/>
      <c r="H5884" s="219"/>
      <c r="I5884" s="169">
        <v>107193</v>
      </c>
      <c r="J5884" s="304" t="str">
        <f>CONCATENATE([2]Cover!$D$6,"fdd/view?i=",I5884)</f>
        <v>https://www.dgiwg.org/FAD/fdd/view?i=107193</v>
      </c>
      <c r="K5884" s="304" t="s">
        <v>39933</v>
      </c>
      <c r="L5884" s="188">
        <v>6</v>
      </c>
      <c r="M5884" s="179" t="s">
        <v>151</v>
      </c>
    </row>
    <row r="5885" spans="1:13" ht="51">
      <c r="A5885" s="313" t="str">
        <f t="shared" si="91"/>
        <v>RoadInterchangeTypeCode_symmetricalRamps</v>
      </c>
      <c r="B5885" s="330"/>
      <c r="C5885" s="334"/>
      <c r="D5885" s="188" t="s">
        <v>29527</v>
      </c>
      <c r="E5885" s="189" t="s">
        <v>29528</v>
      </c>
      <c r="F5885" s="162" t="s">
        <v>29529</v>
      </c>
      <c r="G5885" s="190"/>
      <c r="H5885" s="219"/>
      <c r="I5885" s="169">
        <v>107194</v>
      </c>
      <c r="J5885" s="304" t="str">
        <f>CONCATENATE([2]Cover!$D$6,"fdd/view?i=",I5885)</f>
        <v>https://www.dgiwg.org/FAD/fdd/view?i=107194</v>
      </c>
      <c r="K5885" s="304" t="s">
        <v>39934</v>
      </c>
      <c r="L5885" s="188">
        <v>7</v>
      </c>
      <c r="M5885" s="179" t="s">
        <v>151</v>
      </c>
    </row>
    <row r="5886" spans="1:13" ht="38.25">
      <c r="A5886" s="313" t="str">
        <f t="shared" si="91"/>
        <v>RoadInterchangeTypeCode_trumpet</v>
      </c>
      <c r="B5886" s="330"/>
      <c r="C5886" s="334"/>
      <c r="D5886" s="188" t="s">
        <v>29530</v>
      </c>
      <c r="E5886" s="189" t="s">
        <v>29531</v>
      </c>
      <c r="F5886" s="162" t="s">
        <v>29532</v>
      </c>
      <c r="G5886" s="190"/>
      <c r="H5886" s="219"/>
      <c r="I5886" s="169">
        <v>107195</v>
      </c>
      <c r="J5886" s="304" t="str">
        <f>CONCATENATE([2]Cover!$D$6,"fdd/view?i=",I5886)</f>
        <v>https://www.dgiwg.org/FAD/fdd/view?i=107195</v>
      </c>
      <c r="K5886" s="304" t="s">
        <v>39935</v>
      </c>
      <c r="L5886" s="188">
        <v>8</v>
      </c>
      <c r="M5886" s="179" t="s">
        <v>151</v>
      </c>
    </row>
    <row r="5887" spans="1:13" ht="76.5">
      <c r="A5887" s="313" t="str">
        <f t="shared" si="91"/>
        <v>RoadInterchangeTypeCode_turban</v>
      </c>
      <c r="B5887" s="330"/>
      <c r="C5887" s="334"/>
      <c r="D5887" s="188" t="s">
        <v>29533</v>
      </c>
      <c r="E5887" s="189" t="s">
        <v>29534</v>
      </c>
      <c r="F5887" s="162" t="s">
        <v>29535</v>
      </c>
      <c r="G5887" s="190"/>
      <c r="H5887" s="219"/>
      <c r="I5887" s="169">
        <v>107196</v>
      </c>
      <c r="J5887" s="304" t="str">
        <f>CONCATENATE([2]Cover!$D$6,"fdd/view?i=",I5887)</f>
        <v>https://www.dgiwg.org/FAD/fdd/view?i=107196</v>
      </c>
      <c r="K5887" s="304" t="s">
        <v>39936</v>
      </c>
      <c r="L5887" s="188">
        <v>9</v>
      </c>
      <c r="M5887" s="179" t="s">
        <v>151</v>
      </c>
    </row>
    <row r="5888" spans="1:13" ht="51">
      <c r="A5888" s="313" t="str">
        <f t="shared" si="91"/>
        <v>RoadInterchangeTypeCode_wye</v>
      </c>
      <c r="B5888" s="331"/>
      <c r="C5888" s="335"/>
      <c r="D5888" s="181" t="s">
        <v>29536</v>
      </c>
      <c r="E5888" s="192" t="s">
        <v>29537</v>
      </c>
      <c r="F5888" s="193" t="s">
        <v>29538</v>
      </c>
      <c r="G5888" s="194"/>
      <c r="H5888" s="220"/>
      <c r="I5888" s="169">
        <v>107197</v>
      </c>
      <c r="J5888" s="304" t="str">
        <f>CONCATENATE([2]Cover!$D$6,"fdd/view?i=",I5888)</f>
        <v>https://www.dgiwg.org/FAD/fdd/view?i=107197</v>
      </c>
      <c r="K5888" s="304" t="s">
        <v>39937</v>
      </c>
      <c r="L5888" s="181">
        <v>10</v>
      </c>
      <c r="M5888" s="179" t="s">
        <v>151</v>
      </c>
    </row>
    <row r="5889" spans="1:13" ht="114.75">
      <c r="A5889" s="313" t="str">
        <f t="shared" si="91"/>
        <v>RoadWeatherRestrictionCode_allWeather</v>
      </c>
      <c r="B5889" s="332" t="str">
        <f>HYPERLINK("[#]Datatypes!A1217:L1217","RoadWeatherRestrictionCode")</f>
        <v>RoadWeatherRestrictionCode</v>
      </c>
      <c r="C5889" s="333" t="s">
        <v>12827</v>
      </c>
      <c r="D5889" s="202" t="s">
        <v>29539</v>
      </c>
      <c r="E5889" s="203" t="s">
        <v>29540</v>
      </c>
      <c r="F5889" s="204" t="s">
        <v>29541</v>
      </c>
      <c r="G5889" s="204" t="s">
        <v>29542</v>
      </c>
      <c r="H5889" s="218"/>
      <c r="I5889" s="169">
        <v>109700</v>
      </c>
      <c r="J5889" s="304" t="str">
        <f>CONCATENATE([2]Cover!$D$6,"fdd/view?i=",I5889)</f>
        <v>https://www.dgiwg.org/FAD/fdd/view?i=109700</v>
      </c>
      <c r="K5889" s="304" t="s">
        <v>39938</v>
      </c>
      <c r="L5889" s="202">
        <v>1</v>
      </c>
      <c r="M5889" s="179" t="s">
        <v>151</v>
      </c>
    </row>
    <row r="5890" spans="1:13" ht="38.25">
      <c r="A5890" s="313" t="str">
        <f t="shared" si="91"/>
        <v>RoadWeatherRestrictionCode_closedInWinter</v>
      </c>
      <c r="B5890" s="330"/>
      <c r="C5890" s="334"/>
      <c r="D5890" s="188" t="s">
        <v>29543</v>
      </c>
      <c r="E5890" s="189" t="s">
        <v>29544</v>
      </c>
      <c r="F5890" s="162" t="s">
        <v>29545</v>
      </c>
      <c r="G5890" s="162" t="s">
        <v>29546</v>
      </c>
      <c r="H5890" s="219"/>
      <c r="I5890" s="169">
        <v>109914</v>
      </c>
      <c r="J5890" s="304" t="str">
        <f>CONCATENATE([2]Cover!$D$6,"fdd/view?i=",I5890)</f>
        <v>https://www.dgiwg.org/FAD/fdd/view?i=109914</v>
      </c>
      <c r="K5890" s="304" t="s">
        <v>39939</v>
      </c>
      <c r="L5890" s="188">
        <v>5</v>
      </c>
      <c r="M5890" s="179" t="s">
        <v>151</v>
      </c>
    </row>
    <row r="5891" spans="1:13" ht="89.25">
      <c r="A5891" s="313" t="str">
        <f t="shared" ref="A5891:A5954" si="92">HYPERLINK(J5891,K5891)</f>
        <v>RoadWeatherRestrictionCode_fairWeather</v>
      </c>
      <c r="B5891" s="330"/>
      <c r="C5891" s="334"/>
      <c r="D5891" s="188" t="s">
        <v>29547</v>
      </c>
      <c r="E5891" s="189" t="s">
        <v>29548</v>
      </c>
      <c r="F5891" s="162" t="s">
        <v>29549</v>
      </c>
      <c r="G5891" s="162" t="s">
        <v>29550</v>
      </c>
      <c r="H5891" s="219"/>
      <c r="I5891" s="169">
        <v>109701</v>
      </c>
      <c r="J5891" s="304" t="str">
        <f>CONCATENATE([2]Cover!$D$6,"fdd/view?i=",I5891)</f>
        <v>https://www.dgiwg.org/FAD/fdd/view?i=109701</v>
      </c>
      <c r="K5891" s="304" t="s">
        <v>39940</v>
      </c>
      <c r="L5891" s="188">
        <v>2</v>
      </c>
      <c r="M5891" s="179" t="s">
        <v>151</v>
      </c>
    </row>
    <row r="5892" spans="1:13" ht="140.25">
      <c r="A5892" s="313" t="str">
        <f t="shared" si="92"/>
        <v>RoadWeatherRestrictionCode_limitedAllWeather</v>
      </c>
      <c r="B5892" s="330"/>
      <c r="C5892" s="334"/>
      <c r="D5892" s="188" t="s">
        <v>29551</v>
      </c>
      <c r="E5892" s="189" t="s">
        <v>29552</v>
      </c>
      <c r="F5892" s="162" t="s">
        <v>29553</v>
      </c>
      <c r="G5892" s="162" t="s">
        <v>29554</v>
      </c>
      <c r="H5892" s="219"/>
      <c r="I5892" s="169">
        <v>109703</v>
      </c>
      <c r="J5892" s="304" t="str">
        <f>CONCATENATE([2]Cover!$D$6,"fdd/view?i=",I5892)</f>
        <v>https://www.dgiwg.org/FAD/fdd/view?i=109703</v>
      </c>
      <c r="K5892" s="304" t="s">
        <v>39941</v>
      </c>
      <c r="L5892" s="188">
        <v>4</v>
      </c>
      <c r="M5892" s="179" t="s">
        <v>151</v>
      </c>
    </row>
    <row r="5893" spans="1:13" ht="38.25">
      <c r="A5893" s="313" t="str">
        <f t="shared" si="92"/>
        <v>RoadWeatherRestrictionCode_winterOnly</v>
      </c>
      <c r="B5893" s="331"/>
      <c r="C5893" s="335"/>
      <c r="D5893" s="181" t="s">
        <v>29555</v>
      </c>
      <c r="E5893" s="192" t="s">
        <v>29556</v>
      </c>
      <c r="F5893" s="193" t="s">
        <v>29557</v>
      </c>
      <c r="G5893" s="193" t="s">
        <v>29558</v>
      </c>
      <c r="H5893" s="220"/>
      <c r="I5893" s="169">
        <v>109702</v>
      </c>
      <c r="J5893" s="304" t="str">
        <f>CONCATENATE([2]Cover!$D$6,"fdd/view?i=",I5893)</f>
        <v>https://www.dgiwg.org/FAD/fdd/view?i=109702</v>
      </c>
      <c r="K5893" s="304" t="s">
        <v>39942</v>
      </c>
      <c r="L5893" s="181">
        <v>3</v>
      </c>
      <c r="M5893" s="179" t="s">
        <v>151</v>
      </c>
    </row>
    <row r="5894" spans="1:13" ht="51">
      <c r="A5894" s="313" t="str">
        <f t="shared" si="92"/>
        <v>RoadwayTypeCode_limitedAccessMotorway</v>
      </c>
      <c r="B5894" s="332" t="str">
        <f>HYPERLINK("[#]Datatypes!A1219:L1219","RoadwayTypeCode")</f>
        <v>RoadwayTypeCode</v>
      </c>
      <c r="C5894" s="333" t="s">
        <v>12829</v>
      </c>
      <c r="D5894" s="202" t="s">
        <v>29559</v>
      </c>
      <c r="E5894" s="203" t="s">
        <v>29560</v>
      </c>
      <c r="F5894" s="204" t="s">
        <v>29561</v>
      </c>
      <c r="G5894" s="204" t="s">
        <v>29562</v>
      </c>
      <c r="H5894" s="218"/>
      <c r="I5894" s="169">
        <v>207856</v>
      </c>
      <c r="J5894" s="304" t="str">
        <f>CONCATENATE([2]Cover!$D$6,"fdd/view?i=",I5894)</f>
        <v>https://www.dgiwg.org/FAD/fdd/view?i=207856</v>
      </c>
      <c r="K5894" s="304" t="s">
        <v>39943</v>
      </c>
      <c r="L5894" s="202">
        <v>2</v>
      </c>
      <c r="M5894" s="179" t="s">
        <v>1295</v>
      </c>
    </row>
    <row r="5895" spans="1:13" ht="38.25">
      <c r="A5895" s="313" t="str">
        <f t="shared" si="92"/>
        <v>RoadwayTypeCode_motorway</v>
      </c>
      <c r="B5895" s="330"/>
      <c r="C5895" s="334"/>
      <c r="D5895" s="188" t="s">
        <v>29563</v>
      </c>
      <c r="E5895" s="189" t="s">
        <v>29564</v>
      </c>
      <c r="F5895" s="162" t="s">
        <v>29565</v>
      </c>
      <c r="G5895" s="162" t="s">
        <v>29566</v>
      </c>
      <c r="H5895" s="219"/>
      <c r="I5895" s="169">
        <v>207855</v>
      </c>
      <c r="J5895" s="304" t="str">
        <f>CONCATENATE([2]Cover!$D$6,"fdd/view?i=",I5895)</f>
        <v>https://www.dgiwg.org/FAD/fdd/view?i=207855</v>
      </c>
      <c r="K5895" s="304" t="s">
        <v>39944</v>
      </c>
      <c r="L5895" s="188">
        <v>1</v>
      </c>
      <c r="M5895" s="179" t="s">
        <v>1295</v>
      </c>
    </row>
    <row r="5896" spans="1:13" ht="51">
      <c r="A5896" s="313" t="str">
        <f t="shared" si="92"/>
        <v>RoadwayTypeCode_road</v>
      </c>
      <c r="B5896" s="330"/>
      <c r="C5896" s="334"/>
      <c r="D5896" s="188" t="s">
        <v>29567</v>
      </c>
      <c r="E5896" s="189" t="s">
        <v>3655</v>
      </c>
      <c r="F5896" s="162" t="s">
        <v>29568</v>
      </c>
      <c r="G5896" s="162" t="s">
        <v>29569</v>
      </c>
      <c r="H5896" s="219"/>
      <c r="I5896" s="169">
        <v>207857</v>
      </c>
      <c r="J5896" s="304" t="str">
        <f>CONCATENATE([2]Cover!$D$6,"fdd/view?i=",I5896)</f>
        <v>https://www.dgiwg.org/FAD/fdd/view?i=207857</v>
      </c>
      <c r="K5896" s="304" t="s">
        <v>39945</v>
      </c>
      <c r="L5896" s="188">
        <v>3</v>
      </c>
      <c r="M5896" s="179" t="s">
        <v>1295</v>
      </c>
    </row>
    <row r="5897" spans="1:13" ht="51">
      <c r="A5897" s="313" t="str">
        <f t="shared" si="92"/>
        <v>RoadwayTypeCode_street</v>
      </c>
      <c r="B5897" s="331"/>
      <c r="C5897" s="335"/>
      <c r="D5897" s="181" t="s">
        <v>29570</v>
      </c>
      <c r="E5897" s="192" t="s">
        <v>29571</v>
      </c>
      <c r="F5897" s="193" t="s">
        <v>29572</v>
      </c>
      <c r="G5897" s="193" t="s">
        <v>29573</v>
      </c>
      <c r="H5897" s="220"/>
      <c r="I5897" s="169">
        <v>207858</v>
      </c>
      <c r="J5897" s="304" t="str">
        <f>CONCATENATE([2]Cover!$D$6,"fdd/view?i=",I5897)</f>
        <v>https://www.dgiwg.org/FAD/fdd/view?i=207858</v>
      </c>
      <c r="K5897" s="304" t="s">
        <v>39946</v>
      </c>
      <c r="L5897" s="181">
        <v>4</v>
      </c>
      <c r="M5897" s="179" t="s">
        <v>1295</v>
      </c>
    </row>
    <row r="5898" spans="1:13" ht="38.25">
      <c r="A5898" s="313" t="str">
        <f t="shared" si="92"/>
        <v>RockFormationStructureCode_columnar</v>
      </c>
      <c r="B5898" s="332" t="str">
        <f>HYPERLINK("[#]Datatypes!A1221:L1221","RockFormationStructureCode")</f>
        <v>RockFormationStructureCode</v>
      </c>
      <c r="C5898" s="333" t="s">
        <v>12831</v>
      </c>
      <c r="D5898" s="202" t="s">
        <v>29574</v>
      </c>
      <c r="E5898" s="203" t="s">
        <v>29575</v>
      </c>
      <c r="F5898" s="204" t="s">
        <v>29576</v>
      </c>
      <c r="G5898" s="205"/>
      <c r="H5898" s="218"/>
      <c r="I5898" s="169">
        <v>107202</v>
      </c>
      <c r="J5898" s="304" t="str">
        <f>CONCATENATE([2]Cover!$D$6,"fdd/view?i=",I5898)</f>
        <v>https://www.dgiwg.org/FAD/fdd/view?i=107202</v>
      </c>
      <c r="K5898" s="304" t="s">
        <v>39947</v>
      </c>
      <c r="L5898" s="202">
        <v>1</v>
      </c>
      <c r="M5898" s="179" t="s">
        <v>151</v>
      </c>
    </row>
    <row r="5899" spans="1:13" ht="25.5">
      <c r="A5899" s="313" t="str">
        <f t="shared" si="92"/>
        <v>RockFormationStructureCode_fossilizedForest</v>
      </c>
      <c r="B5899" s="330"/>
      <c r="C5899" s="334"/>
      <c r="D5899" s="188" t="s">
        <v>29577</v>
      </c>
      <c r="E5899" s="189" t="s">
        <v>29578</v>
      </c>
      <c r="F5899" s="162" t="s">
        <v>29579</v>
      </c>
      <c r="G5899" s="190"/>
      <c r="H5899" s="219"/>
      <c r="I5899" s="169">
        <v>112738</v>
      </c>
      <c r="J5899" s="304" t="str">
        <f>CONCATENATE([2]Cover!$D$6,"fdd/view?i=",I5899)</f>
        <v>https://www.dgiwg.org/FAD/fdd/view?i=112738</v>
      </c>
      <c r="K5899" s="304" t="s">
        <v>39948</v>
      </c>
      <c r="L5899" s="188">
        <v>4</v>
      </c>
      <c r="M5899" s="179" t="s">
        <v>151</v>
      </c>
    </row>
    <row r="5900" spans="1:13" ht="25.5">
      <c r="A5900" s="313" t="str">
        <f t="shared" si="92"/>
        <v>RockFormationStructureCode_needle</v>
      </c>
      <c r="B5900" s="330"/>
      <c r="C5900" s="334"/>
      <c r="D5900" s="188" t="s">
        <v>29580</v>
      </c>
      <c r="E5900" s="189" t="s">
        <v>29581</v>
      </c>
      <c r="F5900" s="162" t="s">
        <v>29582</v>
      </c>
      <c r="G5900" s="190"/>
      <c r="H5900" s="219"/>
      <c r="I5900" s="169">
        <v>107203</v>
      </c>
      <c r="J5900" s="304" t="str">
        <f>CONCATENATE([2]Cover!$D$6,"fdd/view?i=",I5900)</f>
        <v>https://www.dgiwg.org/FAD/fdd/view?i=107203</v>
      </c>
      <c r="K5900" s="304" t="s">
        <v>39949</v>
      </c>
      <c r="L5900" s="188">
        <v>2</v>
      </c>
      <c r="M5900" s="179" t="s">
        <v>151</v>
      </c>
    </row>
    <row r="5901" spans="1:13" ht="38.25">
      <c r="A5901" s="313" t="str">
        <f t="shared" si="92"/>
        <v>RockFormationStructureCode_pinnacle</v>
      </c>
      <c r="B5901" s="331"/>
      <c r="C5901" s="335"/>
      <c r="D5901" s="181" t="s">
        <v>29583</v>
      </c>
      <c r="E5901" s="192" t="s">
        <v>29584</v>
      </c>
      <c r="F5901" s="193" t="s">
        <v>29585</v>
      </c>
      <c r="G5901" s="193" t="s">
        <v>29586</v>
      </c>
      <c r="H5901" s="220"/>
      <c r="I5901" s="169">
        <v>107204</v>
      </c>
      <c r="J5901" s="304" t="str">
        <f>CONCATENATE([2]Cover!$D$6,"fdd/view?i=",I5901)</f>
        <v>https://www.dgiwg.org/FAD/fdd/view?i=107204</v>
      </c>
      <c r="K5901" s="304" t="s">
        <v>39950</v>
      </c>
      <c r="L5901" s="181">
        <v>3</v>
      </c>
      <c r="M5901" s="179" t="s">
        <v>151</v>
      </c>
    </row>
    <row r="5902" spans="1:13" ht="25.5">
      <c r="A5902" s="313" t="str">
        <f t="shared" si="92"/>
        <v>RoofShapeCode_conical</v>
      </c>
      <c r="B5902" s="332" t="str">
        <f>HYPERLINK("[#]Datatypes!A1223:L1223","RoofShapeCode")</f>
        <v>RoofShapeCode</v>
      </c>
      <c r="C5902" s="333" t="s">
        <v>12833</v>
      </c>
      <c r="D5902" s="202" t="s">
        <v>18512</v>
      </c>
      <c r="E5902" s="203" t="s">
        <v>18513</v>
      </c>
      <c r="F5902" s="204" t="s">
        <v>29587</v>
      </c>
      <c r="G5902" s="205"/>
      <c r="H5902" s="218"/>
      <c r="I5902" s="169">
        <v>108178</v>
      </c>
      <c r="J5902" s="304" t="str">
        <f>CONCATENATE([2]Cover!$D$6,"fdd/view?i=",I5902)</f>
        <v>https://www.dgiwg.org/FAD/fdd/view?i=108178</v>
      </c>
      <c r="K5902" s="304" t="s">
        <v>39951</v>
      </c>
      <c r="L5902" s="202">
        <v>6</v>
      </c>
      <c r="M5902" s="179" t="s">
        <v>151</v>
      </c>
    </row>
    <row r="5903" spans="1:13" ht="38.25">
      <c r="A5903" s="313" t="str">
        <f t="shared" si="92"/>
        <v>RoofShapeCode_domed</v>
      </c>
      <c r="B5903" s="330"/>
      <c r="C5903" s="334"/>
      <c r="D5903" s="188" t="s">
        <v>29588</v>
      </c>
      <c r="E5903" s="189" t="s">
        <v>29589</v>
      </c>
      <c r="F5903" s="162" t="s">
        <v>29590</v>
      </c>
      <c r="G5903" s="162" t="s">
        <v>29591</v>
      </c>
      <c r="H5903" s="219"/>
      <c r="I5903" s="169">
        <v>108180</v>
      </c>
      <c r="J5903" s="304" t="str">
        <f>CONCATENATE([2]Cover!$D$6,"fdd/view?i=",I5903)</f>
        <v>https://www.dgiwg.org/FAD/fdd/view?i=108180</v>
      </c>
      <c r="K5903" s="304" t="s">
        <v>39952</v>
      </c>
      <c r="L5903" s="188">
        <v>40</v>
      </c>
      <c r="M5903" s="179" t="s">
        <v>151</v>
      </c>
    </row>
    <row r="5904" spans="1:13" ht="25.5">
      <c r="A5904" s="313" t="str">
        <f t="shared" si="92"/>
        <v>RoofShapeCode_flat</v>
      </c>
      <c r="B5904" s="330"/>
      <c r="C5904" s="334"/>
      <c r="D5904" s="188" t="s">
        <v>29592</v>
      </c>
      <c r="E5904" s="189" t="s">
        <v>29593</v>
      </c>
      <c r="F5904" s="162" t="s">
        <v>29594</v>
      </c>
      <c r="G5904" s="190"/>
      <c r="H5904" s="219"/>
      <c r="I5904" s="169">
        <v>108181</v>
      </c>
      <c r="J5904" s="304" t="str">
        <f>CONCATENATE([2]Cover!$D$6,"fdd/view?i=",I5904)</f>
        <v>https://www.dgiwg.org/FAD/fdd/view?i=108181</v>
      </c>
      <c r="K5904" s="304" t="s">
        <v>39953</v>
      </c>
      <c r="L5904" s="188">
        <v>41</v>
      </c>
      <c r="M5904" s="179" t="s">
        <v>151</v>
      </c>
    </row>
    <row r="5905" spans="1:13" ht="25.5">
      <c r="A5905" s="313" t="str">
        <f t="shared" si="92"/>
        <v>RoofShapeCode_flatWithClerestory</v>
      </c>
      <c r="B5905" s="330"/>
      <c r="C5905" s="334"/>
      <c r="D5905" s="188" t="s">
        <v>29595</v>
      </c>
      <c r="E5905" s="189" t="s">
        <v>29596</v>
      </c>
      <c r="F5905" s="162" t="s">
        <v>29597</v>
      </c>
      <c r="G5905" s="190"/>
      <c r="H5905" s="221" t="s">
        <v>29598</v>
      </c>
      <c r="I5905" s="169">
        <v>108192</v>
      </c>
      <c r="J5905" s="304" t="str">
        <f>CONCATENATE([2]Cover!$D$6,"fdd/view?i=",I5905)</f>
        <v>https://www.dgiwg.org/FAD/fdd/view?i=108192</v>
      </c>
      <c r="K5905" s="304" t="s">
        <v>39954</v>
      </c>
      <c r="L5905" s="188">
        <v>55</v>
      </c>
      <c r="M5905" s="179" t="s">
        <v>151</v>
      </c>
    </row>
    <row r="5906" spans="1:13" ht="38.25">
      <c r="A5906" s="313" t="str">
        <f t="shared" si="92"/>
        <v>RoofShapeCode_flatWithParapet</v>
      </c>
      <c r="B5906" s="330"/>
      <c r="C5906" s="334"/>
      <c r="D5906" s="188" t="s">
        <v>29599</v>
      </c>
      <c r="E5906" s="189" t="s">
        <v>29600</v>
      </c>
      <c r="F5906" s="162" t="s">
        <v>29601</v>
      </c>
      <c r="G5906" s="162" t="s">
        <v>29602</v>
      </c>
      <c r="H5906" s="219"/>
      <c r="I5906" s="169">
        <v>117965</v>
      </c>
      <c r="J5906" s="304" t="str">
        <f>CONCATENATE([2]Cover!$D$6,"fdd/view?i=",I5906)</f>
        <v>https://www.dgiwg.org/FAD/fdd/view?i=117965</v>
      </c>
      <c r="K5906" s="304" t="s">
        <v>39955</v>
      </c>
      <c r="L5906" s="188">
        <v>82</v>
      </c>
      <c r="M5906" s="179" t="s">
        <v>151</v>
      </c>
    </row>
    <row r="5907" spans="1:13" ht="25.5">
      <c r="A5907" s="313" t="str">
        <f t="shared" si="92"/>
        <v>RoofShapeCode_pitched</v>
      </c>
      <c r="B5907" s="330"/>
      <c r="C5907" s="334"/>
      <c r="D5907" s="188" t="s">
        <v>29603</v>
      </c>
      <c r="E5907" s="189" t="s">
        <v>29604</v>
      </c>
      <c r="F5907" s="162" t="s">
        <v>29605</v>
      </c>
      <c r="G5907" s="162" t="s">
        <v>29606</v>
      </c>
      <c r="H5907" s="219"/>
      <c r="I5907" s="169">
        <v>108182</v>
      </c>
      <c r="J5907" s="304" t="str">
        <f>CONCATENATE([2]Cover!$D$6,"fdd/view?i=",I5907)</f>
        <v>https://www.dgiwg.org/FAD/fdd/view?i=108182</v>
      </c>
      <c r="K5907" s="304" t="s">
        <v>39956</v>
      </c>
      <c r="L5907" s="188">
        <v>42</v>
      </c>
      <c r="M5907" s="179" t="s">
        <v>151</v>
      </c>
    </row>
    <row r="5908" spans="1:13" ht="25.5">
      <c r="A5908" s="313" t="str">
        <f t="shared" si="92"/>
        <v>RoofShapeCode_pitchedWithClerestory</v>
      </c>
      <c r="B5908" s="330"/>
      <c r="C5908" s="334"/>
      <c r="D5908" s="188" t="s">
        <v>29607</v>
      </c>
      <c r="E5908" s="189" t="s">
        <v>29608</v>
      </c>
      <c r="F5908" s="162" t="s">
        <v>29609</v>
      </c>
      <c r="G5908" s="162" t="s">
        <v>29610</v>
      </c>
      <c r="H5908" s="221" t="s">
        <v>29611</v>
      </c>
      <c r="I5908" s="169">
        <v>108194</v>
      </c>
      <c r="J5908" s="304" t="str">
        <f>CONCATENATE([2]Cover!$D$6,"fdd/view?i=",I5908)</f>
        <v>https://www.dgiwg.org/FAD/fdd/view?i=108194</v>
      </c>
      <c r="K5908" s="304" t="s">
        <v>39957</v>
      </c>
      <c r="L5908" s="188">
        <v>64</v>
      </c>
      <c r="M5908" s="179" t="s">
        <v>151</v>
      </c>
    </row>
    <row r="5909" spans="1:13" ht="38.25">
      <c r="A5909" s="313" t="str">
        <f t="shared" si="92"/>
        <v>RoofShapeCode_pyramidal</v>
      </c>
      <c r="B5909" s="330"/>
      <c r="C5909" s="334"/>
      <c r="D5909" s="188" t="s">
        <v>29612</v>
      </c>
      <c r="E5909" s="189" t="s">
        <v>29613</v>
      </c>
      <c r="F5909" s="162" t="s">
        <v>29614</v>
      </c>
      <c r="G5909" s="162" t="s">
        <v>29615</v>
      </c>
      <c r="H5909" s="219"/>
      <c r="I5909" s="169">
        <v>110889</v>
      </c>
      <c r="J5909" s="304" t="str">
        <f>CONCATENATE([2]Cover!$D$6,"fdd/view?i=",I5909)</f>
        <v>https://www.dgiwg.org/FAD/fdd/view?i=110889</v>
      </c>
      <c r="K5909" s="304" t="s">
        <v>39958</v>
      </c>
      <c r="L5909" s="188">
        <v>7</v>
      </c>
      <c r="M5909" s="179" t="s">
        <v>151</v>
      </c>
    </row>
    <row r="5910" spans="1:13" ht="25.5">
      <c r="A5910" s="313" t="str">
        <f t="shared" si="92"/>
        <v>RoofShapeCode_sawtoothed</v>
      </c>
      <c r="B5910" s="330"/>
      <c r="C5910" s="334"/>
      <c r="D5910" s="188" t="s">
        <v>29616</v>
      </c>
      <c r="E5910" s="189" t="s">
        <v>29617</v>
      </c>
      <c r="F5910" s="162" t="s">
        <v>29618</v>
      </c>
      <c r="G5910" s="190"/>
      <c r="H5910" s="219"/>
      <c r="I5910" s="169">
        <v>108187</v>
      </c>
      <c r="J5910" s="304" t="str">
        <f>CONCATENATE([2]Cover!$D$6,"fdd/view?i=",I5910)</f>
        <v>https://www.dgiwg.org/FAD/fdd/view?i=108187</v>
      </c>
      <c r="K5910" s="304" t="s">
        <v>39959</v>
      </c>
      <c r="L5910" s="188">
        <v>47</v>
      </c>
      <c r="M5910" s="179" t="s">
        <v>151</v>
      </c>
    </row>
    <row r="5911" spans="1:13" ht="38.25">
      <c r="A5911" s="313" t="str">
        <f t="shared" si="92"/>
        <v>RoofShapeCode_semiCylindrical</v>
      </c>
      <c r="B5911" s="330"/>
      <c r="C5911" s="334"/>
      <c r="D5911" s="188" t="s">
        <v>29619</v>
      </c>
      <c r="E5911" s="189" t="s">
        <v>29620</v>
      </c>
      <c r="F5911" s="162" t="s">
        <v>29621</v>
      </c>
      <c r="G5911" s="162" t="s">
        <v>29622</v>
      </c>
      <c r="H5911" s="219"/>
      <c r="I5911" s="169">
        <v>108179</v>
      </c>
      <c r="J5911" s="304" t="str">
        <f>CONCATENATE([2]Cover!$D$6,"fdd/view?i=",I5911)</f>
        <v>https://www.dgiwg.org/FAD/fdd/view?i=108179</v>
      </c>
      <c r="K5911" s="304" t="s">
        <v>39960</v>
      </c>
      <c r="L5911" s="188">
        <v>38</v>
      </c>
      <c r="M5911" s="179" t="s">
        <v>151</v>
      </c>
    </row>
    <row r="5912" spans="1:13" ht="25.5">
      <c r="A5912" s="313" t="str">
        <f t="shared" si="92"/>
        <v>RoofShapeCode_withClerestory</v>
      </c>
      <c r="B5912" s="330"/>
      <c r="C5912" s="334"/>
      <c r="D5912" s="188" t="s">
        <v>29623</v>
      </c>
      <c r="E5912" s="189" t="s">
        <v>29624</v>
      </c>
      <c r="F5912" s="162" t="s">
        <v>29625</v>
      </c>
      <c r="G5912" s="162" t="s">
        <v>18404</v>
      </c>
      <c r="H5912" s="221" t="s">
        <v>29626</v>
      </c>
      <c r="I5912" s="169">
        <v>108190</v>
      </c>
      <c r="J5912" s="304" t="str">
        <f>CONCATENATE([2]Cover!$D$6,"fdd/view?i=",I5912)</f>
        <v>https://www.dgiwg.org/FAD/fdd/view?i=108190</v>
      </c>
      <c r="K5912" s="304" t="s">
        <v>39961</v>
      </c>
      <c r="L5912" s="188">
        <v>50</v>
      </c>
      <c r="M5912" s="179" t="s">
        <v>151</v>
      </c>
    </row>
    <row r="5913" spans="1:13" ht="25.5">
      <c r="A5913" s="313" t="str">
        <f t="shared" si="92"/>
        <v>RoofShapeCode_withCupola</v>
      </c>
      <c r="B5913" s="330"/>
      <c r="C5913" s="334"/>
      <c r="D5913" s="188" t="s">
        <v>29627</v>
      </c>
      <c r="E5913" s="189" t="s">
        <v>29628</v>
      </c>
      <c r="F5913" s="162" t="s">
        <v>29629</v>
      </c>
      <c r="G5913" s="162" t="s">
        <v>18409</v>
      </c>
      <c r="H5913" s="219"/>
      <c r="I5913" s="169">
        <v>108199</v>
      </c>
      <c r="J5913" s="304" t="str">
        <f>CONCATENATE([2]Cover!$D$6,"fdd/view?i=",I5913)</f>
        <v>https://www.dgiwg.org/FAD/fdd/view?i=108199</v>
      </c>
      <c r="K5913" s="304" t="s">
        <v>39962</v>
      </c>
      <c r="L5913" s="188">
        <v>77</v>
      </c>
      <c r="M5913" s="179" t="s">
        <v>151</v>
      </c>
    </row>
    <row r="5914" spans="1:13" ht="25.5">
      <c r="A5914" s="313" t="str">
        <f t="shared" si="92"/>
        <v>RoofShapeCode_withMinaret</v>
      </c>
      <c r="B5914" s="330"/>
      <c r="C5914" s="334"/>
      <c r="D5914" s="188" t="s">
        <v>29630</v>
      </c>
      <c r="E5914" s="189" t="s">
        <v>29631</v>
      </c>
      <c r="F5914" s="162" t="s">
        <v>29632</v>
      </c>
      <c r="G5914" s="162" t="s">
        <v>29633</v>
      </c>
      <c r="H5914" s="219"/>
      <c r="I5914" s="169">
        <v>108202</v>
      </c>
      <c r="J5914" s="304" t="str">
        <f>CONCATENATE([2]Cover!$D$6,"fdd/view?i=",I5914)</f>
        <v>https://www.dgiwg.org/FAD/fdd/view?i=108202</v>
      </c>
      <c r="K5914" s="304" t="s">
        <v>39963</v>
      </c>
      <c r="L5914" s="188">
        <v>80</v>
      </c>
      <c r="M5914" s="179" t="s">
        <v>151</v>
      </c>
    </row>
    <row r="5915" spans="1:13" ht="25.5">
      <c r="A5915" s="313" t="str">
        <f t="shared" si="92"/>
        <v>RoofShapeCode_withSmokestack</v>
      </c>
      <c r="B5915" s="330"/>
      <c r="C5915" s="334"/>
      <c r="D5915" s="188" t="s">
        <v>29634</v>
      </c>
      <c r="E5915" s="189" t="s">
        <v>29635</v>
      </c>
      <c r="F5915" s="162" t="s">
        <v>29636</v>
      </c>
      <c r="G5915" s="190"/>
      <c r="H5915" s="219"/>
      <c r="I5915" s="169">
        <v>110892</v>
      </c>
      <c r="J5915" s="304" t="str">
        <f>CONCATENATE([2]Cover!$D$6,"fdd/view?i=",I5915)</f>
        <v>https://www.dgiwg.org/FAD/fdd/view?i=110892</v>
      </c>
      <c r="K5915" s="304" t="s">
        <v>39964</v>
      </c>
      <c r="L5915" s="188">
        <v>81</v>
      </c>
      <c r="M5915" s="179" t="s">
        <v>151</v>
      </c>
    </row>
    <row r="5916" spans="1:13" ht="25.5">
      <c r="A5916" s="313" t="str">
        <f t="shared" si="92"/>
        <v>RoofShapeCode_withSteeple</v>
      </c>
      <c r="B5916" s="330"/>
      <c r="C5916" s="334"/>
      <c r="D5916" s="188" t="s">
        <v>29637</v>
      </c>
      <c r="E5916" s="189" t="s">
        <v>29638</v>
      </c>
      <c r="F5916" s="162" t="s">
        <v>29639</v>
      </c>
      <c r="G5916" s="162" t="s">
        <v>18454</v>
      </c>
      <c r="H5916" s="219"/>
      <c r="I5916" s="169">
        <v>108191</v>
      </c>
      <c r="J5916" s="304" t="str">
        <f>CONCATENATE([2]Cover!$D$6,"fdd/view?i=",I5916)</f>
        <v>https://www.dgiwg.org/FAD/fdd/view?i=108191</v>
      </c>
      <c r="K5916" s="304" t="s">
        <v>39965</v>
      </c>
      <c r="L5916" s="188">
        <v>51</v>
      </c>
      <c r="M5916" s="179" t="s">
        <v>151</v>
      </c>
    </row>
    <row r="5917" spans="1:13" ht="25.5">
      <c r="A5917" s="313" t="str">
        <f t="shared" si="92"/>
        <v>RoofShapeCode_withTower</v>
      </c>
      <c r="B5917" s="330"/>
      <c r="C5917" s="334"/>
      <c r="D5917" s="188" t="s">
        <v>29640</v>
      </c>
      <c r="E5917" s="189" t="s">
        <v>29641</v>
      </c>
      <c r="F5917" s="162" t="s">
        <v>29642</v>
      </c>
      <c r="G5917" s="162" t="s">
        <v>18457</v>
      </c>
      <c r="H5917" s="219"/>
      <c r="I5917" s="169">
        <v>108201</v>
      </c>
      <c r="J5917" s="304" t="str">
        <f>CONCATENATE([2]Cover!$D$6,"fdd/view?i=",I5917)</f>
        <v>https://www.dgiwg.org/FAD/fdd/view?i=108201</v>
      </c>
      <c r="K5917" s="304" t="s">
        <v>39966</v>
      </c>
      <c r="L5917" s="188">
        <v>79</v>
      </c>
      <c r="M5917" s="179" t="s">
        <v>151</v>
      </c>
    </row>
    <row r="5918" spans="1:13" ht="38.25">
      <c r="A5918" s="313" t="str">
        <f t="shared" si="92"/>
        <v>RoofShapeCode_withTurret</v>
      </c>
      <c r="B5918" s="331"/>
      <c r="C5918" s="335"/>
      <c r="D5918" s="181" t="s">
        <v>29643</v>
      </c>
      <c r="E5918" s="192" t="s">
        <v>29644</v>
      </c>
      <c r="F5918" s="193" t="s">
        <v>29645</v>
      </c>
      <c r="G5918" s="193" t="s">
        <v>18461</v>
      </c>
      <c r="H5918" s="220"/>
      <c r="I5918" s="169">
        <v>108200</v>
      </c>
      <c r="J5918" s="304" t="str">
        <f>CONCATENATE([2]Cover!$D$6,"fdd/view?i=",I5918)</f>
        <v>https://www.dgiwg.org/FAD/fdd/view?i=108200</v>
      </c>
      <c r="K5918" s="304" t="s">
        <v>39967</v>
      </c>
      <c r="L5918" s="181">
        <v>78</v>
      </c>
      <c r="M5918" s="179" t="s">
        <v>151</v>
      </c>
    </row>
    <row r="5919" spans="1:13" ht="25.5">
      <c r="A5919" s="313" t="str">
        <f t="shared" si="92"/>
        <v>RouteConstrictionTypeCode_arcade</v>
      </c>
      <c r="B5919" s="332" t="str">
        <f>HYPERLINK("[#]Datatypes!A1225:L1225","RouteConstrictionTypeCode")</f>
        <v>RouteConstrictionTypeCode</v>
      </c>
      <c r="C5919" s="333" t="s">
        <v>12835</v>
      </c>
      <c r="D5919" s="202" t="s">
        <v>27770</v>
      </c>
      <c r="E5919" s="203" t="s">
        <v>1571</v>
      </c>
      <c r="F5919" s="204" t="s">
        <v>1572</v>
      </c>
      <c r="G5919" s="205"/>
      <c r="H5919" s="218"/>
      <c r="I5919" s="169">
        <v>117844</v>
      </c>
      <c r="J5919" s="304" t="str">
        <f>CONCATENATE([2]Cover!$D$6,"fdd/view?i=",I5919)</f>
        <v>https://www.dgiwg.org/FAD/fdd/view?i=117844</v>
      </c>
      <c r="K5919" s="304" t="s">
        <v>39968</v>
      </c>
      <c r="L5919" s="202">
        <v>5</v>
      </c>
      <c r="M5919" s="179" t="s">
        <v>151</v>
      </c>
    </row>
    <row r="5920" spans="1:13" ht="25.5">
      <c r="A5920" s="313" t="str">
        <f t="shared" si="92"/>
        <v>RouteConstrictionTypeCode_bridgePier</v>
      </c>
      <c r="B5920" s="330"/>
      <c r="C5920" s="334"/>
      <c r="D5920" s="188" t="s">
        <v>29646</v>
      </c>
      <c r="E5920" s="189" t="s">
        <v>1727</v>
      </c>
      <c r="F5920" s="162" t="s">
        <v>1728</v>
      </c>
      <c r="G5920" s="190"/>
      <c r="H5920" s="219"/>
      <c r="I5920" s="169">
        <v>117845</v>
      </c>
      <c r="J5920" s="304" t="str">
        <f>CONCATENATE([2]Cover!$D$6,"fdd/view?i=",I5920)</f>
        <v>https://www.dgiwg.org/FAD/fdd/view?i=117845</v>
      </c>
      <c r="K5920" s="304" t="s">
        <v>39969</v>
      </c>
      <c r="L5920" s="188">
        <v>6</v>
      </c>
      <c r="M5920" s="179" t="s">
        <v>151</v>
      </c>
    </row>
    <row r="5921" spans="1:13" ht="25.5">
      <c r="A5921" s="313" t="str">
        <f t="shared" si="92"/>
        <v>RouteConstrictionTypeCode_bridgeSuperstructure</v>
      </c>
      <c r="B5921" s="330"/>
      <c r="C5921" s="334"/>
      <c r="D5921" s="188" t="s">
        <v>28058</v>
      </c>
      <c r="E5921" s="189" t="s">
        <v>1735</v>
      </c>
      <c r="F5921" s="162" t="s">
        <v>28059</v>
      </c>
      <c r="G5921" s="190"/>
      <c r="H5921" s="219"/>
      <c r="I5921" s="169">
        <v>117846</v>
      </c>
      <c r="J5921" s="304" t="str">
        <f>CONCATENATE([2]Cover!$D$6,"fdd/view?i=",I5921)</f>
        <v>https://www.dgiwg.org/FAD/fdd/view?i=117846</v>
      </c>
      <c r="K5921" s="304" t="s">
        <v>39970</v>
      </c>
      <c r="L5921" s="188">
        <v>7</v>
      </c>
      <c r="M5921" s="179" t="s">
        <v>151</v>
      </c>
    </row>
    <row r="5922" spans="1:13" ht="25.5">
      <c r="A5922" s="313" t="str">
        <f t="shared" si="92"/>
        <v>RouteConstrictionTypeCode_bridgeTower</v>
      </c>
      <c r="B5922" s="330"/>
      <c r="C5922" s="334"/>
      <c r="D5922" s="188" t="s">
        <v>29647</v>
      </c>
      <c r="E5922" s="189" t="s">
        <v>1739</v>
      </c>
      <c r="F5922" s="162" t="s">
        <v>1740</v>
      </c>
      <c r="G5922" s="190"/>
      <c r="H5922" s="219"/>
      <c r="I5922" s="169">
        <v>117847</v>
      </c>
      <c r="J5922" s="304" t="str">
        <f>CONCATENATE([2]Cover!$D$6,"fdd/view?i=",I5922)</f>
        <v>https://www.dgiwg.org/FAD/fdd/view?i=117847</v>
      </c>
      <c r="K5922" s="304" t="s">
        <v>39971</v>
      </c>
      <c r="L5922" s="188">
        <v>8</v>
      </c>
      <c r="M5922" s="179" t="s">
        <v>151</v>
      </c>
    </row>
    <row r="5923" spans="1:13" ht="25.5">
      <c r="A5923" s="313" t="str">
        <f t="shared" si="92"/>
        <v>RouteConstrictionTypeCode_building</v>
      </c>
      <c r="B5923" s="330"/>
      <c r="C5923" s="334"/>
      <c r="D5923" s="188" t="s">
        <v>28060</v>
      </c>
      <c r="E5923" s="189" t="s">
        <v>1750</v>
      </c>
      <c r="F5923" s="162" t="s">
        <v>29648</v>
      </c>
      <c r="G5923" s="190"/>
      <c r="H5923" s="219"/>
      <c r="I5923" s="169">
        <v>103187</v>
      </c>
      <c r="J5923" s="304" t="str">
        <f>CONCATENATE([2]Cover!$D$6,"fdd/view?i=",I5923)</f>
        <v>https://www.dgiwg.org/FAD/fdd/view?i=103187</v>
      </c>
      <c r="K5923" s="304" t="s">
        <v>39972</v>
      </c>
      <c r="L5923" s="188">
        <v>3</v>
      </c>
      <c r="M5923" s="179" t="s">
        <v>151</v>
      </c>
    </row>
    <row r="5924" spans="1:13" ht="153">
      <c r="A5924" s="313" t="str">
        <f t="shared" si="92"/>
        <v>RouteConstrictionTypeCode_causewayStructure</v>
      </c>
      <c r="B5924" s="330"/>
      <c r="C5924" s="334"/>
      <c r="D5924" s="188" t="s">
        <v>29649</v>
      </c>
      <c r="E5924" s="189" t="s">
        <v>1840</v>
      </c>
      <c r="F5924" s="162" t="s">
        <v>1841</v>
      </c>
      <c r="G5924" s="162" t="s">
        <v>1842</v>
      </c>
      <c r="H5924" s="219"/>
      <c r="I5924" s="169">
        <v>117848</v>
      </c>
      <c r="J5924" s="304" t="str">
        <f>CONCATENATE([2]Cover!$D$6,"fdd/view?i=",I5924)</f>
        <v>https://www.dgiwg.org/FAD/fdd/view?i=117848</v>
      </c>
      <c r="K5924" s="304" t="s">
        <v>39973</v>
      </c>
      <c r="L5924" s="188">
        <v>9</v>
      </c>
      <c r="M5924" s="179" t="s">
        <v>151</v>
      </c>
    </row>
    <row r="5925" spans="1:13" ht="38.25">
      <c r="A5925" s="313" t="str">
        <f t="shared" si="92"/>
        <v>RouteConstrictionTypeCode_cave</v>
      </c>
      <c r="B5925" s="330"/>
      <c r="C5925" s="334"/>
      <c r="D5925" s="188" t="s">
        <v>29650</v>
      </c>
      <c r="E5925" s="189" t="s">
        <v>29651</v>
      </c>
      <c r="F5925" s="162" t="s">
        <v>29652</v>
      </c>
      <c r="G5925" s="162" t="s">
        <v>29653</v>
      </c>
      <c r="H5925" s="219"/>
      <c r="I5925" s="169">
        <v>117849</v>
      </c>
      <c r="J5925" s="304" t="str">
        <f>CONCATENATE([2]Cover!$D$6,"fdd/view?i=",I5925)</f>
        <v>https://www.dgiwg.org/FAD/fdd/view?i=117849</v>
      </c>
      <c r="K5925" s="304" t="s">
        <v>39974</v>
      </c>
      <c r="L5925" s="188">
        <v>10</v>
      </c>
      <c r="M5925" s="179" t="s">
        <v>151</v>
      </c>
    </row>
    <row r="5926" spans="1:13" ht="38.25">
      <c r="A5926" s="313" t="str">
        <f t="shared" si="92"/>
        <v>RouteConstrictionTypeCode_culvert</v>
      </c>
      <c r="B5926" s="330"/>
      <c r="C5926" s="334"/>
      <c r="D5926" s="188" t="s">
        <v>29654</v>
      </c>
      <c r="E5926" s="189" t="s">
        <v>1982</v>
      </c>
      <c r="F5926" s="162" t="s">
        <v>1983</v>
      </c>
      <c r="G5926" s="162" t="s">
        <v>1984</v>
      </c>
      <c r="H5926" s="219"/>
      <c r="I5926" s="169">
        <v>117850</v>
      </c>
      <c r="J5926" s="304" t="str">
        <f>CONCATENATE([2]Cover!$D$6,"fdd/view?i=",I5926)</f>
        <v>https://www.dgiwg.org/FAD/fdd/view?i=117850</v>
      </c>
      <c r="K5926" s="304" t="s">
        <v>39975</v>
      </c>
      <c r="L5926" s="188">
        <v>11</v>
      </c>
      <c r="M5926" s="179" t="s">
        <v>151</v>
      </c>
    </row>
    <row r="5927" spans="1:13" ht="25.5">
      <c r="A5927" s="313" t="str">
        <f t="shared" si="92"/>
        <v>RouteConstrictionTypeCode_curb</v>
      </c>
      <c r="B5927" s="330"/>
      <c r="C5927" s="334"/>
      <c r="D5927" s="188" t="s">
        <v>29655</v>
      </c>
      <c r="E5927" s="189" t="s">
        <v>1986</v>
      </c>
      <c r="F5927" s="162" t="s">
        <v>1987</v>
      </c>
      <c r="G5927" s="190"/>
      <c r="H5927" s="219"/>
      <c r="I5927" s="169">
        <v>117851</v>
      </c>
      <c r="J5927" s="304" t="str">
        <f>CONCATENATE([2]Cover!$D$6,"fdd/view?i=",I5927)</f>
        <v>https://www.dgiwg.org/FAD/fdd/view?i=117851</v>
      </c>
      <c r="K5927" s="304" t="s">
        <v>39976</v>
      </c>
      <c r="L5927" s="188">
        <v>12</v>
      </c>
      <c r="M5927" s="179" t="s">
        <v>151</v>
      </c>
    </row>
    <row r="5928" spans="1:13" ht="25.5">
      <c r="A5928" s="313" t="str">
        <f t="shared" si="92"/>
        <v>RouteConstrictionTypeCode_cut</v>
      </c>
      <c r="B5928" s="330"/>
      <c r="C5928" s="334"/>
      <c r="D5928" s="188" t="s">
        <v>29656</v>
      </c>
      <c r="E5928" s="189" t="s">
        <v>1998</v>
      </c>
      <c r="F5928" s="162" t="s">
        <v>1999</v>
      </c>
      <c r="G5928" s="190"/>
      <c r="H5928" s="219"/>
      <c r="I5928" s="169">
        <v>117852</v>
      </c>
      <c r="J5928" s="304" t="str">
        <f>CONCATENATE([2]Cover!$D$6,"fdd/view?i=",I5928)</f>
        <v>https://www.dgiwg.org/FAD/fdd/view?i=117852</v>
      </c>
      <c r="K5928" s="304" t="s">
        <v>39977</v>
      </c>
      <c r="L5928" s="188">
        <v>13</v>
      </c>
      <c r="M5928" s="179" t="s">
        <v>151</v>
      </c>
    </row>
    <row r="5929" spans="1:13" ht="25.5">
      <c r="A5929" s="313" t="str">
        <f t="shared" si="92"/>
        <v>RouteConstrictionTypeCode_dam</v>
      </c>
      <c r="B5929" s="330"/>
      <c r="C5929" s="334"/>
      <c r="D5929" s="188" t="s">
        <v>18021</v>
      </c>
      <c r="E5929" s="189" t="s">
        <v>2005</v>
      </c>
      <c r="F5929" s="162" t="s">
        <v>2006</v>
      </c>
      <c r="G5929" s="190"/>
      <c r="H5929" s="219"/>
      <c r="I5929" s="169">
        <v>117853</v>
      </c>
      <c r="J5929" s="304" t="str">
        <f>CONCATENATE([2]Cover!$D$6,"fdd/view?i=",I5929)</f>
        <v>https://www.dgiwg.org/FAD/fdd/view?i=117853</v>
      </c>
      <c r="K5929" s="304" t="s">
        <v>39978</v>
      </c>
      <c r="L5929" s="188">
        <v>14</v>
      </c>
      <c r="M5929" s="179" t="s">
        <v>151</v>
      </c>
    </row>
    <row r="5930" spans="1:13" ht="114.75">
      <c r="A5930" s="313" t="str">
        <f t="shared" si="92"/>
        <v>RouteConstrictionTypeCode_dropgate</v>
      </c>
      <c r="B5930" s="330"/>
      <c r="C5930" s="334"/>
      <c r="D5930" s="188" t="s">
        <v>29657</v>
      </c>
      <c r="E5930" s="189" t="s">
        <v>29658</v>
      </c>
      <c r="F5930" s="162" t="s">
        <v>29659</v>
      </c>
      <c r="G5930" s="162" t="s">
        <v>29660</v>
      </c>
      <c r="H5930" s="219"/>
      <c r="I5930" s="169">
        <v>103185</v>
      </c>
      <c r="J5930" s="304" t="str">
        <f>CONCATENATE([2]Cover!$D$6,"fdd/view?i=",I5930)</f>
        <v>https://www.dgiwg.org/FAD/fdd/view?i=103185</v>
      </c>
      <c r="K5930" s="304" t="s">
        <v>39979</v>
      </c>
      <c r="L5930" s="188">
        <v>1</v>
      </c>
      <c r="M5930" s="179" t="s">
        <v>151</v>
      </c>
    </row>
    <row r="5931" spans="1:13" ht="25.5">
      <c r="A5931" s="313" t="str">
        <f t="shared" si="92"/>
        <v>RouteConstrictionTypeCode_embankment</v>
      </c>
      <c r="B5931" s="330"/>
      <c r="C5931" s="334"/>
      <c r="D5931" s="188" t="s">
        <v>29661</v>
      </c>
      <c r="E5931" s="189" t="s">
        <v>2193</v>
      </c>
      <c r="F5931" s="162" t="s">
        <v>2194</v>
      </c>
      <c r="G5931" s="190"/>
      <c r="H5931" s="219"/>
      <c r="I5931" s="169">
        <v>117854</v>
      </c>
      <c r="J5931" s="304" t="str">
        <f>CONCATENATE([2]Cover!$D$6,"fdd/view?i=",I5931)</f>
        <v>https://www.dgiwg.org/FAD/fdd/view?i=117854</v>
      </c>
      <c r="K5931" s="304" t="s">
        <v>39980</v>
      </c>
      <c r="L5931" s="188">
        <v>15</v>
      </c>
      <c r="M5931" s="179" t="s">
        <v>151</v>
      </c>
    </row>
    <row r="5932" spans="1:13" ht="25.5">
      <c r="A5932" s="313" t="str">
        <f t="shared" si="92"/>
        <v>RouteConstrictionTypeCode_entranceExit</v>
      </c>
      <c r="B5932" s="330"/>
      <c r="C5932" s="334"/>
      <c r="D5932" s="188" t="s">
        <v>28066</v>
      </c>
      <c r="E5932" s="189" t="s">
        <v>2250</v>
      </c>
      <c r="F5932" s="162" t="s">
        <v>2251</v>
      </c>
      <c r="G5932" s="162" t="s">
        <v>2252</v>
      </c>
      <c r="H5932" s="219"/>
      <c r="I5932" s="169">
        <v>117855</v>
      </c>
      <c r="J5932" s="304" t="str">
        <f>CONCATENATE([2]Cover!$D$6,"fdd/view?i=",I5932)</f>
        <v>https://www.dgiwg.org/FAD/fdd/view?i=117855</v>
      </c>
      <c r="K5932" s="304" t="s">
        <v>39981</v>
      </c>
      <c r="L5932" s="188">
        <v>16</v>
      </c>
      <c r="M5932" s="179" t="s">
        <v>151</v>
      </c>
    </row>
    <row r="5933" spans="1:13" ht="25.5">
      <c r="A5933" s="313" t="str">
        <f t="shared" si="92"/>
        <v>RouteConstrictionTypeCode_fence</v>
      </c>
      <c r="B5933" s="330"/>
      <c r="C5933" s="334"/>
      <c r="D5933" s="188" t="s">
        <v>29662</v>
      </c>
      <c r="E5933" s="189" t="s">
        <v>2327</v>
      </c>
      <c r="F5933" s="162" t="s">
        <v>2328</v>
      </c>
      <c r="G5933" s="190"/>
      <c r="H5933" s="219"/>
      <c r="I5933" s="169">
        <v>117856</v>
      </c>
      <c r="J5933" s="304" t="str">
        <f>CONCATENATE([2]Cover!$D$6,"fdd/view?i=",I5933)</f>
        <v>https://www.dgiwg.org/FAD/fdd/view?i=117856</v>
      </c>
      <c r="K5933" s="304" t="s">
        <v>39982</v>
      </c>
      <c r="L5933" s="188">
        <v>17</v>
      </c>
      <c r="M5933" s="179" t="s">
        <v>151</v>
      </c>
    </row>
    <row r="5934" spans="1:13" ht="38.25">
      <c r="A5934" s="313" t="str">
        <f t="shared" si="92"/>
        <v>RouteConstrictionTypeCode_fireHydrant</v>
      </c>
      <c r="B5934" s="330"/>
      <c r="C5934" s="334"/>
      <c r="D5934" s="188" t="s">
        <v>29663</v>
      </c>
      <c r="E5934" s="189" t="s">
        <v>2372</v>
      </c>
      <c r="F5934" s="162" t="s">
        <v>2373</v>
      </c>
      <c r="G5934" s="190"/>
      <c r="H5934" s="219"/>
      <c r="I5934" s="169">
        <v>117857</v>
      </c>
      <c r="J5934" s="304" t="str">
        <f>CONCATENATE([2]Cover!$D$6,"fdd/view?i=",I5934)</f>
        <v>https://www.dgiwg.org/FAD/fdd/view?i=117857</v>
      </c>
      <c r="K5934" s="304" t="s">
        <v>39983</v>
      </c>
      <c r="L5934" s="188">
        <v>18</v>
      </c>
      <c r="M5934" s="179" t="s">
        <v>151</v>
      </c>
    </row>
    <row r="5935" spans="1:13">
      <c r="A5935" s="313" t="str">
        <f t="shared" si="92"/>
        <v>RouteConstrictionTypeCode_ford</v>
      </c>
      <c r="B5935" s="330"/>
      <c r="C5935" s="334"/>
      <c r="D5935" s="188" t="s">
        <v>29664</v>
      </c>
      <c r="E5935" s="189" t="s">
        <v>2444</v>
      </c>
      <c r="F5935" s="162" t="s">
        <v>2445</v>
      </c>
      <c r="G5935" s="190"/>
      <c r="H5935" s="219"/>
      <c r="I5935" s="169">
        <v>117858</v>
      </c>
      <c r="J5935" s="304" t="str">
        <f>CONCATENATE([2]Cover!$D$6,"fdd/view?i=",I5935)</f>
        <v>https://www.dgiwg.org/FAD/fdd/view?i=117858</v>
      </c>
      <c r="K5935" s="304" t="s">
        <v>39984</v>
      </c>
      <c r="L5935" s="188">
        <v>19</v>
      </c>
      <c r="M5935" s="179" t="s">
        <v>151</v>
      </c>
    </row>
    <row r="5936" spans="1:13" ht="38.25">
      <c r="A5936" s="313" t="str">
        <f t="shared" si="92"/>
        <v>RouteConstrictionTypeCode_gallery</v>
      </c>
      <c r="B5936" s="330"/>
      <c r="C5936" s="334"/>
      <c r="D5936" s="188" t="s">
        <v>29665</v>
      </c>
      <c r="E5936" s="189" t="s">
        <v>29666</v>
      </c>
      <c r="F5936" s="162" t="s">
        <v>29667</v>
      </c>
      <c r="G5936" s="162" t="s">
        <v>29668</v>
      </c>
      <c r="H5936" s="219"/>
      <c r="I5936" s="169">
        <v>117859</v>
      </c>
      <c r="J5936" s="304" t="str">
        <f>CONCATENATE([2]Cover!$D$6,"fdd/view?i=",I5936)</f>
        <v>https://www.dgiwg.org/FAD/fdd/view?i=117859</v>
      </c>
      <c r="K5936" s="304" t="s">
        <v>39985</v>
      </c>
      <c r="L5936" s="188">
        <v>20</v>
      </c>
      <c r="M5936" s="179" t="s">
        <v>151</v>
      </c>
    </row>
    <row r="5937" spans="1:13" ht="89.25">
      <c r="A5937" s="313" t="str">
        <f t="shared" si="92"/>
        <v>RouteConstrictionTypeCode_gantry</v>
      </c>
      <c r="B5937" s="330"/>
      <c r="C5937" s="334"/>
      <c r="D5937" s="188" t="s">
        <v>27783</v>
      </c>
      <c r="E5937" s="189" t="s">
        <v>2476</v>
      </c>
      <c r="F5937" s="162" t="s">
        <v>2477</v>
      </c>
      <c r="G5937" s="162" t="s">
        <v>2478</v>
      </c>
      <c r="H5937" s="219"/>
      <c r="I5937" s="169">
        <v>117860</v>
      </c>
      <c r="J5937" s="304" t="str">
        <f>CONCATENATE([2]Cover!$D$6,"fdd/view?i=",I5937)</f>
        <v>https://www.dgiwg.org/FAD/fdd/view?i=117860</v>
      </c>
      <c r="K5937" s="304" t="s">
        <v>39986</v>
      </c>
      <c r="L5937" s="188">
        <v>21</v>
      </c>
      <c r="M5937" s="179" t="s">
        <v>151</v>
      </c>
    </row>
    <row r="5938" spans="1:13" ht="25.5">
      <c r="A5938" s="313" t="str">
        <f t="shared" si="92"/>
        <v>RouteConstrictionTypeCode_gate</v>
      </c>
      <c r="B5938" s="330"/>
      <c r="C5938" s="334"/>
      <c r="D5938" s="188" t="s">
        <v>29669</v>
      </c>
      <c r="E5938" s="189" t="s">
        <v>2480</v>
      </c>
      <c r="F5938" s="162" t="s">
        <v>2481</v>
      </c>
      <c r="G5938" s="190"/>
      <c r="H5938" s="219"/>
      <c r="I5938" s="169">
        <v>117861</v>
      </c>
      <c r="J5938" s="304" t="str">
        <f>CONCATENATE([2]Cover!$D$6,"fdd/view?i=",I5938)</f>
        <v>https://www.dgiwg.org/FAD/fdd/view?i=117861</v>
      </c>
      <c r="K5938" s="304" t="s">
        <v>39987</v>
      </c>
      <c r="L5938" s="188">
        <v>22</v>
      </c>
      <c r="M5938" s="179" t="s">
        <v>151</v>
      </c>
    </row>
    <row r="5939" spans="1:13" ht="25.5">
      <c r="A5939" s="313" t="str">
        <f t="shared" si="92"/>
        <v>RouteConstrictionTypeCode_hedgerow</v>
      </c>
      <c r="B5939" s="330"/>
      <c r="C5939" s="334"/>
      <c r="D5939" s="188" t="s">
        <v>29670</v>
      </c>
      <c r="E5939" s="189" t="s">
        <v>2683</v>
      </c>
      <c r="F5939" s="162" t="s">
        <v>2684</v>
      </c>
      <c r="G5939" s="190"/>
      <c r="H5939" s="219"/>
      <c r="I5939" s="169">
        <v>117862</v>
      </c>
      <c r="J5939" s="304" t="str">
        <f>CONCATENATE([2]Cover!$D$6,"fdd/view?i=",I5939)</f>
        <v>https://www.dgiwg.org/FAD/fdd/view?i=117862</v>
      </c>
      <c r="K5939" s="304" t="s">
        <v>39988</v>
      </c>
      <c r="L5939" s="188">
        <v>23</v>
      </c>
      <c r="M5939" s="179" t="s">
        <v>151</v>
      </c>
    </row>
    <row r="5940" spans="1:13" ht="25.5">
      <c r="A5940" s="313" t="str">
        <f t="shared" si="92"/>
        <v>RouteConstrictionTypeCode_memorialMonument</v>
      </c>
      <c r="B5940" s="330"/>
      <c r="C5940" s="334"/>
      <c r="D5940" s="188" t="s">
        <v>27790</v>
      </c>
      <c r="E5940" s="189" t="s">
        <v>3165</v>
      </c>
      <c r="F5940" s="162" t="s">
        <v>3166</v>
      </c>
      <c r="G5940" s="190"/>
      <c r="H5940" s="219"/>
      <c r="I5940" s="169">
        <v>117863</v>
      </c>
      <c r="J5940" s="304" t="str">
        <f>CONCATENATE([2]Cover!$D$6,"fdd/view?i=",I5940)</f>
        <v>https://www.dgiwg.org/FAD/fdd/view?i=117863</v>
      </c>
      <c r="K5940" s="304" t="s">
        <v>39989</v>
      </c>
      <c r="L5940" s="188">
        <v>24</v>
      </c>
      <c r="M5940" s="179" t="s">
        <v>151</v>
      </c>
    </row>
    <row r="5941" spans="1:13" ht="25.5">
      <c r="A5941" s="313" t="str">
        <f t="shared" si="92"/>
        <v>RouteConstrictionTypeCode_nonBuildingStructure</v>
      </c>
      <c r="B5941" s="330"/>
      <c r="C5941" s="334"/>
      <c r="D5941" s="188" t="s">
        <v>28070</v>
      </c>
      <c r="E5941" s="189" t="s">
        <v>3284</v>
      </c>
      <c r="F5941" s="162" t="s">
        <v>28071</v>
      </c>
      <c r="G5941" s="190"/>
      <c r="H5941" s="219"/>
      <c r="I5941" s="169">
        <v>117864</v>
      </c>
      <c r="J5941" s="304" t="str">
        <f>CONCATENATE([2]Cover!$D$6,"fdd/view?i=",I5941)</f>
        <v>https://www.dgiwg.org/FAD/fdd/view?i=117864</v>
      </c>
      <c r="K5941" s="304" t="s">
        <v>39990</v>
      </c>
      <c r="L5941" s="188">
        <v>25</v>
      </c>
      <c r="M5941" s="179" t="s">
        <v>151</v>
      </c>
    </row>
    <row r="5942" spans="1:13" ht="25.5">
      <c r="A5942" s="313" t="str">
        <f t="shared" si="92"/>
        <v>RouteConstrictionTypeCode_parkingGarage</v>
      </c>
      <c r="B5942" s="330"/>
      <c r="C5942" s="334"/>
      <c r="D5942" s="188" t="s">
        <v>18481</v>
      </c>
      <c r="E5942" s="189" t="s">
        <v>3379</v>
      </c>
      <c r="F5942" s="162" t="s">
        <v>3380</v>
      </c>
      <c r="G5942" s="162" t="s">
        <v>3381</v>
      </c>
      <c r="H5942" s="219"/>
      <c r="I5942" s="169">
        <v>117865</v>
      </c>
      <c r="J5942" s="304" t="str">
        <f>CONCATENATE([2]Cover!$D$6,"fdd/view?i=",I5942)</f>
        <v>https://www.dgiwg.org/FAD/fdd/view?i=117865</v>
      </c>
      <c r="K5942" s="304" t="s">
        <v>39991</v>
      </c>
      <c r="L5942" s="188">
        <v>26</v>
      </c>
      <c r="M5942" s="179" t="s">
        <v>151</v>
      </c>
    </row>
    <row r="5943" spans="1:13" ht="38.25">
      <c r="A5943" s="313" t="str">
        <f t="shared" si="92"/>
        <v>RouteConstrictionTypeCode_pass</v>
      </c>
      <c r="B5943" s="330"/>
      <c r="C5943" s="334"/>
      <c r="D5943" s="188" t="s">
        <v>29671</v>
      </c>
      <c r="E5943" s="189" t="s">
        <v>29672</v>
      </c>
      <c r="F5943" s="162" t="s">
        <v>29673</v>
      </c>
      <c r="G5943" s="162" t="s">
        <v>29674</v>
      </c>
      <c r="H5943" s="219"/>
      <c r="I5943" s="169">
        <v>103186</v>
      </c>
      <c r="J5943" s="304" t="str">
        <f>CONCATENATE([2]Cover!$D$6,"fdd/view?i=",I5943)</f>
        <v>https://www.dgiwg.org/FAD/fdd/view?i=103186</v>
      </c>
      <c r="K5943" s="304" t="s">
        <v>39992</v>
      </c>
      <c r="L5943" s="188">
        <v>2</v>
      </c>
      <c r="M5943" s="179" t="s">
        <v>151</v>
      </c>
    </row>
    <row r="5944" spans="1:13" ht="25.5">
      <c r="A5944" s="313" t="str">
        <f t="shared" si="92"/>
        <v>RouteConstrictionTypeCode_pipeline</v>
      </c>
      <c r="B5944" s="330"/>
      <c r="C5944" s="334"/>
      <c r="D5944" s="188" t="s">
        <v>18693</v>
      </c>
      <c r="E5944" s="189" t="s">
        <v>3413</v>
      </c>
      <c r="F5944" s="162" t="s">
        <v>3414</v>
      </c>
      <c r="G5944" s="162" t="s">
        <v>3415</v>
      </c>
      <c r="H5944" s="219"/>
      <c r="I5944" s="169">
        <v>117866</v>
      </c>
      <c r="J5944" s="304" t="str">
        <f>CONCATENATE([2]Cover!$D$6,"fdd/view?i=",I5944)</f>
        <v>https://www.dgiwg.org/FAD/fdd/view?i=117866</v>
      </c>
      <c r="K5944" s="304" t="s">
        <v>39993</v>
      </c>
      <c r="L5944" s="188">
        <v>27</v>
      </c>
      <c r="M5944" s="179" t="s">
        <v>151</v>
      </c>
    </row>
    <row r="5945" spans="1:13" ht="25.5">
      <c r="A5945" s="313" t="str">
        <f t="shared" si="92"/>
        <v>RouteConstrictionTypeCode_pipelineCrossingPoint</v>
      </c>
      <c r="B5945" s="330"/>
      <c r="C5945" s="334"/>
      <c r="D5945" s="188" t="s">
        <v>28076</v>
      </c>
      <c r="E5945" s="189" t="s">
        <v>3418</v>
      </c>
      <c r="F5945" s="162" t="s">
        <v>3419</v>
      </c>
      <c r="G5945" s="190"/>
      <c r="H5945" s="219"/>
      <c r="I5945" s="169">
        <v>117867</v>
      </c>
      <c r="J5945" s="304" t="str">
        <f>CONCATENATE([2]Cover!$D$6,"fdd/view?i=",I5945)</f>
        <v>https://www.dgiwg.org/FAD/fdd/view?i=117867</v>
      </c>
      <c r="K5945" s="304" t="s">
        <v>39994</v>
      </c>
      <c r="L5945" s="188">
        <v>28</v>
      </c>
      <c r="M5945" s="179" t="s">
        <v>151</v>
      </c>
    </row>
    <row r="5946" spans="1:13" ht="38.25">
      <c r="A5946" s="313" t="str">
        <f t="shared" si="92"/>
        <v>RouteConstrictionTypeCode_preparedWatercourseCross</v>
      </c>
      <c r="B5946" s="330"/>
      <c r="C5946" s="334"/>
      <c r="D5946" s="188" t="s">
        <v>29675</v>
      </c>
      <c r="E5946" s="189" t="s">
        <v>3478</v>
      </c>
      <c r="F5946" s="162" t="s">
        <v>3479</v>
      </c>
      <c r="G5946" s="162" t="s">
        <v>3480</v>
      </c>
      <c r="H5946" s="219"/>
      <c r="I5946" s="169">
        <v>117868</v>
      </c>
      <c r="J5946" s="304" t="str">
        <f>CONCATENATE([2]Cover!$D$6,"fdd/view?i=",I5946)</f>
        <v>https://www.dgiwg.org/FAD/fdd/view?i=117868</v>
      </c>
      <c r="K5946" s="304" t="s">
        <v>39995</v>
      </c>
      <c r="L5946" s="188">
        <v>29</v>
      </c>
      <c r="M5946" s="179" t="s">
        <v>151</v>
      </c>
    </row>
    <row r="5947" spans="1:13" ht="25.5">
      <c r="A5947" s="313" t="str">
        <f t="shared" si="92"/>
        <v>RouteConstrictionTypeCode_railwaySignal</v>
      </c>
      <c r="B5947" s="330"/>
      <c r="C5947" s="334"/>
      <c r="D5947" s="188" t="s">
        <v>29676</v>
      </c>
      <c r="E5947" s="189" t="s">
        <v>3563</v>
      </c>
      <c r="F5947" s="162" t="s">
        <v>3564</v>
      </c>
      <c r="G5947" s="190"/>
      <c r="H5947" s="219"/>
      <c r="I5947" s="169">
        <v>117869</v>
      </c>
      <c r="J5947" s="304" t="str">
        <f>CONCATENATE([2]Cover!$D$6,"fdd/view?i=",I5947)</f>
        <v>https://www.dgiwg.org/FAD/fdd/view?i=117869</v>
      </c>
      <c r="K5947" s="304" t="s">
        <v>39996</v>
      </c>
      <c r="L5947" s="188">
        <v>30</v>
      </c>
      <c r="M5947" s="179" t="s">
        <v>151</v>
      </c>
    </row>
    <row r="5948" spans="1:13" ht="25.5">
      <c r="A5948" s="313" t="str">
        <f t="shared" si="92"/>
        <v>RouteConstrictionTypeCode_railwaySwitch</v>
      </c>
      <c r="B5948" s="330"/>
      <c r="C5948" s="334"/>
      <c r="D5948" s="188" t="s">
        <v>29677</v>
      </c>
      <c r="E5948" s="189" t="s">
        <v>3567</v>
      </c>
      <c r="F5948" s="162" t="s">
        <v>3568</v>
      </c>
      <c r="G5948" s="190"/>
      <c r="H5948" s="219"/>
      <c r="I5948" s="169">
        <v>117870</v>
      </c>
      <c r="J5948" s="304" t="str">
        <f>CONCATENATE([2]Cover!$D$6,"fdd/view?i=",I5948)</f>
        <v>https://www.dgiwg.org/FAD/fdd/view?i=117870</v>
      </c>
      <c r="K5948" s="304" t="s">
        <v>39997</v>
      </c>
      <c r="L5948" s="188">
        <v>31</v>
      </c>
      <c r="M5948" s="179" t="s">
        <v>151</v>
      </c>
    </row>
    <row r="5949" spans="1:13">
      <c r="A5949" s="313" t="str">
        <f t="shared" si="92"/>
        <v>RouteConstrictionTypeCode_ramp</v>
      </c>
      <c r="B5949" s="330"/>
      <c r="C5949" s="334"/>
      <c r="D5949" s="188" t="s">
        <v>29678</v>
      </c>
      <c r="E5949" s="189" t="s">
        <v>3582</v>
      </c>
      <c r="F5949" s="162" t="s">
        <v>3583</v>
      </c>
      <c r="G5949" s="190"/>
      <c r="H5949" s="219"/>
      <c r="I5949" s="169">
        <v>117871</v>
      </c>
      <c r="J5949" s="304" t="str">
        <f>CONCATENATE([2]Cover!$D$6,"fdd/view?i=",I5949)</f>
        <v>https://www.dgiwg.org/FAD/fdd/view?i=117871</v>
      </c>
      <c r="K5949" s="304" t="s">
        <v>39998</v>
      </c>
      <c r="L5949" s="188">
        <v>32</v>
      </c>
      <c r="M5949" s="179" t="s">
        <v>151</v>
      </c>
    </row>
    <row r="5950" spans="1:13" ht="25.5">
      <c r="A5950" s="313" t="str">
        <f t="shared" si="92"/>
        <v>RouteConstrictionTypeCode_reducedTrackLaneCount</v>
      </c>
      <c r="B5950" s="330"/>
      <c r="C5950" s="334"/>
      <c r="D5950" s="188" t="s">
        <v>29679</v>
      </c>
      <c r="E5950" s="189" t="s">
        <v>29680</v>
      </c>
      <c r="F5950" s="162" t="s">
        <v>29681</v>
      </c>
      <c r="G5950" s="190"/>
      <c r="H5950" s="219"/>
      <c r="I5950" s="169">
        <v>117872</v>
      </c>
      <c r="J5950" s="304" t="str">
        <f>CONCATENATE([2]Cover!$D$6,"fdd/view?i=",I5950)</f>
        <v>https://www.dgiwg.org/FAD/fdd/view?i=117872</v>
      </c>
      <c r="K5950" s="304" t="s">
        <v>39999</v>
      </c>
      <c r="L5950" s="188">
        <v>33</v>
      </c>
      <c r="M5950" s="179" t="s">
        <v>151</v>
      </c>
    </row>
    <row r="5951" spans="1:13" ht="76.5">
      <c r="A5951" s="313" t="str">
        <f t="shared" si="92"/>
        <v>RouteConstrictionTypeCode_retailStand</v>
      </c>
      <c r="B5951" s="330"/>
      <c r="C5951" s="334"/>
      <c r="D5951" s="188" t="s">
        <v>29682</v>
      </c>
      <c r="E5951" s="189" t="s">
        <v>3636</v>
      </c>
      <c r="F5951" s="162" t="s">
        <v>3637</v>
      </c>
      <c r="G5951" s="162" t="s">
        <v>29683</v>
      </c>
      <c r="H5951" s="219"/>
      <c r="I5951" s="169">
        <v>117873</v>
      </c>
      <c r="J5951" s="304" t="str">
        <f>CONCATENATE([2]Cover!$D$6,"fdd/view?i=",I5951)</f>
        <v>https://www.dgiwg.org/FAD/fdd/view?i=117873</v>
      </c>
      <c r="K5951" s="304" t="s">
        <v>40000</v>
      </c>
      <c r="L5951" s="188">
        <v>34</v>
      </c>
      <c r="M5951" s="179" t="s">
        <v>151</v>
      </c>
    </row>
    <row r="5952" spans="1:13" ht="25.5">
      <c r="A5952" s="313" t="str">
        <f t="shared" si="92"/>
        <v>RouteConstrictionTypeCode_roadInterchange</v>
      </c>
      <c r="B5952" s="330"/>
      <c r="C5952" s="334"/>
      <c r="D5952" s="188" t="s">
        <v>29684</v>
      </c>
      <c r="E5952" s="189" t="s">
        <v>3659</v>
      </c>
      <c r="F5952" s="162" t="s">
        <v>29685</v>
      </c>
      <c r="G5952" s="190"/>
      <c r="H5952" s="219"/>
      <c r="I5952" s="169">
        <v>117874</v>
      </c>
      <c r="J5952" s="304" t="str">
        <f>CONCATENATE([2]Cover!$D$6,"fdd/view?i=",I5952)</f>
        <v>https://www.dgiwg.org/FAD/fdd/view?i=117874</v>
      </c>
      <c r="K5952" s="304" t="s">
        <v>40001</v>
      </c>
      <c r="L5952" s="188">
        <v>35</v>
      </c>
      <c r="M5952" s="179" t="s">
        <v>151</v>
      </c>
    </row>
    <row r="5953" spans="1:13" ht="25.5">
      <c r="A5953" s="313" t="str">
        <f t="shared" si="92"/>
        <v>RouteConstrictionTypeCode_rockFormation</v>
      </c>
      <c r="B5953" s="330"/>
      <c r="C5953" s="334"/>
      <c r="D5953" s="188" t="s">
        <v>29686</v>
      </c>
      <c r="E5953" s="189" t="s">
        <v>3674</v>
      </c>
      <c r="F5953" s="162" t="s">
        <v>3675</v>
      </c>
      <c r="G5953" s="190"/>
      <c r="H5953" s="219"/>
      <c r="I5953" s="169">
        <v>117875</v>
      </c>
      <c r="J5953" s="304" t="str">
        <f>CONCATENATE([2]Cover!$D$6,"fdd/view?i=",I5953)</f>
        <v>https://www.dgiwg.org/FAD/fdd/view?i=117875</v>
      </c>
      <c r="K5953" s="304" t="s">
        <v>40002</v>
      </c>
      <c r="L5953" s="188">
        <v>36</v>
      </c>
      <c r="M5953" s="179" t="s">
        <v>151</v>
      </c>
    </row>
    <row r="5954" spans="1:13" ht="38.25">
      <c r="A5954" s="313" t="str">
        <f t="shared" si="92"/>
        <v>RouteConstrictionTypeCode_routeRelatedStructure</v>
      </c>
      <c r="B5954" s="330"/>
      <c r="C5954" s="334"/>
      <c r="D5954" s="188" t="s">
        <v>28084</v>
      </c>
      <c r="E5954" s="189" t="s">
        <v>28085</v>
      </c>
      <c r="F5954" s="162" t="s">
        <v>29687</v>
      </c>
      <c r="G5954" s="190"/>
      <c r="H5954" s="219"/>
      <c r="I5954" s="169">
        <v>117876</v>
      </c>
      <c r="J5954" s="304" t="str">
        <f>CONCATENATE([2]Cover!$D$6,"fdd/view?i=",I5954)</f>
        <v>https://www.dgiwg.org/FAD/fdd/view?i=117876</v>
      </c>
      <c r="K5954" s="304" t="s">
        <v>40003</v>
      </c>
      <c r="L5954" s="188">
        <v>37</v>
      </c>
      <c r="M5954" s="179" t="s">
        <v>151</v>
      </c>
    </row>
    <row r="5955" spans="1:13" ht="25.5">
      <c r="A5955" s="313" t="str">
        <f t="shared" ref="A5955:A6018" si="93">HYPERLINK(J5955,K5955)</f>
        <v>RouteConstrictionTypeCode_stair</v>
      </c>
      <c r="B5955" s="330"/>
      <c r="C5955" s="334"/>
      <c r="D5955" s="188" t="s">
        <v>29688</v>
      </c>
      <c r="E5955" s="189" t="s">
        <v>4071</v>
      </c>
      <c r="F5955" s="162" t="s">
        <v>4072</v>
      </c>
      <c r="G5955" s="162" t="s">
        <v>4073</v>
      </c>
      <c r="H5955" s="219"/>
      <c r="I5955" s="169">
        <v>117877</v>
      </c>
      <c r="J5955" s="304" t="str">
        <f>CONCATENATE([2]Cover!$D$6,"fdd/view?i=",I5955)</f>
        <v>https://www.dgiwg.org/FAD/fdd/view?i=117877</v>
      </c>
      <c r="K5955" s="304" t="s">
        <v>40004</v>
      </c>
      <c r="L5955" s="188">
        <v>38</v>
      </c>
      <c r="M5955" s="179" t="s">
        <v>151</v>
      </c>
    </row>
    <row r="5956" spans="1:13" ht="25.5">
      <c r="A5956" s="313" t="str">
        <f t="shared" si="93"/>
        <v>RouteConstrictionTypeCode_steepTerrainFace</v>
      </c>
      <c r="B5956" s="330"/>
      <c r="C5956" s="334"/>
      <c r="D5956" s="188" t="s">
        <v>29689</v>
      </c>
      <c r="E5956" s="189" t="s">
        <v>4101</v>
      </c>
      <c r="F5956" s="162" t="s">
        <v>4102</v>
      </c>
      <c r="G5956" s="162" t="s">
        <v>4103</v>
      </c>
      <c r="H5956" s="219"/>
      <c r="I5956" s="169">
        <v>117878</v>
      </c>
      <c r="J5956" s="304" t="str">
        <f>CONCATENATE([2]Cover!$D$6,"fdd/view?i=",I5956)</f>
        <v>https://www.dgiwg.org/FAD/fdd/view?i=117878</v>
      </c>
      <c r="K5956" s="304" t="s">
        <v>40005</v>
      </c>
      <c r="L5956" s="188">
        <v>39</v>
      </c>
      <c r="M5956" s="179" t="s">
        <v>151</v>
      </c>
    </row>
    <row r="5957" spans="1:13" ht="38.25">
      <c r="A5957" s="313" t="str">
        <f t="shared" si="93"/>
        <v>RouteConstrictionTypeCode_transportationBlock</v>
      </c>
      <c r="B5957" s="330"/>
      <c r="C5957" s="334"/>
      <c r="D5957" s="188" t="s">
        <v>28096</v>
      </c>
      <c r="E5957" s="189" t="s">
        <v>4340</v>
      </c>
      <c r="F5957" s="162" t="s">
        <v>4341</v>
      </c>
      <c r="G5957" s="162" t="s">
        <v>4342</v>
      </c>
      <c r="H5957" s="219"/>
      <c r="I5957" s="169">
        <v>117879</v>
      </c>
      <c r="J5957" s="304" t="str">
        <f>CONCATENATE([2]Cover!$D$6,"fdd/view?i=",I5957)</f>
        <v>https://www.dgiwg.org/FAD/fdd/view?i=117879</v>
      </c>
      <c r="K5957" s="304" t="s">
        <v>40006</v>
      </c>
      <c r="L5957" s="188">
        <v>40</v>
      </c>
      <c r="M5957" s="179" t="s">
        <v>151</v>
      </c>
    </row>
    <row r="5958" spans="1:13" ht="38.25">
      <c r="A5958" s="313" t="str">
        <f t="shared" si="93"/>
        <v>RouteConstrictionTypeCode_transRouteProtectStruct</v>
      </c>
      <c r="B5958" s="330"/>
      <c r="C5958" s="334"/>
      <c r="D5958" s="188" t="s">
        <v>28097</v>
      </c>
      <c r="E5958" s="189" t="s">
        <v>4350</v>
      </c>
      <c r="F5958" s="162" t="s">
        <v>4351</v>
      </c>
      <c r="G5958" s="190"/>
      <c r="H5958" s="219"/>
      <c r="I5958" s="169">
        <v>117880</v>
      </c>
      <c r="J5958" s="304" t="str">
        <f>CONCATENATE([2]Cover!$D$6,"fdd/view?i=",I5958)</f>
        <v>https://www.dgiwg.org/FAD/fdd/view?i=117880</v>
      </c>
      <c r="K5958" s="304" t="s">
        <v>40007</v>
      </c>
      <c r="L5958" s="188">
        <v>41</v>
      </c>
      <c r="M5958" s="179" t="s">
        <v>151</v>
      </c>
    </row>
    <row r="5959" spans="1:13" ht="38.25">
      <c r="A5959" s="313" t="str">
        <f t="shared" si="93"/>
        <v>RouteConstrictionTypeCode_tunnel</v>
      </c>
      <c r="B5959" s="330"/>
      <c r="C5959" s="334"/>
      <c r="D5959" s="188" t="s">
        <v>18028</v>
      </c>
      <c r="E5959" s="189" t="s">
        <v>4381</v>
      </c>
      <c r="F5959" s="162" t="s">
        <v>4382</v>
      </c>
      <c r="G5959" s="162" t="s">
        <v>4383</v>
      </c>
      <c r="H5959" s="219"/>
      <c r="I5959" s="169">
        <v>117881</v>
      </c>
      <c r="J5959" s="304" t="str">
        <f>CONCATENATE([2]Cover!$D$6,"fdd/view?i=",I5959)</f>
        <v>https://www.dgiwg.org/FAD/fdd/view?i=117881</v>
      </c>
      <c r="K5959" s="304" t="s">
        <v>40008</v>
      </c>
      <c r="L5959" s="188">
        <v>42</v>
      </c>
      <c r="M5959" s="179" t="s">
        <v>151</v>
      </c>
    </row>
    <row r="5960" spans="1:13" ht="25.5">
      <c r="A5960" s="313" t="str">
        <f t="shared" si="93"/>
        <v>RouteConstrictionTypeCode_underpass</v>
      </c>
      <c r="B5960" s="330"/>
      <c r="C5960" s="334"/>
      <c r="D5960" s="188" t="s">
        <v>29690</v>
      </c>
      <c r="E5960" s="189" t="s">
        <v>29691</v>
      </c>
      <c r="F5960" s="162" t="s">
        <v>29692</v>
      </c>
      <c r="G5960" s="190"/>
      <c r="H5960" s="219"/>
      <c r="I5960" s="169">
        <v>103188</v>
      </c>
      <c r="J5960" s="304" t="str">
        <f>CONCATENATE([2]Cover!$D$6,"fdd/view?i=",I5960)</f>
        <v>https://www.dgiwg.org/FAD/fdd/view?i=103188</v>
      </c>
      <c r="K5960" s="304" t="s">
        <v>40009</v>
      </c>
      <c r="L5960" s="188">
        <v>4</v>
      </c>
      <c r="M5960" s="179" t="s">
        <v>151</v>
      </c>
    </row>
    <row r="5961" spans="1:13" ht="25.5">
      <c r="A5961" s="313" t="str">
        <f t="shared" si="93"/>
        <v>RouteConstrictionTypeCode_woodenCauseway</v>
      </c>
      <c r="B5961" s="331"/>
      <c r="C5961" s="335"/>
      <c r="D5961" s="181" t="s">
        <v>29693</v>
      </c>
      <c r="E5961" s="192" t="s">
        <v>29694</v>
      </c>
      <c r="F5961" s="193" t="s">
        <v>29695</v>
      </c>
      <c r="G5961" s="194"/>
      <c r="H5961" s="220"/>
      <c r="I5961" s="169">
        <v>117882</v>
      </c>
      <c r="J5961" s="304" t="str">
        <f>CONCATENATE([2]Cover!$D$6,"fdd/view?i=",I5961)</f>
        <v>https://www.dgiwg.org/FAD/fdd/view?i=117882</v>
      </c>
      <c r="K5961" s="304" t="s">
        <v>40010</v>
      </c>
      <c r="L5961" s="181">
        <v>43</v>
      </c>
      <c r="M5961" s="179" t="s">
        <v>151</v>
      </c>
    </row>
    <row r="5962" spans="1:13" ht="38.25">
      <c r="A5962" s="313" t="str">
        <f t="shared" si="93"/>
        <v>RouteDesignationTypeCode_international</v>
      </c>
      <c r="B5962" s="332" t="str">
        <f>HYPERLINK("[#]Datatypes!A1227:L1227","RouteDesignationTypeCode")</f>
        <v>RouteDesignationTypeCode</v>
      </c>
      <c r="C5962" s="333" t="s">
        <v>12837</v>
      </c>
      <c r="D5962" s="202" t="s">
        <v>15747</v>
      </c>
      <c r="E5962" s="203" t="s">
        <v>15748</v>
      </c>
      <c r="F5962" s="204" t="s">
        <v>29696</v>
      </c>
      <c r="G5962" s="204" t="s">
        <v>29697</v>
      </c>
      <c r="H5962" s="218"/>
      <c r="I5962" s="169">
        <v>119380</v>
      </c>
      <c r="J5962" s="304" t="str">
        <f>CONCATENATE([2]Cover!$D$6,"fdd/view?i=",I5962)</f>
        <v>https://www.dgiwg.org/FAD/fdd/view?i=119380</v>
      </c>
      <c r="K5962" s="304" t="s">
        <v>40011</v>
      </c>
      <c r="L5962" s="202">
        <v>1</v>
      </c>
      <c r="M5962" s="179" t="s">
        <v>151</v>
      </c>
    </row>
    <row r="5963" spans="1:13" ht="51">
      <c r="A5963" s="313" t="str">
        <f t="shared" si="93"/>
        <v>RouteDesignationTypeCode_local</v>
      </c>
      <c r="B5963" s="330"/>
      <c r="C5963" s="334"/>
      <c r="D5963" s="188" t="s">
        <v>13390</v>
      </c>
      <c r="E5963" s="189" t="s">
        <v>13391</v>
      </c>
      <c r="F5963" s="162" t="s">
        <v>29698</v>
      </c>
      <c r="G5963" s="162" t="s">
        <v>29699</v>
      </c>
      <c r="H5963" s="219"/>
      <c r="I5963" s="169">
        <v>119384</v>
      </c>
      <c r="J5963" s="304" t="str">
        <f>CONCATENATE([2]Cover!$D$6,"fdd/view?i=",I5963)</f>
        <v>https://www.dgiwg.org/FAD/fdd/view?i=119384</v>
      </c>
      <c r="K5963" s="304" t="s">
        <v>40012</v>
      </c>
      <c r="L5963" s="188">
        <v>5</v>
      </c>
      <c r="M5963" s="179" t="s">
        <v>151</v>
      </c>
    </row>
    <row r="5964" spans="1:13" ht="51">
      <c r="A5964" s="313" t="str">
        <f t="shared" si="93"/>
        <v>RouteDesignationTypeCode_national</v>
      </c>
      <c r="B5964" s="330"/>
      <c r="C5964" s="334"/>
      <c r="D5964" s="188" t="s">
        <v>13398</v>
      </c>
      <c r="E5964" s="189" t="s">
        <v>13399</v>
      </c>
      <c r="F5964" s="162" t="s">
        <v>29700</v>
      </c>
      <c r="G5964" s="162" t="s">
        <v>29701</v>
      </c>
      <c r="H5964" s="219"/>
      <c r="I5964" s="169">
        <v>119382</v>
      </c>
      <c r="J5964" s="304" t="str">
        <f>CONCATENATE([2]Cover!$D$6,"fdd/view?i=",I5964)</f>
        <v>https://www.dgiwg.org/FAD/fdd/view?i=119382</v>
      </c>
      <c r="K5964" s="304" t="s">
        <v>40013</v>
      </c>
      <c r="L5964" s="188">
        <v>3</v>
      </c>
      <c r="M5964" s="179" t="s">
        <v>151</v>
      </c>
    </row>
    <row r="5965" spans="1:13" ht="89.25">
      <c r="A5965" s="313" t="str">
        <f t="shared" si="93"/>
        <v>RouteDesignationTypeCode_nationalMotorway</v>
      </c>
      <c r="B5965" s="330"/>
      <c r="C5965" s="334"/>
      <c r="D5965" s="188" t="s">
        <v>29702</v>
      </c>
      <c r="E5965" s="189" t="s">
        <v>29703</v>
      </c>
      <c r="F5965" s="162" t="s">
        <v>29704</v>
      </c>
      <c r="G5965" s="162" t="s">
        <v>29705</v>
      </c>
      <c r="H5965" s="219"/>
      <c r="I5965" s="169">
        <v>119381</v>
      </c>
      <c r="J5965" s="304" t="str">
        <f>CONCATENATE([2]Cover!$D$6,"fdd/view?i=",I5965)</f>
        <v>https://www.dgiwg.org/FAD/fdd/view?i=119381</v>
      </c>
      <c r="K5965" s="304" t="s">
        <v>40014</v>
      </c>
      <c r="L5965" s="188">
        <v>2</v>
      </c>
      <c r="M5965" s="179" t="s">
        <v>151</v>
      </c>
    </row>
    <row r="5966" spans="1:13" ht="51">
      <c r="A5966" s="313" t="str">
        <f t="shared" si="93"/>
        <v>RouteDesignationTypeCode_secondary</v>
      </c>
      <c r="B5966" s="331"/>
      <c r="C5966" s="335"/>
      <c r="D5966" s="181" t="s">
        <v>14905</v>
      </c>
      <c r="E5966" s="192" t="s">
        <v>14906</v>
      </c>
      <c r="F5966" s="193" t="s">
        <v>29706</v>
      </c>
      <c r="G5966" s="193" t="s">
        <v>29707</v>
      </c>
      <c r="H5966" s="220"/>
      <c r="I5966" s="169">
        <v>119383</v>
      </c>
      <c r="J5966" s="304" t="str">
        <f>CONCATENATE([2]Cover!$D$6,"fdd/view?i=",I5966)</f>
        <v>https://www.dgiwg.org/FAD/fdd/view?i=119383</v>
      </c>
      <c r="K5966" s="304" t="s">
        <v>40015</v>
      </c>
      <c r="L5966" s="181">
        <v>4</v>
      </c>
      <c r="M5966" s="179" t="s">
        <v>151</v>
      </c>
    </row>
    <row r="5967" spans="1:13" ht="25.5">
      <c r="A5967" s="313" t="str">
        <f t="shared" si="93"/>
        <v>RouteExpansionTypeCode_increasedTrackLaneCount</v>
      </c>
      <c r="B5967" s="332" t="str">
        <f>HYPERLINK("[#]Datatypes!A1229:L1229","RouteExpansionTypeCode")</f>
        <v>RouteExpansionTypeCode</v>
      </c>
      <c r="C5967" s="333" t="s">
        <v>12839</v>
      </c>
      <c r="D5967" s="202" t="s">
        <v>29708</v>
      </c>
      <c r="E5967" s="203" t="s">
        <v>29709</v>
      </c>
      <c r="F5967" s="204" t="s">
        <v>29710</v>
      </c>
      <c r="G5967" s="205"/>
      <c r="H5967" s="218"/>
      <c r="I5967" s="169">
        <v>117894</v>
      </c>
      <c r="J5967" s="304" t="str">
        <f>CONCATENATE([2]Cover!$D$6,"fdd/view?i=",I5967)</f>
        <v>https://www.dgiwg.org/FAD/fdd/view?i=117894</v>
      </c>
      <c r="K5967" s="304" t="s">
        <v>40016</v>
      </c>
      <c r="L5967" s="202">
        <v>2</v>
      </c>
      <c r="M5967" s="179" t="s">
        <v>151</v>
      </c>
    </row>
    <row r="5968" spans="1:13" ht="25.5">
      <c r="A5968" s="313" t="str">
        <f t="shared" si="93"/>
        <v>RouteExpansionTypeCode_railwaySidetrack</v>
      </c>
      <c r="B5968" s="330"/>
      <c r="C5968" s="334"/>
      <c r="D5968" s="188" t="s">
        <v>29711</v>
      </c>
      <c r="E5968" s="189" t="s">
        <v>3558</v>
      </c>
      <c r="F5968" s="162" t="s">
        <v>3559</v>
      </c>
      <c r="G5968" s="162" t="s">
        <v>29712</v>
      </c>
      <c r="H5968" s="219"/>
      <c r="I5968" s="169">
        <v>117895</v>
      </c>
      <c r="J5968" s="304" t="str">
        <f>CONCATENATE([2]Cover!$D$6,"fdd/view?i=",I5968)</f>
        <v>https://www.dgiwg.org/FAD/fdd/view?i=117895</v>
      </c>
      <c r="K5968" s="304" t="s">
        <v>40017</v>
      </c>
      <c r="L5968" s="188">
        <v>3</v>
      </c>
      <c r="M5968" s="179" t="s">
        <v>151</v>
      </c>
    </row>
    <row r="5969" spans="1:13" ht="25.5">
      <c r="A5969" s="313" t="str">
        <f t="shared" si="93"/>
        <v>RouteExpansionTypeCode_roadsideRestArea</v>
      </c>
      <c r="B5969" s="330"/>
      <c r="C5969" s="334"/>
      <c r="D5969" s="188" t="s">
        <v>21122</v>
      </c>
      <c r="E5969" s="189" t="s">
        <v>3665</v>
      </c>
      <c r="F5969" s="162" t="s">
        <v>3666</v>
      </c>
      <c r="G5969" s="190"/>
      <c r="H5969" s="219"/>
      <c r="I5969" s="169">
        <v>117896</v>
      </c>
      <c r="J5969" s="304" t="str">
        <f>CONCATENATE([2]Cover!$D$6,"fdd/view?i=",I5969)</f>
        <v>https://www.dgiwg.org/FAD/fdd/view?i=117896</v>
      </c>
      <c r="K5969" s="304" t="s">
        <v>40018</v>
      </c>
      <c r="L5969" s="188">
        <v>4</v>
      </c>
      <c r="M5969" s="179" t="s">
        <v>151</v>
      </c>
    </row>
    <row r="5970" spans="1:13" ht="38.25">
      <c r="A5970" s="313" t="str">
        <f t="shared" si="93"/>
        <v>RouteExpansionTypeCode_shoulder</v>
      </c>
      <c r="B5970" s="330"/>
      <c r="C5970" s="334"/>
      <c r="D5970" s="188" t="s">
        <v>29713</v>
      </c>
      <c r="E5970" s="189" t="s">
        <v>29714</v>
      </c>
      <c r="F5970" s="162" t="s">
        <v>3252</v>
      </c>
      <c r="G5970" s="162" t="s">
        <v>29715</v>
      </c>
      <c r="H5970" s="219"/>
      <c r="I5970" s="169">
        <v>117897</v>
      </c>
      <c r="J5970" s="304" t="str">
        <f>CONCATENATE([2]Cover!$D$6,"fdd/view?i=",I5970)</f>
        <v>https://www.dgiwg.org/FAD/fdd/view?i=117897</v>
      </c>
      <c r="K5970" s="304" t="s">
        <v>40019</v>
      </c>
      <c r="L5970" s="188">
        <v>5</v>
      </c>
      <c r="M5970" s="179" t="s">
        <v>151</v>
      </c>
    </row>
    <row r="5971" spans="1:13" ht="25.5">
      <c r="A5971" s="313" t="str">
        <f t="shared" si="93"/>
        <v>RouteExpansionTypeCode_siding</v>
      </c>
      <c r="B5971" s="331"/>
      <c r="C5971" s="335"/>
      <c r="D5971" s="181" t="s">
        <v>18292</v>
      </c>
      <c r="E5971" s="192" t="s">
        <v>18293</v>
      </c>
      <c r="F5971" s="193" t="s">
        <v>29716</v>
      </c>
      <c r="G5971" s="193" t="s">
        <v>29717</v>
      </c>
      <c r="H5971" s="220"/>
      <c r="I5971" s="169">
        <v>103480</v>
      </c>
      <c r="J5971" s="304" t="str">
        <f>CONCATENATE([2]Cover!$D$6,"fdd/view?i=",I5971)</f>
        <v>https://www.dgiwg.org/FAD/fdd/view?i=103480</v>
      </c>
      <c r="K5971" s="304" t="s">
        <v>40020</v>
      </c>
      <c r="L5971" s="181">
        <v>1</v>
      </c>
      <c r="M5971" s="179" t="s">
        <v>151</v>
      </c>
    </row>
    <row r="5972" spans="1:13" ht="89.25">
      <c r="A5972" s="313" t="str">
        <f t="shared" si="93"/>
        <v>RouteIntendedUseCode_deepWaterRoute</v>
      </c>
      <c r="B5972" s="332" t="str">
        <f>HYPERLINK("[#]Datatypes!A1233:L1233","RouteIntendedUseCode")</f>
        <v>RouteIntendedUseCode</v>
      </c>
      <c r="C5972" s="333" t="s">
        <v>12844</v>
      </c>
      <c r="D5972" s="202" t="s">
        <v>29718</v>
      </c>
      <c r="E5972" s="203" t="s">
        <v>29719</v>
      </c>
      <c r="F5972" s="204" t="s">
        <v>29720</v>
      </c>
      <c r="G5972" s="204" t="s">
        <v>29721</v>
      </c>
      <c r="H5972" s="218"/>
      <c r="I5972" s="169">
        <v>107364</v>
      </c>
      <c r="J5972" s="304" t="str">
        <f>CONCATENATE([2]Cover!$D$6,"fdd/view?i=",I5972)</f>
        <v>https://www.dgiwg.org/FAD/fdd/view?i=107364</v>
      </c>
      <c r="K5972" s="304" t="s">
        <v>40021</v>
      </c>
      <c r="L5972" s="202">
        <v>4</v>
      </c>
      <c r="M5972" s="179" t="s">
        <v>151</v>
      </c>
    </row>
    <row r="5973" spans="1:13" ht="51">
      <c r="A5973" s="313" t="str">
        <f t="shared" si="93"/>
        <v>RouteIntendedUseCode_qRoute</v>
      </c>
      <c r="B5973" s="330"/>
      <c r="C5973" s="334"/>
      <c r="D5973" s="188" t="s">
        <v>29722</v>
      </c>
      <c r="E5973" s="189" t="s">
        <v>29723</v>
      </c>
      <c r="F5973" s="162" t="s">
        <v>29724</v>
      </c>
      <c r="G5973" s="190"/>
      <c r="H5973" s="219"/>
      <c r="I5973" s="169">
        <v>107377</v>
      </c>
      <c r="J5973" s="304" t="str">
        <f>CONCATENATE([2]Cover!$D$6,"fdd/view?i=",I5973)</f>
        <v>https://www.dgiwg.org/FAD/fdd/view?i=107377</v>
      </c>
      <c r="K5973" s="304" t="s">
        <v>40022</v>
      </c>
      <c r="L5973" s="188">
        <v>17</v>
      </c>
      <c r="M5973" s="179" t="s">
        <v>151</v>
      </c>
    </row>
    <row r="5974" spans="1:13" ht="63.75">
      <c r="A5974" s="313" t="str">
        <f t="shared" si="93"/>
        <v>RouteIntendedUseCode_recommendDirectionTraffic</v>
      </c>
      <c r="B5974" s="330"/>
      <c r="C5974" s="334"/>
      <c r="D5974" s="188" t="s">
        <v>29725</v>
      </c>
      <c r="E5974" s="189" t="s">
        <v>29726</v>
      </c>
      <c r="F5974" s="162" t="s">
        <v>29727</v>
      </c>
      <c r="G5974" s="190"/>
      <c r="H5974" s="219"/>
      <c r="I5974" s="169">
        <v>107373</v>
      </c>
      <c r="J5974" s="304" t="str">
        <f>CONCATENATE([2]Cover!$D$6,"fdd/view?i=",I5974)</f>
        <v>https://www.dgiwg.org/FAD/fdd/view?i=107373</v>
      </c>
      <c r="K5974" s="304" t="s">
        <v>40023</v>
      </c>
      <c r="L5974" s="188">
        <v>13</v>
      </c>
      <c r="M5974" s="179" t="s">
        <v>151</v>
      </c>
    </row>
    <row r="5975" spans="1:13" ht="25.5">
      <c r="A5975" s="313" t="str">
        <f t="shared" si="93"/>
        <v>RouteIntendedUseCode_recommendRoute</v>
      </c>
      <c r="B5975" s="330"/>
      <c r="C5975" s="334"/>
      <c r="D5975" s="188" t="s">
        <v>29728</v>
      </c>
      <c r="E5975" s="189" t="s">
        <v>29729</v>
      </c>
      <c r="F5975" s="162" t="s">
        <v>29730</v>
      </c>
      <c r="G5975" s="190"/>
      <c r="H5975" s="219"/>
      <c r="I5975" s="169">
        <v>107378</v>
      </c>
      <c r="J5975" s="304" t="str">
        <f>CONCATENATE([2]Cover!$D$6,"fdd/view?i=",I5975)</f>
        <v>https://www.dgiwg.org/FAD/fdd/view?i=107378</v>
      </c>
      <c r="K5975" s="304" t="s">
        <v>40024</v>
      </c>
      <c r="L5975" s="188">
        <v>18</v>
      </c>
      <c r="M5975" s="179" t="s">
        <v>151</v>
      </c>
    </row>
    <row r="5976" spans="1:13" ht="25.5">
      <c r="A5976" s="313" t="str">
        <f t="shared" si="93"/>
        <v>RouteIntendedUseCode_recommendTrackDeepDraft</v>
      </c>
      <c r="B5976" s="330"/>
      <c r="C5976" s="334"/>
      <c r="D5976" s="188" t="s">
        <v>29731</v>
      </c>
      <c r="E5976" s="189" t="s">
        <v>29732</v>
      </c>
      <c r="F5976" s="162" t="s">
        <v>29733</v>
      </c>
      <c r="G5976" s="190"/>
      <c r="H5976" s="219"/>
      <c r="I5976" s="169">
        <v>107363</v>
      </c>
      <c r="J5976" s="304" t="str">
        <f>CONCATENATE([2]Cover!$D$6,"fdd/view?i=",I5976)</f>
        <v>https://www.dgiwg.org/FAD/fdd/view?i=107363</v>
      </c>
      <c r="K5976" s="304" t="s">
        <v>40025</v>
      </c>
      <c r="L5976" s="188">
        <v>3</v>
      </c>
      <c r="M5976" s="179" t="s">
        <v>151</v>
      </c>
    </row>
    <row r="5977" spans="1:13" ht="38.25">
      <c r="A5977" s="313" t="str">
        <f t="shared" si="93"/>
        <v>RouteIntendedUseCode_recommendTrackOtherDraft</v>
      </c>
      <c r="B5977" s="330"/>
      <c r="C5977" s="334"/>
      <c r="D5977" s="188" t="s">
        <v>29734</v>
      </c>
      <c r="E5977" s="189" t="s">
        <v>29735</v>
      </c>
      <c r="F5977" s="162" t="s">
        <v>29736</v>
      </c>
      <c r="G5977" s="190"/>
      <c r="H5977" s="219"/>
      <c r="I5977" s="169">
        <v>107362</v>
      </c>
      <c r="J5977" s="304" t="str">
        <f>CONCATENATE([2]Cover!$D$6,"fdd/view?i=",I5977)</f>
        <v>https://www.dgiwg.org/FAD/fdd/view?i=107362</v>
      </c>
      <c r="K5977" s="304" t="s">
        <v>40026</v>
      </c>
      <c r="L5977" s="188">
        <v>2</v>
      </c>
      <c r="M5977" s="179" t="s">
        <v>151</v>
      </c>
    </row>
    <row r="5978" spans="1:13" ht="25.5">
      <c r="A5978" s="313" t="str">
        <f t="shared" si="93"/>
        <v>RouteIntendedUseCode_transitRoute</v>
      </c>
      <c r="B5978" s="330"/>
      <c r="C5978" s="334"/>
      <c r="D5978" s="188" t="s">
        <v>29737</v>
      </c>
      <c r="E5978" s="189" t="s">
        <v>29738</v>
      </c>
      <c r="F5978" s="162" t="s">
        <v>29739</v>
      </c>
      <c r="G5978" s="190"/>
      <c r="H5978" s="219"/>
      <c r="I5978" s="169">
        <v>107365</v>
      </c>
      <c r="J5978" s="304" t="str">
        <f>CONCATENATE([2]Cover!$D$6,"fdd/view?i=",I5978)</f>
        <v>https://www.dgiwg.org/FAD/fdd/view?i=107365</v>
      </c>
      <c r="K5978" s="304" t="s">
        <v>40027</v>
      </c>
      <c r="L5978" s="188">
        <v>5</v>
      </c>
      <c r="M5978" s="179" t="s">
        <v>151</v>
      </c>
    </row>
    <row r="5979" spans="1:13" ht="63.75">
      <c r="A5979" s="313" t="str">
        <f t="shared" si="93"/>
        <v>RouteIntendedUseCode_twoWayRoute</v>
      </c>
      <c r="B5979" s="331"/>
      <c r="C5979" s="335"/>
      <c r="D5979" s="181" t="s">
        <v>29740</v>
      </c>
      <c r="E5979" s="192" t="s">
        <v>29741</v>
      </c>
      <c r="F5979" s="193" t="s">
        <v>29742</v>
      </c>
      <c r="G5979" s="193" t="s">
        <v>29743</v>
      </c>
      <c r="H5979" s="220"/>
      <c r="I5979" s="169">
        <v>107371</v>
      </c>
      <c r="J5979" s="304" t="str">
        <f>CONCATENATE([2]Cover!$D$6,"fdd/view?i=",I5979)</f>
        <v>https://www.dgiwg.org/FAD/fdd/view?i=107371</v>
      </c>
      <c r="K5979" s="304" t="s">
        <v>40028</v>
      </c>
      <c r="L5979" s="181">
        <v>11</v>
      </c>
      <c r="M5979" s="179" t="s">
        <v>151</v>
      </c>
    </row>
    <row r="5980" spans="1:13" ht="153">
      <c r="A5980" s="313" t="str">
        <f t="shared" si="93"/>
        <v>RouteSurfaceCompositionCode_aggregate</v>
      </c>
      <c r="B5980" s="332" t="str">
        <f>HYPERLINK("[#]Datatypes!A1235:L1235","RouteSurfaceCompositionCode")</f>
        <v>RouteSurfaceCompositionCode</v>
      </c>
      <c r="C5980" s="333" t="s">
        <v>12846</v>
      </c>
      <c r="D5980" s="202" t="s">
        <v>29744</v>
      </c>
      <c r="E5980" s="203" t="s">
        <v>11512</v>
      </c>
      <c r="F5980" s="204" t="s">
        <v>29745</v>
      </c>
      <c r="G5980" s="204" t="s">
        <v>29746</v>
      </c>
      <c r="H5980" s="218"/>
      <c r="I5980" s="169">
        <v>112484</v>
      </c>
      <c r="J5980" s="304" t="str">
        <f>CONCATENATE([2]Cover!$D$6,"fdd/view?i=",I5980)</f>
        <v>https://www.dgiwg.org/FAD/fdd/view?i=112484</v>
      </c>
      <c r="K5980" s="304" t="s">
        <v>40029</v>
      </c>
      <c r="L5980" s="202">
        <v>4</v>
      </c>
      <c r="M5980" s="179" t="s">
        <v>151</v>
      </c>
    </row>
    <row r="5981" spans="1:13" ht="318.75">
      <c r="A5981" s="313" t="str">
        <f t="shared" si="93"/>
        <v>RouteSurfaceCompositionCode_asphalt</v>
      </c>
      <c r="B5981" s="330"/>
      <c r="C5981" s="334"/>
      <c r="D5981" s="188" t="s">
        <v>15076</v>
      </c>
      <c r="E5981" s="189" t="s">
        <v>15077</v>
      </c>
      <c r="F5981" s="162" t="s">
        <v>29747</v>
      </c>
      <c r="G5981" s="162" t="s">
        <v>29748</v>
      </c>
      <c r="H5981" s="219"/>
      <c r="I5981" s="169">
        <v>112494</v>
      </c>
      <c r="J5981" s="304" t="str">
        <f>CONCATENATE([2]Cover!$D$6,"fdd/view?i=",I5981)</f>
        <v>https://www.dgiwg.org/FAD/fdd/view?i=112494</v>
      </c>
      <c r="K5981" s="304" t="s">
        <v>40030</v>
      </c>
      <c r="L5981" s="188">
        <v>9</v>
      </c>
      <c r="M5981" s="179" t="s">
        <v>151</v>
      </c>
    </row>
    <row r="5982" spans="1:13" ht="89.25">
      <c r="A5982" s="313" t="str">
        <f t="shared" si="93"/>
        <v>RouteSurfaceCompositionCode_asphaltOverConcrete</v>
      </c>
      <c r="B5982" s="330"/>
      <c r="C5982" s="334"/>
      <c r="D5982" s="188" t="s">
        <v>15080</v>
      </c>
      <c r="E5982" s="189" t="s">
        <v>29749</v>
      </c>
      <c r="F5982" s="162" t="s">
        <v>29750</v>
      </c>
      <c r="G5982" s="162" t="s">
        <v>29751</v>
      </c>
      <c r="H5982" s="219"/>
      <c r="I5982" s="169">
        <v>112496</v>
      </c>
      <c r="J5982" s="304" t="str">
        <f>CONCATENATE([2]Cover!$D$6,"fdd/view?i=",I5982)</f>
        <v>https://www.dgiwg.org/FAD/fdd/view?i=112496</v>
      </c>
      <c r="K5982" s="304" t="s">
        <v>40031</v>
      </c>
      <c r="L5982" s="188">
        <v>10</v>
      </c>
      <c r="M5982" s="179" t="s">
        <v>151</v>
      </c>
    </row>
    <row r="5983" spans="1:13" ht="63.75">
      <c r="A5983" s="313" t="str">
        <f t="shared" si="93"/>
        <v>RouteSurfaceCompositionCode_boundSurface</v>
      </c>
      <c r="B5983" s="330"/>
      <c r="C5983" s="334"/>
      <c r="D5983" s="188" t="s">
        <v>29752</v>
      </c>
      <c r="E5983" s="189" t="s">
        <v>29753</v>
      </c>
      <c r="F5983" s="162" t="s">
        <v>29754</v>
      </c>
      <c r="G5983" s="162" t="s">
        <v>29755</v>
      </c>
      <c r="H5983" s="219"/>
      <c r="I5983" s="169">
        <v>112488</v>
      </c>
      <c r="J5983" s="304" t="str">
        <f>CONCATENATE([2]Cover!$D$6,"fdd/view?i=",I5983)</f>
        <v>https://www.dgiwg.org/FAD/fdd/view?i=112488</v>
      </c>
      <c r="K5983" s="304" t="s">
        <v>40032</v>
      </c>
      <c r="L5983" s="188">
        <v>6</v>
      </c>
      <c r="M5983" s="179" t="s">
        <v>151</v>
      </c>
    </row>
    <row r="5984" spans="1:13" ht="25.5">
      <c r="A5984" s="313" t="str">
        <f t="shared" si="93"/>
        <v>RouteSurfaceCompositionCode_brick</v>
      </c>
      <c r="B5984" s="330"/>
      <c r="C5984" s="334"/>
      <c r="D5984" s="188" t="s">
        <v>15087</v>
      </c>
      <c r="E5984" s="189" t="s">
        <v>15088</v>
      </c>
      <c r="F5984" s="162" t="s">
        <v>29756</v>
      </c>
      <c r="G5984" s="190"/>
      <c r="H5984" s="219"/>
      <c r="I5984" s="169">
        <v>112500</v>
      </c>
      <c r="J5984" s="304" t="str">
        <f>CONCATENATE([2]Cover!$D$6,"fdd/view?i=",I5984)</f>
        <v>https://www.dgiwg.org/FAD/fdd/view?i=112500</v>
      </c>
      <c r="K5984" s="304" t="s">
        <v>40033</v>
      </c>
      <c r="L5984" s="188">
        <v>12</v>
      </c>
      <c r="M5984" s="179" t="s">
        <v>151</v>
      </c>
    </row>
    <row r="5985" spans="1:13" ht="76.5">
      <c r="A5985" s="313" t="str">
        <f t="shared" si="93"/>
        <v>RouteSurfaceCompositionCode_cobblestone</v>
      </c>
      <c r="B5985" s="330"/>
      <c r="C5985" s="334"/>
      <c r="D5985" s="188" t="s">
        <v>29757</v>
      </c>
      <c r="E5985" s="189" t="s">
        <v>29758</v>
      </c>
      <c r="F5985" s="162" t="s">
        <v>29759</v>
      </c>
      <c r="G5985" s="162" t="s">
        <v>29760</v>
      </c>
      <c r="H5985" s="219"/>
      <c r="I5985" s="169">
        <v>112498</v>
      </c>
      <c r="J5985" s="304" t="str">
        <f>CONCATENATE([2]Cover!$D$6,"fdd/view?i=",I5985)</f>
        <v>https://www.dgiwg.org/FAD/fdd/view?i=112498</v>
      </c>
      <c r="K5985" s="304" t="s">
        <v>40034</v>
      </c>
      <c r="L5985" s="188">
        <v>11</v>
      </c>
      <c r="M5985" s="179" t="s">
        <v>151</v>
      </c>
    </row>
    <row r="5986" spans="1:13" ht="76.5">
      <c r="A5986" s="313" t="str">
        <f t="shared" si="93"/>
        <v>RouteSurfaceCompositionCode_concrete</v>
      </c>
      <c r="B5986" s="330"/>
      <c r="C5986" s="334"/>
      <c r="D5986" s="188" t="s">
        <v>15093</v>
      </c>
      <c r="E5986" s="189" t="s">
        <v>15094</v>
      </c>
      <c r="F5986" s="162" t="s">
        <v>29761</v>
      </c>
      <c r="G5986" s="190"/>
      <c r="H5986" s="219"/>
      <c r="I5986" s="169">
        <v>112492</v>
      </c>
      <c r="J5986" s="304" t="str">
        <f>CONCATENATE([2]Cover!$D$6,"fdd/view?i=",I5986)</f>
        <v>https://www.dgiwg.org/FAD/fdd/view?i=112492</v>
      </c>
      <c r="K5986" s="304" t="s">
        <v>40035</v>
      </c>
      <c r="L5986" s="188">
        <v>8</v>
      </c>
      <c r="M5986" s="179" t="s">
        <v>151</v>
      </c>
    </row>
    <row r="5987" spans="1:13" ht="38.25">
      <c r="A5987" s="313" t="str">
        <f t="shared" si="93"/>
        <v>RouteSurfaceCompositionCode_corduroy</v>
      </c>
      <c r="B5987" s="330"/>
      <c r="C5987" s="334"/>
      <c r="D5987" s="188" t="s">
        <v>29762</v>
      </c>
      <c r="E5987" s="189" t="s">
        <v>29763</v>
      </c>
      <c r="F5987" s="162" t="s">
        <v>29764</v>
      </c>
      <c r="G5987" s="162" t="s">
        <v>29765</v>
      </c>
      <c r="H5987" s="219"/>
      <c r="I5987" s="169">
        <v>112506</v>
      </c>
      <c r="J5987" s="304" t="str">
        <f>CONCATENATE([2]Cover!$D$6,"fdd/view?i=",I5987)</f>
        <v>https://www.dgiwg.org/FAD/fdd/view?i=112506</v>
      </c>
      <c r="K5987" s="304" t="s">
        <v>40036</v>
      </c>
      <c r="L5987" s="188">
        <v>15</v>
      </c>
      <c r="M5987" s="179" t="s">
        <v>151</v>
      </c>
    </row>
    <row r="5988" spans="1:13" ht="51">
      <c r="A5988" s="313" t="str">
        <f t="shared" si="93"/>
        <v>RouteSurfaceCompositionCode_flexiblePavement</v>
      </c>
      <c r="B5988" s="330"/>
      <c r="C5988" s="334"/>
      <c r="D5988" s="188" t="s">
        <v>28130</v>
      </c>
      <c r="E5988" s="189" t="s">
        <v>28131</v>
      </c>
      <c r="F5988" s="162" t="s">
        <v>29766</v>
      </c>
      <c r="G5988" s="162" t="s">
        <v>29767</v>
      </c>
      <c r="H5988" s="219"/>
      <c r="I5988" s="169">
        <v>112482</v>
      </c>
      <c r="J5988" s="304" t="str">
        <f>CONCATENATE([2]Cover!$D$6,"fdd/view?i=",I5988)</f>
        <v>https://www.dgiwg.org/FAD/fdd/view?i=112482</v>
      </c>
      <c r="K5988" s="304" t="s">
        <v>40037</v>
      </c>
      <c r="L5988" s="188">
        <v>3</v>
      </c>
      <c r="M5988" s="179" t="s">
        <v>151</v>
      </c>
    </row>
    <row r="5989" spans="1:13" ht="25.5">
      <c r="A5989" s="313" t="str">
        <f t="shared" si="93"/>
        <v>RouteSurfaceCompositionCode_ice</v>
      </c>
      <c r="B5989" s="330"/>
      <c r="C5989" s="334"/>
      <c r="D5989" s="188" t="s">
        <v>15108</v>
      </c>
      <c r="E5989" s="189" t="s">
        <v>15109</v>
      </c>
      <c r="F5989" s="162" t="s">
        <v>29768</v>
      </c>
      <c r="G5989" s="162" t="s">
        <v>29769</v>
      </c>
      <c r="H5989" s="219"/>
      <c r="I5989" s="169">
        <v>112510</v>
      </c>
      <c r="J5989" s="304" t="str">
        <f>CONCATENATE([2]Cover!$D$6,"fdd/view?i=",I5989)</f>
        <v>https://www.dgiwg.org/FAD/fdd/view?i=112510</v>
      </c>
      <c r="K5989" s="304" t="s">
        <v>40038</v>
      </c>
      <c r="L5989" s="188">
        <v>17</v>
      </c>
      <c r="M5989" s="179" t="s">
        <v>151</v>
      </c>
    </row>
    <row r="5990" spans="1:13" ht="318.75">
      <c r="A5990" s="313" t="str">
        <f t="shared" si="93"/>
        <v>RouteSurfaceCompositionCode_macadam</v>
      </c>
      <c r="B5990" s="330"/>
      <c r="C5990" s="334"/>
      <c r="D5990" s="188" t="s">
        <v>15120</v>
      </c>
      <c r="E5990" s="189" t="s">
        <v>15121</v>
      </c>
      <c r="F5990" s="162" t="s">
        <v>29770</v>
      </c>
      <c r="G5990" s="162" t="s">
        <v>29771</v>
      </c>
      <c r="H5990" s="221" t="s">
        <v>15124</v>
      </c>
      <c r="I5990" s="169">
        <v>112486</v>
      </c>
      <c r="J5990" s="304" t="str">
        <f>CONCATENATE([2]Cover!$D$6,"fdd/view?i=",I5990)</f>
        <v>https://www.dgiwg.org/FAD/fdd/view?i=112486</v>
      </c>
      <c r="K5990" s="304" t="s">
        <v>40039</v>
      </c>
      <c r="L5990" s="188">
        <v>5</v>
      </c>
      <c r="M5990" s="179" t="s">
        <v>151</v>
      </c>
    </row>
    <row r="5991" spans="1:13" ht="25.5">
      <c r="A5991" s="313" t="str">
        <f t="shared" si="93"/>
        <v>RouteSurfaceCompositionCode_metal</v>
      </c>
      <c r="B5991" s="330"/>
      <c r="C5991" s="334"/>
      <c r="D5991" s="188" t="s">
        <v>22444</v>
      </c>
      <c r="E5991" s="189" t="s">
        <v>22445</v>
      </c>
      <c r="F5991" s="162" t="s">
        <v>29772</v>
      </c>
      <c r="G5991" s="162" t="s">
        <v>29773</v>
      </c>
      <c r="H5991" s="219"/>
      <c r="I5991" s="169">
        <v>112502</v>
      </c>
      <c r="J5991" s="304" t="str">
        <f>CONCATENATE([2]Cover!$D$6,"fdd/view?i=",I5991)</f>
        <v>https://www.dgiwg.org/FAD/fdd/view?i=112502</v>
      </c>
      <c r="K5991" s="304" t="s">
        <v>40040</v>
      </c>
      <c r="L5991" s="188">
        <v>13</v>
      </c>
      <c r="M5991" s="179" t="s">
        <v>151</v>
      </c>
    </row>
    <row r="5992" spans="1:13" ht="51">
      <c r="A5992" s="313" t="str">
        <f t="shared" si="93"/>
        <v>RouteSurfaceCompositionCode_rigidPavement</v>
      </c>
      <c r="B5992" s="330"/>
      <c r="C5992" s="334"/>
      <c r="D5992" s="188" t="s">
        <v>28133</v>
      </c>
      <c r="E5992" s="189" t="s">
        <v>28134</v>
      </c>
      <c r="F5992" s="162" t="s">
        <v>29774</v>
      </c>
      <c r="G5992" s="162" t="s">
        <v>29775</v>
      </c>
      <c r="H5992" s="219"/>
      <c r="I5992" s="169">
        <v>112490</v>
      </c>
      <c r="J5992" s="304" t="str">
        <f>CONCATENATE([2]Cover!$D$6,"fdd/view?i=",I5992)</f>
        <v>https://www.dgiwg.org/FAD/fdd/view?i=112490</v>
      </c>
      <c r="K5992" s="304" t="s">
        <v>40041</v>
      </c>
      <c r="L5992" s="188">
        <v>7</v>
      </c>
      <c r="M5992" s="179" t="s">
        <v>151</v>
      </c>
    </row>
    <row r="5993" spans="1:13" ht="38.25">
      <c r="A5993" s="313" t="str">
        <f t="shared" si="93"/>
        <v>RouteSurfaceCompositionCode_snow</v>
      </c>
      <c r="B5993" s="330"/>
      <c r="C5993" s="334"/>
      <c r="D5993" s="188" t="s">
        <v>15140</v>
      </c>
      <c r="E5993" s="189" t="s">
        <v>15141</v>
      </c>
      <c r="F5993" s="162" t="s">
        <v>29776</v>
      </c>
      <c r="G5993" s="162" t="s">
        <v>29777</v>
      </c>
      <c r="H5993" s="219"/>
      <c r="I5993" s="169">
        <v>112512</v>
      </c>
      <c r="J5993" s="304" t="str">
        <f>CONCATENATE([2]Cover!$D$6,"fdd/view?i=",I5993)</f>
        <v>https://www.dgiwg.org/FAD/fdd/view?i=112512</v>
      </c>
      <c r="K5993" s="304" t="s">
        <v>40042</v>
      </c>
      <c r="L5993" s="188">
        <v>18</v>
      </c>
      <c r="M5993" s="179" t="s">
        <v>151</v>
      </c>
    </row>
    <row r="5994" spans="1:13" ht="51">
      <c r="A5994" s="313" t="str">
        <f t="shared" si="93"/>
        <v>RouteSurfaceCompositionCode_stabilizedEarth</v>
      </c>
      <c r="B5994" s="330"/>
      <c r="C5994" s="334"/>
      <c r="D5994" s="188" t="s">
        <v>29778</v>
      </c>
      <c r="E5994" s="189" t="s">
        <v>29779</v>
      </c>
      <c r="F5994" s="162" t="s">
        <v>29780</v>
      </c>
      <c r="G5994" s="190"/>
      <c r="H5994" s="219"/>
      <c r="I5994" s="169">
        <v>112480</v>
      </c>
      <c r="J5994" s="304" t="str">
        <f>CONCATENATE([2]Cover!$D$6,"fdd/view?i=",I5994)</f>
        <v>https://www.dgiwg.org/FAD/fdd/view?i=112480</v>
      </c>
      <c r="K5994" s="304" t="s">
        <v>40043</v>
      </c>
      <c r="L5994" s="188">
        <v>2</v>
      </c>
      <c r="M5994" s="179" t="s">
        <v>151</v>
      </c>
    </row>
    <row r="5995" spans="1:13" ht="25.5">
      <c r="A5995" s="313" t="str">
        <f t="shared" si="93"/>
        <v>RouteSurfaceCompositionCode_unimproved</v>
      </c>
      <c r="B5995" s="330"/>
      <c r="C5995" s="334"/>
      <c r="D5995" s="188" t="s">
        <v>29781</v>
      </c>
      <c r="E5995" s="189" t="s">
        <v>29782</v>
      </c>
      <c r="F5995" s="162" t="s">
        <v>29783</v>
      </c>
      <c r="G5995" s="162" t="s">
        <v>29784</v>
      </c>
      <c r="H5995" s="219"/>
      <c r="I5995" s="169">
        <v>112478</v>
      </c>
      <c r="J5995" s="304" t="str">
        <f>CONCATENATE([2]Cover!$D$6,"fdd/view?i=",I5995)</f>
        <v>https://www.dgiwg.org/FAD/fdd/view?i=112478</v>
      </c>
      <c r="K5995" s="304" t="s">
        <v>40044</v>
      </c>
      <c r="L5995" s="188">
        <v>1</v>
      </c>
      <c r="M5995" s="179" t="s">
        <v>151</v>
      </c>
    </row>
    <row r="5996" spans="1:13" ht="25.5">
      <c r="A5996" s="313" t="str">
        <f t="shared" si="93"/>
        <v>RouteSurfaceCompositionCode_wood</v>
      </c>
      <c r="B5996" s="330"/>
      <c r="C5996" s="334"/>
      <c r="D5996" s="188" t="s">
        <v>15149</v>
      </c>
      <c r="E5996" s="189" t="s">
        <v>15150</v>
      </c>
      <c r="F5996" s="162" t="s">
        <v>29785</v>
      </c>
      <c r="G5996" s="190"/>
      <c r="H5996" s="219"/>
      <c r="I5996" s="169">
        <v>112504</v>
      </c>
      <c r="J5996" s="304" t="str">
        <f>CONCATENATE([2]Cover!$D$6,"fdd/view?i=",I5996)</f>
        <v>https://www.dgiwg.org/FAD/fdd/view?i=112504</v>
      </c>
      <c r="K5996" s="304" t="s">
        <v>40045</v>
      </c>
      <c r="L5996" s="188">
        <v>14</v>
      </c>
      <c r="M5996" s="179" t="s">
        <v>151</v>
      </c>
    </row>
    <row r="5997" spans="1:13" ht="25.5">
      <c r="A5997" s="313" t="str">
        <f t="shared" si="93"/>
        <v>RouteSurfaceCompositionCode_woodPlank</v>
      </c>
      <c r="B5997" s="331"/>
      <c r="C5997" s="335"/>
      <c r="D5997" s="181" t="s">
        <v>29786</v>
      </c>
      <c r="E5997" s="192" t="s">
        <v>29787</v>
      </c>
      <c r="F5997" s="193" t="s">
        <v>29788</v>
      </c>
      <c r="G5997" s="193" t="s">
        <v>29789</v>
      </c>
      <c r="H5997" s="220"/>
      <c r="I5997" s="169">
        <v>112508</v>
      </c>
      <c r="J5997" s="304" t="str">
        <f>CONCATENATE([2]Cover!$D$6,"fdd/view?i=",I5997)</f>
        <v>https://www.dgiwg.org/FAD/fdd/view?i=112508</v>
      </c>
      <c r="K5997" s="304" t="s">
        <v>40046</v>
      </c>
      <c r="L5997" s="181">
        <v>16</v>
      </c>
      <c r="M5997" s="179" t="s">
        <v>151</v>
      </c>
    </row>
    <row r="5998" spans="1:13" ht="25.5">
      <c r="A5998" s="313" t="str">
        <f t="shared" si="93"/>
        <v>RunwayCentreLineLocRoleCode_abeamElevation</v>
      </c>
      <c r="B5998" s="332" t="str">
        <f>HYPERLINK("[#]Datatypes!A1237:L1237","RunwayCentreLineLocRoleCode")</f>
        <v>RunwayCentreLineLocRoleCode</v>
      </c>
      <c r="C5998" s="333" t="s">
        <v>12848</v>
      </c>
      <c r="D5998" s="202" t="s">
        <v>29790</v>
      </c>
      <c r="E5998" s="203" t="s">
        <v>29791</v>
      </c>
      <c r="F5998" s="204" t="s">
        <v>29792</v>
      </c>
      <c r="G5998" s="205"/>
      <c r="H5998" s="218"/>
      <c r="I5998" s="169">
        <v>207952</v>
      </c>
      <c r="J5998" s="304" t="str">
        <f>CONCATENATE([2]Cover!$D$6,"fdd/view?i=",I5998)</f>
        <v>https://www.dgiwg.org/FAD/fdd/view?i=207952</v>
      </c>
      <c r="K5998" s="304" t="s">
        <v>40047</v>
      </c>
      <c r="L5998" s="202">
        <v>1</v>
      </c>
      <c r="M5998" s="179" t="s">
        <v>1295</v>
      </c>
    </row>
    <row r="5999" spans="1:13" ht="25.5">
      <c r="A5999" s="313" t="str">
        <f t="shared" si="93"/>
        <v>RunwayCentreLineLocRoleCode_abeamGlideslope</v>
      </c>
      <c r="B5999" s="330"/>
      <c r="C5999" s="334"/>
      <c r="D5999" s="188" t="s">
        <v>29793</v>
      </c>
      <c r="E5999" s="189" t="s">
        <v>29794</v>
      </c>
      <c r="F5999" s="162" t="s">
        <v>29795</v>
      </c>
      <c r="G5999" s="190"/>
      <c r="H5999" s="221" t="s">
        <v>29796</v>
      </c>
      <c r="I5999" s="169">
        <v>207907</v>
      </c>
      <c r="J5999" s="304" t="str">
        <f>CONCATENATE([2]Cover!$D$6,"fdd/view?i=",I5999)</f>
        <v>https://www.dgiwg.org/FAD/fdd/view?i=207907</v>
      </c>
      <c r="K5999" s="304" t="s">
        <v>40048</v>
      </c>
      <c r="L5999" s="188">
        <v>2</v>
      </c>
      <c r="M5999" s="179" t="s">
        <v>1295</v>
      </c>
    </row>
    <row r="6000" spans="1:13" ht="25.5">
      <c r="A6000" s="313" t="str">
        <f t="shared" si="93"/>
        <v>RunwayCentreLineLocRoleCode_abeamPrecisionApproachRadar</v>
      </c>
      <c r="B6000" s="330"/>
      <c r="C6000" s="334"/>
      <c r="D6000" s="188" t="s">
        <v>29797</v>
      </c>
      <c r="E6000" s="189" t="s">
        <v>29798</v>
      </c>
      <c r="F6000" s="162" t="s">
        <v>29799</v>
      </c>
      <c r="G6000" s="190"/>
      <c r="H6000" s="219"/>
      <c r="I6000" s="169">
        <v>207908</v>
      </c>
      <c r="J6000" s="304" t="str">
        <f>CONCATENATE([2]Cover!$D$6,"fdd/view?i=",I6000)</f>
        <v>https://www.dgiwg.org/FAD/fdd/view?i=207908</v>
      </c>
      <c r="K6000" s="304" t="s">
        <v>40049</v>
      </c>
      <c r="L6000" s="188">
        <v>3</v>
      </c>
      <c r="M6000" s="179" t="s">
        <v>1295</v>
      </c>
    </row>
    <row r="6001" spans="1:13" ht="25.5">
      <c r="A6001" s="313" t="str">
        <f t="shared" si="93"/>
        <v>RunwayCentreLineLocRoleCode_abeamRunwayEndReflector</v>
      </c>
      <c r="B6001" s="330"/>
      <c r="C6001" s="334"/>
      <c r="D6001" s="188" t="s">
        <v>29800</v>
      </c>
      <c r="E6001" s="189" t="s">
        <v>29801</v>
      </c>
      <c r="F6001" s="162" t="s">
        <v>29802</v>
      </c>
      <c r="G6001" s="190"/>
      <c r="H6001" s="219"/>
      <c r="I6001" s="169">
        <v>207909</v>
      </c>
      <c r="J6001" s="304" t="str">
        <f>CONCATENATE([2]Cover!$D$6,"fdd/view?i=",I6001)</f>
        <v>https://www.dgiwg.org/FAD/fdd/view?i=207909</v>
      </c>
      <c r="K6001" s="304" t="s">
        <v>40050</v>
      </c>
      <c r="L6001" s="188">
        <v>4</v>
      </c>
      <c r="M6001" s="179" t="s">
        <v>1295</v>
      </c>
    </row>
    <row r="6002" spans="1:13" ht="25.5">
      <c r="A6002" s="313" t="str">
        <f t="shared" si="93"/>
        <v>RunwayCentreLineLocRoleCode_abeamTouchdownReflector</v>
      </c>
      <c r="B6002" s="330"/>
      <c r="C6002" s="334"/>
      <c r="D6002" s="188" t="s">
        <v>29803</v>
      </c>
      <c r="E6002" s="189" t="s">
        <v>29804</v>
      </c>
      <c r="F6002" s="162" t="s">
        <v>29805</v>
      </c>
      <c r="G6002" s="190"/>
      <c r="H6002" s="219"/>
      <c r="I6002" s="169">
        <v>207910</v>
      </c>
      <c r="J6002" s="304" t="str">
        <f>CONCATENATE([2]Cover!$D$6,"fdd/view?i=",I6002)</f>
        <v>https://www.dgiwg.org/FAD/fdd/view?i=207910</v>
      </c>
      <c r="K6002" s="304" t="s">
        <v>40051</v>
      </c>
      <c r="L6002" s="188">
        <v>5</v>
      </c>
      <c r="M6002" s="179" t="s">
        <v>1295</v>
      </c>
    </row>
    <row r="6003" spans="1:13" ht="25.5">
      <c r="A6003" s="313" t="str">
        <f t="shared" si="93"/>
        <v>RunwayCentreLineLocRoleCode_highestElevationPoint</v>
      </c>
      <c r="B6003" s="330"/>
      <c r="C6003" s="334"/>
      <c r="D6003" s="188" t="s">
        <v>29806</v>
      </c>
      <c r="E6003" s="189" t="s">
        <v>29807</v>
      </c>
      <c r="F6003" s="162" t="s">
        <v>29808</v>
      </c>
      <c r="G6003" s="190"/>
      <c r="H6003" s="219"/>
      <c r="I6003" s="169">
        <v>207911</v>
      </c>
      <c r="J6003" s="304" t="str">
        <f>CONCATENATE([2]Cover!$D$6,"fdd/view?i=",I6003)</f>
        <v>https://www.dgiwg.org/FAD/fdd/view?i=207911</v>
      </c>
      <c r="K6003" s="304" t="s">
        <v>40052</v>
      </c>
      <c r="L6003" s="188">
        <v>6</v>
      </c>
      <c r="M6003" s="179" t="s">
        <v>1295</v>
      </c>
    </row>
    <row r="6004" spans="1:13" ht="25.5">
      <c r="A6004" s="313" t="str">
        <f t="shared" si="93"/>
        <v>RunwayCentreLineLocRoleCode_runwayMidpoint</v>
      </c>
      <c r="B6004" s="330"/>
      <c r="C6004" s="334"/>
      <c r="D6004" s="188" t="s">
        <v>29809</v>
      </c>
      <c r="E6004" s="189" t="s">
        <v>29810</v>
      </c>
      <c r="F6004" s="162" t="s">
        <v>29811</v>
      </c>
      <c r="G6004" s="190"/>
      <c r="H6004" s="219"/>
      <c r="I6004" s="169">
        <v>207912</v>
      </c>
      <c r="J6004" s="304" t="str">
        <f>CONCATENATE([2]Cover!$D$6,"fdd/view?i=",I6004)</f>
        <v>https://www.dgiwg.org/FAD/fdd/view?i=207912</v>
      </c>
      <c r="K6004" s="304" t="s">
        <v>40053</v>
      </c>
      <c r="L6004" s="188">
        <v>7</v>
      </c>
      <c r="M6004" s="179" t="s">
        <v>1295</v>
      </c>
    </row>
    <row r="6005" spans="1:13" ht="25.5">
      <c r="A6005" s="313" t="str">
        <f t="shared" si="93"/>
        <v>RunwayCentreLineLocRoleCode_startRun</v>
      </c>
      <c r="B6005" s="330"/>
      <c r="C6005" s="334"/>
      <c r="D6005" s="188" t="s">
        <v>29812</v>
      </c>
      <c r="E6005" s="189" t="s">
        <v>29813</v>
      </c>
      <c r="F6005" s="162" t="s">
        <v>29814</v>
      </c>
      <c r="G6005" s="190"/>
      <c r="H6005" s="219"/>
      <c r="I6005" s="169">
        <v>207913</v>
      </c>
      <c r="J6005" s="304" t="str">
        <f>CONCATENATE([2]Cover!$D$6,"fdd/view?i=",I6005)</f>
        <v>https://www.dgiwg.org/FAD/fdd/view?i=207913</v>
      </c>
      <c r="K6005" s="304" t="s">
        <v>40054</v>
      </c>
      <c r="L6005" s="188">
        <v>8</v>
      </c>
      <c r="M6005" s="179" t="s">
        <v>1295</v>
      </c>
    </row>
    <row r="6006" spans="1:13" ht="25.5">
      <c r="A6006" s="313" t="str">
        <f t="shared" si="93"/>
        <v>RunwayCentreLineLocRoleCode_touchdownZone</v>
      </c>
      <c r="B6006" s="331"/>
      <c r="C6006" s="335"/>
      <c r="D6006" s="181" t="s">
        <v>15029</v>
      </c>
      <c r="E6006" s="192" t="s">
        <v>15030</v>
      </c>
      <c r="F6006" s="193" t="s">
        <v>29815</v>
      </c>
      <c r="G6006" s="193" t="s">
        <v>29816</v>
      </c>
      <c r="H6006" s="220"/>
      <c r="I6006" s="169">
        <v>207914</v>
      </c>
      <c r="J6006" s="304" t="str">
        <f>CONCATENATE([2]Cover!$D$6,"fdd/view?i=",I6006)</f>
        <v>https://www.dgiwg.org/FAD/fdd/view?i=207914</v>
      </c>
      <c r="K6006" s="304" t="s">
        <v>40055</v>
      </c>
      <c r="L6006" s="181">
        <v>9</v>
      </c>
      <c r="M6006" s="179" t="s">
        <v>1295</v>
      </c>
    </row>
    <row r="6007" spans="1:13" ht="25.5">
      <c r="A6007" s="313" t="str">
        <f t="shared" si="93"/>
        <v>RunwayVisualRangeObsSiteCode_middle</v>
      </c>
      <c r="B6007" s="332" t="str">
        <f>HYPERLINK("[#]Datatypes!A1243:L1243","RunwayVisualRangeObsSiteCode")</f>
        <v>RunwayVisualRangeObsSiteCode</v>
      </c>
      <c r="C6007" s="333" t="s">
        <v>12857</v>
      </c>
      <c r="D6007" s="202" t="s">
        <v>26169</v>
      </c>
      <c r="E6007" s="203" t="s">
        <v>26170</v>
      </c>
      <c r="F6007" s="204" t="s">
        <v>29817</v>
      </c>
      <c r="G6007" s="204" t="s">
        <v>29818</v>
      </c>
      <c r="H6007" s="218"/>
      <c r="I6007" s="169">
        <v>116568</v>
      </c>
      <c r="J6007" s="304" t="str">
        <f>CONCATENATE([2]Cover!$D$6,"fdd/view?i=",I6007)</f>
        <v>https://www.dgiwg.org/FAD/fdd/view?i=116568</v>
      </c>
      <c r="K6007" s="304" t="s">
        <v>40056</v>
      </c>
      <c r="L6007" s="202">
        <v>2</v>
      </c>
      <c r="M6007" s="179" t="s">
        <v>151</v>
      </c>
    </row>
    <row r="6008" spans="1:13" ht="25.5">
      <c r="A6008" s="313" t="str">
        <f t="shared" si="93"/>
        <v>RunwayVisualRangeObsSiteCode_takeoff</v>
      </c>
      <c r="B6008" s="330"/>
      <c r="C6008" s="334"/>
      <c r="D6008" s="188" t="s">
        <v>29819</v>
      </c>
      <c r="E6008" s="189" t="s">
        <v>29820</v>
      </c>
      <c r="F6008" s="162" t="s">
        <v>29821</v>
      </c>
      <c r="G6008" s="162" t="s">
        <v>29822</v>
      </c>
      <c r="H6008" s="219"/>
      <c r="I6008" s="169">
        <v>116569</v>
      </c>
      <c r="J6008" s="304" t="str">
        <f>CONCATENATE([2]Cover!$D$6,"fdd/view?i=",I6008)</f>
        <v>https://www.dgiwg.org/FAD/fdd/view?i=116569</v>
      </c>
      <c r="K6008" s="304" t="s">
        <v>40057</v>
      </c>
      <c r="L6008" s="188">
        <v>3</v>
      </c>
      <c r="M6008" s="179" t="s">
        <v>151</v>
      </c>
    </row>
    <row r="6009" spans="1:13" ht="25.5">
      <c r="A6009" s="313" t="str">
        <f t="shared" si="93"/>
        <v>RunwayVisualRangeObsSiteCode_touchdown</v>
      </c>
      <c r="B6009" s="331"/>
      <c r="C6009" s="335"/>
      <c r="D6009" s="181" t="s">
        <v>29823</v>
      </c>
      <c r="E6009" s="192" t="s">
        <v>29824</v>
      </c>
      <c r="F6009" s="193" t="s">
        <v>29825</v>
      </c>
      <c r="G6009" s="193" t="s">
        <v>29826</v>
      </c>
      <c r="H6009" s="220"/>
      <c r="I6009" s="169">
        <v>116570</v>
      </c>
      <c r="J6009" s="304" t="str">
        <f>CONCATENATE([2]Cover!$D$6,"fdd/view?i=",I6009)</f>
        <v>https://www.dgiwg.org/FAD/fdd/view?i=116570</v>
      </c>
      <c r="K6009" s="304" t="s">
        <v>40058</v>
      </c>
      <c r="L6009" s="181">
        <v>1</v>
      </c>
      <c r="M6009" s="179" t="s">
        <v>151</v>
      </c>
    </row>
    <row r="6010" spans="1:13" ht="25.5">
      <c r="A6010" s="313" t="str">
        <f t="shared" si="93"/>
        <v>SandDuneTypeCode_crescent</v>
      </c>
      <c r="B6010" s="332" t="str">
        <f>HYPERLINK("[#]Datatypes!A1245:L1245","SandDuneTypeCode")</f>
        <v>SandDuneTypeCode</v>
      </c>
      <c r="C6010" s="333" t="s">
        <v>12859</v>
      </c>
      <c r="D6010" s="202" t="s">
        <v>29827</v>
      </c>
      <c r="E6010" s="203" t="s">
        <v>29828</v>
      </c>
      <c r="F6010" s="204" t="s">
        <v>29829</v>
      </c>
      <c r="G6010" s="205"/>
      <c r="H6010" s="222" t="s">
        <v>29830</v>
      </c>
      <c r="I6010" s="169">
        <v>109830</v>
      </c>
      <c r="J6010" s="304" t="str">
        <f>CONCATENATE([2]Cover!$D$6,"fdd/view?i=",I6010)</f>
        <v>https://www.dgiwg.org/FAD/fdd/view?i=109830</v>
      </c>
      <c r="K6010" s="304" t="s">
        <v>40059</v>
      </c>
      <c r="L6010" s="202">
        <v>1</v>
      </c>
      <c r="M6010" s="179" t="s">
        <v>151</v>
      </c>
    </row>
    <row r="6011" spans="1:13" ht="25.5">
      <c r="A6011" s="313" t="str">
        <f t="shared" si="93"/>
        <v>SandDuneTypeCode_dome</v>
      </c>
      <c r="B6011" s="330"/>
      <c r="C6011" s="334"/>
      <c r="D6011" s="188" t="s">
        <v>18410</v>
      </c>
      <c r="E6011" s="189" t="s">
        <v>18411</v>
      </c>
      <c r="F6011" s="162" t="s">
        <v>29831</v>
      </c>
      <c r="G6011" s="162" t="s">
        <v>29832</v>
      </c>
      <c r="H6011" s="221" t="s">
        <v>20873</v>
      </c>
      <c r="I6011" s="169">
        <v>109831</v>
      </c>
      <c r="J6011" s="304" t="str">
        <f>CONCATENATE([2]Cover!$D$6,"fdd/view?i=",I6011)</f>
        <v>https://www.dgiwg.org/FAD/fdd/view?i=109831</v>
      </c>
      <c r="K6011" s="304" t="s">
        <v>40060</v>
      </c>
      <c r="L6011" s="188">
        <v>2</v>
      </c>
      <c r="M6011" s="179" t="s">
        <v>151</v>
      </c>
    </row>
    <row r="6012" spans="1:13" ht="38.25">
      <c r="A6012" s="313" t="str">
        <f t="shared" si="93"/>
        <v>SandDuneTypeCode_domeTransverse</v>
      </c>
      <c r="B6012" s="330"/>
      <c r="C6012" s="334"/>
      <c r="D6012" s="188" t="s">
        <v>29833</v>
      </c>
      <c r="E6012" s="189" t="s">
        <v>29834</v>
      </c>
      <c r="F6012" s="162" t="s">
        <v>29835</v>
      </c>
      <c r="G6012" s="190"/>
      <c r="H6012" s="219"/>
      <c r="I6012" s="169">
        <v>110451</v>
      </c>
      <c r="J6012" s="304" t="str">
        <f>CONCATENATE([2]Cover!$D$6,"fdd/view?i=",I6012)</f>
        <v>https://www.dgiwg.org/FAD/fdd/view?i=110451</v>
      </c>
      <c r="K6012" s="304" t="s">
        <v>40061</v>
      </c>
      <c r="L6012" s="188">
        <v>8</v>
      </c>
      <c r="M6012" s="179" t="s">
        <v>151</v>
      </c>
    </row>
    <row r="6013" spans="1:13" ht="51">
      <c r="A6013" s="313" t="str">
        <f t="shared" si="93"/>
        <v>SandDuneTypeCode_linear</v>
      </c>
      <c r="B6013" s="330"/>
      <c r="C6013" s="334"/>
      <c r="D6013" s="188" t="s">
        <v>21160</v>
      </c>
      <c r="E6013" s="189" t="s">
        <v>21161</v>
      </c>
      <c r="F6013" s="162" t="s">
        <v>29836</v>
      </c>
      <c r="G6013" s="162" t="s">
        <v>29837</v>
      </c>
      <c r="H6013" s="219"/>
      <c r="I6013" s="169">
        <v>109833</v>
      </c>
      <c r="J6013" s="304" t="str">
        <f>CONCATENATE([2]Cover!$D$6,"fdd/view?i=",I6013)</f>
        <v>https://www.dgiwg.org/FAD/fdd/view?i=109833</v>
      </c>
      <c r="K6013" s="304" t="s">
        <v>40062</v>
      </c>
      <c r="L6013" s="188">
        <v>4</v>
      </c>
      <c r="M6013" s="179" t="s">
        <v>151</v>
      </c>
    </row>
    <row r="6014" spans="1:13" ht="38.25">
      <c r="A6014" s="313" t="str">
        <f t="shared" si="93"/>
        <v>SandDuneTypeCode_parabolic</v>
      </c>
      <c r="B6014" s="330"/>
      <c r="C6014" s="334"/>
      <c r="D6014" s="188" t="s">
        <v>29838</v>
      </c>
      <c r="E6014" s="189" t="s">
        <v>29839</v>
      </c>
      <c r="F6014" s="162" t="s">
        <v>29840</v>
      </c>
      <c r="G6014" s="162" t="s">
        <v>29841</v>
      </c>
      <c r="H6014" s="221" t="s">
        <v>29842</v>
      </c>
      <c r="I6014" s="169">
        <v>109834</v>
      </c>
      <c r="J6014" s="304" t="str">
        <f>CONCATENATE([2]Cover!$D$6,"fdd/view?i=",I6014)</f>
        <v>https://www.dgiwg.org/FAD/fdd/view?i=109834</v>
      </c>
      <c r="K6014" s="304" t="s">
        <v>40063</v>
      </c>
      <c r="L6014" s="188">
        <v>5</v>
      </c>
      <c r="M6014" s="179" t="s">
        <v>151</v>
      </c>
    </row>
    <row r="6015" spans="1:13" ht="25.5">
      <c r="A6015" s="313" t="str">
        <f t="shared" si="93"/>
        <v>SandDuneTypeCode_ripple</v>
      </c>
      <c r="B6015" s="330"/>
      <c r="C6015" s="334"/>
      <c r="D6015" s="188" t="s">
        <v>29843</v>
      </c>
      <c r="E6015" s="189" t="s">
        <v>29844</v>
      </c>
      <c r="F6015" s="162" t="s">
        <v>29845</v>
      </c>
      <c r="G6015" s="190"/>
      <c r="H6015" s="219"/>
      <c r="I6015" s="169">
        <v>109835</v>
      </c>
      <c r="J6015" s="304" t="str">
        <f>CONCATENATE([2]Cover!$D$6,"fdd/view?i=",I6015)</f>
        <v>https://www.dgiwg.org/FAD/fdd/view?i=109835</v>
      </c>
      <c r="K6015" s="304" t="s">
        <v>40064</v>
      </c>
      <c r="L6015" s="188">
        <v>6</v>
      </c>
      <c r="M6015" s="179" t="s">
        <v>151</v>
      </c>
    </row>
    <row r="6016" spans="1:13" ht="38.25">
      <c r="A6016" s="313" t="str">
        <f t="shared" si="93"/>
        <v>SandDuneTypeCode_star</v>
      </c>
      <c r="B6016" s="330"/>
      <c r="C6016" s="334"/>
      <c r="D6016" s="188" t="s">
        <v>29846</v>
      </c>
      <c r="E6016" s="189" t="s">
        <v>29847</v>
      </c>
      <c r="F6016" s="162" t="s">
        <v>29848</v>
      </c>
      <c r="G6016" s="162" t="s">
        <v>29849</v>
      </c>
      <c r="H6016" s="219"/>
      <c r="I6016" s="169">
        <v>109836</v>
      </c>
      <c r="J6016" s="304" t="str">
        <f>CONCATENATE([2]Cover!$D$6,"fdd/view?i=",I6016)</f>
        <v>https://www.dgiwg.org/FAD/fdd/view?i=109836</v>
      </c>
      <c r="K6016" s="304" t="s">
        <v>40065</v>
      </c>
      <c r="L6016" s="188">
        <v>7</v>
      </c>
      <c r="M6016" s="179" t="s">
        <v>151</v>
      </c>
    </row>
    <row r="6017" spans="1:13" ht="127.5">
      <c r="A6017" s="313" t="str">
        <f t="shared" si="93"/>
        <v>SandDuneTypeCode_transverse</v>
      </c>
      <c r="B6017" s="331"/>
      <c r="C6017" s="335"/>
      <c r="D6017" s="181" t="s">
        <v>29850</v>
      </c>
      <c r="E6017" s="192" t="s">
        <v>29851</v>
      </c>
      <c r="F6017" s="193" t="s">
        <v>29852</v>
      </c>
      <c r="G6017" s="193" t="s">
        <v>29853</v>
      </c>
      <c r="H6017" s="223" t="s">
        <v>29854</v>
      </c>
      <c r="I6017" s="169">
        <v>109832</v>
      </c>
      <c r="J6017" s="304" t="str">
        <f>CONCATENATE([2]Cover!$D$6,"fdd/view?i=",I6017)</f>
        <v>https://www.dgiwg.org/FAD/fdd/view?i=109832</v>
      </c>
      <c r="K6017" s="304" t="s">
        <v>40066</v>
      </c>
      <c r="L6017" s="181">
        <v>3</v>
      </c>
      <c r="M6017" s="179" t="s">
        <v>151</v>
      </c>
    </row>
    <row r="6018" spans="1:13" ht="51">
      <c r="A6018" s="313" t="str">
        <f t="shared" si="93"/>
        <v>SatelliteBasedAugSystemCode_europeanGeoNavOverlayServ</v>
      </c>
      <c r="B6018" s="332" t="str">
        <f>HYPERLINK("[#]Datatypes!A1249:L1249","SatelliteBasedAugSystemCode")</f>
        <v>SatelliteBasedAugSystemCode</v>
      </c>
      <c r="C6018" s="333" t="s">
        <v>12864</v>
      </c>
      <c r="D6018" s="202" t="s">
        <v>29855</v>
      </c>
      <c r="E6018" s="203" t="s">
        <v>29856</v>
      </c>
      <c r="F6018" s="204" t="s">
        <v>29857</v>
      </c>
      <c r="G6018" s="205"/>
      <c r="H6018" s="218"/>
      <c r="I6018" s="169">
        <v>116578</v>
      </c>
      <c r="J6018" s="304" t="str">
        <f>CONCATENATE([2]Cover!$D$6,"fdd/view?i=",I6018)</f>
        <v>https://www.dgiwg.org/FAD/fdd/view?i=116578</v>
      </c>
      <c r="K6018" s="304" t="s">
        <v>40067</v>
      </c>
      <c r="L6018" s="202">
        <v>1</v>
      </c>
      <c r="M6018" s="179" t="s">
        <v>151</v>
      </c>
    </row>
    <row r="6019" spans="1:13" ht="102">
      <c r="A6019" s="313" t="str">
        <f t="shared" ref="A6019:A6082" si="94">HYPERLINK(J6019,K6019)</f>
        <v>SatelliteBasedAugSystemCode_localAreaAugmentSystem</v>
      </c>
      <c r="B6019" s="330"/>
      <c r="C6019" s="334"/>
      <c r="D6019" s="188" t="s">
        <v>29858</v>
      </c>
      <c r="E6019" s="189" t="s">
        <v>29859</v>
      </c>
      <c r="F6019" s="162" t="s">
        <v>29860</v>
      </c>
      <c r="G6019" s="162" t="s">
        <v>29861</v>
      </c>
      <c r="H6019" s="219"/>
      <c r="I6019" s="169">
        <v>116581</v>
      </c>
      <c r="J6019" s="304" t="str">
        <f>CONCATENATE([2]Cover!$D$6,"fdd/view?i=",I6019)</f>
        <v>https://www.dgiwg.org/FAD/fdd/view?i=116581</v>
      </c>
      <c r="K6019" s="304" t="s">
        <v>40068</v>
      </c>
      <c r="L6019" s="188">
        <v>4</v>
      </c>
      <c r="M6019" s="179" t="s">
        <v>151</v>
      </c>
    </row>
    <row r="6020" spans="1:13" ht="51">
      <c r="A6020" s="313" t="str">
        <f t="shared" si="94"/>
        <v>SatelliteBasedAugSystemCode_multiFuncTransSatAugSys</v>
      </c>
      <c r="B6020" s="330"/>
      <c r="C6020" s="334"/>
      <c r="D6020" s="188" t="s">
        <v>29862</v>
      </c>
      <c r="E6020" s="189" t="s">
        <v>29863</v>
      </c>
      <c r="F6020" s="162" t="s">
        <v>29864</v>
      </c>
      <c r="G6020" s="190"/>
      <c r="H6020" s="219"/>
      <c r="I6020" s="169">
        <v>116579</v>
      </c>
      <c r="J6020" s="304" t="str">
        <f>CONCATENATE([2]Cover!$D$6,"fdd/view?i=",I6020)</f>
        <v>https://www.dgiwg.org/FAD/fdd/view?i=116579</v>
      </c>
      <c r="K6020" s="304" t="s">
        <v>40069</v>
      </c>
      <c r="L6020" s="188">
        <v>2</v>
      </c>
      <c r="M6020" s="179" t="s">
        <v>151</v>
      </c>
    </row>
    <row r="6021" spans="1:13" ht="178.5">
      <c r="A6021" s="313" t="str">
        <f t="shared" si="94"/>
        <v>SatelliteBasedAugSystemCode_wideAreaAugmentSystem</v>
      </c>
      <c r="B6021" s="331"/>
      <c r="C6021" s="335"/>
      <c r="D6021" s="181" t="s">
        <v>29865</v>
      </c>
      <c r="E6021" s="192" t="s">
        <v>29866</v>
      </c>
      <c r="F6021" s="193" t="s">
        <v>29867</v>
      </c>
      <c r="G6021" s="193" t="s">
        <v>29868</v>
      </c>
      <c r="H6021" s="220"/>
      <c r="I6021" s="169">
        <v>116580</v>
      </c>
      <c r="J6021" s="304" t="str">
        <f>CONCATENATE([2]Cover!$D$6,"fdd/view?i=",I6021)</f>
        <v>https://www.dgiwg.org/FAD/fdd/view?i=116580</v>
      </c>
      <c r="K6021" s="304" t="s">
        <v>40070</v>
      </c>
      <c r="L6021" s="181">
        <v>3</v>
      </c>
      <c r="M6021" s="179" t="s">
        <v>151</v>
      </c>
    </row>
    <row r="6022" spans="1:13" ht="38.25">
      <c r="A6022" s="313" t="str">
        <f t="shared" si="94"/>
        <v>SeasonCode_autumn</v>
      </c>
      <c r="B6022" s="332" t="str">
        <f>HYPERLINK("[#]Datatypes!A1255:L1255","SeasonCode")</f>
        <v>SeasonCode</v>
      </c>
      <c r="C6022" s="333" t="s">
        <v>12871</v>
      </c>
      <c r="D6022" s="202" t="s">
        <v>27755</v>
      </c>
      <c r="E6022" s="203" t="s">
        <v>27756</v>
      </c>
      <c r="F6022" s="204" t="s">
        <v>27757</v>
      </c>
      <c r="G6022" s="204" t="s">
        <v>27758</v>
      </c>
      <c r="H6022" s="218"/>
      <c r="I6022" s="169">
        <v>206270</v>
      </c>
      <c r="J6022" s="304" t="str">
        <f>CONCATENATE([2]Cover!$D$6,"fdd/view?i=",I6022)</f>
        <v>https://www.dgiwg.org/FAD/fdd/view?i=206270</v>
      </c>
      <c r="K6022" s="304" t="s">
        <v>40071</v>
      </c>
      <c r="L6022" s="202">
        <v>4</v>
      </c>
      <c r="M6022" s="179" t="s">
        <v>1295</v>
      </c>
    </row>
    <row r="6023" spans="1:13" ht="25.5">
      <c r="A6023" s="313" t="str">
        <f t="shared" si="94"/>
        <v>SeasonCode_dry</v>
      </c>
      <c r="B6023" s="330"/>
      <c r="C6023" s="334"/>
      <c r="D6023" s="188" t="s">
        <v>23622</v>
      </c>
      <c r="E6023" s="189" t="s">
        <v>23623</v>
      </c>
      <c r="F6023" s="162" t="s">
        <v>29869</v>
      </c>
      <c r="G6023" s="190"/>
      <c r="H6023" s="219"/>
      <c r="I6023" s="169">
        <v>206271</v>
      </c>
      <c r="J6023" s="304" t="str">
        <f>CONCATENATE([2]Cover!$D$6,"fdd/view?i=",I6023)</f>
        <v>https://www.dgiwg.org/FAD/fdd/view?i=206271</v>
      </c>
      <c r="K6023" s="304" t="s">
        <v>40072</v>
      </c>
      <c r="L6023" s="188">
        <v>5</v>
      </c>
      <c r="M6023" s="179" t="s">
        <v>1295</v>
      </c>
    </row>
    <row r="6024" spans="1:13" ht="25.5">
      <c r="A6024" s="313" t="str">
        <f t="shared" si="94"/>
        <v>SeasonCode_monsoonal</v>
      </c>
      <c r="B6024" s="330"/>
      <c r="C6024" s="334"/>
      <c r="D6024" s="188" t="s">
        <v>29870</v>
      </c>
      <c r="E6024" s="189" t="s">
        <v>29871</v>
      </c>
      <c r="F6024" s="162" t="s">
        <v>29872</v>
      </c>
      <c r="G6024" s="190"/>
      <c r="H6024" s="219"/>
      <c r="I6024" s="169">
        <v>206273</v>
      </c>
      <c r="J6024" s="304" t="str">
        <f>CONCATENATE([2]Cover!$D$6,"fdd/view?i=",I6024)</f>
        <v>https://www.dgiwg.org/FAD/fdd/view?i=206273</v>
      </c>
      <c r="K6024" s="304" t="s">
        <v>40073</v>
      </c>
      <c r="L6024" s="188">
        <v>7</v>
      </c>
      <c r="M6024" s="179" t="s">
        <v>1295</v>
      </c>
    </row>
    <row r="6025" spans="1:13">
      <c r="A6025" s="313" t="str">
        <f t="shared" si="94"/>
        <v>SeasonCode_nonSeasonal</v>
      </c>
      <c r="B6025" s="330"/>
      <c r="C6025" s="334"/>
      <c r="D6025" s="188" t="s">
        <v>29873</v>
      </c>
      <c r="E6025" s="189" t="s">
        <v>29874</v>
      </c>
      <c r="F6025" s="162" t="s">
        <v>29875</v>
      </c>
      <c r="G6025" s="190"/>
      <c r="H6025" s="219"/>
      <c r="I6025" s="169">
        <v>206274</v>
      </c>
      <c r="J6025" s="304" t="str">
        <f>CONCATENATE([2]Cover!$D$6,"fdd/view?i=",I6025)</f>
        <v>https://www.dgiwg.org/FAD/fdd/view?i=206274</v>
      </c>
      <c r="K6025" s="304" t="s">
        <v>40074</v>
      </c>
      <c r="L6025" s="188">
        <v>8</v>
      </c>
      <c r="M6025" s="179" t="s">
        <v>1295</v>
      </c>
    </row>
    <row r="6026" spans="1:13" ht="25.5">
      <c r="A6026" s="313" t="str">
        <f t="shared" si="94"/>
        <v>SeasonCode_rainy</v>
      </c>
      <c r="B6026" s="330"/>
      <c r="C6026" s="334"/>
      <c r="D6026" s="188" t="s">
        <v>29876</v>
      </c>
      <c r="E6026" s="189" t="s">
        <v>29877</v>
      </c>
      <c r="F6026" s="162" t="s">
        <v>29878</v>
      </c>
      <c r="G6026" s="190"/>
      <c r="H6026" s="219"/>
      <c r="I6026" s="169">
        <v>206272</v>
      </c>
      <c r="J6026" s="304" t="str">
        <f>CONCATENATE([2]Cover!$D$6,"fdd/view?i=",I6026)</f>
        <v>https://www.dgiwg.org/FAD/fdd/view?i=206272</v>
      </c>
      <c r="K6026" s="304" t="s">
        <v>40075</v>
      </c>
      <c r="L6026" s="188">
        <v>6</v>
      </c>
      <c r="M6026" s="179" t="s">
        <v>1295</v>
      </c>
    </row>
    <row r="6027" spans="1:13" ht="38.25">
      <c r="A6027" s="313" t="str">
        <f t="shared" si="94"/>
        <v>SeasonCode_spring</v>
      </c>
      <c r="B6027" s="330"/>
      <c r="C6027" s="334"/>
      <c r="D6027" s="188" t="s">
        <v>27291</v>
      </c>
      <c r="E6027" s="189" t="s">
        <v>27292</v>
      </c>
      <c r="F6027" s="162" t="s">
        <v>27759</v>
      </c>
      <c r="G6027" s="162" t="s">
        <v>27760</v>
      </c>
      <c r="H6027" s="219"/>
      <c r="I6027" s="169">
        <v>206269</v>
      </c>
      <c r="J6027" s="304" t="str">
        <f>CONCATENATE([2]Cover!$D$6,"fdd/view?i=",I6027)</f>
        <v>https://www.dgiwg.org/FAD/fdd/view?i=206269</v>
      </c>
      <c r="K6027" s="304" t="s">
        <v>40076</v>
      </c>
      <c r="L6027" s="188">
        <v>3</v>
      </c>
      <c r="M6027" s="179" t="s">
        <v>1295</v>
      </c>
    </row>
    <row r="6028" spans="1:13" ht="38.25">
      <c r="A6028" s="313" t="str">
        <f t="shared" si="94"/>
        <v>SeasonCode_summer</v>
      </c>
      <c r="B6028" s="330"/>
      <c r="C6028" s="334"/>
      <c r="D6028" s="188" t="s">
        <v>27761</v>
      </c>
      <c r="E6028" s="189" t="s">
        <v>27762</v>
      </c>
      <c r="F6028" s="162" t="s">
        <v>27763</v>
      </c>
      <c r="G6028" s="162" t="s">
        <v>27764</v>
      </c>
      <c r="H6028" s="219"/>
      <c r="I6028" s="169">
        <v>206268</v>
      </c>
      <c r="J6028" s="304" t="str">
        <f>CONCATENATE([2]Cover!$D$6,"fdd/view?i=",I6028)</f>
        <v>https://www.dgiwg.org/FAD/fdd/view?i=206268</v>
      </c>
      <c r="K6028" s="304" t="s">
        <v>40077</v>
      </c>
      <c r="L6028" s="188">
        <v>2</v>
      </c>
      <c r="M6028" s="179" t="s">
        <v>1295</v>
      </c>
    </row>
    <row r="6029" spans="1:13" ht="38.25">
      <c r="A6029" s="313" t="str">
        <f t="shared" si="94"/>
        <v>SeasonCode_winter</v>
      </c>
      <c r="B6029" s="331"/>
      <c r="C6029" s="335"/>
      <c r="D6029" s="181" t="s">
        <v>27765</v>
      </c>
      <c r="E6029" s="192" t="s">
        <v>27766</v>
      </c>
      <c r="F6029" s="193" t="s">
        <v>27767</v>
      </c>
      <c r="G6029" s="193" t="s">
        <v>27768</v>
      </c>
      <c r="H6029" s="220"/>
      <c r="I6029" s="169">
        <v>206267</v>
      </c>
      <c r="J6029" s="304" t="str">
        <f>CONCATENATE([2]Cover!$D$6,"fdd/view?i=",I6029)</f>
        <v>https://www.dgiwg.org/FAD/fdd/view?i=206267</v>
      </c>
      <c r="K6029" s="304" t="s">
        <v>40078</v>
      </c>
      <c r="L6029" s="181">
        <v>1</v>
      </c>
      <c r="M6029" s="179" t="s">
        <v>1295</v>
      </c>
    </row>
    <row r="6030" spans="1:13" ht="25.5">
      <c r="A6030" s="313" t="str">
        <f t="shared" si="94"/>
        <v>SecondaryControlAuthorityCode_civilian</v>
      </c>
      <c r="B6030" s="332" t="str">
        <f>HYPERLINK("[#]Datatypes!A1259:L1259","SecondaryControlAuthorityCode")</f>
        <v>SecondaryControlAuthorityCode</v>
      </c>
      <c r="C6030" s="333" t="s">
        <v>12875</v>
      </c>
      <c r="D6030" s="202" t="s">
        <v>16853</v>
      </c>
      <c r="E6030" s="203" t="s">
        <v>16854</v>
      </c>
      <c r="F6030" s="204" t="s">
        <v>19343</v>
      </c>
      <c r="G6030" s="205"/>
      <c r="H6030" s="218"/>
      <c r="I6030" s="169">
        <v>207761</v>
      </c>
      <c r="J6030" s="304" t="str">
        <f>CONCATENATE([2]Cover!$D$6,"fdd/view?i=",I6030)</f>
        <v>https://www.dgiwg.org/FAD/fdd/view?i=207761</v>
      </c>
      <c r="K6030" s="304" t="s">
        <v>40079</v>
      </c>
      <c r="L6030" s="202">
        <v>16</v>
      </c>
      <c r="M6030" s="179" t="s">
        <v>1295</v>
      </c>
    </row>
    <row r="6031" spans="1:13" ht="25.5">
      <c r="A6031" s="313" t="str">
        <f t="shared" si="94"/>
        <v>SecondaryControlAuthorityCode_jointMilitaryCivilian</v>
      </c>
      <c r="B6031" s="330"/>
      <c r="C6031" s="334"/>
      <c r="D6031" s="188" t="s">
        <v>19346</v>
      </c>
      <c r="E6031" s="189" t="s">
        <v>19347</v>
      </c>
      <c r="F6031" s="162" t="s">
        <v>19348</v>
      </c>
      <c r="G6031" s="162" t="s">
        <v>19349</v>
      </c>
      <c r="H6031" s="219"/>
      <c r="I6031" s="169">
        <v>207760</v>
      </c>
      <c r="J6031" s="304" t="str">
        <f>CONCATENATE([2]Cover!$D$6,"fdd/view?i=",I6031)</f>
        <v>https://www.dgiwg.org/FAD/fdd/view?i=207760</v>
      </c>
      <c r="K6031" s="304" t="s">
        <v>40080</v>
      </c>
      <c r="L6031" s="188">
        <v>7</v>
      </c>
      <c r="M6031" s="179" t="s">
        <v>1295</v>
      </c>
    </row>
    <row r="6032" spans="1:13" ht="25.5">
      <c r="A6032" s="313" t="str">
        <f t="shared" si="94"/>
        <v>SecondaryControlAuthorityCode_military</v>
      </c>
      <c r="B6032" s="330"/>
      <c r="C6032" s="334"/>
      <c r="D6032" s="188" t="s">
        <v>15601</v>
      </c>
      <c r="E6032" s="189" t="s">
        <v>15602</v>
      </c>
      <c r="F6032" s="162" t="s">
        <v>19350</v>
      </c>
      <c r="G6032" s="190"/>
      <c r="H6032" s="219"/>
      <c r="I6032" s="169">
        <v>207759</v>
      </c>
      <c r="J6032" s="304" t="str">
        <f>CONCATENATE([2]Cover!$D$6,"fdd/view?i=",I6032)</f>
        <v>https://www.dgiwg.org/FAD/fdd/view?i=207759</v>
      </c>
      <c r="K6032" s="304" t="s">
        <v>40081</v>
      </c>
      <c r="L6032" s="188">
        <v>5</v>
      </c>
      <c r="M6032" s="179" t="s">
        <v>1295</v>
      </c>
    </row>
    <row r="6033" spans="1:13" ht="25.5">
      <c r="A6033" s="313" t="str">
        <f t="shared" si="94"/>
        <v>SecondaryControlAuthorityCode_private</v>
      </c>
      <c r="B6033" s="330"/>
      <c r="C6033" s="334"/>
      <c r="D6033" s="188" t="s">
        <v>15756</v>
      </c>
      <c r="E6033" s="189" t="s">
        <v>15757</v>
      </c>
      <c r="F6033" s="162" t="s">
        <v>19355</v>
      </c>
      <c r="G6033" s="190"/>
      <c r="H6033" s="219"/>
      <c r="I6033" s="169">
        <v>207758</v>
      </c>
      <c r="J6033" s="304" t="str">
        <f>CONCATENATE([2]Cover!$D$6,"fdd/view?i=",I6033)</f>
        <v>https://www.dgiwg.org/FAD/fdd/view?i=207758</v>
      </c>
      <c r="K6033" s="304" t="s">
        <v>40082</v>
      </c>
      <c r="L6033" s="188">
        <v>3</v>
      </c>
      <c r="M6033" s="179" t="s">
        <v>1295</v>
      </c>
    </row>
    <row r="6034" spans="1:13" ht="25.5">
      <c r="A6034" s="313" t="str">
        <f t="shared" si="94"/>
        <v>SecondaryControlAuthorityCode_public</v>
      </c>
      <c r="B6034" s="331"/>
      <c r="C6034" s="335"/>
      <c r="D6034" s="181" t="s">
        <v>19360</v>
      </c>
      <c r="E6034" s="192" t="s">
        <v>19361</v>
      </c>
      <c r="F6034" s="193" t="s">
        <v>19362</v>
      </c>
      <c r="G6034" s="194"/>
      <c r="H6034" s="220"/>
      <c r="I6034" s="169">
        <v>207762</v>
      </c>
      <c r="J6034" s="304" t="str">
        <f>CONCATENATE([2]Cover!$D$6,"fdd/view?i=",I6034)</f>
        <v>https://www.dgiwg.org/FAD/fdd/view?i=207762</v>
      </c>
      <c r="K6034" s="304" t="s">
        <v>40083</v>
      </c>
      <c r="L6034" s="181">
        <v>17</v>
      </c>
      <c r="M6034" s="179" t="s">
        <v>1295</v>
      </c>
    </row>
    <row r="6035" spans="1:13">
      <c r="A6035" s="313" t="str">
        <f t="shared" si="94"/>
        <v>SedimentColourCode_black</v>
      </c>
      <c r="B6035" s="332" t="str">
        <f>HYPERLINK("[#]Datatypes!A1263:L1263","SedimentColourCode")</f>
        <v>SedimentColourCode</v>
      </c>
      <c r="C6035" s="333" t="s">
        <v>12880</v>
      </c>
      <c r="D6035" s="202" t="s">
        <v>27627</v>
      </c>
      <c r="E6035" s="203" t="s">
        <v>27628</v>
      </c>
      <c r="F6035" s="204" t="s">
        <v>29879</v>
      </c>
      <c r="G6035" s="205"/>
      <c r="H6035" s="218"/>
      <c r="I6035" s="169">
        <v>110888</v>
      </c>
      <c r="J6035" s="304" t="str">
        <f>CONCATENATE([2]Cover!$D$6,"fdd/view?i=",I6035)</f>
        <v>https://www.dgiwg.org/FAD/fdd/view?i=110888</v>
      </c>
      <c r="K6035" s="304" t="s">
        <v>40084</v>
      </c>
      <c r="L6035" s="202">
        <v>49</v>
      </c>
      <c r="M6035" s="179" t="s">
        <v>151</v>
      </c>
    </row>
    <row r="6036" spans="1:13">
      <c r="A6036" s="313" t="str">
        <f t="shared" si="94"/>
        <v>SedimentColourCode_brilliantGreen</v>
      </c>
      <c r="B6036" s="330"/>
      <c r="C6036" s="334"/>
      <c r="D6036" s="188" t="s">
        <v>29880</v>
      </c>
      <c r="E6036" s="189" t="s">
        <v>29881</v>
      </c>
      <c r="F6036" s="162" t="s">
        <v>29882</v>
      </c>
      <c r="G6036" s="190"/>
      <c r="H6036" s="219"/>
      <c r="I6036" s="169">
        <v>110432</v>
      </c>
      <c r="J6036" s="304" t="str">
        <f>CONCATENATE([2]Cover!$D$6,"fdd/view?i=",I6036)</f>
        <v>https://www.dgiwg.org/FAD/fdd/view?i=110432</v>
      </c>
      <c r="K6036" s="304" t="s">
        <v>40085</v>
      </c>
      <c r="L6036" s="188">
        <v>27</v>
      </c>
      <c r="M6036" s="179" t="s">
        <v>151</v>
      </c>
    </row>
    <row r="6037" spans="1:13" ht="25.5">
      <c r="A6037" s="313" t="str">
        <f t="shared" si="94"/>
        <v>SedimentColourCode_darkGreenishYellow</v>
      </c>
      <c r="B6037" s="330"/>
      <c r="C6037" s="334"/>
      <c r="D6037" s="188" t="s">
        <v>29883</v>
      </c>
      <c r="E6037" s="189" t="s">
        <v>29884</v>
      </c>
      <c r="F6037" s="162" t="s">
        <v>29885</v>
      </c>
      <c r="G6037" s="190"/>
      <c r="H6037" s="219"/>
      <c r="I6037" s="169">
        <v>110426</v>
      </c>
      <c r="J6037" s="304" t="str">
        <f>CONCATENATE([2]Cover!$D$6,"fdd/view?i=",I6037)</f>
        <v>https://www.dgiwg.org/FAD/fdd/view?i=110426</v>
      </c>
      <c r="K6037" s="304" t="s">
        <v>40086</v>
      </c>
      <c r="L6037" s="188">
        <v>21</v>
      </c>
      <c r="M6037" s="179" t="s">
        <v>151</v>
      </c>
    </row>
    <row r="6038" spans="1:13" ht="25.5">
      <c r="A6038" s="313" t="str">
        <f t="shared" si="94"/>
        <v>SedimentColourCode_darkReddishBrown</v>
      </c>
      <c r="B6038" s="330"/>
      <c r="C6038" s="334"/>
      <c r="D6038" s="188" t="s">
        <v>29886</v>
      </c>
      <c r="E6038" s="189" t="s">
        <v>29887</v>
      </c>
      <c r="F6038" s="162" t="s">
        <v>29888</v>
      </c>
      <c r="G6038" s="190"/>
      <c r="H6038" s="219"/>
      <c r="I6038" s="169">
        <v>110415</v>
      </c>
      <c r="J6038" s="304" t="str">
        <f>CONCATENATE([2]Cover!$D$6,"fdd/view?i=",I6038)</f>
        <v>https://www.dgiwg.org/FAD/fdd/view?i=110415</v>
      </c>
      <c r="K6038" s="304" t="s">
        <v>40087</v>
      </c>
      <c r="L6038" s="188">
        <v>10</v>
      </c>
      <c r="M6038" s="179" t="s">
        <v>151</v>
      </c>
    </row>
    <row r="6039" spans="1:13" ht="25.5">
      <c r="A6039" s="313" t="str">
        <f t="shared" si="94"/>
        <v>SedimentColourCode_darkYellowishGreen</v>
      </c>
      <c r="B6039" s="330"/>
      <c r="C6039" s="334"/>
      <c r="D6039" s="188" t="s">
        <v>29889</v>
      </c>
      <c r="E6039" s="189" t="s">
        <v>29890</v>
      </c>
      <c r="F6039" s="162" t="s">
        <v>29891</v>
      </c>
      <c r="G6039" s="190"/>
      <c r="H6039" s="219"/>
      <c r="I6039" s="169">
        <v>110410</v>
      </c>
      <c r="J6039" s="304" t="str">
        <f>CONCATENATE([2]Cover!$D$6,"fdd/view?i=",I6039)</f>
        <v>https://www.dgiwg.org/FAD/fdd/view?i=110410</v>
      </c>
      <c r="K6039" s="304" t="s">
        <v>40088</v>
      </c>
      <c r="L6039" s="188">
        <v>5</v>
      </c>
      <c r="M6039" s="179" t="s">
        <v>151</v>
      </c>
    </row>
    <row r="6040" spans="1:13" ht="25.5">
      <c r="A6040" s="313" t="str">
        <f t="shared" si="94"/>
        <v>SedimentColourCode_duskyBlueGreen</v>
      </c>
      <c r="B6040" s="330"/>
      <c r="C6040" s="334"/>
      <c r="D6040" s="188" t="s">
        <v>29892</v>
      </c>
      <c r="E6040" s="189" t="s">
        <v>29893</v>
      </c>
      <c r="F6040" s="162" t="s">
        <v>29894</v>
      </c>
      <c r="G6040" s="190"/>
      <c r="H6040" s="219"/>
      <c r="I6040" s="169">
        <v>110885</v>
      </c>
      <c r="J6040" s="304" t="str">
        <f>CONCATENATE([2]Cover!$D$6,"fdd/view?i=",I6040)</f>
        <v>https://www.dgiwg.org/FAD/fdd/view?i=110885</v>
      </c>
      <c r="K6040" s="304" t="s">
        <v>40089</v>
      </c>
      <c r="L6040" s="188">
        <v>46</v>
      </c>
      <c r="M6040" s="179" t="s">
        <v>151</v>
      </c>
    </row>
    <row r="6041" spans="1:13">
      <c r="A6041" s="313" t="str">
        <f t="shared" si="94"/>
        <v>SedimentColourCode_duskyGreen</v>
      </c>
      <c r="B6041" s="330"/>
      <c r="C6041" s="334"/>
      <c r="D6041" s="188" t="s">
        <v>29895</v>
      </c>
      <c r="E6041" s="189" t="s">
        <v>29896</v>
      </c>
      <c r="F6041" s="162" t="s">
        <v>29897</v>
      </c>
      <c r="G6041" s="190"/>
      <c r="H6041" s="219"/>
      <c r="I6041" s="169">
        <v>110429</v>
      </c>
      <c r="J6041" s="304" t="str">
        <f>CONCATENATE([2]Cover!$D$6,"fdd/view?i=",I6041)</f>
        <v>https://www.dgiwg.org/FAD/fdd/view?i=110429</v>
      </c>
      <c r="K6041" s="304" t="s">
        <v>40090</v>
      </c>
      <c r="L6041" s="188">
        <v>24</v>
      </c>
      <c r="M6041" s="179" t="s">
        <v>151</v>
      </c>
    </row>
    <row r="6042" spans="1:13">
      <c r="A6042" s="313" t="str">
        <f t="shared" si="94"/>
        <v>SedimentColourCode_duskyRed</v>
      </c>
      <c r="B6042" s="330"/>
      <c r="C6042" s="334"/>
      <c r="D6042" s="188" t="s">
        <v>29898</v>
      </c>
      <c r="E6042" s="189" t="s">
        <v>29899</v>
      </c>
      <c r="F6042" s="162" t="s">
        <v>29900</v>
      </c>
      <c r="G6042" s="190"/>
      <c r="H6042" s="219"/>
      <c r="I6042" s="169">
        <v>110439</v>
      </c>
      <c r="J6042" s="304" t="str">
        <f>CONCATENATE([2]Cover!$D$6,"fdd/view?i=",I6042)</f>
        <v>https://www.dgiwg.org/FAD/fdd/view?i=110439</v>
      </c>
      <c r="K6042" s="304" t="s">
        <v>40091</v>
      </c>
      <c r="L6042" s="188">
        <v>34</v>
      </c>
      <c r="M6042" s="179" t="s">
        <v>151</v>
      </c>
    </row>
    <row r="6043" spans="1:13">
      <c r="A6043" s="313" t="str">
        <f t="shared" si="94"/>
        <v>SedimentColourCode_duskyYellow</v>
      </c>
      <c r="B6043" s="330"/>
      <c r="C6043" s="334"/>
      <c r="D6043" s="188" t="s">
        <v>29901</v>
      </c>
      <c r="E6043" s="189" t="s">
        <v>29902</v>
      </c>
      <c r="F6043" s="162" t="s">
        <v>29903</v>
      </c>
      <c r="G6043" s="190"/>
      <c r="H6043" s="219"/>
      <c r="I6043" s="169">
        <v>110448</v>
      </c>
      <c r="J6043" s="304" t="str">
        <f>CONCATENATE([2]Cover!$D$6,"fdd/view?i=",I6043)</f>
        <v>https://www.dgiwg.org/FAD/fdd/view?i=110448</v>
      </c>
      <c r="K6043" s="304" t="s">
        <v>40092</v>
      </c>
      <c r="L6043" s="188">
        <v>43</v>
      </c>
      <c r="M6043" s="179" t="s">
        <v>151</v>
      </c>
    </row>
    <row r="6044" spans="1:13" ht="25.5">
      <c r="A6044" s="313" t="str">
        <f t="shared" si="94"/>
        <v>SedimentColourCode_duskyYellowishGreen</v>
      </c>
      <c r="B6044" s="330"/>
      <c r="C6044" s="334"/>
      <c r="D6044" s="188" t="s">
        <v>29904</v>
      </c>
      <c r="E6044" s="189" t="s">
        <v>29905</v>
      </c>
      <c r="F6044" s="162" t="s">
        <v>29906</v>
      </c>
      <c r="G6044" s="190"/>
      <c r="H6044" s="219"/>
      <c r="I6044" s="169">
        <v>110409</v>
      </c>
      <c r="J6044" s="304" t="str">
        <f>CONCATENATE([2]Cover!$D$6,"fdd/view?i=",I6044)</f>
        <v>https://www.dgiwg.org/FAD/fdd/view?i=110409</v>
      </c>
      <c r="K6044" s="304" t="s">
        <v>40093</v>
      </c>
      <c r="L6044" s="188">
        <v>4</v>
      </c>
      <c r="M6044" s="179" t="s">
        <v>151</v>
      </c>
    </row>
    <row r="6045" spans="1:13" ht="25.5">
      <c r="A6045" s="313" t="str">
        <f t="shared" si="94"/>
        <v>SedimentColourCode_grayishGreen</v>
      </c>
      <c r="B6045" s="330"/>
      <c r="C6045" s="334"/>
      <c r="D6045" s="188" t="s">
        <v>29907</v>
      </c>
      <c r="E6045" s="189" t="s">
        <v>29908</v>
      </c>
      <c r="F6045" s="162" t="s">
        <v>29909</v>
      </c>
      <c r="G6045" s="190"/>
      <c r="H6045" s="219"/>
      <c r="I6045" s="169">
        <v>110406</v>
      </c>
      <c r="J6045" s="304" t="str">
        <f>CONCATENATE([2]Cover!$D$6,"fdd/view?i=",I6045)</f>
        <v>https://www.dgiwg.org/FAD/fdd/view?i=110406</v>
      </c>
      <c r="K6045" s="304" t="s">
        <v>40094</v>
      </c>
      <c r="L6045" s="188">
        <v>1</v>
      </c>
      <c r="M6045" s="179" t="s">
        <v>151</v>
      </c>
    </row>
    <row r="6046" spans="1:13" ht="25.5">
      <c r="A6046" s="313" t="str">
        <f t="shared" si="94"/>
        <v>SedimentColourCode_grayishOrangePink</v>
      </c>
      <c r="B6046" s="330"/>
      <c r="C6046" s="334"/>
      <c r="D6046" s="188" t="s">
        <v>29910</v>
      </c>
      <c r="E6046" s="189" t="s">
        <v>29911</v>
      </c>
      <c r="F6046" s="162" t="s">
        <v>29912</v>
      </c>
      <c r="G6046" s="190"/>
      <c r="H6046" s="219"/>
      <c r="I6046" s="169">
        <v>110422</v>
      </c>
      <c r="J6046" s="304" t="str">
        <f>CONCATENATE([2]Cover!$D$6,"fdd/view?i=",I6046)</f>
        <v>https://www.dgiwg.org/FAD/fdd/view?i=110422</v>
      </c>
      <c r="K6046" s="304" t="s">
        <v>40095</v>
      </c>
      <c r="L6046" s="188">
        <v>17</v>
      </c>
      <c r="M6046" s="179" t="s">
        <v>151</v>
      </c>
    </row>
    <row r="6047" spans="1:13">
      <c r="A6047" s="313" t="str">
        <f t="shared" si="94"/>
        <v>SedimentColourCode_grayishRed</v>
      </c>
      <c r="B6047" s="330"/>
      <c r="C6047" s="334"/>
      <c r="D6047" s="188" t="s">
        <v>29913</v>
      </c>
      <c r="E6047" s="189" t="s">
        <v>29914</v>
      </c>
      <c r="F6047" s="162" t="s">
        <v>29915</v>
      </c>
      <c r="G6047" s="190"/>
      <c r="H6047" s="219"/>
      <c r="I6047" s="169">
        <v>110416</v>
      </c>
      <c r="J6047" s="304" t="str">
        <f>CONCATENATE([2]Cover!$D$6,"fdd/view?i=",I6047)</f>
        <v>https://www.dgiwg.org/FAD/fdd/view?i=110416</v>
      </c>
      <c r="K6047" s="304" t="s">
        <v>40096</v>
      </c>
      <c r="L6047" s="188">
        <v>11</v>
      </c>
      <c r="M6047" s="179" t="s">
        <v>151</v>
      </c>
    </row>
    <row r="6048" spans="1:13" ht="25.5">
      <c r="A6048" s="313" t="str">
        <f t="shared" si="94"/>
        <v>SedimentColourCode_grayishYellow</v>
      </c>
      <c r="B6048" s="330"/>
      <c r="C6048" s="334"/>
      <c r="D6048" s="188" t="s">
        <v>29916</v>
      </c>
      <c r="E6048" s="189" t="s">
        <v>29917</v>
      </c>
      <c r="F6048" s="162" t="s">
        <v>29918</v>
      </c>
      <c r="G6048" s="190"/>
      <c r="H6048" s="219"/>
      <c r="I6048" s="169">
        <v>110450</v>
      </c>
      <c r="J6048" s="304" t="str">
        <f>CONCATENATE([2]Cover!$D$6,"fdd/view?i=",I6048)</f>
        <v>https://www.dgiwg.org/FAD/fdd/view?i=110450</v>
      </c>
      <c r="K6048" s="304" t="s">
        <v>40097</v>
      </c>
      <c r="L6048" s="188">
        <v>45</v>
      </c>
      <c r="M6048" s="179" t="s">
        <v>151</v>
      </c>
    </row>
    <row r="6049" spans="1:13" ht="25.5">
      <c r="A6049" s="313" t="str">
        <f t="shared" si="94"/>
        <v>SedimentColourCode_grayishYellowishGreen</v>
      </c>
      <c r="B6049" s="330"/>
      <c r="C6049" s="334"/>
      <c r="D6049" s="188" t="s">
        <v>29919</v>
      </c>
      <c r="E6049" s="189" t="s">
        <v>29920</v>
      </c>
      <c r="F6049" s="162" t="s">
        <v>29921</v>
      </c>
      <c r="G6049" s="190"/>
      <c r="H6049" s="219"/>
      <c r="I6049" s="169">
        <v>110411</v>
      </c>
      <c r="J6049" s="304" t="str">
        <f>CONCATENATE([2]Cover!$D$6,"fdd/view?i=",I6049)</f>
        <v>https://www.dgiwg.org/FAD/fdd/view?i=110411</v>
      </c>
      <c r="K6049" s="304" t="s">
        <v>40098</v>
      </c>
      <c r="L6049" s="188">
        <v>6</v>
      </c>
      <c r="M6049" s="179" t="s">
        <v>151</v>
      </c>
    </row>
    <row r="6050" spans="1:13" ht="25.5">
      <c r="A6050" s="313" t="str">
        <f t="shared" si="94"/>
        <v>SedimentColourCode_greenishOlive</v>
      </c>
      <c r="B6050" s="330"/>
      <c r="C6050" s="334"/>
      <c r="D6050" s="188" t="s">
        <v>29922</v>
      </c>
      <c r="E6050" s="189" t="s">
        <v>29923</v>
      </c>
      <c r="F6050" s="162" t="s">
        <v>29924</v>
      </c>
      <c r="G6050" s="190"/>
      <c r="H6050" s="219"/>
      <c r="I6050" s="169">
        <v>110423</v>
      </c>
      <c r="J6050" s="304" t="str">
        <f>CONCATENATE([2]Cover!$D$6,"fdd/view?i=",I6050)</f>
        <v>https://www.dgiwg.org/FAD/fdd/view?i=110423</v>
      </c>
      <c r="K6050" s="304" t="s">
        <v>40099</v>
      </c>
      <c r="L6050" s="188">
        <v>18</v>
      </c>
      <c r="M6050" s="179" t="s">
        <v>151</v>
      </c>
    </row>
    <row r="6051" spans="1:13" ht="25.5">
      <c r="A6051" s="313" t="str">
        <f t="shared" si="94"/>
        <v>SedimentColourCode_lightBlueGreen</v>
      </c>
      <c r="B6051" s="330"/>
      <c r="C6051" s="334"/>
      <c r="D6051" s="188" t="s">
        <v>29925</v>
      </c>
      <c r="E6051" s="189" t="s">
        <v>29926</v>
      </c>
      <c r="F6051" s="162" t="s">
        <v>29927</v>
      </c>
      <c r="G6051" s="190"/>
      <c r="H6051" s="219"/>
      <c r="I6051" s="169">
        <v>110886</v>
      </c>
      <c r="J6051" s="304" t="str">
        <f>CONCATENATE([2]Cover!$D$6,"fdd/view?i=",I6051)</f>
        <v>https://www.dgiwg.org/FAD/fdd/view?i=110886</v>
      </c>
      <c r="K6051" s="304" t="s">
        <v>40100</v>
      </c>
      <c r="L6051" s="188">
        <v>47</v>
      </c>
      <c r="M6051" s="179" t="s">
        <v>151</v>
      </c>
    </row>
    <row r="6052" spans="1:13">
      <c r="A6052" s="313" t="str">
        <f t="shared" si="94"/>
        <v>SedimentColourCode_lightGreen</v>
      </c>
      <c r="B6052" s="330"/>
      <c r="C6052" s="334"/>
      <c r="D6052" s="188" t="s">
        <v>29928</v>
      </c>
      <c r="E6052" s="189" t="s">
        <v>29929</v>
      </c>
      <c r="F6052" s="162" t="s">
        <v>29930</v>
      </c>
      <c r="G6052" s="190"/>
      <c r="H6052" s="219"/>
      <c r="I6052" s="169">
        <v>110434</v>
      </c>
      <c r="J6052" s="304" t="str">
        <f>CONCATENATE([2]Cover!$D$6,"fdd/view?i=",I6052)</f>
        <v>https://www.dgiwg.org/FAD/fdd/view?i=110434</v>
      </c>
      <c r="K6052" s="304" t="s">
        <v>40101</v>
      </c>
      <c r="L6052" s="188">
        <v>29</v>
      </c>
      <c r="M6052" s="179" t="s">
        <v>151</v>
      </c>
    </row>
    <row r="6053" spans="1:13">
      <c r="A6053" s="313" t="str">
        <f t="shared" si="94"/>
        <v>SedimentColourCode_lightOlive</v>
      </c>
      <c r="B6053" s="330"/>
      <c r="C6053" s="334"/>
      <c r="D6053" s="188" t="s">
        <v>29931</v>
      </c>
      <c r="E6053" s="189" t="s">
        <v>29932</v>
      </c>
      <c r="F6053" s="162" t="s">
        <v>29933</v>
      </c>
      <c r="G6053" s="190"/>
      <c r="H6053" s="219"/>
      <c r="I6053" s="169">
        <v>110424</v>
      </c>
      <c r="J6053" s="304" t="str">
        <f>CONCATENATE([2]Cover!$D$6,"fdd/view?i=",I6053)</f>
        <v>https://www.dgiwg.org/FAD/fdd/view?i=110424</v>
      </c>
      <c r="K6053" s="304" t="s">
        <v>40102</v>
      </c>
      <c r="L6053" s="188">
        <v>19</v>
      </c>
      <c r="M6053" s="179" t="s">
        <v>151</v>
      </c>
    </row>
    <row r="6054" spans="1:13" ht="25.5">
      <c r="A6054" s="313" t="str">
        <f t="shared" si="94"/>
        <v>SedimentColourCode_lightOliveBrown</v>
      </c>
      <c r="B6054" s="330"/>
      <c r="C6054" s="334"/>
      <c r="D6054" s="188" t="s">
        <v>29934</v>
      </c>
      <c r="E6054" s="189" t="s">
        <v>29935</v>
      </c>
      <c r="F6054" s="162" t="s">
        <v>29936</v>
      </c>
      <c r="G6054" s="190"/>
      <c r="H6054" s="219"/>
      <c r="I6054" s="169">
        <v>110447</v>
      </c>
      <c r="J6054" s="304" t="str">
        <f>CONCATENATE([2]Cover!$D$6,"fdd/view?i=",I6054)</f>
        <v>https://www.dgiwg.org/FAD/fdd/view?i=110447</v>
      </c>
      <c r="K6054" s="304" t="s">
        <v>40103</v>
      </c>
      <c r="L6054" s="188">
        <v>42</v>
      </c>
      <c r="M6054" s="179" t="s">
        <v>151</v>
      </c>
    </row>
    <row r="6055" spans="1:13">
      <c r="A6055" s="313" t="str">
        <f t="shared" si="94"/>
        <v>SedimentColourCode_lightRed</v>
      </c>
      <c r="B6055" s="330"/>
      <c r="C6055" s="334"/>
      <c r="D6055" s="188" t="s">
        <v>29937</v>
      </c>
      <c r="E6055" s="189" t="s">
        <v>29938</v>
      </c>
      <c r="F6055" s="162" t="s">
        <v>29939</v>
      </c>
      <c r="G6055" s="190"/>
      <c r="H6055" s="219"/>
      <c r="I6055" s="169">
        <v>110441</v>
      </c>
      <c r="J6055" s="304" t="str">
        <f>CONCATENATE([2]Cover!$D$6,"fdd/view?i=",I6055)</f>
        <v>https://www.dgiwg.org/FAD/fdd/view?i=110441</v>
      </c>
      <c r="K6055" s="304" t="s">
        <v>40104</v>
      </c>
      <c r="L6055" s="188">
        <v>36</v>
      </c>
      <c r="M6055" s="179" t="s">
        <v>151</v>
      </c>
    </row>
    <row r="6056" spans="1:13" ht="25.5">
      <c r="A6056" s="313" t="str">
        <f t="shared" si="94"/>
        <v>SedimentColourCode_lightYellowishGreen</v>
      </c>
      <c r="B6056" s="330"/>
      <c r="C6056" s="334"/>
      <c r="D6056" s="188" t="s">
        <v>29940</v>
      </c>
      <c r="E6056" s="189" t="s">
        <v>29941</v>
      </c>
      <c r="F6056" s="162" t="s">
        <v>29942</v>
      </c>
      <c r="G6056" s="190"/>
      <c r="H6056" s="219"/>
      <c r="I6056" s="169">
        <v>110435</v>
      </c>
      <c r="J6056" s="304" t="str">
        <f>CONCATENATE([2]Cover!$D$6,"fdd/view?i=",I6056)</f>
        <v>https://www.dgiwg.org/FAD/fdd/view?i=110435</v>
      </c>
      <c r="K6056" s="304" t="s">
        <v>40105</v>
      </c>
      <c r="L6056" s="188">
        <v>30</v>
      </c>
      <c r="M6056" s="179" t="s">
        <v>151</v>
      </c>
    </row>
    <row r="6057" spans="1:13" ht="25.5">
      <c r="A6057" s="313" t="str">
        <f t="shared" si="94"/>
        <v>SedimentColourCode_moderateGrayishGreen</v>
      </c>
      <c r="B6057" s="330"/>
      <c r="C6057" s="334"/>
      <c r="D6057" s="188" t="s">
        <v>29943</v>
      </c>
      <c r="E6057" s="189" t="s">
        <v>29944</v>
      </c>
      <c r="F6057" s="162" t="s">
        <v>29945</v>
      </c>
      <c r="G6057" s="190"/>
      <c r="H6057" s="219"/>
      <c r="I6057" s="169">
        <v>110430</v>
      </c>
      <c r="J6057" s="304" t="str">
        <f>CONCATENATE([2]Cover!$D$6,"fdd/view?i=",I6057)</f>
        <v>https://www.dgiwg.org/FAD/fdd/view?i=110430</v>
      </c>
      <c r="K6057" s="304" t="s">
        <v>40106</v>
      </c>
      <c r="L6057" s="188">
        <v>25</v>
      </c>
      <c r="M6057" s="179" t="s">
        <v>151</v>
      </c>
    </row>
    <row r="6058" spans="1:13" ht="25.5">
      <c r="A6058" s="313" t="str">
        <f t="shared" si="94"/>
        <v>SedimentColourCode_moderateGreen</v>
      </c>
      <c r="B6058" s="330"/>
      <c r="C6058" s="334"/>
      <c r="D6058" s="188" t="s">
        <v>29946</v>
      </c>
      <c r="E6058" s="189" t="s">
        <v>29947</v>
      </c>
      <c r="F6058" s="162" t="s">
        <v>29948</v>
      </c>
      <c r="G6058" s="190"/>
      <c r="H6058" s="219"/>
      <c r="I6058" s="169">
        <v>110431</v>
      </c>
      <c r="J6058" s="304" t="str">
        <f>CONCATENATE([2]Cover!$D$6,"fdd/view?i=",I6058)</f>
        <v>https://www.dgiwg.org/FAD/fdd/view?i=110431</v>
      </c>
      <c r="K6058" s="304" t="s">
        <v>40107</v>
      </c>
      <c r="L6058" s="188">
        <v>26</v>
      </c>
      <c r="M6058" s="179" t="s">
        <v>151</v>
      </c>
    </row>
    <row r="6059" spans="1:13" ht="25.5">
      <c r="A6059" s="313" t="str">
        <f t="shared" si="94"/>
        <v>SedimentColourCode_moderateGreenishYellow</v>
      </c>
      <c r="B6059" s="330"/>
      <c r="C6059" s="334"/>
      <c r="D6059" s="188" t="s">
        <v>29949</v>
      </c>
      <c r="E6059" s="189" t="s">
        <v>29950</v>
      </c>
      <c r="F6059" s="162" t="s">
        <v>29951</v>
      </c>
      <c r="G6059" s="190"/>
      <c r="H6059" s="219"/>
      <c r="I6059" s="169">
        <v>110427</v>
      </c>
      <c r="J6059" s="304" t="str">
        <f>CONCATENATE([2]Cover!$D$6,"fdd/view?i=",I6059)</f>
        <v>https://www.dgiwg.org/FAD/fdd/view?i=110427</v>
      </c>
      <c r="K6059" s="304" t="s">
        <v>40108</v>
      </c>
      <c r="L6059" s="188">
        <v>22</v>
      </c>
      <c r="M6059" s="179" t="s">
        <v>151</v>
      </c>
    </row>
    <row r="6060" spans="1:13" ht="25.5">
      <c r="A6060" s="313" t="str">
        <f t="shared" si="94"/>
        <v>SedimentColourCode_moderateOliveBrown</v>
      </c>
      <c r="B6060" s="330"/>
      <c r="C6060" s="334"/>
      <c r="D6060" s="188" t="s">
        <v>29952</v>
      </c>
      <c r="E6060" s="189" t="s">
        <v>29953</v>
      </c>
      <c r="F6060" s="162" t="s">
        <v>29954</v>
      </c>
      <c r="G6060" s="190"/>
      <c r="H6060" s="219"/>
      <c r="I6060" s="169">
        <v>110446</v>
      </c>
      <c r="J6060" s="304" t="str">
        <f>CONCATENATE([2]Cover!$D$6,"fdd/view?i=",I6060)</f>
        <v>https://www.dgiwg.org/FAD/fdd/view?i=110446</v>
      </c>
      <c r="K6060" s="304" t="s">
        <v>40109</v>
      </c>
      <c r="L6060" s="188">
        <v>41</v>
      </c>
      <c r="M6060" s="179" t="s">
        <v>151</v>
      </c>
    </row>
    <row r="6061" spans="1:13" ht="25.5">
      <c r="A6061" s="313" t="str">
        <f t="shared" si="94"/>
        <v>SedimentColourCode_moderateOrangePink</v>
      </c>
      <c r="B6061" s="330"/>
      <c r="C6061" s="334"/>
      <c r="D6061" s="188" t="s">
        <v>29955</v>
      </c>
      <c r="E6061" s="189" t="s">
        <v>29956</v>
      </c>
      <c r="F6061" s="162" t="s">
        <v>29957</v>
      </c>
      <c r="G6061" s="190"/>
      <c r="H6061" s="219"/>
      <c r="I6061" s="169">
        <v>110421</v>
      </c>
      <c r="J6061" s="304" t="str">
        <f>CONCATENATE([2]Cover!$D$6,"fdd/view?i=",I6061)</f>
        <v>https://www.dgiwg.org/FAD/fdd/view?i=110421</v>
      </c>
      <c r="K6061" s="304" t="s">
        <v>40110</v>
      </c>
      <c r="L6061" s="188">
        <v>16</v>
      </c>
      <c r="M6061" s="179" t="s">
        <v>151</v>
      </c>
    </row>
    <row r="6062" spans="1:13" ht="25.5">
      <c r="A6062" s="313" t="str">
        <f t="shared" si="94"/>
        <v>SedimentColourCode_moderatePink</v>
      </c>
      <c r="B6062" s="330"/>
      <c r="C6062" s="334"/>
      <c r="D6062" s="188" t="s">
        <v>29958</v>
      </c>
      <c r="E6062" s="189" t="s">
        <v>29959</v>
      </c>
      <c r="F6062" s="162" t="s">
        <v>29960</v>
      </c>
      <c r="G6062" s="190"/>
      <c r="H6062" s="219"/>
      <c r="I6062" s="169">
        <v>110442</v>
      </c>
      <c r="J6062" s="304" t="str">
        <f>CONCATENATE([2]Cover!$D$6,"fdd/view?i=",I6062)</f>
        <v>https://www.dgiwg.org/FAD/fdd/view?i=110442</v>
      </c>
      <c r="K6062" s="304" t="s">
        <v>40111</v>
      </c>
      <c r="L6062" s="188">
        <v>37</v>
      </c>
      <c r="M6062" s="179" t="s">
        <v>151</v>
      </c>
    </row>
    <row r="6063" spans="1:13" ht="25.5">
      <c r="A6063" s="313" t="str">
        <f t="shared" si="94"/>
        <v>SedimentColourCode_moderateRed</v>
      </c>
      <c r="B6063" s="330"/>
      <c r="C6063" s="334"/>
      <c r="D6063" s="188" t="s">
        <v>29961</v>
      </c>
      <c r="E6063" s="189" t="s">
        <v>29962</v>
      </c>
      <c r="F6063" s="162" t="s">
        <v>29963</v>
      </c>
      <c r="G6063" s="190"/>
      <c r="H6063" s="219"/>
      <c r="I6063" s="169">
        <v>110440</v>
      </c>
      <c r="J6063" s="304" t="str">
        <f>CONCATENATE([2]Cover!$D$6,"fdd/view?i=",I6063)</f>
        <v>https://www.dgiwg.org/FAD/fdd/view?i=110440</v>
      </c>
      <c r="K6063" s="304" t="s">
        <v>40112</v>
      </c>
      <c r="L6063" s="188">
        <v>35</v>
      </c>
      <c r="M6063" s="179" t="s">
        <v>151</v>
      </c>
    </row>
    <row r="6064" spans="1:13" ht="25.5">
      <c r="A6064" s="313" t="str">
        <f t="shared" si="94"/>
        <v>SedimentColourCode_moderateReddishBrown</v>
      </c>
      <c r="B6064" s="330"/>
      <c r="C6064" s="334"/>
      <c r="D6064" s="188" t="s">
        <v>29964</v>
      </c>
      <c r="E6064" s="189" t="s">
        <v>29965</v>
      </c>
      <c r="F6064" s="162" t="s">
        <v>29966</v>
      </c>
      <c r="G6064" s="190"/>
      <c r="H6064" s="219"/>
      <c r="I6064" s="169">
        <v>110417</v>
      </c>
      <c r="J6064" s="304" t="str">
        <f>CONCATENATE([2]Cover!$D$6,"fdd/view?i=",I6064)</f>
        <v>https://www.dgiwg.org/FAD/fdd/view?i=110417</v>
      </c>
      <c r="K6064" s="304" t="s">
        <v>40113</v>
      </c>
      <c r="L6064" s="188">
        <v>12</v>
      </c>
      <c r="M6064" s="179" t="s">
        <v>151</v>
      </c>
    </row>
    <row r="6065" spans="1:13" ht="25.5">
      <c r="A6065" s="313" t="str">
        <f t="shared" si="94"/>
        <v>SedimentColourCode_moderateReddishOrange</v>
      </c>
      <c r="B6065" s="330"/>
      <c r="C6065" s="334"/>
      <c r="D6065" s="188" t="s">
        <v>29967</v>
      </c>
      <c r="E6065" s="189" t="s">
        <v>29968</v>
      </c>
      <c r="F6065" s="162" t="s">
        <v>29969</v>
      </c>
      <c r="G6065" s="190"/>
      <c r="H6065" s="219"/>
      <c r="I6065" s="169">
        <v>110420</v>
      </c>
      <c r="J6065" s="304" t="str">
        <f>CONCATENATE([2]Cover!$D$6,"fdd/view?i=",I6065)</f>
        <v>https://www.dgiwg.org/FAD/fdd/view?i=110420</v>
      </c>
      <c r="K6065" s="304" t="s">
        <v>40114</v>
      </c>
      <c r="L6065" s="188">
        <v>15</v>
      </c>
      <c r="M6065" s="179" t="s">
        <v>151</v>
      </c>
    </row>
    <row r="6066" spans="1:13" ht="25.5">
      <c r="A6066" s="313" t="str">
        <f t="shared" si="94"/>
        <v>SedimentColourCode_moderateYellow</v>
      </c>
      <c r="B6066" s="330"/>
      <c r="C6066" s="334"/>
      <c r="D6066" s="188" t="s">
        <v>29970</v>
      </c>
      <c r="E6066" s="189" t="s">
        <v>29971</v>
      </c>
      <c r="F6066" s="162" t="s">
        <v>29972</v>
      </c>
      <c r="G6066" s="190"/>
      <c r="H6066" s="219"/>
      <c r="I6066" s="169">
        <v>110449</v>
      </c>
      <c r="J6066" s="304" t="str">
        <f>CONCATENATE([2]Cover!$D$6,"fdd/view?i=",I6066)</f>
        <v>https://www.dgiwg.org/FAD/fdd/view?i=110449</v>
      </c>
      <c r="K6066" s="304" t="s">
        <v>40115</v>
      </c>
      <c r="L6066" s="188">
        <v>44</v>
      </c>
      <c r="M6066" s="179" t="s">
        <v>151</v>
      </c>
    </row>
    <row r="6067" spans="1:13" ht="25.5">
      <c r="A6067" s="313" t="str">
        <f t="shared" si="94"/>
        <v>SedimentColourCode_moderateYellowishGreen</v>
      </c>
      <c r="B6067" s="330"/>
      <c r="C6067" s="334"/>
      <c r="D6067" s="188" t="s">
        <v>29973</v>
      </c>
      <c r="E6067" s="189" t="s">
        <v>29974</v>
      </c>
      <c r="F6067" s="162" t="s">
        <v>29975</v>
      </c>
      <c r="G6067" s="190"/>
      <c r="H6067" s="219"/>
      <c r="I6067" s="169">
        <v>110412</v>
      </c>
      <c r="J6067" s="304" t="str">
        <f>CONCATENATE([2]Cover!$D$6,"fdd/view?i=",I6067)</f>
        <v>https://www.dgiwg.org/FAD/fdd/view?i=110412</v>
      </c>
      <c r="K6067" s="304" t="s">
        <v>40116</v>
      </c>
      <c r="L6067" s="188">
        <v>7</v>
      </c>
      <c r="M6067" s="179" t="s">
        <v>151</v>
      </c>
    </row>
    <row r="6068" spans="1:13" ht="25.5">
      <c r="A6068" s="313" t="str">
        <f t="shared" si="94"/>
        <v>SedimentColourCode_paleGrayishGreen</v>
      </c>
      <c r="B6068" s="330"/>
      <c r="C6068" s="334"/>
      <c r="D6068" s="188" t="s">
        <v>29976</v>
      </c>
      <c r="E6068" s="189" t="s">
        <v>29977</v>
      </c>
      <c r="F6068" s="162" t="s">
        <v>29978</v>
      </c>
      <c r="G6068" s="190"/>
      <c r="H6068" s="219"/>
      <c r="I6068" s="169">
        <v>110407</v>
      </c>
      <c r="J6068" s="304" t="str">
        <f>CONCATENATE([2]Cover!$D$6,"fdd/view?i=",I6068)</f>
        <v>https://www.dgiwg.org/FAD/fdd/view?i=110407</v>
      </c>
      <c r="K6068" s="304" t="s">
        <v>40117</v>
      </c>
      <c r="L6068" s="188">
        <v>2</v>
      </c>
      <c r="M6068" s="179" t="s">
        <v>151</v>
      </c>
    </row>
    <row r="6069" spans="1:13">
      <c r="A6069" s="313" t="str">
        <f t="shared" si="94"/>
        <v>SedimentColourCode_paleGreen</v>
      </c>
      <c r="B6069" s="330"/>
      <c r="C6069" s="334"/>
      <c r="D6069" s="188" t="s">
        <v>29979</v>
      </c>
      <c r="E6069" s="189" t="s">
        <v>29980</v>
      </c>
      <c r="F6069" s="162" t="s">
        <v>29981</v>
      </c>
      <c r="G6069" s="190"/>
      <c r="H6069" s="219"/>
      <c r="I6069" s="169">
        <v>110433</v>
      </c>
      <c r="J6069" s="304" t="str">
        <f>CONCATENATE([2]Cover!$D$6,"fdd/view?i=",I6069)</f>
        <v>https://www.dgiwg.org/FAD/fdd/view?i=110433</v>
      </c>
      <c r="K6069" s="304" t="s">
        <v>40118</v>
      </c>
      <c r="L6069" s="188">
        <v>28</v>
      </c>
      <c r="M6069" s="179" t="s">
        <v>151</v>
      </c>
    </row>
    <row r="6070" spans="1:13" ht="25.5">
      <c r="A6070" s="313" t="str">
        <f t="shared" si="94"/>
        <v>SedimentColourCode_paleGreenishYellow</v>
      </c>
      <c r="B6070" s="330"/>
      <c r="C6070" s="334"/>
      <c r="D6070" s="188" t="s">
        <v>29982</v>
      </c>
      <c r="E6070" s="189" t="s">
        <v>29983</v>
      </c>
      <c r="F6070" s="162" t="s">
        <v>29984</v>
      </c>
      <c r="G6070" s="190"/>
      <c r="H6070" s="219"/>
      <c r="I6070" s="169">
        <v>110428</v>
      </c>
      <c r="J6070" s="304" t="str">
        <f>CONCATENATE([2]Cover!$D$6,"fdd/view?i=",I6070)</f>
        <v>https://www.dgiwg.org/FAD/fdd/view?i=110428</v>
      </c>
      <c r="K6070" s="304" t="s">
        <v>40119</v>
      </c>
      <c r="L6070" s="188">
        <v>23</v>
      </c>
      <c r="M6070" s="179" t="s">
        <v>151</v>
      </c>
    </row>
    <row r="6071" spans="1:13">
      <c r="A6071" s="313" t="str">
        <f t="shared" si="94"/>
        <v>SedimentColourCode_paleOlive</v>
      </c>
      <c r="B6071" s="330"/>
      <c r="C6071" s="334"/>
      <c r="D6071" s="188" t="s">
        <v>29985</v>
      </c>
      <c r="E6071" s="189" t="s">
        <v>29986</v>
      </c>
      <c r="F6071" s="162" t="s">
        <v>29987</v>
      </c>
      <c r="G6071" s="190"/>
      <c r="H6071" s="219"/>
      <c r="I6071" s="169">
        <v>110425</v>
      </c>
      <c r="J6071" s="304" t="str">
        <f>CONCATENATE([2]Cover!$D$6,"fdd/view?i=",I6071)</f>
        <v>https://www.dgiwg.org/FAD/fdd/view?i=110425</v>
      </c>
      <c r="K6071" s="304" t="s">
        <v>40120</v>
      </c>
      <c r="L6071" s="188">
        <v>20</v>
      </c>
      <c r="M6071" s="179" t="s">
        <v>151</v>
      </c>
    </row>
    <row r="6072" spans="1:13">
      <c r="A6072" s="313" t="str">
        <f t="shared" si="94"/>
        <v>SedimentColourCode_palePink</v>
      </c>
      <c r="B6072" s="330"/>
      <c r="C6072" s="334"/>
      <c r="D6072" s="188" t="s">
        <v>29988</v>
      </c>
      <c r="E6072" s="189" t="s">
        <v>29989</v>
      </c>
      <c r="F6072" s="162" t="s">
        <v>29990</v>
      </c>
      <c r="G6072" s="190"/>
      <c r="H6072" s="219"/>
      <c r="I6072" s="169">
        <v>110445</v>
      </c>
      <c r="J6072" s="304" t="str">
        <f>CONCATENATE([2]Cover!$D$6,"fdd/view?i=",I6072)</f>
        <v>https://www.dgiwg.org/FAD/fdd/view?i=110445</v>
      </c>
      <c r="K6072" s="304" t="s">
        <v>40121</v>
      </c>
      <c r="L6072" s="188">
        <v>40</v>
      </c>
      <c r="M6072" s="179" t="s">
        <v>151</v>
      </c>
    </row>
    <row r="6073" spans="1:13">
      <c r="A6073" s="313" t="str">
        <f t="shared" si="94"/>
        <v>SedimentColourCode_palePurple</v>
      </c>
      <c r="B6073" s="330"/>
      <c r="C6073" s="334"/>
      <c r="D6073" s="188" t="s">
        <v>29991</v>
      </c>
      <c r="E6073" s="189" t="s">
        <v>29992</v>
      </c>
      <c r="F6073" s="162" t="s">
        <v>29993</v>
      </c>
      <c r="G6073" s="190"/>
      <c r="H6073" s="219"/>
      <c r="I6073" s="169">
        <v>110437</v>
      </c>
      <c r="J6073" s="304" t="str">
        <f>CONCATENATE([2]Cover!$D$6,"fdd/view?i=",I6073)</f>
        <v>https://www.dgiwg.org/FAD/fdd/view?i=110437</v>
      </c>
      <c r="K6073" s="304" t="s">
        <v>40122</v>
      </c>
      <c r="L6073" s="188">
        <v>32</v>
      </c>
      <c r="M6073" s="179" t="s">
        <v>151</v>
      </c>
    </row>
    <row r="6074" spans="1:13">
      <c r="A6074" s="313" t="str">
        <f t="shared" si="94"/>
        <v>SedimentColourCode_paleRed</v>
      </c>
      <c r="B6074" s="330"/>
      <c r="C6074" s="334"/>
      <c r="D6074" s="188" t="s">
        <v>29994</v>
      </c>
      <c r="E6074" s="189" t="s">
        <v>29995</v>
      </c>
      <c r="F6074" s="162" t="s">
        <v>29996</v>
      </c>
      <c r="G6074" s="190"/>
      <c r="H6074" s="219"/>
      <c r="I6074" s="169">
        <v>110419</v>
      </c>
      <c r="J6074" s="304" t="str">
        <f>CONCATENATE([2]Cover!$D$6,"fdd/view?i=",I6074)</f>
        <v>https://www.dgiwg.org/FAD/fdd/view?i=110419</v>
      </c>
      <c r="K6074" s="304" t="s">
        <v>40123</v>
      </c>
      <c r="L6074" s="188">
        <v>14</v>
      </c>
      <c r="M6074" s="179" t="s">
        <v>151</v>
      </c>
    </row>
    <row r="6075" spans="1:13" ht="25.5">
      <c r="A6075" s="313" t="str">
        <f t="shared" si="94"/>
        <v>SedimentColourCode_paleReddishBrown</v>
      </c>
      <c r="B6075" s="330"/>
      <c r="C6075" s="334"/>
      <c r="D6075" s="188" t="s">
        <v>30000</v>
      </c>
      <c r="E6075" s="189" t="s">
        <v>30001</v>
      </c>
      <c r="F6075" s="162" t="s">
        <v>30002</v>
      </c>
      <c r="G6075" s="190"/>
      <c r="H6075" s="219"/>
      <c r="I6075" s="169">
        <v>110418</v>
      </c>
      <c r="J6075" s="304" t="str">
        <f>CONCATENATE([2]Cover!$D$6,"fdd/view?i=",I6075)</f>
        <v>https://www.dgiwg.org/FAD/fdd/view?i=110418</v>
      </c>
      <c r="K6075" s="304" t="s">
        <v>40124</v>
      </c>
      <c r="L6075" s="188">
        <v>13</v>
      </c>
      <c r="M6075" s="179" t="s">
        <v>151</v>
      </c>
    </row>
    <row r="6076" spans="1:13" ht="25.5">
      <c r="A6076" s="313" t="str">
        <f t="shared" si="94"/>
        <v>SedimentColourCode_paleRedPurple</v>
      </c>
      <c r="B6076" s="330"/>
      <c r="C6076" s="334"/>
      <c r="D6076" s="188" t="s">
        <v>29997</v>
      </c>
      <c r="E6076" s="189" t="s">
        <v>29998</v>
      </c>
      <c r="F6076" s="162" t="s">
        <v>29999</v>
      </c>
      <c r="G6076" s="190"/>
      <c r="H6076" s="219"/>
      <c r="I6076" s="169">
        <v>110444</v>
      </c>
      <c r="J6076" s="304" t="str">
        <f>CONCATENATE([2]Cover!$D$6,"fdd/view?i=",I6076)</f>
        <v>https://www.dgiwg.org/FAD/fdd/view?i=110444</v>
      </c>
      <c r="K6076" s="304" t="s">
        <v>40125</v>
      </c>
      <c r="L6076" s="188">
        <v>39</v>
      </c>
      <c r="M6076" s="179" t="s">
        <v>151</v>
      </c>
    </row>
    <row r="6077" spans="1:13" ht="25.5">
      <c r="A6077" s="313" t="str">
        <f t="shared" si="94"/>
        <v>SedimentColourCode_paleYellowishGreen</v>
      </c>
      <c r="B6077" s="330"/>
      <c r="C6077" s="334"/>
      <c r="D6077" s="188" t="s">
        <v>30003</v>
      </c>
      <c r="E6077" s="189" t="s">
        <v>30004</v>
      </c>
      <c r="F6077" s="162" t="s">
        <v>30005</v>
      </c>
      <c r="G6077" s="190"/>
      <c r="H6077" s="219"/>
      <c r="I6077" s="169">
        <v>110413</v>
      </c>
      <c r="J6077" s="304" t="str">
        <f>CONCATENATE([2]Cover!$D$6,"fdd/view?i=",I6077)</f>
        <v>https://www.dgiwg.org/FAD/fdd/view?i=110413</v>
      </c>
      <c r="K6077" s="304" t="s">
        <v>40126</v>
      </c>
      <c r="L6077" s="188">
        <v>8</v>
      </c>
      <c r="M6077" s="179" t="s">
        <v>151</v>
      </c>
    </row>
    <row r="6078" spans="1:13">
      <c r="A6078" s="313" t="str">
        <f t="shared" si="94"/>
        <v>SedimentColourCode_veryDarkRed</v>
      </c>
      <c r="B6078" s="330"/>
      <c r="C6078" s="334"/>
      <c r="D6078" s="188" t="s">
        <v>30006</v>
      </c>
      <c r="E6078" s="189" t="s">
        <v>30007</v>
      </c>
      <c r="F6078" s="162" t="s">
        <v>30008</v>
      </c>
      <c r="G6078" s="190"/>
      <c r="H6078" s="219"/>
      <c r="I6078" s="169">
        <v>110438</v>
      </c>
      <c r="J6078" s="304" t="str">
        <f>CONCATENATE([2]Cover!$D$6,"fdd/view?i=",I6078)</f>
        <v>https://www.dgiwg.org/FAD/fdd/view?i=110438</v>
      </c>
      <c r="K6078" s="304" t="s">
        <v>40127</v>
      </c>
      <c r="L6078" s="188">
        <v>33</v>
      </c>
      <c r="M6078" s="179" t="s">
        <v>151</v>
      </c>
    </row>
    <row r="6079" spans="1:13" ht="25.5">
      <c r="A6079" s="313" t="str">
        <f t="shared" si="94"/>
        <v>SedimentColourCode_veryDuskyPurple</v>
      </c>
      <c r="B6079" s="330"/>
      <c r="C6079" s="334"/>
      <c r="D6079" s="188" t="s">
        <v>30009</v>
      </c>
      <c r="E6079" s="189" t="s">
        <v>30010</v>
      </c>
      <c r="F6079" s="162" t="s">
        <v>30011</v>
      </c>
      <c r="G6079" s="190"/>
      <c r="H6079" s="219"/>
      <c r="I6079" s="169">
        <v>110436</v>
      </c>
      <c r="J6079" s="304" t="str">
        <f>CONCATENATE([2]Cover!$D$6,"fdd/view?i=",I6079)</f>
        <v>https://www.dgiwg.org/FAD/fdd/view?i=110436</v>
      </c>
      <c r="K6079" s="304" t="s">
        <v>40128</v>
      </c>
      <c r="L6079" s="188">
        <v>31</v>
      </c>
      <c r="M6079" s="179" t="s">
        <v>151</v>
      </c>
    </row>
    <row r="6080" spans="1:13" ht="25.5">
      <c r="A6080" s="313" t="str">
        <f t="shared" si="94"/>
        <v>SedimentColourCode_veryDuskyRed</v>
      </c>
      <c r="B6080" s="330"/>
      <c r="C6080" s="334"/>
      <c r="D6080" s="188" t="s">
        <v>30012</v>
      </c>
      <c r="E6080" s="189" t="s">
        <v>30013</v>
      </c>
      <c r="F6080" s="162" t="s">
        <v>30014</v>
      </c>
      <c r="G6080" s="190"/>
      <c r="H6080" s="219"/>
      <c r="I6080" s="169">
        <v>110414</v>
      </c>
      <c r="J6080" s="304" t="str">
        <f>CONCATENATE([2]Cover!$D$6,"fdd/view?i=",I6080)</f>
        <v>https://www.dgiwg.org/FAD/fdd/view?i=110414</v>
      </c>
      <c r="K6080" s="304" t="s">
        <v>40129</v>
      </c>
      <c r="L6080" s="188">
        <v>9</v>
      </c>
      <c r="M6080" s="179" t="s">
        <v>151</v>
      </c>
    </row>
    <row r="6081" spans="1:13" ht="25.5">
      <c r="A6081" s="313" t="str">
        <f t="shared" si="94"/>
        <v>SedimentColourCode_veryDuskyRedPurple</v>
      </c>
      <c r="B6081" s="330"/>
      <c r="C6081" s="334"/>
      <c r="D6081" s="188" t="s">
        <v>30015</v>
      </c>
      <c r="E6081" s="189" t="s">
        <v>30016</v>
      </c>
      <c r="F6081" s="162" t="s">
        <v>30017</v>
      </c>
      <c r="G6081" s="190"/>
      <c r="H6081" s="219"/>
      <c r="I6081" s="169">
        <v>110443</v>
      </c>
      <c r="J6081" s="304" t="str">
        <f>CONCATENATE([2]Cover!$D$6,"fdd/view?i=",I6081)</f>
        <v>https://www.dgiwg.org/FAD/fdd/view?i=110443</v>
      </c>
      <c r="K6081" s="304" t="s">
        <v>40130</v>
      </c>
      <c r="L6081" s="188">
        <v>38</v>
      </c>
      <c r="M6081" s="179" t="s">
        <v>151</v>
      </c>
    </row>
    <row r="6082" spans="1:13" ht="25.5">
      <c r="A6082" s="313" t="str">
        <f t="shared" si="94"/>
        <v>SedimentColourCode_veryPaleGreen</v>
      </c>
      <c r="B6082" s="330"/>
      <c r="C6082" s="334"/>
      <c r="D6082" s="188" t="s">
        <v>30018</v>
      </c>
      <c r="E6082" s="189" t="s">
        <v>30019</v>
      </c>
      <c r="F6082" s="162" t="s">
        <v>30020</v>
      </c>
      <c r="G6082" s="190"/>
      <c r="H6082" s="219"/>
      <c r="I6082" s="169">
        <v>110408</v>
      </c>
      <c r="J6082" s="304" t="str">
        <f>CONCATENATE([2]Cover!$D$6,"fdd/view?i=",I6082)</f>
        <v>https://www.dgiwg.org/FAD/fdd/view?i=110408</v>
      </c>
      <c r="K6082" s="304" t="s">
        <v>40131</v>
      </c>
      <c r="L6082" s="188">
        <v>3</v>
      </c>
      <c r="M6082" s="179" t="s">
        <v>151</v>
      </c>
    </row>
    <row r="6083" spans="1:13">
      <c r="A6083" s="313" t="str">
        <f t="shared" ref="A6083:A6146" si="95">HYPERLINK(J6083,K6083)</f>
        <v>SedimentColourCode_white</v>
      </c>
      <c r="B6083" s="331"/>
      <c r="C6083" s="335"/>
      <c r="D6083" s="181" t="s">
        <v>27659</v>
      </c>
      <c r="E6083" s="192" t="s">
        <v>27660</v>
      </c>
      <c r="F6083" s="193" t="s">
        <v>30021</v>
      </c>
      <c r="G6083" s="194"/>
      <c r="H6083" s="220"/>
      <c r="I6083" s="169">
        <v>110887</v>
      </c>
      <c r="J6083" s="304" t="str">
        <f>CONCATENATE([2]Cover!$D$6,"fdd/view?i=",I6083)</f>
        <v>https://www.dgiwg.org/FAD/fdd/view?i=110887</v>
      </c>
      <c r="K6083" s="304" t="s">
        <v>40132</v>
      </c>
      <c r="L6083" s="181">
        <v>48</v>
      </c>
      <c r="M6083" s="179" t="s">
        <v>151</v>
      </c>
    </row>
    <row r="6084" spans="1:13" ht="76.5">
      <c r="A6084" s="313" t="str">
        <f t="shared" si="95"/>
        <v>SensorCalibrationPointUseCode_bomisPoint</v>
      </c>
      <c r="B6084" s="332" t="str">
        <f>HYPERLINK("[#]Datatypes!A1265:L1265","SensorCalibrationPointUseCode")</f>
        <v>SensorCalibrationPointUseCode</v>
      </c>
      <c r="C6084" s="333" t="s">
        <v>12882</v>
      </c>
      <c r="D6084" s="202" t="s">
        <v>30022</v>
      </c>
      <c r="E6084" s="203" t="s">
        <v>30023</v>
      </c>
      <c r="F6084" s="204" t="s">
        <v>30024</v>
      </c>
      <c r="G6084" s="204" t="s">
        <v>30025</v>
      </c>
      <c r="H6084" s="218"/>
      <c r="I6084" s="169">
        <v>207940</v>
      </c>
      <c r="J6084" s="304" t="str">
        <f>CONCATENATE([2]Cover!$D$6,"fdd/view?i=",I6084)</f>
        <v>https://www.dgiwg.org/FAD/fdd/view?i=207940</v>
      </c>
      <c r="K6084" s="304" t="s">
        <v>40133</v>
      </c>
      <c r="L6084" s="202">
        <v>1</v>
      </c>
      <c r="M6084" s="179" t="s">
        <v>1295</v>
      </c>
    </row>
    <row r="6085" spans="1:13" ht="25.5">
      <c r="A6085" s="313" t="str">
        <f t="shared" si="95"/>
        <v>SensorCalibrationPointUseCode_radarTargetPoint</v>
      </c>
      <c r="B6085" s="330"/>
      <c r="C6085" s="334"/>
      <c r="D6085" s="188" t="s">
        <v>30026</v>
      </c>
      <c r="E6085" s="189" t="s">
        <v>30027</v>
      </c>
      <c r="F6085" s="162" t="s">
        <v>30028</v>
      </c>
      <c r="G6085" s="190"/>
      <c r="H6085" s="219"/>
      <c r="I6085" s="169">
        <v>207941</v>
      </c>
      <c r="J6085" s="304" t="str">
        <f>CONCATENATE([2]Cover!$D$6,"fdd/view?i=",I6085)</f>
        <v>https://www.dgiwg.org/FAD/fdd/view?i=207941</v>
      </c>
      <c r="K6085" s="304" t="s">
        <v>40134</v>
      </c>
      <c r="L6085" s="188">
        <v>2</v>
      </c>
      <c r="M6085" s="179" t="s">
        <v>1295</v>
      </c>
    </row>
    <row r="6086" spans="1:13" ht="38.25">
      <c r="A6086" s="313" t="str">
        <f t="shared" si="95"/>
        <v>SensorCalibrationPointUseCode_sonarCalibrationPoint</v>
      </c>
      <c r="B6086" s="330"/>
      <c r="C6086" s="334"/>
      <c r="D6086" s="188" t="s">
        <v>30029</v>
      </c>
      <c r="E6086" s="189" t="s">
        <v>30030</v>
      </c>
      <c r="F6086" s="162" t="s">
        <v>30031</v>
      </c>
      <c r="G6086" s="162" t="s">
        <v>30032</v>
      </c>
      <c r="H6086" s="219"/>
      <c r="I6086" s="169">
        <v>207942</v>
      </c>
      <c r="J6086" s="304" t="str">
        <f>CONCATENATE([2]Cover!$D$6,"fdd/view?i=",I6086)</f>
        <v>https://www.dgiwg.org/FAD/fdd/view?i=207942</v>
      </c>
      <c r="K6086" s="304" t="s">
        <v>40135</v>
      </c>
      <c r="L6086" s="188">
        <v>3</v>
      </c>
      <c r="M6086" s="179" t="s">
        <v>1295</v>
      </c>
    </row>
    <row r="6087" spans="1:13" ht="25.5">
      <c r="A6087" s="313" t="str">
        <f t="shared" si="95"/>
        <v>SensorCalibrationPointUseCode_sonarTargetPoint</v>
      </c>
      <c r="B6087" s="330"/>
      <c r="C6087" s="334"/>
      <c r="D6087" s="188" t="s">
        <v>30033</v>
      </c>
      <c r="E6087" s="189" t="s">
        <v>30034</v>
      </c>
      <c r="F6087" s="162" t="s">
        <v>30035</v>
      </c>
      <c r="G6087" s="190"/>
      <c r="H6087" s="219"/>
      <c r="I6087" s="169">
        <v>207943</v>
      </c>
      <c r="J6087" s="304" t="str">
        <f>CONCATENATE([2]Cover!$D$6,"fdd/view?i=",I6087)</f>
        <v>https://www.dgiwg.org/FAD/fdd/view?i=207943</v>
      </c>
      <c r="K6087" s="304" t="s">
        <v>40136</v>
      </c>
      <c r="L6087" s="188">
        <v>4</v>
      </c>
      <c r="M6087" s="179" t="s">
        <v>1295</v>
      </c>
    </row>
    <row r="6088" spans="1:13" ht="51">
      <c r="A6088" s="313" t="str">
        <f t="shared" si="95"/>
        <v>SensorCalibrationPointUseCode_underwaterAcousticPhonePt</v>
      </c>
      <c r="B6088" s="331"/>
      <c r="C6088" s="335"/>
      <c r="D6088" s="181" t="s">
        <v>30036</v>
      </c>
      <c r="E6088" s="192" t="s">
        <v>30037</v>
      </c>
      <c r="F6088" s="193" t="s">
        <v>30038</v>
      </c>
      <c r="G6088" s="193" t="s">
        <v>30039</v>
      </c>
      <c r="H6088" s="220"/>
      <c r="I6088" s="169">
        <v>207944</v>
      </c>
      <c r="J6088" s="304" t="str">
        <f>CONCATENATE([2]Cover!$D$6,"fdd/view?i=",I6088)</f>
        <v>https://www.dgiwg.org/FAD/fdd/view?i=207944</v>
      </c>
      <c r="K6088" s="304" t="s">
        <v>40137</v>
      </c>
      <c r="L6088" s="181">
        <v>5</v>
      </c>
      <c r="M6088" s="179" t="s">
        <v>1295</v>
      </c>
    </row>
    <row r="6089" spans="1:13" ht="63.75">
      <c r="A6089" s="313" t="str">
        <f t="shared" si="95"/>
        <v>SettlementPatternCode_concentricRegular</v>
      </c>
      <c r="B6089" s="332" t="str">
        <f>HYPERLINK("[#]Datatypes!A1274:L1274","SettlementPatternCode")</f>
        <v>SettlementPatternCode</v>
      </c>
      <c r="C6089" s="333" t="s">
        <v>12894</v>
      </c>
      <c r="D6089" s="202" t="s">
        <v>30040</v>
      </c>
      <c r="E6089" s="203" t="s">
        <v>30041</v>
      </c>
      <c r="F6089" s="204" t="s">
        <v>30042</v>
      </c>
      <c r="G6089" s="205"/>
      <c r="H6089" s="218"/>
      <c r="I6089" s="169">
        <v>110583</v>
      </c>
      <c r="J6089" s="304" t="str">
        <f>CONCATENATE([2]Cover!$D$6,"fdd/view?i=",I6089)</f>
        <v>https://www.dgiwg.org/FAD/fdd/view?i=110583</v>
      </c>
      <c r="K6089" s="304" t="s">
        <v>40138</v>
      </c>
      <c r="L6089" s="202">
        <v>14</v>
      </c>
      <c r="M6089" s="179" t="s">
        <v>151</v>
      </c>
    </row>
    <row r="6090" spans="1:13" ht="38.25">
      <c r="A6090" s="313" t="str">
        <f t="shared" si="95"/>
        <v>SettlementPatternCode_contourConforming</v>
      </c>
      <c r="B6090" s="330"/>
      <c r="C6090" s="334"/>
      <c r="D6090" s="188" t="s">
        <v>30043</v>
      </c>
      <c r="E6090" s="189" t="s">
        <v>30044</v>
      </c>
      <c r="F6090" s="162" t="s">
        <v>30045</v>
      </c>
      <c r="G6090" s="162" t="s">
        <v>30046</v>
      </c>
      <c r="H6090" s="221" t="s">
        <v>30047</v>
      </c>
      <c r="I6090" s="169">
        <v>110586</v>
      </c>
      <c r="J6090" s="304" t="str">
        <f>CONCATENATE([2]Cover!$D$6,"fdd/view?i=",I6090)</f>
        <v>https://www.dgiwg.org/FAD/fdd/view?i=110586</v>
      </c>
      <c r="K6090" s="304" t="s">
        <v>40139</v>
      </c>
      <c r="L6090" s="188">
        <v>17</v>
      </c>
      <c r="M6090" s="179" t="s">
        <v>151</v>
      </c>
    </row>
    <row r="6091" spans="1:13" ht="38.25">
      <c r="A6091" s="313" t="str">
        <f t="shared" si="95"/>
        <v>SettlementPatternCode_contouringButIrregular</v>
      </c>
      <c r="B6091" s="330"/>
      <c r="C6091" s="334"/>
      <c r="D6091" s="188" t="s">
        <v>30048</v>
      </c>
      <c r="E6091" s="189" t="s">
        <v>30049</v>
      </c>
      <c r="F6091" s="162" t="s">
        <v>30050</v>
      </c>
      <c r="G6091" s="162" t="s">
        <v>30046</v>
      </c>
      <c r="H6091" s="221" t="s">
        <v>30051</v>
      </c>
      <c r="I6091" s="169">
        <v>110587</v>
      </c>
      <c r="J6091" s="304" t="str">
        <f>CONCATENATE([2]Cover!$D$6,"fdd/view?i=",I6091)</f>
        <v>https://www.dgiwg.org/FAD/fdd/view?i=110587</v>
      </c>
      <c r="K6091" s="304" t="s">
        <v>40140</v>
      </c>
      <c r="L6091" s="188">
        <v>18</v>
      </c>
      <c r="M6091" s="179" t="s">
        <v>151</v>
      </c>
    </row>
    <row r="6092" spans="1:13" ht="25.5">
      <c r="A6092" s="313" t="str">
        <f t="shared" si="95"/>
        <v>SettlementPatternCode_curvilinear</v>
      </c>
      <c r="B6092" s="330"/>
      <c r="C6092" s="334"/>
      <c r="D6092" s="188" t="s">
        <v>30052</v>
      </c>
      <c r="E6092" s="189" t="s">
        <v>30053</v>
      </c>
      <c r="F6092" s="162" t="s">
        <v>30054</v>
      </c>
      <c r="G6092" s="162" t="s">
        <v>30055</v>
      </c>
      <c r="H6092" s="221" t="s">
        <v>30056</v>
      </c>
      <c r="I6092" s="169">
        <v>109072</v>
      </c>
      <c r="J6092" s="304" t="str">
        <f>CONCATENATE([2]Cover!$D$6,"fdd/view?i=",I6092)</f>
        <v>https://www.dgiwg.org/FAD/fdd/view?i=109072</v>
      </c>
      <c r="K6092" s="304" t="s">
        <v>40141</v>
      </c>
      <c r="L6092" s="188">
        <v>4</v>
      </c>
      <c r="M6092" s="179" t="s">
        <v>151</v>
      </c>
    </row>
    <row r="6093" spans="1:13" ht="25.5">
      <c r="A6093" s="313" t="str">
        <f t="shared" si="95"/>
        <v>SettlementPatternCode_irregularCanals</v>
      </c>
      <c r="B6093" s="330"/>
      <c r="C6093" s="334"/>
      <c r="D6093" s="188" t="s">
        <v>30057</v>
      </c>
      <c r="E6093" s="189" t="s">
        <v>30058</v>
      </c>
      <c r="F6093" s="162" t="s">
        <v>30059</v>
      </c>
      <c r="G6093" s="190"/>
      <c r="H6093" s="219"/>
      <c r="I6093" s="169">
        <v>110585</v>
      </c>
      <c r="J6093" s="304" t="str">
        <f>CONCATENATE([2]Cover!$D$6,"fdd/view?i=",I6093)</f>
        <v>https://www.dgiwg.org/FAD/fdd/view?i=110585</v>
      </c>
      <c r="K6093" s="304" t="s">
        <v>40142</v>
      </c>
      <c r="L6093" s="188">
        <v>16</v>
      </c>
      <c r="M6093" s="179" t="s">
        <v>151</v>
      </c>
    </row>
    <row r="6094" spans="1:13" ht="63.75">
      <c r="A6094" s="313" t="str">
        <f t="shared" si="95"/>
        <v>SettlementPatternCode_linear</v>
      </c>
      <c r="B6094" s="330"/>
      <c r="C6094" s="334"/>
      <c r="D6094" s="188" t="s">
        <v>21160</v>
      </c>
      <c r="E6094" s="189" t="s">
        <v>21161</v>
      </c>
      <c r="F6094" s="162" t="s">
        <v>30060</v>
      </c>
      <c r="G6094" s="162" t="s">
        <v>30061</v>
      </c>
      <c r="H6094" s="221" t="s">
        <v>30062</v>
      </c>
      <c r="I6094" s="169">
        <v>109079</v>
      </c>
      <c r="J6094" s="304" t="str">
        <f>CONCATENATE([2]Cover!$D$6,"fdd/view?i=",I6094)</f>
        <v>https://www.dgiwg.org/FAD/fdd/view?i=109079</v>
      </c>
      <c r="K6094" s="304" t="s">
        <v>40143</v>
      </c>
      <c r="L6094" s="188">
        <v>13</v>
      </c>
      <c r="M6094" s="179" t="s">
        <v>151</v>
      </c>
    </row>
    <row r="6095" spans="1:13" ht="25.5">
      <c r="A6095" s="313" t="str">
        <f t="shared" si="95"/>
        <v>SettlementPatternCode_medievalAndIrregular</v>
      </c>
      <c r="B6095" s="330"/>
      <c r="C6095" s="334"/>
      <c r="D6095" s="188" t="s">
        <v>30063</v>
      </c>
      <c r="E6095" s="189" t="s">
        <v>30064</v>
      </c>
      <c r="F6095" s="162" t="s">
        <v>30065</v>
      </c>
      <c r="G6095" s="162" t="s">
        <v>30066</v>
      </c>
      <c r="H6095" s="221" t="s">
        <v>30067</v>
      </c>
      <c r="I6095" s="169">
        <v>110588</v>
      </c>
      <c r="J6095" s="304" t="str">
        <f>CONCATENATE([2]Cover!$D$6,"fdd/view?i=",I6095)</f>
        <v>https://www.dgiwg.org/FAD/fdd/view?i=110588</v>
      </c>
      <c r="K6095" s="304" t="s">
        <v>40144</v>
      </c>
      <c r="L6095" s="188">
        <v>19</v>
      </c>
      <c r="M6095" s="179" t="s">
        <v>151</v>
      </c>
    </row>
    <row r="6096" spans="1:13" ht="25.5">
      <c r="A6096" s="313" t="str">
        <f t="shared" si="95"/>
        <v>SettlementPatternCode_mixedRadialCurvilinear</v>
      </c>
      <c r="B6096" s="330"/>
      <c r="C6096" s="334"/>
      <c r="D6096" s="188" t="s">
        <v>30068</v>
      </c>
      <c r="E6096" s="189" t="s">
        <v>30069</v>
      </c>
      <c r="F6096" s="162" t="s">
        <v>30070</v>
      </c>
      <c r="G6096" s="190"/>
      <c r="H6096" s="219"/>
      <c r="I6096" s="169">
        <v>109077</v>
      </c>
      <c r="J6096" s="304" t="str">
        <f>CONCATENATE([2]Cover!$D$6,"fdd/view?i=",I6096)</f>
        <v>https://www.dgiwg.org/FAD/fdd/view?i=109077</v>
      </c>
      <c r="K6096" s="304" t="s">
        <v>40145</v>
      </c>
      <c r="L6096" s="188">
        <v>11</v>
      </c>
      <c r="M6096" s="179" t="s">
        <v>151</v>
      </c>
    </row>
    <row r="6097" spans="1:13" ht="25.5">
      <c r="A6097" s="313" t="str">
        <f t="shared" si="95"/>
        <v>SettlementPatternCode_mixedRectangularRadial</v>
      </c>
      <c r="B6097" s="330"/>
      <c r="C6097" s="334"/>
      <c r="D6097" s="188" t="s">
        <v>30074</v>
      </c>
      <c r="E6097" s="189" t="s">
        <v>30075</v>
      </c>
      <c r="F6097" s="162" t="s">
        <v>30076</v>
      </c>
      <c r="G6097" s="190"/>
      <c r="H6097" s="219"/>
      <c r="I6097" s="169">
        <v>109076</v>
      </c>
      <c r="J6097" s="304" t="str">
        <f>CONCATENATE([2]Cover!$D$6,"fdd/view?i=",I6097)</f>
        <v>https://www.dgiwg.org/FAD/fdd/view?i=109076</v>
      </c>
      <c r="K6097" s="304" t="s">
        <v>40146</v>
      </c>
      <c r="L6097" s="188">
        <v>10</v>
      </c>
      <c r="M6097" s="179" t="s">
        <v>151</v>
      </c>
    </row>
    <row r="6098" spans="1:13" ht="25.5">
      <c r="A6098" s="313" t="str">
        <f t="shared" si="95"/>
        <v>SettlementPatternCode_mixedRectCurvilinear</v>
      </c>
      <c r="B6098" s="330"/>
      <c r="C6098" s="334"/>
      <c r="D6098" s="188" t="s">
        <v>30071</v>
      </c>
      <c r="E6098" s="189" t="s">
        <v>30072</v>
      </c>
      <c r="F6098" s="162" t="s">
        <v>30073</v>
      </c>
      <c r="G6098" s="190"/>
      <c r="H6098" s="219"/>
      <c r="I6098" s="169">
        <v>109075</v>
      </c>
      <c r="J6098" s="304" t="str">
        <f>CONCATENATE([2]Cover!$D$6,"fdd/view?i=",I6098)</f>
        <v>https://www.dgiwg.org/FAD/fdd/view?i=109075</v>
      </c>
      <c r="K6098" s="304" t="s">
        <v>40147</v>
      </c>
      <c r="L6098" s="188">
        <v>9</v>
      </c>
      <c r="M6098" s="179" t="s">
        <v>151</v>
      </c>
    </row>
    <row r="6099" spans="1:13" ht="51">
      <c r="A6099" s="313" t="str">
        <f t="shared" si="95"/>
        <v>SettlementPatternCode_radialButIrregular</v>
      </c>
      <c r="B6099" s="330"/>
      <c r="C6099" s="334"/>
      <c r="D6099" s="188" t="s">
        <v>30080</v>
      </c>
      <c r="E6099" s="189" t="s">
        <v>30081</v>
      </c>
      <c r="F6099" s="162" t="s">
        <v>30082</v>
      </c>
      <c r="G6099" s="190"/>
      <c r="H6099" s="219"/>
      <c r="I6099" s="169">
        <v>109074</v>
      </c>
      <c r="J6099" s="304" t="str">
        <f>CONCATENATE([2]Cover!$D$6,"fdd/view?i=",I6099)</f>
        <v>https://www.dgiwg.org/FAD/fdd/view?i=109074</v>
      </c>
      <c r="K6099" s="304" t="s">
        <v>40148</v>
      </c>
      <c r="L6099" s="188">
        <v>7</v>
      </c>
      <c r="M6099" s="179" t="s">
        <v>151</v>
      </c>
    </row>
    <row r="6100" spans="1:13" ht="63.75">
      <c r="A6100" s="313" t="str">
        <f t="shared" si="95"/>
        <v>SettlementPatternCode_radialRegular</v>
      </c>
      <c r="B6100" s="330"/>
      <c r="C6100" s="334"/>
      <c r="D6100" s="188" t="s">
        <v>30077</v>
      </c>
      <c r="E6100" s="189" t="s">
        <v>30078</v>
      </c>
      <c r="F6100" s="162" t="s">
        <v>30079</v>
      </c>
      <c r="G6100" s="190"/>
      <c r="H6100" s="219"/>
      <c r="I6100" s="169">
        <v>109073</v>
      </c>
      <c r="J6100" s="304" t="str">
        <f>CONCATENATE([2]Cover!$D$6,"fdd/view?i=",I6100)</f>
        <v>https://www.dgiwg.org/FAD/fdd/view?i=109073</v>
      </c>
      <c r="K6100" s="304" t="s">
        <v>40149</v>
      </c>
      <c r="L6100" s="188">
        <v>6</v>
      </c>
      <c r="M6100" s="179" t="s">
        <v>151</v>
      </c>
    </row>
    <row r="6101" spans="1:13" ht="63.75">
      <c r="A6101" s="313" t="str">
        <f t="shared" si="95"/>
        <v>SettlementPatternCode_rectangularButIrregular</v>
      </c>
      <c r="B6101" s="330"/>
      <c r="C6101" s="334"/>
      <c r="D6101" s="188" t="s">
        <v>30087</v>
      </c>
      <c r="E6101" s="189" t="s">
        <v>30088</v>
      </c>
      <c r="F6101" s="162" t="s">
        <v>30089</v>
      </c>
      <c r="G6101" s="162" t="s">
        <v>30090</v>
      </c>
      <c r="H6101" s="221" t="s">
        <v>30091</v>
      </c>
      <c r="I6101" s="169">
        <v>109071</v>
      </c>
      <c r="J6101" s="304" t="str">
        <f>CONCATENATE([2]Cover!$D$6,"fdd/view?i=",I6101)</f>
        <v>https://www.dgiwg.org/FAD/fdd/view?i=109071</v>
      </c>
      <c r="K6101" s="304" t="s">
        <v>40150</v>
      </c>
      <c r="L6101" s="188">
        <v>3</v>
      </c>
      <c r="M6101" s="179" t="s">
        <v>151</v>
      </c>
    </row>
    <row r="6102" spans="1:13" ht="25.5">
      <c r="A6102" s="313" t="str">
        <f t="shared" si="95"/>
        <v>SettlementPatternCode_rectangularRegular</v>
      </c>
      <c r="B6102" s="330"/>
      <c r="C6102" s="334"/>
      <c r="D6102" s="188" t="s">
        <v>30083</v>
      </c>
      <c r="E6102" s="189" t="s">
        <v>30084</v>
      </c>
      <c r="F6102" s="162" t="s">
        <v>30085</v>
      </c>
      <c r="G6102" s="190"/>
      <c r="H6102" s="221" t="s">
        <v>30086</v>
      </c>
      <c r="I6102" s="169">
        <v>109070</v>
      </c>
      <c r="J6102" s="304" t="str">
        <f>CONCATENATE([2]Cover!$D$6,"fdd/view?i=",I6102)</f>
        <v>https://www.dgiwg.org/FAD/fdd/view?i=109070</v>
      </c>
      <c r="K6102" s="304" t="s">
        <v>40151</v>
      </c>
      <c r="L6102" s="188">
        <v>2</v>
      </c>
      <c r="M6102" s="179" t="s">
        <v>151</v>
      </c>
    </row>
    <row r="6103" spans="1:13" ht="25.5">
      <c r="A6103" s="313" t="str">
        <f t="shared" si="95"/>
        <v>SettlementPatternCode_regularCanals</v>
      </c>
      <c r="B6103" s="331"/>
      <c r="C6103" s="335"/>
      <c r="D6103" s="181" t="s">
        <v>30092</v>
      </c>
      <c r="E6103" s="192" t="s">
        <v>30093</v>
      </c>
      <c r="F6103" s="193" t="s">
        <v>30094</v>
      </c>
      <c r="G6103" s="194"/>
      <c r="H6103" s="220"/>
      <c r="I6103" s="169">
        <v>110584</v>
      </c>
      <c r="J6103" s="304" t="str">
        <f>CONCATENATE([2]Cover!$D$6,"fdd/view?i=",I6103)</f>
        <v>https://www.dgiwg.org/FAD/fdd/view?i=110584</v>
      </c>
      <c r="K6103" s="304" t="s">
        <v>40152</v>
      </c>
      <c r="L6103" s="181">
        <v>15</v>
      </c>
      <c r="M6103" s="179" t="s">
        <v>151</v>
      </c>
    </row>
    <row r="6104" spans="1:13" ht="51">
      <c r="A6104" s="313" t="str">
        <f t="shared" si="95"/>
        <v>ShippingContainerTypeCode_deliverableContainer</v>
      </c>
      <c r="B6104" s="332" t="str">
        <f>HYPERLINK("[#]Datatypes!A1276:L1276","ShippingContainerTypeCode")</f>
        <v>ShippingContainerTypeCode</v>
      </c>
      <c r="C6104" s="333" t="s">
        <v>12896</v>
      </c>
      <c r="D6104" s="202" t="s">
        <v>30095</v>
      </c>
      <c r="E6104" s="203" t="s">
        <v>30096</v>
      </c>
      <c r="F6104" s="204" t="s">
        <v>30097</v>
      </c>
      <c r="G6104" s="204" t="s">
        <v>30098</v>
      </c>
      <c r="H6104" s="218"/>
      <c r="I6104" s="169">
        <v>118032</v>
      </c>
      <c r="J6104" s="304" t="str">
        <f>CONCATENATE([2]Cover!$D$6,"fdd/view?i=",I6104)</f>
        <v>https://www.dgiwg.org/FAD/fdd/view?i=118032</v>
      </c>
      <c r="K6104" s="304" t="s">
        <v>40153</v>
      </c>
      <c r="L6104" s="202">
        <v>1</v>
      </c>
      <c r="M6104" s="179" t="s">
        <v>151</v>
      </c>
    </row>
    <row r="6105" spans="1:13" ht="25.5">
      <c r="A6105" s="313" t="str">
        <f t="shared" si="95"/>
        <v>ShippingContainerTypeCode_dumpster</v>
      </c>
      <c r="B6105" s="330"/>
      <c r="C6105" s="334"/>
      <c r="D6105" s="188" t="s">
        <v>30099</v>
      </c>
      <c r="E6105" s="189" t="s">
        <v>30100</v>
      </c>
      <c r="F6105" s="162" t="s">
        <v>30101</v>
      </c>
      <c r="G6105" s="190"/>
      <c r="H6105" s="219"/>
      <c r="I6105" s="169">
        <v>118033</v>
      </c>
      <c r="J6105" s="304" t="str">
        <f>CONCATENATE([2]Cover!$D$6,"fdd/view?i=",I6105)</f>
        <v>https://www.dgiwg.org/FAD/fdd/view?i=118033</v>
      </c>
      <c r="K6105" s="304" t="s">
        <v>40154</v>
      </c>
      <c r="L6105" s="188">
        <v>2</v>
      </c>
      <c r="M6105" s="179" t="s">
        <v>151</v>
      </c>
    </row>
    <row r="6106" spans="1:13" ht="63.75">
      <c r="A6106" s="313" t="str">
        <f t="shared" si="95"/>
        <v>ShippingContainerTypeCode_isoContainer</v>
      </c>
      <c r="B6106" s="330"/>
      <c r="C6106" s="334"/>
      <c r="D6106" s="188" t="s">
        <v>30102</v>
      </c>
      <c r="E6106" s="189" t="s">
        <v>30103</v>
      </c>
      <c r="F6106" s="162" t="s">
        <v>30104</v>
      </c>
      <c r="G6106" s="162" t="s">
        <v>30105</v>
      </c>
      <c r="H6106" s="219"/>
      <c r="I6106" s="169">
        <v>118034</v>
      </c>
      <c r="J6106" s="304" t="str">
        <f>CONCATENATE([2]Cover!$D$6,"fdd/view?i=",I6106)</f>
        <v>https://www.dgiwg.org/FAD/fdd/view?i=118034</v>
      </c>
      <c r="K6106" s="304" t="s">
        <v>40155</v>
      </c>
      <c r="L6106" s="188">
        <v>3</v>
      </c>
      <c r="M6106" s="179" t="s">
        <v>151</v>
      </c>
    </row>
    <row r="6107" spans="1:13" ht="38.25">
      <c r="A6107" s="313" t="str">
        <f t="shared" si="95"/>
        <v>ShippingContainerTypeCode_rollOffDumpster</v>
      </c>
      <c r="B6107" s="330"/>
      <c r="C6107" s="334"/>
      <c r="D6107" s="188" t="s">
        <v>30106</v>
      </c>
      <c r="E6107" s="189" t="s">
        <v>30107</v>
      </c>
      <c r="F6107" s="162" t="s">
        <v>30108</v>
      </c>
      <c r="G6107" s="162" t="s">
        <v>30109</v>
      </c>
      <c r="H6107" s="219"/>
      <c r="I6107" s="169">
        <v>118035</v>
      </c>
      <c r="J6107" s="304" t="str">
        <f>CONCATENATE([2]Cover!$D$6,"fdd/view?i=",I6107)</f>
        <v>https://www.dgiwg.org/FAD/fdd/view?i=118035</v>
      </c>
      <c r="K6107" s="304" t="s">
        <v>40156</v>
      </c>
      <c r="L6107" s="188">
        <v>4</v>
      </c>
      <c r="M6107" s="179" t="s">
        <v>151</v>
      </c>
    </row>
    <row r="6108" spans="1:13" ht="38.25">
      <c r="A6108" s="313" t="str">
        <f t="shared" si="95"/>
        <v>ShippingContainerTypeCode_tankContainer</v>
      </c>
      <c r="B6108" s="331"/>
      <c r="C6108" s="335"/>
      <c r="D6108" s="181" t="s">
        <v>30110</v>
      </c>
      <c r="E6108" s="192" t="s">
        <v>30111</v>
      </c>
      <c r="F6108" s="193" t="s">
        <v>30112</v>
      </c>
      <c r="G6108" s="193" t="s">
        <v>30113</v>
      </c>
      <c r="H6108" s="220"/>
      <c r="I6108" s="169">
        <v>118036</v>
      </c>
      <c r="J6108" s="304" t="str">
        <f>CONCATENATE([2]Cover!$D$6,"fdd/view?i=",I6108)</f>
        <v>https://www.dgiwg.org/FAD/fdd/view?i=118036</v>
      </c>
      <c r="K6108" s="304" t="s">
        <v>40157</v>
      </c>
      <c r="L6108" s="181">
        <v>5</v>
      </c>
      <c r="M6108" s="179" t="s">
        <v>151</v>
      </c>
    </row>
    <row r="6109" spans="1:13" ht="38.25">
      <c r="A6109" s="313" t="str">
        <f t="shared" si="95"/>
        <v>ShorelineConstructionTypeCode_breakwater</v>
      </c>
      <c r="B6109" s="332" t="str">
        <f>HYPERLINK("[#]Datatypes!A1278:L1278","ShorelineConstructionTypeCode")</f>
        <v>ShorelineConstructionTypeCode</v>
      </c>
      <c r="C6109" s="333" t="s">
        <v>12898</v>
      </c>
      <c r="D6109" s="202" t="s">
        <v>30114</v>
      </c>
      <c r="E6109" s="203" t="s">
        <v>30115</v>
      </c>
      <c r="F6109" s="204" t="s">
        <v>30116</v>
      </c>
      <c r="G6109" s="205"/>
      <c r="H6109" s="218"/>
      <c r="I6109" s="169">
        <v>108652</v>
      </c>
      <c r="J6109" s="304" t="str">
        <f>CONCATENATE([2]Cover!$D$6,"fdd/view?i=",I6109)</f>
        <v>https://www.dgiwg.org/FAD/fdd/view?i=108652</v>
      </c>
      <c r="K6109" s="304" t="s">
        <v>40158</v>
      </c>
      <c r="L6109" s="202">
        <v>4</v>
      </c>
      <c r="M6109" s="179" t="s">
        <v>151</v>
      </c>
    </row>
    <row r="6110" spans="1:13" ht="38.25">
      <c r="A6110" s="313" t="str">
        <f t="shared" si="95"/>
        <v>ShorelineConstructionTypeCode_groin</v>
      </c>
      <c r="B6110" s="330"/>
      <c r="C6110" s="334"/>
      <c r="D6110" s="188" t="s">
        <v>30117</v>
      </c>
      <c r="E6110" s="189" t="s">
        <v>30118</v>
      </c>
      <c r="F6110" s="162" t="s">
        <v>30119</v>
      </c>
      <c r="G6110" s="190"/>
      <c r="H6110" s="219"/>
      <c r="I6110" s="169">
        <v>108653</v>
      </c>
      <c r="J6110" s="304" t="str">
        <f>CONCATENATE([2]Cover!$D$6,"fdd/view?i=",I6110)</f>
        <v>https://www.dgiwg.org/FAD/fdd/view?i=108653</v>
      </c>
      <c r="K6110" s="304" t="s">
        <v>40159</v>
      </c>
      <c r="L6110" s="188">
        <v>5</v>
      </c>
      <c r="M6110" s="179" t="s">
        <v>151</v>
      </c>
    </row>
    <row r="6111" spans="1:13" ht="38.25">
      <c r="A6111" s="313" t="str">
        <f t="shared" si="95"/>
        <v>ShorelineConstructionTypeCode_marineRevetment</v>
      </c>
      <c r="B6111" s="330"/>
      <c r="C6111" s="334"/>
      <c r="D6111" s="188" t="s">
        <v>30139</v>
      </c>
      <c r="E6111" s="189" t="s">
        <v>30140</v>
      </c>
      <c r="F6111" s="162" t="s">
        <v>30141</v>
      </c>
      <c r="G6111" s="162" t="s">
        <v>30142</v>
      </c>
      <c r="H6111" s="219"/>
      <c r="I6111" s="169">
        <v>108658</v>
      </c>
      <c r="J6111" s="304" t="str">
        <f>CONCATENATE([2]Cover!$D$6,"fdd/view?i=",I6111)</f>
        <v>https://www.dgiwg.org/FAD/fdd/view?i=108658</v>
      </c>
      <c r="K6111" s="304" t="s">
        <v>40160</v>
      </c>
      <c r="L6111" s="188">
        <v>10</v>
      </c>
      <c r="M6111" s="179" t="s">
        <v>151</v>
      </c>
    </row>
    <row r="6112" spans="1:13" ht="38.25">
      <c r="A6112" s="313" t="str">
        <f t="shared" si="95"/>
        <v>ShorelineConstructionTypeCode_mole</v>
      </c>
      <c r="B6112" s="330"/>
      <c r="C6112" s="334"/>
      <c r="D6112" s="188" t="s">
        <v>324</v>
      </c>
      <c r="E6112" s="189" t="s">
        <v>325</v>
      </c>
      <c r="F6112" s="162" t="s">
        <v>30120</v>
      </c>
      <c r="G6112" s="162" t="s">
        <v>30121</v>
      </c>
      <c r="H6112" s="219"/>
      <c r="I6112" s="169">
        <v>108654</v>
      </c>
      <c r="J6112" s="304" t="str">
        <f>CONCATENATE([2]Cover!$D$6,"fdd/view?i=",I6112)</f>
        <v>https://www.dgiwg.org/FAD/fdd/view?i=108654</v>
      </c>
      <c r="K6112" s="304" t="s">
        <v>40161</v>
      </c>
      <c r="L6112" s="188">
        <v>6</v>
      </c>
      <c r="M6112" s="179" t="s">
        <v>151</v>
      </c>
    </row>
    <row r="6113" spans="1:13" ht="25.5">
      <c r="A6113" s="313" t="str">
        <f t="shared" si="95"/>
        <v>ShorelineConstructionTypeCode_pier</v>
      </c>
      <c r="B6113" s="330"/>
      <c r="C6113" s="334"/>
      <c r="D6113" s="188" t="s">
        <v>30122</v>
      </c>
      <c r="E6113" s="189" t="s">
        <v>30123</v>
      </c>
      <c r="F6113" s="162" t="s">
        <v>30124</v>
      </c>
      <c r="G6113" s="162" t="s">
        <v>30125</v>
      </c>
      <c r="H6113" s="221" t="s">
        <v>30126</v>
      </c>
      <c r="I6113" s="169">
        <v>101658</v>
      </c>
      <c r="J6113" s="304" t="str">
        <f>CONCATENATE([2]Cover!$D$6,"fdd/view?i=",I6113)</f>
        <v>https://www.dgiwg.org/FAD/fdd/view?i=101658</v>
      </c>
      <c r="K6113" s="304" t="s">
        <v>40162</v>
      </c>
      <c r="L6113" s="188">
        <v>1</v>
      </c>
      <c r="M6113" s="179" t="s">
        <v>151</v>
      </c>
    </row>
    <row r="6114" spans="1:13" ht="25.5">
      <c r="A6114" s="313" t="str">
        <f t="shared" si="95"/>
        <v>ShorelineConstructionTypeCode_promenade</v>
      </c>
      <c r="B6114" s="330"/>
      <c r="C6114" s="334"/>
      <c r="D6114" s="188" t="s">
        <v>30127</v>
      </c>
      <c r="E6114" s="189" t="s">
        <v>30128</v>
      </c>
      <c r="F6114" s="162" t="s">
        <v>30129</v>
      </c>
      <c r="G6114" s="162" t="s">
        <v>30130</v>
      </c>
      <c r="H6114" s="219"/>
      <c r="I6114" s="169">
        <v>112783</v>
      </c>
      <c r="J6114" s="304" t="str">
        <f>CONCATENATE([2]Cover!$D$6,"fdd/view?i=",I6114)</f>
        <v>https://www.dgiwg.org/FAD/fdd/view?i=112783</v>
      </c>
      <c r="K6114" s="304" t="s">
        <v>40163</v>
      </c>
      <c r="L6114" s="188">
        <v>18</v>
      </c>
      <c r="M6114" s="179" t="s">
        <v>151</v>
      </c>
    </row>
    <row r="6115" spans="1:13" ht="38.25">
      <c r="A6115" s="313" t="str">
        <f t="shared" si="95"/>
        <v>ShorelineConstructionTypeCode_quay</v>
      </c>
      <c r="B6115" s="330"/>
      <c r="C6115" s="334"/>
      <c r="D6115" s="188" t="s">
        <v>30131</v>
      </c>
      <c r="E6115" s="189" t="s">
        <v>30132</v>
      </c>
      <c r="F6115" s="162" t="s">
        <v>30133</v>
      </c>
      <c r="G6115" s="162" t="s">
        <v>30134</v>
      </c>
      <c r="H6115" s="219"/>
      <c r="I6115" s="169">
        <v>103552</v>
      </c>
      <c r="J6115" s="304" t="str">
        <f>CONCATENATE([2]Cover!$D$6,"fdd/view?i=",I6115)</f>
        <v>https://www.dgiwg.org/FAD/fdd/view?i=103552</v>
      </c>
      <c r="K6115" s="304" t="s">
        <v>40164</v>
      </c>
      <c r="L6115" s="188">
        <v>3</v>
      </c>
      <c r="M6115" s="179" t="s">
        <v>151</v>
      </c>
    </row>
    <row r="6116" spans="1:13" ht="25.5">
      <c r="A6116" s="313" t="str">
        <f t="shared" si="95"/>
        <v>ShorelineConstructionTypeCode_recreationalPier</v>
      </c>
      <c r="B6116" s="330"/>
      <c r="C6116" s="334"/>
      <c r="D6116" s="188" t="s">
        <v>30135</v>
      </c>
      <c r="E6116" s="189" t="s">
        <v>30136</v>
      </c>
      <c r="F6116" s="162" t="s">
        <v>30137</v>
      </c>
      <c r="G6116" s="162" t="s">
        <v>30138</v>
      </c>
      <c r="H6116" s="219"/>
      <c r="I6116" s="169">
        <v>108655</v>
      </c>
      <c r="J6116" s="304" t="str">
        <f>CONCATENATE([2]Cover!$D$6,"fdd/view?i=",I6116)</f>
        <v>https://www.dgiwg.org/FAD/fdd/view?i=108655</v>
      </c>
      <c r="K6116" s="304" t="s">
        <v>40165</v>
      </c>
      <c r="L6116" s="188">
        <v>7</v>
      </c>
      <c r="M6116" s="179" t="s">
        <v>151</v>
      </c>
    </row>
    <row r="6117" spans="1:13" ht="51">
      <c r="A6117" s="313" t="str">
        <f t="shared" si="95"/>
        <v>ShorelineConstructionTypeCode_ripRap</v>
      </c>
      <c r="B6117" s="330"/>
      <c r="C6117" s="334"/>
      <c r="D6117" s="188" t="s">
        <v>30143</v>
      </c>
      <c r="E6117" s="189" t="s">
        <v>30144</v>
      </c>
      <c r="F6117" s="162" t="s">
        <v>30145</v>
      </c>
      <c r="G6117" s="162" t="s">
        <v>30146</v>
      </c>
      <c r="H6117" s="221" t="s">
        <v>30147</v>
      </c>
      <c r="I6117" s="169">
        <v>108657</v>
      </c>
      <c r="J6117" s="304" t="str">
        <f>CONCATENATE([2]Cover!$D$6,"fdd/view?i=",I6117)</f>
        <v>https://www.dgiwg.org/FAD/fdd/view?i=108657</v>
      </c>
      <c r="K6117" s="304" t="s">
        <v>40166</v>
      </c>
      <c r="L6117" s="188">
        <v>9</v>
      </c>
      <c r="M6117" s="179" t="s">
        <v>151</v>
      </c>
    </row>
    <row r="6118" spans="1:13" ht="25.5">
      <c r="A6118" s="313" t="str">
        <f t="shared" si="95"/>
        <v>ShorelineConstructionTypeCode_seawall</v>
      </c>
      <c r="B6118" s="330"/>
      <c r="C6118" s="334"/>
      <c r="D6118" s="188" t="s">
        <v>30148</v>
      </c>
      <c r="E6118" s="189" t="s">
        <v>30149</v>
      </c>
      <c r="F6118" s="162" t="s">
        <v>30150</v>
      </c>
      <c r="G6118" s="190"/>
      <c r="H6118" s="219"/>
      <c r="I6118" s="169">
        <v>108659</v>
      </c>
      <c r="J6118" s="304" t="str">
        <f>CONCATENATE([2]Cover!$D$6,"fdd/view?i=",I6118)</f>
        <v>https://www.dgiwg.org/FAD/fdd/view?i=108659</v>
      </c>
      <c r="K6118" s="304" t="s">
        <v>40167</v>
      </c>
      <c r="L6118" s="188">
        <v>11</v>
      </c>
      <c r="M6118" s="179" t="s">
        <v>151</v>
      </c>
    </row>
    <row r="6119" spans="1:13" ht="25.5">
      <c r="A6119" s="313" t="str">
        <f t="shared" si="95"/>
        <v>ShorelineConstructionTypeCode_trainingWall</v>
      </c>
      <c r="B6119" s="330"/>
      <c r="C6119" s="334"/>
      <c r="D6119" s="188" t="s">
        <v>30151</v>
      </c>
      <c r="E6119" s="189" t="s">
        <v>30152</v>
      </c>
      <c r="F6119" s="162" t="s">
        <v>30153</v>
      </c>
      <c r="G6119" s="190"/>
      <c r="H6119" s="219"/>
      <c r="I6119" s="169">
        <v>108656</v>
      </c>
      <c r="J6119" s="304" t="str">
        <f>CONCATENATE([2]Cover!$D$6,"fdd/view?i=",I6119)</f>
        <v>https://www.dgiwg.org/FAD/fdd/view?i=108656</v>
      </c>
      <c r="K6119" s="304" t="s">
        <v>40168</v>
      </c>
      <c r="L6119" s="188">
        <v>8</v>
      </c>
      <c r="M6119" s="179" t="s">
        <v>151</v>
      </c>
    </row>
    <row r="6120" spans="1:13" ht="25.5">
      <c r="A6120" s="313" t="str">
        <f t="shared" si="95"/>
        <v>ShorelineConstructionTypeCode_wharf</v>
      </c>
      <c r="B6120" s="331"/>
      <c r="C6120" s="335"/>
      <c r="D6120" s="181" t="s">
        <v>30154</v>
      </c>
      <c r="E6120" s="192" t="s">
        <v>30155</v>
      </c>
      <c r="F6120" s="193" t="s">
        <v>30156</v>
      </c>
      <c r="G6120" s="194"/>
      <c r="H6120" s="220"/>
      <c r="I6120" s="169">
        <v>103143</v>
      </c>
      <c r="J6120" s="304" t="str">
        <f>CONCATENATE([2]Cover!$D$6,"fdd/view?i=",I6120)</f>
        <v>https://www.dgiwg.org/FAD/fdd/view?i=103143</v>
      </c>
      <c r="K6120" s="304" t="s">
        <v>40169</v>
      </c>
      <c r="L6120" s="181">
        <v>2</v>
      </c>
      <c r="M6120" s="179" t="s">
        <v>151</v>
      </c>
    </row>
    <row r="6121" spans="1:13" ht="25.5">
      <c r="A6121" s="313" t="str">
        <f t="shared" si="95"/>
        <v>ShorelineRampTypeCode_logRamp</v>
      </c>
      <c r="B6121" s="332" t="str">
        <f>HYPERLINK("[#]Datatypes!A1280:L1280","ShorelineRampTypeCode")</f>
        <v>ShorelineRampTypeCode</v>
      </c>
      <c r="C6121" s="333" t="s">
        <v>12900</v>
      </c>
      <c r="D6121" s="202" t="s">
        <v>30157</v>
      </c>
      <c r="E6121" s="203" t="s">
        <v>30158</v>
      </c>
      <c r="F6121" s="204" t="s">
        <v>30159</v>
      </c>
      <c r="G6121" s="205"/>
      <c r="H6121" s="218"/>
      <c r="I6121" s="169">
        <v>112526</v>
      </c>
      <c r="J6121" s="304" t="str">
        <f>CONCATENATE([2]Cover!$D$6,"fdd/view?i=",I6121)</f>
        <v>https://www.dgiwg.org/FAD/fdd/view?i=112526</v>
      </c>
      <c r="K6121" s="304" t="s">
        <v>40170</v>
      </c>
      <c r="L6121" s="202">
        <v>1</v>
      </c>
      <c r="M6121" s="179" t="s">
        <v>151</v>
      </c>
    </row>
    <row r="6122" spans="1:13" ht="38.25">
      <c r="A6122" s="313" t="str">
        <f t="shared" si="95"/>
        <v>ShorelineRampTypeCode_marineRamp</v>
      </c>
      <c r="B6122" s="330"/>
      <c r="C6122" s="334"/>
      <c r="D6122" s="188" t="s">
        <v>30160</v>
      </c>
      <c r="E6122" s="189" t="s">
        <v>30161</v>
      </c>
      <c r="F6122" s="162" t="s">
        <v>17471</v>
      </c>
      <c r="G6122" s="162" t="s">
        <v>17472</v>
      </c>
      <c r="H6122" s="219"/>
      <c r="I6122" s="169">
        <v>112528</v>
      </c>
      <c r="J6122" s="304" t="str">
        <f>CONCATENATE([2]Cover!$D$6,"fdd/view?i=",I6122)</f>
        <v>https://www.dgiwg.org/FAD/fdd/view?i=112528</v>
      </c>
      <c r="K6122" s="304" t="s">
        <v>40171</v>
      </c>
      <c r="L6122" s="188">
        <v>2</v>
      </c>
      <c r="M6122" s="179" t="s">
        <v>151</v>
      </c>
    </row>
    <row r="6123" spans="1:13" ht="38.25">
      <c r="A6123" s="313" t="str">
        <f t="shared" si="95"/>
        <v>ShorelineRampTypeCode_slipway</v>
      </c>
      <c r="B6123" s="331"/>
      <c r="C6123" s="335"/>
      <c r="D6123" s="181" t="s">
        <v>30162</v>
      </c>
      <c r="E6123" s="192" t="s">
        <v>30163</v>
      </c>
      <c r="F6123" s="193" t="s">
        <v>30164</v>
      </c>
      <c r="G6123" s="193" t="s">
        <v>30165</v>
      </c>
      <c r="H6123" s="220"/>
      <c r="I6123" s="169">
        <v>112530</v>
      </c>
      <c r="J6123" s="304" t="str">
        <f>CONCATENATE([2]Cover!$D$6,"fdd/view?i=",I6123)</f>
        <v>https://www.dgiwg.org/FAD/fdd/view?i=112530</v>
      </c>
      <c r="K6123" s="304" t="s">
        <v>40172</v>
      </c>
      <c r="L6123" s="181">
        <v>3</v>
      </c>
      <c r="M6123" s="179" t="s">
        <v>151</v>
      </c>
    </row>
    <row r="6124" spans="1:13" ht="25.5">
      <c r="A6124" s="313" t="str">
        <f t="shared" si="95"/>
        <v>ShorelineTypeCode_buildingRubble</v>
      </c>
      <c r="B6124" s="332" t="str">
        <f>HYPERLINK("[#]Datatypes!A1282:L1282","ShorelineTypeCode")</f>
        <v>ShorelineTypeCode</v>
      </c>
      <c r="C6124" s="333" t="s">
        <v>12902</v>
      </c>
      <c r="D6124" s="202" t="s">
        <v>30166</v>
      </c>
      <c r="E6124" s="203" t="s">
        <v>30167</v>
      </c>
      <c r="F6124" s="204" t="s">
        <v>30168</v>
      </c>
      <c r="G6124" s="205"/>
      <c r="H6124" s="218"/>
      <c r="I6124" s="169">
        <v>107743</v>
      </c>
      <c r="J6124" s="304" t="str">
        <f>CONCATENATE([2]Cover!$D$6,"fdd/view?i=",I6124)</f>
        <v>https://www.dgiwg.org/FAD/fdd/view?i=107743</v>
      </c>
      <c r="K6124" s="304" t="s">
        <v>40173</v>
      </c>
      <c r="L6124" s="202">
        <v>11</v>
      </c>
      <c r="M6124" s="179" t="s">
        <v>151</v>
      </c>
    </row>
    <row r="6125" spans="1:13" ht="25.5">
      <c r="A6125" s="313" t="str">
        <f t="shared" si="95"/>
        <v>ShorelineTypeCode_coral</v>
      </c>
      <c r="B6125" s="330"/>
      <c r="C6125" s="334"/>
      <c r="D6125" s="188" t="s">
        <v>15097</v>
      </c>
      <c r="E6125" s="189" t="s">
        <v>15098</v>
      </c>
      <c r="F6125" s="162" t="s">
        <v>30169</v>
      </c>
      <c r="G6125" s="190"/>
      <c r="H6125" s="219"/>
      <c r="I6125" s="169">
        <v>107747</v>
      </c>
      <c r="J6125" s="304" t="str">
        <f>CONCATENATE([2]Cover!$D$6,"fdd/view?i=",I6125)</f>
        <v>https://www.dgiwg.org/FAD/fdd/view?i=107747</v>
      </c>
      <c r="K6125" s="304" t="s">
        <v>40174</v>
      </c>
      <c r="L6125" s="188">
        <v>16</v>
      </c>
      <c r="M6125" s="179" t="s">
        <v>151</v>
      </c>
    </row>
    <row r="6126" spans="1:13" ht="51">
      <c r="A6126" s="313" t="str">
        <f t="shared" si="95"/>
        <v>ShorelineTypeCode_erosionRubble</v>
      </c>
      <c r="B6126" s="330"/>
      <c r="C6126" s="334"/>
      <c r="D6126" s="188" t="s">
        <v>30170</v>
      </c>
      <c r="E6126" s="189" t="s">
        <v>30171</v>
      </c>
      <c r="F6126" s="162" t="s">
        <v>30172</v>
      </c>
      <c r="G6126" s="162" t="s">
        <v>30173</v>
      </c>
      <c r="H6126" s="219"/>
      <c r="I6126" s="169">
        <v>117751</v>
      </c>
      <c r="J6126" s="304" t="str">
        <f>CONCATENATE([2]Cover!$D$6,"fdd/view?i=",I6126)</f>
        <v>https://www.dgiwg.org/FAD/fdd/view?i=117751</v>
      </c>
      <c r="K6126" s="304" t="s">
        <v>40175</v>
      </c>
      <c r="L6126" s="188">
        <v>12</v>
      </c>
      <c r="M6126" s="179" t="s">
        <v>151</v>
      </c>
    </row>
    <row r="6127" spans="1:13" ht="25.5">
      <c r="A6127" s="313" t="str">
        <f t="shared" si="95"/>
        <v>ShorelineTypeCode_ice</v>
      </c>
      <c r="B6127" s="330"/>
      <c r="C6127" s="334"/>
      <c r="D6127" s="188" t="s">
        <v>15108</v>
      </c>
      <c r="E6127" s="189" t="s">
        <v>15109</v>
      </c>
      <c r="F6127" s="162" t="s">
        <v>30174</v>
      </c>
      <c r="G6127" s="190"/>
      <c r="H6127" s="219"/>
      <c r="I6127" s="169">
        <v>107748</v>
      </c>
      <c r="J6127" s="304" t="str">
        <f>CONCATENATE([2]Cover!$D$6,"fdd/view?i=",I6127)</f>
        <v>https://www.dgiwg.org/FAD/fdd/view?i=107748</v>
      </c>
      <c r="K6127" s="304" t="s">
        <v>40176</v>
      </c>
      <c r="L6127" s="188">
        <v>17</v>
      </c>
      <c r="M6127" s="179" t="s">
        <v>151</v>
      </c>
    </row>
    <row r="6128" spans="1:13" ht="38.25">
      <c r="A6128" s="313" t="str">
        <f t="shared" si="95"/>
        <v>ShorelineTypeCode_mangrove</v>
      </c>
      <c r="B6128" s="330"/>
      <c r="C6128" s="334"/>
      <c r="D6128" s="188" t="s">
        <v>30175</v>
      </c>
      <c r="E6128" s="189" t="s">
        <v>30176</v>
      </c>
      <c r="F6128" s="162" t="s">
        <v>30177</v>
      </c>
      <c r="G6128" s="190"/>
      <c r="H6128" s="219"/>
      <c r="I6128" s="169">
        <v>107740</v>
      </c>
      <c r="J6128" s="304" t="str">
        <f>CONCATENATE([2]Cover!$D$6,"fdd/view?i=",I6128)</f>
        <v>https://www.dgiwg.org/FAD/fdd/view?i=107740</v>
      </c>
      <c r="K6128" s="304" t="s">
        <v>40177</v>
      </c>
      <c r="L6128" s="188">
        <v>6</v>
      </c>
      <c r="M6128" s="179" t="s">
        <v>151</v>
      </c>
    </row>
    <row r="6129" spans="1:13" ht="38.25">
      <c r="A6129" s="313" t="str">
        <f t="shared" si="95"/>
        <v>ShorelineTypeCode_marshy</v>
      </c>
      <c r="B6129" s="330"/>
      <c r="C6129" s="334"/>
      <c r="D6129" s="188" t="s">
        <v>30178</v>
      </c>
      <c r="E6129" s="189" t="s">
        <v>30179</v>
      </c>
      <c r="F6129" s="162" t="s">
        <v>30180</v>
      </c>
      <c r="G6129" s="162" t="s">
        <v>30181</v>
      </c>
      <c r="H6129" s="219"/>
      <c r="I6129" s="169">
        <v>107741</v>
      </c>
      <c r="J6129" s="304" t="str">
        <f>CONCATENATE([2]Cover!$D$6,"fdd/view?i=",I6129)</f>
        <v>https://www.dgiwg.org/FAD/fdd/view?i=107741</v>
      </c>
      <c r="K6129" s="304" t="s">
        <v>40178</v>
      </c>
      <c r="L6129" s="188">
        <v>8</v>
      </c>
      <c r="M6129" s="179" t="s">
        <v>151</v>
      </c>
    </row>
    <row r="6130" spans="1:13">
      <c r="A6130" s="313" t="str">
        <f t="shared" si="95"/>
        <v>ShorelineTypeCode_mud</v>
      </c>
      <c r="B6130" s="330"/>
      <c r="C6130" s="334"/>
      <c r="D6130" s="188" t="s">
        <v>16814</v>
      </c>
      <c r="E6130" s="189" t="s">
        <v>16815</v>
      </c>
      <c r="F6130" s="162" t="s">
        <v>30182</v>
      </c>
      <c r="G6130" s="190"/>
      <c r="H6130" s="219"/>
      <c r="I6130" s="169">
        <v>119111</v>
      </c>
      <c r="J6130" s="304" t="str">
        <f>CONCATENATE([2]Cover!$D$6,"fdd/view?i=",I6130)</f>
        <v>https://www.dgiwg.org/FAD/fdd/view?i=119111</v>
      </c>
      <c r="K6130" s="304" t="s">
        <v>40179</v>
      </c>
      <c r="L6130" s="188">
        <v>18</v>
      </c>
      <c r="M6130" s="179" t="s">
        <v>151</v>
      </c>
    </row>
    <row r="6131" spans="1:13" ht="38.25">
      <c r="A6131" s="313" t="str">
        <f t="shared" si="95"/>
        <v>ShorelineTypeCode_sandy</v>
      </c>
      <c r="B6131" s="330"/>
      <c r="C6131" s="334"/>
      <c r="D6131" s="188" t="s">
        <v>28960</v>
      </c>
      <c r="E6131" s="189" t="s">
        <v>28961</v>
      </c>
      <c r="F6131" s="162" t="s">
        <v>30183</v>
      </c>
      <c r="G6131" s="190"/>
      <c r="H6131" s="219"/>
      <c r="I6131" s="169">
        <v>107744</v>
      </c>
      <c r="J6131" s="304" t="str">
        <f>CONCATENATE([2]Cover!$D$6,"fdd/view?i=",I6131)</f>
        <v>https://www.dgiwg.org/FAD/fdd/view?i=107744</v>
      </c>
      <c r="K6131" s="304" t="s">
        <v>40180</v>
      </c>
      <c r="L6131" s="188">
        <v>13</v>
      </c>
      <c r="M6131" s="179" t="s">
        <v>151</v>
      </c>
    </row>
    <row r="6132" spans="1:13" ht="25.5">
      <c r="A6132" s="313" t="str">
        <f t="shared" si="95"/>
        <v>ShorelineTypeCode_shingly</v>
      </c>
      <c r="B6132" s="330"/>
      <c r="C6132" s="334"/>
      <c r="D6132" s="188" t="s">
        <v>30184</v>
      </c>
      <c r="E6132" s="189" t="s">
        <v>30185</v>
      </c>
      <c r="F6132" s="162" t="s">
        <v>30186</v>
      </c>
      <c r="G6132" s="190"/>
      <c r="H6132" s="219"/>
      <c r="I6132" s="169">
        <v>107745</v>
      </c>
      <c r="J6132" s="304" t="str">
        <f>CONCATENATE([2]Cover!$D$6,"fdd/view?i=",I6132)</f>
        <v>https://www.dgiwg.org/FAD/fdd/view?i=107745</v>
      </c>
      <c r="K6132" s="304" t="s">
        <v>40181</v>
      </c>
      <c r="L6132" s="188">
        <v>14</v>
      </c>
      <c r="M6132" s="179" t="s">
        <v>151</v>
      </c>
    </row>
    <row r="6133" spans="1:13" ht="25.5">
      <c r="A6133" s="313" t="str">
        <f t="shared" si="95"/>
        <v>ShorelineTypeCode_stony</v>
      </c>
      <c r="B6133" s="331"/>
      <c r="C6133" s="335"/>
      <c r="D6133" s="181" t="s">
        <v>30187</v>
      </c>
      <c r="E6133" s="192" t="s">
        <v>30188</v>
      </c>
      <c r="F6133" s="193" t="s">
        <v>30189</v>
      </c>
      <c r="G6133" s="194"/>
      <c r="H6133" s="220"/>
      <c r="I6133" s="169">
        <v>107742</v>
      </c>
      <c r="J6133" s="304" t="str">
        <f>CONCATENATE([2]Cover!$D$6,"fdd/view?i=",I6133)</f>
        <v>https://www.dgiwg.org/FAD/fdd/view?i=107742</v>
      </c>
      <c r="K6133" s="304" t="s">
        <v>40182</v>
      </c>
      <c r="L6133" s="181">
        <v>10</v>
      </c>
      <c r="M6133" s="179" t="s">
        <v>151</v>
      </c>
    </row>
    <row r="6134" spans="1:13" ht="38.25">
      <c r="A6134" s="313" t="str">
        <f t="shared" si="95"/>
        <v>ShrubLandTypeCode_brush</v>
      </c>
      <c r="B6134" s="332" t="str">
        <f>HYPERLINK("[#]Datatypes!A1284:L1284","ShrubLandTypeCode")</f>
        <v>ShrubLandTypeCode</v>
      </c>
      <c r="C6134" s="333" t="s">
        <v>12904</v>
      </c>
      <c r="D6134" s="202" t="s">
        <v>17767</v>
      </c>
      <c r="E6134" s="203" t="s">
        <v>1742</v>
      </c>
      <c r="F6134" s="204" t="s">
        <v>1743</v>
      </c>
      <c r="G6134" s="204" t="s">
        <v>1744</v>
      </c>
      <c r="H6134" s="218"/>
      <c r="I6134" s="169">
        <v>204267</v>
      </c>
      <c r="J6134" s="304" t="str">
        <f>CONCATENATE([2]Cover!$D$6,"fdd/view?i=",I6134)</f>
        <v>https://www.dgiwg.org/FAD/fdd/view?i=204267</v>
      </c>
      <c r="K6134" s="304" t="s">
        <v>40183</v>
      </c>
      <c r="L6134" s="202">
        <v>1</v>
      </c>
      <c r="M6134" s="179" t="s">
        <v>1295</v>
      </c>
    </row>
    <row r="6135" spans="1:13" ht="38.25">
      <c r="A6135" s="313" t="str">
        <f t="shared" si="95"/>
        <v>ShrubLandTypeCode_scrubland</v>
      </c>
      <c r="B6135" s="331"/>
      <c r="C6135" s="335"/>
      <c r="D6135" s="181" t="s">
        <v>17779</v>
      </c>
      <c r="E6135" s="192" t="s">
        <v>3782</v>
      </c>
      <c r="F6135" s="193" t="s">
        <v>3783</v>
      </c>
      <c r="G6135" s="194"/>
      <c r="H6135" s="220"/>
      <c r="I6135" s="169">
        <v>204268</v>
      </c>
      <c r="J6135" s="304" t="str">
        <f>CONCATENATE([2]Cover!$D$6,"fdd/view?i=",I6135)</f>
        <v>https://www.dgiwg.org/FAD/fdd/view?i=204268</v>
      </c>
      <c r="K6135" s="304" t="s">
        <v>40184</v>
      </c>
      <c r="L6135" s="181">
        <v>2</v>
      </c>
      <c r="M6135" s="179" t="s">
        <v>1295</v>
      </c>
    </row>
    <row r="6136" spans="1:13" ht="38.25">
      <c r="A6136" s="313" t="str">
        <f t="shared" si="95"/>
        <v>SigPointAssocInAirspaceCode_entryExitPoint</v>
      </c>
      <c r="B6136" s="332" t="str">
        <f>HYPERLINK("[#]Datatypes!A1288:L1288","SigPointAssocInAirspaceCode")</f>
        <v>SigPointAssocInAirspaceCode</v>
      </c>
      <c r="C6136" s="333" t="s">
        <v>12909</v>
      </c>
      <c r="D6136" s="202" t="s">
        <v>30191</v>
      </c>
      <c r="E6136" s="203" t="s">
        <v>30192</v>
      </c>
      <c r="F6136" s="204" t="s">
        <v>30193</v>
      </c>
      <c r="G6136" s="205"/>
      <c r="H6136" s="218"/>
      <c r="I6136" s="169">
        <v>114762</v>
      </c>
      <c r="J6136" s="304" t="str">
        <f>CONCATENATE([2]Cover!$D$6,"fdd/view?i=",I6136)</f>
        <v>https://www.dgiwg.org/FAD/fdd/view?i=114762</v>
      </c>
      <c r="K6136" s="304" t="s">
        <v>40185</v>
      </c>
      <c r="L6136" s="202">
        <v>3</v>
      </c>
      <c r="M6136" s="179" t="s">
        <v>151</v>
      </c>
    </row>
    <row r="6137" spans="1:13" ht="38.25">
      <c r="A6137" s="313" t="str">
        <f t="shared" si="95"/>
        <v>SigPointAssocInAirspaceCode_entryPoint</v>
      </c>
      <c r="B6137" s="330"/>
      <c r="C6137" s="334"/>
      <c r="D6137" s="188" t="s">
        <v>15617</v>
      </c>
      <c r="E6137" s="189" t="s">
        <v>15618</v>
      </c>
      <c r="F6137" s="162" t="s">
        <v>30190</v>
      </c>
      <c r="G6137" s="190"/>
      <c r="H6137" s="219"/>
      <c r="I6137" s="169">
        <v>114761</v>
      </c>
      <c r="J6137" s="304" t="str">
        <f>CONCATENATE([2]Cover!$D$6,"fdd/view?i=",I6137)</f>
        <v>https://www.dgiwg.org/FAD/fdd/view?i=114761</v>
      </c>
      <c r="K6137" s="304" t="s">
        <v>40186</v>
      </c>
      <c r="L6137" s="188">
        <v>1</v>
      </c>
      <c r="M6137" s="179" t="s">
        <v>151</v>
      </c>
    </row>
    <row r="6138" spans="1:13" ht="38.25">
      <c r="A6138" s="313" t="str">
        <f t="shared" si="95"/>
        <v>SigPointAssocInAirspaceCode_exitPoint</v>
      </c>
      <c r="B6138" s="331"/>
      <c r="C6138" s="335"/>
      <c r="D6138" s="181" t="s">
        <v>15620</v>
      </c>
      <c r="E6138" s="192" t="s">
        <v>15621</v>
      </c>
      <c r="F6138" s="193" t="s">
        <v>30194</v>
      </c>
      <c r="G6138" s="194"/>
      <c r="H6138" s="220"/>
      <c r="I6138" s="169">
        <v>114763</v>
      </c>
      <c r="J6138" s="304" t="str">
        <f>CONCATENATE([2]Cover!$D$6,"fdd/view?i=",I6138)</f>
        <v>https://www.dgiwg.org/FAD/fdd/view?i=114763</v>
      </c>
      <c r="K6138" s="304" t="s">
        <v>40187</v>
      </c>
      <c r="L6138" s="181">
        <v>2</v>
      </c>
      <c r="M6138" s="179" t="s">
        <v>151</v>
      </c>
    </row>
    <row r="6139" spans="1:13" ht="25.5">
      <c r="A6139" s="313" t="str">
        <f t="shared" si="95"/>
        <v>SigPointRelLocToAirspaceCode_border</v>
      </c>
      <c r="B6139" s="332" t="str">
        <f>HYPERLINK("[#]Datatypes!A1290:L1290","SigPointRelLocToAirspaceCode")</f>
        <v>SigPointRelLocToAirspaceCode</v>
      </c>
      <c r="C6139" s="333" t="s">
        <v>12911</v>
      </c>
      <c r="D6139" s="202" t="s">
        <v>30195</v>
      </c>
      <c r="E6139" s="203" t="s">
        <v>30196</v>
      </c>
      <c r="F6139" s="204" t="s">
        <v>30197</v>
      </c>
      <c r="G6139" s="205"/>
      <c r="H6139" s="218"/>
      <c r="I6139" s="169">
        <v>114764</v>
      </c>
      <c r="J6139" s="304" t="str">
        <f>CONCATENATE([2]Cover!$D$6,"fdd/view?i=",I6139)</f>
        <v>https://www.dgiwg.org/FAD/fdd/view?i=114764</v>
      </c>
      <c r="K6139" s="304" t="s">
        <v>40188</v>
      </c>
      <c r="L6139" s="202">
        <v>1</v>
      </c>
      <c r="M6139" s="179" t="s">
        <v>151</v>
      </c>
    </row>
    <row r="6140" spans="1:13">
      <c r="A6140" s="313" t="str">
        <f t="shared" si="95"/>
        <v>SigPointRelLocToAirspaceCode_in</v>
      </c>
      <c r="B6140" s="330"/>
      <c r="C6140" s="334"/>
      <c r="D6140" s="188" t="s">
        <v>30198</v>
      </c>
      <c r="E6140" s="189" t="s">
        <v>30199</v>
      </c>
      <c r="F6140" s="162" t="s">
        <v>30200</v>
      </c>
      <c r="G6140" s="190"/>
      <c r="H6140" s="219"/>
      <c r="I6140" s="169">
        <v>114765</v>
      </c>
      <c r="J6140" s="304" t="str">
        <f>CONCATENATE([2]Cover!$D$6,"fdd/view?i=",I6140)</f>
        <v>https://www.dgiwg.org/FAD/fdd/view?i=114765</v>
      </c>
      <c r="K6140" s="304" t="s">
        <v>40189</v>
      </c>
      <c r="L6140" s="188">
        <v>2</v>
      </c>
      <c r="M6140" s="179" t="s">
        <v>151</v>
      </c>
    </row>
    <row r="6141" spans="1:13" ht="25.5">
      <c r="A6141" s="313" t="str">
        <f t="shared" si="95"/>
        <v>SigPointRelLocToAirspaceCode_out</v>
      </c>
      <c r="B6141" s="331"/>
      <c r="C6141" s="335"/>
      <c r="D6141" s="181" t="s">
        <v>30201</v>
      </c>
      <c r="E6141" s="192" t="s">
        <v>30202</v>
      </c>
      <c r="F6141" s="193" t="s">
        <v>30203</v>
      </c>
      <c r="G6141" s="194"/>
      <c r="H6141" s="220"/>
      <c r="I6141" s="169">
        <v>114766</v>
      </c>
      <c r="J6141" s="304" t="str">
        <f>CONCATENATE([2]Cover!$D$6,"fdd/view?i=",I6141)</f>
        <v>https://www.dgiwg.org/FAD/fdd/view?i=114766</v>
      </c>
      <c r="K6141" s="304" t="s">
        <v>40190</v>
      </c>
      <c r="L6141" s="181">
        <v>3</v>
      </c>
      <c r="M6141" s="179" t="s">
        <v>151</v>
      </c>
    </row>
    <row r="6142" spans="1:13">
      <c r="A6142" s="313" t="str">
        <f t="shared" si="95"/>
        <v>SinkingMethodCode_aircraft</v>
      </c>
      <c r="B6142" s="332" t="str">
        <f>HYPERLINK("[#]Datatypes!A1292:L1292","SinkingMethodCode")</f>
        <v>SinkingMethodCode</v>
      </c>
      <c r="C6142" s="333" t="s">
        <v>12913</v>
      </c>
      <c r="D6142" s="202" t="s">
        <v>25468</v>
      </c>
      <c r="E6142" s="203" t="s">
        <v>25469</v>
      </c>
      <c r="F6142" s="204" t="s">
        <v>30204</v>
      </c>
      <c r="G6142" s="205"/>
      <c r="H6142" s="218"/>
      <c r="I6142" s="169">
        <v>118347</v>
      </c>
      <c r="J6142" s="304" t="str">
        <f>CONCATENATE([2]Cover!$D$6,"fdd/view?i=",I6142)</f>
        <v>https://www.dgiwg.org/FAD/fdd/view?i=118347</v>
      </c>
      <c r="K6142" s="304" t="s">
        <v>40191</v>
      </c>
      <c r="L6142" s="202">
        <v>1</v>
      </c>
      <c r="M6142" s="179" t="s">
        <v>151</v>
      </c>
    </row>
    <row r="6143" spans="1:13">
      <c r="A6143" s="313" t="str">
        <f t="shared" si="95"/>
        <v>SinkingMethodCode_explosiveMine</v>
      </c>
      <c r="B6143" s="330"/>
      <c r="C6143" s="334"/>
      <c r="D6143" s="188" t="s">
        <v>30205</v>
      </c>
      <c r="E6143" s="189" t="s">
        <v>30206</v>
      </c>
      <c r="F6143" s="162" t="s">
        <v>30207</v>
      </c>
      <c r="G6143" s="190"/>
      <c r="H6143" s="219"/>
      <c r="I6143" s="169">
        <v>118348</v>
      </c>
      <c r="J6143" s="304" t="str">
        <f>CONCATENATE([2]Cover!$D$6,"fdd/view?i=",I6143)</f>
        <v>https://www.dgiwg.org/FAD/fdd/view?i=118348</v>
      </c>
      <c r="K6143" s="304" t="s">
        <v>40192</v>
      </c>
      <c r="L6143" s="188">
        <v>2</v>
      </c>
      <c r="M6143" s="179" t="s">
        <v>151</v>
      </c>
    </row>
    <row r="6144" spans="1:13" ht="25.5">
      <c r="A6144" s="313" t="str">
        <f t="shared" si="95"/>
        <v>SinkingMethodCode_marineCasualty</v>
      </c>
      <c r="B6144" s="330"/>
      <c r="C6144" s="334"/>
      <c r="D6144" s="188" t="s">
        <v>30208</v>
      </c>
      <c r="E6144" s="189" t="s">
        <v>30209</v>
      </c>
      <c r="F6144" s="162" t="s">
        <v>30210</v>
      </c>
      <c r="G6144" s="190"/>
      <c r="H6144" s="219"/>
      <c r="I6144" s="169">
        <v>118349</v>
      </c>
      <c r="J6144" s="304" t="str">
        <f>CONCATENATE([2]Cover!$D$6,"fdd/view?i=",I6144)</f>
        <v>https://www.dgiwg.org/FAD/fdd/view?i=118349</v>
      </c>
      <c r="K6144" s="304" t="s">
        <v>40193</v>
      </c>
      <c r="L6144" s="188">
        <v>3</v>
      </c>
      <c r="M6144" s="179" t="s">
        <v>151</v>
      </c>
    </row>
    <row r="6145" spans="1:13" ht="25.5">
      <c r="A6145" s="313" t="str">
        <f t="shared" si="95"/>
        <v>SinkingMethodCode_ordnanceExerciseTarget</v>
      </c>
      <c r="B6145" s="330"/>
      <c r="C6145" s="334"/>
      <c r="D6145" s="188" t="s">
        <v>30211</v>
      </c>
      <c r="E6145" s="189" t="s">
        <v>30212</v>
      </c>
      <c r="F6145" s="162" t="s">
        <v>30213</v>
      </c>
      <c r="G6145" s="190"/>
      <c r="H6145" s="219"/>
      <c r="I6145" s="169">
        <v>118350</v>
      </c>
      <c r="J6145" s="304" t="str">
        <f>CONCATENATE([2]Cover!$D$6,"fdd/view?i=",I6145)</f>
        <v>https://www.dgiwg.org/FAD/fdd/view?i=118350</v>
      </c>
      <c r="K6145" s="304" t="s">
        <v>40194</v>
      </c>
      <c r="L6145" s="188">
        <v>4</v>
      </c>
      <c r="M6145" s="179" t="s">
        <v>151</v>
      </c>
    </row>
    <row r="6146" spans="1:13">
      <c r="A6146" s="313" t="str">
        <f t="shared" si="95"/>
        <v>SinkingMethodCode_scuttled</v>
      </c>
      <c r="B6146" s="330"/>
      <c r="C6146" s="334"/>
      <c r="D6146" s="188" t="s">
        <v>30214</v>
      </c>
      <c r="E6146" s="189" t="s">
        <v>30215</v>
      </c>
      <c r="F6146" s="162" t="s">
        <v>30216</v>
      </c>
      <c r="G6146" s="190"/>
      <c r="H6146" s="219"/>
      <c r="I6146" s="169">
        <v>118351</v>
      </c>
      <c r="J6146" s="304" t="str">
        <f>CONCATENATE([2]Cover!$D$6,"fdd/view?i=",I6146)</f>
        <v>https://www.dgiwg.org/FAD/fdd/view?i=118351</v>
      </c>
      <c r="K6146" s="304" t="s">
        <v>40195</v>
      </c>
      <c r="L6146" s="188">
        <v>5</v>
      </c>
      <c r="M6146" s="179" t="s">
        <v>151</v>
      </c>
    </row>
    <row r="6147" spans="1:13" ht="25.5">
      <c r="A6147" s="313" t="str">
        <f t="shared" ref="A6147:A6210" si="96">HYPERLINK(J6147,K6147)</f>
        <v>SinkingMethodCode_shoreBasedGunfire</v>
      </c>
      <c r="B6147" s="330"/>
      <c r="C6147" s="334"/>
      <c r="D6147" s="188" t="s">
        <v>30217</v>
      </c>
      <c r="E6147" s="189" t="s">
        <v>30218</v>
      </c>
      <c r="F6147" s="162" t="s">
        <v>30219</v>
      </c>
      <c r="G6147" s="190"/>
      <c r="H6147" s="219"/>
      <c r="I6147" s="169">
        <v>118352</v>
      </c>
      <c r="J6147" s="304" t="str">
        <f>CONCATENATE([2]Cover!$D$6,"fdd/view?i=",I6147)</f>
        <v>https://www.dgiwg.org/FAD/fdd/view?i=118352</v>
      </c>
      <c r="K6147" s="304" t="s">
        <v>40196</v>
      </c>
      <c r="L6147" s="188">
        <v>6</v>
      </c>
      <c r="M6147" s="179" t="s">
        <v>151</v>
      </c>
    </row>
    <row r="6148" spans="1:13">
      <c r="A6148" s="313" t="str">
        <f t="shared" si="96"/>
        <v>SinkingMethodCode_submarine</v>
      </c>
      <c r="B6148" s="330"/>
      <c r="C6148" s="334"/>
      <c r="D6148" s="188" t="s">
        <v>30220</v>
      </c>
      <c r="E6148" s="189" t="s">
        <v>30221</v>
      </c>
      <c r="F6148" s="162" t="s">
        <v>30222</v>
      </c>
      <c r="G6148" s="190"/>
      <c r="H6148" s="219"/>
      <c r="I6148" s="169">
        <v>118353</v>
      </c>
      <c r="J6148" s="304" t="str">
        <f>CONCATENATE([2]Cover!$D$6,"fdd/view?i=",I6148)</f>
        <v>https://www.dgiwg.org/FAD/fdd/view?i=118353</v>
      </c>
      <c r="K6148" s="304" t="s">
        <v>40197</v>
      </c>
      <c r="L6148" s="188">
        <v>7</v>
      </c>
      <c r="M6148" s="179" t="s">
        <v>151</v>
      </c>
    </row>
    <row r="6149" spans="1:13" ht="25.5">
      <c r="A6149" s="313" t="str">
        <f t="shared" si="96"/>
        <v>SinkingMethodCode_surfaceCraft</v>
      </c>
      <c r="B6149" s="330"/>
      <c r="C6149" s="334"/>
      <c r="D6149" s="188" t="s">
        <v>30223</v>
      </c>
      <c r="E6149" s="189" t="s">
        <v>30224</v>
      </c>
      <c r="F6149" s="162" t="s">
        <v>30225</v>
      </c>
      <c r="G6149" s="190"/>
      <c r="H6149" s="219"/>
      <c r="I6149" s="169">
        <v>118354</v>
      </c>
      <c r="J6149" s="304" t="str">
        <f>CONCATENATE([2]Cover!$D$6,"fdd/view?i=",I6149)</f>
        <v>https://www.dgiwg.org/FAD/fdd/view?i=118354</v>
      </c>
      <c r="K6149" s="304" t="s">
        <v>40198</v>
      </c>
      <c r="L6149" s="188">
        <v>8</v>
      </c>
      <c r="M6149" s="179" t="s">
        <v>151</v>
      </c>
    </row>
    <row r="6150" spans="1:13" ht="25.5">
      <c r="A6150" s="313" t="str">
        <f t="shared" si="96"/>
        <v>SinkingMethodCode_undefinedEnemyAction</v>
      </c>
      <c r="B6150" s="331"/>
      <c r="C6150" s="335"/>
      <c r="D6150" s="181" t="s">
        <v>30226</v>
      </c>
      <c r="E6150" s="192" t="s">
        <v>30227</v>
      </c>
      <c r="F6150" s="193" t="s">
        <v>30228</v>
      </c>
      <c r="G6150" s="194"/>
      <c r="H6150" s="220"/>
      <c r="I6150" s="169">
        <v>118355</v>
      </c>
      <c r="J6150" s="304" t="str">
        <f>CONCATENATE([2]Cover!$D$6,"fdd/view?i=",I6150)</f>
        <v>https://www.dgiwg.org/FAD/fdd/view?i=118355</v>
      </c>
      <c r="K6150" s="304" t="s">
        <v>40199</v>
      </c>
      <c r="L6150" s="181">
        <v>9</v>
      </c>
      <c r="M6150" s="179" t="s">
        <v>151</v>
      </c>
    </row>
    <row r="6151" spans="1:13">
      <c r="A6151" s="313" t="str">
        <f t="shared" si="96"/>
        <v>SoilTypeCode_clayeyGravel</v>
      </c>
      <c r="B6151" s="332" t="str">
        <f>HYPERLINK("[#]Datatypes!A1296:L1296","SoilTypeCode")</f>
        <v>SoilTypeCode</v>
      </c>
      <c r="C6151" s="333" t="s">
        <v>12917</v>
      </c>
      <c r="D6151" s="202" t="s">
        <v>30236</v>
      </c>
      <c r="E6151" s="203" t="s">
        <v>30237</v>
      </c>
      <c r="F6151" s="204" t="s">
        <v>30238</v>
      </c>
      <c r="G6151" s="205"/>
      <c r="H6151" s="218"/>
      <c r="I6151" s="169">
        <v>108311</v>
      </c>
      <c r="J6151" s="304" t="str">
        <f>CONCATENATE([2]Cover!$D$6,"fdd/view?i=",I6151)</f>
        <v>https://www.dgiwg.org/FAD/fdd/view?i=108311</v>
      </c>
      <c r="K6151" s="304" t="s">
        <v>40200</v>
      </c>
      <c r="L6151" s="202">
        <v>4</v>
      </c>
      <c r="M6151" s="179" t="s">
        <v>151</v>
      </c>
    </row>
    <row r="6152" spans="1:13">
      <c r="A6152" s="313" t="str">
        <f t="shared" si="96"/>
        <v>SoilTypeCode_clayeySand</v>
      </c>
      <c r="B6152" s="330"/>
      <c r="C6152" s="334"/>
      <c r="D6152" s="188" t="s">
        <v>30268</v>
      </c>
      <c r="E6152" s="189" t="s">
        <v>30269</v>
      </c>
      <c r="F6152" s="162" t="s">
        <v>30270</v>
      </c>
      <c r="G6152" s="190"/>
      <c r="H6152" s="219"/>
      <c r="I6152" s="169">
        <v>108315</v>
      </c>
      <c r="J6152" s="304" t="str">
        <f>CONCATENATE([2]Cover!$D$6,"fdd/view?i=",I6152)</f>
        <v>https://www.dgiwg.org/FAD/fdd/view?i=108315</v>
      </c>
      <c r="K6152" s="304" t="s">
        <v>40201</v>
      </c>
      <c r="L6152" s="188">
        <v>8</v>
      </c>
      <c r="M6152" s="179" t="s">
        <v>151</v>
      </c>
    </row>
    <row r="6153" spans="1:13">
      <c r="A6153" s="313" t="str">
        <f t="shared" si="96"/>
        <v>SoilTypeCode_evaporite</v>
      </c>
      <c r="B6153" s="330"/>
      <c r="C6153" s="334"/>
      <c r="D6153" s="188" t="s">
        <v>28369</v>
      </c>
      <c r="E6153" s="189" t="s">
        <v>28370</v>
      </c>
      <c r="F6153" s="162" t="s">
        <v>30235</v>
      </c>
      <c r="G6153" s="190"/>
      <c r="H6153" s="219"/>
      <c r="I6153" s="169">
        <v>108324</v>
      </c>
      <c r="J6153" s="304" t="str">
        <f>CONCATENATE([2]Cover!$D$6,"fdd/view?i=",I6153)</f>
        <v>https://www.dgiwg.org/FAD/fdd/view?i=108324</v>
      </c>
      <c r="K6153" s="304" t="s">
        <v>40202</v>
      </c>
      <c r="L6153" s="188">
        <v>18</v>
      </c>
      <c r="M6153" s="179" t="s">
        <v>151</v>
      </c>
    </row>
    <row r="6154" spans="1:13">
      <c r="A6154" s="313" t="str">
        <f t="shared" si="96"/>
        <v>SoilTypeCode_fatClay</v>
      </c>
      <c r="B6154" s="330"/>
      <c r="C6154" s="334"/>
      <c r="D6154" s="188" t="s">
        <v>30229</v>
      </c>
      <c r="E6154" s="189" t="s">
        <v>30230</v>
      </c>
      <c r="F6154" s="162" t="s">
        <v>30231</v>
      </c>
      <c r="G6154" s="190"/>
      <c r="H6154" s="219"/>
      <c r="I6154" s="169">
        <v>108319</v>
      </c>
      <c r="J6154" s="304" t="str">
        <f>CONCATENATE([2]Cover!$D$6,"fdd/view?i=",I6154)</f>
        <v>https://www.dgiwg.org/FAD/fdd/view?i=108319</v>
      </c>
      <c r="K6154" s="304" t="s">
        <v>40203</v>
      </c>
      <c r="L6154" s="188">
        <v>12</v>
      </c>
      <c r="M6154" s="179" t="s">
        <v>151</v>
      </c>
    </row>
    <row r="6155" spans="1:13" ht="25.5">
      <c r="A6155" s="313" t="str">
        <f t="shared" si="96"/>
        <v>SoilTypeCode_leanClay</v>
      </c>
      <c r="B6155" s="330"/>
      <c r="C6155" s="334"/>
      <c r="D6155" s="188" t="s">
        <v>30232</v>
      </c>
      <c r="E6155" s="189" t="s">
        <v>30233</v>
      </c>
      <c r="F6155" s="162" t="s">
        <v>30234</v>
      </c>
      <c r="G6155" s="190"/>
      <c r="H6155" s="219"/>
      <c r="I6155" s="169">
        <v>108317</v>
      </c>
      <c r="J6155" s="304" t="str">
        <f>CONCATENATE([2]Cover!$D$6,"fdd/view?i=",I6155)</f>
        <v>https://www.dgiwg.org/FAD/fdd/view?i=108317</v>
      </c>
      <c r="K6155" s="304" t="s">
        <v>40204</v>
      </c>
      <c r="L6155" s="188">
        <v>10</v>
      </c>
      <c r="M6155" s="179" t="s">
        <v>151</v>
      </c>
    </row>
    <row r="6156" spans="1:13">
      <c r="A6156" s="313" t="str">
        <f t="shared" si="96"/>
        <v>SoilTypeCode_micraceous</v>
      </c>
      <c r="B6156" s="330"/>
      <c r="C6156" s="334"/>
      <c r="D6156" s="188" t="s">
        <v>30248</v>
      </c>
      <c r="E6156" s="189" t="s">
        <v>30249</v>
      </c>
      <c r="F6156" s="162" t="s">
        <v>30250</v>
      </c>
      <c r="G6156" s="190"/>
      <c r="H6156" s="219"/>
      <c r="I6156" s="169">
        <v>108320</v>
      </c>
      <c r="J6156" s="304" t="str">
        <f>CONCATENATE([2]Cover!$D$6,"fdd/view?i=",I6156)</f>
        <v>https://www.dgiwg.org/FAD/fdd/view?i=108320</v>
      </c>
      <c r="K6156" s="304" t="s">
        <v>40205</v>
      </c>
      <c r="L6156" s="188">
        <v>13</v>
      </c>
      <c r="M6156" s="179" t="s">
        <v>151</v>
      </c>
    </row>
    <row r="6157" spans="1:13">
      <c r="A6157" s="313" t="str">
        <f t="shared" si="96"/>
        <v>SoilTypeCode_notEvaluated</v>
      </c>
      <c r="B6157" s="330"/>
      <c r="C6157" s="334"/>
      <c r="D6157" s="188" t="s">
        <v>30257</v>
      </c>
      <c r="E6157" s="189" t="s">
        <v>30258</v>
      </c>
      <c r="F6157" s="162" t="s">
        <v>30259</v>
      </c>
      <c r="G6157" s="190"/>
      <c r="H6157" s="219"/>
      <c r="I6157" s="169">
        <v>108325</v>
      </c>
      <c r="J6157" s="304" t="str">
        <f>CONCATENATE([2]Cover!$D$6,"fdd/view?i=",I6157)</f>
        <v>https://www.dgiwg.org/FAD/fdd/view?i=108325</v>
      </c>
      <c r="K6157" s="304" t="s">
        <v>40206</v>
      </c>
      <c r="L6157" s="188">
        <v>99</v>
      </c>
      <c r="M6157" s="179" t="s">
        <v>151</v>
      </c>
    </row>
    <row r="6158" spans="1:13">
      <c r="A6158" s="313" t="str">
        <f t="shared" si="96"/>
        <v>SoilTypeCode_organicClay</v>
      </c>
      <c r="B6158" s="330"/>
      <c r="C6158" s="334"/>
      <c r="D6158" s="188" t="s">
        <v>30260</v>
      </c>
      <c r="E6158" s="189" t="s">
        <v>30261</v>
      </c>
      <c r="F6158" s="162" t="s">
        <v>30262</v>
      </c>
      <c r="G6158" s="190"/>
      <c r="H6158" s="219"/>
      <c r="I6158" s="169">
        <v>108321</v>
      </c>
      <c r="J6158" s="304" t="str">
        <f>CONCATENATE([2]Cover!$D$6,"fdd/view?i=",I6158)</f>
        <v>https://www.dgiwg.org/FAD/fdd/view?i=108321</v>
      </c>
      <c r="K6158" s="304" t="s">
        <v>40207</v>
      </c>
      <c r="L6158" s="188">
        <v>14</v>
      </c>
      <c r="M6158" s="179" t="s">
        <v>151</v>
      </c>
    </row>
    <row r="6159" spans="1:13" ht="25.5">
      <c r="A6159" s="313" t="str">
        <f t="shared" si="96"/>
        <v>SoilTypeCode_organicSiltandClay</v>
      </c>
      <c r="B6159" s="330"/>
      <c r="C6159" s="334"/>
      <c r="D6159" s="188" t="s">
        <v>30263</v>
      </c>
      <c r="E6159" s="189" t="s">
        <v>30264</v>
      </c>
      <c r="F6159" s="162" t="s">
        <v>30265</v>
      </c>
      <c r="G6159" s="190"/>
      <c r="H6159" s="219"/>
      <c r="I6159" s="169">
        <v>108318</v>
      </c>
      <c r="J6159" s="304" t="str">
        <f>CONCATENATE([2]Cover!$D$6,"fdd/view?i=",I6159)</f>
        <v>https://www.dgiwg.org/FAD/fdd/view?i=108318</v>
      </c>
      <c r="K6159" s="304" t="s">
        <v>40208</v>
      </c>
      <c r="L6159" s="188">
        <v>11</v>
      </c>
      <c r="M6159" s="179" t="s">
        <v>151</v>
      </c>
    </row>
    <row r="6160" spans="1:13">
      <c r="A6160" s="313" t="str">
        <f t="shared" si="96"/>
        <v>SoilTypeCode_peat</v>
      </c>
      <c r="B6160" s="330"/>
      <c r="C6160" s="334"/>
      <c r="D6160" s="188" t="s">
        <v>18103</v>
      </c>
      <c r="E6160" s="189" t="s">
        <v>30266</v>
      </c>
      <c r="F6160" s="162" t="s">
        <v>30267</v>
      </c>
      <c r="G6160" s="190"/>
      <c r="H6160" s="219"/>
      <c r="I6160" s="169">
        <v>108322</v>
      </c>
      <c r="J6160" s="304" t="str">
        <f>CONCATENATE([2]Cover!$D$6,"fdd/view?i=",I6160)</f>
        <v>https://www.dgiwg.org/FAD/fdd/view?i=108322</v>
      </c>
      <c r="K6160" s="304" t="s">
        <v>40209</v>
      </c>
      <c r="L6160" s="188">
        <v>15</v>
      </c>
      <c r="M6160" s="179" t="s">
        <v>151</v>
      </c>
    </row>
    <row r="6161" spans="1:13" ht="25.5">
      <c r="A6161" s="313" t="str">
        <f t="shared" si="96"/>
        <v>SoilTypeCode_poorlyGradedGravel</v>
      </c>
      <c r="B6161" s="330"/>
      <c r="C6161" s="334"/>
      <c r="D6161" s="188" t="s">
        <v>30242</v>
      </c>
      <c r="E6161" s="189" t="s">
        <v>30243</v>
      </c>
      <c r="F6161" s="162" t="s">
        <v>30244</v>
      </c>
      <c r="G6161" s="190"/>
      <c r="H6161" s="219"/>
      <c r="I6161" s="169">
        <v>108309</v>
      </c>
      <c r="J6161" s="304" t="str">
        <f>CONCATENATE([2]Cover!$D$6,"fdd/view?i=",I6161)</f>
        <v>https://www.dgiwg.org/FAD/fdd/view?i=108309</v>
      </c>
      <c r="K6161" s="304" t="s">
        <v>40210</v>
      </c>
      <c r="L6161" s="188">
        <v>2</v>
      </c>
      <c r="M6161" s="179" t="s">
        <v>151</v>
      </c>
    </row>
    <row r="6162" spans="1:13" ht="25.5">
      <c r="A6162" s="313" t="str">
        <f t="shared" si="96"/>
        <v>SoilTypeCode_poorlyGradedSand</v>
      </c>
      <c r="B6162" s="330"/>
      <c r="C6162" s="334"/>
      <c r="D6162" s="188" t="s">
        <v>30274</v>
      </c>
      <c r="E6162" s="189" t="s">
        <v>30275</v>
      </c>
      <c r="F6162" s="162" t="s">
        <v>30276</v>
      </c>
      <c r="G6162" s="190"/>
      <c r="H6162" s="219"/>
      <c r="I6162" s="169">
        <v>108313</v>
      </c>
      <c r="J6162" s="304" t="str">
        <f>CONCATENATE([2]Cover!$D$6,"fdd/view?i=",I6162)</f>
        <v>https://www.dgiwg.org/FAD/fdd/view?i=108313</v>
      </c>
      <c r="K6162" s="304" t="s">
        <v>40211</v>
      </c>
      <c r="L6162" s="188">
        <v>6</v>
      </c>
      <c r="M6162" s="179" t="s">
        <v>151</v>
      </c>
    </row>
    <row r="6163" spans="1:13" ht="25.5">
      <c r="A6163" s="313" t="str">
        <f t="shared" si="96"/>
        <v>SoilTypeCode_siltAndFineSand</v>
      </c>
      <c r="B6163" s="330"/>
      <c r="C6163" s="334"/>
      <c r="D6163" s="188" t="s">
        <v>30251</v>
      </c>
      <c r="E6163" s="189" t="s">
        <v>30252</v>
      </c>
      <c r="F6163" s="162" t="s">
        <v>30253</v>
      </c>
      <c r="G6163" s="190"/>
      <c r="H6163" s="219"/>
      <c r="I6163" s="169">
        <v>108316</v>
      </c>
      <c r="J6163" s="304" t="str">
        <f>CONCATENATE([2]Cover!$D$6,"fdd/view?i=",I6163)</f>
        <v>https://www.dgiwg.org/FAD/fdd/view?i=108316</v>
      </c>
      <c r="K6163" s="304" t="s">
        <v>40212</v>
      </c>
      <c r="L6163" s="188">
        <v>9</v>
      </c>
      <c r="M6163" s="179" t="s">
        <v>151</v>
      </c>
    </row>
    <row r="6164" spans="1:13" ht="51">
      <c r="A6164" s="313" t="str">
        <f t="shared" si="96"/>
        <v>SoilTypeCode_siltFineSandLeanClay</v>
      </c>
      <c r="B6164" s="330"/>
      <c r="C6164" s="334"/>
      <c r="D6164" s="188" t="s">
        <v>30254</v>
      </c>
      <c r="E6164" s="189" t="s">
        <v>30255</v>
      </c>
      <c r="F6164" s="162" t="s">
        <v>30256</v>
      </c>
      <c r="G6164" s="190"/>
      <c r="H6164" s="219"/>
      <c r="I6164" s="169">
        <v>108323</v>
      </c>
      <c r="J6164" s="304" t="str">
        <f>CONCATENATE([2]Cover!$D$6,"fdd/view?i=",I6164)</f>
        <v>https://www.dgiwg.org/FAD/fdd/view?i=108323</v>
      </c>
      <c r="K6164" s="304" t="s">
        <v>40213</v>
      </c>
      <c r="L6164" s="188">
        <v>17</v>
      </c>
      <c r="M6164" s="179" t="s">
        <v>151</v>
      </c>
    </row>
    <row r="6165" spans="1:13">
      <c r="A6165" s="313" t="str">
        <f t="shared" si="96"/>
        <v>SoilTypeCode_siltyGravelSand</v>
      </c>
      <c r="B6165" s="330"/>
      <c r="C6165" s="334"/>
      <c r="D6165" s="188" t="s">
        <v>30239</v>
      </c>
      <c r="E6165" s="189" t="s">
        <v>30240</v>
      </c>
      <c r="F6165" s="162" t="s">
        <v>30241</v>
      </c>
      <c r="G6165" s="190"/>
      <c r="H6165" s="219"/>
      <c r="I6165" s="169">
        <v>108310</v>
      </c>
      <c r="J6165" s="304" t="str">
        <f>CONCATENATE([2]Cover!$D$6,"fdd/view?i=",I6165)</f>
        <v>https://www.dgiwg.org/FAD/fdd/view?i=108310</v>
      </c>
      <c r="K6165" s="304" t="s">
        <v>40214</v>
      </c>
      <c r="L6165" s="188">
        <v>3</v>
      </c>
      <c r="M6165" s="179" t="s">
        <v>151</v>
      </c>
    </row>
    <row r="6166" spans="1:13">
      <c r="A6166" s="313" t="str">
        <f t="shared" si="96"/>
        <v>SoilTypeCode_siltySand</v>
      </c>
      <c r="B6166" s="330"/>
      <c r="C6166" s="334"/>
      <c r="D6166" s="188" t="s">
        <v>30271</v>
      </c>
      <c r="E6166" s="189" t="s">
        <v>30272</v>
      </c>
      <c r="F6166" s="162" t="s">
        <v>30273</v>
      </c>
      <c r="G6166" s="190"/>
      <c r="H6166" s="219"/>
      <c r="I6166" s="169">
        <v>108314</v>
      </c>
      <c r="J6166" s="304" t="str">
        <f>CONCATENATE([2]Cover!$D$6,"fdd/view?i=",I6166)</f>
        <v>https://www.dgiwg.org/FAD/fdd/view?i=108314</v>
      </c>
      <c r="K6166" s="304" t="s">
        <v>40215</v>
      </c>
      <c r="L6166" s="188">
        <v>7</v>
      </c>
      <c r="M6166" s="179" t="s">
        <v>151</v>
      </c>
    </row>
    <row r="6167" spans="1:13" ht="25.5">
      <c r="A6167" s="313" t="str">
        <f t="shared" si="96"/>
        <v>SoilTypeCode_wellGradedGravel</v>
      </c>
      <c r="B6167" s="330"/>
      <c r="C6167" s="334"/>
      <c r="D6167" s="188" t="s">
        <v>30245</v>
      </c>
      <c r="E6167" s="189" t="s">
        <v>30246</v>
      </c>
      <c r="F6167" s="162" t="s">
        <v>30247</v>
      </c>
      <c r="G6167" s="190"/>
      <c r="H6167" s="219"/>
      <c r="I6167" s="169">
        <v>108308</v>
      </c>
      <c r="J6167" s="304" t="str">
        <f>CONCATENATE([2]Cover!$D$6,"fdd/view?i=",I6167)</f>
        <v>https://www.dgiwg.org/FAD/fdd/view?i=108308</v>
      </c>
      <c r="K6167" s="304" t="s">
        <v>40216</v>
      </c>
      <c r="L6167" s="188">
        <v>1</v>
      </c>
      <c r="M6167" s="179" t="s">
        <v>151</v>
      </c>
    </row>
    <row r="6168" spans="1:13">
      <c r="A6168" s="313" t="str">
        <f t="shared" si="96"/>
        <v>SoilTypeCode_wellGradedSand</v>
      </c>
      <c r="B6168" s="331"/>
      <c r="C6168" s="335"/>
      <c r="D6168" s="181" t="s">
        <v>30277</v>
      </c>
      <c r="E6168" s="192" t="s">
        <v>30278</v>
      </c>
      <c r="F6168" s="193" t="s">
        <v>30279</v>
      </c>
      <c r="G6168" s="194"/>
      <c r="H6168" s="220"/>
      <c r="I6168" s="169">
        <v>108312</v>
      </c>
      <c r="J6168" s="304" t="str">
        <f>CONCATENATE([2]Cover!$D$6,"fdd/view?i=",I6168)</f>
        <v>https://www.dgiwg.org/FAD/fdd/view?i=108312</v>
      </c>
      <c r="K6168" s="304" t="s">
        <v>40217</v>
      </c>
      <c r="L6168" s="181">
        <v>5</v>
      </c>
      <c r="M6168" s="179" t="s">
        <v>151</v>
      </c>
    </row>
    <row r="6169" spans="1:13" ht="25.5">
      <c r="A6169" s="313" t="str">
        <f t="shared" si="96"/>
        <v>SoilWetTrafficabilityTypeCode_a</v>
      </c>
      <c r="B6169" s="332" t="str">
        <f>HYPERLINK("[#]Datatypes!A1298:L1298","SoilWetTrafficabilityTypeCode")</f>
        <v>SoilWetTrafficabilityTypeCode</v>
      </c>
      <c r="C6169" s="333" t="s">
        <v>12919</v>
      </c>
      <c r="D6169" s="202" t="s">
        <v>17503</v>
      </c>
      <c r="E6169" s="203" t="s">
        <v>17504</v>
      </c>
      <c r="F6169" s="204" t="s">
        <v>30280</v>
      </c>
      <c r="G6169" s="205"/>
      <c r="H6169" s="218"/>
      <c r="I6169" s="169">
        <v>108292</v>
      </c>
      <c r="J6169" s="304" t="str">
        <f>CONCATENATE([2]Cover!$D$6,"fdd/view?i=",I6169)</f>
        <v>https://www.dgiwg.org/FAD/fdd/view?i=108292</v>
      </c>
      <c r="K6169" s="304" t="s">
        <v>40218</v>
      </c>
      <c r="L6169" s="202">
        <v>1</v>
      </c>
      <c r="M6169" s="179" t="s">
        <v>151</v>
      </c>
    </row>
    <row r="6170" spans="1:13">
      <c r="A6170" s="313" t="str">
        <f t="shared" si="96"/>
        <v>SoilWetTrafficabilityTypeCode_b</v>
      </c>
      <c r="B6170" s="330"/>
      <c r="C6170" s="334"/>
      <c r="D6170" s="188" t="s">
        <v>17523</v>
      </c>
      <c r="E6170" s="189" t="s">
        <v>17524</v>
      </c>
      <c r="F6170" s="162" t="s">
        <v>30281</v>
      </c>
      <c r="G6170" s="190"/>
      <c r="H6170" s="219"/>
      <c r="I6170" s="169">
        <v>108293</v>
      </c>
      <c r="J6170" s="304" t="str">
        <f>CONCATENATE([2]Cover!$D$6,"fdd/view?i=",I6170)</f>
        <v>https://www.dgiwg.org/FAD/fdd/view?i=108293</v>
      </c>
      <c r="K6170" s="304" t="s">
        <v>40219</v>
      </c>
      <c r="L6170" s="188">
        <v>2</v>
      </c>
      <c r="M6170" s="179" t="s">
        <v>151</v>
      </c>
    </row>
    <row r="6171" spans="1:13">
      <c r="A6171" s="313" t="str">
        <f t="shared" si="96"/>
        <v>SoilWetTrafficabilityTypeCode_c</v>
      </c>
      <c r="B6171" s="330"/>
      <c r="C6171" s="334"/>
      <c r="D6171" s="188" t="s">
        <v>30282</v>
      </c>
      <c r="E6171" s="189" t="s">
        <v>30283</v>
      </c>
      <c r="F6171" s="162" t="s">
        <v>30284</v>
      </c>
      <c r="G6171" s="190"/>
      <c r="H6171" s="219"/>
      <c r="I6171" s="169">
        <v>108294</v>
      </c>
      <c r="J6171" s="304" t="str">
        <f>CONCATENATE([2]Cover!$D$6,"fdd/view?i=",I6171)</f>
        <v>https://www.dgiwg.org/FAD/fdd/view?i=108294</v>
      </c>
      <c r="K6171" s="304" t="s">
        <v>40220</v>
      </c>
      <c r="L6171" s="188">
        <v>3</v>
      </c>
      <c r="M6171" s="179" t="s">
        <v>151</v>
      </c>
    </row>
    <row r="6172" spans="1:13" ht="38.25">
      <c r="A6172" s="313" t="str">
        <f t="shared" si="96"/>
        <v>SoilWetTrafficabilityTypeCode_d</v>
      </c>
      <c r="B6172" s="330"/>
      <c r="C6172" s="334"/>
      <c r="D6172" s="188" t="s">
        <v>30285</v>
      </c>
      <c r="E6172" s="189" t="s">
        <v>15420</v>
      </c>
      <c r="F6172" s="162" t="s">
        <v>30286</v>
      </c>
      <c r="G6172" s="190"/>
      <c r="H6172" s="219"/>
      <c r="I6172" s="169">
        <v>108295</v>
      </c>
      <c r="J6172" s="304" t="str">
        <f>CONCATENATE([2]Cover!$D$6,"fdd/view?i=",I6172)</f>
        <v>https://www.dgiwg.org/FAD/fdd/view?i=108295</v>
      </c>
      <c r="K6172" s="304" t="s">
        <v>40221</v>
      </c>
      <c r="L6172" s="188">
        <v>4</v>
      </c>
      <c r="M6172" s="179" t="s">
        <v>151</v>
      </c>
    </row>
    <row r="6173" spans="1:13">
      <c r="A6173" s="313" t="str">
        <f t="shared" si="96"/>
        <v>SoilWetTrafficabilityTypeCode_e</v>
      </c>
      <c r="B6173" s="330"/>
      <c r="C6173" s="334"/>
      <c r="D6173" s="188" t="s">
        <v>30287</v>
      </c>
      <c r="E6173" s="189" t="s">
        <v>30288</v>
      </c>
      <c r="F6173" s="162" t="s">
        <v>30289</v>
      </c>
      <c r="G6173" s="190"/>
      <c r="H6173" s="219"/>
      <c r="I6173" s="169">
        <v>108296</v>
      </c>
      <c r="J6173" s="304" t="str">
        <f>CONCATENATE([2]Cover!$D$6,"fdd/view?i=",I6173)</f>
        <v>https://www.dgiwg.org/FAD/fdd/view?i=108296</v>
      </c>
      <c r="K6173" s="304" t="s">
        <v>40222</v>
      </c>
      <c r="L6173" s="188">
        <v>5</v>
      </c>
      <c r="M6173" s="179" t="s">
        <v>151</v>
      </c>
    </row>
    <row r="6174" spans="1:13">
      <c r="A6174" s="313" t="str">
        <f t="shared" si="96"/>
        <v>SoilWetTrafficabilityTypeCode_x</v>
      </c>
      <c r="B6174" s="331"/>
      <c r="C6174" s="335"/>
      <c r="D6174" s="181" t="s">
        <v>30290</v>
      </c>
      <c r="E6174" s="192" t="s">
        <v>30291</v>
      </c>
      <c r="F6174" s="193" t="s">
        <v>30259</v>
      </c>
      <c r="G6174" s="194"/>
      <c r="H6174" s="220"/>
      <c r="I6174" s="169">
        <v>108297</v>
      </c>
      <c r="J6174" s="304" t="str">
        <f>CONCATENATE([2]Cover!$D$6,"fdd/view?i=",I6174)</f>
        <v>https://www.dgiwg.org/FAD/fdd/view?i=108297</v>
      </c>
      <c r="K6174" s="304" t="s">
        <v>40223</v>
      </c>
      <c r="L6174" s="181">
        <v>6</v>
      </c>
      <c r="M6174" s="179" t="s">
        <v>151</v>
      </c>
    </row>
    <row r="6175" spans="1:13" ht="280.5">
      <c r="A6175" s="313" t="str">
        <f t="shared" si="96"/>
        <v>SoilWetnessConditionCode_normallyDry</v>
      </c>
      <c r="B6175" s="332" t="str">
        <f>HYPERLINK("[#]Datatypes!A1300:L1300","SoilWetnessConditionCode")</f>
        <v>SoilWetnessConditionCode</v>
      </c>
      <c r="C6175" s="333" t="s">
        <v>12921</v>
      </c>
      <c r="D6175" s="202" t="s">
        <v>30292</v>
      </c>
      <c r="E6175" s="203" t="s">
        <v>30293</v>
      </c>
      <c r="F6175" s="204" t="s">
        <v>30294</v>
      </c>
      <c r="G6175" s="204" t="s">
        <v>30295</v>
      </c>
      <c r="H6175" s="218"/>
      <c r="I6175" s="169">
        <v>108384</v>
      </c>
      <c r="J6175" s="304" t="str">
        <f>CONCATENATE([2]Cover!$D$6,"fdd/view?i=",I6175)</f>
        <v>https://www.dgiwg.org/FAD/fdd/view?i=108384</v>
      </c>
      <c r="K6175" s="304" t="s">
        <v>40224</v>
      </c>
      <c r="L6175" s="202">
        <v>1</v>
      </c>
      <c r="M6175" s="179" t="s">
        <v>151</v>
      </c>
    </row>
    <row r="6176" spans="1:13" ht="25.5">
      <c r="A6176" s="313" t="str">
        <f t="shared" si="96"/>
        <v>SoilWetnessConditionCode_normallyFrozen</v>
      </c>
      <c r="B6176" s="330"/>
      <c r="C6176" s="334"/>
      <c r="D6176" s="188" t="s">
        <v>30296</v>
      </c>
      <c r="E6176" s="189" t="s">
        <v>30297</v>
      </c>
      <c r="F6176" s="162" t="s">
        <v>30298</v>
      </c>
      <c r="G6176" s="190"/>
      <c r="H6176" s="219"/>
      <c r="I6176" s="169">
        <v>108387</v>
      </c>
      <c r="J6176" s="304" t="str">
        <f>CONCATENATE([2]Cover!$D$6,"fdd/view?i=",I6176)</f>
        <v>https://www.dgiwg.org/FAD/fdd/view?i=108387</v>
      </c>
      <c r="K6176" s="304" t="s">
        <v>40225</v>
      </c>
      <c r="L6176" s="188">
        <v>4</v>
      </c>
      <c r="M6176" s="179" t="s">
        <v>151</v>
      </c>
    </row>
    <row r="6177" spans="1:13" ht="318.75">
      <c r="A6177" s="313" t="str">
        <f t="shared" si="96"/>
        <v>SoilWetnessConditionCode_normallyMoist</v>
      </c>
      <c r="B6177" s="330"/>
      <c r="C6177" s="334"/>
      <c r="D6177" s="188" t="s">
        <v>30299</v>
      </c>
      <c r="E6177" s="189" t="s">
        <v>30300</v>
      </c>
      <c r="F6177" s="162" t="s">
        <v>30301</v>
      </c>
      <c r="G6177" s="162" t="s">
        <v>30302</v>
      </c>
      <c r="H6177" s="219"/>
      <c r="I6177" s="169">
        <v>108385</v>
      </c>
      <c r="J6177" s="304" t="str">
        <f>CONCATENATE([2]Cover!$D$6,"fdd/view?i=",I6177)</f>
        <v>https://www.dgiwg.org/FAD/fdd/view?i=108385</v>
      </c>
      <c r="K6177" s="304" t="s">
        <v>40226</v>
      </c>
      <c r="L6177" s="188">
        <v>2</v>
      </c>
      <c r="M6177" s="179" t="s">
        <v>151</v>
      </c>
    </row>
    <row r="6178" spans="1:13" ht="242.25">
      <c r="A6178" s="313" t="str">
        <f t="shared" si="96"/>
        <v>SoilWetnessConditionCode_normallyWet</v>
      </c>
      <c r="B6178" s="331"/>
      <c r="C6178" s="335"/>
      <c r="D6178" s="181" t="s">
        <v>30303</v>
      </c>
      <c r="E6178" s="192" t="s">
        <v>30304</v>
      </c>
      <c r="F6178" s="193" t="s">
        <v>30305</v>
      </c>
      <c r="G6178" s="193" t="s">
        <v>30306</v>
      </c>
      <c r="H6178" s="220"/>
      <c r="I6178" s="169">
        <v>108386</v>
      </c>
      <c r="J6178" s="304" t="str">
        <f>CONCATENATE([2]Cover!$D$6,"fdd/view?i=",I6178)</f>
        <v>https://www.dgiwg.org/FAD/fdd/view?i=108386</v>
      </c>
      <c r="K6178" s="304" t="s">
        <v>40227</v>
      </c>
      <c r="L6178" s="181">
        <v>3</v>
      </c>
      <c r="M6178" s="179" t="s">
        <v>151</v>
      </c>
    </row>
    <row r="6179" spans="1:13" ht="25.5">
      <c r="A6179" s="313" t="str">
        <f t="shared" si="96"/>
        <v>SoundingDatumCode_approxLowestAstronomTide</v>
      </c>
      <c r="B6179" s="332" t="str">
        <f>HYPERLINK("[#]Datatypes!A1304:L1304","SoundingDatumCode")</f>
        <v>SoundingDatumCode</v>
      </c>
      <c r="C6179" s="333" t="s">
        <v>12924</v>
      </c>
      <c r="D6179" s="202" t="s">
        <v>30307</v>
      </c>
      <c r="E6179" s="203" t="s">
        <v>30308</v>
      </c>
      <c r="F6179" s="204" t="s">
        <v>30309</v>
      </c>
      <c r="G6179" s="205"/>
      <c r="H6179" s="218"/>
      <c r="I6179" s="169">
        <v>109166</v>
      </c>
      <c r="J6179" s="304" t="str">
        <f>CONCATENATE([2]Cover!$D$6,"fdd/view?i=",I6179)</f>
        <v>https://www.dgiwg.org/FAD/fdd/view?i=109166</v>
      </c>
      <c r="K6179" s="304" t="s">
        <v>40228</v>
      </c>
      <c r="L6179" s="202">
        <v>94</v>
      </c>
      <c r="M6179" s="179" t="s">
        <v>151</v>
      </c>
    </row>
    <row r="6180" spans="1:13" ht="25.5">
      <c r="A6180" s="313" t="str">
        <f t="shared" si="96"/>
        <v>SoundingDatumCode_approxMeanLowerLowWater</v>
      </c>
      <c r="B6180" s="330"/>
      <c r="C6180" s="334"/>
      <c r="D6180" s="188" t="s">
        <v>30316</v>
      </c>
      <c r="E6180" s="189" t="s">
        <v>30317</v>
      </c>
      <c r="F6180" s="162" t="s">
        <v>30318</v>
      </c>
      <c r="G6180" s="190"/>
      <c r="H6180" s="219"/>
      <c r="I6180" s="169">
        <v>109169</v>
      </c>
      <c r="J6180" s="304" t="str">
        <f>CONCATENATE([2]Cover!$D$6,"fdd/view?i=",I6180)</f>
        <v>https://www.dgiwg.org/FAD/fdd/view?i=109169</v>
      </c>
      <c r="K6180" s="304" t="s">
        <v>40229</v>
      </c>
      <c r="L6180" s="188">
        <v>97</v>
      </c>
      <c r="M6180" s="179" t="s">
        <v>151</v>
      </c>
    </row>
    <row r="6181" spans="1:13" ht="25.5">
      <c r="A6181" s="313" t="str">
        <f t="shared" si="96"/>
        <v>SoundingDatumCode_approxMeanLowWater</v>
      </c>
      <c r="B6181" s="330"/>
      <c r="C6181" s="334"/>
      <c r="D6181" s="188" t="s">
        <v>30310</v>
      </c>
      <c r="E6181" s="189" t="s">
        <v>30311</v>
      </c>
      <c r="F6181" s="162" t="s">
        <v>30312</v>
      </c>
      <c r="G6181" s="190"/>
      <c r="H6181" s="219"/>
      <c r="I6181" s="169">
        <v>109168</v>
      </c>
      <c r="J6181" s="304" t="str">
        <f>CONCATENATE([2]Cover!$D$6,"fdd/view?i=",I6181)</f>
        <v>https://www.dgiwg.org/FAD/fdd/view?i=109168</v>
      </c>
      <c r="K6181" s="304" t="s">
        <v>40230</v>
      </c>
      <c r="L6181" s="188">
        <v>96</v>
      </c>
      <c r="M6181" s="179" t="s">
        <v>151</v>
      </c>
    </row>
    <row r="6182" spans="1:13" ht="25.5">
      <c r="A6182" s="313" t="str">
        <f t="shared" si="96"/>
        <v>SoundingDatumCode_approxMeanLowWaterSprings</v>
      </c>
      <c r="B6182" s="330"/>
      <c r="C6182" s="334"/>
      <c r="D6182" s="188" t="s">
        <v>30313</v>
      </c>
      <c r="E6182" s="189" t="s">
        <v>30314</v>
      </c>
      <c r="F6182" s="162" t="s">
        <v>30315</v>
      </c>
      <c r="G6182" s="190"/>
      <c r="H6182" s="219"/>
      <c r="I6182" s="169">
        <v>109164</v>
      </c>
      <c r="J6182" s="304" t="str">
        <f>CONCATENATE([2]Cover!$D$6,"fdd/view?i=",I6182)</f>
        <v>https://www.dgiwg.org/FAD/fdd/view?i=109164</v>
      </c>
      <c r="K6182" s="304" t="s">
        <v>40231</v>
      </c>
      <c r="L6182" s="188">
        <v>92</v>
      </c>
      <c r="M6182" s="179" t="s">
        <v>151</v>
      </c>
    </row>
    <row r="6183" spans="1:13" ht="25.5">
      <c r="A6183" s="313" t="str">
        <f t="shared" si="96"/>
        <v>SoundingDatumCode_approxMeanSeaLevel</v>
      </c>
      <c r="B6183" s="330"/>
      <c r="C6183" s="334"/>
      <c r="D6183" s="188" t="s">
        <v>30319</v>
      </c>
      <c r="E6183" s="189" t="s">
        <v>30320</v>
      </c>
      <c r="F6183" s="162" t="s">
        <v>30321</v>
      </c>
      <c r="G6183" s="190"/>
      <c r="H6183" s="219"/>
      <c r="I6183" s="169">
        <v>109170</v>
      </c>
      <c r="J6183" s="304" t="str">
        <f>CONCATENATE([2]Cover!$D$6,"fdd/view?i=",I6183)</f>
        <v>https://www.dgiwg.org/FAD/fdd/view?i=109170</v>
      </c>
      <c r="K6183" s="304" t="s">
        <v>40232</v>
      </c>
      <c r="L6183" s="188">
        <v>98</v>
      </c>
      <c r="M6183" s="179" t="s">
        <v>151</v>
      </c>
    </row>
    <row r="6184" spans="1:13" ht="25.5">
      <c r="A6184" s="313" t="str">
        <f t="shared" si="96"/>
        <v>SoundingDatumCode_chartDatumUnspecified</v>
      </c>
      <c r="B6184" s="330"/>
      <c r="C6184" s="334"/>
      <c r="D6184" s="188" t="s">
        <v>30322</v>
      </c>
      <c r="E6184" s="189" t="s">
        <v>30323</v>
      </c>
      <c r="F6184" s="162" t="s">
        <v>30324</v>
      </c>
      <c r="G6184" s="190"/>
      <c r="H6184" s="219"/>
      <c r="I6184" s="169">
        <v>109155</v>
      </c>
      <c r="J6184" s="304" t="str">
        <f>CONCATENATE([2]Cover!$D$6,"fdd/view?i=",I6184)</f>
        <v>https://www.dgiwg.org/FAD/fdd/view?i=109155</v>
      </c>
      <c r="K6184" s="304" t="s">
        <v>40233</v>
      </c>
      <c r="L6184" s="188">
        <v>21</v>
      </c>
      <c r="M6184" s="179" t="s">
        <v>151</v>
      </c>
    </row>
    <row r="6185" spans="1:13" ht="25.5">
      <c r="A6185" s="313" t="str">
        <f t="shared" si="96"/>
        <v>SoundingDatumCode_equinoctialSpringLowWater</v>
      </c>
      <c r="B6185" s="330"/>
      <c r="C6185" s="334"/>
      <c r="D6185" s="188" t="s">
        <v>30325</v>
      </c>
      <c r="E6185" s="189" t="s">
        <v>30326</v>
      </c>
      <c r="F6185" s="162" t="s">
        <v>30327</v>
      </c>
      <c r="G6185" s="190"/>
      <c r="H6185" s="219"/>
      <c r="I6185" s="169">
        <v>109172</v>
      </c>
      <c r="J6185" s="304" t="str">
        <f>CONCATENATE([2]Cover!$D$6,"fdd/view?i=",I6185)</f>
        <v>https://www.dgiwg.org/FAD/fdd/view?i=109172</v>
      </c>
      <c r="K6185" s="304" t="s">
        <v>40234</v>
      </c>
      <c r="L6185" s="188">
        <v>100</v>
      </c>
      <c r="M6185" s="179" t="s">
        <v>151</v>
      </c>
    </row>
    <row r="6186" spans="1:13" ht="25.5">
      <c r="A6186" s="313" t="str">
        <f t="shared" si="96"/>
        <v>SoundingDatumCode_higherHighWater</v>
      </c>
      <c r="B6186" s="330"/>
      <c r="C6186" s="334"/>
      <c r="D6186" s="188" t="s">
        <v>30336</v>
      </c>
      <c r="E6186" s="189" t="s">
        <v>30337</v>
      </c>
      <c r="F6186" s="162" t="s">
        <v>30338</v>
      </c>
      <c r="G6186" s="190"/>
      <c r="H6186" s="221" t="s">
        <v>30339</v>
      </c>
      <c r="I6186" s="169">
        <v>109137</v>
      </c>
      <c r="J6186" s="304" t="str">
        <f>CONCATENATE([2]Cover!$D$6,"fdd/view?i=",I6186)</f>
        <v>https://www.dgiwg.org/FAD/fdd/view?i=109137</v>
      </c>
      <c r="K6186" s="304" t="s">
        <v>40235</v>
      </c>
      <c r="L6186" s="188">
        <v>3</v>
      </c>
      <c r="M6186" s="179" t="s">
        <v>151</v>
      </c>
    </row>
    <row r="6187" spans="1:13" ht="25.5">
      <c r="A6187" s="313" t="str">
        <f t="shared" si="96"/>
        <v>SoundingDatumCode_higherHighWaterLargeTide</v>
      </c>
      <c r="B6187" s="330"/>
      <c r="C6187" s="334"/>
      <c r="D6187" s="188" t="s">
        <v>30340</v>
      </c>
      <c r="E6187" s="189" t="s">
        <v>30341</v>
      </c>
      <c r="F6187" s="162" t="s">
        <v>30342</v>
      </c>
      <c r="G6187" s="190"/>
      <c r="H6187" s="221" t="s">
        <v>30343</v>
      </c>
      <c r="I6187" s="169">
        <v>109177</v>
      </c>
      <c r="J6187" s="304" t="str">
        <f>CONCATENATE([2]Cover!$D$6,"fdd/view?i=",I6187)</f>
        <v>https://www.dgiwg.org/FAD/fdd/view?i=109177</v>
      </c>
      <c r="K6187" s="304" t="s">
        <v>40236</v>
      </c>
      <c r="L6187" s="188">
        <v>105</v>
      </c>
      <c r="M6187" s="179" t="s">
        <v>151</v>
      </c>
    </row>
    <row r="6188" spans="1:13" ht="38.25">
      <c r="A6188" s="313" t="str">
        <f t="shared" si="96"/>
        <v>SoundingDatumCode_highestAstronomicalTide</v>
      </c>
      <c r="B6188" s="330"/>
      <c r="C6188" s="334"/>
      <c r="D6188" s="188" t="s">
        <v>30344</v>
      </c>
      <c r="E6188" s="189" t="s">
        <v>30345</v>
      </c>
      <c r="F6188" s="162" t="s">
        <v>30346</v>
      </c>
      <c r="G6188" s="190"/>
      <c r="H6188" s="221" t="s">
        <v>7392</v>
      </c>
      <c r="I6188" s="169">
        <v>109156</v>
      </c>
      <c r="J6188" s="304" t="str">
        <f>CONCATENATE([2]Cover!$D$6,"fdd/view?i=",I6188)</f>
        <v>https://www.dgiwg.org/FAD/fdd/view?i=109156</v>
      </c>
      <c r="K6188" s="304" t="s">
        <v>40237</v>
      </c>
      <c r="L6188" s="188">
        <v>22</v>
      </c>
      <c r="M6188" s="179" t="s">
        <v>151</v>
      </c>
    </row>
    <row r="6189" spans="1:13" ht="25.5">
      <c r="A6189" s="313" t="str">
        <f t="shared" si="96"/>
        <v>SoundingDatumCode_highestHighWater</v>
      </c>
      <c r="B6189" s="330"/>
      <c r="C6189" s="334"/>
      <c r="D6189" s="188" t="s">
        <v>23579</v>
      </c>
      <c r="E6189" s="189" t="s">
        <v>23580</v>
      </c>
      <c r="F6189" s="162" t="s">
        <v>23581</v>
      </c>
      <c r="G6189" s="190"/>
      <c r="H6189" s="219"/>
      <c r="I6189" s="169">
        <v>109160</v>
      </c>
      <c r="J6189" s="304" t="str">
        <f>CONCATENATE([2]Cover!$D$6,"fdd/view?i=",I6189)</f>
        <v>https://www.dgiwg.org/FAD/fdd/view?i=109160</v>
      </c>
      <c r="K6189" s="304" t="s">
        <v>40238</v>
      </c>
      <c r="L6189" s="188">
        <v>28</v>
      </c>
      <c r="M6189" s="179" t="s">
        <v>151</v>
      </c>
    </row>
    <row r="6190" spans="1:13" ht="38.25">
      <c r="A6190" s="313" t="str">
        <f t="shared" si="96"/>
        <v>SoundingDatumCode_highWater</v>
      </c>
      <c r="B6190" s="330"/>
      <c r="C6190" s="334"/>
      <c r="D6190" s="188" t="s">
        <v>30328</v>
      </c>
      <c r="E6190" s="189" t="s">
        <v>30329</v>
      </c>
      <c r="F6190" s="162" t="s">
        <v>30330</v>
      </c>
      <c r="G6190" s="162" t="s">
        <v>30331</v>
      </c>
      <c r="H6190" s="221" t="s">
        <v>30332</v>
      </c>
      <c r="I6190" s="169">
        <v>109136</v>
      </c>
      <c r="J6190" s="304" t="str">
        <f>CONCATENATE([2]Cover!$D$6,"fdd/view?i=",I6190)</f>
        <v>https://www.dgiwg.org/FAD/fdd/view?i=109136</v>
      </c>
      <c r="K6190" s="304" t="s">
        <v>40239</v>
      </c>
      <c r="L6190" s="188">
        <v>2</v>
      </c>
      <c r="M6190" s="179" t="s">
        <v>151</v>
      </c>
    </row>
    <row r="6191" spans="1:13" ht="25.5">
      <c r="A6191" s="313" t="str">
        <f t="shared" si="96"/>
        <v>SoundingDatumCode_highWaterSprings</v>
      </c>
      <c r="B6191" s="330"/>
      <c r="C6191" s="334"/>
      <c r="D6191" s="188" t="s">
        <v>30333</v>
      </c>
      <c r="E6191" s="189" t="s">
        <v>30334</v>
      </c>
      <c r="F6191" s="162" t="s">
        <v>30335</v>
      </c>
      <c r="G6191" s="190"/>
      <c r="H6191" s="219"/>
      <c r="I6191" s="169">
        <v>109171</v>
      </c>
      <c r="J6191" s="304" t="str">
        <f>CONCATENATE([2]Cover!$D$6,"fdd/view?i=",I6191)</f>
        <v>https://www.dgiwg.org/FAD/fdd/view?i=109171</v>
      </c>
      <c r="K6191" s="304" t="s">
        <v>40240</v>
      </c>
      <c r="L6191" s="188">
        <v>99</v>
      </c>
      <c r="M6191" s="179" t="s">
        <v>151</v>
      </c>
    </row>
    <row r="6192" spans="1:13" ht="38.25">
      <c r="A6192" s="313" t="str">
        <f t="shared" si="96"/>
        <v>SoundingDatumCode_igld1985</v>
      </c>
      <c r="B6192" s="330"/>
      <c r="C6192" s="334"/>
      <c r="D6192" s="188" t="s">
        <v>30353</v>
      </c>
      <c r="E6192" s="189" t="s">
        <v>30354</v>
      </c>
      <c r="F6192" s="162" t="s">
        <v>30355</v>
      </c>
      <c r="G6192" s="190"/>
      <c r="H6192" s="219"/>
      <c r="I6192" s="169">
        <v>109174</v>
      </c>
      <c r="J6192" s="304" t="str">
        <f>CONCATENATE([2]Cover!$D$6,"fdd/view?i=",I6192)</f>
        <v>https://www.dgiwg.org/FAD/fdd/view?i=109174</v>
      </c>
      <c r="K6192" s="304" t="s">
        <v>40241</v>
      </c>
      <c r="L6192" s="188">
        <v>102</v>
      </c>
      <c r="M6192" s="179" t="s">
        <v>151</v>
      </c>
    </row>
    <row r="6193" spans="1:13" ht="51">
      <c r="A6193" s="313" t="str">
        <f t="shared" si="96"/>
        <v>SoundingDatumCode_indianSpringHighWater</v>
      </c>
      <c r="B6193" s="330"/>
      <c r="C6193" s="334"/>
      <c r="D6193" s="188" t="s">
        <v>23582</v>
      </c>
      <c r="E6193" s="189" t="s">
        <v>23583</v>
      </c>
      <c r="F6193" s="162" t="s">
        <v>23584</v>
      </c>
      <c r="G6193" s="162" t="s">
        <v>30347</v>
      </c>
      <c r="H6193" s="219"/>
      <c r="I6193" s="169">
        <v>109161</v>
      </c>
      <c r="J6193" s="304" t="str">
        <f>CONCATENATE([2]Cover!$D$6,"fdd/view?i=",I6193)</f>
        <v>https://www.dgiwg.org/FAD/fdd/view?i=109161</v>
      </c>
      <c r="K6193" s="304" t="s">
        <v>40242</v>
      </c>
      <c r="L6193" s="188">
        <v>30</v>
      </c>
      <c r="M6193" s="179" t="s">
        <v>151</v>
      </c>
    </row>
    <row r="6194" spans="1:13" ht="51">
      <c r="A6194" s="313" t="str">
        <f t="shared" si="96"/>
        <v>SoundingDatumCode_indianSpringLowWater</v>
      </c>
      <c r="B6194" s="330"/>
      <c r="C6194" s="334"/>
      <c r="D6194" s="188" t="s">
        <v>30348</v>
      </c>
      <c r="E6194" s="189" t="s">
        <v>30349</v>
      </c>
      <c r="F6194" s="162" t="s">
        <v>30350</v>
      </c>
      <c r="G6194" s="162" t="s">
        <v>30351</v>
      </c>
      <c r="H6194" s="221" t="s">
        <v>30352</v>
      </c>
      <c r="I6194" s="169">
        <v>109138</v>
      </c>
      <c r="J6194" s="304" t="str">
        <f>CONCATENATE([2]Cover!$D$6,"fdd/view?i=",I6194)</f>
        <v>https://www.dgiwg.org/FAD/fdd/view?i=109138</v>
      </c>
      <c r="K6194" s="304" t="s">
        <v>40243</v>
      </c>
      <c r="L6194" s="188">
        <v>4</v>
      </c>
      <c r="M6194" s="179" t="s">
        <v>151</v>
      </c>
    </row>
    <row r="6195" spans="1:13" ht="25.5">
      <c r="A6195" s="313" t="str">
        <f t="shared" si="96"/>
        <v>SoundingDatumCode_localDatum</v>
      </c>
      <c r="B6195" s="330"/>
      <c r="C6195" s="334"/>
      <c r="D6195" s="188" t="s">
        <v>30356</v>
      </c>
      <c r="E6195" s="189" t="s">
        <v>30357</v>
      </c>
      <c r="F6195" s="162" t="s">
        <v>30358</v>
      </c>
      <c r="G6195" s="190"/>
      <c r="H6195" s="219"/>
      <c r="I6195" s="169">
        <v>109173</v>
      </c>
      <c r="J6195" s="304" t="str">
        <f>CONCATENATE([2]Cover!$D$6,"fdd/view?i=",I6195)</f>
        <v>https://www.dgiwg.org/FAD/fdd/view?i=109173</v>
      </c>
      <c r="K6195" s="304" t="s">
        <v>40244</v>
      </c>
      <c r="L6195" s="188">
        <v>101</v>
      </c>
      <c r="M6195" s="179" t="s">
        <v>151</v>
      </c>
    </row>
    <row r="6196" spans="1:13" ht="25.5">
      <c r="A6196" s="313" t="str">
        <f t="shared" si="96"/>
        <v>SoundingDatumCode_lowerLowWater</v>
      </c>
      <c r="B6196" s="330"/>
      <c r="C6196" s="334"/>
      <c r="D6196" s="188" t="s">
        <v>30367</v>
      </c>
      <c r="E6196" s="189" t="s">
        <v>30368</v>
      </c>
      <c r="F6196" s="162" t="s">
        <v>30369</v>
      </c>
      <c r="G6196" s="190"/>
      <c r="H6196" s="221" t="s">
        <v>30370</v>
      </c>
      <c r="I6196" s="169">
        <v>109140</v>
      </c>
      <c r="J6196" s="304" t="str">
        <f>CONCATENATE([2]Cover!$D$6,"fdd/view?i=",I6196)</f>
        <v>https://www.dgiwg.org/FAD/fdd/view?i=109140</v>
      </c>
      <c r="K6196" s="304" t="s">
        <v>40245</v>
      </c>
      <c r="L6196" s="188">
        <v>6</v>
      </c>
      <c r="M6196" s="179" t="s">
        <v>151</v>
      </c>
    </row>
    <row r="6197" spans="1:13" ht="25.5">
      <c r="A6197" s="313" t="str">
        <f t="shared" si="96"/>
        <v>SoundingDatumCode_lowerLowWaterLargeTide</v>
      </c>
      <c r="B6197" s="330"/>
      <c r="C6197" s="334"/>
      <c r="D6197" s="188" t="s">
        <v>30371</v>
      </c>
      <c r="E6197" s="189" t="s">
        <v>30372</v>
      </c>
      <c r="F6197" s="162" t="s">
        <v>30373</v>
      </c>
      <c r="G6197" s="190"/>
      <c r="H6197" s="221" t="s">
        <v>30374</v>
      </c>
      <c r="I6197" s="169">
        <v>109176</v>
      </c>
      <c r="J6197" s="304" t="str">
        <f>CONCATENATE([2]Cover!$D$6,"fdd/view?i=",I6197)</f>
        <v>https://www.dgiwg.org/FAD/fdd/view?i=109176</v>
      </c>
      <c r="K6197" s="304" t="s">
        <v>40246</v>
      </c>
      <c r="L6197" s="188">
        <v>104</v>
      </c>
      <c r="M6197" s="179" t="s">
        <v>151</v>
      </c>
    </row>
    <row r="6198" spans="1:13" ht="38.25">
      <c r="A6198" s="313" t="str">
        <f t="shared" si="96"/>
        <v>SoundingDatumCode_lowestAstronomicalTide</v>
      </c>
      <c r="B6198" s="330"/>
      <c r="C6198" s="334"/>
      <c r="D6198" s="188" t="s">
        <v>30375</v>
      </c>
      <c r="E6198" s="189" t="s">
        <v>30376</v>
      </c>
      <c r="F6198" s="162" t="s">
        <v>30377</v>
      </c>
      <c r="G6198" s="190"/>
      <c r="H6198" s="221" t="s">
        <v>30378</v>
      </c>
      <c r="I6198" s="169">
        <v>109154</v>
      </c>
      <c r="J6198" s="304" t="str">
        <f>CONCATENATE([2]Cover!$D$6,"fdd/view?i=",I6198)</f>
        <v>https://www.dgiwg.org/FAD/fdd/view?i=109154</v>
      </c>
      <c r="K6198" s="304" t="s">
        <v>40247</v>
      </c>
      <c r="L6198" s="188">
        <v>20</v>
      </c>
      <c r="M6198" s="179" t="s">
        <v>151</v>
      </c>
    </row>
    <row r="6199" spans="1:13" ht="25.5">
      <c r="A6199" s="313" t="str">
        <f t="shared" si="96"/>
        <v>SoundingDatumCode_lowestLowWater</v>
      </c>
      <c r="B6199" s="330"/>
      <c r="C6199" s="334"/>
      <c r="D6199" s="188" t="s">
        <v>30379</v>
      </c>
      <c r="E6199" s="189" t="s">
        <v>30380</v>
      </c>
      <c r="F6199" s="162" t="s">
        <v>30381</v>
      </c>
      <c r="G6199" s="190"/>
      <c r="H6199" s="219"/>
      <c r="I6199" s="169">
        <v>109162</v>
      </c>
      <c r="J6199" s="304" t="str">
        <f>CONCATENATE([2]Cover!$D$6,"fdd/view?i=",I6199)</f>
        <v>https://www.dgiwg.org/FAD/fdd/view?i=109162</v>
      </c>
      <c r="K6199" s="304" t="s">
        <v>40248</v>
      </c>
      <c r="L6199" s="188">
        <v>90</v>
      </c>
      <c r="M6199" s="179" t="s">
        <v>151</v>
      </c>
    </row>
    <row r="6200" spans="1:13" ht="25.5">
      <c r="A6200" s="313" t="str">
        <f t="shared" si="96"/>
        <v>SoundingDatumCode_lowestLowWaterSprings</v>
      </c>
      <c r="B6200" s="330"/>
      <c r="C6200" s="334"/>
      <c r="D6200" s="188" t="s">
        <v>30382</v>
      </c>
      <c r="E6200" s="189" t="s">
        <v>30383</v>
      </c>
      <c r="F6200" s="162" t="s">
        <v>30384</v>
      </c>
      <c r="G6200" s="190"/>
      <c r="H6200" s="219"/>
      <c r="I6200" s="169">
        <v>109163</v>
      </c>
      <c r="J6200" s="304" t="str">
        <f>CONCATENATE([2]Cover!$D$6,"fdd/view?i=",I6200)</f>
        <v>https://www.dgiwg.org/FAD/fdd/view?i=109163</v>
      </c>
      <c r="K6200" s="304" t="s">
        <v>40249</v>
      </c>
      <c r="L6200" s="188">
        <v>91</v>
      </c>
      <c r="M6200" s="179" t="s">
        <v>151</v>
      </c>
    </row>
    <row r="6201" spans="1:13" ht="127.5">
      <c r="A6201" s="313" t="str">
        <f t="shared" si="96"/>
        <v>SoundingDatumCode_lowWater</v>
      </c>
      <c r="B6201" s="330"/>
      <c r="C6201" s="334"/>
      <c r="D6201" s="188" t="s">
        <v>30359</v>
      </c>
      <c r="E6201" s="189" t="s">
        <v>30360</v>
      </c>
      <c r="F6201" s="162" t="s">
        <v>30361</v>
      </c>
      <c r="G6201" s="162" t="s">
        <v>30362</v>
      </c>
      <c r="H6201" s="221" t="s">
        <v>30363</v>
      </c>
      <c r="I6201" s="169">
        <v>109139</v>
      </c>
      <c r="J6201" s="304" t="str">
        <f>CONCATENATE([2]Cover!$D$6,"fdd/view?i=",I6201)</f>
        <v>https://www.dgiwg.org/FAD/fdd/view?i=109139</v>
      </c>
      <c r="K6201" s="304" t="s">
        <v>40250</v>
      </c>
      <c r="L6201" s="188">
        <v>5</v>
      </c>
      <c r="M6201" s="179" t="s">
        <v>151</v>
      </c>
    </row>
    <row r="6202" spans="1:13" ht="25.5">
      <c r="A6202" s="313" t="str">
        <f t="shared" si="96"/>
        <v>SoundingDatumCode_lowWaterSprings</v>
      </c>
      <c r="B6202" s="330"/>
      <c r="C6202" s="334"/>
      <c r="D6202" s="188" t="s">
        <v>30364</v>
      </c>
      <c r="E6202" s="189" t="s">
        <v>30365</v>
      </c>
      <c r="F6202" s="162" t="s">
        <v>30366</v>
      </c>
      <c r="G6202" s="190"/>
      <c r="H6202" s="219"/>
      <c r="I6202" s="169">
        <v>109165</v>
      </c>
      <c r="J6202" s="304" t="str">
        <f>CONCATENATE([2]Cover!$D$6,"fdd/view?i=",I6202)</f>
        <v>https://www.dgiwg.org/FAD/fdd/view?i=109165</v>
      </c>
      <c r="K6202" s="304" t="s">
        <v>40251</v>
      </c>
      <c r="L6202" s="188">
        <v>93</v>
      </c>
      <c r="M6202" s="179" t="s">
        <v>151</v>
      </c>
    </row>
    <row r="6203" spans="1:13" ht="25.5">
      <c r="A6203" s="313" t="str">
        <f t="shared" si="96"/>
        <v>SoundingDatumCode_meanHigherHighWater</v>
      </c>
      <c r="B6203" s="330"/>
      <c r="C6203" s="334"/>
      <c r="D6203" s="188" t="s">
        <v>23591</v>
      </c>
      <c r="E6203" s="189" t="s">
        <v>23592</v>
      </c>
      <c r="F6203" s="162" t="s">
        <v>23593</v>
      </c>
      <c r="G6203" s="190"/>
      <c r="H6203" s="221" t="s">
        <v>30391</v>
      </c>
      <c r="I6203" s="169">
        <v>109144</v>
      </c>
      <c r="J6203" s="304" t="str">
        <f>CONCATENATE([2]Cover!$D$6,"fdd/view?i=",I6203)</f>
        <v>https://www.dgiwg.org/FAD/fdd/view?i=109144</v>
      </c>
      <c r="K6203" s="304" t="s">
        <v>40252</v>
      </c>
      <c r="L6203" s="188">
        <v>10</v>
      </c>
      <c r="M6203" s="179" t="s">
        <v>151</v>
      </c>
    </row>
    <row r="6204" spans="1:13" ht="25.5">
      <c r="A6204" s="313" t="str">
        <f t="shared" si="96"/>
        <v>SoundingDatumCode_meanHigherHighWaterSprings</v>
      </c>
      <c r="B6204" s="330"/>
      <c r="C6204" s="334"/>
      <c r="D6204" s="188" t="s">
        <v>23594</v>
      </c>
      <c r="E6204" s="189" t="s">
        <v>23595</v>
      </c>
      <c r="F6204" s="162" t="s">
        <v>23596</v>
      </c>
      <c r="G6204" s="190"/>
      <c r="H6204" s="219"/>
      <c r="I6204" s="169">
        <v>109157</v>
      </c>
      <c r="J6204" s="304" t="str">
        <f>CONCATENATE([2]Cover!$D$6,"fdd/view?i=",I6204)</f>
        <v>https://www.dgiwg.org/FAD/fdd/view?i=109157</v>
      </c>
      <c r="K6204" s="304" t="s">
        <v>40253</v>
      </c>
      <c r="L6204" s="188">
        <v>24</v>
      </c>
      <c r="M6204" s="179" t="s">
        <v>151</v>
      </c>
    </row>
    <row r="6205" spans="1:13" ht="25.5">
      <c r="A6205" s="313" t="str">
        <f t="shared" si="96"/>
        <v>SoundingDatumCode_meanHighWater</v>
      </c>
      <c r="B6205" s="330"/>
      <c r="C6205" s="334"/>
      <c r="D6205" s="188" t="s">
        <v>23585</v>
      </c>
      <c r="E6205" s="189" t="s">
        <v>23586</v>
      </c>
      <c r="F6205" s="162" t="s">
        <v>23587</v>
      </c>
      <c r="G6205" s="190"/>
      <c r="H6205" s="221" t="s">
        <v>30385</v>
      </c>
      <c r="I6205" s="169">
        <v>109141</v>
      </c>
      <c r="J6205" s="304" t="str">
        <f>CONCATENATE([2]Cover!$D$6,"fdd/view?i=",I6205)</f>
        <v>https://www.dgiwg.org/FAD/fdd/view?i=109141</v>
      </c>
      <c r="K6205" s="304" t="s">
        <v>40254</v>
      </c>
      <c r="L6205" s="188">
        <v>7</v>
      </c>
      <c r="M6205" s="179" t="s">
        <v>151</v>
      </c>
    </row>
    <row r="6206" spans="1:13" ht="38.25">
      <c r="A6206" s="313" t="str">
        <f t="shared" si="96"/>
        <v>SoundingDatumCode_meanHighWaterNeaps</v>
      </c>
      <c r="B6206" s="330"/>
      <c r="C6206" s="334"/>
      <c r="D6206" s="188" t="s">
        <v>30386</v>
      </c>
      <c r="E6206" s="189" t="s">
        <v>30387</v>
      </c>
      <c r="F6206" s="162" t="s">
        <v>30388</v>
      </c>
      <c r="G6206" s="190"/>
      <c r="H6206" s="221" t="s">
        <v>30389</v>
      </c>
      <c r="I6206" s="169">
        <v>109142</v>
      </c>
      <c r="J6206" s="304" t="str">
        <f>CONCATENATE([2]Cover!$D$6,"fdd/view?i=",I6206)</f>
        <v>https://www.dgiwg.org/FAD/fdd/view?i=109142</v>
      </c>
      <c r="K6206" s="304" t="s">
        <v>40255</v>
      </c>
      <c r="L6206" s="188">
        <v>8</v>
      </c>
      <c r="M6206" s="179" t="s">
        <v>151</v>
      </c>
    </row>
    <row r="6207" spans="1:13" ht="25.5">
      <c r="A6207" s="313" t="str">
        <f t="shared" si="96"/>
        <v>SoundingDatumCode_meanHighWaterSprings</v>
      </c>
      <c r="B6207" s="330"/>
      <c r="C6207" s="334"/>
      <c r="D6207" s="188" t="s">
        <v>23588</v>
      </c>
      <c r="E6207" s="189" t="s">
        <v>23589</v>
      </c>
      <c r="F6207" s="162" t="s">
        <v>23590</v>
      </c>
      <c r="G6207" s="190"/>
      <c r="H6207" s="221" t="s">
        <v>30390</v>
      </c>
      <c r="I6207" s="169">
        <v>109143</v>
      </c>
      <c r="J6207" s="304" t="str">
        <f>CONCATENATE([2]Cover!$D$6,"fdd/view?i=",I6207)</f>
        <v>https://www.dgiwg.org/FAD/fdd/view?i=109143</v>
      </c>
      <c r="K6207" s="304" t="s">
        <v>40256</v>
      </c>
      <c r="L6207" s="188">
        <v>9</v>
      </c>
      <c r="M6207" s="179" t="s">
        <v>151</v>
      </c>
    </row>
    <row r="6208" spans="1:13" ht="25.5">
      <c r="A6208" s="313" t="str">
        <f t="shared" si="96"/>
        <v>SoundingDatumCode_meanLowerLowWater</v>
      </c>
      <c r="B6208" s="330"/>
      <c r="C6208" s="334"/>
      <c r="D6208" s="188" t="s">
        <v>30404</v>
      </c>
      <c r="E6208" s="189" t="s">
        <v>30405</v>
      </c>
      <c r="F6208" s="162" t="s">
        <v>30406</v>
      </c>
      <c r="G6208" s="190"/>
      <c r="H6208" s="221" t="s">
        <v>30407</v>
      </c>
      <c r="I6208" s="169">
        <v>109148</v>
      </c>
      <c r="J6208" s="304" t="str">
        <f>CONCATENATE([2]Cover!$D$6,"fdd/view?i=",I6208)</f>
        <v>https://www.dgiwg.org/FAD/fdd/view?i=109148</v>
      </c>
      <c r="K6208" s="304" t="s">
        <v>40257</v>
      </c>
      <c r="L6208" s="188">
        <v>14</v>
      </c>
      <c r="M6208" s="179" t="s">
        <v>151</v>
      </c>
    </row>
    <row r="6209" spans="1:13" ht="25.5">
      <c r="A6209" s="313" t="str">
        <f t="shared" si="96"/>
        <v>SoundingDatumCode_meanLowerLowWaterSprings</v>
      </c>
      <c r="B6209" s="330"/>
      <c r="C6209" s="334"/>
      <c r="D6209" s="188" t="s">
        <v>30408</v>
      </c>
      <c r="E6209" s="189" t="s">
        <v>30409</v>
      </c>
      <c r="F6209" s="162" t="s">
        <v>30410</v>
      </c>
      <c r="G6209" s="190"/>
      <c r="H6209" s="221" t="s">
        <v>30411</v>
      </c>
      <c r="I6209" s="169">
        <v>109153</v>
      </c>
      <c r="J6209" s="304" t="str">
        <f>CONCATENATE([2]Cover!$D$6,"fdd/view?i=",I6209)</f>
        <v>https://www.dgiwg.org/FAD/fdd/view?i=109153</v>
      </c>
      <c r="K6209" s="304" t="s">
        <v>40258</v>
      </c>
      <c r="L6209" s="188">
        <v>19</v>
      </c>
      <c r="M6209" s="179" t="s">
        <v>151</v>
      </c>
    </row>
    <row r="6210" spans="1:13" ht="25.5">
      <c r="A6210" s="313" t="str">
        <f t="shared" si="96"/>
        <v>SoundingDatumCode_meanLowWater</v>
      </c>
      <c r="B6210" s="330"/>
      <c r="C6210" s="334"/>
      <c r="D6210" s="188" t="s">
        <v>30392</v>
      </c>
      <c r="E6210" s="189" t="s">
        <v>30393</v>
      </c>
      <c r="F6210" s="162" t="s">
        <v>30394</v>
      </c>
      <c r="G6210" s="190"/>
      <c r="H6210" s="221" t="s">
        <v>30395</v>
      </c>
      <c r="I6210" s="169">
        <v>109145</v>
      </c>
      <c r="J6210" s="304" t="str">
        <f>CONCATENATE([2]Cover!$D$6,"fdd/view?i=",I6210)</f>
        <v>https://www.dgiwg.org/FAD/fdd/view?i=109145</v>
      </c>
      <c r="K6210" s="304" t="s">
        <v>40259</v>
      </c>
      <c r="L6210" s="188">
        <v>11</v>
      </c>
      <c r="M6210" s="179" t="s">
        <v>151</v>
      </c>
    </row>
    <row r="6211" spans="1:13" ht="38.25">
      <c r="A6211" s="313" t="str">
        <f t="shared" ref="A6211:A6274" si="97">HYPERLINK(J6211,K6211)</f>
        <v>SoundingDatumCode_meanLowWaterNeaps</v>
      </c>
      <c r="B6211" s="330"/>
      <c r="C6211" s="334"/>
      <c r="D6211" s="188" t="s">
        <v>30396</v>
      </c>
      <c r="E6211" s="189" t="s">
        <v>30397</v>
      </c>
      <c r="F6211" s="162" t="s">
        <v>30398</v>
      </c>
      <c r="G6211" s="190"/>
      <c r="H6211" s="221" t="s">
        <v>30399</v>
      </c>
      <c r="I6211" s="169">
        <v>109146</v>
      </c>
      <c r="J6211" s="304" t="str">
        <f>CONCATENATE([2]Cover!$D$6,"fdd/view?i=",I6211)</f>
        <v>https://www.dgiwg.org/FAD/fdd/view?i=109146</v>
      </c>
      <c r="K6211" s="304" t="s">
        <v>40260</v>
      </c>
      <c r="L6211" s="188">
        <v>12</v>
      </c>
      <c r="M6211" s="179" t="s">
        <v>151</v>
      </c>
    </row>
    <row r="6212" spans="1:13" ht="25.5">
      <c r="A6212" s="313" t="str">
        <f t="shared" si="97"/>
        <v>SoundingDatumCode_meanLowWaterSprings</v>
      </c>
      <c r="B6212" s="330"/>
      <c r="C6212" s="334"/>
      <c r="D6212" s="188" t="s">
        <v>30400</v>
      </c>
      <c r="E6212" s="189" t="s">
        <v>30401</v>
      </c>
      <c r="F6212" s="162" t="s">
        <v>30402</v>
      </c>
      <c r="G6212" s="190"/>
      <c r="H6212" s="221" t="s">
        <v>30403</v>
      </c>
      <c r="I6212" s="169">
        <v>109147</v>
      </c>
      <c r="J6212" s="304" t="str">
        <f>CONCATENATE([2]Cover!$D$6,"fdd/view?i=",I6212)</f>
        <v>https://www.dgiwg.org/FAD/fdd/view?i=109147</v>
      </c>
      <c r="K6212" s="304" t="s">
        <v>40261</v>
      </c>
      <c r="L6212" s="188">
        <v>13</v>
      </c>
      <c r="M6212" s="179" t="s">
        <v>151</v>
      </c>
    </row>
    <row r="6213" spans="1:13" ht="38.25">
      <c r="A6213" s="313" t="str">
        <f t="shared" si="97"/>
        <v>SoundingDatumCode_meanSeaLevel</v>
      </c>
      <c r="B6213" s="330"/>
      <c r="C6213" s="334"/>
      <c r="D6213" s="188" t="s">
        <v>23597</v>
      </c>
      <c r="E6213" s="189" t="s">
        <v>23598</v>
      </c>
      <c r="F6213" s="162" t="s">
        <v>23599</v>
      </c>
      <c r="G6213" s="162" t="s">
        <v>30412</v>
      </c>
      <c r="H6213" s="221" t="s">
        <v>6716</v>
      </c>
      <c r="I6213" s="169">
        <v>109149</v>
      </c>
      <c r="J6213" s="304" t="str">
        <f>CONCATENATE([2]Cover!$D$6,"fdd/view?i=",I6213)</f>
        <v>https://www.dgiwg.org/FAD/fdd/view?i=109149</v>
      </c>
      <c r="K6213" s="304" t="s">
        <v>40262</v>
      </c>
      <c r="L6213" s="188">
        <v>15</v>
      </c>
      <c r="M6213" s="179" t="s">
        <v>151</v>
      </c>
    </row>
    <row r="6214" spans="1:13" ht="25.5">
      <c r="A6214" s="313" t="str">
        <f t="shared" si="97"/>
        <v>SoundingDatumCode_meanTideLevel</v>
      </c>
      <c r="B6214" s="330"/>
      <c r="C6214" s="334"/>
      <c r="D6214" s="188" t="s">
        <v>30413</v>
      </c>
      <c r="E6214" s="189" t="s">
        <v>30414</v>
      </c>
      <c r="F6214" s="162" t="s">
        <v>30415</v>
      </c>
      <c r="G6214" s="190"/>
      <c r="H6214" s="221" t="s">
        <v>30416</v>
      </c>
      <c r="I6214" s="169">
        <v>109150</v>
      </c>
      <c r="J6214" s="304" t="str">
        <f>CONCATENATE([2]Cover!$D$6,"fdd/view?i=",I6214)</f>
        <v>https://www.dgiwg.org/FAD/fdd/view?i=109150</v>
      </c>
      <c r="K6214" s="304" t="s">
        <v>40263</v>
      </c>
      <c r="L6214" s="188">
        <v>16</v>
      </c>
      <c r="M6214" s="179" t="s">
        <v>151</v>
      </c>
    </row>
    <row r="6215" spans="1:13" ht="25.5">
      <c r="A6215" s="313" t="str">
        <f t="shared" si="97"/>
        <v>SoundingDatumCode_meanWaterLevel</v>
      </c>
      <c r="B6215" s="330"/>
      <c r="C6215" s="334"/>
      <c r="D6215" s="188" t="s">
        <v>30417</v>
      </c>
      <c r="E6215" s="189" t="s">
        <v>30418</v>
      </c>
      <c r="F6215" s="162" t="s">
        <v>30419</v>
      </c>
      <c r="G6215" s="190"/>
      <c r="H6215" s="219"/>
      <c r="I6215" s="169">
        <v>109175</v>
      </c>
      <c r="J6215" s="304" t="str">
        <f>CONCATENATE([2]Cover!$D$6,"fdd/view?i=",I6215)</f>
        <v>https://www.dgiwg.org/FAD/fdd/view?i=109175</v>
      </c>
      <c r="K6215" s="304" t="s">
        <v>40264</v>
      </c>
      <c r="L6215" s="188">
        <v>103</v>
      </c>
      <c r="M6215" s="179" t="s">
        <v>151</v>
      </c>
    </row>
    <row r="6216" spans="1:13" ht="89.25">
      <c r="A6216" s="313" t="str">
        <f t="shared" si="97"/>
        <v>SoundingDatumCode_neapTide</v>
      </c>
      <c r="B6216" s="330"/>
      <c r="C6216" s="334"/>
      <c r="D6216" s="188" t="s">
        <v>30420</v>
      </c>
      <c r="E6216" s="189" t="s">
        <v>30421</v>
      </c>
      <c r="F6216" s="162" t="s">
        <v>30422</v>
      </c>
      <c r="G6216" s="162" t="s">
        <v>30423</v>
      </c>
      <c r="H6216" s="219"/>
      <c r="I6216" s="169">
        <v>109151</v>
      </c>
      <c r="J6216" s="304" t="str">
        <f>CONCATENATE([2]Cover!$D$6,"fdd/view?i=",I6216)</f>
        <v>https://www.dgiwg.org/FAD/fdd/view?i=109151</v>
      </c>
      <c r="K6216" s="304" t="s">
        <v>40265</v>
      </c>
      <c r="L6216" s="188">
        <v>17</v>
      </c>
      <c r="M6216" s="179" t="s">
        <v>151</v>
      </c>
    </row>
    <row r="6217" spans="1:13" ht="25.5">
      <c r="A6217" s="313" t="str">
        <f t="shared" si="97"/>
        <v>SoundingDatumCode_nearlyHighestHighWater</v>
      </c>
      <c r="B6217" s="330"/>
      <c r="C6217" s="334"/>
      <c r="D6217" s="188" t="s">
        <v>30424</v>
      </c>
      <c r="E6217" s="189" t="s">
        <v>30425</v>
      </c>
      <c r="F6217" s="162" t="s">
        <v>30426</v>
      </c>
      <c r="G6217" s="190"/>
      <c r="H6217" s="219"/>
      <c r="I6217" s="169">
        <v>109179</v>
      </c>
      <c r="J6217" s="304" t="str">
        <f>CONCATENATE([2]Cover!$D$6,"fdd/view?i=",I6217)</f>
        <v>https://www.dgiwg.org/FAD/fdd/view?i=109179</v>
      </c>
      <c r="K6217" s="304" t="s">
        <v>40266</v>
      </c>
      <c r="L6217" s="188">
        <v>107</v>
      </c>
      <c r="M6217" s="179" t="s">
        <v>151</v>
      </c>
    </row>
    <row r="6218" spans="1:13" ht="25.5">
      <c r="A6218" s="313" t="str">
        <f t="shared" si="97"/>
        <v>SoundingDatumCode_nearlyLowestLowWater</v>
      </c>
      <c r="B6218" s="330"/>
      <c r="C6218" s="334"/>
      <c r="D6218" s="188" t="s">
        <v>30427</v>
      </c>
      <c r="E6218" s="189" t="s">
        <v>30428</v>
      </c>
      <c r="F6218" s="162" t="s">
        <v>30429</v>
      </c>
      <c r="G6218" s="190"/>
      <c r="H6218" s="219"/>
      <c r="I6218" s="169">
        <v>109167</v>
      </c>
      <c r="J6218" s="304" t="str">
        <f>CONCATENATE([2]Cover!$D$6,"fdd/view?i=",I6218)</f>
        <v>https://www.dgiwg.org/FAD/fdd/view?i=109167</v>
      </c>
      <c r="K6218" s="304" t="s">
        <v>40267</v>
      </c>
      <c r="L6218" s="188">
        <v>95</v>
      </c>
      <c r="M6218" s="179" t="s">
        <v>151</v>
      </c>
    </row>
    <row r="6219" spans="1:13" ht="89.25">
      <c r="A6219" s="313" t="str">
        <f t="shared" si="97"/>
        <v>SoundingDatumCode_springTide</v>
      </c>
      <c r="B6219" s="331"/>
      <c r="C6219" s="335"/>
      <c r="D6219" s="181" t="s">
        <v>30430</v>
      </c>
      <c r="E6219" s="192" t="s">
        <v>30431</v>
      </c>
      <c r="F6219" s="193" t="s">
        <v>30432</v>
      </c>
      <c r="G6219" s="193" t="s">
        <v>30433</v>
      </c>
      <c r="H6219" s="220"/>
      <c r="I6219" s="169">
        <v>109152</v>
      </c>
      <c r="J6219" s="304" t="str">
        <f>CONCATENATE([2]Cover!$D$6,"fdd/view?i=",I6219)</f>
        <v>https://www.dgiwg.org/FAD/fdd/view?i=109152</v>
      </c>
      <c r="K6219" s="304" t="s">
        <v>40268</v>
      </c>
      <c r="L6219" s="181">
        <v>18</v>
      </c>
      <c r="M6219" s="179" t="s">
        <v>151</v>
      </c>
    </row>
    <row r="6220" spans="1:13" ht="25.5">
      <c r="A6220" s="313" t="str">
        <f t="shared" si="97"/>
        <v>SoundingExpositionCode_deeper</v>
      </c>
      <c r="B6220" s="332" t="str">
        <f>HYPERLINK("[#]Datatypes!A1306:L1306","SoundingExpositionCode")</f>
        <v>SoundingExpositionCode</v>
      </c>
      <c r="C6220" s="333" t="s">
        <v>12926</v>
      </c>
      <c r="D6220" s="202" t="s">
        <v>30434</v>
      </c>
      <c r="E6220" s="203" t="s">
        <v>30435</v>
      </c>
      <c r="F6220" s="204" t="s">
        <v>30436</v>
      </c>
      <c r="G6220" s="205"/>
      <c r="H6220" s="218"/>
      <c r="I6220" s="169">
        <v>107960</v>
      </c>
      <c r="J6220" s="304" t="str">
        <f>CONCATENATE([2]Cover!$D$6,"fdd/view?i=",I6220)</f>
        <v>https://www.dgiwg.org/FAD/fdd/view?i=107960</v>
      </c>
      <c r="K6220" s="304" t="s">
        <v>40269</v>
      </c>
      <c r="L6220" s="202">
        <v>3</v>
      </c>
      <c r="M6220" s="179" t="s">
        <v>151</v>
      </c>
    </row>
    <row r="6221" spans="1:13" ht="25.5">
      <c r="A6221" s="313" t="str">
        <f t="shared" si="97"/>
        <v>SoundingExpositionCode_shallower</v>
      </c>
      <c r="B6221" s="330"/>
      <c r="C6221" s="334"/>
      <c r="D6221" s="188" t="s">
        <v>30437</v>
      </c>
      <c r="E6221" s="189" t="s">
        <v>30438</v>
      </c>
      <c r="F6221" s="162" t="s">
        <v>30439</v>
      </c>
      <c r="G6221" s="162" t="s">
        <v>30440</v>
      </c>
      <c r="H6221" s="219"/>
      <c r="I6221" s="169">
        <v>107959</v>
      </c>
      <c r="J6221" s="304" t="str">
        <f>CONCATENATE([2]Cover!$D$6,"fdd/view?i=",I6221)</f>
        <v>https://www.dgiwg.org/FAD/fdd/view?i=107959</v>
      </c>
      <c r="K6221" s="304" t="s">
        <v>40270</v>
      </c>
      <c r="L6221" s="188">
        <v>2</v>
      </c>
      <c r="M6221" s="179" t="s">
        <v>151</v>
      </c>
    </row>
    <row r="6222" spans="1:13" ht="51">
      <c r="A6222" s="313" t="str">
        <f t="shared" si="97"/>
        <v>SoundingExpositionCode_withinRange</v>
      </c>
      <c r="B6222" s="331"/>
      <c r="C6222" s="335"/>
      <c r="D6222" s="181" t="s">
        <v>30441</v>
      </c>
      <c r="E6222" s="192" t="s">
        <v>30442</v>
      </c>
      <c r="F6222" s="193" t="s">
        <v>30443</v>
      </c>
      <c r="G6222" s="193" t="s">
        <v>30444</v>
      </c>
      <c r="H6222" s="220"/>
      <c r="I6222" s="169">
        <v>107958</v>
      </c>
      <c r="J6222" s="304" t="str">
        <f>CONCATENATE([2]Cover!$D$6,"fdd/view?i=",I6222)</f>
        <v>https://www.dgiwg.org/FAD/fdd/view?i=107958</v>
      </c>
      <c r="K6222" s="304" t="s">
        <v>40271</v>
      </c>
      <c r="L6222" s="181">
        <v>1</v>
      </c>
      <c r="M6222" s="179" t="s">
        <v>151</v>
      </c>
    </row>
    <row r="6223" spans="1:13" ht="25.5">
      <c r="A6223" s="313" t="str">
        <f t="shared" si="97"/>
        <v>SoundingVelCorrectMethodCode_mathewsTables</v>
      </c>
      <c r="B6223" s="332" t="str">
        <f>HYPERLINK("[#]Datatypes!A1308:L1308","SoundingVelCorrectMethodCode")</f>
        <v>SoundingVelCorrectMethodCode</v>
      </c>
      <c r="C6223" s="333" t="s">
        <v>12928</v>
      </c>
      <c r="D6223" s="202" t="s">
        <v>30445</v>
      </c>
      <c r="E6223" s="203" t="s">
        <v>30446</v>
      </c>
      <c r="F6223" s="204" t="s">
        <v>30447</v>
      </c>
      <c r="G6223" s="205"/>
      <c r="H6223" s="218"/>
      <c r="I6223" s="169">
        <v>108377</v>
      </c>
      <c r="J6223" s="304" t="str">
        <f>CONCATENATE([2]Cover!$D$6,"fdd/view?i=",I6223)</f>
        <v>https://www.dgiwg.org/FAD/fdd/view?i=108377</v>
      </c>
      <c r="K6223" s="304" t="s">
        <v>40272</v>
      </c>
      <c r="L6223" s="202">
        <v>3</v>
      </c>
      <c r="M6223" s="179" t="s">
        <v>151</v>
      </c>
    </row>
    <row r="6224" spans="1:13" ht="25.5">
      <c r="A6224" s="313" t="str">
        <f t="shared" si="97"/>
        <v>SoundingVelCorrectMethodCode_sounder1500Calibrated</v>
      </c>
      <c r="B6224" s="330"/>
      <c r="C6224" s="334"/>
      <c r="D6224" s="188" t="s">
        <v>30451</v>
      </c>
      <c r="E6224" s="189" t="s">
        <v>30452</v>
      </c>
      <c r="F6224" s="162" t="s">
        <v>30453</v>
      </c>
      <c r="G6224" s="190"/>
      <c r="H6224" s="219"/>
      <c r="I6224" s="169">
        <v>108376</v>
      </c>
      <c r="J6224" s="304" t="str">
        <f>CONCATENATE([2]Cover!$D$6,"fdd/view?i=",I6224)</f>
        <v>https://www.dgiwg.org/FAD/fdd/view?i=108376</v>
      </c>
      <c r="K6224" s="304" t="s">
        <v>40273</v>
      </c>
      <c r="L6224" s="188">
        <v>2</v>
      </c>
      <c r="M6224" s="179" t="s">
        <v>151</v>
      </c>
    </row>
    <row r="6225" spans="1:13" ht="25.5">
      <c r="A6225" s="313" t="str">
        <f t="shared" si="97"/>
        <v>SoundingVelCorrectMethodCode_sounder4800Calibrated</v>
      </c>
      <c r="B6225" s="330"/>
      <c r="C6225" s="334"/>
      <c r="D6225" s="188" t="s">
        <v>30454</v>
      </c>
      <c r="E6225" s="189" t="s">
        <v>30455</v>
      </c>
      <c r="F6225" s="162" t="s">
        <v>30456</v>
      </c>
      <c r="G6225" s="162" t="s">
        <v>30457</v>
      </c>
      <c r="H6225" s="219"/>
      <c r="I6225" s="169">
        <v>108375</v>
      </c>
      <c r="J6225" s="304" t="str">
        <f>CONCATENATE([2]Cover!$D$6,"fdd/view?i=",I6225)</f>
        <v>https://www.dgiwg.org/FAD/fdd/view?i=108375</v>
      </c>
      <c r="K6225" s="304" t="s">
        <v>40274</v>
      </c>
      <c r="L6225" s="188">
        <v>1</v>
      </c>
      <c r="M6225" s="179" t="s">
        <v>151</v>
      </c>
    </row>
    <row r="6226" spans="1:13" ht="25.5">
      <c r="A6226" s="313" t="str">
        <f t="shared" si="97"/>
        <v>SoundingVelCorrectMethodCode_sounderOtherCalibrated</v>
      </c>
      <c r="B6226" s="330"/>
      <c r="C6226" s="334"/>
      <c r="D6226" s="188" t="s">
        <v>30458</v>
      </c>
      <c r="E6226" s="189" t="s">
        <v>30459</v>
      </c>
      <c r="F6226" s="162" t="s">
        <v>30460</v>
      </c>
      <c r="G6226" s="190"/>
      <c r="H6226" s="219"/>
      <c r="I6226" s="169">
        <v>108379</v>
      </c>
      <c r="J6226" s="304" t="str">
        <f>CONCATENATE([2]Cover!$D$6,"fdd/view?i=",I6226)</f>
        <v>https://www.dgiwg.org/FAD/fdd/view?i=108379</v>
      </c>
      <c r="K6226" s="304" t="s">
        <v>40275</v>
      </c>
      <c r="L6226" s="188">
        <v>5</v>
      </c>
      <c r="M6226" s="179" t="s">
        <v>151</v>
      </c>
    </row>
    <row r="6227" spans="1:13" ht="25.5">
      <c r="A6227" s="313" t="str">
        <f t="shared" si="97"/>
        <v>SoundingVelCorrectMethodCode_soundVelocityMeter</v>
      </c>
      <c r="B6227" s="331"/>
      <c r="C6227" s="335"/>
      <c r="D6227" s="181" t="s">
        <v>30448</v>
      </c>
      <c r="E6227" s="192" t="s">
        <v>30449</v>
      </c>
      <c r="F6227" s="193" t="s">
        <v>30450</v>
      </c>
      <c r="G6227" s="194"/>
      <c r="H6227" s="220"/>
      <c r="I6227" s="169">
        <v>108378</v>
      </c>
      <c r="J6227" s="304" t="str">
        <f>CONCATENATE([2]Cover!$D$6,"fdd/view?i=",I6227)</f>
        <v>https://www.dgiwg.org/FAD/fdd/view?i=108378</v>
      </c>
      <c r="K6227" s="304" t="s">
        <v>40276</v>
      </c>
      <c r="L6227" s="181">
        <v>4</v>
      </c>
      <c r="M6227" s="179" t="s">
        <v>151</v>
      </c>
    </row>
    <row r="6228" spans="1:13" ht="25.5">
      <c r="A6228" s="313" t="str">
        <f t="shared" si="97"/>
        <v>SourceCategoryCode_bathymetricModelData</v>
      </c>
      <c r="B6228" s="332" t="str">
        <f>HYPERLINK("[#]Datatypes!A1310:L1310","SourceCategoryCode")</f>
        <v>SourceCategoryCode</v>
      </c>
      <c r="C6228" s="333" t="s">
        <v>12930</v>
      </c>
      <c r="D6228" s="202" t="s">
        <v>30461</v>
      </c>
      <c r="E6228" s="203" t="s">
        <v>30462</v>
      </c>
      <c r="F6228" s="204" t="s">
        <v>30463</v>
      </c>
      <c r="G6228" s="205"/>
      <c r="H6228" s="218"/>
      <c r="I6228" s="169">
        <v>108287</v>
      </c>
      <c r="J6228" s="304" t="str">
        <f>CONCATENATE([2]Cover!$D$6,"fdd/view?i=",I6228)</f>
        <v>https://www.dgiwg.org/FAD/fdd/view?i=108287</v>
      </c>
      <c r="K6228" s="304" t="s">
        <v>40277</v>
      </c>
      <c r="L6228" s="202">
        <v>10</v>
      </c>
      <c r="M6228" s="179" t="s">
        <v>151</v>
      </c>
    </row>
    <row r="6229" spans="1:13" ht="25.5">
      <c r="A6229" s="313" t="str">
        <f t="shared" si="97"/>
        <v>SourceCategoryCode_bathymetricSurveyData</v>
      </c>
      <c r="B6229" s="330"/>
      <c r="C6229" s="334"/>
      <c r="D6229" s="188" t="s">
        <v>30464</v>
      </c>
      <c r="E6229" s="189" t="s">
        <v>30465</v>
      </c>
      <c r="F6229" s="162" t="s">
        <v>30466</v>
      </c>
      <c r="G6229" s="190"/>
      <c r="H6229" s="219"/>
      <c r="I6229" s="169">
        <v>108286</v>
      </c>
      <c r="J6229" s="304" t="str">
        <f>CONCATENATE([2]Cover!$D$6,"fdd/view?i=",I6229)</f>
        <v>https://www.dgiwg.org/FAD/fdd/view?i=108286</v>
      </c>
      <c r="K6229" s="304" t="s">
        <v>40278</v>
      </c>
      <c r="L6229" s="188">
        <v>9</v>
      </c>
      <c r="M6229" s="179" t="s">
        <v>151</v>
      </c>
    </row>
    <row r="6230" spans="1:13" ht="25.5">
      <c r="A6230" s="313" t="str">
        <f t="shared" si="97"/>
        <v>SourceCategoryCode_cartographicSource</v>
      </c>
      <c r="B6230" s="330"/>
      <c r="C6230" s="334"/>
      <c r="D6230" s="188" t="s">
        <v>30467</v>
      </c>
      <c r="E6230" s="189" t="s">
        <v>30468</v>
      </c>
      <c r="F6230" s="162" t="s">
        <v>30469</v>
      </c>
      <c r="G6230" s="190"/>
      <c r="H6230" s="219"/>
      <c r="I6230" s="169">
        <v>108281</v>
      </c>
      <c r="J6230" s="304" t="str">
        <f>CONCATENATE([2]Cover!$D$6,"fdd/view?i=",I6230)</f>
        <v>https://www.dgiwg.org/FAD/fdd/view?i=108281</v>
      </c>
      <c r="K6230" s="304" t="s">
        <v>40279</v>
      </c>
      <c r="L6230" s="188">
        <v>4</v>
      </c>
      <c r="M6230" s="179" t="s">
        <v>151</v>
      </c>
    </row>
    <row r="6231" spans="1:13" ht="25.5">
      <c r="A6231" s="313" t="str">
        <f t="shared" si="97"/>
        <v>SourceCategoryCode_hyperspectralImagery</v>
      </c>
      <c r="B6231" s="330"/>
      <c r="C6231" s="334"/>
      <c r="D6231" s="188" t="s">
        <v>30470</v>
      </c>
      <c r="E6231" s="189" t="s">
        <v>30471</v>
      </c>
      <c r="F6231" s="162" t="s">
        <v>30472</v>
      </c>
      <c r="G6231" s="190"/>
      <c r="H6231" s="219"/>
      <c r="I6231" s="169">
        <v>108284</v>
      </c>
      <c r="J6231" s="304" t="str">
        <f>CONCATENATE([2]Cover!$D$6,"fdd/view?i=",I6231)</f>
        <v>https://www.dgiwg.org/FAD/fdd/view?i=108284</v>
      </c>
      <c r="K6231" s="304" t="s">
        <v>40280</v>
      </c>
      <c r="L6231" s="188">
        <v>7</v>
      </c>
      <c r="M6231" s="179" t="s">
        <v>151</v>
      </c>
    </row>
    <row r="6232" spans="1:13" ht="25.5">
      <c r="A6232" s="313" t="str">
        <f t="shared" si="97"/>
        <v>SourceCategoryCode_landSurveyData</v>
      </c>
      <c r="B6232" s="330"/>
      <c r="C6232" s="334"/>
      <c r="D6232" s="188" t="s">
        <v>30473</v>
      </c>
      <c r="E6232" s="189" t="s">
        <v>30474</v>
      </c>
      <c r="F6232" s="162" t="s">
        <v>30475</v>
      </c>
      <c r="G6232" s="190"/>
      <c r="H6232" s="219"/>
      <c r="I6232" s="169">
        <v>108278</v>
      </c>
      <c r="J6232" s="304" t="str">
        <f>CONCATENATE([2]Cover!$D$6,"fdd/view?i=",I6232)</f>
        <v>https://www.dgiwg.org/FAD/fdd/view?i=108278</v>
      </c>
      <c r="K6232" s="304" t="s">
        <v>40281</v>
      </c>
      <c r="L6232" s="188">
        <v>1</v>
      </c>
      <c r="M6232" s="179" t="s">
        <v>151</v>
      </c>
    </row>
    <row r="6233" spans="1:13" ht="25.5">
      <c r="A6233" s="313" t="str">
        <f t="shared" si="97"/>
        <v>SourceCategoryCode_monoscopicImagery</v>
      </c>
      <c r="B6233" s="330"/>
      <c r="C6233" s="334"/>
      <c r="D6233" s="188" t="s">
        <v>30476</v>
      </c>
      <c r="E6233" s="189" t="s">
        <v>30477</v>
      </c>
      <c r="F6233" s="162" t="s">
        <v>30478</v>
      </c>
      <c r="G6233" s="190"/>
      <c r="H6233" s="219"/>
      <c r="I6233" s="169">
        <v>108280</v>
      </c>
      <c r="J6233" s="304" t="str">
        <f>CONCATENATE([2]Cover!$D$6,"fdd/view?i=",I6233)</f>
        <v>https://www.dgiwg.org/FAD/fdd/view?i=108280</v>
      </c>
      <c r="K6233" s="304" t="s">
        <v>40282</v>
      </c>
      <c r="L6233" s="188">
        <v>3</v>
      </c>
      <c r="M6233" s="179" t="s">
        <v>151</v>
      </c>
    </row>
    <row r="6234" spans="1:13" ht="25.5">
      <c r="A6234" s="313" t="str">
        <f t="shared" si="97"/>
        <v>SourceCategoryCode_multispectralImagery</v>
      </c>
      <c r="B6234" s="330"/>
      <c r="C6234" s="334"/>
      <c r="D6234" s="188" t="s">
        <v>30479</v>
      </c>
      <c r="E6234" s="189" t="s">
        <v>30480</v>
      </c>
      <c r="F6234" s="162" t="s">
        <v>30481</v>
      </c>
      <c r="G6234" s="190"/>
      <c r="H6234" s="219"/>
      <c r="I6234" s="169">
        <v>108283</v>
      </c>
      <c r="J6234" s="304" t="str">
        <f>CONCATENATE([2]Cover!$D$6,"fdd/view?i=",I6234)</f>
        <v>https://www.dgiwg.org/FAD/fdd/view?i=108283</v>
      </c>
      <c r="K6234" s="304" t="s">
        <v>40283</v>
      </c>
      <c r="L6234" s="188">
        <v>6</v>
      </c>
      <c r="M6234" s="179" t="s">
        <v>151</v>
      </c>
    </row>
    <row r="6235" spans="1:13" ht="25.5">
      <c r="A6235" s="313" t="str">
        <f t="shared" si="97"/>
        <v>SourceCategoryCode_reportedInformation</v>
      </c>
      <c r="B6235" s="330"/>
      <c r="C6235" s="334"/>
      <c r="D6235" s="188" t="s">
        <v>30482</v>
      </c>
      <c r="E6235" s="189" t="s">
        <v>30483</v>
      </c>
      <c r="F6235" s="162" t="s">
        <v>30484</v>
      </c>
      <c r="G6235" s="190"/>
      <c r="H6235" s="219"/>
      <c r="I6235" s="169">
        <v>108282</v>
      </c>
      <c r="J6235" s="304" t="str">
        <f>CONCATENATE([2]Cover!$D$6,"fdd/view?i=",I6235)</f>
        <v>https://www.dgiwg.org/FAD/fdd/view?i=108282</v>
      </c>
      <c r="K6235" s="304" t="s">
        <v>40284</v>
      </c>
      <c r="L6235" s="188">
        <v>5</v>
      </c>
      <c r="M6235" s="179" t="s">
        <v>151</v>
      </c>
    </row>
    <row r="6236" spans="1:13" ht="25.5">
      <c r="A6236" s="313" t="str">
        <f t="shared" si="97"/>
        <v>SourceCategoryCode_sarImagery</v>
      </c>
      <c r="B6236" s="330"/>
      <c r="C6236" s="334"/>
      <c r="D6236" s="188" t="s">
        <v>30488</v>
      </c>
      <c r="E6236" s="189" t="s">
        <v>30489</v>
      </c>
      <c r="F6236" s="162" t="s">
        <v>30490</v>
      </c>
      <c r="G6236" s="190"/>
      <c r="H6236" s="219"/>
      <c r="I6236" s="169">
        <v>108285</v>
      </c>
      <c r="J6236" s="304" t="str">
        <f>CONCATENATE([2]Cover!$D$6,"fdd/view?i=",I6236)</f>
        <v>https://www.dgiwg.org/FAD/fdd/view?i=108285</v>
      </c>
      <c r="K6236" s="304" t="s">
        <v>40285</v>
      </c>
      <c r="L6236" s="188">
        <v>8</v>
      </c>
      <c r="M6236" s="179" t="s">
        <v>151</v>
      </c>
    </row>
    <row r="6237" spans="1:13" ht="25.5">
      <c r="A6237" s="313" t="str">
        <f t="shared" si="97"/>
        <v>SourceCategoryCode_stereoscopicImagery</v>
      </c>
      <c r="B6237" s="331"/>
      <c r="C6237" s="335"/>
      <c r="D6237" s="181" t="s">
        <v>30485</v>
      </c>
      <c r="E6237" s="192" t="s">
        <v>30486</v>
      </c>
      <c r="F6237" s="193" t="s">
        <v>30487</v>
      </c>
      <c r="G6237" s="194"/>
      <c r="H6237" s="220"/>
      <c r="I6237" s="169">
        <v>108279</v>
      </c>
      <c r="J6237" s="304" t="str">
        <f>CONCATENATE([2]Cover!$D$6,"fdd/view?i=",I6237)</f>
        <v>https://www.dgiwg.org/FAD/fdd/view?i=108279</v>
      </c>
      <c r="K6237" s="304" t="s">
        <v>40286</v>
      </c>
      <c r="L6237" s="181">
        <v>2</v>
      </c>
      <c r="M6237" s="179" t="s">
        <v>151</v>
      </c>
    </row>
    <row r="6238" spans="1:13" ht="76.5">
      <c r="A6238" s="313" t="str">
        <f t="shared" si="97"/>
        <v>SpecialAdminUnitCode_armyCorpsEngDistrict</v>
      </c>
      <c r="B6238" s="332" t="str">
        <f>HYPERLINK("[#]Datatypes!A1320:L1320","SpecialAdminUnitCode")</f>
        <v>SpecialAdminUnitCode</v>
      </c>
      <c r="C6238" s="333" t="s">
        <v>12940</v>
      </c>
      <c r="D6238" s="202" t="s">
        <v>30491</v>
      </c>
      <c r="E6238" s="203" t="s">
        <v>30492</v>
      </c>
      <c r="F6238" s="204" t="s">
        <v>30493</v>
      </c>
      <c r="G6238" s="204" t="s">
        <v>30494</v>
      </c>
      <c r="H6238" s="218"/>
      <c r="I6238" s="169">
        <v>204807</v>
      </c>
      <c r="J6238" s="304" t="str">
        <f>CONCATENATE([2]Cover!$D$6,"fdd/view?i=",I6238)</f>
        <v>https://www.dgiwg.org/FAD/fdd/view?i=204807</v>
      </c>
      <c r="K6238" s="304" t="s">
        <v>40287</v>
      </c>
      <c r="L6238" s="202">
        <v>15</v>
      </c>
      <c r="M6238" s="179" t="s">
        <v>1295</v>
      </c>
    </row>
    <row r="6239" spans="1:13" ht="63.75">
      <c r="A6239" s="313" t="str">
        <f t="shared" si="97"/>
        <v>SpecialAdminUnitCode_armyCorpsEngDivision</v>
      </c>
      <c r="B6239" s="330"/>
      <c r="C6239" s="334"/>
      <c r="D6239" s="188" t="s">
        <v>30495</v>
      </c>
      <c r="E6239" s="189" t="s">
        <v>30496</v>
      </c>
      <c r="F6239" s="162" t="s">
        <v>30497</v>
      </c>
      <c r="G6239" s="162" t="s">
        <v>30498</v>
      </c>
      <c r="H6239" s="219"/>
      <c r="I6239" s="169">
        <v>204808</v>
      </c>
      <c r="J6239" s="304" t="str">
        <f>CONCATENATE([2]Cover!$D$6,"fdd/view?i=",I6239)</f>
        <v>https://www.dgiwg.org/FAD/fdd/view?i=204808</v>
      </c>
      <c r="K6239" s="304" t="s">
        <v>40288</v>
      </c>
      <c r="L6239" s="188">
        <v>16</v>
      </c>
      <c r="M6239" s="179" t="s">
        <v>1295</v>
      </c>
    </row>
    <row r="6240" spans="1:13" ht="89.25">
      <c r="A6240" s="313" t="str">
        <f t="shared" si="97"/>
        <v>SpecialAdminUnitCode_borderPatrolSector</v>
      </c>
      <c r="B6240" s="330"/>
      <c r="C6240" s="334"/>
      <c r="D6240" s="188" t="s">
        <v>30499</v>
      </c>
      <c r="E6240" s="189" t="s">
        <v>30500</v>
      </c>
      <c r="F6240" s="162" t="s">
        <v>30501</v>
      </c>
      <c r="G6240" s="162" t="s">
        <v>30502</v>
      </c>
      <c r="H6240" s="219"/>
      <c r="I6240" s="169">
        <v>204810</v>
      </c>
      <c r="J6240" s="304" t="str">
        <f>CONCATENATE([2]Cover!$D$6,"fdd/view?i=",I6240)</f>
        <v>https://www.dgiwg.org/FAD/fdd/view?i=204810</v>
      </c>
      <c r="K6240" s="304" t="s">
        <v>40289</v>
      </c>
      <c r="L6240" s="188">
        <v>18</v>
      </c>
      <c r="M6240" s="179" t="s">
        <v>1295</v>
      </c>
    </row>
    <row r="6241" spans="1:13" ht="25.5">
      <c r="A6241" s="313" t="str">
        <f t="shared" si="97"/>
        <v>SpecialAdminUnitCode_censusDistrict</v>
      </c>
      <c r="B6241" s="330"/>
      <c r="C6241" s="334"/>
      <c r="D6241" s="188" t="s">
        <v>30503</v>
      </c>
      <c r="E6241" s="189" t="s">
        <v>30504</v>
      </c>
      <c r="F6241" s="162" t="s">
        <v>30505</v>
      </c>
      <c r="G6241" s="190"/>
      <c r="H6241" s="219"/>
      <c r="I6241" s="169">
        <v>111882</v>
      </c>
      <c r="J6241" s="304" t="str">
        <f>CONCATENATE([2]Cover!$D$6,"fdd/view?i=",I6241)</f>
        <v>https://www.dgiwg.org/FAD/fdd/view?i=111882</v>
      </c>
      <c r="K6241" s="304" t="s">
        <v>40290</v>
      </c>
      <c r="L6241" s="188">
        <v>6</v>
      </c>
      <c r="M6241" s="179" t="s">
        <v>151</v>
      </c>
    </row>
    <row r="6242" spans="1:13" ht="153">
      <c r="A6242" s="313" t="str">
        <f t="shared" si="97"/>
        <v>SpecialAdminUnitCode_coastGuardSector</v>
      </c>
      <c r="B6242" s="330"/>
      <c r="C6242" s="334"/>
      <c r="D6242" s="188" t="s">
        <v>30506</v>
      </c>
      <c r="E6242" s="189" t="s">
        <v>30507</v>
      </c>
      <c r="F6242" s="162" t="s">
        <v>30508</v>
      </c>
      <c r="G6242" s="162" t="s">
        <v>30509</v>
      </c>
      <c r="H6242" s="219"/>
      <c r="I6242" s="169">
        <v>204809</v>
      </c>
      <c r="J6242" s="304" t="str">
        <f>CONCATENATE([2]Cover!$D$6,"fdd/view?i=",I6242)</f>
        <v>https://www.dgiwg.org/FAD/fdd/view?i=204809</v>
      </c>
      <c r="K6242" s="304" t="s">
        <v>40291</v>
      </c>
      <c r="L6242" s="188">
        <v>17</v>
      </c>
      <c r="M6242" s="179" t="s">
        <v>1295</v>
      </c>
    </row>
    <row r="6243" spans="1:13" ht="25.5">
      <c r="A6243" s="313" t="str">
        <f t="shared" si="97"/>
        <v>SpecialAdminUnitCode_concessionArea</v>
      </c>
      <c r="B6243" s="330"/>
      <c r="C6243" s="334"/>
      <c r="D6243" s="188" t="s">
        <v>30510</v>
      </c>
      <c r="E6243" s="189" t="s">
        <v>30511</v>
      </c>
      <c r="F6243" s="162" t="s">
        <v>30512</v>
      </c>
      <c r="G6243" s="190"/>
      <c r="H6243" s="219"/>
      <c r="I6243" s="169">
        <v>111874</v>
      </c>
      <c r="J6243" s="304" t="str">
        <f>CONCATENATE([2]Cover!$D$6,"fdd/view?i=",I6243)</f>
        <v>https://www.dgiwg.org/FAD/fdd/view?i=111874</v>
      </c>
      <c r="K6243" s="304" t="s">
        <v>40292</v>
      </c>
      <c r="L6243" s="188">
        <v>2</v>
      </c>
      <c r="M6243" s="179" t="s">
        <v>151</v>
      </c>
    </row>
    <row r="6244" spans="1:13" ht="102">
      <c r="A6244" s="313" t="str">
        <f t="shared" si="97"/>
        <v>SpecialAdminUnitCode_congressionalDistrict</v>
      </c>
      <c r="B6244" s="330"/>
      <c r="C6244" s="334"/>
      <c r="D6244" s="188" t="s">
        <v>30513</v>
      </c>
      <c r="E6244" s="189" t="s">
        <v>30514</v>
      </c>
      <c r="F6244" s="162" t="s">
        <v>30515</v>
      </c>
      <c r="G6244" s="162" t="s">
        <v>30516</v>
      </c>
      <c r="H6244" s="219"/>
      <c r="I6244" s="169">
        <v>118544</v>
      </c>
      <c r="J6244" s="304" t="str">
        <f>CONCATENATE([2]Cover!$D$6,"fdd/view?i=",I6244)</f>
        <v>https://www.dgiwg.org/FAD/fdd/view?i=118544</v>
      </c>
      <c r="K6244" s="304" t="s">
        <v>40293</v>
      </c>
      <c r="L6244" s="188">
        <v>8</v>
      </c>
      <c r="M6244" s="179" t="s">
        <v>151</v>
      </c>
    </row>
    <row r="6245" spans="1:13" ht="38.25">
      <c r="A6245" s="313" t="str">
        <f t="shared" si="97"/>
        <v>SpecialAdminUnitCode_economicRegion</v>
      </c>
      <c r="B6245" s="330"/>
      <c r="C6245" s="334"/>
      <c r="D6245" s="188" t="s">
        <v>23087</v>
      </c>
      <c r="E6245" s="189" t="s">
        <v>23088</v>
      </c>
      <c r="F6245" s="162" t="s">
        <v>30517</v>
      </c>
      <c r="G6245" s="190"/>
      <c r="H6245" s="219"/>
      <c r="I6245" s="169">
        <v>111878</v>
      </c>
      <c r="J6245" s="304" t="str">
        <f>CONCATENATE([2]Cover!$D$6,"fdd/view?i=",I6245)</f>
        <v>https://www.dgiwg.org/FAD/fdd/view?i=111878</v>
      </c>
      <c r="K6245" s="304" t="s">
        <v>40294</v>
      </c>
      <c r="L6245" s="188">
        <v>4</v>
      </c>
      <c r="M6245" s="179" t="s">
        <v>151</v>
      </c>
    </row>
    <row r="6246" spans="1:13" ht="63.75">
      <c r="A6246" s="313" t="str">
        <f t="shared" si="97"/>
        <v>SpecialAdminUnitCode_envProtectionAgRegion</v>
      </c>
      <c r="B6246" s="330"/>
      <c r="C6246" s="334"/>
      <c r="D6246" s="188" t="s">
        <v>30518</v>
      </c>
      <c r="E6246" s="189" t="s">
        <v>30519</v>
      </c>
      <c r="F6246" s="162" t="s">
        <v>30520</v>
      </c>
      <c r="G6246" s="162" t="s">
        <v>30521</v>
      </c>
      <c r="H6246" s="219"/>
      <c r="I6246" s="169">
        <v>204801</v>
      </c>
      <c r="J6246" s="304" t="str">
        <f>CONCATENATE([2]Cover!$D$6,"fdd/view?i=",I6246)</f>
        <v>https://www.dgiwg.org/FAD/fdd/view?i=204801</v>
      </c>
      <c r="K6246" s="304" t="s">
        <v>40295</v>
      </c>
      <c r="L6246" s="188">
        <v>9</v>
      </c>
      <c r="M6246" s="179" t="s">
        <v>1295</v>
      </c>
    </row>
    <row r="6247" spans="1:13" ht="89.25">
      <c r="A6247" s="313" t="str">
        <f t="shared" si="97"/>
        <v>SpecialAdminUnitCode_fbiFieldOffJurisdiction</v>
      </c>
      <c r="B6247" s="330"/>
      <c r="C6247" s="334"/>
      <c r="D6247" s="188" t="s">
        <v>30522</v>
      </c>
      <c r="E6247" s="189" t="s">
        <v>30523</v>
      </c>
      <c r="F6247" s="162" t="s">
        <v>30524</v>
      </c>
      <c r="G6247" s="162" t="s">
        <v>30525</v>
      </c>
      <c r="H6247" s="219"/>
      <c r="I6247" s="169">
        <v>204811</v>
      </c>
      <c r="J6247" s="304" t="str">
        <f>CONCATENATE([2]Cover!$D$6,"fdd/view?i=",I6247)</f>
        <v>https://www.dgiwg.org/FAD/fdd/view?i=204811</v>
      </c>
      <c r="K6247" s="304" t="s">
        <v>40296</v>
      </c>
      <c r="L6247" s="188">
        <v>19</v>
      </c>
      <c r="M6247" s="179" t="s">
        <v>1295</v>
      </c>
    </row>
    <row r="6248" spans="1:13" ht="63.75">
      <c r="A6248" s="313" t="str">
        <f t="shared" si="97"/>
        <v>SpecialAdminUnitCode_fbiResidentAgDistrict</v>
      </c>
      <c r="B6248" s="330"/>
      <c r="C6248" s="334"/>
      <c r="D6248" s="188" t="s">
        <v>30526</v>
      </c>
      <c r="E6248" s="189" t="s">
        <v>30527</v>
      </c>
      <c r="F6248" s="162" t="s">
        <v>30528</v>
      </c>
      <c r="G6248" s="162" t="s">
        <v>30529</v>
      </c>
      <c r="H6248" s="219"/>
      <c r="I6248" s="169">
        <v>204812</v>
      </c>
      <c r="J6248" s="304" t="str">
        <f>CONCATENATE([2]Cover!$D$6,"fdd/view?i=",I6248)</f>
        <v>https://www.dgiwg.org/FAD/fdd/view?i=204812</v>
      </c>
      <c r="K6248" s="304" t="s">
        <v>40297</v>
      </c>
      <c r="L6248" s="188">
        <v>20</v>
      </c>
      <c r="M6248" s="179" t="s">
        <v>1295</v>
      </c>
    </row>
    <row r="6249" spans="1:13" ht="25.5">
      <c r="A6249" s="313" t="str">
        <f t="shared" si="97"/>
        <v>SpecialAdminUnitCode_fedAviationAdminRegion</v>
      </c>
      <c r="B6249" s="330"/>
      <c r="C6249" s="334"/>
      <c r="D6249" s="188" t="s">
        <v>30530</v>
      </c>
      <c r="E6249" s="189" t="s">
        <v>30531</v>
      </c>
      <c r="F6249" s="162" t="s">
        <v>30532</v>
      </c>
      <c r="G6249" s="162" t="s">
        <v>30533</v>
      </c>
      <c r="H6249" s="219"/>
      <c r="I6249" s="169">
        <v>204806</v>
      </c>
      <c r="J6249" s="304" t="str">
        <f>CONCATENATE([2]Cover!$D$6,"fdd/view?i=",I6249)</f>
        <v>https://www.dgiwg.org/FAD/fdd/view?i=204806</v>
      </c>
      <c r="K6249" s="304" t="s">
        <v>40298</v>
      </c>
      <c r="L6249" s="188">
        <v>14</v>
      </c>
      <c r="M6249" s="179" t="s">
        <v>1295</v>
      </c>
    </row>
    <row r="6250" spans="1:13" ht="102">
      <c r="A6250" s="313" t="str">
        <f t="shared" si="97"/>
        <v>SpecialAdminUnitCode_fedEmergManageAgRegion</v>
      </c>
      <c r="B6250" s="330"/>
      <c r="C6250" s="334"/>
      <c r="D6250" s="188" t="s">
        <v>30534</v>
      </c>
      <c r="E6250" s="189" t="s">
        <v>30535</v>
      </c>
      <c r="F6250" s="162" t="s">
        <v>30536</v>
      </c>
      <c r="G6250" s="162" t="s">
        <v>30537</v>
      </c>
      <c r="H6250" s="219"/>
      <c r="I6250" s="169">
        <v>204802</v>
      </c>
      <c r="J6250" s="304" t="str">
        <f>CONCATENATE([2]Cover!$D$6,"fdd/view?i=",I6250)</f>
        <v>https://www.dgiwg.org/FAD/fdd/view?i=204802</v>
      </c>
      <c r="K6250" s="304" t="s">
        <v>40299</v>
      </c>
      <c r="L6250" s="188">
        <v>10</v>
      </c>
      <c r="M6250" s="179" t="s">
        <v>1295</v>
      </c>
    </row>
    <row r="6251" spans="1:13" ht="89.25">
      <c r="A6251" s="313" t="str">
        <f t="shared" si="97"/>
        <v>SpecialAdminUnitCode_fedEnergyRegCommRegion</v>
      </c>
      <c r="B6251" s="330"/>
      <c r="C6251" s="334"/>
      <c r="D6251" s="188" t="s">
        <v>30538</v>
      </c>
      <c r="E6251" s="189" t="s">
        <v>30539</v>
      </c>
      <c r="F6251" s="162" t="s">
        <v>30540</v>
      </c>
      <c r="G6251" s="162" t="s">
        <v>30541</v>
      </c>
      <c r="H6251" s="219"/>
      <c r="I6251" s="169">
        <v>204803</v>
      </c>
      <c r="J6251" s="304" t="str">
        <f>CONCATENATE([2]Cover!$D$6,"fdd/view?i=",I6251)</f>
        <v>https://www.dgiwg.org/FAD/fdd/view?i=204803</v>
      </c>
      <c r="K6251" s="304" t="s">
        <v>40300</v>
      </c>
      <c r="L6251" s="188">
        <v>11</v>
      </c>
      <c r="M6251" s="179" t="s">
        <v>1295</v>
      </c>
    </row>
    <row r="6252" spans="1:13" ht="38.25">
      <c r="A6252" s="313" t="str">
        <f t="shared" si="97"/>
        <v>SpecialAdminUnitCode_freeTradeZone</v>
      </c>
      <c r="B6252" s="330"/>
      <c r="C6252" s="334"/>
      <c r="D6252" s="188" t="s">
        <v>30542</v>
      </c>
      <c r="E6252" s="189" t="s">
        <v>30543</v>
      </c>
      <c r="F6252" s="162" t="s">
        <v>30544</v>
      </c>
      <c r="G6252" s="162" t="s">
        <v>30545</v>
      </c>
      <c r="H6252" s="219"/>
      <c r="I6252" s="169">
        <v>111876</v>
      </c>
      <c r="J6252" s="304" t="str">
        <f>CONCATENATE([2]Cover!$D$6,"fdd/view?i=",I6252)</f>
        <v>https://www.dgiwg.org/FAD/fdd/view?i=111876</v>
      </c>
      <c r="K6252" s="304" t="s">
        <v>40301</v>
      </c>
      <c r="L6252" s="188">
        <v>3</v>
      </c>
      <c r="M6252" s="179" t="s">
        <v>151</v>
      </c>
    </row>
    <row r="6253" spans="1:13" ht="38.25">
      <c r="A6253" s="313" t="str">
        <f t="shared" si="97"/>
        <v>SpecialAdminUnitCode_leaseArea</v>
      </c>
      <c r="B6253" s="330"/>
      <c r="C6253" s="334"/>
      <c r="D6253" s="188" t="s">
        <v>30546</v>
      </c>
      <c r="E6253" s="189" t="s">
        <v>30547</v>
      </c>
      <c r="F6253" s="162" t="s">
        <v>30548</v>
      </c>
      <c r="G6253" s="162" t="s">
        <v>30549</v>
      </c>
      <c r="H6253" s="219"/>
      <c r="I6253" s="169">
        <v>111872</v>
      </c>
      <c r="J6253" s="304" t="str">
        <f>CONCATENATE([2]Cover!$D$6,"fdd/view?i=",I6253)</f>
        <v>https://www.dgiwg.org/FAD/fdd/view?i=111872</v>
      </c>
      <c r="K6253" s="304" t="s">
        <v>40302</v>
      </c>
      <c r="L6253" s="188">
        <v>1</v>
      </c>
      <c r="M6253" s="179" t="s">
        <v>151</v>
      </c>
    </row>
    <row r="6254" spans="1:13" ht="38.25">
      <c r="A6254" s="313" t="str">
        <f t="shared" si="97"/>
        <v>SpecialAdminUnitCode_nativeAmericanReservation</v>
      </c>
      <c r="B6254" s="330"/>
      <c r="C6254" s="334"/>
      <c r="D6254" s="188" t="s">
        <v>30550</v>
      </c>
      <c r="E6254" s="189" t="s">
        <v>30551</v>
      </c>
      <c r="F6254" s="162" t="s">
        <v>30552</v>
      </c>
      <c r="G6254" s="190"/>
      <c r="H6254" s="219"/>
      <c r="I6254" s="169">
        <v>204804</v>
      </c>
      <c r="J6254" s="304" t="str">
        <f>CONCATENATE([2]Cover!$D$6,"fdd/view?i=",I6254)</f>
        <v>https://www.dgiwg.org/FAD/fdd/view?i=204804</v>
      </c>
      <c r="K6254" s="304" t="s">
        <v>40303</v>
      </c>
      <c r="L6254" s="188">
        <v>12</v>
      </c>
      <c r="M6254" s="179" t="s">
        <v>1295</v>
      </c>
    </row>
    <row r="6255" spans="1:13" ht="25.5">
      <c r="A6255" s="313" t="str">
        <f t="shared" si="97"/>
        <v>SpecialAdminUnitCode_postalDistrict</v>
      </c>
      <c r="B6255" s="330"/>
      <c r="C6255" s="334"/>
      <c r="D6255" s="188" t="s">
        <v>30553</v>
      </c>
      <c r="E6255" s="189" t="s">
        <v>30554</v>
      </c>
      <c r="F6255" s="162" t="s">
        <v>30555</v>
      </c>
      <c r="G6255" s="190"/>
      <c r="H6255" s="219"/>
      <c r="I6255" s="169">
        <v>111880</v>
      </c>
      <c r="J6255" s="304" t="str">
        <f>CONCATENATE([2]Cover!$D$6,"fdd/view?i=",I6255)</f>
        <v>https://www.dgiwg.org/FAD/fdd/view?i=111880</v>
      </c>
      <c r="K6255" s="304" t="s">
        <v>40304</v>
      </c>
      <c r="L6255" s="188">
        <v>5</v>
      </c>
      <c r="M6255" s="179" t="s">
        <v>151</v>
      </c>
    </row>
    <row r="6256" spans="1:13" ht="63.75">
      <c r="A6256" s="313" t="str">
        <f t="shared" si="97"/>
        <v>SpecialAdminUnitCode_radAssistProgramRegion</v>
      </c>
      <c r="B6256" s="330"/>
      <c r="C6256" s="334"/>
      <c r="D6256" s="188" t="s">
        <v>30556</v>
      </c>
      <c r="E6256" s="189" t="s">
        <v>30557</v>
      </c>
      <c r="F6256" s="162" t="s">
        <v>30558</v>
      </c>
      <c r="G6256" s="162" t="s">
        <v>30559</v>
      </c>
      <c r="H6256" s="219"/>
      <c r="I6256" s="169">
        <v>204805</v>
      </c>
      <c r="J6256" s="304" t="str">
        <f>CONCATENATE([2]Cover!$D$6,"fdd/view?i=",I6256)</f>
        <v>https://www.dgiwg.org/FAD/fdd/view?i=204805</v>
      </c>
      <c r="K6256" s="304" t="s">
        <v>40305</v>
      </c>
      <c r="L6256" s="188">
        <v>13</v>
      </c>
      <c r="M6256" s="179" t="s">
        <v>1295</v>
      </c>
    </row>
    <row r="6257" spans="1:13" ht="63.75">
      <c r="A6257" s="313" t="str">
        <f t="shared" si="97"/>
        <v>SpecialAdminUnitCode_waterManagementDistrict</v>
      </c>
      <c r="B6257" s="331"/>
      <c r="C6257" s="335"/>
      <c r="D6257" s="181" t="s">
        <v>30560</v>
      </c>
      <c r="E6257" s="192" t="s">
        <v>30561</v>
      </c>
      <c r="F6257" s="193" t="s">
        <v>30562</v>
      </c>
      <c r="G6257" s="193" t="s">
        <v>30563</v>
      </c>
      <c r="H6257" s="220"/>
      <c r="I6257" s="169">
        <v>111884</v>
      </c>
      <c r="J6257" s="304" t="str">
        <f>CONCATENATE([2]Cover!$D$6,"fdd/view?i=",I6257)</f>
        <v>https://www.dgiwg.org/FAD/fdd/view?i=111884</v>
      </c>
      <c r="K6257" s="304" t="s">
        <v>40306</v>
      </c>
      <c r="L6257" s="181">
        <v>7</v>
      </c>
      <c r="M6257" s="179" t="s">
        <v>151</v>
      </c>
    </row>
    <row r="6258" spans="1:13" ht="25.5">
      <c r="A6258" s="313" t="str">
        <f t="shared" si="97"/>
        <v>SpecialNavServiceTypeCode_deccaGreenSlave</v>
      </c>
      <c r="B6258" s="332" t="str">
        <f>HYPERLINK("[#]Datatypes!A1322:L1322","SpecialNavServiceTypeCode")</f>
        <v>SpecialNavServiceTypeCode</v>
      </c>
      <c r="C6258" s="333" t="s">
        <v>12942</v>
      </c>
      <c r="D6258" s="202" t="s">
        <v>30564</v>
      </c>
      <c r="E6258" s="203" t="s">
        <v>30565</v>
      </c>
      <c r="F6258" s="204" t="s">
        <v>30566</v>
      </c>
      <c r="G6258" s="205"/>
      <c r="H6258" s="218"/>
      <c r="I6258" s="169">
        <v>115363</v>
      </c>
      <c r="J6258" s="304" t="str">
        <f>CONCATENATE([2]Cover!$D$6,"fdd/view?i=",I6258)</f>
        <v>https://www.dgiwg.org/FAD/fdd/view?i=115363</v>
      </c>
      <c r="K6258" s="304" t="s">
        <v>40307</v>
      </c>
      <c r="L6258" s="202">
        <v>1</v>
      </c>
      <c r="M6258" s="179" t="s">
        <v>151</v>
      </c>
    </row>
    <row r="6259" spans="1:13" ht="25.5">
      <c r="A6259" s="313" t="str">
        <f t="shared" si="97"/>
        <v>SpecialNavServiceTypeCode_deccaPurpleSlave</v>
      </c>
      <c r="B6259" s="330"/>
      <c r="C6259" s="334"/>
      <c r="D6259" s="188" t="s">
        <v>30567</v>
      </c>
      <c r="E6259" s="189" t="s">
        <v>30568</v>
      </c>
      <c r="F6259" s="162" t="s">
        <v>30569</v>
      </c>
      <c r="G6259" s="190"/>
      <c r="H6259" s="219"/>
      <c r="I6259" s="169">
        <v>115364</v>
      </c>
      <c r="J6259" s="304" t="str">
        <f>CONCATENATE([2]Cover!$D$6,"fdd/view?i=",I6259)</f>
        <v>https://www.dgiwg.org/FAD/fdd/view?i=115364</v>
      </c>
      <c r="K6259" s="304" t="s">
        <v>40308</v>
      </c>
      <c r="L6259" s="188">
        <v>2</v>
      </c>
      <c r="M6259" s="179" t="s">
        <v>151</v>
      </c>
    </row>
    <row r="6260" spans="1:13" ht="25.5">
      <c r="A6260" s="313" t="str">
        <f t="shared" si="97"/>
        <v>SpecialNavServiceTypeCode_deccaRedSlave</v>
      </c>
      <c r="B6260" s="330"/>
      <c r="C6260" s="334"/>
      <c r="D6260" s="188" t="s">
        <v>30570</v>
      </c>
      <c r="E6260" s="189" t="s">
        <v>30571</v>
      </c>
      <c r="F6260" s="162" t="s">
        <v>30572</v>
      </c>
      <c r="G6260" s="190"/>
      <c r="H6260" s="219"/>
      <c r="I6260" s="169">
        <v>115365</v>
      </c>
      <c r="J6260" s="304" t="str">
        <f>CONCATENATE([2]Cover!$D$6,"fdd/view?i=",I6260)</f>
        <v>https://www.dgiwg.org/FAD/fdd/view?i=115365</v>
      </c>
      <c r="K6260" s="304" t="s">
        <v>40309</v>
      </c>
      <c r="L6260" s="188">
        <v>3</v>
      </c>
      <c r="M6260" s="179" t="s">
        <v>151</v>
      </c>
    </row>
    <row r="6261" spans="1:13" ht="25.5">
      <c r="A6261" s="313" t="str">
        <f t="shared" si="97"/>
        <v>SpecialNavServiceTypeCode_loranSecondary</v>
      </c>
      <c r="B6261" s="330"/>
      <c r="C6261" s="334"/>
      <c r="D6261" s="188" t="s">
        <v>30573</v>
      </c>
      <c r="E6261" s="189" t="s">
        <v>30574</v>
      </c>
      <c r="F6261" s="162" t="s">
        <v>30575</v>
      </c>
      <c r="G6261" s="162" t="s">
        <v>30576</v>
      </c>
      <c r="H6261" s="219"/>
      <c r="I6261" s="169">
        <v>115366</v>
      </c>
      <c r="J6261" s="304" t="str">
        <f>CONCATENATE([2]Cover!$D$6,"fdd/view?i=",I6261)</f>
        <v>https://www.dgiwg.org/FAD/fdd/view?i=115366</v>
      </c>
      <c r="K6261" s="304" t="s">
        <v>40310</v>
      </c>
      <c r="L6261" s="188">
        <v>4</v>
      </c>
      <c r="M6261" s="179" t="s">
        <v>151</v>
      </c>
    </row>
    <row r="6262" spans="1:13" ht="25.5">
      <c r="A6262" s="313" t="str">
        <f t="shared" si="97"/>
        <v>SpecialNavServiceTypeCode_master</v>
      </c>
      <c r="B6262" s="331"/>
      <c r="C6262" s="335"/>
      <c r="D6262" s="181" t="s">
        <v>30577</v>
      </c>
      <c r="E6262" s="192" t="s">
        <v>30578</v>
      </c>
      <c r="F6262" s="193" t="s">
        <v>30579</v>
      </c>
      <c r="G6262" s="193" t="s">
        <v>30576</v>
      </c>
      <c r="H6262" s="220"/>
      <c r="I6262" s="169">
        <v>115367</v>
      </c>
      <c r="J6262" s="304" t="str">
        <f>CONCATENATE([2]Cover!$D$6,"fdd/view?i=",I6262)</f>
        <v>https://www.dgiwg.org/FAD/fdd/view?i=115367</v>
      </c>
      <c r="K6262" s="304" t="s">
        <v>40311</v>
      </c>
      <c r="L6262" s="181">
        <v>5</v>
      </c>
      <c r="M6262" s="179" t="s">
        <v>151</v>
      </c>
    </row>
    <row r="6263" spans="1:13" ht="25.5">
      <c r="A6263" s="313" t="str">
        <f t="shared" si="97"/>
        <v>SpecialNavSystemTypeCode_decca</v>
      </c>
      <c r="B6263" s="332" t="str">
        <f>HYPERLINK("[#]Datatypes!A1324:L1324","SpecialNavSystemTypeCode")</f>
        <v>SpecialNavSystemTypeCode</v>
      </c>
      <c r="C6263" s="333" t="s">
        <v>12944</v>
      </c>
      <c r="D6263" s="202" t="s">
        <v>30580</v>
      </c>
      <c r="E6263" s="203" t="s">
        <v>30581</v>
      </c>
      <c r="F6263" s="204" t="s">
        <v>30582</v>
      </c>
      <c r="G6263" s="205"/>
      <c r="H6263" s="218"/>
      <c r="I6263" s="169">
        <v>115368</v>
      </c>
      <c r="J6263" s="304" t="str">
        <f>CONCATENATE([2]Cover!$D$6,"fdd/view?i=",I6263)</f>
        <v>https://www.dgiwg.org/FAD/fdd/view?i=115368</v>
      </c>
      <c r="K6263" s="304" t="s">
        <v>40312</v>
      </c>
      <c r="L6263" s="202">
        <v>1</v>
      </c>
      <c r="M6263" s="179" t="s">
        <v>151</v>
      </c>
    </row>
    <row r="6264" spans="1:13" ht="25.5">
      <c r="A6264" s="313" t="str">
        <f t="shared" si="97"/>
        <v>SpecialNavSystemTypeCode_loranA</v>
      </c>
      <c r="B6264" s="330"/>
      <c r="C6264" s="334"/>
      <c r="D6264" s="188" t="s">
        <v>30583</v>
      </c>
      <c r="E6264" s="189" t="s">
        <v>30584</v>
      </c>
      <c r="F6264" s="162" t="s">
        <v>30585</v>
      </c>
      <c r="G6264" s="190"/>
      <c r="H6264" s="219"/>
      <c r="I6264" s="169">
        <v>115369</v>
      </c>
      <c r="J6264" s="304" t="str">
        <f>CONCATENATE([2]Cover!$D$6,"fdd/view?i=",I6264)</f>
        <v>https://www.dgiwg.org/FAD/fdd/view?i=115369</v>
      </c>
      <c r="K6264" s="304" t="s">
        <v>40313</v>
      </c>
      <c r="L6264" s="188">
        <v>2</v>
      </c>
      <c r="M6264" s="179" t="s">
        <v>151</v>
      </c>
    </row>
    <row r="6265" spans="1:13" ht="63.75">
      <c r="A6265" s="313" t="str">
        <f t="shared" si="97"/>
        <v>SpecialNavSystemTypeCode_loranC</v>
      </c>
      <c r="B6265" s="330"/>
      <c r="C6265" s="334"/>
      <c r="D6265" s="188" t="s">
        <v>25979</v>
      </c>
      <c r="E6265" s="189" t="s">
        <v>30586</v>
      </c>
      <c r="F6265" s="162" t="s">
        <v>30587</v>
      </c>
      <c r="G6265" s="162" t="s">
        <v>30588</v>
      </c>
      <c r="H6265" s="219"/>
      <c r="I6265" s="169">
        <v>115370</v>
      </c>
      <c r="J6265" s="304" t="str">
        <f>CONCATENATE([2]Cover!$D$6,"fdd/view?i=",I6265)</f>
        <v>https://www.dgiwg.org/FAD/fdd/view?i=115370</v>
      </c>
      <c r="K6265" s="304" t="s">
        <v>40314</v>
      </c>
      <c r="L6265" s="188">
        <v>3</v>
      </c>
      <c r="M6265" s="179" t="s">
        <v>151</v>
      </c>
    </row>
    <row r="6266" spans="1:13" ht="25.5">
      <c r="A6266" s="313" t="str">
        <f t="shared" si="97"/>
        <v>SpecialNavSystemTypeCode_loranD</v>
      </c>
      <c r="B6266" s="331"/>
      <c r="C6266" s="335"/>
      <c r="D6266" s="181" t="s">
        <v>30589</v>
      </c>
      <c r="E6266" s="192" t="s">
        <v>30590</v>
      </c>
      <c r="F6266" s="193" t="s">
        <v>30591</v>
      </c>
      <c r="G6266" s="194"/>
      <c r="H6266" s="220"/>
      <c r="I6266" s="169">
        <v>115371</v>
      </c>
      <c r="J6266" s="304" t="str">
        <f>CONCATENATE([2]Cover!$D$6,"fdd/view?i=",I6266)</f>
        <v>https://www.dgiwg.org/FAD/fdd/view?i=115371</v>
      </c>
      <c r="K6266" s="304" t="s">
        <v>40315</v>
      </c>
      <c r="L6266" s="181">
        <v>4</v>
      </c>
      <c r="M6266" s="179" t="s">
        <v>151</v>
      </c>
    </row>
    <row r="6267" spans="1:13" ht="25.5">
      <c r="A6267" s="313" t="str">
        <f t="shared" si="97"/>
        <v>SpecifiedComplianceTypeCode_mandatory</v>
      </c>
      <c r="B6267" s="332" t="str">
        <f>HYPERLINK("[#]Datatypes!A1326:L1326","SpecifiedComplianceTypeCode")</f>
        <v>SpecifiedComplianceTypeCode</v>
      </c>
      <c r="C6267" s="333" t="s">
        <v>12946</v>
      </c>
      <c r="D6267" s="202" t="s">
        <v>16472</v>
      </c>
      <c r="E6267" s="203" t="s">
        <v>16473</v>
      </c>
      <c r="F6267" s="204" t="s">
        <v>30592</v>
      </c>
      <c r="G6267" s="205"/>
      <c r="H6267" s="218"/>
      <c r="I6267" s="169">
        <v>207716</v>
      </c>
      <c r="J6267" s="304" t="str">
        <f>CONCATENATE([2]Cover!$D$6,"fdd/view?i=",I6267)</f>
        <v>https://www.dgiwg.org/FAD/fdd/view?i=207716</v>
      </c>
      <c r="K6267" s="304" t="s">
        <v>40316</v>
      </c>
      <c r="L6267" s="202">
        <v>1</v>
      </c>
      <c r="M6267" s="179" t="s">
        <v>1295</v>
      </c>
    </row>
    <row r="6268" spans="1:13" ht="25.5">
      <c r="A6268" s="313" t="str">
        <f t="shared" si="97"/>
        <v>SpecifiedComplianceTypeCode_notMandatory</v>
      </c>
      <c r="B6268" s="330"/>
      <c r="C6268" s="334"/>
      <c r="D6268" s="188" t="s">
        <v>30593</v>
      </c>
      <c r="E6268" s="189" t="s">
        <v>30594</v>
      </c>
      <c r="F6268" s="162" t="s">
        <v>30595</v>
      </c>
      <c r="G6268" s="190"/>
      <c r="H6268" s="219"/>
      <c r="I6268" s="169">
        <v>207719</v>
      </c>
      <c r="J6268" s="304" t="str">
        <f>CONCATENATE([2]Cover!$D$6,"fdd/view?i=",I6268)</f>
        <v>https://www.dgiwg.org/FAD/fdd/view?i=207719</v>
      </c>
      <c r="K6268" s="304" t="s">
        <v>40317</v>
      </c>
      <c r="L6268" s="188">
        <v>4</v>
      </c>
      <c r="M6268" s="179" t="s">
        <v>1295</v>
      </c>
    </row>
    <row r="6269" spans="1:13" ht="38.25">
      <c r="A6269" s="313" t="str">
        <f t="shared" si="97"/>
        <v>SpecifiedComplianceTypeCode_notRecommended</v>
      </c>
      <c r="B6269" s="330"/>
      <c r="C6269" s="334"/>
      <c r="D6269" s="188" t="s">
        <v>30596</v>
      </c>
      <c r="E6269" s="189" t="s">
        <v>30597</v>
      </c>
      <c r="F6269" s="162" t="s">
        <v>30598</v>
      </c>
      <c r="G6269" s="190"/>
      <c r="H6269" s="219"/>
      <c r="I6269" s="169">
        <v>207720</v>
      </c>
      <c r="J6269" s="304" t="str">
        <f>CONCATENATE([2]Cover!$D$6,"fdd/view?i=",I6269)</f>
        <v>https://www.dgiwg.org/FAD/fdd/view?i=207720</v>
      </c>
      <c r="K6269" s="304" t="s">
        <v>40318</v>
      </c>
      <c r="L6269" s="188">
        <v>5</v>
      </c>
      <c r="M6269" s="179" t="s">
        <v>1295</v>
      </c>
    </row>
    <row r="6270" spans="1:13" ht="38.25">
      <c r="A6270" s="313" t="str">
        <f t="shared" si="97"/>
        <v>SpecifiedComplianceTypeCode_recommended</v>
      </c>
      <c r="B6270" s="330"/>
      <c r="C6270" s="334"/>
      <c r="D6270" s="188" t="s">
        <v>16475</v>
      </c>
      <c r="E6270" s="189" t="s">
        <v>16476</v>
      </c>
      <c r="F6270" s="162" t="s">
        <v>30599</v>
      </c>
      <c r="G6270" s="190"/>
      <c r="H6270" s="219"/>
      <c r="I6270" s="169">
        <v>207717</v>
      </c>
      <c r="J6270" s="304" t="str">
        <f>CONCATENATE([2]Cover!$D$6,"fdd/view?i=",I6270)</f>
        <v>https://www.dgiwg.org/FAD/fdd/view?i=207717</v>
      </c>
      <c r="K6270" s="304" t="s">
        <v>40319</v>
      </c>
      <c r="L6270" s="188">
        <v>2</v>
      </c>
      <c r="M6270" s="179" t="s">
        <v>1295</v>
      </c>
    </row>
    <row r="6271" spans="1:13" ht="25.5">
      <c r="A6271" s="313" t="str">
        <f t="shared" si="97"/>
        <v>SpecifiedComplianceTypeCode_reserved</v>
      </c>
      <c r="B6271" s="331"/>
      <c r="C6271" s="335"/>
      <c r="D6271" s="181" t="s">
        <v>30600</v>
      </c>
      <c r="E6271" s="192" t="s">
        <v>30601</v>
      </c>
      <c r="F6271" s="193" t="s">
        <v>30602</v>
      </c>
      <c r="G6271" s="194"/>
      <c r="H6271" s="220"/>
      <c r="I6271" s="169">
        <v>207718</v>
      </c>
      <c r="J6271" s="304" t="str">
        <f>CONCATENATE([2]Cover!$D$6,"fdd/view?i=",I6271)</f>
        <v>https://www.dgiwg.org/FAD/fdd/view?i=207718</v>
      </c>
      <c r="K6271" s="304" t="s">
        <v>40320</v>
      </c>
      <c r="L6271" s="181">
        <v>3</v>
      </c>
      <c r="M6271" s="179" t="s">
        <v>1295</v>
      </c>
    </row>
    <row r="6272" spans="1:13" ht="25.5">
      <c r="A6272" s="313" t="str">
        <f t="shared" si="97"/>
        <v>StandardOperatingTimesCode_byNoticeToAirmen</v>
      </c>
      <c r="B6272" s="332" t="str">
        <f>HYPERLINK("[#]Datatypes!A1330:L1330","StandardOperatingTimesCode")</f>
        <v>StandardOperatingTimesCode</v>
      </c>
      <c r="C6272" s="333" t="s">
        <v>12951</v>
      </c>
      <c r="D6272" s="202" t="s">
        <v>30603</v>
      </c>
      <c r="E6272" s="203" t="s">
        <v>30604</v>
      </c>
      <c r="F6272" s="204" t="s">
        <v>30605</v>
      </c>
      <c r="G6272" s="205"/>
      <c r="H6272" s="218"/>
      <c r="I6272" s="169">
        <v>119508</v>
      </c>
      <c r="J6272" s="304" t="str">
        <f>CONCATENATE([2]Cover!$D$6,"fdd/view?i=",I6272)</f>
        <v>https://www.dgiwg.org/FAD/fdd/view?i=119508</v>
      </c>
      <c r="K6272" s="304" t="s">
        <v>40321</v>
      </c>
      <c r="L6272" s="202">
        <v>9</v>
      </c>
      <c r="M6272" s="179" t="s">
        <v>151</v>
      </c>
    </row>
    <row r="6273" spans="1:13" ht="25.5">
      <c r="A6273" s="313" t="str">
        <f t="shared" si="97"/>
        <v>StandardOperatingTimesCode_byNoticeToMariner</v>
      </c>
      <c r="B6273" s="330"/>
      <c r="C6273" s="334"/>
      <c r="D6273" s="188" t="s">
        <v>30606</v>
      </c>
      <c r="E6273" s="189" t="s">
        <v>30607</v>
      </c>
      <c r="F6273" s="162" t="s">
        <v>30608</v>
      </c>
      <c r="G6273" s="190"/>
      <c r="H6273" s="219"/>
      <c r="I6273" s="169">
        <v>119509</v>
      </c>
      <c r="J6273" s="304" t="str">
        <f>CONCATENATE([2]Cover!$D$6,"fdd/view?i=",I6273)</f>
        <v>https://www.dgiwg.org/FAD/fdd/view?i=119509</v>
      </c>
      <c r="K6273" s="304" t="s">
        <v>40322</v>
      </c>
      <c r="L6273" s="188">
        <v>10</v>
      </c>
      <c r="M6273" s="179" t="s">
        <v>151</v>
      </c>
    </row>
    <row r="6274" spans="1:13" ht="25.5">
      <c r="A6274" s="313" t="str">
        <f t="shared" si="97"/>
        <v>StandardOperatingTimesCode_conditional</v>
      </c>
      <c r="B6274" s="330"/>
      <c r="C6274" s="334"/>
      <c r="D6274" s="188" t="s">
        <v>15396</v>
      </c>
      <c r="E6274" s="189" t="s">
        <v>15397</v>
      </c>
      <c r="F6274" s="162" t="s">
        <v>30609</v>
      </c>
      <c r="G6274" s="190"/>
      <c r="H6274" s="219"/>
      <c r="I6274" s="169">
        <v>119507</v>
      </c>
      <c r="J6274" s="304" t="str">
        <f>CONCATENATE([2]Cover!$D$6,"fdd/view?i=",I6274)</f>
        <v>https://www.dgiwg.org/FAD/fdd/view?i=119507</v>
      </c>
      <c r="K6274" s="304" t="s">
        <v>40323</v>
      </c>
      <c r="L6274" s="188">
        <v>8</v>
      </c>
      <c r="M6274" s="179" t="s">
        <v>151</v>
      </c>
    </row>
    <row r="6275" spans="1:13" ht="25.5">
      <c r="A6275" s="313" t="str">
        <f t="shared" ref="A6275:A6338" si="98">HYPERLINK(J6275,K6275)</f>
        <v>StandardOperatingTimesCode_continuousH24</v>
      </c>
      <c r="B6275" s="330"/>
      <c r="C6275" s="334"/>
      <c r="D6275" s="188" t="s">
        <v>30610</v>
      </c>
      <c r="E6275" s="189" t="s">
        <v>30611</v>
      </c>
      <c r="F6275" s="162" t="s">
        <v>30612</v>
      </c>
      <c r="G6275" s="190"/>
      <c r="H6275" s="219"/>
      <c r="I6275" s="169">
        <v>119500</v>
      </c>
      <c r="J6275" s="304" t="str">
        <f>CONCATENATE([2]Cover!$D$6,"fdd/view?i=",I6275)</f>
        <v>https://www.dgiwg.org/FAD/fdd/view?i=119500</v>
      </c>
      <c r="K6275" s="304" t="s">
        <v>40324</v>
      </c>
      <c r="L6275" s="188">
        <v>1</v>
      </c>
      <c r="M6275" s="179" t="s">
        <v>151</v>
      </c>
    </row>
    <row r="6276" spans="1:13" ht="25.5">
      <c r="A6276" s="313" t="str">
        <f t="shared" si="98"/>
        <v>StandardOperatingTimesCode_holidays</v>
      </c>
      <c r="B6276" s="330"/>
      <c r="C6276" s="334"/>
      <c r="D6276" s="188" t="s">
        <v>30613</v>
      </c>
      <c r="E6276" s="189" t="s">
        <v>30614</v>
      </c>
      <c r="F6276" s="162" t="s">
        <v>30615</v>
      </c>
      <c r="G6276" s="190"/>
      <c r="H6276" s="219"/>
      <c r="I6276" s="169">
        <v>119505</v>
      </c>
      <c r="J6276" s="304" t="str">
        <f>CONCATENATE([2]Cover!$D$6,"fdd/view?i=",I6276)</f>
        <v>https://www.dgiwg.org/FAD/fdd/view?i=119505</v>
      </c>
      <c r="K6276" s="304" t="s">
        <v>40325</v>
      </c>
      <c r="L6276" s="188">
        <v>6</v>
      </c>
      <c r="M6276" s="179" t="s">
        <v>151</v>
      </c>
    </row>
    <row r="6277" spans="1:13" ht="25.5">
      <c r="A6277" s="313" t="str">
        <f t="shared" si="98"/>
        <v>StandardOperatingTimesCode_onCallHO</v>
      </c>
      <c r="B6277" s="330"/>
      <c r="C6277" s="334"/>
      <c r="D6277" s="188" t="s">
        <v>30616</v>
      </c>
      <c r="E6277" s="189" t="s">
        <v>30617</v>
      </c>
      <c r="F6277" s="162" t="s">
        <v>30618</v>
      </c>
      <c r="G6277" s="190"/>
      <c r="H6277" s="219"/>
      <c r="I6277" s="169">
        <v>119501</v>
      </c>
      <c r="J6277" s="304" t="str">
        <f>CONCATENATE([2]Cover!$D$6,"fdd/view?i=",I6277)</f>
        <v>https://www.dgiwg.org/FAD/fdd/view?i=119501</v>
      </c>
      <c r="K6277" s="304" t="s">
        <v>40326</v>
      </c>
      <c r="L6277" s="188">
        <v>2</v>
      </c>
      <c r="M6277" s="179" t="s">
        <v>151</v>
      </c>
    </row>
    <row r="6278" spans="1:13" ht="25.5">
      <c r="A6278" s="313" t="str">
        <f t="shared" si="98"/>
        <v>StandardOperatingTimesCode_sunriseSunset</v>
      </c>
      <c r="B6278" s="330"/>
      <c r="C6278" s="334"/>
      <c r="D6278" s="188" t="s">
        <v>30619</v>
      </c>
      <c r="E6278" s="189" t="s">
        <v>30620</v>
      </c>
      <c r="F6278" s="162" t="s">
        <v>30621</v>
      </c>
      <c r="G6278" s="190"/>
      <c r="H6278" s="219"/>
      <c r="I6278" s="169">
        <v>119502</v>
      </c>
      <c r="J6278" s="304" t="str">
        <f>CONCATENATE([2]Cover!$D$6,"fdd/view?i=",I6278)</f>
        <v>https://www.dgiwg.org/FAD/fdd/view?i=119502</v>
      </c>
      <c r="K6278" s="304" t="s">
        <v>40327</v>
      </c>
      <c r="L6278" s="188">
        <v>3</v>
      </c>
      <c r="M6278" s="179" t="s">
        <v>151</v>
      </c>
    </row>
    <row r="6279" spans="1:13" ht="25.5">
      <c r="A6279" s="313" t="str">
        <f t="shared" si="98"/>
        <v>StandardOperatingTimesCode_sunsetSunrise</v>
      </c>
      <c r="B6279" s="330"/>
      <c r="C6279" s="334"/>
      <c r="D6279" s="188" t="s">
        <v>30622</v>
      </c>
      <c r="E6279" s="189" t="s">
        <v>30623</v>
      </c>
      <c r="F6279" s="162" t="s">
        <v>30624</v>
      </c>
      <c r="G6279" s="190"/>
      <c r="H6279" s="219"/>
      <c r="I6279" s="169">
        <v>119506</v>
      </c>
      <c r="J6279" s="304" t="str">
        <f>CONCATENATE([2]Cover!$D$6,"fdd/view?i=",I6279)</f>
        <v>https://www.dgiwg.org/FAD/fdd/view?i=119506</v>
      </c>
      <c r="K6279" s="304" t="s">
        <v>40328</v>
      </c>
      <c r="L6279" s="188">
        <v>7</v>
      </c>
      <c r="M6279" s="179" t="s">
        <v>151</v>
      </c>
    </row>
    <row r="6280" spans="1:13" ht="25.5">
      <c r="A6280" s="313" t="str">
        <f t="shared" si="98"/>
        <v>StandardOperatingTimesCode_weekdays</v>
      </c>
      <c r="B6280" s="330"/>
      <c r="C6280" s="334"/>
      <c r="D6280" s="188" t="s">
        <v>30625</v>
      </c>
      <c r="E6280" s="189" t="s">
        <v>30626</v>
      </c>
      <c r="F6280" s="162" t="s">
        <v>30627</v>
      </c>
      <c r="G6280" s="190"/>
      <c r="H6280" s="219"/>
      <c r="I6280" s="169">
        <v>119503</v>
      </c>
      <c r="J6280" s="304" t="str">
        <f>CONCATENATE([2]Cover!$D$6,"fdd/view?i=",I6280)</f>
        <v>https://www.dgiwg.org/FAD/fdd/view?i=119503</v>
      </c>
      <c r="K6280" s="304" t="s">
        <v>40329</v>
      </c>
      <c r="L6280" s="188">
        <v>4</v>
      </c>
      <c r="M6280" s="179" t="s">
        <v>151</v>
      </c>
    </row>
    <row r="6281" spans="1:13" ht="25.5">
      <c r="A6281" s="313" t="str">
        <f t="shared" si="98"/>
        <v>StandardOperatingTimesCode_weekends</v>
      </c>
      <c r="B6281" s="331"/>
      <c r="C6281" s="335"/>
      <c r="D6281" s="181" t="s">
        <v>30628</v>
      </c>
      <c r="E6281" s="192" t="s">
        <v>30629</v>
      </c>
      <c r="F6281" s="193" t="s">
        <v>30630</v>
      </c>
      <c r="G6281" s="194"/>
      <c r="H6281" s="220"/>
      <c r="I6281" s="169">
        <v>119504</v>
      </c>
      <c r="J6281" s="304" t="str">
        <f>CONCATENATE([2]Cover!$D$6,"fdd/view?i=",I6281)</f>
        <v>https://www.dgiwg.org/FAD/fdd/view?i=119504</v>
      </c>
      <c r="K6281" s="304" t="s">
        <v>40330</v>
      </c>
      <c r="L6281" s="181">
        <v>5</v>
      </c>
      <c r="M6281" s="179" t="s">
        <v>151</v>
      </c>
    </row>
    <row r="6282" spans="1:13" ht="63.75">
      <c r="A6282" s="313" t="str">
        <f t="shared" si="98"/>
        <v>StatisticalGeoAreaTypeCode_alaskaNatVillageStatArea</v>
      </c>
      <c r="B6282" s="332" t="str">
        <f>HYPERLINK("[#]Datatypes!A1334:L1334","StatisticalGeoAreaTypeCode")</f>
        <v>StatisticalGeoAreaTypeCode</v>
      </c>
      <c r="C6282" s="333" t="s">
        <v>12955</v>
      </c>
      <c r="D6282" s="202" t="s">
        <v>30631</v>
      </c>
      <c r="E6282" s="203" t="s">
        <v>30632</v>
      </c>
      <c r="F6282" s="204" t="s">
        <v>30633</v>
      </c>
      <c r="G6282" s="204" t="s">
        <v>30634</v>
      </c>
      <c r="H6282" s="218"/>
      <c r="I6282" s="169">
        <v>206603</v>
      </c>
      <c r="J6282" s="304" t="str">
        <f>CONCATENATE([2]Cover!$D$6,"fdd/view?i=",I6282)</f>
        <v>https://www.dgiwg.org/FAD/fdd/view?i=206603</v>
      </c>
      <c r="K6282" s="304" t="s">
        <v>40331</v>
      </c>
      <c r="L6282" s="202">
        <v>1</v>
      </c>
      <c r="M6282" s="179" t="s">
        <v>1295</v>
      </c>
    </row>
    <row r="6283" spans="1:13" ht="76.5">
      <c r="A6283" s="313" t="str">
        <f t="shared" si="98"/>
        <v>StatisticalGeoAreaTypeCode_census2kRuralArea</v>
      </c>
      <c r="B6283" s="330"/>
      <c r="C6283" s="334"/>
      <c r="D6283" s="188" t="s">
        <v>30635</v>
      </c>
      <c r="E6283" s="189" t="s">
        <v>30636</v>
      </c>
      <c r="F6283" s="162" t="s">
        <v>30637</v>
      </c>
      <c r="G6283" s="162" t="s">
        <v>30638</v>
      </c>
      <c r="H6283" s="219"/>
      <c r="I6283" s="169">
        <v>206608</v>
      </c>
      <c r="J6283" s="304" t="str">
        <f>CONCATENATE([2]Cover!$D$6,"fdd/view?i=",I6283)</f>
        <v>https://www.dgiwg.org/FAD/fdd/view?i=206608</v>
      </c>
      <c r="K6283" s="304" t="s">
        <v>40332</v>
      </c>
      <c r="L6283" s="188">
        <v>6</v>
      </c>
      <c r="M6283" s="179" t="s">
        <v>1295</v>
      </c>
    </row>
    <row r="6284" spans="1:13" ht="178.5">
      <c r="A6284" s="313" t="str">
        <f t="shared" si="98"/>
        <v>StatisticalGeoAreaTypeCode_census2kUrbanCluster</v>
      </c>
      <c r="B6284" s="330"/>
      <c r="C6284" s="334"/>
      <c r="D6284" s="188" t="s">
        <v>30639</v>
      </c>
      <c r="E6284" s="189" t="s">
        <v>30640</v>
      </c>
      <c r="F6284" s="162" t="s">
        <v>30641</v>
      </c>
      <c r="G6284" s="162" t="s">
        <v>30642</v>
      </c>
      <c r="H6284" s="219"/>
      <c r="I6284" s="169">
        <v>206610</v>
      </c>
      <c r="J6284" s="304" t="str">
        <f>CONCATENATE([2]Cover!$D$6,"fdd/view?i=",I6284)</f>
        <v>https://www.dgiwg.org/FAD/fdd/view?i=206610</v>
      </c>
      <c r="K6284" s="304" t="s">
        <v>40333</v>
      </c>
      <c r="L6284" s="188">
        <v>8</v>
      </c>
      <c r="M6284" s="179" t="s">
        <v>1295</v>
      </c>
    </row>
    <row r="6285" spans="1:13" ht="178.5">
      <c r="A6285" s="313" t="str">
        <f t="shared" si="98"/>
        <v>StatisticalGeoAreaTypeCode_census2kUrbanizedArea</v>
      </c>
      <c r="B6285" s="330"/>
      <c r="C6285" s="334"/>
      <c r="D6285" s="188" t="s">
        <v>30643</v>
      </c>
      <c r="E6285" s="189" t="s">
        <v>30644</v>
      </c>
      <c r="F6285" s="162" t="s">
        <v>30645</v>
      </c>
      <c r="G6285" s="162" t="s">
        <v>30642</v>
      </c>
      <c r="H6285" s="219"/>
      <c r="I6285" s="169">
        <v>206609</v>
      </c>
      <c r="J6285" s="304" t="str">
        <f>CONCATENATE([2]Cover!$D$6,"fdd/view?i=",I6285)</f>
        <v>https://www.dgiwg.org/FAD/fdd/view?i=206609</v>
      </c>
      <c r="K6285" s="304" t="s">
        <v>40334</v>
      </c>
      <c r="L6285" s="188">
        <v>7</v>
      </c>
      <c r="M6285" s="179" t="s">
        <v>1295</v>
      </c>
    </row>
    <row r="6286" spans="1:13" ht="89.25">
      <c r="A6286" s="313" t="str">
        <f t="shared" si="98"/>
        <v>StatisticalGeoAreaTypeCode_hsipUrbanizedAreaInterest</v>
      </c>
      <c r="B6286" s="330"/>
      <c r="C6286" s="334"/>
      <c r="D6286" s="188" t="s">
        <v>30646</v>
      </c>
      <c r="E6286" s="189" t="s">
        <v>30647</v>
      </c>
      <c r="F6286" s="162" t="s">
        <v>30648</v>
      </c>
      <c r="G6286" s="162" t="s">
        <v>30649</v>
      </c>
      <c r="H6286" s="219"/>
      <c r="I6286" s="169">
        <v>206611</v>
      </c>
      <c r="J6286" s="304" t="str">
        <f>CONCATENATE([2]Cover!$D$6,"fdd/view?i=",I6286)</f>
        <v>https://www.dgiwg.org/FAD/fdd/view?i=206611</v>
      </c>
      <c r="K6286" s="304" t="s">
        <v>40335</v>
      </c>
      <c r="L6286" s="188">
        <v>9</v>
      </c>
      <c r="M6286" s="179" t="s">
        <v>1295</v>
      </c>
    </row>
    <row r="6287" spans="1:13" ht="38.25">
      <c r="A6287" s="313" t="str">
        <f t="shared" si="98"/>
        <v>StatisticalGeoAreaTypeCode_landslideArea</v>
      </c>
      <c r="B6287" s="330"/>
      <c r="C6287" s="334"/>
      <c r="D6287" s="188" t="s">
        <v>30650</v>
      </c>
      <c r="E6287" s="189" t="s">
        <v>30651</v>
      </c>
      <c r="F6287" s="162" t="s">
        <v>30652</v>
      </c>
      <c r="G6287" s="162" t="s">
        <v>30653</v>
      </c>
      <c r="H6287" s="219"/>
      <c r="I6287" s="169">
        <v>119269</v>
      </c>
      <c r="J6287" s="304" t="str">
        <f>CONCATENATE([2]Cover!$D$6,"fdd/view?i=",I6287)</f>
        <v>https://www.dgiwg.org/FAD/fdd/view?i=119269</v>
      </c>
      <c r="K6287" s="304" t="s">
        <v>40336</v>
      </c>
      <c r="L6287" s="188">
        <v>10</v>
      </c>
      <c r="M6287" s="179" t="s">
        <v>151</v>
      </c>
    </row>
    <row r="6288" spans="1:13" ht="114.75">
      <c r="A6288" s="313" t="str">
        <f t="shared" si="98"/>
        <v>StatisticalGeoAreaTypeCode_oklahomaTribalStatArea</v>
      </c>
      <c r="B6288" s="330"/>
      <c r="C6288" s="334"/>
      <c r="D6288" s="188" t="s">
        <v>30654</v>
      </c>
      <c r="E6288" s="189" t="s">
        <v>30655</v>
      </c>
      <c r="F6288" s="162" t="s">
        <v>30656</v>
      </c>
      <c r="G6288" s="162" t="s">
        <v>30657</v>
      </c>
      <c r="H6288" s="219"/>
      <c r="I6288" s="169">
        <v>206604</v>
      </c>
      <c r="J6288" s="304" t="str">
        <f>CONCATENATE([2]Cover!$D$6,"fdd/view?i=",I6288)</f>
        <v>https://www.dgiwg.org/FAD/fdd/view?i=206604</v>
      </c>
      <c r="K6288" s="304" t="s">
        <v>40337</v>
      </c>
      <c r="L6288" s="188">
        <v>2</v>
      </c>
      <c r="M6288" s="179" t="s">
        <v>1295</v>
      </c>
    </row>
    <row r="6289" spans="1:13" ht="127.5">
      <c r="A6289" s="313" t="str">
        <f t="shared" si="98"/>
        <v>StatisticalGeoAreaTypeCode_seismicArea</v>
      </c>
      <c r="B6289" s="330"/>
      <c r="C6289" s="334"/>
      <c r="D6289" s="188" t="s">
        <v>30658</v>
      </c>
      <c r="E6289" s="189" t="s">
        <v>30659</v>
      </c>
      <c r="F6289" s="162" t="s">
        <v>30660</v>
      </c>
      <c r="G6289" s="162" t="s">
        <v>30661</v>
      </c>
      <c r="H6289" s="219"/>
      <c r="I6289" s="169">
        <v>119270</v>
      </c>
      <c r="J6289" s="304" t="str">
        <f>CONCATENATE([2]Cover!$D$6,"fdd/view?i=",I6289)</f>
        <v>https://www.dgiwg.org/FAD/fdd/view?i=119270</v>
      </c>
      <c r="K6289" s="304" t="s">
        <v>40338</v>
      </c>
      <c r="L6289" s="188">
        <v>11</v>
      </c>
      <c r="M6289" s="179" t="s">
        <v>151</v>
      </c>
    </row>
    <row r="6290" spans="1:13" ht="102">
      <c r="A6290" s="313" t="str">
        <f t="shared" si="98"/>
        <v>StatisticalGeoAreaTypeCode_stateDesigAmIndianStatArea</v>
      </c>
      <c r="B6290" s="330"/>
      <c r="C6290" s="334"/>
      <c r="D6290" s="188" t="s">
        <v>30662</v>
      </c>
      <c r="E6290" s="189" t="s">
        <v>30663</v>
      </c>
      <c r="F6290" s="162" t="s">
        <v>30664</v>
      </c>
      <c r="G6290" s="162" t="s">
        <v>30665</v>
      </c>
      <c r="H6290" s="219"/>
      <c r="I6290" s="169">
        <v>206605</v>
      </c>
      <c r="J6290" s="304" t="str">
        <f>CONCATENATE([2]Cover!$D$6,"fdd/view?i=",I6290)</f>
        <v>https://www.dgiwg.org/FAD/fdd/view?i=206605</v>
      </c>
      <c r="K6290" s="304" t="s">
        <v>40339</v>
      </c>
      <c r="L6290" s="188">
        <v>3</v>
      </c>
      <c r="M6290" s="179" t="s">
        <v>1295</v>
      </c>
    </row>
    <row r="6291" spans="1:13" ht="63.75">
      <c r="A6291" s="313" t="str">
        <f t="shared" si="98"/>
        <v>StatisticalGeoAreaTypeCode_tribalDesigStatArea</v>
      </c>
      <c r="B6291" s="330"/>
      <c r="C6291" s="334"/>
      <c r="D6291" s="188" t="s">
        <v>30666</v>
      </c>
      <c r="E6291" s="189" t="s">
        <v>30667</v>
      </c>
      <c r="F6291" s="162" t="s">
        <v>30668</v>
      </c>
      <c r="G6291" s="162" t="s">
        <v>30669</v>
      </c>
      <c r="H6291" s="219"/>
      <c r="I6291" s="169">
        <v>206606</v>
      </c>
      <c r="J6291" s="304" t="str">
        <f>CONCATENATE([2]Cover!$D$6,"fdd/view?i=",I6291)</f>
        <v>https://www.dgiwg.org/FAD/fdd/view?i=206606</v>
      </c>
      <c r="K6291" s="304" t="s">
        <v>40340</v>
      </c>
      <c r="L6291" s="188">
        <v>4</v>
      </c>
      <c r="M6291" s="179" t="s">
        <v>1295</v>
      </c>
    </row>
    <row r="6292" spans="1:13" ht="38.25">
      <c r="A6292" s="313" t="str">
        <f t="shared" si="98"/>
        <v>StatisticalGeoAreaTypeCode_tribalJurisdictionStatArea</v>
      </c>
      <c r="B6292" s="331"/>
      <c r="C6292" s="335"/>
      <c r="D6292" s="181" t="s">
        <v>30670</v>
      </c>
      <c r="E6292" s="192" t="s">
        <v>30671</v>
      </c>
      <c r="F6292" s="193" t="s">
        <v>30672</v>
      </c>
      <c r="G6292" s="193" t="s">
        <v>30673</v>
      </c>
      <c r="H6292" s="220"/>
      <c r="I6292" s="169">
        <v>206607</v>
      </c>
      <c r="J6292" s="304" t="str">
        <f>CONCATENATE([2]Cover!$D$6,"fdd/view?i=",I6292)</f>
        <v>https://www.dgiwg.org/FAD/fdd/view?i=206607</v>
      </c>
      <c r="K6292" s="304" t="s">
        <v>40341</v>
      </c>
      <c r="L6292" s="181">
        <v>5</v>
      </c>
      <c r="M6292" s="179" t="s">
        <v>1295</v>
      </c>
    </row>
    <row r="6293" spans="1:13" ht="38.25">
      <c r="A6293" s="313" t="str">
        <f t="shared" si="98"/>
        <v>StolenItemCode_fuel</v>
      </c>
      <c r="B6293" s="332" t="str">
        <f>HYPERLINK("[#]Datatypes!A1336:L1336","StolenItemCode")</f>
        <v>StolenItemCode</v>
      </c>
      <c r="C6293" s="333" t="s">
        <v>12957</v>
      </c>
      <c r="D6293" s="202" t="s">
        <v>30674</v>
      </c>
      <c r="E6293" s="203" t="s">
        <v>30675</v>
      </c>
      <c r="F6293" s="204" t="s">
        <v>30676</v>
      </c>
      <c r="G6293" s="204" t="s">
        <v>30677</v>
      </c>
      <c r="H6293" s="218"/>
      <c r="I6293" s="169">
        <v>112652</v>
      </c>
      <c r="J6293" s="304" t="str">
        <f>CONCATENATE([2]Cover!$D$6,"fdd/view?i=",I6293)</f>
        <v>https://www.dgiwg.org/FAD/fdd/view?i=112652</v>
      </c>
      <c r="K6293" s="304" t="s">
        <v>40342</v>
      </c>
      <c r="L6293" s="202">
        <v>4</v>
      </c>
      <c r="M6293" s="179" t="s">
        <v>151</v>
      </c>
    </row>
    <row r="6294" spans="1:13">
      <c r="A6294" s="313" t="str">
        <f t="shared" si="98"/>
        <v>StolenItemCode_generalCargo</v>
      </c>
      <c r="B6294" s="330"/>
      <c r="C6294" s="334"/>
      <c r="D6294" s="188" t="s">
        <v>30678</v>
      </c>
      <c r="E6294" s="189" t="s">
        <v>30679</v>
      </c>
      <c r="F6294" s="162" t="s">
        <v>30680</v>
      </c>
      <c r="G6294" s="190"/>
      <c r="H6294" s="219"/>
      <c r="I6294" s="169">
        <v>112646</v>
      </c>
      <c r="J6294" s="304" t="str">
        <f>CONCATENATE([2]Cover!$D$6,"fdd/view?i=",I6294)</f>
        <v>https://www.dgiwg.org/FAD/fdd/view?i=112646</v>
      </c>
      <c r="K6294" s="304" t="s">
        <v>40343</v>
      </c>
      <c r="L6294" s="188">
        <v>1</v>
      </c>
      <c r="M6294" s="179" t="s">
        <v>151</v>
      </c>
    </row>
    <row r="6295" spans="1:13" ht="25.5">
      <c r="A6295" s="313" t="str">
        <f t="shared" si="98"/>
        <v>StolenItemCode_potentialHazardCargo</v>
      </c>
      <c r="B6295" s="330"/>
      <c r="C6295" s="334"/>
      <c r="D6295" s="188" t="s">
        <v>30681</v>
      </c>
      <c r="E6295" s="189" t="s">
        <v>30682</v>
      </c>
      <c r="F6295" s="162" t="s">
        <v>30683</v>
      </c>
      <c r="G6295" s="190"/>
      <c r="H6295" s="219"/>
      <c r="I6295" s="169">
        <v>112648</v>
      </c>
      <c r="J6295" s="304" t="str">
        <f>CONCATENATE([2]Cover!$D$6,"fdd/view?i=",I6295)</f>
        <v>https://www.dgiwg.org/FAD/fdd/view?i=112648</v>
      </c>
      <c r="K6295" s="304" t="s">
        <v>40344</v>
      </c>
      <c r="L6295" s="188">
        <v>2</v>
      </c>
      <c r="M6295" s="179" t="s">
        <v>151</v>
      </c>
    </row>
    <row r="6296" spans="1:13">
      <c r="A6296" s="313" t="str">
        <f t="shared" si="98"/>
        <v>StolenItemCode_radioEquipment</v>
      </c>
      <c r="B6296" s="330"/>
      <c r="C6296" s="334"/>
      <c r="D6296" s="188" t="s">
        <v>30684</v>
      </c>
      <c r="E6296" s="189" t="s">
        <v>30685</v>
      </c>
      <c r="F6296" s="162" t="s">
        <v>30686</v>
      </c>
      <c r="G6296" s="190"/>
      <c r="H6296" s="219"/>
      <c r="I6296" s="169">
        <v>119327</v>
      </c>
      <c r="J6296" s="304" t="str">
        <f>CONCATENATE([2]Cover!$D$6,"fdd/view?i=",I6296)</f>
        <v>https://www.dgiwg.org/FAD/fdd/view?i=119327</v>
      </c>
      <c r="K6296" s="304" t="s">
        <v>40345</v>
      </c>
      <c r="L6296" s="188">
        <v>8</v>
      </c>
      <c r="M6296" s="179" t="s">
        <v>151</v>
      </c>
    </row>
    <row r="6297" spans="1:13">
      <c r="A6297" s="313" t="str">
        <f t="shared" si="98"/>
        <v>StolenItemCode_safetyEquipment</v>
      </c>
      <c r="B6297" s="330"/>
      <c r="C6297" s="334"/>
      <c r="D6297" s="188" t="s">
        <v>30687</v>
      </c>
      <c r="E6297" s="189" t="s">
        <v>30688</v>
      </c>
      <c r="F6297" s="162" t="s">
        <v>30689</v>
      </c>
      <c r="G6297" s="190"/>
      <c r="H6297" s="219"/>
      <c r="I6297" s="169">
        <v>119328</v>
      </c>
      <c r="J6297" s="304" t="str">
        <f>CONCATENATE([2]Cover!$D$6,"fdd/view?i=",I6297)</f>
        <v>https://www.dgiwg.org/FAD/fdd/view?i=119328</v>
      </c>
      <c r="K6297" s="304" t="s">
        <v>40346</v>
      </c>
      <c r="L6297" s="188">
        <v>9</v>
      </c>
      <c r="M6297" s="179" t="s">
        <v>151</v>
      </c>
    </row>
    <row r="6298" spans="1:13">
      <c r="A6298" s="313" t="str">
        <f t="shared" si="98"/>
        <v>StolenItemCode_significantMoney</v>
      </c>
      <c r="B6298" s="330"/>
      <c r="C6298" s="334"/>
      <c r="D6298" s="188" t="s">
        <v>30690</v>
      </c>
      <c r="E6298" s="189" t="s">
        <v>30691</v>
      </c>
      <c r="F6298" s="162" t="s">
        <v>30692</v>
      </c>
      <c r="G6298" s="190"/>
      <c r="H6298" s="219"/>
      <c r="I6298" s="169">
        <v>112650</v>
      </c>
      <c r="J6298" s="304" t="str">
        <f>CONCATENATE([2]Cover!$D$6,"fdd/view?i=",I6298)</f>
        <v>https://www.dgiwg.org/FAD/fdd/view?i=112650</v>
      </c>
      <c r="K6298" s="304" t="s">
        <v>40347</v>
      </c>
      <c r="L6298" s="188">
        <v>3</v>
      </c>
      <c r="M6298" s="179" t="s">
        <v>151</v>
      </c>
    </row>
    <row r="6299" spans="1:13">
      <c r="A6299" s="313" t="str">
        <f t="shared" si="98"/>
        <v>StolenItemCode_spareParts</v>
      </c>
      <c r="B6299" s="330"/>
      <c r="C6299" s="334"/>
      <c r="D6299" s="188" t="s">
        <v>30693</v>
      </c>
      <c r="E6299" s="189" t="s">
        <v>30694</v>
      </c>
      <c r="F6299" s="162" t="s">
        <v>30695</v>
      </c>
      <c r="G6299" s="190"/>
      <c r="H6299" s="219"/>
      <c r="I6299" s="169">
        <v>112656</v>
      </c>
      <c r="J6299" s="304" t="str">
        <f>CONCATENATE([2]Cover!$D$6,"fdd/view?i=",I6299)</f>
        <v>https://www.dgiwg.org/FAD/fdd/view?i=112656</v>
      </c>
      <c r="K6299" s="304" t="s">
        <v>40348</v>
      </c>
      <c r="L6299" s="188">
        <v>6</v>
      </c>
      <c r="M6299" s="179" t="s">
        <v>151</v>
      </c>
    </row>
    <row r="6300" spans="1:13" ht="25.5">
      <c r="A6300" s="313" t="str">
        <f t="shared" si="98"/>
        <v>StolenItemCode_vesselStores</v>
      </c>
      <c r="B6300" s="330"/>
      <c r="C6300" s="334"/>
      <c r="D6300" s="188" t="s">
        <v>30696</v>
      </c>
      <c r="E6300" s="189" t="s">
        <v>30697</v>
      </c>
      <c r="F6300" s="162" t="s">
        <v>30698</v>
      </c>
      <c r="G6300" s="190"/>
      <c r="H6300" s="219"/>
      <c r="I6300" s="169">
        <v>112654</v>
      </c>
      <c r="J6300" s="304" t="str">
        <f>CONCATENATE([2]Cover!$D$6,"fdd/view?i=",I6300)</f>
        <v>https://www.dgiwg.org/FAD/fdd/view?i=112654</v>
      </c>
      <c r="K6300" s="304" t="s">
        <v>40349</v>
      </c>
      <c r="L6300" s="188">
        <v>5</v>
      </c>
      <c r="M6300" s="179" t="s">
        <v>151</v>
      </c>
    </row>
    <row r="6301" spans="1:13">
      <c r="A6301" s="313" t="str">
        <f t="shared" si="98"/>
        <v>StolenItemCode_weapons</v>
      </c>
      <c r="B6301" s="331"/>
      <c r="C6301" s="335"/>
      <c r="D6301" s="181" t="s">
        <v>30699</v>
      </c>
      <c r="E6301" s="192" t="s">
        <v>30700</v>
      </c>
      <c r="F6301" s="193" t="s">
        <v>30701</v>
      </c>
      <c r="G6301" s="194"/>
      <c r="H6301" s="220"/>
      <c r="I6301" s="169">
        <v>112658</v>
      </c>
      <c r="J6301" s="304" t="str">
        <f>CONCATENATE([2]Cover!$D$6,"fdd/view?i=",I6301)</f>
        <v>https://www.dgiwg.org/FAD/fdd/view?i=112658</v>
      </c>
      <c r="K6301" s="304" t="s">
        <v>40350</v>
      </c>
      <c r="L6301" s="181">
        <v>7</v>
      </c>
      <c r="M6301" s="179" t="s">
        <v>151</v>
      </c>
    </row>
    <row r="6302" spans="1:13" ht="25.5">
      <c r="A6302" s="313" t="str">
        <f t="shared" si="98"/>
        <v>StreetSignTypeCode_direction</v>
      </c>
      <c r="B6302" s="332" t="str">
        <f>HYPERLINK("[#]Datatypes!A1338:L1338","StreetSignTypeCode")</f>
        <v>StreetSignTypeCode</v>
      </c>
      <c r="C6302" s="333" t="s">
        <v>12959</v>
      </c>
      <c r="D6302" s="202" t="s">
        <v>30702</v>
      </c>
      <c r="E6302" s="203" t="s">
        <v>30703</v>
      </c>
      <c r="F6302" s="204" t="s">
        <v>30704</v>
      </c>
      <c r="G6302" s="204" t="s">
        <v>30705</v>
      </c>
      <c r="H6302" s="218"/>
      <c r="I6302" s="169">
        <v>118040</v>
      </c>
      <c r="J6302" s="304" t="str">
        <f>CONCATENATE([2]Cover!$D$6,"fdd/view?i=",I6302)</f>
        <v>https://www.dgiwg.org/FAD/fdd/view?i=118040</v>
      </c>
      <c r="K6302" s="304" t="s">
        <v>40351</v>
      </c>
      <c r="L6302" s="202">
        <v>1</v>
      </c>
      <c r="M6302" s="179" t="s">
        <v>151</v>
      </c>
    </row>
    <row r="6303" spans="1:13" ht="63.75">
      <c r="A6303" s="313" t="str">
        <f t="shared" si="98"/>
        <v>StreetSignTypeCode_electronicMessage</v>
      </c>
      <c r="B6303" s="330"/>
      <c r="C6303" s="334"/>
      <c r="D6303" s="188" t="s">
        <v>30706</v>
      </c>
      <c r="E6303" s="189" t="s">
        <v>30707</v>
      </c>
      <c r="F6303" s="162" t="s">
        <v>30708</v>
      </c>
      <c r="G6303" s="162" t="s">
        <v>30709</v>
      </c>
      <c r="H6303" s="219"/>
      <c r="I6303" s="169">
        <v>118041</v>
      </c>
      <c r="J6303" s="304" t="str">
        <f>CONCATENATE([2]Cover!$D$6,"fdd/view?i=",I6303)</f>
        <v>https://www.dgiwg.org/FAD/fdd/view?i=118041</v>
      </c>
      <c r="K6303" s="304" t="s">
        <v>40352</v>
      </c>
      <c r="L6303" s="188">
        <v>2</v>
      </c>
      <c r="M6303" s="179" t="s">
        <v>151</v>
      </c>
    </row>
    <row r="6304" spans="1:13" ht="38.25">
      <c r="A6304" s="313" t="str">
        <f t="shared" si="98"/>
        <v>StreetSignTypeCode_generalInformation</v>
      </c>
      <c r="B6304" s="330"/>
      <c r="C6304" s="334"/>
      <c r="D6304" s="188" t="s">
        <v>30710</v>
      </c>
      <c r="E6304" s="189" t="s">
        <v>30711</v>
      </c>
      <c r="F6304" s="162" t="s">
        <v>30712</v>
      </c>
      <c r="G6304" s="162" t="s">
        <v>30713</v>
      </c>
      <c r="H6304" s="219"/>
      <c r="I6304" s="169">
        <v>118042</v>
      </c>
      <c r="J6304" s="304" t="str">
        <f>CONCATENATE([2]Cover!$D$6,"fdd/view?i=",I6304)</f>
        <v>https://www.dgiwg.org/FAD/fdd/view?i=118042</v>
      </c>
      <c r="K6304" s="304" t="s">
        <v>40353</v>
      </c>
      <c r="L6304" s="188">
        <v>3</v>
      </c>
      <c r="M6304" s="179" t="s">
        <v>151</v>
      </c>
    </row>
    <row r="6305" spans="1:13" ht="89.25">
      <c r="A6305" s="313" t="str">
        <f t="shared" si="98"/>
        <v>StreetSignTypeCode_mandatoryRegulation</v>
      </c>
      <c r="B6305" s="330"/>
      <c r="C6305" s="334"/>
      <c r="D6305" s="188" t="s">
        <v>30714</v>
      </c>
      <c r="E6305" s="189" t="s">
        <v>30715</v>
      </c>
      <c r="F6305" s="162" t="s">
        <v>30716</v>
      </c>
      <c r="G6305" s="162" t="s">
        <v>30717</v>
      </c>
      <c r="H6305" s="219"/>
      <c r="I6305" s="169">
        <v>118043</v>
      </c>
      <c r="J6305" s="304" t="str">
        <f>CONCATENATE([2]Cover!$D$6,"fdd/view?i=",I6305)</f>
        <v>https://www.dgiwg.org/FAD/fdd/view?i=118043</v>
      </c>
      <c r="K6305" s="304" t="s">
        <v>40354</v>
      </c>
      <c r="L6305" s="188">
        <v>4</v>
      </c>
      <c r="M6305" s="179" t="s">
        <v>151</v>
      </c>
    </row>
    <row r="6306" spans="1:13" ht="38.25">
      <c r="A6306" s="313" t="str">
        <f t="shared" si="98"/>
        <v>StreetSignTypeCode_placeIdentification</v>
      </c>
      <c r="B6306" s="330"/>
      <c r="C6306" s="334"/>
      <c r="D6306" s="188" t="s">
        <v>30718</v>
      </c>
      <c r="E6306" s="189" t="s">
        <v>30719</v>
      </c>
      <c r="F6306" s="162" t="s">
        <v>30720</v>
      </c>
      <c r="G6306" s="162" t="s">
        <v>30721</v>
      </c>
      <c r="H6306" s="219"/>
      <c r="I6306" s="169">
        <v>118044</v>
      </c>
      <c r="J6306" s="304" t="str">
        <f>CONCATENATE([2]Cover!$D$6,"fdd/view?i=",I6306)</f>
        <v>https://www.dgiwg.org/FAD/fdd/view?i=118044</v>
      </c>
      <c r="K6306" s="304" t="s">
        <v>40355</v>
      </c>
      <c r="L6306" s="188">
        <v>5</v>
      </c>
      <c r="M6306" s="179" t="s">
        <v>151</v>
      </c>
    </row>
    <row r="6307" spans="1:13" ht="38.25">
      <c r="A6307" s="313" t="str">
        <f t="shared" si="98"/>
        <v>StreetSignTypeCode_prohibitedRestrictedActivity</v>
      </c>
      <c r="B6307" s="330"/>
      <c r="C6307" s="334"/>
      <c r="D6307" s="188" t="s">
        <v>30722</v>
      </c>
      <c r="E6307" s="189" t="s">
        <v>30723</v>
      </c>
      <c r="F6307" s="162" t="s">
        <v>30724</v>
      </c>
      <c r="G6307" s="162" t="s">
        <v>30725</v>
      </c>
      <c r="H6307" s="219"/>
      <c r="I6307" s="169">
        <v>118045</v>
      </c>
      <c r="J6307" s="304" t="str">
        <f>CONCATENATE([2]Cover!$D$6,"fdd/view?i=",I6307)</f>
        <v>https://www.dgiwg.org/FAD/fdd/view?i=118045</v>
      </c>
      <c r="K6307" s="304" t="s">
        <v>40356</v>
      </c>
      <c r="L6307" s="188">
        <v>6</v>
      </c>
      <c r="M6307" s="179" t="s">
        <v>151</v>
      </c>
    </row>
    <row r="6308" spans="1:13" ht="25.5">
      <c r="A6308" s="313" t="str">
        <f t="shared" si="98"/>
        <v>StreetSignTypeCode_roadIdentification</v>
      </c>
      <c r="B6308" s="330"/>
      <c r="C6308" s="334"/>
      <c r="D6308" s="188" t="s">
        <v>30726</v>
      </c>
      <c r="E6308" s="189" t="s">
        <v>30727</v>
      </c>
      <c r="F6308" s="162" t="s">
        <v>30728</v>
      </c>
      <c r="G6308" s="162" t="s">
        <v>30729</v>
      </c>
      <c r="H6308" s="219"/>
      <c r="I6308" s="169">
        <v>118046</v>
      </c>
      <c r="J6308" s="304" t="str">
        <f>CONCATENATE([2]Cover!$D$6,"fdd/view?i=",I6308)</f>
        <v>https://www.dgiwg.org/FAD/fdd/view?i=118046</v>
      </c>
      <c r="K6308" s="304" t="s">
        <v>40357</v>
      </c>
      <c r="L6308" s="188">
        <v>7</v>
      </c>
      <c r="M6308" s="179" t="s">
        <v>151</v>
      </c>
    </row>
    <row r="6309" spans="1:13" ht="38.25">
      <c r="A6309" s="313" t="str">
        <f t="shared" si="98"/>
        <v>StreetSignTypeCode_routeMarker</v>
      </c>
      <c r="B6309" s="330"/>
      <c r="C6309" s="334"/>
      <c r="D6309" s="188" t="s">
        <v>30730</v>
      </c>
      <c r="E6309" s="189" t="s">
        <v>30731</v>
      </c>
      <c r="F6309" s="162" t="s">
        <v>30732</v>
      </c>
      <c r="G6309" s="162" t="s">
        <v>30733</v>
      </c>
      <c r="H6309" s="219"/>
      <c r="I6309" s="169">
        <v>118047</v>
      </c>
      <c r="J6309" s="304" t="str">
        <f>CONCATENATE([2]Cover!$D$6,"fdd/view?i=",I6309)</f>
        <v>https://www.dgiwg.org/FAD/fdd/view?i=118047</v>
      </c>
      <c r="K6309" s="304" t="s">
        <v>40358</v>
      </c>
      <c r="L6309" s="188">
        <v>8</v>
      </c>
      <c r="M6309" s="179" t="s">
        <v>151</v>
      </c>
    </row>
    <row r="6310" spans="1:13" ht="25.5">
      <c r="A6310" s="313" t="str">
        <f t="shared" si="98"/>
        <v>StreetSignTypeCode_trafficControl</v>
      </c>
      <c r="B6310" s="330"/>
      <c r="C6310" s="334"/>
      <c r="D6310" s="188" t="s">
        <v>30734</v>
      </c>
      <c r="E6310" s="189" t="s">
        <v>30735</v>
      </c>
      <c r="F6310" s="162" t="s">
        <v>30736</v>
      </c>
      <c r="G6310" s="162" t="s">
        <v>30737</v>
      </c>
      <c r="H6310" s="219"/>
      <c r="I6310" s="169">
        <v>118048</v>
      </c>
      <c r="J6310" s="304" t="str">
        <f>CONCATENATE([2]Cover!$D$6,"fdd/view?i=",I6310)</f>
        <v>https://www.dgiwg.org/FAD/fdd/view?i=118048</v>
      </c>
      <c r="K6310" s="304" t="s">
        <v>40359</v>
      </c>
      <c r="L6310" s="188">
        <v>9</v>
      </c>
      <c r="M6310" s="179" t="s">
        <v>151</v>
      </c>
    </row>
    <row r="6311" spans="1:13" ht="114.75">
      <c r="A6311" s="313" t="str">
        <f t="shared" si="98"/>
        <v>StreetSignTypeCode_warning</v>
      </c>
      <c r="B6311" s="331"/>
      <c r="C6311" s="335"/>
      <c r="D6311" s="181" t="s">
        <v>30738</v>
      </c>
      <c r="E6311" s="192" t="s">
        <v>30739</v>
      </c>
      <c r="F6311" s="193" t="s">
        <v>30740</v>
      </c>
      <c r="G6311" s="193" t="s">
        <v>30741</v>
      </c>
      <c r="H6311" s="220"/>
      <c r="I6311" s="169">
        <v>118049</v>
      </c>
      <c r="J6311" s="304" t="str">
        <f>CONCATENATE([2]Cover!$D$6,"fdd/view?i=",I6311)</f>
        <v>https://www.dgiwg.org/FAD/fdd/view?i=118049</v>
      </c>
      <c r="K6311" s="304" t="s">
        <v>40360</v>
      </c>
      <c r="L6311" s="181">
        <v>10</v>
      </c>
      <c r="M6311" s="179" t="s">
        <v>151</v>
      </c>
    </row>
    <row r="6312" spans="1:13" ht="38.25">
      <c r="A6312" s="313" t="str">
        <f t="shared" si="98"/>
        <v>StructureShapeCode_arched</v>
      </c>
      <c r="B6312" s="332" t="str">
        <f>HYPERLINK("[#]Datatypes!A1340:L1340","StructureShapeCode")</f>
        <v>StructureShapeCode</v>
      </c>
      <c r="C6312" s="333" t="s">
        <v>12961</v>
      </c>
      <c r="D6312" s="202" t="s">
        <v>30742</v>
      </c>
      <c r="E6312" s="203" t="s">
        <v>30743</v>
      </c>
      <c r="F6312" s="204" t="s">
        <v>30744</v>
      </c>
      <c r="G6312" s="204" t="s">
        <v>30745</v>
      </c>
      <c r="H6312" s="218"/>
      <c r="I6312" s="169">
        <v>108140</v>
      </c>
      <c r="J6312" s="304" t="str">
        <f>CONCATENATE([2]Cover!$D$6,"fdd/view?i=",I6312)</f>
        <v>https://www.dgiwg.org/FAD/fdd/view?i=108140</v>
      </c>
      <c r="K6312" s="304" t="s">
        <v>40361</v>
      </c>
      <c r="L6312" s="202">
        <v>77</v>
      </c>
      <c r="M6312" s="179" t="s">
        <v>151</v>
      </c>
    </row>
    <row r="6313" spans="1:13" ht="25.5">
      <c r="A6313" s="313" t="str">
        <f t="shared" si="98"/>
        <v>StructureShapeCode_boardLikePrism</v>
      </c>
      <c r="B6313" s="330"/>
      <c r="C6313" s="334"/>
      <c r="D6313" s="188" t="s">
        <v>30746</v>
      </c>
      <c r="E6313" s="189" t="s">
        <v>30747</v>
      </c>
      <c r="F6313" s="162" t="s">
        <v>30748</v>
      </c>
      <c r="G6313" s="190"/>
      <c r="H6313" s="219"/>
      <c r="I6313" s="169">
        <v>108157</v>
      </c>
      <c r="J6313" s="304" t="str">
        <f>CONCATENATE([2]Cover!$D$6,"fdd/view?i=",I6313)</f>
        <v>https://www.dgiwg.org/FAD/fdd/view?i=108157</v>
      </c>
      <c r="K6313" s="304" t="s">
        <v>40362</v>
      </c>
      <c r="L6313" s="188">
        <v>94</v>
      </c>
      <c r="M6313" s="179" t="s">
        <v>151</v>
      </c>
    </row>
    <row r="6314" spans="1:13" ht="38.25">
      <c r="A6314" s="313" t="str">
        <f t="shared" si="98"/>
        <v>StructureShapeCode_columnar</v>
      </c>
      <c r="B6314" s="330"/>
      <c r="C6314" s="334"/>
      <c r="D6314" s="188" t="s">
        <v>29574</v>
      </c>
      <c r="E6314" s="189" t="s">
        <v>29575</v>
      </c>
      <c r="F6314" s="162" t="s">
        <v>30749</v>
      </c>
      <c r="G6314" s="162" t="s">
        <v>30750</v>
      </c>
      <c r="H6314" s="219"/>
      <c r="I6314" s="169">
        <v>108158</v>
      </c>
      <c r="J6314" s="304" t="str">
        <f>CONCATENATE([2]Cover!$D$6,"fdd/view?i=",I6314)</f>
        <v>https://www.dgiwg.org/FAD/fdd/view?i=108158</v>
      </c>
      <c r="K6314" s="304" t="s">
        <v>40363</v>
      </c>
      <c r="L6314" s="188">
        <v>95</v>
      </c>
      <c r="M6314" s="179" t="s">
        <v>151</v>
      </c>
    </row>
    <row r="6315" spans="1:13" ht="25.5">
      <c r="A6315" s="313" t="str">
        <f t="shared" si="98"/>
        <v>StructureShapeCode_cross</v>
      </c>
      <c r="B6315" s="330"/>
      <c r="C6315" s="334"/>
      <c r="D6315" s="188" t="s">
        <v>14834</v>
      </c>
      <c r="E6315" s="189" t="s">
        <v>14835</v>
      </c>
      <c r="F6315" s="162" t="s">
        <v>30751</v>
      </c>
      <c r="G6315" s="162" t="s">
        <v>30752</v>
      </c>
      <c r="H6315" s="219"/>
      <c r="I6315" s="169">
        <v>108161</v>
      </c>
      <c r="J6315" s="304" t="str">
        <f>CONCATENATE([2]Cover!$D$6,"fdd/view?i=",I6315)</f>
        <v>https://www.dgiwg.org/FAD/fdd/view?i=108161</v>
      </c>
      <c r="K6315" s="304" t="s">
        <v>40364</v>
      </c>
      <c r="L6315" s="188">
        <v>98</v>
      </c>
      <c r="M6315" s="179" t="s">
        <v>151</v>
      </c>
    </row>
    <row r="6316" spans="1:13">
      <c r="A6316" s="313" t="str">
        <f t="shared" si="98"/>
        <v>StructureShapeCode_cubic</v>
      </c>
      <c r="B6316" s="330"/>
      <c r="C6316" s="334"/>
      <c r="D6316" s="188" t="s">
        <v>30753</v>
      </c>
      <c r="E6316" s="189" t="s">
        <v>30754</v>
      </c>
      <c r="F6316" s="162" t="s">
        <v>30755</v>
      </c>
      <c r="G6316" s="190"/>
      <c r="H6316" s="219"/>
      <c r="I6316" s="169">
        <v>108155</v>
      </c>
      <c r="J6316" s="304" t="str">
        <f>CONCATENATE([2]Cover!$D$6,"fdd/view?i=",I6316)</f>
        <v>https://www.dgiwg.org/FAD/fdd/view?i=108155</v>
      </c>
      <c r="K6316" s="304" t="s">
        <v>40365</v>
      </c>
      <c r="L6316" s="188">
        <v>92</v>
      </c>
      <c r="M6316" s="179" t="s">
        <v>151</v>
      </c>
    </row>
    <row r="6317" spans="1:13" ht="25.5">
      <c r="A6317" s="313" t="str">
        <f t="shared" si="98"/>
        <v>StructureShapeCode_cylindricalConicalTop</v>
      </c>
      <c r="B6317" s="330"/>
      <c r="C6317" s="334"/>
      <c r="D6317" s="188" t="s">
        <v>30760</v>
      </c>
      <c r="E6317" s="189" t="s">
        <v>30761</v>
      </c>
      <c r="F6317" s="162" t="s">
        <v>30762</v>
      </c>
      <c r="G6317" s="190"/>
      <c r="H6317" s="219"/>
      <c r="I6317" s="169">
        <v>108135</v>
      </c>
      <c r="J6317" s="304" t="str">
        <f>CONCATENATE([2]Cover!$D$6,"fdd/view?i=",I6317)</f>
        <v>https://www.dgiwg.org/FAD/fdd/view?i=108135</v>
      </c>
      <c r="K6317" s="304" t="s">
        <v>40366</v>
      </c>
      <c r="L6317" s="188">
        <v>71</v>
      </c>
      <c r="M6317" s="179" t="s">
        <v>151</v>
      </c>
    </row>
    <row r="6318" spans="1:13" ht="25.5">
      <c r="A6318" s="313" t="str">
        <f t="shared" si="98"/>
        <v>StructureShapeCode_cylindricalDomedTop</v>
      </c>
      <c r="B6318" s="330"/>
      <c r="C6318" s="334"/>
      <c r="D6318" s="188" t="s">
        <v>30763</v>
      </c>
      <c r="E6318" s="189" t="s">
        <v>30764</v>
      </c>
      <c r="F6318" s="162" t="s">
        <v>30765</v>
      </c>
      <c r="G6318" s="190"/>
      <c r="H6318" s="219"/>
      <c r="I6318" s="169">
        <v>108134</v>
      </c>
      <c r="J6318" s="304" t="str">
        <f>CONCATENATE([2]Cover!$D$6,"fdd/view?i=",I6318)</f>
        <v>https://www.dgiwg.org/FAD/fdd/view?i=108134</v>
      </c>
      <c r="K6318" s="304" t="s">
        <v>40367</v>
      </c>
      <c r="L6318" s="188">
        <v>66</v>
      </c>
      <c r="M6318" s="179" t="s">
        <v>151</v>
      </c>
    </row>
    <row r="6319" spans="1:13" ht="25.5">
      <c r="A6319" s="313" t="str">
        <f t="shared" si="98"/>
        <v>StructureShapeCode_cylindricalFlatTop</v>
      </c>
      <c r="B6319" s="330"/>
      <c r="C6319" s="334"/>
      <c r="D6319" s="188" t="s">
        <v>30766</v>
      </c>
      <c r="E6319" s="189" t="s">
        <v>30767</v>
      </c>
      <c r="F6319" s="162" t="s">
        <v>30768</v>
      </c>
      <c r="G6319" s="190"/>
      <c r="H6319" s="219"/>
      <c r="I6319" s="169">
        <v>108133</v>
      </c>
      <c r="J6319" s="304" t="str">
        <f>CONCATENATE([2]Cover!$D$6,"fdd/view?i=",I6319)</f>
        <v>https://www.dgiwg.org/FAD/fdd/view?i=108133</v>
      </c>
      <c r="K6319" s="304" t="s">
        <v>40368</v>
      </c>
      <c r="L6319" s="188">
        <v>65</v>
      </c>
      <c r="M6319" s="179" t="s">
        <v>151</v>
      </c>
    </row>
    <row r="6320" spans="1:13" ht="51">
      <c r="A6320" s="313" t="str">
        <f t="shared" si="98"/>
        <v>StructureShapeCode_cylindricalOnTower</v>
      </c>
      <c r="B6320" s="330"/>
      <c r="C6320" s="334"/>
      <c r="D6320" s="188" t="s">
        <v>30756</v>
      </c>
      <c r="E6320" s="189" t="s">
        <v>30757</v>
      </c>
      <c r="F6320" s="162" t="s">
        <v>30758</v>
      </c>
      <c r="G6320" s="162" t="s">
        <v>30759</v>
      </c>
      <c r="H6320" s="219"/>
      <c r="I6320" s="169">
        <v>108152</v>
      </c>
      <c r="J6320" s="304" t="str">
        <f>CONCATENATE([2]Cover!$D$6,"fdd/view?i=",I6320)</f>
        <v>https://www.dgiwg.org/FAD/fdd/view?i=108152</v>
      </c>
      <c r="K6320" s="304" t="s">
        <v>40369</v>
      </c>
      <c r="L6320" s="188">
        <v>89</v>
      </c>
      <c r="M6320" s="179" t="s">
        <v>151</v>
      </c>
    </row>
    <row r="6321" spans="1:13" ht="51">
      <c r="A6321" s="313" t="str">
        <f t="shared" si="98"/>
        <v>StructureShapeCode_cylindricalWithFramework</v>
      </c>
      <c r="B6321" s="330"/>
      <c r="C6321" s="334"/>
      <c r="D6321" s="188" t="s">
        <v>30769</v>
      </c>
      <c r="E6321" s="189" t="s">
        <v>30770</v>
      </c>
      <c r="F6321" s="162" t="s">
        <v>30771</v>
      </c>
      <c r="G6321" s="162" t="s">
        <v>30772</v>
      </c>
      <c r="H6321" s="219"/>
      <c r="I6321" s="169">
        <v>108128</v>
      </c>
      <c r="J6321" s="304" t="str">
        <f>CONCATENATE([2]Cover!$D$6,"fdd/view?i=",I6321)</f>
        <v>https://www.dgiwg.org/FAD/fdd/view?i=108128</v>
      </c>
      <c r="K6321" s="304" t="s">
        <v>40370</v>
      </c>
      <c r="L6321" s="188">
        <v>59</v>
      </c>
      <c r="M6321" s="179" t="s">
        <v>151</v>
      </c>
    </row>
    <row r="6322" spans="1:13" ht="38.25">
      <c r="A6322" s="313" t="str">
        <f t="shared" si="98"/>
        <v>StructureShapeCode_domed</v>
      </c>
      <c r="B6322" s="330"/>
      <c r="C6322" s="334"/>
      <c r="D6322" s="188" t="s">
        <v>29588</v>
      </c>
      <c r="E6322" s="189" t="s">
        <v>29589</v>
      </c>
      <c r="F6322" s="162" t="s">
        <v>30773</v>
      </c>
      <c r="G6322" s="162" t="s">
        <v>29591</v>
      </c>
      <c r="H6322" s="219"/>
      <c r="I6322" s="169">
        <v>109907</v>
      </c>
      <c r="J6322" s="304" t="str">
        <f>CONCATENATE([2]Cover!$D$6,"fdd/view?i=",I6322)</f>
        <v>https://www.dgiwg.org/FAD/fdd/view?i=109907</v>
      </c>
      <c r="K6322" s="304" t="s">
        <v>40371</v>
      </c>
      <c r="L6322" s="188">
        <v>87</v>
      </c>
      <c r="M6322" s="179" t="s">
        <v>151</v>
      </c>
    </row>
    <row r="6323" spans="1:13" ht="25.5">
      <c r="A6323" s="313" t="str">
        <f t="shared" si="98"/>
        <v>StructureShapeCode_horizontalCappedCylinder</v>
      </c>
      <c r="B6323" s="330"/>
      <c r="C6323" s="334"/>
      <c r="D6323" s="188" t="s">
        <v>30778</v>
      </c>
      <c r="E6323" s="189" t="s">
        <v>30779</v>
      </c>
      <c r="F6323" s="162" t="s">
        <v>30780</v>
      </c>
      <c r="G6323" s="162" t="s">
        <v>30781</v>
      </c>
      <c r="H6323" s="219"/>
      <c r="I6323" s="169">
        <v>108086</v>
      </c>
      <c r="J6323" s="304" t="str">
        <f>CONCATENATE([2]Cover!$D$6,"fdd/view?i=",I6323)</f>
        <v>https://www.dgiwg.org/FAD/fdd/view?i=108086</v>
      </c>
      <c r="K6323" s="304" t="s">
        <v>40372</v>
      </c>
      <c r="L6323" s="188">
        <v>2</v>
      </c>
      <c r="M6323" s="179" t="s">
        <v>151</v>
      </c>
    </row>
    <row r="6324" spans="1:13" ht="25.5">
      <c r="A6324" s="313" t="str">
        <f t="shared" si="98"/>
        <v>StructureShapeCode_horizontalCylindrical</v>
      </c>
      <c r="B6324" s="330"/>
      <c r="C6324" s="334"/>
      <c r="D6324" s="188" t="s">
        <v>30782</v>
      </c>
      <c r="E6324" s="189" t="s">
        <v>30783</v>
      </c>
      <c r="F6324" s="162" t="s">
        <v>30784</v>
      </c>
      <c r="G6324" s="162" t="s">
        <v>30785</v>
      </c>
      <c r="H6324" s="219"/>
      <c r="I6324" s="169">
        <v>109852</v>
      </c>
      <c r="J6324" s="304" t="str">
        <f>CONCATENATE([2]Cover!$D$6,"fdd/view?i=",I6324)</f>
        <v>https://www.dgiwg.org/FAD/fdd/view?i=109852</v>
      </c>
      <c r="K6324" s="304" t="s">
        <v>40373</v>
      </c>
      <c r="L6324" s="188">
        <v>99</v>
      </c>
      <c r="M6324" s="179" t="s">
        <v>151</v>
      </c>
    </row>
    <row r="6325" spans="1:13" ht="25.5">
      <c r="A6325" s="313" t="str">
        <f t="shared" si="98"/>
        <v>StructureShapeCode_multipleArched</v>
      </c>
      <c r="B6325" s="330"/>
      <c r="C6325" s="334"/>
      <c r="D6325" s="188" t="s">
        <v>30786</v>
      </c>
      <c r="E6325" s="189" t="s">
        <v>30787</v>
      </c>
      <c r="F6325" s="162" t="s">
        <v>30788</v>
      </c>
      <c r="G6325" s="162" t="s">
        <v>30789</v>
      </c>
      <c r="H6325" s="219"/>
      <c r="I6325" s="169">
        <v>108141</v>
      </c>
      <c r="J6325" s="304" t="str">
        <f>CONCATENATE([2]Cover!$D$6,"fdd/view?i=",I6325)</f>
        <v>https://www.dgiwg.org/FAD/fdd/view?i=108141</v>
      </c>
      <c r="K6325" s="304" t="s">
        <v>40374</v>
      </c>
      <c r="L6325" s="188">
        <v>78</v>
      </c>
      <c r="M6325" s="179" t="s">
        <v>151</v>
      </c>
    </row>
    <row r="6326" spans="1:13">
      <c r="A6326" s="313" t="str">
        <f t="shared" si="98"/>
        <v>StructureShapeCode_obelisk</v>
      </c>
      <c r="B6326" s="330"/>
      <c r="C6326" s="334"/>
      <c r="D6326" s="188" t="s">
        <v>30790</v>
      </c>
      <c r="E6326" s="189" t="s">
        <v>30791</v>
      </c>
      <c r="F6326" s="162" t="s">
        <v>30792</v>
      </c>
      <c r="G6326" s="190"/>
      <c r="H6326" s="219"/>
      <c r="I6326" s="169">
        <v>109905</v>
      </c>
      <c r="J6326" s="304" t="str">
        <f>CONCATENATE([2]Cover!$D$6,"fdd/view?i=",I6326)</f>
        <v>https://www.dgiwg.org/FAD/fdd/view?i=109905</v>
      </c>
      <c r="K6326" s="304" t="s">
        <v>40375</v>
      </c>
      <c r="L6326" s="188">
        <v>109</v>
      </c>
      <c r="M6326" s="179" t="s">
        <v>151</v>
      </c>
    </row>
    <row r="6327" spans="1:13" ht="38.25">
      <c r="A6327" s="313" t="str">
        <f t="shared" si="98"/>
        <v>StructureShapeCode_plaque</v>
      </c>
      <c r="B6327" s="330"/>
      <c r="C6327" s="334"/>
      <c r="D6327" s="188" t="s">
        <v>30793</v>
      </c>
      <c r="E6327" s="189" t="s">
        <v>30794</v>
      </c>
      <c r="F6327" s="162" t="s">
        <v>30795</v>
      </c>
      <c r="G6327" s="162" t="s">
        <v>30796</v>
      </c>
      <c r="H6327" s="219"/>
      <c r="I6327" s="169">
        <v>108159</v>
      </c>
      <c r="J6327" s="304" t="str">
        <f>CONCATENATE([2]Cover!$D$6,"fdd/view?i=",I6327)</f>
        <v>https://www.dgiwg.org/FAD/fdd/view?i=108159</v>
      </c>
      <c r="K6327" s="304" t="s">
        <v>40376</v>
      </c>
      <c r="L6327" s="188">
        <v>96</v>
      </c>
      <c r="M6327" s="179" t="s">
        <v>151</v>
      </c>
    </row>
    <row r="6328" spans="1:13" ht="38.25">
      <c r="A6328" s="313" t="str">
        <f t="shared" si="98"/>
        <v>StructureShapeCode_pyramidal</v>
      </c>
      <c r="B6328" s="330"/>
      <c r="C6328" s="334"/>
      <c r="D6328" s="188" t="s">
        <v>29612</v>
      </c>
      <c r="E6328" s="189" t="s">
        <v>29613</v>
      </c>
      <c r="F6328" s="162" t="s">
        <v>29614</v>
      </c>
      <c r="G6328" s="162" t="s">
        <v>29615</v>
      </c>
      <c r="H6328" s="219"/>
      <c r="I6328" s="169">
        <v>108095</v>
      </c>
      <c r="J6328" s="304" t="str">
        <f>CONCATENATE([2]Cover!$D$6,"fdd/view?i=",I6328)</f>
        <v>https://www.dgiwg.org/FAD/fdd/view?i=108095</v>
      </c>
      <c r="K6328" s="304" t="s">
        <v>40377</v>
      </c>
      <c r="L6328" s="188">
        <v>12</v>
      </c>
      <c r="M6328" s="179" t="s">
        <v>151</v>
      </c>
    </row>
    <row r="6329" spans="1:13" ht="25.5">
      <c r="A6329" s="313" t="str">
        <f t="shared" si="98"/>
        <v>StructureShapeCode_rectangularPrism</v>
      </c>
      <c r="B6329" s="330"/>
      <c r="C6329" s="334"/>
      <c r="D6329" s="188" t="s">
        <v>30797</v>
      </c>
      <c r="E6329" s="189" t="s">
        <v>30798</v>
      </c>
      <c r="F6329" s="162" t="s">
        <v>30799</v>
      </c>
      <c r="G6329" s="190"/>
      <c r="H6329" s="219"/>
      <c r="I6329" s="169">
        <v>109849</v>
      </c>
      <c r="J6329" s="304" t="str">
        <f>CONCATENATE([2]Cover!$D$6,"fdd/view?i=",I6329)</f>
        <v>https://www.dgiwg.org/FAD/fdd/view?i=109849</v>
      </c>
      <c r="K6329" s="304" t="s">
        <v>40378</v>
      </c>
      <c r="L6329" s="188">
        <v>100</v>
      </c>
      <c r="M6329" s="179" t="s">
        <v>151</v>
      </c>
    </row>
    <row r="6330" spans="1:13" ht="25.5">
      <c r="A6330" s="313" t="str">
        <f t="shared" si="98"/>
        <v>StructureShapeCode_shapedLikeFunnel</v>
      </c>
      <c r="B6330" s="330"/>
      <c r="C6330" s="334"/>
      <c r="D6330" s="188" t="s">
        <v>30774</v>
      </c>
      <c r="E6330" s="189" t="s">
        <v>30775</v>
      </c>
      <c r="F6330" s="162" t="s">
        <v>30776</v>
      </c>
      <c r="G6330" s="162" t="s">
        <v>30777</v>
      </c>
      <c r="H6330" s="219"/>
      <c r="I6330" s="169">
        <v>108139</v>
      </c>
      <c r="J6330" s="304" t="str">
        <f>CONCATENATE([2]Cover!$D$6,"fdd/view?i=",I6330)</f>
        <v>https://www.dgiwg.org/FAD/fdd/view?i=108139</v>
      </c>
      <c r="K6330" s="304" t="s">
        <v>40379</v>
      </c>
      <c r="L6330" s="188">
        <v>76</v>
      </c>
      <c r="M6330" s="179" t="s">
        <v>151</v>
      </c>
    </row>
    <row r="6331" spans="1:13" ht="25.5">
      <c r="A6331" s="313" t="str">
        <f t="shared" si="98"/>
        <v>StructureShapeCode_spherical</v>
      </c>
      <c r="B6331" s="330"/>
      <c r="C6331" s="334"/>
      <c r="D6331" s="188" t="s">
        <v>16487</v>
      </c>
      <c r="E6331" s="189" t="s">
        <v>16488</v>
      </c>
      <c r="F6331" s="162" t="s">
        <v>30800</v>
      </c>
      <c r="G6331" s="162" t="s">
        <v>30801</v>
      </c>
      <c r="H6331" s="219"/>
      <c r="I6331" s="169">
        <v>109906</v>
      </c>
      <c r="J6331" s="304" t="str">
        <f>CONCATENATE([2]Cover!$D$6,"fdd/view?i=",I6331)</f>
        <v>https://www.dgiwg.org/FAD/fdd/view?i=109906</v>
      </c>
      <c r="K6331" s="304" t="s">
        <v>40380</v>
      </c>
      <c r="L6331" s="188">
        <v>17</v>
      </c>
      <c r="M6331" s="179" t="s">
        <v>151</v>
      </c>
    </row>
    <row r="6332" spans="1:13" ht="51">
      <c r="A6332" s="313" t="str">
        <f t="shared" si="98"/>
        <v>StructureShapeCode_sphericalOnColumn</v>
      </c>
      <c r="B6332" s="330"/>
      <c r="C6332" s="334"/>
      <c r="D6332" s="188" t="s">
        <v>30802</v>
      </c>
      <c r="E6332" s="189" t="s">
        <v>30803</v>
      </c>
      <c r="F6332" s="162" t="s">
        <v>30804</v>
      </c>
      <c r="G6332" s="162" t="s">
        <v>30805</v>
      </c>
      <c r="H6332" s="219"/>
      <c r="I6332" s="169">
        <v>108151</v>
      </c>
      <c r="J6332" s="304" t="str">
        <f>CONCATENATE([2]Cover!$D$6,"fdd/view?i=",I6332)</f>
        <v>https://www.dgiwg.org/FAD/fdd/view?i=108151</v>
      </c>
      <c r="K6332" s="304" t="s">
        <v>40381</v>
      </c>
      <c r="L6332" s="188">
        <v>88</v>
      </c>
      <c r="M6332" s="179" t="s">
        <v>151</v>
      </c>
    </row>
    <row r="6333" spans="1:13" ht="25.5">
      <c r="A6333" s="313" t="str">
        <f t="shared" si="98"/>
        <v>StructureShapeCode_squarePrism</v>
      </c>
      <c r="B6333" s="330"/>
      <c r="C6333" s="334"/>
      <c r="D6333" s="188" t="s">
        <v>30806</v>
      </c>
      <c r="E6333" s="189" t="s">
        <v>30807</v>
      </c>
      <c r="F6333" s="162" t="s">
        <v>30808</v>
      </c>
      <c r="G6333" s="190"/>
      <c r="H6333" s="219"/>
      <c r="I6333" s="169">
        <v>109850</v>
      </c>
      <c r="J6333" s="304" t="str">
        <f>CONCATENATE([2]Cover!$D$6,"fdd/view?i=",I6333)</f>
        <v>https://www.dgiwg.org/FAD/fdd/view?i=109850</v>
      </c>
      <c r="K6333" s="304" t="s">
        <v>40382</v>
      </c>
      <c r="L6333" s="188">
        <v>101</v>
      </c>
      <c r="M6333" s="179" t="s">
        <v>151</v>
      </c>
    </row>
    <row r="6334" spans="1:13" ht="25.5">
      <c r="A6334" s="313" t="str">
        <f t="shared" si="98"/>
        <v>StructureShapeCode_statue</v>
      </c>
      <c r="B6334" s="330"/>
      <c r="C6334" s="334"/>
      <c r="D6334" s="188" t="s">
        <v>30809</v>
      </c>
      <c r="E6334" s="189" t="s">
        <v>30810</v>
      </c>
      <c r="F6334" s="162" t="s">
        <v>30811</v>
      </c>
      <c r="G6334" s="162" t="s">
        <v>30812</v>
      </c>
      <c r="H6334" s="219"/>
      <c r="I6334" s="169">
        <v>108160</v>
      </c>
      <c r="J6334" s="304" t="str">
        <f>CONCATENATE([2]Cover!$D$6,"fdd/view?i=",I6334)</f>
        <v>https://www.dgiwg.org/FAD/fdd/view?i=108160</v>
      </c>
      <c r="K6334" s="304" t="s">
        <v>40383</v>
      </c>
      <c r="L6334" s="188">
        <v>97</v>
      </c>
      <c r="M6334" s="179" t="s">
        <v>151</v>
      </c>
    </row>
    <row r="6335" spans="1:13" ht="89.25">
      <c r="A6335" s="313" t="str">
        <f t="shared" si="98"/>
        <v>StructureShapeCode_statueOnPedestal</v>
      </c>
      <c r="B6335" s="330"/>
      <c r="C6335" s="334"/>
      <c r="D6335" s="188" t="s">
        <v>30813</v>
      </c>
      <c r="E6335" s="189" t="s">
        <v>30814</v>
      </c>
      <c r="F6335" s="162" t="s">
        <v>30815</v>
      </c>
      <c r="G6335" s="162" t="s">
        <v>30816</v>
      </c>
      <c r="H6335" s="219"/>
      <c r="I6335" s="169">
        <v>110890</v>
      </c>
      <c r="J6335" s="304" t="str">
        <f>CONCATENATE([2]Cover!$D$6,"fdd/view?i=",I6335)</f>
        <v>https://www.dgiwg.org/FAD/fdd/view?i=110890</v>
      </c>
      <c r="K6335" s="304" t="s">
        <v>40384</v>
      </c>
      <c r="L6335" s="188">
        <v>112</v>
      </c>
      <c r="M6335" s="179" t="s">
        <v>151</v>
      </c>
    </row>
    <row r="6336" spans="1:13" ht="25.5">
      <c r="A6336" s="313" t="str">
        <f t="shared" si="98"/>
        <v>StructureShapeCode_verticalCappedCylindrical</v>
      </c>
      <c r="B6336" s="330"/>
      <c r="C6336" s="334"/>
      <c r="D6336" s="188" t="s">
        <v>30817</v>
      </c>
      <c r="E6336" s="189" t="s">
        <v>30818</v>
      </c>
      <c r="F6336" s="162" t="s">
        <v>30819</v>
      </c>
      <c r="G6336" s="162" t="s">
        <v>30820</v>
      </c>
      <c r="H6336" s="219"/>
      <c r="I6336" s="169">
        <v>108088</v>
      </c>
      <c r="J6336" s="304" t="str">
        <f>CONCATENATE([2]Cover!$D$6,"fdd/view?i=",I6336)</f>
        <v>https://www.dgiwg.org/FAD/fdd/view?i=108088</v>
      </c>
      <c r="K6336" s="304" t="s">
        <v>40385</v>
      </c>
      <c r="L6336" s="188">
        <v>4</v>
      </c>
      <c r="M6336" s="179" t="s">
        <v>151</v>
      </c>
    </row>
    <row r="6337" spans="1:13" ht="25.5">
      <c r="A6337" s="313" t="str">
        <f t="shared" si="98"/>
        <v>StructureShapeCode_verticalCylindrical</v>
      </c>
      <c r="B6337" s="331"/>
      <c r="C6337" s="335"/>
      <c r="D6337" s="181" t="s">
        <v>30821</v>
      </c>
      <c r="E6337" s="192" t="s">
        <v>30822</v>
      </c>
      <c r="F6337" s="193" t="s">
        <v>30823</v>
      </c>
      <c r="G6337" s="193" t="s">
        <v>30824</v>
      </c>
      <c r="H6337" s="220"/>
      <c r="I6337" s="169">
        <v>108154</v>
      </c>
      <c r="J6337" s="304" t="str">
        <f>CONCATENATE([2]Cover!$D$6,"fdd/view?i=",I6337)</f>
        <v>https://www.dgiwg.org/FAD/fdd/view?i=108154</v>
      </c>
      <c r="K6337" s="304" t="s">
        <v>40386</v>
      </c>
      <c r="L6337" s="181">
        <v>91</v>
      </c>
      <c r="M6337" s="179" t="s">
        <v>151</v>
      </c>
    </row>
    <row r="6338" spans="1:13" ht="25.5">
      <c r="A6338" s="313" t="str">
        <f t="shared" si="98"/>
        <v>SubmarineAcousticSigTypeCode_nonShoreSoundSignal</v>
      </c>
      <c r="B6338" s="332" t="str">
        <f>HYPERLINK("[#]Datatypes!A1348:L1348","SubmarineAcousticSigTypeCode")</f>
        <v>SubmarineAcousticSigTypeCode</v>
      </c>
      <c r="C6338" s="333" t="s">
        <v>12972</v>
      </c>
      <c r="D6338" s="202" t="s">
        <v>30825</v>
      </c>
      <c r="E6338" s="203" t="s">
        <v>30826</v>
      </c>
      <c r="F6338" s="204" t="s">
        <v>30827</v>
      </c>
      <c r="G6338" s="205"/>
      <c r="H6338" s="218"/>
      <c r="I6338" s="169">
        <v>110402</v>
      </c>
      <c r="J6338" s="304" t="str">
        <f>CONCATENATE([2]Cover!$D$6,"fdd/view?i=",I6338)</f>
        <v>https://www.dgiwg.org/FAD/fdd/view?i=110402</v>
      </c>
      <c r="K6338" s="304" t="s">
        <v>40387</v>
      </c>
      <c r="L6338" s="202">
        <v>3</v>
      </c>
      <c r="M6338" s="179" t="s">
        <v>151</v>
      </c>
    </row>
    <row r="6339" spans="1:13" ht="25.5">
      <c r="A6339" s="313" t="str">
        <f t="shared" ref="A6339:A6402" si="99">HYPERLINK(J6339,K6339)</f>
        <v>SubmarineAcousticSigTypeCode_oscillator</v>
      </c>
      <c r="B6339" s="330"/>
      <c r="C6339" s="334"/>
      <c r="D6339" s="188" t="s">
        <v>30828</v>
      </c>
      <c r="E6339" s="189" t="s">
        <v>30829</v>
      </c>
      <c r="F6339" s="162" t="s">
        <v>30830</v>
      </c>
      <c r="G6339" s="190"/>
      <c r="H6339" s="219"/>
      <c r="I6339" s="169">
        <v>110400</v>
      </c>
      <c r="J6339" s="304" t="str">
        <f>CONCATENATE([2]Cover!$D$6,"fdd/view?i=",I6339)</f>
        <v>https://www.dgiwg.org/FAD/fdd/view?i=110400</v>
      </c>
      <c r="K6339" s="304" t="s">
        <v>40388</v>
      </c>
      <c r="L6339" s="188">
        <v>1</v>
      </c>
      <c r="M6339" s="179" t="s">
        <v>151</v>
      </c>
    </row>
    <row r="6340" spans="1:13" ht="25.5">
      <c r="A6340" s="313" t="str">
        <f t="shared" si="99"/>
        <v>SubmarineAcousticSigTypeCode_shoreSoundSignal</v>
      </c>
      <c r="B6340" s="331"/>
      <c r="C6340" s="335"/>
      <c r="D6340" s="181" t="s">
        <v>30831</v>
      </c>
      <c r="E6340" s="192" t="s">
        <v>30832</v>
      </c>
      <c r="F6340" s="193" t="s">
        <v>30833</v>
      </c>
      <c r="G6340" s="194"/>
      <c r="H6340" s="220"/>
      <c r="I6340" s="169">
        <v>110401</v>
      </c>
      <c r="J6340" s="304" t="str">
        <f>CONCATENATE([2]Cover!$D$6,"fdd/view?i=",I6340)</f>
        <v>https://www.dgiwg.org/FAD/fdd/view?i=110401</v>
      </c>
      <c r="K6340" s="304" t="s">
        <v>40389</v>
      </c>
      <c r="L6340" s="181">
        <v>2</v>
      </c>
      <c r="M6340" s="179" t="s">
        <v>151</v>
      </c>
    </row>
    <row r="6341" spans="1:13" ht="25.5">
      <c r="A6341" s="313" t="str">
        <f t="shared" si="99"/>
        <v>SubstationTypeCode_converterSubstation</v>
      </c>
      <c r="B6341" s="332" t="str">
        <f>HYPERLINK("[#]Datatypes!A1350:L1350","SubstationTypeCode")</f>
        <v>SubstationTypeCode</v>
      </c>
      <c r="C6341" s="333" t="s">
        <v>12974</v>
      </c>
      <c r="D6341" s="202" t="s">
        <v>30834</v>
      </c>
      <c r="E6341" s="203" t="s">
        <v>30835</v>
      </c>
      <c r="F6341" s="204" t="s">
        <v>30836</v>
      </c>
      <c r="G6341" s="204" t="s">
        <v>30837</v>
      </c>
      <c r="H6341" s="218"/>
      <c r="I6341" s="169">
        <v>110403</v>
      </c>
      <c r="J6341" s="304" t="str">
        <f>CONCATENATE([2]Cover!$D$6,"fdd/view?i=",I6341)</f>
        <v>https://www.dgiwg.org/FAD/fdd/view?i=110403</v>
      </c>
      <c r="K6341" s="304" t="s">
        <v>40390</v>
      </c>
      <c r="L6341" s="202">
        <v>3</v>
      </c>
      <c r="M6341" s="179" t="s">
        <v>151</v>
      </c>
    </row>
    <row r="6342" spans="1:13" ht="38.25">
      <c r="A6342" s="313" t="str">
        <f t="shared" si="99"/>
        <v>SubstationTypeCode_switchedSubstation</v>
      </c>
      <c r="B6342" s="330"/>
      <c r="C6342" s="334"/>
      <c r="D6342" s="188" t="s">
        <v>30838</v>
      </c>
      <c r="E6342" s="189" t="s">
        <v>30839</v>
      </c>
      <c r="F6342" s="162" t="s">
        <v>30840</v>
      </c>
      <c r="G6342" s="162" t="s">
        <v>30841</v>
      </c>
      <c r="H6342" s="219"/>
      <c r="I6342" s="169">
        <v>107432</v>
      </c>
      <c r="J6342" s="304" t="str">
        <f>CONCATENATE([2]Cover!$D$6,"fdd/view?i=",I6342)</f>
        <v>https://www.dgiwg.org/FAD/fdd/view?i=107432</v>
      </c>
      <c r="K6342" s="304" t="s">
        <v>40391</v>
      </c>
      <c r="L6342" s="188">
        <v>1</v>
      </c>
      <c r="M6342" s="179" t="s">
        <v>151</v>
      </c>
    </row>
    <row r="6343" spans="1:13" ht="38.25">
      <c r="A6343" s="313" t="str">
        <f t="shared" si="99"/>
        <v>SubstationTypeCode_transformerSubstation</v>
      </c>
      <c r="B6343" s="331"/>
      <c r="C6343" s="335"/>
      <c r="D6343" s="181" t="s">
        <v>30842</v>
      </c>
      <c r="E6343" s="192" t="s">
        <v>30843</v>
      </c>
      <c r="F6343" s="193" t="s">
        <v>30844</v>
      </c>
      <c r="G6343" s="193" t="s">
        <v>30845</v>
      </c>
      <c r="H6343" s="220"/>
      <c r="I6343" s="169">
        <v>107433</v>
      </c>
      <c r="J6343" s="304" t="str">
        <f>CONCATENATE([2]Cover!$D$6,"fdd/view?i=",I6343)</f>
        <v>https://www.dgiwg.org/FAD/fdd/view?i=107433</v>
      </c>
      <c r="K6343" s="304" t="s">
        <v>40392</v>
      </c>
      <c r="L6343" s="181">
        <v>2</v>
      </c>
      <c r="M6343" s="179" t="s">
        <v>151</v>
      </c>
    </row>
    <row r="6344" spans="1:13" ht="38.25">
      <c r="A6344" s="313" t="str">
        <f t="shared" si="99"/>
        <v>SurfaceDetectionStationTypeCode_autoDependentSurvBroadcast</v>
      </c>
      <c r="B6344" s="332" t="str">
        <f>HYPERLINK("[#]Datatypes!A1354:L1354","SurfaceDetectionStationTypeCode")</f>
        <v>SurfaceDetectionStationTypeCode</v>
      </c>
      <c r="C6344" s="333" t="s">
        <v>12977</v>
      </c>
      <c r="D6344" s="202" t="s">
        <v>30846</v>
      </c>
      <c r="E6344" s="203" t="s">
        <v>30847</v>
      </c>
      <c r="F6344" s="204" t="s">
        <v>30848</v>
      </c>
      <c r="G6344" s="205"/>
      <c r="H6344" s="218"/>
      <c r="I6344" s="169">
        <v>207916</v>
      </c>
      <c r="J6344" s="304" t="str">
        <f>CONCATENATE([2]Cover!$D$6,"fdd/view?i=",I6344)</f>
        <v>https://www.dgiwg.org/FAD/fdd/view?i=207916</v>
      </c>
      <c r="K6344" s="304" t="s">
        <v>40393</v>
      </c>
      <c r="L6344" s="202">
        <v>1</v>
      </c>
      <c r="M6344" s="179" t="s">
        <v>1295</v>
      </c>
    </row>
    <row r="6345" spans="1:13" ht="114.75">
      <c r="A6345" s="313" t="str">
        <f t="shared" si="99"/>
        <v>SurfaceDetectionStationTypeCode_multilaterationSensor</v>
      </c>
      <c r="B6345" s="331"/>
      <c r="C6345" s="335"/>
      <c r="D6345" s="181" t="s">
        <v>30849</v>
      </c>
      <c r="E6345" s="192" t="s">
        <v>30850</v>
      </c>
      <c r="F6345" s="193" t="s">
        <v>30851</v>
      </c>
      <c r="G6345" s="193" t="s">
        <v>30852</v>
      </c>
      <c r="H6345" s="220"/>
      <c r="I6345" s="169">
        <v>207917</v>
      </c>
      <c r="J6345" s="304" t="str">
        <f>CONCATENATE([2]Cover!$D$6,"fdd/view?i=",I6345)</f>
        <v>https://www.dgiwg.org/FAD/fdd/view?i=207917</v>
      </c>
      <c r="K6345" s="304" t="s">
        <v>40394</v>
      </c>
      <c r="L6345" s="181">
        <v>2</v>
      </c>
      <c r="M6345" s="179" t="s">
        <v>1295</v>
      </c>
    </row>
    <row r="6346" spans="1:13" ht="25.5">
      <c r="A6346" s="313" t="str">
        <f t="shared" si="99"/>
        <v>SurveyCoverageCategoryCode_inadequatelySurveyed</v>
      </c>
      <c r="B6346" s="332" t="str">
        <f>HYPERLINK("[#]Datatypes!A1356:L1356","SurveyCoverageCategoryCode")</f>
        <v>SurveyCoverageCategoryCode</v>
      </c>
      <c r="C6346" s="333" t="s">
        <v>12979</v>
      </c>
      <c r="D6346" s="202" t="s">
        <v>30853</v>
      </c>
      <c r="E6346" s="203" t="s">
        <v>30854</v>
      </c>
      <c r="F6346" s="204" t="s">
        <v>30855</v>
      </c>
      <c r="G6346" s="205"/>
      <c r="H6346" s="218"/>
      <c r="I6346" s="169">
        <v>108360</v>
      </c>
      <c r="J6346" s="304" t="str">
        <f>CONCATENATE([2]Cover!$D$6,"fdd/view?i=",I6346)</f>
        <v>https://www.dgiwg.org/FAD/fdd/view?i=108360</v>
      </c>
      <c r="K6346" s="304" t="s">
        <v>40395</v>
      </c>
      <c r="L6346" s="202">
        <v>2</v>
      </c>
      <c r="M6346" s="179" t="s">
        <v>151</v>
      </c>
    </row>
    <row r="6347" spans="1:13" ht="25.5">
      <c r="A6347" s="313" t="str">
        <f t="shared" si="99"/>
        <v>SurveyCoverageCategoryCode_surveyed</v>
      </c>
      <c r="B6347" s="330"/>
      <c r="C6347" s="334"/>
      <c r="D6347" s="188" t="s">
        <v>30856</v>
      </c>
      <c r="E6347" s="189" t="s">
        <v>30857</v>
      </c>
      <c r="F6347" s="162" t="s">
        <v>30858</v>
      </c>
      <c r="G6347" s="162" t="s">
        <v>30859</v>
      </c>
      <c r="H6347" s="219"/>
      <c r="I6347" s="169">
        <v>108359</v>
      </c>
      <c r="J6347" s="304" t="str">
        <f>CONCATENATE([2]Cover!$D$6,"fdd/view?i=",I6347)</f>
        <v>https://www.dgiwg.org/FAD/fdd/view?i=108359</v>
      </c>
      <c r="K6347" s="304" t="s">
        <v>40396</v>
      </c>
      <c r="L6347" s="188">
        <v>1</v>
      </c>
      <c r="M6347" s="179" t="s">
        <v>151</v>
      </c>
    </row>
    <row r="6348" spans="1:13" ht="25.5">
      <c r="A6348" s="313" t="str">
        <f t="shared" si="99"/>
        <v>SurveyCoverageCategoryCode_unsurveyed</v>
      </c>
      <c r="B6348" s="331"/>
      <c r="C6348" s="335"/>
      <c r="D6348" s="181" t="s">
        <v>30860</v>
      </c>
      <c r="E6348" s="192" t="s">
        <v>30861</v>
      </c>
      <c r="F6348" s="193" t="s">
        <v>30862</v>
      </c>
      <c r="G6348" s="194"/>
      <c r="H6348" s="220"/>
      <c r="I6348" s="169">
        <v>108361</v>
      </c>
      <c r="J6348" s="304" t="str">
        <f>CONCATENATE([2]Cover!$D$6,"fdd/view?i=",I6348)</f>
        <v>https://www.dgiwg.org/FAD/fdd/view?i=108361</v>
      </c>
      <c r="K6348" s="304" t="s">
        <v>40397</v>
      </c>
      <c r="L6348" s="181">
        <v>3</v>
      </c>
      <c r="M6348" s="179" t="s">
        <v>151</v>
      </c>
    </row>
    <row r="6349" spans="1:13" ht="38.25">
      <c r="A6349" s="313" t="str">
        <f t="shared" si="99"/>
        <v>SurveyPointMarkCode_marked</v>
      </c>
      <c r="B6349" s="332" t="str">
        <f>HYPERLINK("[#]Datatypes!A1360:L1360","SurveyPointMarkCode")</f>
        <v>SurveyPointMarkCode</v>
      </c>
      <c r="C6349" s="333" t="s">
        <v>12984</v>
      </c>
      <c r="D6349" s="202" t="s">
        <v>30863</v>
      </c>
      <c r="E6349" s="203" t="s">
        <v>30864</v>
      </c>
      <c r="F6349" s="204" t="s">
        <v>30865</v>
      </c>
      <c r="G6349" s="204" t="s">
        <v>30866</v>
      </c>
      <c r="H6349" s="218"/>
      <c r="I6349" s="169">
        <v>207880</v>
      </c>
      <c r="J6349" s="304" t="str">
        <f>CONCATENATE([2]Cover!$D$6,"fdd/view?i=",I6349)</f>
        <v>https://www.dgiwg.org/FAD/fdd/view?i=207880</v>
      </c>
      <c r="K6349" s="304" t="s">
        <v>40398</v>
      </c>
      <c r="L6349" s="202">
        <v>1</v>
      </c>
      <c r="M6349" s="179" t="s">
        <v>1295</v>
      </c>
    </row>
    <row r="6350" spans="1:13" ht="25.5">
      <c r="A6350" s="313" t="str">
        <f t="shared" si="99"/>
        <v xml:space="preserve">SurveyPointMarkCode_unmarkedAndUnrecoverable </v>
      </c>
      <c r="B6350" s="330"/>
      <c r="C6350" s="334"/>
      <c r="D6350" s="188" t="s">
        <v>30867</v>
      </c>
      <c r="E6350" s="189" t="s">
        <v>30868</v>
      </c>
      <c r="F6350" s="162" t="s">
        <v>30869</v>
      </c>
      <c r="G6350" s="162" t="s">
        <v>30870</v>
      </c>
      <c r="H6350" s="219"/>
      <c r="I6350" s="169">
        <v>207881</v>
      </c>
      <c r="J6350" s="304" t="str">
        <f>CONCATENATE([2]Cover!$D$6,"fdd/view?i=",I6350)</f>
        <v>https://www.dgiwg.org/FAD/fdd/view?i=207881</v>
      </c>
      <c r="K6350" s="304" t="s">
        <v>40399</v>
      </c>
      <c r="L6350" s="188">
        <v>3</v>
      </c>
      <c r="M6350" s="179" t="s">
        <v>1295</v>
      </c>
    </row>
    <row r="6351" spans="1:13" ht="25.5">
      <c r="A6351" s="313" t="str">
        <f t="shared" si="99"/>
        <v>SurveyPointMarkCode_unmarkedButRecoverable</v>
      </c>
      <c r="B6351" s="331"/>
      <c r="C6351" s="335"/>
      <c r="D6351" s="181" t="s">
        <v>30871</v>
      </c>
      <c r="E6351" s="192" t="s">
        <v>30872</v>
      </c>
      <c r="F6351" s="193" t="s">
        <v>30873</v>
      </c>
      <c r="G6351" s="193" t="s">
        <v>30874</v>
      </c>
      <c r="H6351" s="220"/>
      <c r="I6351" s="169">
        <v>207882</v>
      </c>
      <c r="J6351" s="304" t="str">
        <f>CONCATENATE([2]Cover!$D$6,"fdd/view?i=",I6351)</f>
        <v>https://www.dgiwg.org/FAD/fdd/view?i=207882</v>
      </c>
      <c r="K6351" s="304" t="s">
        <v>40400</v>
      </c>
      <c r="L6351" s="181">
        <v>2</v>
      </c>
      <c r="M6351" s="179" t="s">
        <v>1295</v>
      </c>
    </row>
    <row r="6352" spans="1:13" ht="25.5">
      <c r="A6352" s="313" t="str">
        <f t="shared" si="99"/>
        <v>SurveyPointTypeCode_astronomicPosition</v>
      </c>
      <c r="B6352" s="332" t="str">
        <f>HYPERLINK("[#]Datatypes!A1362:L1362","SurveyPointTypeCode")</f>
        <v>SurveyPointTypeCode</v>
      </c>
      <c r="C6352" s="333" t="s">
        <v>12986</v>
      </c>
      <c r="D6352" s="202" t="s">
        <v>30875</v>
      </c>
      <c r="E6352" s="203" t="s">
        <v>30876</v>
      </c>
      <c r="F6352" s="204" t="s">
        <v>30877</v>
      </c>
      <c r="G6352" s="205"/>
      <c r="H6352" s="218"/>
      <c r="I6352" s="169">
        <v>207873</v>
      </c>
      <c r="J6352" s="304" t="str">
        <f>CONCATENATE([2]Cover!$D$6,"fdd/view?i=",I6352)</f>
        <v>https://www.dgiwg.org/FAD/fdd/view?i=207873</v>
      </c>
      <c r="K6352" s="304" t="s">
        <v>40401</v>
      </c>
      <c r="L6352" s="202">
        <v>1</v>
      </c>
      <c r="M6352" s="179" t="s">
        <v>1295</v>
      </c>
    </row>
    <row r="6353" spans="1:13" ht="25.5">
      <c r="A6353" s="313" t="str">
        <f t="shared" si="99"/>
        <v>SurveyPointTypeCode_benchmark</v>
      </c>
      <c r="B6353" s="330"/>
      <c r="C6353" s="334"/>
      <c r="D6353" s="188" t="s">
        <v>30878</v>
      </c>
      <c r="E6353" s="189" t="s">
        <v>30879</v>
      </c>
      <c r="F6353" s="162" t="s">
        <v>30880</v>
      </c>
      <c r="G6353" s="190"/>
      <c r="H6353" s="219"/>
      <c r="I6353" s="169">
        <v>207874</v>
      </c>
      <c r="J6353" s="304" t="str">
        <f>CONCATENATE([2]Cover!$D$6,"fdd/view?i=",I6353)</f>
        <v>https://www.dgiwg.org/FAD/fdd/view?i=207874</v>
      </c>
      <c r="K6353" s="304" t="s">
        <v>40402</v>
      </c>
      <c r="L6353" s="188">
        <v>2</v>
      </c>
      <c r="M6353" s="179" t="s">
        <v>1295</v>
      </c>
    </row>
    <row r="6354" spans="1:13" ht="38.25">
      <c r="A6354" s="313" t="str">
        <f t="shared" si="99"/>
        <v>SurveyPointTypeCode_cadastralControlPoint</v>
      </c>
      <c r="B6354" s="330"/>
      <c r="C6354" s="334"/>
      <c r="D6354" s="188" t="s">
        <v>30881</v>
      </c>
      <c r="E6354" s="189" t="s">
        <v>30882</v>
      </c>
      <c r="F6354" s="162" t="s">
        <v>30883</v>
      </c>
      <c r="G6354" s="162" t="s">
        <v>30884</v>
      </c>
      <c r="H6354" s="219"/>
      <c r="I6354" s="169">
        <v>207875</v>
      </c>
      <c r="J6354" s="304" t="str">
        <f>CONCATENATE([2]Cover!$D$6,"fdd/view?i=",I6354)</f>
        <v>https://www.dgiwg.org/FAD/fdd/view?i=207875</v>
      </c>
      <c r="K6354" s="304" t="s">
        <v>40403</v>
      </c>
      <c r="L6354" s="188">
        <v>3</v>
      </c>
      <c r="M6354" s="179" t="s">
        <v>1295</v>
      </c>
    </row>
    <row r="6355" spans="1:13" ht="38.25">
      <c r="A6355" s="313" t="str">
        <f t="shared" si="99"/>
        <v>SurveyPointTypeCode_cameraStation</v>
      </c>
      <c r="B6355" s="330"/>
      <c r="C6355" s="334"/>
      <c r="D6355" s="188" t="s">
        <v>30885</v>
      </c>
      <c r="E6355" s="189" t="s">
        <v>30886</v>
      </c>
      <c r="F6355" s="162" t="s">
        <v>30887</v>
      </c>
      <c r="G6355" s="162" t="s">
        <v>30888</v>
      </c>
      <c r="H6355" s="219"/>
      <c r="I6355" s="169">
        <v>207934</v>
      </c>
      <c r="J6355" s="304" t="str">
        <f>CONCATENATE([2]Cover!$D$6,"fdd/view?i=",I6355)</f>
        <v>https://www.dgiwg.org/FAD/fdd/view?i=207934</v>
      </c>
      <c r="K6355" s="304" t="s">
        <v>40404</v>
      </c>
      <c r="L6355" s="188">
        <v>4</v>
      </c>
      <c r="M6355" s="179" t="s">
        <v>1295</v>
      </c>
    </row>
    <row r="6356" spans="1:13" ht="76.5">
      <c r="A6356" s="313" t="str">
        <f t="shared" si="99"/>
        <v>SurveyPointTypeCode_geodeticPoint</v>
      </c>
      <c r="B6356" s="330"/>
      <c r="C6356" s="334"/>
      <c r="D6356" s="188" t="s">
        <v>30889</v>
      </c>
      <c r="E6356" s="189" t="s">
        <v>30890</v>
      </c>
      <c r="F6356" s="162" t="s">
        <v>30891</v>
      </c>
      <c r="G6356" s="162" t="s">
        <v>30892</v>
      </c>
      <c r="H6356" s="219"/>
      <c r="I6356" s="169">
        <v>207876</v>
      </c>
      <c r="J6356" s="304" t="str">
        <f>CONCATENATE([2]Cover!$D$6,"fdd/view?i=",I6356)</f>
        <v>https://www.dgiwg.org/FAD/fdd/view?i=207876</v>
      </c>
      <c r="K6356" s="304" t="s">
        <v>40405</v>
      </c>
      <c r="L6356" s="188">
        <v>5</v>
      </c>
      <c r="M6356" s="179" t="s">
        <v>1295</v>
      </c>
    </row>
    <row r="6357" spans="1:13" ht="25.5">
      <c r="A6357" s="313" t="str">
        <f t="shared" si="99"/>
        <v>SurveyPointTypeCode_gravityPoint</v>
      </c>
      <c r="B6357" s="330"/>
      <c r="C6357" s="334"/>
      <c r="D6357" s="188" t="s">
        <v>30893</v>
      </c>
      <c r="E6357" s="189" t="s">
        <v>30894</v>
      </c>
      <c r="F6357" s="162" t="s">
        <v>30895</v>
      </c>
      <c r="G6357" s="190"/>
      <c r="H6357" s="219"/>
      <c r="I6357" s="169">
        <v>207877</v>
      </c>
      <c r="J6357" s="304" t="str">
        <f>CONCATENATE([2]Cover!$D$6,"fdd/view?i=",I6357)</f>
        <v>https://www.dgiwg.org/FAD/fdd/view?i=207877</v>
      </c>
      <c r="K6357" s="304" t="s">
        <v>40406</v>
      </c>
      <c r="L6357" s="188">
        <v>6</v>
      </c>
      <c r="M6357" s="179" t="s">
        <v>1295</v>
      </c>
    </row>
    <row r="6358" spans="1:13" ht="38.25">
      <c r="A6358" s="313" t="str">
        <f t="shared" si="99"/>
        <v>SurveyPointTypeCode_magneticStation</v>
      </c>
      <c r="B6358" s="330"/>
      <c r="C6358" s="334"/>
      <c r="D6358" s="188" t="s">
        <v>30896</v>
      </c>
      <c r="E6358" s="189" t="s">
        <v>30897</v>
      </c>
      <c r="F6358" s="162" t="s">
        <v>30898</v>
      </c>
      <c r="G6358" s="190"/>
      <c r="H6358" s="219"/>
      <c r="I6358" s="169">
        <v>207878</v>
      </c>
      <c r="J6358" s="304" t="str">
        <f>CONCATENATE([2]Cover!$D$6,"fdd/view?i=",I6358)</f>
        <v>https://www.dgiwg.org/FAD/fdd/view?i=207878</v>
      </c>
      <c r="K6358" s="304" t="s">
        <v>40407</v>
      </c>
      <c r="L6358" s="188">
        <v>7</v>
      </c>
      <c r="M6358" s="179" t="s">
        <v>1295</v>
      </c>
    </row>
    <row r="6359" spans="1:13" ht="25.5">
      <c r="A6359" s="313" t="str">
        <f t="shared" si="99"/>
        <v>SurveyPointTypeCode_theodoliteStation</v>
      </c>
      <c r="B6359" s="330"/>
      <c r="C6359" s="334"/>
      <c r="D6359" s="188" t="s">
        <v>30899</v>
      </c>
      <c r="E6359" s="189" t="s">
        <v>30900</v>
      </c>
      <c r="F6359" s="162" t="s">
        <v>30901</v>
      </c>
      <c r="G6359" s="190"/>
      <c r="H6359" s="219"/>
      <c r="I6359" s="169">
        <v>207935</v>
      </c>
      <c r="J6359" s="304" t="str">
        <f>CONCATENATE([2]Cover!$D$6,"fdd/view?i=",I6359)</f>
        <v>https://www.dgiwg.org/FAD/fdd/view?i=207935</v>
      </c>
      <c r="K6359" s="304" t="s">
        <v>40408</v>
      </c>
      <c r="L6359" s="188">
        <v>8</v>
      </c>
      <c r="M6359" s="179" t="s">
        <v>1295</v>
      </c>
    </row>
    <row r="6360" spans="1:13" ht="38.25">
      <c r="A6360" s="313" t="str">
        <f t="shared" si="99"/>
        <v>SurveyPointTypeCode_tidalBenchmark</v>
      </c>
      <c r="B6360" s="330"/>
      <c r="C6360" s="334"/>
      <c r="D6360" s="188" t="s">
        <v>30902</v>
      </c>
      <c r="E6360" s="189" t="s">
        <v>30903</v>
      </c>
      <c r="F6360" s="162" t="s">
        <v>30904</v>
      </c>
      <c r="G6360" s="190"/>
      <c r="H6360" s="219"/>
      <c r="I6360" s="169">
        <v>207879</v>
      </c>
      <c r="J6360" s="304" t="str">
        <f>CONCATENATE([2]Cover!$D$6,"fdd/view?i=",I6360)</f>
        <v>https://www.dgiwg.org/FAD/fdd/view?i=207879</v>
      </c>
      <c r="K6360" s="304" t="s">
        <v>40409</v>
      </c>
      <c r="L6360" s="188">
        <v>9</v>
      </c>
      <c r="M6360" s="179" t="s">
        <v>1295</v>
      </c>
    </row>
    <row r="6361" spans="1:13" ht="25.5">
      <c r="A6361" s="313" t="str">
        <f t="shared" si="99"/>
        <v>SurveyPointTypeCode_transitStation</v>
      </c>
      <c r="B6361" s="331"/>
      <c r="C6361" s="335"/>
      <c r="D6361" s="181" t="s">
        <v>30905</v>
      </c>
      <c r="E6361" s="192" t="s">
        <v>30906</v>
      </c>
      <c r="F6361" s="193" t="s">
        <v>30907</v>
      </c>
      <c r="G6361" s="194"/>
      <c r="H6361" s="220"/>
      <c r="I6361" s="169">
        <v>207936</v>
      </c>
      <c r="J6361" s="304" t="str">
        <f>CONCATENATE([2]Cover!$D$6,"fdd/view?i=",I6361)</f>
        <v>https://www.dgiwg.org/FAD/fdd/view?i=207936</v>
      </c>
      <c r="K6361" s="304" t="s">
        <v>40410</v>
      </c>
      <c r="L6361" s="181">
        <v>10</v>
      </c>
      <c r="M6361" s="179" t="s">
        <v>1295</v>
      </c>
    </row>
    <row r="6362" spans="1:13" ht="38.25">
      <c r="A6362" s="313" t="str">
        <f t="shared" si="99"/>
        <v>SurveyTechniqueCode_astronomicAzimuth</v>
      </c>
      <c r="B6362" s="332" t="str">
        <f>HYPERLINK("[#]Datatypes!A1364:L1364","SurveyTechniqueCode")</f>
        <v>SurveyTechniqueCode</v>
      </c>
      <c r="C6362" s="333" t="s">
        <v>12988</v>
      </c>
      <c r="D6362" s="202" t="s">
        <v>30908</v>
      </c>
      <c r="E6362" s="203" t="s">
        <v>30909</v>
      </c>
      <c r="F6362" s="204" t="s">
        <v>30910</v>
      </c>
      <c r="G6362" s="204" t="s">
        <v>30911</v>
      </c>
      <c r="H6362" s="218"/>
      <c r="I6362" s="169">
        <v>207885</v>
      </c>
      <c r="J6362" s="304" t="str">
        <f>CONCATENATE([2]Cover!$D$6,"fdd/view?i=",I6362)</f>
        <v>https://www.dgiwg.org/FAD/fdd/view?i=207885</v>
      </c>
      <c r="K6362" s="304" t="s">
        <v>40411</v>
      </c>
      <c r="L6362" s="202">
        <v>1</v>
      </c>
      <c r="M6362" s="179" t="s">
        <v>1295</v>
      </c>
    </row>
    <row r="6363" spans="1:13" ht="38.25">
      <c r="A6363" s="313" t="str">
        <f t="shared" si="99"/>
        <v>SurveyTechniqueCode_astronomicPosition</v>
      </c>
      <c r="B6363" s="330"/>
      <c r="C6363" s="334"/>
      <c r="D6363" s="188" t="s">
        <v>30875</v>
      </c>
      <c r="E6363" s="189" t="s">
        <v>30876</v>
      </c>
      <c r="F6363" s="162" t="s">
        <v>30912</v>
      </c>
      <c r="G6363" s="162" t="s">
        <v>30913</v>
      </c>
      <c r="H6363" s="219"/>
      <c r="I6363" s="169">
        <v>207886</v>
      </c>
      <c r="J6363" s="304" t="str">
        <f>CONCATENATE([2]Cover!$D$6,"fdd/view?i=",I6363)</f>
        <v>https://www.dgiwg.org/FAD/fdd/view?i=207886</v>
      </c>
      <c r="K6363" s="304" t="s">
        <v>40412</v>
      </c>
      <c r="L6363" s="188">
        <v>2</v>
      </c>
      <c r="M6363" s="179" t="s">
        <v>1295</v>
      </c>
    </row>
    <row r="6364" spans="1:13" ht="25.5">
      <c r="A6364" s="313" t="str">
        <f t="shared" si="99"/>
        <v>SurveyTechniqueCode_calculated</v>
      </c>
      <c r="B6364" s="330"/>
      <c r="C6364" s="334"/>
      <c r="D6364" s="188" t="s">
        <v>30914</v>
      </c>
      <c r="E6364" s="189" t="s">
        <v>30915</v>
      </c>
      <c r="F6364" s="162" t="s">
        <v>30916</v>
      </c>
      <c r="G6364" s="190"/>
      <c r="H6364" s="219"/>
      <c r="I6364" s="169">
        <v>207887</v>
      </c>
      <c r="J6364" s="304" t="str">
        <f>CONCATENATE([2]Cover!$D$6,"fdd/view?i=",I6364)</f>
        <v>https://www.dgiwg.org/FAD/fdd/view?i=207887</v>
      </c>
      <c r="K6364" s="304" t="s">
        <v>40413</v>
      </c>
      <c r="L6364" s="188">
        <v>3</v>
      </c>
      <c r="M6364" s="179" t="s">
        <v>1295</v>
      </c>
    </row>
    <row r="6365" spans="1:13" ht="51">
      <c r="A6365" s="313" t="str">
        <f t="shared" si="99"/>
        <v>SurveyTechniqueCode_doppler</v>
      </c>
      <c r="B6365" s="330"/>
      <c r="C6365" s="334"/>
      <c r="D6365" s="188" t="s">
        <v>30917</v>
      </c>
      <c r="E6365" s="189" t="s">
        <v>30918</v>
      </c>
      <c r="F6365" s="162" t="s">
        <v>30919</v>
      </c>
      <c r="G6365" s="190"/>
      <c r="H6365" s="219"/>
      <c r="I6365" s="169">
        <v>207888</v>
      </c>
      <c r="J6365" s="304" t="str">
        <f>CONCATENATE([2]Cover!$D$6,"fdd/view?i=",I6365)</f>
        <v>https://www.dgiwg.org/FAD/fdd/view?i=207888</v>
      </c>
      <c r="K6365" s="304" t="s">
        <v>40414</v>
      </c>
      <c r="L6365" s="188">
        <v>4</v>
      </c>
      <c r="M6365" s="179" t="s">
        <v>1295</v>
      </c>
    </row>
    <row r="6366" spans="1:13" ht="76.5">
      <c r="A6366" s="313" t="str">
        <f t="shared" si="99"/>
        <v>SurveyTechniqueCode_gnssAbsolute</v>
      </c>
      <c r="B6366" s="330"/>
      <c r="C6366" s="334"/>
      <c r="D6366" s="188" t="s">
        <v>30920</v>
      </c>
      <c r="E6366" s="189" t="s">
        <v>30921</v>
      </c>
      <c r="F6366" s="162" t="s">
        <v>30922</v>
      </c>
      <c r="G6366" s="162" t="s">
        <v>30923</v>
      </c>
      <c r="H6366" s="219"/>
      <c r="I6366" s="169">
        <v>207889</v>
      </c>
      <c r="J6366" s="304" t="str">
        <f>CONCATENATE([2]Cover!$D$6,"fdd/view?i=",I6366)</f>
        <v>https://www.dgiwg.org/FAD/fdd/view?i=207889</v>
      </c>
      <c r="K6366" s="304" t="s">
        <v>40415</v>
      </c>
      <c r="L6366" s="188">
        <v>5</v>
      </c>
      <c r="M6366" s="179" t="s">
        <v>1295</v>
      </c>
    </row>
    <row r="6367" spans="1:13" ht="38.25">
      <c r="A6367" s="313" t="str">
        <f t="shared" si="99"/>
        <v>SurveyTechniqueCode_gnssClassical</v>
      </c>
      <c r="B6367" s="330"/>
      <c r="C6367" s="334"/>
      <c r="D6367" s="188" t="s">
        <v>30924</v>
      </c>
      <c r="E6367" s="189" t="s">
        <v>30925</v>
      </c>
      <c r="F6367" s="162" t="s">
        <v>30926</v>
      </c>
      <c r="G6367" s="190"/>
      <c r="H6367" s="219"/>
      <c r="I6367" s="169">
        <v>207895</v>
      </c>
      <c r="J6367" s="304" t="str">
        <f>CONCATENATE([2]Cover!$D$6,"fdd/view?i=",I6367)</f>
        <v>https://www.dgiwg.org/FAD/fdd/view?i=207895</v>
      </c>
      <c r="K6367" s="304" t="s">
        <v>40416</v>
      </c>
      <c r="L6367" s="188">
        <v>11</v>
      </c>
      <c r="M6367" s="179" t="s">
        <v>1295</v>
      </c>
    </row>
    <row r="6368" spans="1:13" ht="140.25">
      <c r="A6368" s="313" t="str">
        <f t="shared" si="99"/>
        <v>SurveyTechniqueCode_gnssKinematic</v>
      </c>
      <c r="B6368" s="330"/>
      <c r="C6368" s="334"/>
      <c r="D6368" s="188" t="s">
        <v>30927</v>
      </c>
      <c r="E6368" s="189" t="s">
        <v>30928</v>
      </c>
      <c r="F6368" s="162" t="s">
        <v>30929</v>
      </c>
      <c r="G6368" s="162" t="s">
        <v>30930</v>
      </c>
      <c r="H6368" s="219"/>
      <c r="I6368" s="169">
        <v>207892</v>
      </c>
      <c r="J6368" s="304" t="str">
        <f>CONCATENATE([2]Cover!$D$6,"fdd/view?i=",I6368)</f>
        <v>https://www.dgiwg.org/FAD/fdd/view?i=207892</v>
      </c>
      <c r="K6368" s="304" t="s">
        <v>40417</v>
      </c>
      <c r="L6368" s="188">
        <v>8</v>
      </c>
      <c r="M6368" s="179" t="s">
        <v>1295</v>
      </c>
    </row>
    <row r="6369" spans="1:13" ht="63.75">
      <c r="A6369" s="313" t="str">
        <f t="shared" si="99"/>
        <v>SurveyTechniqueCode_gnssRapidStatic</v>
      </c>
      <c r="B6369" s="330"/>
      <c r="C6369" s="334"/>
      <c r="D6369" s="188" t="s">
        <v>30931</v>
      </c>
      <c r="E6369" s="189" t="s">
        <v>30932</v>
      </c>
      <c r="F6369" s="162" t="s">
        <v>30933</v>
      </c>
      <c r="G6369" s="162" t="s">
        <v>30934</v>
      </c>
      <c r="H6369" s="219"/>
      <c r="I6369" s="169">
        <v>207891</v>
      </c>
      <c r="J6369" s="304" t="str">
        <f>CONCATENATE([2]Cover!$D$6,"fdd/view?i=",I6369)</f>
        <v>https://www.dgiwg.org/FAD/fdd/view?i=207891</v>
      </c>
      <c r="K6369" s="304" t="s">
        <v>40418</v>
      </c>
      <c r="L6369" s="188">
        <v>7</v>
      </c>
      <c r="M6369" s="179" t="s">
        <v>1295</v>
      </c>
    </row>
    <row r="6370" spans="1:13" ht="127.5">
      <c r="A6370" s="313" t="str">
        <f t="shared" si="99"/>
        <v>SurveyTechniqueCode_gnssRealTimeKinematic</v>
      </c>
      <c r="B6370" s="330"/>
      <c r="C6370" s="334"/>
      <c r="D6370" s="188" t="s">
        <v>30935</v>
      </c>
      <c r="E6370" s="189" t="s">
        <v>30936</v>
      </c>
      <c r="F6370" s="162" t="s">
        <v>30937</v>
      </c>
      <c r="G6370" s="162" t="s">
        <v>30938</v>
      </c>
      <c r="H6370" s="219"/>
      <c r="I6370" s="169">
        <v>207893</v>
      </c>
      <c r="J6370" s="304" t="str">
        <f>CONCATENATE([2]Cover!$D$6,"fdd/view?i=",I6370)</f>
        <v>https://www.dgiwg.org/FAD/fdd/view?i=207893</v>
      </c>
      <c r="K6370" s="304" t="s">
        <v>40419</v>
      </c>
      <c r="L6370" s="188">
        <v>9</v>
      </c>
      <c r="M6370" s="179" t="s">
        <v>1295</v>
      </c>
    </row>
    <row r="6371" spans="1:13" ht="89.25">
      <c r="A6371" s="313" t="str">
        <f t="shared" si="99"/>
        <v>SurveyTechniqueCode_gnssRelative</v>
      </c>
      <c r="B6371" s="330"/>
      <c r="C6371" s="334"/>
      <c r="D6371" s="188" t="s">
        <v>30939</v>
      </c>
      <c r="E6371" s="189" t="s">
        <v>30940</v>
      </c>
      <c r="F6371" s="162" t="s">
        <v>30941</v>
      </c>
      <c r="G6371" s="162" t="s">
        <v>30942</v>
      </c>
      <c r="H6371" s="219"/>
      <c r="I6371" s="169">
        <v>207894</v>
      </c>
      <c r="J6371" s="304" t="str">
        <f>CONCATENATE([2]Cover!$D$6,"fdd/view?i=",I6371)</f>
        <v>https://www.dgiwg.org/FAD/fdd/view?i=207894</v>
      </c>
      <c r="K6371" s="304" t="s">
        <v>40420</v>
      </c>
      <c r="L6371" s="188">
        <v>10</v>
      </c>
      <c r="M6371" s="179" t="s">
        <v>1295</v>
      </c>
    </row>
    <row r="6372" spans="1:13" ht="51">
      <c r="A6372" s="313" t="str">
        <f t="shared" si="99"/>
        <v>SurveyTechniqueCode_gnssStatic</v>
      </c>
      <c r="B6372" s="330"/>
      <c r="C6372" s="334"/>
      <c r="D6372" s="188" t="s">
        <v>30943</v>
      </c>
      <c r="E6372" s="189" t="s">
        <v>30944</v>
      </c>
      <c r="F6372" s="162" t="s">
        <v>30945</v>
      </c>
      <c r="G6372" s="162" t="s">
        <v>30946</v>
      </c>
      <c r="H6372" s="219"/>
      <c r="I6372" s="169">
        <v>207890</v>
      </c>
      <c r="J6372" s="304" t="str">
        <f>CONCATENATE([2]Cover!$D$6,"fdd/view?i=",I6372)</f>
        <v>https://www.dgiwg.org/FAD/fdd/view?i=207890</v>
      </c>
      <c r="K6372" s="304" t="s">
        <v>40421</v>
      </c>
      <c r="L6372" s="188">
        <v>6</v>
      </c>
      <c r="M6372" s="179" t="s">
        <v>1295</v>
      </c>
    </row>
    <row r="6373" spans="1:13" ht="25.5">
      <c r="A6373" s="313" t="str">
        <f t="shared" si="99"/>
        <v>SurveyTechniqueCode_gravityAbsolute</v>
      </c>
      <c r="B6373" s="330"/>
      <c r="C6373" s="334"/>
      <c r="D6373" s="188" t="s">
        <v>30947</v>
      </c>
      <c r="E6373" s="189" t="s">
        <v>30948</v>
      </c>
      <c r="F6373" s="162" t="s">
        <v>30949</v>
      </c>
      <c r="G6373" s="190"/>
      <c r="H6373" s="219"/>
      <c r="I6373" s="169">
        <v>207896</v>
      </c>
      <c r="J6373" s="304" t="str">
        <f>CONCATENATE([2]Cover!$D$6,"fdd/view?i=",I6373)</f>
        <v>https://www.dgiwg.org/FAD/fdd/view?i=207896</v>
      </c>
      <c r="K6373" s="304" t="s">
        <v>40422</v>
      </c>
      <c r="L6373" s="188">
        <v>12</v>
      </c>
      <c r="M6373" s="179" t="s">
        <v>1295</v>
      </c>
    </row>
    <row r="6374" spans="1:13" ht="38.25">
      <c r="A6374" s="313" t="str">
        <f t="shared" si="99"/>
        <v>SurveyTechniqueCode_gravityExcentric</v>
      </c>
      <c r="B6374" s="330"/>
      <c r="C6374" s="334"/>
      <c r="D6374" s="188" t="s">
        <v>30950</v>
      </c>
      <c r="E6374" s="189" t="s">
        <v>30951</v>
      </c>
      <c r="F6374" s="162" t="s">
        <v>30952</v>
      </c>
      <c r="G6374" s="190"/>
      <c r="H6374" s="221" t="s">
        <v>30953</v>
      </c>
      <c r="I6374" s="169">
        <v>207897</v>
      </c>
      <c r="J6374" s="304" t="str">
        <f>CONCATENATE([2]Cover!$D$6,"fdd/view?i=",I6374)</f>
        <v>https://www.dgiwg.org/FAD/fdd/view?i=207897</v>
      </c>
      <c r="K6374" s="304" t="s">
        <v>40423</v>
      </c>
      <c r="L6374" s="188">
        <v>13</v>
      </c>
      <c r="M6374" s="179" t="s">
        <v>1295</v>
      </c>
    </row>
    <row r="6375" spans="1:13" ht="38.25">
      <c r="A6375" s="313" t="str">
        <f t="shared" si="99"/>
        <v>SurveyTechniqueCode_gravityRelative</v>
      </c>
      <c r="B6375" s="330"/>
      <c r="C6375" s="334"/>
      <c r="D6375" s="188" t="s">
        <v>30954</v>
      </c>
      <c r="E6375" s="189" t="s">
        <v>30955</v>
      </c>
      <c r="F6375" s="162" t="s">
        <v>30956</v>
      </c>
      <c r="G6375" s="190"/>
      <c r="H6375" s="219"/>
      <c r="I6375" s="169">
        <v>207898</v>
      </c>
      <c r="J6375" s="304" t="str">
        <f>CONCATENATE([2]Cover!$D$6,"fdd/view?i=",I6375)</f>
        <v>https://www.dgiwg.org/FAD/fdd/view?i=207898</v>
      </c>
      <c r="K6375" s="304" t="s">
        <v>40424</v>
      </c>
      <c r="L6375" s="188">
        <v>14</v>
      </c>
      <c r="M6375" s="179" t="s">
        <v>1295</v>
      </c>
    </row>
    <row r="6376" spans="1:13" ht="51">
      <c r="A6376" s="313" t="str">
        <f t="shared" si="99"/>
        <v>SurveyTechniqueCode_intersection</v>
      </c>
      <c r="B6376" s="330"/>
      <c r="C6376" s="334"/>
      <c r="D6376" s="188" t="s">
        <v>30957</v>
      </c>
      <c r="E6376" s="189" t="s">
        <v>30958</v>
      </c>
      <c r="F6376" s="162" t="s">
        <v>30959</v>
      </c>
      <c r="G6376" s="190"/>
      <c r="H6376" s="219"/>
      <c r="I6376" s="169">
        <v>207899</v>
      </c>
      <c r="J6376" s="304" t="str">
        <f>CONCATENATE([2]Cover!$D$6,"fdd/view?i=",I6376)</f>
        <v>https://www.dgiwg.org/FAD/fdd/view?i=207899</v>
      </c>
      <c r="K6376" s="304" t="s">
        <v>40425</v>
      </c>
      <c r="L6376" s="188">
        <v>15</v>
      </c>
      <c r="M6376" s="179" t="s">
        <v>1295</v>
      </c>
    </row>
    <row r="6377" spans="1:13" ht="51">
      <c r="A6377" s="313" t="str">
        <f t="shared" si="99"/>
        <v>SurveyTechniqueCode_levelling</v>
      </c>
      <c r="B6377" s="330"/>
      <c r="C6377" s="334"/>
      <c r="D6377" s="188" t="s">
        <v>17886</v>
      </c>
      <c r="E6377" s="189" t="s">
        <v>17887</v>
      </c>
      <c r="F6377" s="162" t="s">
        <v>30960</v>
      </c>
      <c r="G6377" s="190"/>
      <c r="H6377" s="219"/>
      <c r="I6377" s="169">
        <v>207900</v>
      </c>
      <c r="J6377" s="304" t="str">
        <f>CONCATENATE([2]Cover!$D$6,"fdd/view?i=",I6377)</f>
        <v>https://www.dgiwg.org/FAD/fdd/view?i=207900</v>
      </c>
      <c r="K6377" s="304" t="s">
        <v>40426</v>
      </c>
      <c r="L6377" s="188">
        <v>16</v>
      </c>
      <c r="M6377" s="179" t="s">
        <v>1295</v>
      </c>
    </row>
    <row r="6378" spans="1:13" ht="63.75">
      <c r="A6378" s="313" t="str">
        <f t="shared" si="99"/>
        <v>SurveyTechniqueCode_lightDetectionRanging</v>
      </c>
      <c r="B6378" s="330"/>
      <c r="C6378" s="334"/>
      <c r="D6378" s="188" t="s">
        <v>30961</v>
      </c>
      <c r="E6378" s="189" t="s">
        <v>30962</v>
      </c>
      <c r="F6378" s="162" t="s">
        <v>30963</v>
      </c>
      <c r="G6378" s="162" t="s">
        <v>30964</v>
      </c>
      <c r="H6378" s="219"/>
      <c r="I6378" s="169">
        <v>207901</v>
      </c>
      <c r="J6378" s="304" t="str">
        <f>CONCATENATE([2]Cover!$D$6,"fdd/view?i=",I6378)</f>
        <v>https://www.dgiwg.org/FAD/fdd/view?i=207901</v>
      </c>
      <c r="K6378" s="304" t="s">
        <v>40427</v>
      </c>
      <c r="L6378" s="188">
        <v>17</v>
      </c>
      <c r="M6378" s="179" t="s">
        <v>1295</v>
      </c>
    </row>
    <row r="6379" spans="1:13" ht="38.25">
      <c r="A6379" s="313" t="str">
        <f t="shared" si="99"/>
        <v>SurveyTechniqueCode_mobileScanning</v>
      </c>
      <c r="B6379" s="330"/>
      <c r="C6379" s="334"/>
      <c r="D6379" s="188" t="s">
        <v>30965</v>
      </c>
      <c r="E6379" s="189" t="s">
        <v>30966</v>
      </c>
      <c r="F6379" s="162" t="s">
        <v>30967</v>
      </c>
      <c r="G6379" s="162" t="s">
        <v>30968</v>
      </c>
      <c r="H6379" s="219"/>
      <c r="I6379" s="169">
        <v>207902</v>
      </c>
      <c r="J6379" s="304" t="str">
        <f>CONCATENATE([2]Cover!$D$6,"fdd/view?i=",I6379)</f>
        <v>https://www.dgiwg.org/FAD/fdd/view?i=207902</v>
      </c>
      <c r="K6379" s="304" t="s">
        <v>40428</v>
      </c>
      <c r="L6379" s="188">
        <v>18</v>
      </c>
      <c r="M6379" s="179" t="s">
        <v>1295</v>
      </c>
    </row>
    <row r="6380" spans="1:13" ht="38.25">
      <c r="A6380" s="313" t="str">
        <f t="shared" si="99"/>
        <v>SurveyTechniqueCode_resection</v>
      </c>
      <c r="B6380" s="330"/>
      <c r="C6380" s="334"/>
      <c r="D6380" s="188" t="s">
        <v>30969</v>
      </c>
      <c r="E6380" s="189" t="s">
        <v>30970</v>
      </c>
      <c r="F6380" s="162" t="s">
        <v>30971</v>
      </c>
      <c r="G6380" s="190"/>
      <c r="H6380" s="219"/>
      <c r="I6380" s="169">
        <v>207903</v>
      </c>
      <c r="J6380" s="304" t="str">
        <f>CONCATENATE([2]Cover!$D$6,"fdd/view?i=",I6380)</f>
        <v>https://www.dgiwg.org/FAD/fdd/view?i=207903</v>
      </c>
      <c r="K6380" s="304" t="s">
        <v>40429</v>
      </c>
      <c r="L6380" s="188">
        <v>19</v>
      </c>
      <c r="M6380" s="179" t="s">
        <v>1295</v>
      </c>
    </row>
    <row r="6381" spans="1:13" ht="38.25">
      <c r="A6381" s="313" t="str">
        <f t="shared" si="99"/>
        <v>SurveyTechniqueCode_threeDimenLaserScanning</v>
      </c>
      <c r="B6381" s="330"/>
      <c r="C6381" s="334"/>
      <c r="D6381" s="188" t="s">
        <v>30972</v>
      </c>
      <c r="E6381" s="189" t="s">
        <v>30973</v>
      </c>
      <c r="F6381" s="162" t="s">
        <v>30974</v>
      </c>
      <c r="G6381" s="162" t="s">
        <v>30975</v>
      </c>
      <c r="H6381" s="219"/>
      <c r="I6381" s="169">
        <v>207904</v>
      </c>
      <c r="J6381" s="304" t="str">
        <f>CONCATENATE([2]Cover!$D$6,"fdd/view?i=",I6381)</f>
        <v>https://www.dgiwg.org/FAD/fdd/view?i=207904</v>
      </c>
      <c r="K6381" s="304" t="s">
        <v>40430</v>
      </c>
      <c r="L6381" s="188">
        <v>20</v>
      </c>
      <c r="M6381" s="179" t="s">
        <v>1295</v>
      </c>
    </row>
    <row r="6382" spans="1:13" ht="51">
      <c r="A6382" s="313" t="str">
        <f t="shared" si="99"/>
        <v>SurveyTechniqueCode_triangulation</v>
      </c>
      <c r="B6382" s="330"/>
      <c r="C6382" s="334"/>
      <c r="D6382" s="188" t="s">
        <v>30976</v>
      </c>
      <c r="E6382" s="189" t="s">
        <v>30977</v>
      </c>
      <c r="F6382" s="162" t="s">
        <v>30978</v>
      </c>
      <c r="G6382" s="162" t="s">
        <v>30979</v>
      </c>
      <c r="H6382" s="219"/>
      <c r="I6382" s="169">
        <v>207905</v>
      </c>
      <c r="J6382" s="304" t="str">
        <f>CONCATENATE([2]Cover!$D$6,"fdd/view?i=",I6382)</f>
        <v>https://www.dgiwg.org/FAD/fdd/view?i=207905</v>
      </c>
      <c r="K6382" s="304" t="s">
        <v>40431</v>
      </c>
      <c r="L6382" s="188">
        <v>21</v>
      </c>
      <c r="M6382" s="179" t="s">
        <v>1295</v>
      </c>
    </row>
    <row r="6383" spans="1:13" ht="51">
      <c r="A6383" s="313" t="str">
        <f t="shared" si="99"/>
        <v>SurveyTechniqueCode_trilateration</v>
      </c>
      <c r="B6383" s="331"/>
      <c r="C6383" s="335"/>
      <c r="D6383" s="181" t="s">
        <v>30980</v>
      </c>
      <c r="E6383" s="192" t="s">
        <v>30981</v>
      </c>
      <c r="F6383" s="193" t="s">
        <v>30982</v>
      </c>
      <c r="G6383" s="193" t="s">
        <v>30983</v>
      </c>
      <c r="H6383" s="220"/>
      <c r="I6383" s="169">
        <v>207906</v>
      </c>
      <c r="J6383" s="304" t="str">
        <f>CONCATENATE([2]Cover!$D$6,"fdd/view?i=",I6383)</f>
        <v>https://www.dgiwg.org/FAD/fdd/view?i=207906</v>
      </c>
      <c r="K6383" s="304" t="s">
        <v>40432</v>
      </c>
      <c r="L6383" s="181">
        <v>22</v>
      </c>
      <c r="M6383" s="179" t="s">
        <v>1295</v>
      </c>
    </row>
    <row r="6384" spans="1:13" ht="51">
      <c r="A6384" s="313" t="str">
        <f t="shared" si="99"/>
        <v>SweptMineConditionCode_afloat</v>
      </c>
      <c r="B6384" s="332" t="str">
        <f>HYPERLINK("[#]Datatypes!A1366:L1366","SweptMineConditionCode")</f>
        <v>SweptMineConditionCode</v>
      </c>
      <c r="C6384" s="333" t="s">
        <v>12990</v>
      </c>
      <c r="D6384" s="202" t="s">
        <v>30984</v>
      </c>
      <c r="E6384" s="203" t="s">
        <v>30985</v>
      </c>
      <c r="F6384" s="204" t="s">
        <v>30986</v>
      </c>
      <c r="G6384" s="204" t="s">
        <v>30987</v>
      </c>
      <c r="H6384" s="218"/>
      <c r="I6384" s="169">
        <v>105830</v>
      </c>
      <c r="J6384" s="304" t="str">
        <f>CONCATENATE([2]Cover!$D$6,"fdd/view?i=",I6384)</f>
        <v>https://www.dgiwg.org/FAD/fdd/view?i=105830</v>
      </c>
      <c r="K6384" s="304" t="s">
        <v>40433</v>
      </c>
      <c r="L6384" s="202">
        <v>1</v>
      </c>
      <c r="M6384" s="179" t="s">
        <v>151</v>
      </c>
    </row>
    <row r="6385" spans="1:13" ht="204">
      <c r="A6385" s="313" t="str">
        <f t="shared" si="99"/>
        <v>SweptMineConditionCode_countermined</v>
      </c>
      <c r="B6385" s="330"/>
      <c r="C6385" s="334"/>
      <c r="D6385" s="188" t="s">
        <v>30988</v>
      </c>
      <c r="E6385" s="189" t="s">
        <v>30989</v>
      </c>
      <c r="F6385" s="162" t="s">
        <v>30990</v>
      </c>
      <c r="G6385" s="162" t="s">
        <v>30991</v>
      </c>
      <c r="H6385" s="219"/>
      <c r="I6385" s="169">
        <v>105835</v>
      </c>
      <c r="J6385" s="304" t="str">
        <f>CONCATENATE([2]Cover!$D$6,"fdd/view?i=",I6385)</f>
        <v>https://www.dgiwg.org/FAD/fdd/view?i=105835</v>
      </c>
      <c r="K6385" s="304" t="s">
        <v>40434</v>
      </c>
      <c r="L6385" s="188">
        <v>6</v>
      </c>
      <c r="M6385" s="179" t="s">
        <v>151</v>
      </c>
    </row>
    <row r="6386" spans="1:13" ht="140.25">
      <c r="A6386" s="313" t="str">
        <f t="shared" si="99"/>
        <v>SweptMineConditionCode_disposed</v>
      </c>
      <c r="B6386" s="330"/>
      <c r="C6386" s="334"/>
      <c r="D6386" s="188" t="s">
        <v>30992</v>
      </c>
      <c r="E6386" s="189" t="s">
        <v>30993</v>
      </c>
      <c r="F6386" s="162" t="s">
        <v>30994</v>
      </c>
      <c r="G6386" s="162" t="s">
        <v>30995</v>
      </c>
      <c r="H6386" s="219"/>
      <c r="I6386" s="169">
        <v>105832</v>
      </c>
      <c r="J6386" s="304" t="str">
        <f>CONCATENATE([2]Cover!$D$6,"fdd/view?i=",I6386)</f>
        <v>https://www.dgiwg.org/FAD/fdd/view?i=105832</v>
      </c>
      <c r="K6386" s="304" t="s">
        <v>40435</v>
      </c>
      <c r="L6386" s="188">
        <v>3</v>
      </c>
      <c r="M6386" s="179" t="s">
        <v>151</v>
      </c>
    </row>
    <row r="6387" spans="1:13" ht="63.75">
      <c r="A6387" s="313" t="str">
        <f t="shared" si="99"/>
        <v>SweptMineConditionCode_exploded</v>
      </c>
      <c r="B6387" s="330"/>
      <c r="C6387" s="334"/>
      <c r="D6387" s="188" t="s">
        <v>30996</v>
      </c>
      <c r="E6387" s="189" t="s">
        <v>30997</v>
      </c>
      <c r="F6387" s="162" t="s">
        <v>30998</v>
      </c>
      <c r="G6387" s="162" t="s">
        <v>30999</v>
      </c>
      <c r="H6387" s="219"/>
      <c r="I6387" s="169">
        <v>105834</v>
      </c>
      <c r="J6387" s="304" t="str">
        <f>CONCATENATE([2]Cover!$D$6,"fdd/view?i=",I6387)</f>
        <v>https://www.dgiwg.org/FAD/fdd/view?i=105834</v>
      </c>
      <c r="K6387" s="304" t="s">
        <v>40436</v>
      </c>
      <c r="L6387" s="188">
        <v>5</v>
      </c>
      <c r="M6387" s="179" t="s">
        <v>151</v>
      </c>
    </row>
    <row r="6388" spans="1:13" ht="25.5">
      <c r="A6388" s="313" t="str">
        <f t="shared" si="99"/>
        <v>SweptMineConditionCode_fouled</v>
      </c>
      <c r="B6388" s="330"/>
      <c r="C6388" s="334"/>
      <c r="D6388" s="188" t="s">
        <v>31000</v>
      </c>
      <c r="E6388" s="189" t="s">
        <v>31001</v>
      </c>
      <c r="F6388" s="162" t="s">
        <v>31002</v>
      </c>
      <c r="G6388" s="162" t="s">
        <v>31003</v>
      </c>
      <c r="H6388" s="219"/>
      <c r="I6388" s="169">
        <v>105833</v>
      </c>
      <c r="J6388" s="304" t="str">
        <f>CONCATENATE([2]Cover!$D$6,"fdd/view?i=",I6388)</f>
        <v>https://www.dgiwg.org/FAD/fdd/view?i=105833</v>
      </c>
      <c r="K6388" s="304" t="s">
        <v>40437</v>
      </c>
      <c r="L6388" s="188">
        <v>4</v>
      </c>
      <c r="M6388" s="179" t="s">
        <v>151</v>
      </c>
    </row>
    <row r="6389" spans="1:13" ht="165.75">
      <c r="A6389" s="313" t="str">
        <f t="shared" si="99"/>
        <v>SweptMineConditionCode_neutralized</v>
      </c>
      <c r="B6389" s="330"/>
      <c r="C6389" s="334"/>
      <c r="D6389" s="188" t="s">
        <v>31004</v>
      </c>
      <c r="E6389" s="189" t="s">
        <v>31005</v>
      </c>
      <c r="F6389" s="162" t="s">
        <v>31006</v>
      </c>
      <c r="G6389" s="162" t="s">
        <v>31007</v>
      </c>
      <c r="H6389" s="219"/>
      <c r="I6389" s="169">
        <v>105836</v>
      </c>
      <c r="J6389" s="304" t="str">
        <f>CONCATENATE([2]Cover!$D$6,"fdd/view?i=",I6389)</f>
        <v>https://www.dgiwg.org/FAD/fdd/view?i=105836</v>
      </c>
      <c r="K6389" s="304" t="s">
        <v>40438</v>
      </c>
      <c r="L6389" s="188">
        <v>7</v>
      </c>
      <c r="M6389" s="179" t="s">
        <v>151</v>
      </c>
    </row>
    <row r="6390" spans="1:13" ht="25.5">
      <c r="A6390" s="313" t="str">
        <f t="shared" si="99"/>
        <v>SweptMineConditionCode_notSwept</v>
      </c>
      <c r="B6390" s="330"/>
      <c r="C6390" s="334"/>
      <c r="D6390" s="188" t="s">
        <v>31008</v>
      </c>
      <c r="E6390" s="189" t="s">
        <v>31009</v>
      </c>
      <c r="F6390" s="162" t="s">
        <v>31010</v>
      </c>
      <c r="G6390" s="162" t="s">
        <v>31011</v>
      </c>
      <c r="H6390" s="219"/>
      <c r="I6390" s="169">
        <v>111260</v>
      </c>
      <c r="J6390" s="304" t="str">
        <f>CONCATENATE([2]Cover!$D$6,"fdd/view?i=",I6390)</f>
        <v>https://www.dgiwg.org/FAD/fdd/view?i=111260</v>
      </c>
      <c r="K6390" s="304" t="s">
        <v>40439</v>
      </c>
      <c r="L6390" s="188">
        <v>11</v>
      </c>
      <c r="M6390" s="179" t="s">
        <v>151</v>
      </c>
    </row>
    <row r="6391" spans="1:13" ht="63.75">
      <c r="A6391" s="313" t="str">
        <f t="shared" si="99"/>
        <v>SweptMineConditionCode_recovered</v>
      </c>
      <c r="B6391" s="330"/>
      <c r="C6391" s="334"/>
      <c r="D6391" s="188" t="s">
        <v>31012</v>
      </c>
      <c r="E6391" s="189" t="s">
        <v>31013</v>
      </c>
      <c r="F6391" s="162" t="s">
        <v>31014</v>
      </c>
      <c r="G6391" s="162" t="s">
        <v>31015</v>
      </c>
      <c r="H6391" s="219"/>
      <c r="I6391" s="169">
        <v>105838</v>
      </c>
      <c r="J6391" s="304" t="str">
        <f>CONCATENATE([2]Cover!$D$6,"fdd/view?i=",I6391)</f>
        <v>https://www.dgiwg.org/FAD/fdd/view?i=105838</v>
      </c>
      <c r="K6391" s="304" t="s">
        <v>40440</v>
      </c>
      <c r="L6391" s="188">
        <v>9</v>
      </c>
      <c r="M6391" s="179" t="s">
        <v>151</v>
      </c>
    </row>
    <row r="6392" spans="1:13" ht="63.75">
      <c r="A6392" s="313" t="str">
        <f t="shared" si="99"/>
        <v>SweptMineConditionCode_removed</v>
      </c>
      <c r="B6392" s="330"/>
      <c r="C6392" s="334"/>
      <c r="D6392" s="188" t="s">
        <v>31016</v>
      </c>
      <c r="E6392" s="189" t="s">
        <v>31017</v>
      </c>
      <c r="F6392" s="162" t="s">
        <v>31018</v>
      </c>
      <c r="G6392" s="162" t="s">
        <v>31019</v>
      </c>
      <c r="H6392" s="219"/>
      <c r="I6392" s="169">
        <v>105839</v>
      </c>
      <c r="J6392" s="304" t="str">
        <f>CONCATENATE([2]Cover!$D$6,"fdd/view?i=",I6392)</f>
        <v>https://www.dgiwg.org/FAD/fdd/view?i=105839</v>
      </c>
      <c r="K6392" s="304" t="s">
        <v>40441</v>
      </c>
      <c r="L6392" s="188">
        <v>10</v>
      </c>
      <c r="M6392" s="179" t="s">
        <v>151</v>
      </c>
    </row>
    <row r="6393" spans="1:13" ht="51">
      <c r="A6393" s="313" t="str">
        <f t="shared" si="99"/>
        <v>SweptMineConditionCode_renderedSafe</v>
      </c>
      <c r="B6393" s="330"/>
      <c r="C6393" s="334"/>
      <c r="D6393" s="188" t="s">
        <v>31020</v>
      </c>
      <c r="E6393" s="189" t="s">
        <v>31021</v>
      </c>
      <c r="F6393" s="162" t="s">
        <v>31022</v>
      </c>
      <c r="G6393" s="162" t="s">
        <v>31023</v>
      </c>
      <c r="H6393" s="219"/>
      <c r="I6393" s="169">
        <v>105837</v>
      </c>
      <c r="J6393" s="304" t="str">
        <f>CONCATENATE([2]Cover!$D$6,"fdd/view?i=",I6393)</f>
        <v>https://www.dgiwg.org/FAD/fdd/view?i=105837</v>
      </c>
      <c r="K6393" s="304" t="s">
        <v>40442</v>
      </c>
      <c r="L6393" s="188">
        <v>8</v>
      </c>
      <c r="M6393" s="179" t="s">
        <v>151</v>
      </c>
    </row>
    <row r="6394" spans="1:13" ht="38.25">
      <c r="A6394" s="313" t="str">
        <f t="shared" si="99"/>
        <v>SweptMineConditionCode_sunk</v>
      </c>
      <c r="B6394" s="331"/>
      <c r="C6394" s="335"/>
      <c r="D6394" s="181" t="s">
        <v>31024</v>
      </c>
      <c r="E6394" s="192" t="s">
        <v>31025</v>
      </c>
      <c r="F6394" s="193" t="s">
        <v>31026</v>
      </c>
      <c r="G6394" s="193" t="s">
        <v>31027</v>
      </c>
      <c r="H6394" s="220"/>
      <c r="I6394" s="169">
        <v>105831</v>
      </c>
      <c r="J6394" s="304" t="str">
        <f>CONCATENATE([2]Cover!$D$6,"fdd/view?i=",I6394)</f>
        <v>https://www.dgiwg.org/FAD/fdd/view?i=105831</v>
      </c>
      <c r="K6394" s="304" t="s">
        <v>40443</v>
      </c>
      <c r="L6394" s="181">
        <v>2</v>
      </c>
      <c r="M6394" s="179" t="s">
        <v>151</v>
      </c>
    </row>
    <row r="6395" spans="1:13" ht="25.5">
      <c r="A6395" s="313" t="str">
        <f t="shared" si="99"/>
        <v>TacticalAirNavChannelCode_chan001X</v>
      </c>
      <c r="B6395" s="332" t="str">
        <f>HYPERLINK("[#]Datatypes!A1368:L1368","TacticalAirNavChannelCode")</f>
        <v>TacticalAirNavChannelCode</v>
      </c>
      <c r="C6395" s="333" t="s">
        <v>12992</v>
      </c>
      <c r="D6395" s="202" t="s">
        <v>13705</v>
      </c>
      <c r="E6395" s="203" t="s">
        <v>13706</v>
      </c>
      <c r="F6395" s="204" t="s">
        <v>31126</v>
      </c>
      <c r="G6395" s="204" t="s">
        <v>13413</v>
      </c>
      <c r="H6395" s="218"/>
      <c r="I6395" s="169">
        <v>115762</v>
      </c>
      <c r="J6395" s="304" t="str">
        <f>CONCATENATE([2]Cover!$D$6,"fdd/view?i=",I6395)</f>
        <v>https://www.dgiwg.org/FAD/fdd/view?i=115762</v>
      </c>
      <c r="K6395" s="304" t="s">
        <v>40444</v>
      </c>
      <c r="L6395" s="202">
        <v>1</v>
      </c>
      <c r="M6395" s="179" t="s">
        <v>151</v>
      </c>
    </row>
    <row r="6396" spans="1:13" ht="25.5">
      <c r="A6396" s="313" t="str">
        <f t="shared" si="99"/>
        <v>TacticalAirNavChannelCode_chan001Y</v>
      </c>
      <c r="B6396" s="330"/>
      <c r="C6396" s="334"/>
      <c r="D6396" s="188" t="s">
        <v>13708</v>
      </c>
      <c r="E6396" s="189" t="s">
        <v>13709</v>
      </c>
      <c r="F6396" s="162" t="s">
        <v>31127</v>
      </c>
      <c r="G6396" s="162" t="s">
        <v>13413</v>
      </c>
      <c r="H6396" s="219"/>
      <c r="I6396" s="169">
        <v>115763</v>
      </c>
      <c r="J6396" s="304" t="str">
        <f>CONCATENATE([2]Cover!$D$6,"fdd/view?i=",I6396)</f>
        <v>https://www.dgiwg.org/FAD/fdd/view?i=115763</v>
      </c>
      <c r="K6396" s="304" t="s">
        <v>40445</v>
      </c>
      <c r="L6396" s="188">
        <v>2</v>
      </c>
      <c r="M6396" s="179" t="s">
        <v>151</v>
      </c>
    </row>
    <row r="6397" spans="1:13" ht="25.5">
      <c r="A6397" s="313" t="str">
        <f t="shared" si="99"/>
        <v>TacticalAirNavChannelCode_chan002X</v>
      </c>
      <c r="B6397" s="330"/>
      <c r="C6397" s="334"/>
      <c r="D6397" s="188" t="s">
        <v>13816</v>
      </c>
      <c r="E6397" s="189" t="s">
        <v>13817</v>
      </c>
      <c r="F6397" s="162" t="s">
        <v>31163</v>
      </c>
      <c r="G6397" s="162" t="s">
        <v>13413</v>
      </c>
      <c r="H6397" s="219"/>
      <c r="I6397" s="169">
        <v>115764</v>
      </c>
      <c r="J6397" s="304" t="str">
        <f>CONCATENATE([2]Cover!$D$6,"fdd/view?i=",I6397)</f>
        <v>https://www.dgiwg.org/FAD/fdd/view?i=115764</v>
      </c>
      <c r="K6397" s="304" t="s">
        <v>40446</v>
      </c>
      <c r="L6397" s="188">
        <v>3</v>
      </c>
      <c r="M6397" s="179" t="s">
        <v>151</v>
      </c>
    </row>
    <row r="6398" spans="1:13" ht="25.5">
      <c r="A6398" s="313" t="str">
        <f t="shared" si="99"/>
        <v>TacticalAirNavChannelCode_chan002Y</v>
      </c>
      <c r="B6398" s="330"/>
      <c r="C6398" s="334"/>
      <c r="D6398" s="188" t="s">
        <v>13819</v>
      </c>
      <c r="E6398" s="189" t="s">
        <v>13820</v>
      </c>
      <c r="F6398" s="162" t="s">
        <v>31164</v>
      </c>
      <c r="G6398" s="162" t="s">
        <v>13413</v>
      </c>
      <c r="H6398" s="219"/>
      <c r="I6398" s="169">
        <v>115765</v>
      </c>
      <c r="J6398" s="304" t="str">
        <f>CONCATENATE([2]Cover!$D$6,"fdd/view?i=",I6398)</f>
        <v>https://www.dgiwg.org/FAD/fdd/view?i=115765</v>
      </c>
      <c r="K6398" s="304" t="s">
        <v>40447</v>
      </c>
      <c r="L6398" s="188">
        <v>4</v>
      </c>
      <c r="M6398" s="179" t="s">
        <v>151</v>
      </c>
    </row>
    <row r="6399" spans="1:13" ht="25.5">
      <c r="A6399" s="313" t="str">
        <f t="shared" si="99"/>
        <v>TacticalAirNavChannelCode_chan003X</v>
      </c>
      <c r="B6399" s="330"/>
      <c r="C6399" s="334"/>
      <c r="D6399" s="188" t="s">
        <v>13927</v>
      </c>
      <c r="E6399" s="189" t="s">
        <v>13928</v>
      </c>
      <c r="F6399" s="162" t="s">
        <v>31200</v>
      </c>
      <c r="G6399" s="162" t="s">
        <v>13413</v>
      </c>
      <c r="H6399" s="219"/>
      <c r="I6399" s="169">
        <v>115766</v>
      </c>
      <c r="J6399" s="304" t="str">
        <f>CONCATENATE([2]Cover!$D$6,"fdd/view?i=",I6399)</f>
        <v>https://www.dgiwg.org/FAD/fdd/view?i=115766</v>
      </c>
      <c r="K6399" s="304" t="s">
        <v>40448</v>
      </c>
      <c r="L6399" s="188">
        <v>5</v>
      </c>
      <c r="M6399" s="179" t="s">
        <v>151</v>
      </c>
    </row>
    <row r="6400" spans="1:13" ht="25.5">
      <c r="A6400" s="313" t="str">
        <f t="shared" si="99"/>
        <v>TacticalAirNavChannelCode_chan003Y</v>
      </c>
      <c r="B6400" s="330"/>
      <c r="C6400" s="334"/>
      <c r="D6400" s="188" t="s">
        <v>13930</v>
      </c>
      <c r="E6400" s="189" t="s">
        <v>13931</v>
      </c>
      <c r="F6400" s="162" t="s">
        <v>31201</v>
      </c>
      <c r="G6400" s="162" t="s">
        <v>13413</v>
      </c>
      <c r="H6400" s="219"/>
      <c r="I6400" s="169">
        <v>115767</v>
      </c>
      <c r="J6400" s="304" t="str">
        <f>CONCATENATE([2]Cover!$D$6,"fdd/view?i=",I6400)</f>
        <v>https://www.dgiwg.org/FAD/fdd/view?i=115767</v>
      </c>
      <c r="K6400" s="304" t="s">
        <v>40449</v>
      </c>
      <c r="L6400" s="188">
        <v>6</v>
      </c>
      <c r="M6400" s="179" t="s">
        <v>151</v>
      </c>
    </row>
    <row r="6401" spans="1:13" ht="25.5">
      <c r="A6401" s="313" t="str">
        <f t="shared" si="99"/>
        <v>TacticalAirNavChannelCode_chan004X</v>
      </c>
      <c r="B6401" s="330"/>
      <c r="C6401" s="334"/>
      <c r="D6401" s="188" t="s">
        <v>14038</v>
      </c>
      <c r="E6401" s="189" t="s">
        <v>14039</v>
      </c>
      <c r="F6401" s="162" t="s">
        <v>31237</v>
      </c>
      <c r="G6401" s="162" t="s">
        <v>13413</v>
      </c>
      <c r="H6401" s="219"/>
      <c r="I6401" s="169">
        <v>115768</v>
      </c>
      <c r="J6401" s="304" t="str">
        <f>CONCATENATE([2]Cover!$D$6,"fdd/view?i=",I6401)</f>
        <v>https://www.dgiwg.org/FAD/fdd/view?i=115768</v>
      </c>
      <c r="K6401" s="304" t="s">
        <v>40450</v>
      </c>
      <c r="L6401" s="188">
        <v>7</v>
      </c>
      <c r="M6401" s="179" t="s">
        <v>151</v>
      </c>
    </row>
    <row r="6402" spans="1:13" ht="25.5">
      <c r="A6402" s="313" t="str">
        <f t="shared" si="99"/>
        <v>TacticalAirNavChannelCode_chan004Y</v>
      </c>
      <c r="B6402" s="330"/>
      <c r="C6402" s="334"/>
      <c r="D6402" s="188" t="s">
        <v>14041</v>
      </c>
      <c r="E6402" s="189" t="s">
        <v>14042</v>
      </c>
      <c r="F6402" s="162" t="s">
        <v>31238</v>
      </c>
      <c r="G6402" s="162" t="s">
        <v>13413</v>
      </c>
      <c r="H6402" s="219"/>
      <c r="I6402" s="169">
        <v>115769</v>
      </c>
      <c r="J6402" s="304" t="str">
        <f>CONCATENATE([2]Cover!$D$6,"fdd/view?i=",I6402)</f>
        <v>https://www.dgiwg.org/FAD/fdd/view?i=115769</v>
      </c>
      <c r="K6402" s="304" t="s">
        <v>40451</v>
      </c>
      <c r="L6402" s="188">
        <v>8</v>
      </c>
      <c r="M6402" s="179" t="s">
        <v>151</v>
      </c>
    </row>
    <row r="6403" spans="1:13" ht="25.5">
      <c r="A6403" s="313" t="str">
        <f t="shared" ref="A6403:A6466" si="100">HYPERLINK(J6403,K6403)</f>
        <v>TacticalAirNavChannelCode_chan005X</v>
      </c>
      <c r="B6403" s="330"/>
      <c r="C6403" s="334"/>
      <c r="D6403" s="188" t="s">
        <v>14137</v>
      </c>
      <c r="E6403" s="189" t="s">
        <v>14138</v>
      </c>
      <c r="F6403" s="162" t="s">
        <v>31270</v>
      </c>
      <c r="G6403" s="162" t="s">
        <v>13413</v>
      </c>
      <c r="H6403" s="219"/>
      <c r="I6403" s="169">
        <v>115770</v>
      </c>
      <c r="J6403" s="304" t="str">
        <f>CONCATENATE([2]Cover!$D$6,"fdd/view?i=",I6403)</f>
        <v>https://www.dgiwg.org/FAD/fdd/view?i=115770</v>
      </c>
      <c r="K6403" s="304" t="s">
        <v>40452</v>
      </c>
      <c r="L6403" s="188">
        <v>9</v>
      </c>
      <c r="M6403" s="179" t="s">
        <v>151</v>
      </c>
    </row>
    <row r="6404" spans="1:13" ht="25.5">
      <c r="A6404" s="313" t="str">
        <f t="shared" si="100"/>
        <v>TacticalAirNavChannelCode_chan005Y</v>
      </c>
      <c r="B6404" s="330"/>
      <c r="C6404" s="334"/>
      <c r="D6404" s="188" t="s">
        <v>14140</v>
      </c>
      <c r="E6404" s="189" t="s">
        <v>14141</v>
      </c>
      <c r="F6404" s="162" t="s">
        <v>31271</v>
      </c>
      <c r="G6404" s="162" t="s">
        <v>13413</v>
      </c>
      <c r="H6404" s="219"/>
      <c r="I6404" s="169">
        <v>115771</v>
      </c>
      <c r="J6404" s="304" t="str">
        <f>CONCATENATE([2]Cover!$D$6,"fdd/view?i=",I6404)</f>
        <v>https://www.dgiwg.org/FAD/fdd/view?i=115771</v>
      </c>
      <c r="K6404" s="304" t="s">
        <v>40453</v>
      </c>
      <c r="L6404" s="188">
        <v>10</v>
      </c>
      <c r="M6404" s="179" t="s">
        <v>151</v>
      </c>
    </row>
    <row r="6405" spans="1:13" ht="25.5">
      <c r="A6405" s="313" t="str">
        <f t="shared" si="100"/>
        <v>TacticalAirNavChannelCode_chan006X</v>
      </c>
      <c r="B6405" s="330"/>
      <c r="C6405" s="334"/>
      <c r="D6405" s="188" t="s">
        <v>14203</v>
      </c>
      <c r="E6405" s="189" t="s">
        <v>14204</v>
      </c>
      <c r="F6405" s="162" t="s">
        <v>31292</v>
      </c>
      <c r="G6405" s="162" t="s">
        <v>13413</v>
      </c>
      <c r="H6405" s="219"/>
      <c r="I6405" s="169">
        <v>115772</v>
      </c>
      <c r="J6405" s="304" t="str">
        <f>CONCATENATE([2]Cover!$D$6,"fdd/view?i=",I6405)</f>
        <v>https://www.dgiwg.org/FAD/fdd/view?i=115772</v>
      </c>
      <c r="K6405" s="304" t="s">
        <v>40454</v>
      </c>
      <c r="L6405" s="188">
        <v>11</v>
      </c>
      <c r="M6405" s="179" t="s">
        <v>151</v>
      </c>
    </row>
    <row r="6406" spans="1:13" ht="25.5">
      <c r="A6406" s="313" t="str">
        <f t="shared" si="100"/>
        <v>TacticalAirNavChannelCode_chan006Y</v>
      </c>
      <c r="B6406" s="330"/>
      <c r="C6406" s="334"/>
      <c r="D6406" s="188" t="s">
        <v>14206</v>
      </c>
      <c r="E6406" s="189" t="s">
        <v>14207</v>
      </c>
      <c r="F6406" s="162" t="s">
        <v>31293</v>
      </c>
      <c r="G6406" s="162" t="s">
        <v>13413</v>
      </c>
      <c r="H6406" s="219"/>
      <c r="I6406" s="169">
        <v>115773</v>
      </c>
      <c r="J6406" s="304" t="str">
        <f>CONCATENATE([2]Cover!$D$6,"fdd/view?i=",I6406)</f>
        <v>https://www.dgiwg.org/FAD/fdd/view?i=115773</v>
      </c>
      <c r="K6406" s="304" t="s">
        <v>40455</v>
      </c>
      <c r="L6406" s="188">
        <v>12</v>
      </c>
      <c r="M6406" s="179" t="s">
        <v>151</v>
      </c>
    </row>
    <row r="6407" spans="1:13" ht="25.5">
      <c r="A6407" s="313" t="str">
        <f t="shared" si="100"/>
        <v>TacticalAirNavChannelCode_chan007X</v>
      </c>
      <c r="B6407" s="330"/>
      <c r="C6407" s="334"/>
      <c r="D6407" s="188" t="s">
        <v>14269</v>
      </c>
      <c r="E6407" s="189" t="s">
        <v>14270</v>
      </c>
      <c r="F6407" s="162" t="s">
        <v>31314</v>
      </c>
      <c r="G6407" s="162" t="s">
        <v>13413</v>
      </c>
      <c r="H6407" s="219"/>
      <c r="I6407" s="169">
        <v>115774</v>
      </c>
      <c r="J6407" s="304" t="str">
        <f>CONCATENATE([2]Cover!$D$6,"fdd/view?i=",I6407)</f>
        <v>https://www.dgiwg.org/FAD/fdd/view?i=115774</v>
      </c>
      <c r="K6407" s="304" t="s">
        <v>40456</v>
      </c>
      <c r="L6407" s="188">
        <v>13</v>
      </c>
      <c r="M6407" s="179" t="s">
        <v>151</v>
      </c>
    </row>
    <row r="6408" spans="1:13" ht="25.5">
      <c r="A6408" s="313" t="str">
        <f t="shared" si="100"/>
        <v>TacticalAirNavChannelCode_chan007Y</v>
      </c>
      <c r="B6408" s="330"/>
      <c r="C6408" s="334"/>
      <c r="D6408" s="188" t="s">
        <v>14272</v>
      </c>
      <c r="E6408" s="189" t="s">
        <v>14273</v>
      </c>
      <c r="F6408" s="162" t="s">
        <v>31315</v>
      </c>
      <c r="G6408" s="162" t="s">
        <v>13413</v>
      </c>
      <c r="H6408" s="219"/>
      <c r="I6408" s="169">
        <v>115775</v>
      </c>
      <c r="J6408" s="304" t="str">
        <f>CONCATENATE([2]Cover!$D$6,"fdd/view?i=",I6408)</f>
        <v>https://www.dgiwg.org/FAD/fdd/view?i=115775</v>
      </c>
      <c r="K6408" s="304" t="s">
        <v>40457</v>
      </c>
      <c r="L6408" s="188">
        <v>14</v>
      </c>
      <c r="M6408" s="179" t="s">
        <v>151</v>
      </c>
    </row>
    <row r="6409" spans="1:13" ht="25.5">
      <c r="A6409" s="313" t="str">
        <f t="shared" si="100"/>
        <v>TacticalAirNavChannelCode_chan008X</v>
      </c>
      <c r="B6409" s="330"/>
      <c r="C6409" s="334"/>
      <c r="D6409" s="188" t="s">
        <v>14365</v>
      </c>
      <c r="E6409" s="189" t="s">
        <v>14366</v>
      </c>
      <c r="F6409" s="162" t="s">
        <v>31346</v>
      </c>
      <c r="G6409" s="162" t="s">
        <v>13413</v>
      </c>
      <c r="H6409" s="219"/>
      <c r="I6409" s="169">
        <v>115776</v>
      </c>
      <c r="J6409" s="304" t="str">
        <f>CONCATENATE([2]Cover!$D$6,"fdd/view?i=",I6409)</f>
        <v>https://www.dgiwg.org/FAD/fdd/view?i=115776</v>
      </c>
      <c r="K6409" s="304" t="s">
        <v>40458</v>
      </c>
      <c r="L6409" s="188">
        <v>15</v>
      </c>
      <c r="M6409" s="179" t="s">
        <v>151</v>
      </c>
    </row>
    <row r="6410" spans="1:13" ht="25.5">
      <c r="A6410" s="313" t="str">
        <f t="shared" si="100"/>
        <v>TacticalAirNavChannelCode_chan008Y</v>
      </c>
      <c r="B6410" s="330"/>
      <c r="C6410" s="334"/>
      <c r="D6410" s="188" t="s">
        <v>14368</v>
      </c>
      <c r="E6410" s="189" t="s">
        <v>14369</v>
      </c>
      <c r="F6410" s="162" t="s">
        <v>31347</v>
      </c>
      <c r="G6410" s="162" t="s">
        <v>13413</v>
      </c>
      <c r="H6410" s="219"/>
      <c r="I6410" s="169">
        <v>115777</v>
      </c>
      <c r="J6410" s="304" t="str">
        <f>CONCATENATE([2]Cover!$D$6,"fdd/view?i=",I6410)</f>
        <v>https://www.dgiwg.org/FAD/fdd/view?i=115777</v>
      </c>
      <c r="K6410" s="304" t="s">
        <v>40459</v>
      </c>
      <c r="L6410" s="188">
        <v>16</v>
      </c>
      <c r="M6410" s="179" t="s">
        <v>151</v>
      </c>
    </row>
    <row r="6411" spans="1:13" ht="25.5">
      <c r="A6411" s="313" t="str">
        <f t="shared" si="100"/>
        <v>TacticalAirNavChannelCode_chan009X</v>
      </c>
      <c r="B6411" s="330"/>
      <c r="C6411" s="334"/>
      <c r="D6411" s="188" t="s">
        <v>14461</v>
      </c>
      <c r="E6411" s="189" t="s">
        <v>14462</v>
      </c>
      <c r="F6411" s="162" t="s">
        <v>31378</v>
      </c>
      <c r="G6411" s="162" t="s">
        <v>13413</v>
      </c>
      <c r="H6411" s="219"/>
      <c r="I6411" s="169">
        <v>115778</v>
      </c>
      <c r="J6411" s="304" t="str">
        <f>CONCATENATE([2]Cover!$D$6,"fdd/view?i=",I6411)</f>
        <v>https://www.dgiwg.org/FAD/fdd/view?i=115778</v>
      </c>
      <c r="K6411" s="304" t="s">
        <v>40460</v>
      </c>
      <c r="L6411" s="188">
        <v>17</v>
      </c>
      <c r="M6411" s="179" t="s">
        <v>151</v>
      </c>
    </row>
    <row r="6412" spans="1:13" ht="25.5">
      <c r="A6412" s="313" t="str">
        <f t="shared" si="100"/>
        <v>TacticalAirNavChannelCode_chan009Y</v>
      </c>
      <c r="B6412" s="330"/>
      <c r="C6412" s="334"/>
      <c r="D6412" s="188" t="s">
        <v>14464</v>
      </c>
      <c r="E6412" s="189" t="s">
        <v>14465</v>
      </c>
      <c r="F6412" s="162" t="s">
        <v>31379</v>
      </c>
      <c r="G6412" s="162" t="s">
        <v>13413</v>
      </c>
      <c r="H6412" s="219"/>
      <c r="I6412" s="169">
        <v>115779</v>
      </c>
      <c r="J6412" s="304" t="str">
        <f>CONCATENATE([2]Cover!$D$6,"fdd/view?i=",I6412)</f>
        <v>https://www.dgiwg.org/FAD/fdd/view?i=115779</v>
      </c>
      <c r="K6412" s="304" t="s">
        <v>40461</v>
      </c>
      <c r="L6412" s="188">
        <v>18</v>
      </c>
      <c r="M6412" s="179" t="s">
        <v>151</v>
      </c>
    </row>
    <row r="6413" spans="1:13" ht="25.5">
      <c r="A6413" s="313" t="str">
        <f t="shared" si="100"/>
        <v>TacticalAirNavChannelCode_chan010X</v>
      </c>
      <c r="B6413" s="330"/>
      <c r="C6413" s="334"/>
      <c r="D6413" s="188" t="s">
        <v>13501</v>
      </c>
      <c r="E6413" s="189" t="s">
        <v>13502</v>
      </c>
      <c r="F6413" s="162" t="s">
        <v>31058</v>
      </c>
      <c r="G6413" s="162" t="s">
        <v>13413</v>
      </c>
      <c r="H6413" s="219"/>
      <c r="I6413" s="169">
        <v>115780</v>
      </c>
      <c r="J6413" s="304" t="str">
        <f>CONCATENATE([2]Cover!$D$6,"fdd/view?i=",I6413)</f>
        <v>https://www.dgiwg.org/FAD/fdd/view?i=115780</v>
      </c>
      <c r="K6413" s="304" t="s">
        <v>40462</v>
      </c>
      <c r="L6413" s="188">
        <v>19</v>
      </c>
      <c r="M6413" s="179" t="s">
        <v>151</v>
      </c>
    </row>
    <row r="6414" spans="1:13" ht="25.5">
      <c r="A6414" s="313" t="str">
        <f t="shared" si="100"/>
        <v>TacticalAirNavChannelCode_chan010Y</v>
      </c>
      <c r="B6414" s="330"/>
      <c r="C6414" s="334"/>
      <c r="D6414" s="188" t="s">
        <v>13504</v>
      </c>
      <c r="E6414" s="189" t="s">
        <v>13505</v>
      </c>
      <c r="F6414" s="162" t="s">
        <v>31059</v>
      </c>
      <c r="G6414" s="162" t="s">
        <v>13413</v>
      </c>
      <c r="H6414" s="219"/>
      <c r="I6414" s="169">
        <v>115781</v>
      </c>
      <c r="J6414" s="304" t="str">
        <f>CONCATENATE([2]Cover!$D$6,"fdd/view?i=",I6414)</f>
        <v>https://www.dgiwg.org/FAD/fdd/view?i=115781</v>
      </c>
      <c r="K6414" s="304" t="s">
        <v>40463</v>
      </c>
      <c r="L6414" s="188">
        <v>20</v>
      </c>
      <c r="M6414" s="179" t="s">
        <v>151</v>
      </c>
    </row>
    <row r="6415" spans="1:13" ht="25.5">
      <c r="A6415" s="313" t="str">
        <f t="shared" si="100"/>
        <v>TacticalAirNavChannelCode_chan011X</v>
      </c>
      <c r="B6415" s="330"/>
      <c r="C6415" s="334"/>
      <c r="D6415" s="188" t="s">
        <v>13597</v>
      </c>
      <c r="E6415" s="189" t="s">
        <v>13598</v>
      </c>
      <c r="F6415" s="162" t="s">
        <v>31090</v>
      </c>
      <c r="G6415" s="162" t="s">
        <v>13413</v>
      </c>
      <c r="H6415" s="219"/>
      <c r="I6415" s="169">
        <v>115782</v>
      </c>
      <c r="J6415" s="304" t="str">
        <f>CONCATENATE([2]Cover!$D$6,"fdd/view?i=",I6415)</f>
        <v>https://www.dgiwg.org/FAD/fdd/view?i=115782</v>
      </c>
      <c r="K6415" s="304" t="s">
        <v>40464</v>
      </c>
      <c r="L6415" s="188">
        <v>21</v>
      </c>
      <c r="M6415" s="179" t="s">
        <v>151</v>
      </c>
    </row>
    <row r="6416" spans="1:13" ht="25.5">
      <c r="A6416" s="313" t="str">
        <f t="shared" si="100"/>
        <v>TacticalAirNavChannelCode_chan011Y</v>
      </c>
      <c r="B6416" s="330"/>
      <c r="C6416" s="334"/>
      <c r="D6416" s="188" t="s">
        <v>13600</v>
      </c>
      <c r="E6416" s="189" t="s">
        <v>13601</v>
      </c>
      <c r="F6416" s="162" t="s">
        <v>31091</v>
      </c>
      <c r="G6416" s="162" t="s">
        <v>13413</v>
      </c>
      <c r="H6416" s="219"/>
      <c r="I6416" s="169">
        <v>115783</v>
      </c>
      <c r="J6416" s="304" t="str">
        <f>CONCATENATE([2]Cover!$D$6,"fdd/view?i=",I6416)</f>
        <v>https://www.dgiwg.org/FAD/fdd/view?i=115783</v>
      </c>
      <c r="K6416" s="304" t="s">
        <v>40465</v>
      </c>
      <c r="L6416" s="188">
        <v>22</v>
      </c>
      <c r="M6416" s="179" t="s">
        <v>151</v>
      </c>
    </row>
    <row r="6417" spans="1:13" ht="25.5">
      <c r="A6417" s="313" t="str">
        <f t="shared" si="100"/>
        <v>TacticalAirNavChannelCode_chan012X</v>
      </c>
      <c r="B6417" s="330"/>
      <c r="C6417" s="334"/>
      <c r="D6417" s="188" t="s">
        <v>13645</v>
      </c>
      <c r="E6417" s="189" t="s">
        <v>13646</v>
      </c>
      <c r="F6417" s="162" t="s">
        <v>31106</v>
      </c>
      <c r="G6417" s="162" t="s">
        <v>13413</v>
      </c>
      <c r="H6417" s="219"/>
      <c r="I6417" s="169">
        <v>115784</v>
      </c>
      <c r="J6417" s="304" t="str">
        <f>CONCATENATE([2]Cover!$D$6,"fdd/view?i=",I6417)</f>
        <v>https://www.dgiwg.org/FAD/fdd/view?i=115784</v>
      </c>
      <c r="K6417" s="304" t="s">
        <v>40466</v>
      </c>
      <c r="L6417" s="188">
        <v>23</v>
      </c>
      <c r="M6417" s="179" t="s">
        <v>151</v>
      </c>
    </row>
    <row r="6418" spans="1:13" ht="25.5">
      <c r="A6418" s="313" t="str">
        <f t="shared" si="100"/>
        <v>TacticalAirNavChannelCode_chan012Y</v>
      </c>
      <c r="B6418" s="330"/>
      <c r="C6418" s="334"/>
      <c r="D6418" s="188" t="s">
        <v>13648</v>
      </c>
      <c r="E6418" s="189" t="s">
        <v>13649</v>
      </c>
      <c r="F6418" s="162" t="s">
        <v>31107</v>
      </c>
      <c r="G6418" s="162" t="s">
        <v>13413</v>
      </c>
      <c r="H6418" s="219"/>
      <c r="I6418" s="169">
        <v>115785</v>
      </c>
      <c r="J6418" s="304" t="str">
        <f>CONCATENATE([2]Cover!$D$6,"fdd/view?i=",I6418)</f>
        <v>https://www.dgiwg.org/FAD/fdd/view?i=115785</v>
      </c>
      <c r="K6418" s="304" t="s">
        <v>40467</v>
      </c>
      <c r="L6418" s="188">
        <v>24</v>
      </c>
      <c r="M6418" s="179" t="s">
        <v>151</v>
      </c>
    </row>
    <row r="6419" spans="1:13" ht="25.5">
      <c r="A6419" s="313" t="str">
        <f t="shared" si="100"/>
        <v>TacticalAirNavChannelCode_chan013X</v>
      </c>
      <c r="B6419" s="330"/>
      <c r="C6419" s="334"/>
      <c r="D6419" s="188" t="s">
        <v>13651</v>
      </c>
      <c r="E6419" s="189" t="s">
        <v>13652</v>
      </c>
      <c r="F6419" s="162" t="s">
        <v>31108</v>
      </c>
      <c r="G6419" s="162" t="s">
        <v>13413</v>
      </c>
      <c r="H6419" s="219"/>
      <c r="I6419" s="169">
        <v>115786</v>
      </c>
      <c r="J6419" s="304" t="str">
        <f>CONCATENATE([2]Cover!$D$6,"fdd/view?i=",I6419)</f>
        <v>https://www.dgiwg.org/FAD/fdd/view?i=115786</v>
      </c>
      <c r="K6419" s="304" t="s">
        <v>40468</v>
      </c>
      <c r="L6419" s="188">
        <v>25</v>
      </c>
      <c r="M6419" s="179" t="s">
        <v>151</v>
      </c>
    </row>
    <row r="6420" spans="1:13" ht="25.5">
      <c r="A6420" s="313" t="str">
        <f t="shared" si="100"/>
        <v>TacticalAirNavChannelCode_chan013Y</v>
      </c>
      <c r="B6420" s="330"/>
      <c r="C6420" s="334"/>
      <c r="D6420" s="188" t="s">
        <v>13654</v>
      </c>
      <c r="E6420" s="189" t="s">
        <v>13655</v>
      </c>
      <c r="F6420" s="162" t="s">
        <v>31109</v>
      </c>
      <c r="G6420" s="162" t="s">
        <v>13413</v>
      </c>
      <c r="H6420" s="219"/>
      <c r="I6420" s="169">
        <v>115787</v>
      </c>
      <c r="J6420" s="304" t="str">
        <f>CONCATENATE([2]Cover!$D$6,"fdd/view?i=",I6420)</f>
        <v>https://www.dgiwg.org/FAD/fdd/view?i=115787</v>
      </c>
      <c r="K6420" s="304" t="s">
        <v>40469</v>
      </c>
      <c r="L6420" s="188">
        <v>26</v>
      </c>
      <c r="M6420" s="179" t="s">
        <v>151</v>
      </c>
    </row>
    <row r="6421" spans="1:13" ht="25.5">
      <c r="A6421" s="313" t="str">
        <f t="shared" si="100"/>
        <v>TacticalAirNavChannelCode_chan014X</v>
      </c>
      <c r="B6421" s="330"/>
      <c r="C6421" s="334"/>
      <c r="D6421" s="188" t="s">
        <v>13657</v>
      </c>
      <c r="E6421" s="189" t="s">
        <v>13658</v>
      </c>
      <c r="F6421" s="162" t="s">
        <v>31110</v>
      </c>
      <c r="G6421" s="162" t="s">
        <v>13413</v>
      </c>
      <c r="H6421" s="219"/>
      <c r="I6421" s="169">
        <v>115788</v>
      </c>
      <c r="J6421" s="304" t="str">
        <f>CONCATENATE([2]Cover!$D$6,"fdd/view?i=",I6421)</f>
        <v>https://www.dgiwg.org/FAD/fdd/view?i=115788</v>
      </c>
      <c r="K6421" s="304" t="s">
        <v>40470</v>
      </c>
      <c r="L6421" s="188">
        <v>27</v>
      </c>
      <c r="M6421" s="179" t="s">
        <v>151</v>
      </c>
    </row>
    <row r="6422" spans="1:13" ht="25.5">
      <c r="A6422" s="313" t="str">
        <f t="shared" si="100"/>
        <v>TacticalAirNavChannelCode_chan014Y</v>
      </c>
      <c r="B6422" s="330"/>
      <c r="C6422" s="334"/>
      <c r="D6422" s="188" t="s">
        <v>13660</v>
      </c>
      <c r="E6422" s="189" t="s">
        <v>13661</v>
      </c>
      <c r="F6422" s="162" t="s">
        <v>31111</v>
      </c>
      <c r="G6422" s="162" t="s">
        <v>13413</v>
      </c>
      <c r="H6422" s="219"/>
      <c r="I6422" s="169">
        <v>115789</v>
      </c>
      <c r="J6422" s="304" t="str">
        <f>CONCATENATE([2]Cover!$D$6,"fdd/view?i=",I6422)</f>
        <v>https://www.dgiwg.org/FAD/fdd/view?i=115789</v>
      </c>
      <c r="K6422" s="304" t="s">
        <v>40471</v>
      </c>
      <c r="L6422" s="188">
        <v>28</v>
      </c>
      <c r="M6422" s="179" t="s">
        <v>151</v>
      </c>
    </row>
    <row r="6423" spans="1:13" ht="25.5">
      <c r="A6423" s="313" t="str">
        <f t="shared" si="100"/>
        <v>TacticalAirNavChannelCode_chan015X</v>
      </c>
      <c r="B6423" s="330"/>
      <c r="C6423" s="334"/>
      <c r="D6423" s="188" t="s">
        <v>13663</v>
      </c>
      <c r="E6423" s="189" t="s">
        <v>13664</v>
      </c>
      <c r="F6423" s="162" t="s">
        <v>31112</v>
      </c>
      <c r="G6423" s="162" t="s">
        <v>13413</v>
      </c>
      <c r="H6423" s="219"/>
      <c r="I6423" s="169">
        <v>115790</v>
      </c>
      <c r="J6423" s="304" t="str">
        <f>CONCATENATE([2]Cover!$D$6,"fdd/view?i=",I6423)</f>
        <v>https://www.dgiwg.org/FAD/fdd/view?i=115790</v>
      </c>
      <c r="K6423" s="304" t="s">
        <v>40472</v>
      </c>
      <c r="L6423" s="188">
        <v>29</v>
      </c>
      <c r="M6423" s="179" t="s">
        <v>151</v>
      </c>
    </row>
    <row r="6424" spans="1:13" ht="25.5">
      <c r="A6424" s="313" t="str">
        <f t="shared" si="100"/>
        <v>TacticalAirNavChannelCode_chan015Y</v>
      </c>
      <c r="B6424" s="330"/>
      <c r="C6424" s="334"/>
      <c r="D6424" s="188" t="s">
        <v>13666</v>
      </c>
      <c r="E6424" s="189" t="s">
        <v>13667</v>
      </c>
      <c r="F6424" s="162" t="s">
        <v>31113</v>
      </c>
      <c r="G6424" s="162" t="s">
        <v>13413</v>
      </c>
      <c r="H6424" s="219"/>
      <c r="I6424" s="169">
        <v>115791</v>
      </c>
      <c r="J6424" s="304" t="str">
        <f>CONCATENATE([2]Cover!$D$6,"fdd/view?i=",I6424)</f>
        <v>https://www.dgiwg.org/FAD/fdd/view?i=115791</v>
      </c>
      <c r="K6424" s="304" t="s">
        <v>40473</v>
      </c>
      <c r="L6424" s="188">
        <v>30</v>
      </c>
      <c r="M6424" s="179" t="s">
        <v>151</v>
      </c>
    </row>
    <row r="6425" spans="1:13" ht="25.5">
      <c r="A6425" s="313" t="str">
        <f t="shared" si="100"/>
        <v>TacticalAirNavChannelCode_chan016X</v>
      </c>
      <c r="B6425" s="330"/>
      <c r="C6425" s="334"/>
      <c r="D6425" s="188" t="s">
        <v>13669</v>
      </c>
      <c r="E6425" s="189" t="s">
        <v>13670</v>
      </c>
      <c r="F6425" s="162" t="s">
        <v>31114</v>
      </c>
      <c r="G6425" s="162" t="s">
        <v>13413</v>
      </c>
      <c r="H6425" s="219"/>
      <c r="I6425" s="169">
        <v>115792</v>
      </c>
      <c r="J6425" s="304" t="str">
        <f>CONCATENATE([2]Cover!$D$6,"fdd/view?i=",I6425)</f>
        <v>https://www.dgiwg.org/FAD/fdd/view?i=115792</v>
      </c>
      <c r="K6425" s="304" t="s">
        <v>40474</v>
      </c>
      <c r="L6425" s="188">
        <v>31</v>
      </c>
      <c r="M6425" s="179" t="s">
        <v>151</v>
      </c>
    </row>
    <row r="6426" spans="1:13" ht="25.5">
      <c r="A6426" s="313" t="str">
        <f t="shared" si="100"/>
        <v>TacticalAirNavChannelCode_chan016Y</v>
      </c>
      <c r="B6426" s="330"/>
      <c r="C6426" s="334"/>
      <c r="D6426" s="188" t="s">
        <v>13672</v>
      </c>
      <c r="E6426" s="189" t="s">
        <v>13673</v>
      </c>
      <c r="F6426" s="162" t="s">
        <v>31115</v>
      </c>
      <c r="G6426" s="162" t="s">
        <v>13413</v>
      </c>
      <c r="H6426" s="219"/>
      <c r="I6426" s="169">
        <v>115793</v>
      </c>
      <c r="J6426" s="304" t="str">
        <f>CONCATENATE([2]Cover!$D$6,"fdd/view?i=",I6426)</f>
        <v>https://www.dgiwg.org/FAD/fdd/view?i=115793</v>
      </c>
      <c r="K6426" s="304" t="s">
        <v>40475</v>
      </c>
      <c r="L6426" s="188">
        <v>32</v>
      </c>
      <c r="M6426" s="179" t="s">
        <v>151</v>
      </c>
    </row>
    <row r="6427" spans="1:13" ht="25.5">
      <c r="A6427" s="313" t="str">
        <f t="shared" si="100"/>
        <v>TacticalAirNavChannelCode_chan017X</v>
      </c>
      <c r="B6427" s="330"/>
      <c r="C6427" s="334"/>
      <c r="D6427" s="188" t="s">
        <v>13675</v>
      </c>
      <c r="E6427" s="189" t="s">
        <v>13676</v>
      </c>
      <c r="F6427" s="162" t="s">
        <v>31116</v>
      </c>
      <c r="G6427" s="162" t="s">
        <v>13413</v>
      </c>
      <c r="H6427" s="219"/>
      <c r="I6427" s="169">
        <v>115794</v>
      </c>
      <c r="J6427" s="304" t="str">
        <f>CONCATENATE([2]Cover!$D$6,"fdd/view?i=",I6427)</f>
        <v>https://www.dgiwg.org/FAD/fdd/view?i=115794</v>
      </c>
      <c r="K6427" s="304" t="s">
        <v>40476</v>
      </c>
      <c r="L6427" s="188">
        <v>33</v>
      </c>
      <c r="M6427" s="179" t="s">
        <v>151</v>
      </c>
    </row>
    <row r="6428" spans="1:13" ht="25.5">
      <c r="A6428" s="313" t="str">
        <f t="shared" si="100"/>
        <v>TacticalAirNavChannelCode_chan017Y</v>
      </c>
      <c r="B6428" s="330"/>
      <c r="C6428" s="334"/>
      <c r="D6428" s="188" t="s">
        <v>13678</v>
      </c>
      <c r="E6428" s="189" t="s">
        <v>13679</v>
      </c>
      <c r="F6428" s="162" t="s">
        <v>31117</v>
      </c>
      <c r="G6428" s="162" t="s">
        <v>13413</v>
      </c>
      <c r="H6428" s="219"/>
      <c r="I6428" s="169">
        <v>115795</v>
      </c>
      <c r="J6428" s="304" t="str">
        <f>CONCATENATE([2]Cover!$D$6,"fdd/view?i=",I6428)</f>
        <v>https://www.dgiwg.org/FAD/fdd/view?i=115795</v>
      </c>
      <c r="K6428" s="304" t="s">
        <v>40477</v>
      </c>
      <c r="L6428" s="188">
        <v>34</v>
      </c>
      <c r="M6428" s="179" t="s">
        <v>151</v>
      </c>
    </row>
    <row r="6429" spans="1:13" ht="25.5">
      <c r="A6429" s="313" t="str">
        <f t="shared" si="100"/>
        <v>TacticalAirNavChannelCode_chan017Z</v>
      </c>
      <c r="B6429" s="330"/>
      <c r="C6429" s="334"/>
      <c r="D6429" s="188" t="s">
        <v>13681</v>
      </c>
      <c r="E6429" s="189" t="s">
        <v>13682</v>
      </c>
      <c r="F6429" s="162" t="s">
        <v>31118</v>
      </c>
      <c r="G6429" s="162" t="s">
        <v>13413</v>
      </c>
      <c r="H6429" s="219"/>
      <c r="I6429" s="169">
        <v>115796</v>
      </c>
      <c r="J6429" s="304" t="str">
        <f>CONCATENATE([2]Cover!$D$6,"fdd/view?i=",I6429)</f>
        <v>https://www.dgiwg.org/FAD/fdd/view?i=115796</v>
      </c>
      <c r="K6429" s="304" t="s">
        <v>40478</v>
      </c>
      <c r="L6429" s="188">
        <v>35</v>
      </c>
      <c r="M6429" s="179" t="s">
        <v>151</v>
      </c>
    </row>
    <row r="6430" spans="1:13" ht="25.5">
      <c r="A6430" s="313" t="str">
        <f t="shared" si="100"/>
        <v>TacticalAirNavChannelCode_chan018W</v>
      </c>
      <c r="B6430" s="330"/>
      <c r="C6430" s="334"/>
      <c r="D6430" s="188" t="s">
        <v>13684</v>
      </c>
      <c r="E6430" s="189" t="s">
        <v>13685</v>
      </c>
      <c r="F6430" s="162" t="s">
        <v>31119</v>
      </c>
      <c r="G6430" s="162" t="s">
        <v>13413</v>
      </c>
      <c r="H6430" s="219"/>
      <c r="I6430" s="169">
        <v>115797</v>
      </c>
      <c r="J6430" s="304" t="str">
        <f>CONCATENATE([2]Cover!$D$6,"fdd/view?i=",I6430)</f>
        <v>https://www.dgiwg.org/FAD/fdd/view?i=115797</v>
      </c>
      <c r="K6430" s="304" t="s">
        <v>40479</v>
      </c>
      <c r="L6430" s="188">
        <v>36</v>
      </c>
      <c r="M6430" s="179" t="s">
        <v>151</v>
      </c>
    </row>
    <row r="6431" spans="1:13" ht="25.5">
      <c r="A6431" s="313" t="str">
        <f t="shared" si="100"/>
        <v>TacticalAirNavChannelCode_chan018X</v>
      </c>
      <c r="B6431" s="330"/>
      <c r="C6431" s="334"/>
      <c r="D6431" s="188" t="s">
        <v>13687</v>
      </c>
      <c r="E6431" s="189" t="s">
        <v>13688</v>
      </c>
      <c r="F6431" s="162" t="s">
        <v>31120</v>
      </c>
      <c r="G6431" s="162" t="s">
        <v>13413</v>
      </c>
      <c r="H6431" s="219"/>
      <c r="I6431" s="169">
        <v>115798</v>
      </c>
      <c r="J6431" s="304" t="str">
        <f>CONCATENATE([2]Cover!$D$6,"fdd/view?i=",I6431)</f>
        <v>https://www.dgiwg.org/FAD/fdd/view?i=115798</v>
      </c>
      <c r="K6431" s="304" t="s">
        <v>40480</v>
      </c>
      <c r="L6431" s="188">
        <v>37</v>
      </c>
      <c r="M6431" s="179" t="s">
        <v>151</v>
      </c>
    </row>
    <row r="6432" spans="1:13" ht="25.5">
      <c r="A6432" s="313" t="str">
        <f t="shared" si="100"/>
        <v>TacticalAirNavChannelCode_chan018Y</v>
      </c>
      <c r="B6432" s="330"/>
      <c r="C6432" s="334"/>
      <c r="D6432" s="188" t="s">
        <v>13690</v>
      </c>
      <c r="E6432" s="189" t="s">
        <v>13691</v>
      </c>
      <c r="F6432" s="162" t="s">
        <v>31121</v>
      </c>
      <c r="G6432" s="162" t="s">
        <v>13413</v>
      </c>
      <c r="H6432" s="219"/>
      <c r="I6432" s="169">
        <v>115799</v>
      </c>
      <c r="J6432" s="304" t="str">
        <f>CONCATENATE([2]Cover!$D$6,"fdd/view?i=",I6432)</f>
        <v>https://www.dgiwg.org/FAD/fdd/view?i=115799</v>
      </c>
      <c r="K6432" s="304" t="s">
        <v>40481</v>
      </c>
      <c r="L6432" s="188">
        <v>38</v>
      </c>
      <c r="M6432" s="179" t="s">
        <v>151</v>
      </c>
    </row>
    <row r="6433" spans="1:13" ht="25.5">
      <c r="A6433" s="313" t="str">
        <f t="shared" si="100"/>
        <v>TacticalAirNavChannelCode_chan018Z</v>
      </c>
      <c r="B6433" s="330"/>
      <c r="C6433" s="334"/>
      <c r="D6433" s="188" t="s">
        <v>13693</v>
      </c>
      <c r="E6433" s="189" t="s">
        <v>13694</v>
      </c>
      <c r="F6433" s="162" t="s">
        <v>31122</v>
      </c>
      <c r="G6433" s="162" t="s">
        <v>13413</v>
      </c>
      <c r="H6433" s="219"/>
      <c r="I6433" s="169">
        <v>115800</v>
      </c>
      <c r="J6433" s="304" t="str">
        <f>CONCATENATE([2]Cover!$D$6,"fdd/view?i=",I6433)</f>
        <v>https://www.dgiwg.org/FAD/fdd/view?i=115800</v>
      </c>
      <c r="K6433" s="304" t="s">
        <v>40482</v>
      </c>
      <c r="L6433" s="188">
        <v>39</v>
      </c>
      <c r="M6433" s="179" t="s">
        <v>151</v>
      </c>
    </row>
    <row r="6434" spans="1:13" ht="25.5">
      <c r="A6434" s="313" t="str">
        <f t="shared" si="100"/>
        <v>TacticalAirNavChannelCode_chan019X</v>
      </c>
      <c r="B6434" s="330"/>
      <c r="C6434" s="334"/>
      <c r="D6434" s="188" t="s">
        <v>13696</v>
      </c>
      <c r="E6434" s="189" t="s">
        <v>13697</v>
      </c>
      <c r="F6434" s="162" t="s">
        <v>31123</v>
      </c>
      <c r="G6434" s="162" t="s">
        <v>13413</v>
      </c>
      <c r="H6434" s="219"/>
      <c r="I6434" s="169">
        <v>115801</v>
      </c>
      <c r="J6434" s="304" t="str">
        <f>CONCATENATE([2]Cover!$D$6,"fdd/view?i=",I6434)</f>
        <v>https://www.dgiwg.org/FAD/fdd/view?i=115801</v>
      </c>
      <c r="K6434" s="304" t="s">
        <v>40483</v>
      </c>
      <c r="L6434" s="188">
        <v>40</v>
      </c>
      <c r="M6434" s="179" t="s">
        <v>151</v>
      </c>
    </row>
    <row r="6435" spans="1:13" ht="25.5">
      <c r="A6435" s="313" t="str">
        <f t="shared" si="100"/>
        <v>TacticalAirNavChannelCode_chan019Y</v>
      </c>
      <c r="B6435" s="330"/>
      <c r="C6435" s="334"/>
      <c r="D6435" s="188" t="s">
        <v>13699</v>
      </c>
      <c r="E6435" s="189" t="s">
        <v>13700</v>
      </c>
      <c r="F6435" s="162" t="s">
        <v>31124</v>
      </c>
      <c r="G6435" s="162" t="s">
        <v>13413</v>
      </c>
      <c r="H6435" s="219"/>
      <c r="I6435" s="169">
        <v>115802</v>
      </c>
      <c r="J6435" s="304" t="str">
        <f>CONCATENATE([2]Cover!$D$6,"fdd/view?i=",I6435)</f>
        <v>https://www.dgiwg.org/FAD/fdd/view?i=115802</v>
      </c>
      <c r="K6435" s="304" t="s">
        <v>40484</v>
      </c>
      <c r="L6435" s="188">
        <v>41</v>
      </c>
      <c r="M6435" s="179" t="s">
        <v>151</v>
      </c>
    </row>
    <row r="6436" spans="1:13" ht="25.5">
      <c r="A6436" s="313" t="str">
        <f t="shared" si="100"/>
        <v>TacticalAirNavChannelCode_chan019Z</v>
      </c>
      <c r="B6436" s="330"/>
      <c r="C6436" s="334"/>
      <c r="D6436" s="188" t="s">
        <v>13702</v>
      </c>
      <c r="E6436" s="189" t="s">
        <v>13703</v>
      </c>
      <c r="F6436" s="162" t="s">
        <v>31125</v>
      </c>
      <c r="G6436" s="162" t="s">
        <v>13413</v>
      </c>
      <c r="H6436" s="219"/>
      <c r="I6436" s="169">
        <v>115803</v>
      </c>
      <c r="J6436" s="304" t="str">
        <f>CONCATENATE([2]Cover!$D$6,"fdd/view?i=",I6436)</f>
        <v>https://www.dgiwg.org/FAD/fdd/view?i=115803</v>
      </c>
      <c r="K6436" s="304" t="s">
        <v>40485</v>
      </c>
      <c r="L6436" s="188">
        <v>42</v>
      </c>
      <c r="M6436" s="179" t="s">
        <v>151</v>
      </c>
    </row>
    <row r="6437" spans="1:13" ht="25.5">
      <c r="A6437" s="313" t="str">
        <f t="shared" si="100"/>
        <v>TacticalAirNavChannelCode_chan020W</v>
      </c>
      <c r="B6437" s="330"/>
      <c r="C6437" s="334"/>
      <c r="D6437" s="188" t="s">
        <v>13711</v>
      </c>
      <c r="E6437" s="189" t="s">
        <v>13712</v>
      </c>
      <c r="F6437" s="162" t="s">
        <v>31128</v>
      </c>
      <c r="G6437" s="162" t="s">
        <v>13413</v>
      </c>
      <c r="H6437" s="219"/>
      <c r="I6437" s="169">
        <v>115804</v>
      </c>
      <c r="J6437" s="304" t="str">
        <f>CONCATENATE([2]Cover!$D$6,"fdd/view?i=",I6437)</f>
        <v>https://www.dgiwg.org/FAD/fdd/view?i=115804</v>
      </c>
      <c r="K6437" s="304" t="s">
        <v>40486</v>
      </c>
      <c r="L6437" s="188">
        <v>43</v>
      </c>
      <c r="M6437" s="179" t="s">
        <v>151</v>
      </c>
    </row>
    <row r="6438" spans="1:13" ht="25.5">
      <c r="A6438" s="313" t="str">
        <f t="shared" si="100"/>
        <v>TacticalAirNavChannelCode_chan020X</v>
      </c>
      <c r="B6438" s="330"/>
      <c r="C6438" s="334"/>
      <c r="D6438" s="188" t="s">
        <v>13714</v>
      </c>
      <c r="E6438" s="189" t="s">
        <v>13715</v>
      </c>
      <c r="F6438" s="162" t="s">
        <v>31129</v>
      </c>
      <c r="G6438" s="162" t="s">
        <v>13413</v>
      </c>
      <c r="H6438" s="219"/>
      <c r="I6438" s="169">
        <v>115805</v>
      </c>
      <c r="J6438" s="304" t="str">
        <f>CONCATENATE([2]Cover!$D$6,"fdd/view?i=",I6438)</f>
        <v>https://www.dgiwg.org/FAD/fdd/view?i=115805</v>
      </c>
      <c r="K6438" s="304" t="s">
        <v>40487</v>
      </c>
      <c r="L6438" s="188">
        <v>44</v>
      </c>
      <c r="M6438" s="179" t="s">
        <v>151</v>
      </c>
    </row>
    <row r="6439" spans="1:13" ht="25.5">
      <c r="A6439" s="313" t="str">
        <f t="shared" si="100"/>
        <v>TacticalAirNavChannelCode_chan020Y</v>
      </c>
      <c r="B6439" s="330"/>
      <c r="C6439" s="334"/>
      <c r="D6439" s="188" t="s">
        <v>13717</v>
      </c>
      <c r="E6439" s="189" t="s">
        <v>13718</v>
      </c>
      <c r="F6439" s="162" t="s">
        <v>31130</v>
      </c>
      <c r="G6439" s="162" t="s">
        <v>13413</v>
      </c>
      <c r="H6439" s="219"/>
      <c r="I6439" s="169">
        <v>115806</v>
      </c>
      <c r="J6439" s="304" t="str">
        <f>CONCATENATE([2]Cover!$D$6,"fdd/view?i=",I6439)</f>
        <v>https://www.dgiwg.org/FAD/fdd/view?i=115806</v>
      </c>
      <c r="K6439" s="304" t="s">
        <v>40488</v>
      </c>
      <c r="L6439" s="188">
        <v>45</v>
      </c>
      <c r="M6439" s="179" t="s">
        <v>151</v>
      </c>
    </row>
    <row r="6440" spans="1:13" ht="25.5">
      <c r="A6440" s="313" t="str">
        <f t="shared" si="100"/>
        <v>TacticalAirNavChannelCode_chan020Z</v>
      </c>
      <c r="B6440" s="330"/>
      <c r="C6440" s="334"/>
      <c r="D6440" s="188" t="s">
        <v>13720</v>
      </c>
      <c r="E6440" s="189" t="s">
        <v>13721</v>
      </c>
      <c r="F6440" s="162" t="s">
        <v>31131</v>
      </c>
      <c r="G6440" s="162" t="s">
        <v>13413</v>
      </c>
      <c r="H6440" s="219"/>
      <c r="I6440" s="169">
        <v>115807</v>
      </c>
      <c r="J6440" s="304" t="str">
        <f>CONCATENATE([2]Cover!$D$6,"fdd/view?i=",I6440)</f>
        <v>https://www.dgiwg.org/FAD/fdd/view?i=115807</v>
      </c>
      <c r="K6440" s="304" t="s">
        <v>40489</v>
      </c>
      <c r="L6440" s="188">
        <v>46</v>
      </c>
      <c r="M6440" s="179" t="s">
        <v>151</v>
      </c>
    </row>
    <row r="6441" spans="1:13" ht="25.5">
      <c r="A6441" s="313" t="str">
        <f t="shared" si="100"/>
        <v>TacticalAirNavChannelCode_chan021X</v>
      </c>
      <c r="B6441" s="330"/>
      <c r="C6441" s="334"/>
      <c r="D6441" s="188" t="s">
        <v>13723</v>
      </c>
      <c r="E6441" s="189" t="s">
        <v>13724</v>
      </c>
      <c r="F6441" s="162" t="s">
        <v>31132</v>
      </c>
      <c r="G6441" s="162" t="s">
        <v>13413</v>
      </c>
      <c r="H6441" s="219"/>
      <c r="I6441" s="169">
        <v>115808</v>
      </c>
      <c r="J6441" s="304" t="str">
        <f>CONCATENATE([2]Cover!$D$6,"fdd/view?i=",I6441)</f>
        <v>https://www.dgiwg.org/FAD/fdd/view?i=115808</v>
      </c>
      <c r="K6441" s="304" t="s">
        <v>40490</v>
      </c>
      <c r="L6441" s="188">
        <v>47</v>
      </c>
      <c r="M6441" s="179" t="s">
        <v>151</v>
      </c>
    </row>
    <row r="6442" spans="1:13" ht="25.5">
      <c r="A6442" s="313" t="str">
        <f t="shared" si="100"/>
        <v>TacticalAirNavChannelCode_chan021Y</v>
      </c>
      <c r="B6442" s="330"/>
      <c r="C6442" s="334"/>
      <c r="D6442" s="188" t="s">
        <v>13726</v>
      </c>
      <c r="E6442" s="189" t="s">
        <v>13727</v>
      </c>
      <c r="F6442" s="162" t="s">
        <v>31133</v>
      </c>
      <c r="G6442" s="162" t="s">
        <v>13413</v>
      </c>
      <c r="H6442" s="219"/>
      <c r="I6442" s="169">
        <v>115809</v>
      </c>
      <c r="J6442" s="304" t="str">
        <f>CONCATENATE([2]Cover!$D$6,"fdd/view?i=",I6442)</f>
        <v>https://www.dgiwg.org/FAD/fdd/view?i=115809</v>
      </c>
      <c r="K6442" s="304" t="s">
        <v>40491</v>
      </c>
      <c r="L6442" s="188">
        <v>48</v>
      </c>
      <c r="M6442" s="179" t="s">
        <v>151</v>
      </c>
    </row>
    <row r="6443" spans="1:13" ht="25.5">
      <c r="A6443" s="313" t="str">
        <f t="shared" si="100"/>
        <v>TacticalAirNavChannelCode_chan021Z</v>
      </c>
      <c r="B6443" s="330"/>
      <c r="C6443" s="334"/>
      <c r="D6443" s="188" t="s">
        <v>13729</v>
      </c>
      <c r="E6443" s="189" t="s">
        <v>13730</v>
      </c>
      <c r="F6443" s="162" t="s">
        <v>31134</v>
      </c>
      <c r="G6443" s="162" t="s">
        <v>13413</v>
      </c>
      <c r="H6443" s="219"/>
      <c r="I6443" s="169">
        <v>115810</v>
      </c>
      <c r="J6443" s="304" t="str">
        <f>CONCATENATE([2]Cover!$D$6,"fdd/view?i=",I6443)</f>
        <v>https://www.dgiwg.org/FAD/fdd/view?i=115810</v>
      </c>
      <c r="K6443" s="304" t="s">
        <v>40492</v>
      </c>
      <c r="L6443" s="188">
        <v>49</v>
      </c>
      <c r="M6443" s="179" t="s">
        <v>151</v>
      </c>
    </row>
    <row r="6444" spans="1:13" ht="25.5">
      <c r="A6444" s="313" t="str">
        <f t="shared" si="100"/>
        <v>TacticalAirNavChannelCode_chan022W</v>
      </c>
      <c r="B6444" s="330"/>
      <c r="C6444" s="334"/>
      <c r="D6444" s="188" t="s">
        <v>13732</v>
      </c>
      <c r="E6444" s="189" t="s">
        <v>13733</v>
      </c>
      <c r="F6444" s="162" t="s">
        <v>31135</v>
      </c>
      <c r="G6444" s="162" t="s">
        <v>13413</v>
      </c>
      <c r="H6444" s="219"/>
      <c r="I6444" s="169">
        <v>115811</v>
      </c>
      <c r="J6444" s="304" t="str">
        <f>CONCATENATE([2]Cover!$D$6,"fdd/view?i=",I6444)</f>
        <v>https://www.dgiwg.org/FAD/fdd/view?i=115811</v>
      </c>
      <c r="K6444" s="304" t="s">
        <v>40493</v>
      </c>
      <c r="L6444" s="188">
        <v>50</v>
      </c>
      <c r="M6444" s="179" t="s">
        <v>151</v>
      </c>
    </row>
    <row r="6445" spans="1:13" ht="25.5">
      <c r="A6445" s="313" t="str">
        <f t="shared" si="100"/>
        <v>TacticalAirNavChannelCode_chan022X</v>
      </c>
      <c r="B6445" s="330"/>
      <c r="C6445" s="334"/>
      <c r="D6445" s="188" t="s">
        <v>13735</v>
      </c>
      <c r="E6445" s="189" t="s">
        <v>13736</v>
      </c>
      <c r="F6445" s="162" t="s">
        <v>31136</v>
      </c>
      <c r="G6445" s="162" t="s">
        <v>13413</v>
      </c>
      <c r="H6445" s="219"/>
      <c r="I6445" s="169">
        <v>115812</v>
      </c>
      <c r="J6445" s="304" t="str">
        <f>CONCATENATE([2]Cover!$D$6,"fdd/view?i=",I6445)</f>
        <v>https://www.dgiwg.org/FAD/fdd/view?i=115812</v>
      </c>
      <c r="K6445" s="304" t="s">
        <v>40494</v>
      </c>
      <c r="L6445" s="188">
        <v>51</v>
      </c>
      <c r="M6445" s="179" t="s">
        <v>151</v>
      </c>
    </row>
    <row r="6446" spans="1:13" ht="25.5">
      <c r="A6446" s="313" t="str">
        <f t="shared" si="100"/>
        <v>TacticalAirNavChannelCode_chan022Y</v>
      </c>
      <c r="B6446" s="330"/>
      <c r="C6446" s="334"/>
      <c r="D6446" s="188" t="s">
        <v>13738</v>
      </c>
      <c r="E6446" s="189" t="s">
        <v>13739</v>
      </c>
      <c r="F6446" s="162" t="s">
        <v>31137</v>
      </c>
      <c r="G6446" s="162" t="s">
        <v>13413</v>
      </c>
      <c r="H6446" s="219"/>
      <c r="I6446" s="169">
        <v>115813</v>
      </c>
      <c r="J6446" s="304" t="str">
        <f>CONCATENATE([2]Cover!$D$6,"fdd/view?i=",I6446)</f>
        <v>https://www.dgiwg.org/FAD/fdd/view?i=115813</v>
      </c>
      <c r="K6446" s="304" t="s">
        <v>40495</v>
      </c>
      <c r="L6446" s="188">
        <v>52</v>
      </c>
      <c r="M6446" s="179" t="s">
        <v>151</v>
      </c>
    </row>
    <row r="6447" spans="1:13" ht="25.5">
      <c r="A6447" s="313" t="str">
        <f t="shared" si="100"/>
        <v>TacticalAirNavChannelCode_chan022Z</v>
      </c>
      <c r="B6447" s="330"/>
      <c r="C6447" s="334"/>
      <c r="D6447" s="188" t="s">
        <v>13741</v>
      </c>
      <c r="E6447" s="189" t="s">
        <v>13742</v>
      </c>
      <c r="F6447" s="162" t="s">
        <v>31138</v>
      </c>
      <c r="G6447" s="162" t="s">
        <v>13413</v>
      </c>
      <c r="H6447" s="219"/>
      <c r="I6447" s="169">
        <v>115814</v>
      </c>
      <c r="J6447" s="304" t="str">
        <f>CONCATENATE([2]Cover!$D$6,"fdd/view?i=",I6447)</f>
        <v>https://www.dgiwg.org/FAD/fdd/view?i=115814</v>
      </c>
      <c r="K6447" s="304" t="s">
        <v>40496</v>
      </c>
      <c r="L6447" s="188">
        <v>53</v>
      </c>
      <c r="M6447" s="179" t="s">
        <v>151</v>
      </c>
    </row>
    <row r="6448" spans="1:13" ht="25.5">
      <c r="A6448" s="313" t="str">
        <f t="shared" si="100"/>
        <v>TacticalAirNavChannelCode_chan023X</v>
      </c>
      <c r="B6448" s="330"/>
      <c r="C6448" s="334"/>
      <c r="D6448" s="188" t="s">
        <v>13744</v>
      </c>
      <c r="E6448" s="189" t="s">
        <v>13745</v>
      </c>
      <c r="F6448" s="162" t="s">
        <v>31139</v>
      </c>
      <c r="G6448" s="162" t="s">
        <v>13413</v>
      </c>
      <c r="H6448" s="219"/>
      <c r="I6448" s="169">
        <v>115815</v>
      </c>
      <c r="J6448" s="304" t="str">
        <f>CONCATENATE([2]Cover!$D$6,"fdd/view?i=",I6448)</f>
        <v>https://www.dgiwg.org/FAD/fdd/view?i=115815</v>
      </c>
      <c r="K6448" s="304" t="s">
        <v>40497</v>
      </c>
      <c r="L6448" s="188">
        <v>54</v>
      </c>
      <c r="M6448" s="179" t="s">
        <v>151</v>
      </c>
    </row>
    <row r="6449" spans="1:13" ht="25.5">
      <c r="A6449" s="313" t="str">
        <f t="shared" si="100"/>
        <v>TacticalAirNavChannelCode_chan023Y</v>
      </c>
      <c r="B6449" s="330"/>
      <c r="C6449" s="334"/>
      <c r="D6449" s="188" t="s">
        <v>13747</v>
      </c>
      <c r="E6449" s="189" t="s">
        <v>13748</v>
      </c>
      <c r="F6449" s="162" t="s">
        <v>31140</v>
      </c>
      <c r="G6449" s="162" t="s">
        <v>13413</v>
      </c>
      <c r="H6449" s="219"/>
      <c r="I6449" s="169">
        <v>115816</v>
      </c>
      <c r="J6449" s="304" t="str">
        <f>CONCATENATE([2]Cover!$D$6,"fdd/view?i=",I6449)</f>
        <v>https://www.dgiwg.org/FAD/fdd/view?i=115816</v>
      </c>
      <c r="K6449" s="304" t="s">
        <v>40498</v>
      </c>
      <c r="L6449" s="188">
        <v>55</v>
      </c>
      <c r="M6449" s="179" t="s">
        <v>151</v>
      </c>
    </row>
    <row r="6450" spans="1:13" ht="25.5">
      <c r="A6450" s="313" t="str">
        <f t="shared" si="100"/>
        <v>TacticalAirNavChannelCode_chan023Z</v>
      </c>
      <c r="B6450" s="330"/>
      <c r="C6450" s="334"/>
      <c r="D6450" s="188" t="s">
        <v>13750</v>
      </c>
      <c r="E6450" s="189" t="s">
        <v>13751</v>
      </c>
      <c r="F6450" s="162" t="s">
        <v>31141</v>
      </c>
      <c r="G6450" s="162" t="s">
        <v>13413</v>
      </c>
      <c r="H6450" s="219"/>
      <c r="I6450" s="169">
        <v>115817</v>
      </c>
      <c r="J6450" s="304" t="str">
        <f>CONCATENATE([2]Cover!$D$6,"fdd/view?i=",I6450)</f>
        <v>https://www.dgiwg.org/FAD/fdd/view?i=115817</v>
      </c>
      <c r="K6450" s="304" t="s">
        <v>40499</v>
      </c>
      <c r="L6450" s="188">
        <v>56</v>
      </c>
      <c r="M6450" s="179" t="s">
        <v>151</v>
      </c>
    </row>
    <row r="6451" spans="1:13" ht="25.5">
      <c r="A6451" s="313" t="str">
        <f t="shared" si="100"/>
        <v>TacticalAirNavChannelCode_chan024W</v>
      </c>
      <c r="B6451" s="330"/>
      <c r="C6451" s="334"/>
      <c r="D6451" s="188" t="s">
        <v>13753</v>
      </c>
      <c r="E6451" s="189" t="s">
        <v>13754</v>
      </c>
      <c r="F6451" s="162" t="s">
        <v>31142</v>
      </c>
      <c r="G6451" s="162" t="s">
        <v>13413</v>
      </c>
      <c r="H6451" s="219"/>
      <c r="I6451" s="169">
        <v>115818</v>
      </c>
      <c r="J6451" s="304" t="str">
        <f>CONCATENATE([2]Cover!$D$6,"fdd/view?i=",I6451)</f>
        <v>https://www.dgiwg.org/FAD/fdd/view?i=115818</v>
      </c>
      <c r="K6451" s="304" t="s">
        <v>40500</v>
      </c>
      <c r="L6451" s="188">
        <v>57</v>
      </c>
      <c r="M6451" s="179" t="s">
        <v>151</v>
      </c>
    </row>
    <row r="6452" spans="1:13" ht="25.5">
      <c r="A6452" s="313" t="str">
        <f t="shared" si="100"/>
        <v>TacticalAirNavChannelCode_chan024X</v>
      </c>
      <c r="B6452" s="330"/>
      <c r="C6452" s="334"/>
      <c r="D6452" s="188" t="s">
        <v>13756</v>
      </c>
      <c r="E6452" s="189" t="s">
        <v>13757</v>
      </c>
      <c r="F6452" s="162" t="s">
        <v>31143</v>
      </c>
      <c r="G6452" s="162" t="s">
        <v>13413</v>
      </c>
      <c r="H6452" s="219"/>
      <c r="I6452" s="169">
        <v>115819</v>
      </c>
      <c r="J6452" s="304" t="str">
        <f>CONCATENATE([2]Cover!$D$6,"fdd/view?i=",I6452)</f>
        <v>https://www.dgiwg.org/FAD/fdd/view?i=115819</v>
      </c>
      <c r="K6452" s="304" t="s">
        <v>40501</v>
      </c>
      <c r="L6452" s="188">
        <v>58</v>
      </c>
      <c r="M6452" s="179" t="s">
        <v>151</v>
      </c>
    </row>
    <row r="6453" spans="1:13" ht="25.5">
      <c r="A6453" s="313" t="str">
        <f t="shared" si="100"/>
        <v>TacticalAirNavChannelCode_chan024Y</v>
      </c>
      <c r="B6453" s="330"/>
      <c r="C6453" s="334"/>
      <c r="D6453" s="188" t="s">
        <v>13759</v>
      </c>
      <c r="E6453" s="189" t="s">
        <v>13760</v>
      </c>
      <c r="F6453" s="162" t="s">
        <v>31144</v>
      </c>
      <c r="G6453" s="162" t="s">
        <v>13413</v>
      </c>
      <c r="H6453" s="219"/>
      <c r="I6453" s="169">
        <v>115820</v>
      </c>
      <c r="J6453" s="304" t="str">
        <f>CONCATENATE([2]Cover!$D$6,"fdd/view?i=",I6453)</f>
        <v>https://www.dgiwg.org/FAD/fdd/view?i=115820</v>
      </c>
      <c r="K6453" s="304" t="s">
        <v>40502</v>
      </c>
      <c r="L6453" s="188">
        <v>59</v>
      </c>
      <c r="M6453" s="179" t="s">
        <v>151</v>
      </c>
    </row>
    <row r="6454" spans="1:13" ht="25.5">
      <c r="A6454" s="313" t="str">
        <f t="shared" si="100"/>
        <v>TacticalAirNavChannelCode_chan024Z</v>
      </c>
      <c r="B6454" s="330"/>
      <c r="C6454" s="334"/>
      <c r="D6454" s="188" t="s">
        <v>13762</v>
      </c>
      <c r="E6454" s="189" t="s">
        <v>13763</v>
      </c>
      <c r="F6454" s="162" t="s">
        <v>31145</v>
      </c>
      <c r="G6454" s="162" t="s">
        <v>13413</v>
      </c>
      <c r="H6454" s="219"/>
      <c r="I6454" s="169">
        <v>115821</v>
      </c>
      <c r="J6454" s="304" t="str">
        <f>CONCATENATE([2]Cover!$D$6,"fdd/view?i=",I6454)</f>
        <v>https://www.dgiwg.org/FAD/fdd/view?i=115821</v>
      </c>
      <c r="K6454" s="304" t="s">
        <v>40503</v>
      </c>
      <c r="L6454" s="188">
        <v>60</v>
      </c>
      <c r="M6454" s="179" t="s">
        <v>151</v>
      </c>
    </row>
    <row r="6455" spans="1:13" ht="25.5">
      <c r="A6455" s="313" t="str">
        <f t="shared" si="100"/>
        <v>TacticalAirNavChannelCode_chan025X</v>
      </c>
      <c r="B6455" s="330"/>
      <c r="C6455" s="334"/>
      <c r="D6455" s="188" t="s">
        <v>13765</v>
      </c>
      <c r="E6455" s="189" t="s">
        <v>13766</v>
      </c>
      <c r="F6455" s="162" t="s">
        <v>31146</v>
      </c>
      <c r="G6455" s="162" t="s">
        <v>13413</v>
      </c>
      <c r="H6455" s="219"/>
      <c r="I6455" s="169">
        <v>115822</v>
      </c>
      <c r="J6455" s="304" t="str">
        <f>CONCATENATE([2]Cover!$D$6,"fdd/view?i=",I6455)</f>
        <v>https://www.dgiwg.org/FAD/fdd/view?i=115822</v>
      </c>
      <c r="K6455" s="304" t="s">
        <v>40504</v>
      </c>
      <c r="L6455" s="188">
        <v>61</v>
      </c>
      <c r="M6455" s="179" t="s">
        <v>151</v>
      </c>
    </row>
    <row r="6456" spans="1:13" ht="25.5">
      <c r="A6456" s="313" t="str">
        <f t="shared" si="100"/>
        <v>TacticalAirNavChannelCode_chan025Y</v>
      </c>
      <c r="B6456" s="330"/>
      <c r="C6456" s="334"/>
      <c r="D6456" s="188" t="s">
        <v>13768</v>
      </c>
      <c r="E6456" s="189" t="s">
        <v>13769</v>
      </c>
      <c r="F6456" s="162" t="s">
        <v>31147</v>
      </c>
      <c r="G6456" s="162" t="s">
        <v>13413</v>
      </c>
      <c r="H6456" s="219"/>
      <c r="I6456" s="169">
        <v>115823</v>
      </c>
      <c r="J6456" s="304" t="str">
        <f>CONCATENATE([2]Cover!$D$6,"fdd/view?i=",I6456)</f>
        <v>https://www.dgiwg.org/FAD/fdd/view?i=115823</v>
      </c>
      <c r="K6456" s="304" t="s">
        <v>40505</v>
      </c>
      <c r="L6456" s="188">
        <v>62</v>
      </c>
      <c r="M6456" s="179" t="s">
        <v>151</v>
      </c>
    </row>
    <row r="6457" spans="1:13" ht="25.5">
      <c r="A6457" s="313" t="str">
        <f t="shared" si="100"/>
        <v>TacticalAirNavChannelCode_chan025Z</v>
      </c>
      <c r="B6457" s="330"/>
      <c r="C6457" s="334"/>
      <c r="D6457" s="188" t="s">
        <v>13771</v>
      </c>
      <c r="E6457" s="189" t="s">
        <v>13772</v>
      </c>
      <c r="F6457" s="162" t="s">
        <v>31148</v>
      </c>
      <c r="G6457" s="162" t="s">
        <v>13413</v>
      </c>
      <c r="H6457" s="219"/>
      <c r="I6457" s="169">
        <v>115824</v>
      </c>
      <c r="J6457" s="304" t="str">
        <f>CONCATENATE([2]Cover!$D$6,"fdd/view?i=",I6457)</f>
        <v>https://www.dgiwg.org/FAD/fdd/view?i=115824</v>
      </c>
      <c r="K6457" s="304" t="s">
        <v>40506</v>
      </c>
      <c r="L6457" s="188">
        <v>63</v>
      </c>
      <c r="M6457" s="179" t="s">
        <v>151</v>
      </c>
    </row>
    <row r="6458" spans="1:13" ht="25.5">
      <c r="A6458" s="313" t="str">
        <f t="shared" si="100"/>
        <v>TacticalAirNavChannelCode_chan026W</v>
      </c>
      <c r="B6458" s="330"/>
      <c r="C6458" s="334"/>
      <c r="D6458" s="188" t="s">
        <v>13774</v>
      </c>
      <c r="E6458" s="189" t="s">
        <v>13775</v>
      </c>
      <c r="F6458" s="162" t="s">
        <v>31149</v>
      </c>
      <c r="G6458" s="162" t="s">
        <v>13413</v>
      </c>
      <c r="H6458" s="219"/>
      <c r="I6458" s="169">
        <v>115825</v>
      </c>
      <c r="J6458" s="304" t="str">
        <f>CONCATENATE([2]Cover!$D$6,"fdd/view?i=",I6458)</f>
        <v>https://www.dgiwg.org/FAD/fdd/view?i=115825</v>
      </c>
      <c r="K6458" s="304" t="s">
        <v>40507</v>
      </c>
      <c r="L6458" s="188">
        <v>64</v>
      </c>
      <c r="M6458" s="179" t="s">
        <v>151</v>
      </c>
    </row>
    <row r="6459" spans="1:13" ht="25.5">
      <c r="A6459" s="313" t="str">
        <f t="shared" si="100"/>
        <v>TacticalAirNavChannelCode_chan026X</v>
      </c>
      <c r="B6459" s="330"/>
      <c r="C6459" s="334"/>
      <c r="D6459" s="188" t="s">
        <v>13777</v>
      </c>
      <c r="E6459" s="189" t="s">
        <v>13778</v>
      </c>
      <c r="F6459" s="162" t="s">
        <v>31150</v>
      </c>
      <c r="G6459" s="162" t="s">
        <v>13413</v>
      </c>
      <c r="H6459" s="219"/>
      <c r="I6459" s="169">
        <v>115826</v>
      </c>
      <c r="J6459" s="304" t="str">
        <f>CONCATENATE([2]Cover!$D$6,"fdd/view?i=",I6459)</f>
        <v>https://www.dgiwg.org/FAD/fdd/view?i=115826</v>
      </c>
      <c r="K6459" s="304" t="s">
        <v>40508</v>
      </c>
      <c r="L6459" s="188">
        <v>65</v>
      </c>
      <c r="M6459" s="179" t="s">
        <v>151</v>
      </c>
    </row>
    <row r="6460" spans="1:13" ht="25.5">
      <c r="A6460" s="313" t="str">
        <f t="shared" si="100"/>
        <v>TacticalAirNavChannelCode_chan026Y</v>
      </c>
      <c r="B6460" s="330"/>
      <c r="C6460" s="334"/>
      <c r="D6460" s="188" t="s">
        <v>13780</v>
      </c>
      <c r="E6460" s="189" t="s">
        <v>13781</v>
      </c>
      <c r="F6460" s="162" t="s">
        <v>31151</v>
      </c>
      <c r="G6460" s="162" t="s">
        <v>13413</v>
      </c>
      <c r="H6460" s="219"/>
      <c r="I6460" s="169">
        <v>115827</v>
      </c>
      <c r="J6460" s="304" t="str">
        <f>CONCATENATE([2]Cover!$D$6,"fdd/view?i=",I6460)</f>
        <v>https://www.dgiwg.org/FAD/fdd/view?i=115827</v>
      </c>
      <c r="K6460" s="304" t="s">
        <v>40509</v>
      </c>
      <c r="L6460" s="188">
        <v>66</v>
      </c>
      <c r="M6460" s="179" t="s">
        <v>151</v>
      </c>
    </row>
    <row r="6461" spans="1:13" ht="25.5">
      <c r="A6461" s="313" t="str">
        <f t="shared" si="100"/>
        <v>TacticalAirNavChannelCode_chan026Z</v>
      </c>
      <c r="B6461" s="330"/>
      <c r="C6461" s="334"/>
      <c r="D6461" s="188" t="s">
        <v>13783</v>
      </c>
      <c r="E6461" s="189" t="s">
        <v>13784</v>
      </c>
      <c r="F6461" s="162" t="s">
        <v>31152</v>
      </c>
      <c r="G6461" s="162" t="s">
        <v>13413</v>
      </c>
      <c r="H6461" s="219"/>
      <c r="I6461" s="169">
        <v>115828</v>
      </c>
      <c r="J6461" s="304" t="str">
        <f>CONCATENATE([2]Cover!$D$6,"fdd/view?i=",I6461)</f>
        <v>https://www.dgiwg.org/FAD/fdd/view?i=115828</v>
      </c>
      <c r="K6461" s="304" t="s">
        <v>40510</v>
      </c>
      <c r="L6461" s="188">
        <v>67</v>
      </c>
      <c r="M6461" s="179" t="s">
        <v>151</v>
      </c>
    </row>
    <row r="6462" spans="1:13" ht="25.5">
      <c r="A6462" s="313" t="str">
        <f t="shared" si="100"/>
        <v>TacticalAirNavChannelCode_chan027X</v>
      </c>
      <c r="B6462" s="330"/>
      <c r="C6462" s="334"/>
      <c r="D6462" s="188" t="s">
        <v>13786</v>
      </c>
      <c r="E6462" s="189" t="s">
        <v>13787</v>
      </c>
      <c r="F6462" s="162" t="s">
        <v>31153</v>
      </c>
      <c r="G6462" s="162" t="s">
        <v>13413</v>
      </c>
      <c r="H6462" s="219"/>
      <c r="I6462" s="169">
        <v>115829</v>
      </c>
      <c r="J6462" s="304" t="str">
        <f>CONCATENATE([2]Cover!$D$6,"fdd/view?i=",I6462)</f>
        <v>https://www.dgiwg.org/FAD/fdd/view?i=115829</v>
      </c>
      <c r="K6462" s="304" t="s">
        <v>40511</v>
      </c>
      <c r="L6462" s="188">
        <v>68</v>
      </c>
      <c r="M6462" s="179" t="s">
        <v>151</v>
      </c>
    </row>
    <row r="6463" spans="1:13" ht="25.5">
      <c r="A6463" s="313" t="str">
        <f t="shared" si="100"/>
        <v>TacticalAirNavChannelCode_chan027Y</v>
      </c>
      <c r="B6463" s="330"/>
      <c r="C6463" s="334"/>
      <c r="D6463" s="188" t="s">
        <v>13789</v>
      </c>
      <c r="E6463" s="189" t="s">
        <v>13790</v>
      </c>
      <c r="F6463" s="162" t="s">
        <v>31154</v>
      </c>
      <c r="G6463" s="162" t="s">
        <v>13413</v>
      </c>
      <c r="H6463" s="219"/>
      <c r="I6463" s="169">
        <v>115830</v>
      </c>
      <c r="J6463" s="304" t="str">
        <f>CONCATENATE([2]Cover!$D$6,"fdd/view?i=",I6463)</f>
        <v>https://www.dgiwg.org/FAD/fdd/view?i=115830</v>
      </c>
      <c r="K6463" s="304" t="s">
        <v>40512</v>
      </c>
      <c r="L6463" s="188">
        <v>69</v>
      </c>
      <c r="M6463" s="179" t="s">
        <v>151</v>
      </c>
    </row>
    <row r="6464" spans="1:13" ht="25.5">
      <c r="A6464" s="313" t="str">
        <f t="shared" si="100"/>
        <v>TacticalAirNavChannelCode_chan027Z</v>
      </c>
      <c r="B6464" s="330"/>
      <c r="C6464" s="334"/>
      <c r="D6464" s="188" t="s">
        <v>13792</v>
      </c>
      <c r="E6464" s="189" t="s">
        <v>13793</v>
      </c>
      <c r="F6464" s="162" t="s">
        <v>31155</v>
      </c>
      <c r="G6464" s="162" t="s">
        <v>13413</v>
      </c>
      <c r="H6464" s="219"/>
      <c r="I6464" s="169">
        <v>115831</v>
      </c>
      <c r="J6464" s="304" t="str">
        <f>CONCATENATE([2]Cover!$D$6,"fdd/view?i=",I6464)</f>
        <v>https://www.dgiwg.org/FAD/fdd/view?i=115831</v>
      </c>
      <c r="K6464" s="304" t="s">
        <v>40513</v>
      </c>
      <c r="L6464" s="188">
        <v>70</v>
      </c>
      <c r="M6464" s="179" t="s">
        <v>151</v>
      </c>
    </row>
    <row r="6465" spans="1:13" ht="25.5">
      <c r="A6465" s="313" t="str">
        <f t="shared" si="100"/>
        <v>TacticalAirNavChannelCode_chan028W</v>
      </c>
      <c r="B6465" s="330"/>
      <c r="C6465" s="334"/>
      <c r="D6465" s="188" t="s">
        <v>13795</v>
      </c>
      <c r="E6465" s="189" t="s">
        <v>13796</v>
      </c>
      <c r="F6465" s="162" t="s">
        <v>31156</v>
      </c>
      <c r="G6465" s="162" t="s">
        <v>13413</v>
      </c>
      <c r="H6465" s="219"/>
      <c r="I6465" s="169">
        <v>115832</v>
      </c>
      <c r="J6465" s="304" t="str">
        <f>CONCATENATE([2]Cover!$D$6,"fdd/view?i=",I6465)</f>
        <v>https://www.dgiwg.org/FAD/fdd/view?i=115832</v>
      </c>
      <c r="K6465" s="304" t="s">
        <v>40514</v>
      </c>
      <c r="L6465" s="188">
        <v>71</v>
      </c>
      <c r="M6465" s="179" t="s">
        <v>151</v>
      </c>
    </row>
    <row r="6466" spans="1:13" ht="25.5">
      <c r="A6466" s="313" t="str">
        <f t="shared" si="100"/>
        <v>TacticalAirNavChannelCode_chan028X</v>
      </c>
      <c r="B6466" s="330"/>
      <c r="C6466" s="334"/>
      <c r="D6466" s="188" t="s">
        <v>13798</v>
      </c>
      <c r="E6466" s="189" t="s">
        <v>13799</v>
      </c>
      <c r="F6466" s="162" t="s">
        <v>31157</v>
      </c>
      <c r="G6466" s="162" t="s">
        <v>13413</v>
      </c>
      <c r="H6466" s="219"/>
      <c r="I6466" s="169">
        <v>115833</v>
      </c>
      <c r="J6466" s="304" t="str">
        <f>CONCATENATE([2]Cover!$D$6,"fdd/view?i=",I6466)</f>
        <v>https://www.dgiwg.org/FAD/fdd/view?i=115833</v>
      </c>
      <c r="K6466" s="304" t="s">
        <v>40515</v>
      </c>
      <c r="L6466" s="188">
        <v>72</v>
      </c>
      <c r="M6466" s="179" t="s">
        <v>151</v>
      </c>
    </row>
    <row r="6467" spans="1:13" ht="25.5">
      <c r="A6467" s="313" t="str">
        <f t="shared" ref="A6467:A6530" si="101">HYPERLINK(J6467,K6467)</f>
        <v>TacticalAirNavChannelCode_chan028Y</v>
      </c>
      <c r="B6467" s="330"/>
      <c r="C6467" s="334"/>
      <c r="D6467" s="188" t="s">
        <v>13801</v>
      </c>
      <c r="E6467" s="189" t="s">
        <v>13802</v>
      </c>
      <c r="F6467" s="162" t="s">
        <v>31158</v>
      </c>
      <c r="G6467" s="162" t="s">
        <v>13413</v>
      </c>
      <c r="H6467" s="219"/>
      <c r="I6467" s="169">
        <v>115834</v>
      </c>
      <c r="J6467" s="304" t="str">
        <f>CONCATENATE([2]Cover!$D$6,"fdd/view?i=",I6467)</f>
        <v>https://www.dgiwg.org/FAD/fdd/view?i=115834</v>
      </c>
      <c r="K6467" s="304" t="s">
        <v>40516</v>
      </c>
      <c r="L6467" s="188">
        <v>73</v>
      </c>
      <c r="M6467" s="179" t="s">
        <v>151</v>
      </c>
    </row>
    <row r="6468" spans="1:13" ht="25.5">
      <c r="A6468" s="313" t="str">
        <f t="shared" si="101"/>
        <v>TacticalAirNavChannelCode_chan028Z</v>
      </c>
      <c r="B6468" s="330"/>
      <c r="C6468" s="334"/>
      <c r="D6468" s="188" t="s">
        <v>13804</v>
      </c>
      <c r="E6468" s="189" t="s">
        <v>13805</v>
      </c>
      <c r="F6468" s="162" t="s">
        <v>31159</v>
      </c>
      <c r="G6468" s="162" t="s">
        <v>13413</v>
      </c>
      <c r="H6468" s="219"/>
      <c r="I6468" s="169">
        <v>115835</v>
      </c>
      <c r="J6468" s="304" t="str">
        <f>CONCATENATE([2]Cover!$D$6,"fdd/view?i=",I6468)</f>
        <v>https://www.dgiwg.org/FAD/fdd/view?i=115835</v>
      </c>
      <c r="K6468" s="304" t="s">
        <v>40517</v>
      </c>
      <c r="L6468" s="188">
        <v>74</v>
      </c>
      <c r="M6468" s="179" t="s">
        <v>151</v>
      </c>
    </row>
    <row r="6469" spans="1:13" ht="25.5">
      <c r="A6469" s="313" t="str">
        <f t="shared" si="101"/>
        <v>TacticalAirNavChannelCode_chan029X</v>
      </c>
      <c r="B6469" s="330"/>
      <c r="C6469" s="334"/>
      <c r="D6469" s="188" t="s">
        <v>13807</v>
      </c>
      <c r="E6469" s="189" t="s">
        <v>13808</v>
      </c>
      <c r="F6469" s="162" t="s">
        <v>31160</v>
      </c>
      <c r="G6469" s="162" t="s">
        <v>13413</v>
      </c>
      <c r="H6469" s="219"/>
      <c r="I6469" s="169">
        <v>115836</v>
      </c>
      <c r="J6469" s="304" t="str">
        <f>CONCATENATE([2]Cover!$D$6,"fdd/view?i=",I6469)</f>
        <v>https://www.dgiwg.org/FAD/fdd/view?i=115836</v>
      </c>
      <c r="K6469" s="304" t="s">
        <v>40518</v>
      </c>
      <c r="L6469" s="188">
        <v>75</v>
      </c>
      <c r="M6469" s="179" t="s">
        <v>151</v>
      </c>
    </row>
    <row r="6470" spans="1:13" ht="25.5">
      <c r="A6470" s="313" t="str">
        <f t="shared" si="101"/>
        <v>TacticalAirNavChannelCode_chan029Y</v>
      </c>
      <c r="B6470" s="330"/>
      <c r="C6470" s="334"/>
      <c r="D6470" s="188" t="s">
        <v>13810</v>
      </c>
      <c r="E6470" s="189" t="s">
        <v>13811</v>
      </c>
      <c r="F6470" s="162" t="s">
        <v>31161</v>
      </c>
      <c r="G6470" s="162" t="s">
        <v>13413</v>
      </c>
      <c r="H6470" s="219"/>
      <c r="I6470" s="169">
        <v>115837</v>
      </c>
      <c r="J6470" s="304" t="str">
        <f>CONCATENATE([2]Cover!$D$6,"fdd/view?i=",I6470)</f>
        <v>https://www.dgiwg.org/FAD/fdd/view?i=115837</v>
      </c>
      <c r="K6470" s="304" t="s">
        <v>40519</v>
      </c>
      <c r="L6470" s="188">
        <v>76</v>
      </c>
      <c r="M6470" s="179" t="s">
        <v>151</v>
      </c>
    </row>
    <row r="6471" spans="1:13" ht="25.5">
      <c r="A6471" s="313" t="str">
        <f t="shared" si="101"/>
        <v>TacticalAirNavChannelCode_chan029Z</v>
      </c>
      <c r="B6471" s="330"/>
      <c r="C6471" s="334"/>
      <c r="D6471" s="188" t="s">
        <v>13813</v>
      </c>
      <c r="E6471" s="189" t="s">
        <v>13814</v>
      </c>
      <c r="F6471" s="162" t="s">
        <v>31162</v>
      </c>
      <c r="G6471" s="162" t="s">
        <v>13413</v>
      </c>
      <c r="H6471" s="219"/>
      <c r="I6471" s="169">
        <v>115838</v>
      </c>
      <c r="J6471" s="304" t="str">
        <f>CONCATENATE([2]Cover!$D$6,"fdd/view?i=",I6471)</f>
        <v>https://www.dgiwg.org/FAD/fdd/view?i=115838</v>
      </c>
      <c r="K6471" s="304" t="s">
        <v>40520</v>
      </c>
      <c r="L6471" s="188">
        <v>77</v>
      </c>
      <c r="M6471" s="179" t="s">
        <v>151</v>
      </c>
    </row>
    <row r="6472" spans="1:13" ht="25.5">
      <c r="A6472" s="313" t="str">
        <f t="shared" si="101"/>
        <v>TacticalAirNavChannelCode_chan030W</v>
      </c>
      <c r="B6472" s="330"/>
      <c r="C6472" s="334"/>
      <c r="D6472" s="188" t="s">
        <v>13822</v>
      </c>
      <c r="E6472" s="189" t="s">
        <v>13823</v>
      </c>
      <c r="F6472" s="162" t="s">
        <v>31165</v>
      </c>
      <c r="G6472" s="162" t="s">
        <v>13413</v>
      </c>
      <c r="H6472" s="219"/>
      <c r="I6472" s="169">
        <v>115839</v>
      </c>
      <c r="J6472" s="304" t="str">
        <f>CONCATENATE([2]Cover!$D$6,"fdd/view?i=",I6472)</f>
        <v>https://www.dgiwg.org/FAD/fdd/view?i=115839</v>
      </c>
      <c r="K6472" s="304" t="s">
        <v>40521</v>
      </c>
      <c r="L6472" s="188">
        <v>78</v>
      </c>
      <c r="M6472" s="179" t="s">
        <v>151</v>
      </c>
    </row>
    <row r="6473" spans="1:13" ht="25.5">
      <c r="A6473" s="313" t="str">
        <f t="shared" si="101"/>
        <v>TacticalAirNavChannelCode_chan030X</v>
      </c>
      <c r="B6473" s="330"/>
      <c r="C6473" s="334"/>
      <c r="D6473" s="188" t="s">
        <v>13825</v>
      </c>
      <c r="E6473" s="189" t="s">
        <v>13826</v>
      </c>
      <c r="F6473" s="162" t="s">
        <v>31166</v>
      </c>
      <c r="G6473" s="162" t="s">
        <v>13413</v>
      </c>
      <c r="H6473" s="219"/>
      <c r="I6473" s="169">
        <v>115840</v>
      </c>
      <c r="J6473" s="304" t="str">
        <f>CONCATENATE([2]Cover!$D$6,"fdd/view?i=",I6473)</f>
        <v>https://www.dgiwg.org/FAD/fdd/view?i=115840</v>
      </c>
      <c r="K6473" s="304" t="s">
        <v>40522</v>
      </c>
      <c r="L6473" s="188">
        <v>79</v>
      </c>
      <c r="M6473" s="179" t="s">
        <v>151</v>
      </c>
    </row>
    <row r="6474" spans="1:13" ht="25.5">
      <c r="A6474" s="313" t="str">
        <f t="shared" si="101"/>
        <v>TacticalAirNavChannelCode_chan030Y</v>
      </c>
      <c r="B6474" s="330"/>
      <c r="C6474" s="334"/>
      <c r="D6474" s="188" t="s">
        <v>13828</v>
      </c>
      <c r="E6474" s="189" t="s">
        <v>13829</v>
      </c>
      <c r="F6474" s="162" t="s">
        <v>31167</v>
      </c>
      <c r="G6474" s="162" t="s">
        <v>13413</v>
      </c>
      <c r="H6474" s="219"/>
      <c r="I6474" s="169">
        <v>115841</v>
      </c>
      <c r="J6474" s="304" t="str">
        <f>CONCATENATE([2]Cover!$D$6,"fdd/view?i=",I6474)</f>
        <v>https://www.dgiwg.org/FAD/fdd/view?i=115841</v>
      </c>
      <c r="K6474" s="304" t="s">
        <v>40523</v>
      </c>
      <c r="L6474" s="188">
        <v>80</v>
      </c>
      <c r="M6474" s="179" t="s">
        <v>151</v>
      </c>
    </row>
    <row r="6475" spans="1:13" ht="25.5">
      <c r="A6475" s="313" t="str">
        <f t="shared" si="101"/>
        <v>TacticalAirNavChannelCode_chan030Z</v>
      </c>
      <c r="B6475" s="330"/>
      <c r="C6475" s="334"/>
      <c r="D6475" s="188" t="s">
        <v>13831</v>
      </c>
      <c r="E6475" s="189" t="s">
        <v>13832</v>
      </c>
      <c r="F6475" s="162" t="s">
        <v>31168</v>
      </c>
      <c r="G6475" s="162" t="s">
        <v>13413</v>
      </c>
      <c r="H6475" s="219"/>
      <c r="I6475" s="169">
        <v>115842</v>
      </c>
      <c r="J6475" s="304" t="str">
        <f>CONCATENATE([2]Cover!$D$6,"fdd/view?i=",I6475)</f>
        <v>https://www.dgiwg.org/FAD/fdd/view?i=115842</v>
      </c>
      <c r="K6475" s="304" t="s">
        <v>40524</v>
      </c>
      <c r="L6475" s="188">
        <v>81</v>
      </c>
      <c r="M6475" s="179" t="s">
        <v>151</v>
      </c>
    </row>
    <row r="6476" spans="1:13" ht="25.5">
      <c r="A6476" s="313" t="str">
        <f t="shared" si="101"/>
        <v>TacticalAirNavChannelCode_chan031X</v>
      </c>
      <c r="B6476" s="330"/>
      <c r="C6476" s="334"/>
      <c r="D6476" s="188" t="s">
        <v>13834</v>
      </c>
      <c r="E6476" s="189" t="s">
        <v>13835</v>
      </c>
      <c r="F6476" s="162" t="s">
        <v>31169</v>
      </c>
      <c r="G6476" s="162" t="s">
        <v>13413</v>
      </c>
      <c r="H6476" s="219"/>
      <c r="I6476" s="169">
        <v>115843</v>
      </c>
      <c r="J6476" s="304" t="str">
        <f>CONCATENATE([2]Cover!$D$6,"fdd/view?i=",I6476)</f>
        <v>https://www.dgiwg.org/FAD/fdd/view?i=115843</v>
      </c>
      <c r="K6476" s="304" t="s">
        <v>40525</v>
      </c>
      <c r="L6476" s="188">
        <v>82</v>
      </c>
      <c r="M6476" s="179" t="s">
        <v>151</v>
      </c>
    </row>
    <row r="6477" spans="1:13" ht="25.5">
      <c r="A6477" s="313" t="str">
        <f t="shared" si="101"/>
        <v>TacticalAirNavChannelCode_chan031Y</v>
      </c>
      <c r="B6477" s="330"/>
      <c r="C6477" s="334"/>
      <c r="D6477" s="188" t="s">
        <v>13837</v>
      </c>
      <c r="E6477" s="189" t="s">
        <v>13838</v>
      </c>
      <c r="F6477" s="162" t="s">
        <v>31170</v>
      </c>
      <c r="G6477" s="162" t="s">
        <v>13413</v>
      </c>
      <c r="H6477" s="219"/>
      <c r="I6477" s="169">
        <v>115844</v>
      </c>
      <c r="J6477" s="304" t="str">
        <f>CONCATENATE([2]Cover!$D$6,"fdd/view?i=",I6477)</f>
        <v>https://www.dgiwg.org/FAD/fdd/view?i=115844</v>
      </c>
      <c r="K6477" s="304" t="s">
        <v>40526</v>
      </c>
      <c r="L6477" s="188">
        <v>83</v>
      </c>
      <c r="M6477" s="179" t="s">
        <v>151</v>
      </c>
    </row>
    <row r="6478" spans="1:13" ht="25.5">
      <c r="A6478" s="313" t="str">
        <f t="shared" si="101"/>
        <v>TacticalAirNavChannelCode_chan031Z</v>
      </c>
      <c r="B6478" s="330"/>
      <c r="C6478" s="334"/>
      <c r="D6478" s="188" t="s">
        <v>13840</v>
      </c>
      <c r="E6478" s="189" t="s">
        <v>13841</v>
      </c>
      <c r="F6478" s="162" t="s">
        <v>31171</v>
      </c>
      <c r="G6478" s="162" t="s">
        <v>13413</v>
      </c>
      <c r="H6478" s="219"/>
      <c r="I6478" s="169">
        <v>115845</v>
      </c>
      <c r="J6478" s="304" t="str">
        <f>CONCATENATE([2]Cover!$D$6,"fdd/view?i=",I6478)</f>
        <v>https://www.dgiwg.org/FAD/fdd/view?i=115845</v>
      </c>
      <c r="K6478" s="304" t="s">
        <v>40527</v>
      </c>
      <c r="L6478" s="188">
        <v>84</v>
      </c>
      <c r="M6478" s="179" t="s">
        <v>151</v>
      </c>
    </row>
    <row r="6479" spans="1:13" ht="25.5">
      <c r="A6479" s="313" t="str">
        <f t="shared" si="101"/>
        <v>TacticalAirNavChannelCode_chan032W</v>
      </c>
      <c r="B6479" s="330"/>
      <c r="C6479" s="334"/>
      <c r="D6479" s="188" t="s">
        <v>13843</v>
      </c>
      <c r="E6479" s="189" t="s">
        <v>13844</v>
      </c>
      <c r="F6479" s="162" t="s">
        <v>31172</v>
      </c>
      <c r="G6479" s="162" t="s">
        <v>13413</v>
      </c>
      <c r="H6479" s="219"/>
      <c r="I6479" s="169">
        <v>115846</v>
      </c>
      <c r="J6479" s="304" t="str">
        <f>CONCATENATE([2]Cover!$D$6,"fdd/view?i=",I6479)</f>
        <v>https://www.dgiwg.org/FAD/fdd/view?i=115846</v>
      </c>
      <c r="K6479" s="304" t="s">
        <v>40528</v>
      </c>
      <c r="L6479" s="188">
        <v>85</v>
      </c>
      <c r="M6479" s="179" t="s">
        <v>151</v>
      </c>
    </row>
    <row r="6480" spans="1:13" ht="25.5">
      <c r="A6480" s="313" t="str">
        <f t="shared" si="101"/>
        <v>TacticalAirNavChannelCode_chan032X</v>
      </c>
      <c r="B6480" s="330"/>
      <c r="C6480" s="334"/>
      <c r="D6480" s="188" t="s">
        <v>13846</v>
      </c>
      <c r="E6480" s="189" t="s">
        <v>13847</v>
      </c>
      <c r="F6480" s="162" t="s">
        <v>31173</v>
      </c>
      <c r="G6480" s="162" t="s">
        <v>13413</v>
      </c>
      <c r="H6480" s="219"/>
      <c r="I6480" s="169">
        <v>115847</v>
      </c>
      <c r="J6480" s="304" t="str">
        <f>CONCATENATE([2]Cover!$D$6,"fdd/view?i=",I6480)</f>
        <v>https://www.dgiwg.org/FAD/fdd/view?i=115847</v>
      </c>
      <c r="K6480" s="304" t="s">
        <v>40529</v>
      </c>
      <c r="L6480" s="188">
        <v>86</v>
      </c>
      <c r="M6480" s="179" t="s">
        <v>151</v>
      </c>
    </row>
    <row r="6481" spans="1:13" ht="25.5">
      <c r="A6481" s="313" t="str">
        <f t="shared" si="101"/>
        <v>TacticalAirNavChannelCode_chan032Y</v>
      </c>
      <c r="B6481" s="330"/>
      <c r="C6481" s="334"/>
      <c r="D6481" s="188" t="s">
        <v>13849</v>
      </c>
      <c r="E6481" s="189" t="s">
        <v>13850</v>
      </c>
      <c r="F6481" s="162" t="s">
        <v>31174</v>
      </c>
      <c r="G6481" s="162" t="s">
        <v>13413</v>
      </c>
      <c r="H6481" s="219"/>
      <c r="I6481" s="169">
        <v>115848</v>
      </c>
      <c r="J6481" s="304" t="str">
        <f>CONCATENATE([2]Cover!$D$6,"fdd/view?i=",I6481)</f>
        <v>https://www.dgiwg.org/FAD/fdd/view?i=115848</v>
      </c>
      <c r="K6481" s="304" t="s">
        <v>40530</v>
      </c>
      <c r="L6481" s="188">
        <v>87</v>
      </c>
      <c r="M6481" s="179" t="s">
        <v>151</v>
      </c>
    </row>
    <row r="6482" spans="1:13" ht="25.5">
      <c r="A6482" s="313" t="str">
        <f t="shared" si="101"/>
        <v>TacticalAirNavChannelCode_chan032Z</v>
      </c>
      <c r="B6482" s="330"/>
      <c r="C6482" s="334"/>
      <c r="D6482" s="188" t="s">
        <v>13852</v>
      </c>
      <c r="E6482" s="189" t="s">
        <v>13853</v>
      </c>
      <c r="F6482" s="162" t="s">
        <v>31175</v>
      </c>
      <c r="G6482" s="162" t="s">
        <v>13413</v>
      </c>
      <c r="H6482" s="219"/>
      <c r="I6482" s="169">
        <v>115849</v>
      </c>
      <c r="J6482" s="304" t="str">
        <f>CONCATENATE([2]Cover!$D$6,"fdd/view?i=",I6482)</f>
        <v>https://www.dgiwg.org/FAD/fdd/view?i=115849</v>
      </c>
      <c r="K6482" s="304" t="s">
        <v>40531</v>
      </c>
      <c r="L6482" s="188">
        <v>88</v>
      </c>
      <c r="M6482" s="179" t="s">
        <v>151</v>
      </c>
    </row>
    <row r="6483" spans="1:13" ht="25.5">
      <c r="A6483" s="313" t="str">
        <f t="shared" si="101"/>
        <v>TacticalAirNavChannelCode_chan033X</v>
      </c>
      <c r="B6483" s="330"/>
      <c r="C6483" s="334"/>
      <c r="D6483" s="188" t="s">
        <v>13855</v>
      </c>
      <c r="E6483" s="189" t="s">
        <v>13856</v>
      </c>
      <c r="F6483" s="162" t="s">
        <v>31176</v>
      </c>
      <c r="G6483" s="162" t="s">
        <v>13413</v>
      </c>
      <c r="H6483" s="219"/>
      <c r="I6483" s="169">
        <v>115850</v>
      </c>
      <c r="J6483" s="304" t="str">
        <f>CONCATENATE([2]Cover!$D$6,"fdd/view?i=",I6483)</f>
        <v>https://www.dgiwg.org/FAD/fdd/view?i=115850</v>
      </c>
      <c r="K6483" s="304" t="s">
        <v>40532</v>
      </c>
      <c r="L6483" s="188">
        <v>89</v>
      </c>
      <c r="M6483" s="179" t="s">
        <v>151</v>
      </c>
    </row>
    <row r="6484" spans="1:13" ht="25.5">
      <c r="A6484" s="313" t="str">
        <f t="shared" si="101"/>
        <v>TacticalAirNavChannelCode_chan033Y</v>
      </c>
      <c r="B6484" s="330"/>
      <c r="C6484" s="334"/>
      <c r="D6484" s="188" t="s">
        <v>13858</v>
      </c>
      <c r="E6484" s="189" t="s">
        <v>13859</v>
      </c>
      <c r="F6484" s="162" t="s">
        <v>31177</v>
      </c>
      <c r="G6484" s="162" t="s">
        <v>13413</v>
      </c>
      <c r="H6484" s="219"/>
      <c r="I6484" s="169">
        <v>115851</v>
      </c>
      <c r="J6484" s="304" t="str">
        <f>CONCATENATE([2]Cover!$D$6,"fdd/view?i=",I6484)</f>
        <v>https://www.dgiwg.org/FAD/fdd/view?i=115851</v>
      </c>
      <c r="K6484" s="304" t="s">
        <v>40533</v>
      </c>
      <c r="L6484" s="188">
        <v>90</v>
      </c>
      <c r="M6484" s="179" t="s">
        <v>151</v>
      </c>
    </row>
    <row r="6485" spans="1:13" ht="25.5">
      <c r="A6485" s="313" t="str">
        <f t="shared" si="101"/>
        <v>TacticalAirNavChannelCode_chan033Z</v>
      </c>
      <c r="B6485" s="330"/>
      <c r="C6485" s="334"/>
      <c r="D6485" s="188" t="s">
        <v>13861</v>
      </c>
      <c r="E6485" s="189" t="s">
        <v>13862</v>
      </c>
      <c r="F6485" s="162" t="s">
        <v>31178</v>
      </c>
      <c r="G6485" s="162" t="s">
        <v>13413</v>
      </c>
      <c r="H6485" s="219"/>
      <c r="I6485" s="169">
        <v>115852</v>
      </c>
      <c r="J6485" s="304" t="str">
        <f>CONCATENATE([2]Cover!$D$6,"fdd/view?i=",I6485)</f>
        <v>https://www.dgiwg.org/FAD/fdd/view?i=115852</v>
      </c>
      <c r="K6485" s="304" t="s">
        <v>40534</v>
      </c>
      <c r="L6485" s="188">
        <v>91</v>
      </c>
      <c r="M6485" s="179" t="s">
        <v>151</v>
      </c>
    </row>
    <row r="6486" spans="1:13" ht="25.5">
      <c r="A6486" s="313" t="str">
        <f t="shared" si="101"/>
        <v>TacticalAirNavChannelCode_chan034W</v>
      </c>
      <c r="B6486" s="330"/>
      <c r="C6486" s="334"/>
      <c r="D6486" s="188" t="s">
        <v>13864</v>
      </c>
      <c r="E6486" s="189" t="s">
        <v>13865</v>
      </c>
      <c r="F6486" s="162" t="s">
        <v>31179</v>
      </c>
      <c r="G6486" s="162" t="s">
        <v>13413</v>
      </c>
      <c r="H6486" s="219"/>
      <c r="I6486" s="169">
        <v>115853</v>
      </c>
      <c r="J6486" s="304" t="str">
        <f>CONCATENATE([2]Cover!$D$6,"fdd/view?i=",I6486)</f>
        <v>https://www.dgiwg.org/FAD/fdd/view?i=115853</v>
      </c>
      <c r="K6486" s="304" t="s">
        <v>40535</v>
      </c>
      <c r="L6486" s="188">
        <v>92</v>
      </c>
      <c r="M6486" s="179" t="s">
        <v>151</v>
      </c>
    </row>
    <row r="6487" spans="1:13" ht="25.5">
      <c r="A6487" s="313" t="str">
        <f t="shared" si="101"/>
        <v>TacticalAirNavChannelCode_chan034X</v>
      </c>
      <c r="B6487" s="330"/>
      <c r="C6487" s="334"/>
      <c r="D6487" s="188" t="s">
        <v>13867</v>
      </c>
      <c r="E6487" s="189" t="s">
        <v>13868</v>
      </c>
      <c r="F6487" s="162" t="s">
        <v>31180</v>
      </c>
      <c r="G6487" s="162" t="s">
        <v>13413</v>
      </c>
      <c r="H6487" s="219"/>
      <c r="I6487" s="169">
        <v>115854</v>
      </c>
      <c r="J6487" s="304" t="str">
        <f>CONCATENATE([2]Cover!$D$6,"fdd/view?i=",I6487)</f>
        <v>https://www.dgiwg.org/FAD/fdd/view?i=115854</v>
      </c>
      <c r="K6487" s="304" t="s">
        <v>40536</v>
      </c>
      <c r="L6487" s="188">
        <v>93</v>
      </c>
      <c r="M6487" s="179" t="s">
        <v>151</v>
      </c>
    </row>
    <row r="6488" spans="1:13" ht="25.5">
      <c r="A6488" s="313" t="str">
        <f t="shared" si="101"/>
        <v>TacticalAirNavChannelCode_chan034Y</v>
      </c>
      <c r="B6488" s="330"/>
      <c r="C6488" s="334"/>
      <c r="D6488" s="188" t="s">
        <v>13870</v>
      </c>
      <c r="E6488" s="189" t="s">
        <v>13871</v>
      </c>
      <c r="F6488" s="162" t="s">
        <v>31181</v>
      </c>
      <c r="G6488" s="162" t="s">
        <v>13413</v>
      </c>
      <c r="H6488" s="219"/>
      <c r="I6488" s="169">
        <v>115855</v>
      </c>
      <c r="J6488" s="304" t="str">
        <f>CONCATENATE([2]Cover!$D$6,"fdd/view?i=",I6488)</f>
        <v>https://www.dgiwg.org/FAD/fdd/view?i=115855</v>
      </c>
      <c r="K6488" s="304" t="s">
        <v>40537</v>
      </c>
      <c r="L6488" s="188">
        <v>94</v>
      </c>
      <c r="M6488" s="179" t="s">
        <v>151</v>
      </c>
    </row>
    <row r="6489" spans="1:13" ht="25.5">
      <c r="A6489" s="313" t="str">
        <f t="shared" si="101"/>
        <v>TacticalAirNavChannelCode_chan034Z</v>
      </c>
      <c r="B6489" s="330"/>
      <c r="C6489" s="334"/>
      <c r="D6489" s="188" t="s">
        <v>13873</v>
      </c>
      <c r="E6489" s="189" t="s">
        <v>13874</v>
      </c>
      <c r="F6489" s="162" t="s">
        <v>31182</v>
      </c>
      <c r="G6489" s="162" t="s">
        <v>13413</v>
      </c>
      <c r="H6489" s="219"/>
      <c r="I6489" s="169">
        <v>115856</v>
      </c>
      <c r="J6489" s="304" t="str">
        <f>CONCATENATE([2]Cover!$D$6,"fdd/view?i=",I6489)</f>
        <v>https://www.dgiwg.org/FAD/fdd/view?i=115856</v>
      </c>
      <c r="K6489" s="304" t="s">
        <v>40538</v>
      </c>
      <c r="L6489" s="188">
        <v>95</v>
      </c>
      <c r="M6489" s="179" t="s">
        <v>151</v>
      </c>
    </row>
    <row r="6490" spans="1:13" ht="25.5">
      <c r="A6490" s="313" t="str">
        <f t="shared" si="101"/>
        <v>TacticalAirNavChannelCode_chan035X</v>
      </c>
      <c r="B6490" s="330"/>
      <c r="C6490" s="334"/>
      <c r="D6490" s="188" t="s">
        <v>13876</v>
      </c>
      <c r="E6490" s="189" t="s">
        <v>13877</v>
      </c>
      <c r="F6490" s="162" t="s">
        <v>31183</v>
      </c>
      <c r="G6490" s="162" t="s">
        <v>13413</v>
      </c>
      <c r="H6490" s="219"/>
      <c r="I6490" s="169">
        <v>115857</v>
      </c>
      <c r="J6490" s="304" t="str">
        <f>CONCATENATE([2]Cover!$D$6,"fdd/view?i=",I6490)</f>
        <v>https://www.dgiwg.org/FAD/fdd/view?i=115857</v>
      </c>
      <c r="K6490" s="304" t="s">
        <v>40539</v>
      </c>
      <c r="L6490" s="188">
        <v>96</v>
      </c>
      <c r="M6490" s="179" t="s">
        <v>151</v>
      </c>
    </row>
    <row r="6491" spans="1:13" ht="25.5">
      <c r="A6491" s="313" t="str">
        <f t="shared" si="101"/>
        <v>TacticalAirNavChannelCode_chan035Y</v>
      </c>
      <c r="B6491" s="330"/>
      <c r="C6491" s="334"/>
      <c r="D6491" s="188" t="s">
        <v>13879</v>
      </c>
      <c r="E6491" s="189" t="s">
        <v>13880</v>
      </c>
      <c r="F6491" s="162" t="s">
        <v>31184</v>
      </c>
      <c r="G6491" s="162" t="s">
        <v>13413</v>
      </c>
      <c r="H6491" s="219"/>
      <c r="I6491" s="169">
        <v>115858</v>
      </c>
      <c r="J6491" s="304" t="str">
        <f>CONCATENATE([2]Cover!$D$6,"fdd/view?i=",I6491)</f>
        <v>https://www.dgiwg.org/FAD/fdd/view?i=115858</v>
      </c>
      <c r="K6491" s="304" t="s">
        <v>40540</v>
      </c>
      <c r="L6491" s="188">
        <v>97</v>
      </c>
      <c r="M6491" s="179" t="s">
        <v>151</v>
      </c>
    </row>
    <row r="6492" spans="1:13" ht="25.5">
      <c r="A6492" s="313" t="str">
        <f t="shared" si="101"/>
        <v>TacticalAirNavChannelCode_chan035Z</v>
      </c>
      <c r="B6492" s="330"/>
      <c r="C6492" s="334"/>
      <c r="D6492" s="188" t="s">
        <v>13882</v>
      </c>
      <c r="E6492" s="189" t="s">
        <v>13883</v>
      </c>
      <c r="F6492" s="162" t="s">
        <v>31185</v>
      </c>
      <c r="G6492" s="162" t="s">
        <v>13413</v>
      </c>
      <c r="H6492" s="219"/>
      <c r="I6492" s="169">
        <v>115859</v>
      </c>
      <c r="J6492" s="304" t="str">
        <f>CONCATENATE([2]Cover!$D$6,"fdd/view?i=",I6492)</f>
        <v>https://www.dgiwg.org/FAD/fdd/view?i=115859</v>
      </c>
      <c r="K6492" s="304" t="s">
        <v>40541</v>
      </c>
      <c r="L6492" s="188">
        <v>98</v>
      </c>
      <c r="M6492" s="179" t="s">
        <v>151</v>
      </c>
    </row>
    <row r="6493" spans="1:13" ht="25.5">
      <c r="A6493" s="313" t="str">
        <f t="shared" si="101"/>
        <v>TacticalAirNavChannelCode_chan036W</v>
      </c>
      <c r="B6493" s="330"/>
      <c r="C6493" s="334"/>
      <c r="D6493" s="188" t="s">
        <v>13885</v>
      </c>
      <c r="E6493" s="189" t="s">
        <v>13886</v>
      </c>
      <c r="F6493" s="162" t="s">
        <v>31186</v>
      </c>
      <c r="G6493" s="162" t="s">
        <v>13413</v>
      </c>
      <c r="H6493" s="219"/>
      <c r="I6493" s="169">
        <v>115860</v>
      </c>
      <c r="J6493" s="304" t="str">
        <f>CONCATENATE([2]Cover!$D$6,"fdd/view?i=",I6493)</f>
        <v>https://www.dgiwg.org/FAD/fdd/view?i=115860</v>
      </c>
      <c r="K6493" s="304" t="s">
        <v>40542</v>
      </c>
      <c r="L6493" s="188">
        <v>99</v>
      </c>
      <c r="M6493" s="179" t="s">
        <v>151</v>
      </c>
    </row>
    <row r="6494" spans="1:13" ht="25.5">
      <c r="A6494" s="313" t="str">
        <f t="shared" si="101"/>
        <v>TacticalAirNavChannelCode_chan036X</v>
      </c>
      <c r="B6494" s="330"/>
      <c r="C6494" s="334"/>
      <c r="D6494" s="188" t="s">
        <v>13888</v>
      </c>
      <c r="E6494" s="189" t="s">
        <v>13889</v>
      </c>
      <c r="F6494" s="162" t="s">
        <v>31187</v>
      </c>
      <c r="G6494" s="162" t="s">
        <v>13413</v>
      </c>
      <c r="H6494" s="219"/>
      <c r="I6494" s="169">
        <v>115861</v>
      </c>
      <c r="J6494" s="304" t="str">
        <f>CONCATENATE([2]Cover!$D$6,"fdd/view?i=",I6494)</f>
        <v>https://www.dgiwg.org/FAD/fdd/view?i=115861</v>
      </c>
      <c r="K6494" s="304" t="s">
        <v>40543</v>
      </c>
      <c r="L6494" s="188">
        <v>100</v>
      </c>
      <c r="M6494" s="179" t="s">
        <v>151</v>
      </c>
    </row>
    <row r="6495" spans="1:13" ht="25.5">
      <c r="A6495" s="313" t="str">
        <f t="shared" si="101"/>
        <v>TacticalAirNavChannelCode_chan036Y</v>
      </c>
      <c r="B6495" s="330"/>
      <c r="C6495" s="334"/>
      <c r="D6495" s="188" t="s">
        <v>13891</v>
      </c>
      <c r="E6495" s="189" t="s">
        <v>13892</v>
      </c>
      <c r="F6495" s="162" t="s">
        <v>31188</v>
      </c>
      <c r="G6495" s="162" t="s">
        <v>13413</v>
      </c>
      <c r="H6495" s="219"/>
      <c r="I6495" s="169">
        <v>115862</v>
      </c>
      <c r="J6495" s="304" t="str">
        <f>CONCATENATE([2]Cover!$D$6,"fdd/view?i=",I6495)</f>
        <v>https://www.dgiwg.org/FAD/fdd/view?i=115862</v>
      </c>
      <c r="K6495" s="304" t="s">
        <v>40544</v>
      </c>
      <c r="L6495" s="188">
        <v>101</v>
      </c>
      <c r="M6495" s="179" t="s">
        <v>151</v>
      </c>
    </row>
    <row r="6496" spans="1:13" ht="25.5">
      <c r="A6496" s="313" t="str">
        <f t="shared" si="101"/>
        <v>TacticalAirNavChannelCode_chan036Z</v>
      </c>
      <c r="B6496" s="330"/>
      <c r="C6496" s="334"/>
      <c r="D6496" s="188" t="s">
        <v>13894</v>
      </c>
      <c r="E6496" s="189" t="s">
        <v>13895</v>
      </c>
      <c r="F6496" s="162" t="s">
        <v>31189</v>
      </c>
      <c r="G6496" s="162" t="s">
        <v>13413</v>
      </c>
      <c r="H6496" s="219"/>
      <c r="I6496" s="169">
        <v>115863</v>
      </c>
      <c r="J6496" s="304" t="str">
        <f>CONCATENATE([2]Cover!$D$6,"fdd/view?i=",I6496)</f>
        <v>https://www.dgiwg.org/FAD/fdd/view?i=115863</v>
      </c>
      <c r="K6496" s="304" t="s">
        <v>40545</v>
      </c>
      <c r="L6496" s="188">
        <v>102</v>
      </c>
      <c r="M6496" s="179" t="s">
        <v>151</v>
      </c>
    </row>
    <row r="6497" spans="1:13" ht="25.5">
      <c r="A6497" s="313" t="str">
        <f t="shared" si="101"/>
        <v>TacticalAirNavChannelCode_chan037X</v>
      </c>
      <c r="B6497" s="330"/>
      <c r="C6497" s="334"/>
      <c r="D6497" s="188" t="s">
        <v>13897</v>
      </c>
      <c r="E6497" s="189" t="s">
        <v>13898</v>
      </c>
      <c r="F6497" s="162" t="s">
        <v>31190</v>
      </c>
      <c r="G6497" s="162" t="s">
        <v>13413</v>
      </c>
      <c r="H6497" s="219"/>
      <c r="I6497" s="169">
        <v>115864</v>
      </c>
      <c r="J6497" s="304" t="str">
        <f>CONCATENATE([2]Cover!$D$6,"fdd/view?i=",I6497)</f>
        <v>https://www.dgiwg.org/FAD/fdd/view?i=115864</v>
      </c>
      <c r="K6497" s="304" t="s">
        <v>40546</v>
      </c>
      <c r="L6497" s="188">
        <v>103</v>
      </c>
      <c r="M6497" s="179" t="s">
        <v>151</v>
      </c>
    </row>
    <row r="6498" spans="1:13" ht="25.5">
      <c r="A6498" s="313" t="str">
        <f t="shared" si="101"/>
        <v>TacticalAirNavChannelCode_chan037Y</v>
      </c>
      <c r="B6498" s="330"/>
      <c r="C6498" s="334"/>
      <c r="D6498" s="188" t="s">
        <v>13900</v>
      </c>
      <c r="E6498" s="189" t="s">
        <v>13901</v>
      </c>
      <c r="F6498" s="162" t="s">
        <v>31191</v>
      </c>
      <c r="G6498" s="162" t="s">
        <v>13413</v>
      </c>
      <c r="H6498" s="219"/>
      <c r="I6498" s="169">
        <v>115865</v>
      </c>
      <c r="J6498" s="304" t="str">
        <f>CONCATENATE([2]Cover!$D$6,"fdd/view?i=",I6498)</f>
        <v>https://www.dgiwg.org/FAD/fdd/view?i=115865</v>
      </c>
      <c r="K6498" s="304" t="s">
        <v>40547</v>
      </c>
      <c r="L6498" s="188">
        <v>104</v>
      </c>
      <c r="M6498" s="179" t="s">
        <v>151</v>
      </c>
    </row>
    <row r="6499" spans="1:13" ht="25.5">
      <c r="A6499" s="313" t="str">
        <f t="shared" si="101"/>
        <v>TacticalAirNavChannelCode_chan037Z</v>
      </c>
      <c r="B6499" s="330"/>
      <c r="C6499" s="334"/>
      <c r="D6499" s="188" t="s">
        <v>13903</v>
      </c>
      <c r="E6499" s="189" t="s">
        <v>13904</v>
      </c>
      <c r="F6499" s="162" t="s">
        <v>31192</v>
      </c>
      <c r="G6499" s="162" t="s">
        <v>13413</v>
      </c>
      <c r="H6499" s="219"/>
      <c r="I6499" s="169">
        <v>115866</v>
      </c>
      <c r="J6499" s="304" t="str">
        <f>CONCATENATE([2]Cover!$D$6,"fdd/view?i=",I6499)</f>
        <v>https://www.dgiwg.org/FAD/fdd/view?i=115866</v>
      </c>
      <c r="K6499" s="304" t="s">
        <v>40548</v>
      </c>
      <c r="L6499" s="188">
        <v>105</v>
      </c>
      <c r="M6499" s="179" t="s">
        <v>151</v>
      </c>
    </row>
    <row r="6500" spans="1:13" ht="25.5">
      <c r="A6500" s="313" t="str">
        <f t="shared" si="101"/>
        <v>TacticalAirNavChannelCode_chan038W</v>
      </c>
      <c r="B6500" s="330"/>
      <c r="C6500" s="334"/>
      <c r="D6500" s="188" t="s">
        <v>13906</v>
      </c>
      <c r="E6500" s="189" t="s">
        <v>13907</v>
      </c>
      <c r="F6500" s="162" t="s">
        <v>31193</v>
      </c>
      <c r="G6500" s="162" t="s">
        <v>13413</v>
      </c>
      <c r="H6500" s="219"/>
      <c r="I6500" s="169">
        <v>115867</v>
      </c>
      <c r="J6500" s="304" t="str">
        <f>CONCATENATE([2]Cover!$D$6,"fdd/view?i=",I6500)</f>
        <v>https://www.dgiwg.org/FAD/fdd/view?i=115867</v>
      </c>
      <c r="K6500" s="304" t="s">
        <v>40549</v>
      </c>
      <c r="L6500" s="188">
        <v>106</v>
      </c>
      <c r="M6500" s="179" t="s">
        <v>151</v>
      </c>
    </row>
    <row r="6501" spans="1:13" ht="25.5">
      <c r="A6501" s="313" t="str">
        <f t="shared" si="101"/>
        <v>TacticalAirNavChannelCode_chan038X</v>
      </c>
      <c r="B6501" s="330"/>
      <c r="C6501" s="334"/>
      <c r="D6501" s="188" t="s">
        <v>13909</v>
      </c>
      <c r="E6501" s="189" t="s">
        <v>13910</v>
      </c>
      <c r="F6501" s="162" t="s">
        <v>31194</v>
      </c>
      <c r="G6501" s="162" t="s">
        <v>13413</v>
      </c>
      <c r="H6501" s="219"/>
      <c r="I6501" s="169">
        <v>115868</v>
      </c>
      <c r="J6501" s="304" t="str">
        <f>CONCATENATE([2]Cover!$D$6,"fdd/view?i=",I6501)</f>
        <v>https://www.dgiwg.org/FAD/fdd/view?i=115868</v>
      </c>
      <c r="K6501" s="304" t="s">
        <v>40550</v>
      </c>
      <c r="L6501" s="188">
        <v>107</v>
      </c>
      <c r="M6501" s="179" t="s">
        <v>151</v>
      </c>
    </row>
    <row r="6502" spans="1:13" ht="25.5">
      <c r="A6502" s="313" t="str">
        <f t="shared" si="101"/>
        <v>TacticalAirNavChannelCode_chan038Y</v>
      </c>
      <c r="B6502" s="330"/>
      <c r="C6502" s="334"/>
      <c r="D6502" s="188" t="s">
        <v>13912</v>
      </c>
      <c r="E6502" s="189" t="s">
        <v>13913</v>
      </c>
      <c r="F6502" s="162" t="s">
        <v>31195</v>
      </c>
      <c r="G6502" s="162" t="s">
        <v>13413</v>
      </c>
      <c r="H6502" s="219"/>
      <c r="I6502" s="169">
        <v>115869</v>
      </c>
      <c r="J6502" s="304" t="str">
        <f>CONCATENATE([2]Cover!$D$6,"fdd/view?i=",I6502)</f>
        <v>https://www.dgiwg.org/FAD/fdd/view?i=115869</v>
      </c>
      <c r="K6502" s="304" t="s">
        <v>40551</v>
      </c>
      <c r="L6502" s="188">
        <v>108</v>
      </c>
      <c r="M6502" s="179" t="s">
        <v>151</v>
      </c>
    </row>
    <row r="6503" spans="1:13" ht="25.5">
      <c r="A6503" s="313" t="str">
        <f t="shared" si="101"/>
        <v>TacticalAirNavChannelCode_chan038Z</v>
      </c>
      <c r="B6503" s="330"/>
      <c r="C6503" s="334"/>
      <c r="D6503" s="188" t="s">
        <v>13915</v>
      </c>
      <c r="E6503" s="189" t="s">
        <v>13916</v>
      </c>
      <c r="F6503" s="162" t="s">
        <v>31196</v>
      </c>
      <c r="G6503" s="162" t="s">
        <v>13413</v>
      </c>
      <c r="H6503" s="219"/>
      <c r="I6503" s="169">
        <v>115870</v>
      </c>
      <c r="J6503" s="304" t="str">
        <f>CONCATENATE([2]Cover!$D$6,"fdd/view?i=",I6503)</f>
        <v>https://www.dgiwg.org/FAD/fdd/view?i=115870</v>
      </c>
      <c r="K6503" s="304" t="s">
        <v>40552</v>
      </c>
      <c r="L6503" s="188">
        <v>109</v>
      </c>
      <c r="M6503" s="179" t="s">
        <v>151</v>
      </c>
    </row>
    <row r="6504" spans="1:13" ht="25.5">
      <c r="A6504" s="313" t="str">
        <f t="shared" si="101"/>
        <v>TacticalAirNavChannelCode_chan039X</v>
      </c>
      <c r="B6504" s="330"/>
      <c r="C6504" s="334"/>
      <c r="D6504" s="188" t="s">
        <v>13918</v>
      </c>
      <c r="E6504" s="189" t="s">
        <v>13919</v>
      </c>
      <c r="F6504" s="162" t="s">
        <v>31197</v>
      </c>
      <c r="G6504" s="162" t="s">
        <v>13413</v>
      </c>
      <c r="H6504" s="219"/>
      <c r="I6504" s="169">
        <v>115871</v>
      </c>
      <c r="J6504" s="304" t="str">
        <f>CONCATENATE([2]Cover!$D$6,"fdd/view?i=",I6504)</f>
        <v>https://www.dgiwg.org/FAD/fdd/view?i=115871</v>
      </c>
      <c r="K6504" s="304" t="s">
        <v>40553</v>
      </c>
      <c r="L6504" s="188">
        <v>110</v>
      </c>
      <c r="M6504" s="179" t="s">
        <v>151</v>
      </c>
    </row>
    <row r="6505" spans="1:13" ht="25.5">
      <c r="A6505" s="313" t="str">
        <f t="shared" si="101"/>
        <v>TacticalAirNavChannelCode_chan039Y</v>
      </c>
      <c r="B6505" s="330"/>
      <c r="C6505" s="334"/>
      <c r="D6505" s="188" t="s">
        <v>13921</v>
      </c>
      <c r="E6505" s="189" t="s">
        <v>13922</v>
      </c>
      <c r="F6505" s="162" t="s">
        <v>31198</v>
      </c>
      <c r="G6505" s="162" t="s">
        <v>13413</v>
      </c>
      <c r="H6505" s="219"/>
      <c r="I6505" s="169">
        <v>115872</v>
      </c>
      <c r="J6505" s="304" t="str">
        <f>CONCATENATE([2]Cover!$D$6,"fdd/view?i=",I6505)</f>
        <v>https://www.dgiwg.org/FAD/fdd/view?i=115872</v>
      </c>
      <c r="K6505" s="304" t="s">
        <v>40554</v>
      </c>
      <c r="L6505" s="188">
        <v>111</v>
      </c>
      <c r="M6505" s="179" t="s">
        <v>151</v>
      </c>
    </row>
    <row r="6506" spans="1:13" ht="25.5">
      <c r="A6506" s="313" t="str">
        <f t="shared" si="101"/>
        <v>TacticalAirNavChannelCode_chan039Z</v>
      </c>
      <c r="B6506" s="330"/>
      <c r="C6506" s="334"/>
      <c r="D6506" s="188" t="s">
        <v>13924</v>
      </c>
      <c r="E6506" s="189" t="s">
        <v>13925</v>
      </c>
      <c r="F6506" s="162" t="s">
        <v>31199</v>
      </c>
      <c r="G6506" s="162" t="s">
        <v>13413</v>
      </c>
      <c r="H6506" s="219"/>
      <c r="I6506" s="169">
        <v>115873</v>
      </c>
      <c r="J6506" s="304" t="str">
        <f>CONCATENATE([2]Cover!$D$6,"fdd/view?i=",I6506)</f>
        <v>https://www.dgiwg.org/FAD/fdd/view?i=115873</v>
      </c>
      <c r="K6506" s="304" t="s">
        <v>40555</v>
      </c>
      <c r="L6506" s="188">
        <v>112</v>
      </c>
      <c r="M6506" s="179" t="s">
        <v>151</v>
      </c>
    </row>
    <row r="6507" spans="1:13" ht="25.5">
      <c r="A6507" s="313" t="str">
        <f t="shared" si="101"/>
        <v>TacticalAirNavChannelCode_chan040W</v>
      </c>
      <c r="B6507" s="330"/>
      <c r="C6507" s="334"/>
      <c r="D6507" s="188" t="s">
        <v>13933</v>
      </c>
      <c r="E6507" s="189" t="s">
        <v>13934</v>
      </c>
      <c r="F6507" s="162" t="s">
        <v>31202</v>
      </c>
      <c r="G6507" s="162" t="s">
        <v>13413</v>
      </c>
      <c r="H6507" s="219"/>
      <c r="I6507" s="169">
        <v>115874</v>
      </c>
      <c r="J6507" s="304" t="str">
        <f>CONCATENATE([2]Cover!$D$6,"fdd/view?i=",I6507)</f>
        <v>https://www.dgiwg.org/FAD/fdd/view?i=115874</v>
      </c>
      <c r="K6507" s="304" t="s">
        <v>40556</v>
      </c>
      <c r="L6507" s="188">
        <v>113</v>
      </c>
      <c r="M6507" s="179" t="s">
        <v>151</v>
      </c>
    </row>
    <row r="6508" spans="1:13" ht="25.5">
      <c r="A6508" s="313" t="str">
        <f t="shared" si="101"/>
        <v>TacticalAirNavChannelCode_chan040X</v>
      </c>
      <c r="B6508" s="330"/>
      <c r="C6508" s="334"/>
      <c r="D6508" s="188" t="s">
        <v>13936</v>
      </c>
      <c r="E6508" s="189" t="s">
        <v>13937</v>
      </c>
      <c r="F6508" s="162" t="s">
        <v>31203</v>
      </c>
      <c r="G6508" s="162" t="s">
        <v>13413</v>
      </c>
      <c r="H6508" s="219"/>
      <c r="I6508" s="169">
        <v>115875</v>
      </c>
      <c r="J6508" s="304" t="str">
        <f>CONCATENATE([2]Cover!$D$6,"fdd/view?i=",I6508)</f>
        <v>https://www.dgiwg.org/FAD/fdd/view?i=115875</v>
      </c>
      <c r="K6508" s="304" t="s">
        <v>40557</v>
      </c>
      <c r="L6508" s="188">
        <v>114</v>
      </c>
      <c r="M6508" s="179" t="s">
        <v>151</v>
      </c>
    </row>
    <row r="6509" spans="1:13" ht="25.5">
      <c r="A6509" s="313" t="str">
        <f t="shared" si="101"/>
        <v>TacticalAirNavChannelCode_chan040Y</v>
      </c>
      <c r="B6509" s="330"/>
      <c r="C6509" s="334"/>
      <c r="D6509" s="188" t="s">
        <v>13939</v>
      </c>
      <c r="E6509" s="189" t="s">
        <v>13940</v>
      </c>
      <c r="F6509" s="162" t="s">
        <v>31204</v>
      </c>
      <c r="G6509" s="162" t="s">
        <v>13413</v>
      </c>
      <c r="H6509" s="219"/>
      <c r="I6509" s="169">
        <v>115876</v>
      </c>
      <c r="J6509" s="304" t="str">
        <f>CONCATENATE([2]Cover!$D$6,"fdd/view?i=",I6509)</f>
        <v>https://www.dgiwg.org/FAD/fdd/view?i=115876</v>
      </c>
      <c r="K6509" s="304" t="s">
        <v>40558</v>
      </c>
      <c r="L6509" s="188">
        <v>115</v>
      </c>
      <c r="M6509" s="179" t="s">
        <v>151</v>
      </c>
    </row>
    <row r="6510" spans="1:13" ht="25.5">
      <c r="A6510" s="313" t="str">
        <f t="shared" si="101"/>
        <v>TacticalAirNavChannelCode_chan040Z</v>
      </c>
      <c r="B6510" s="330"/>
      <c r="C6510" s="334"/>
      <c r="D6510" s="188" t="s">
        <v>13942</v>
      </c>
      <c r="E6510" s="189" t="s">
        <v>13943</v>
      </c>
      <c r="F6510" s="162" t="s">
        <v>31205</v>
      </c>
      <c r="G6510" s="162" t="s">
        <v>13413</v>
      </c>
      <c r="H6510" s="219"/>
      <c r="I6510" s="169">
        <v>115877</v>
      </c>
      <c r="J6510" s="304" t="str">
        <f>CONCATENATE([2]Cover!$D$6,"fdd/view?i=",I6510)</f>
        <v>https://www.dgiwg.org/FAD/fdd/view?i=115877</v>
      </c>
      <c r="K6510" s="304" t="s">
        <v>40559</v>
      </c>
      <c r="L6510" s="188">
        <v>116</v>
      </c>
      <c r="M6510" s="179" t="s">
        <v>151</v>
      </c>
    </row>
    <row r="6511" spans="1:13" ht="25.5">
      <c r="A6511" s="313" t="str">
        <f t="shared" si="101"/>
        <v>TacticalAirNavChannelCode_chan041X</v>
      </c>
      <c r="B6511" s="330"/>
      <c r="C6511" s="334"/>
      <c r="D6511" s="188" t="s">
        <v>13945</v>
      </c>
      <c r="E6511" s="189" t="s">
        <v>13946</v>
      </c>
      <c r="F6511" s="162" t="s">
        <v>31206</v>
      </c>
      <c r="G6511" s="162" t="s">
        <v>13413</v>
      </c>
      <c r="H6511" s="219"/>
      <c r="I6511" s="169">
        <v>115878</v>
      </c>
      <c r="J6511" s="304" t="str">
        <f>CONCATENATE([2]Cover!$D$6,"fdd/view?i=",I6511)</f>
        <v>https://www.dgiwg.org/FAD/fdd/view?i=115878</v>
      </c>
      <c r="K6511" s="304" t="s">
        <v>40560</v>
      </c>
      <c r="L6511" s="188">
        <v>117</v>
      </c>
      <c r="M6511" s="179" t="s">
        <v>151</v>
      </c>
    </row>
    <row r="6512" spans="1:13" ht="25.5">
      <c r="A6512" s="313" t="str">
        <f t="shared" si="101"/>
        <v>TacticalAirNavChannelCode_chan041Y</v>
      </c>
      <c r="B6512" s="330"/>
      <c r="C6512" s="334"/>
      <c r="D6512" s="188" t="s">
        <v>13948</v>
      </c>
      <c r="E6512" s="189" t="s">
        <v>13949</v>
      </c>
      <c r="F6512" s="162" t="s">
        <v>31207</v>
      </c>
      <c r="G6512" s="162" t="s">
        <v>13413</v>
      </c>
      <c r="H6512" s="219"/>
      <c r="I6512" s="169">
        <v>115879</v>
      </c>
      <c r="J6512" s="304" t="str">
        <f>CONCATENATE([2]Cover!$D$6,"fdd/view?i=",I6512)</f>
        <v>https://www.dgiwg.org/FAD/fdd/view?i=115879</v>
      </c>
      <c r="K6512" s="304" t="s">
        <v>40561</v>
      </c>
      <c r="L6512" s="188">
        <v>118</v>
      </c>
      <c r="M6512" s="179" t="s">
        <v>151</v>
      </c>
    </row>
    <row r="6513" spans="1:13" ht="25.5">
      <c r="A6513" s="313" t="str">
        <f t="shared" si="101"/>
        <v>TacticalAirNavChannelCode_chan041Z</v>
      </c>
      <c r="B6513" s="330"/>
      <c r="C6513" s="334"/>
      <c r="D6513" s="188" t="s">
        <v>13951</v>
      </c>
      <c r="E6513" s="189" t="s">
        <v>13952</v>
      </c>
      <c r="F6513" s="162" t="s">
        <v>31208</v>
      </c>
      <c r="G6513" s="162" t="s">
        <v>13413</v>
      </c>
      <c r="H6513" s="219"/>
      <c r="I6513" s="169">
        <v>115880</v>
      </c>
      <c r="J6513" s="304" t="str">
        <f>CONCATENATE([2]Cover!$D$6,"fdd/view?i=",I6513)</f>
        <v>https://www.dgiwg.org/FAD/fdd/view?i=115880</v>
      </c>
      <c r="K6513" s="304" t="s">
        <v>40562</v>
      </c>
      <c r="L6513" s="188">
        <v>119</v>
      </c>
      <c r="M6513" s="179" t="s">
        <v>151</v>
      </c>
    </row>
    <row r="6514" spans="1:13" ht="25.5">
      <c r="A6514" s="313" t="str">
        <f t="shared" si="101"/>
        <v>TacticalAirNavChannelCode_chan042W</v>
      </c>
      <c r="B6514" s="330"/>
      <c r="C6514" s="334"/>
      <c r="D6514" s="188" t="s">
        <v>13954</v>
      </c>
      <c r="E6514" s="189" t="s">
        <v>13955</v>
      </c>
      <c r="F6514" s="162" t="s">
        <v>31209</v>
      </c>
      <c r="G6514" s="162" t="s">
        <v>13413</v>
      </c>
      <c r="H6514" s="219"/>
      <c r="I6514" s="169">
        <v>115881</v>
      </c>
      <c r="J6514" s="304" t="str">
        <f>CONCATENATE([2]Cover!$D$6,"fdd/view?i=",I6514)</f>
        <v>https://www.dgiwg.org/FAD/fdd/view?i=115881</v>
      </c>
      <c r="K6514" s="304" t="s">
        <v>40563</v>
      </c>
      <c r="L6514" s="188">
        <v>120</v>
      </c>
      <c r="M6514" s="179" t="s">
        <v>151</v>
      </c>
    </row>
    <row r="6515" spans="1:13" ht="25.5">
      <c r="A6515" s="313" t="str">
        <f t="shared" si="101"/>
        <v>TacticalAirNavChannelCode_chan042X</v>
      </c>
      <c r="B6515" s="330"/>
      <c r="C6515" s="334"/>
      <c r="D6515" s="188" t="s">
        <v>13957</v>
      </c>
      <c r="E6515" s="189" t="s">
        <v>13958</v>
      </c>
      <c r="F6515" s="162" t="s">
        <v>31210</v>
      </c>
      <c r="G6515" s="162" t="s">
        <v>13413</v>
      </c>
      <c r="H6515" s="219"/>
      <c r="I6515" s="169">
        <v>115882</v>
      </c>
      <c r="J6515" s="304" t="str">
        <f>CONCATENATE([2]Cover!$D$6,"fdd/view?i=",I6515)</f>
        <v>https://www.dgiwg.org/FAD/fdd/view?i=115882</v>
      </c>
      <c r="K6515" s="304" t="s">
        <v>40564</v>
      </c>
      <c r="L6515" s="188">
        <v>121</v>
      </c>
      <c r="M6515" s="179" t="s">
        <v>151</v>
      </c>
    </row>
    <row r="6516" spans="1:13" ht="25.5">
      <c r="A6516" s="313" t="str">
        <f t="shared" si="101"/>
        <v>TacticalAirNavChannelCode_chan042Y</v>
      </c>
      <c r="B6516" s="330"/>
      <c r="C6516" s="334"/>
      <c r="D6516" s="188" t="s">
        <v>13960</v>
      </c>
      <c r="E6516" s="189" t="s">
        <v>13961</v>
      </c>
      <c r="F6516" s="162" t="s">
        <v>31211</v>
      </c>
      <c r="G6516" s="162" t="s">
        <v>13413</v>
      </c>
      <c r="H6516" s="219"/>
      <c r="I6516" s="169">
        <v>115883</v>
      </c>
      <c r="J6516" s="304" t="str">
        <f>CONCATENATE([2]Cover!$D$6,"fdd/view?i=",I6516)</f>
        <v>https://www.dgiwg.org/FAD/fdd/view?i=115883</v>
      </c>
      <c r="K6516" s="304" t="s">
        <v>40565</v>
      </c>
      <c r="L6516" s="188">
        <v>122</v>
      </c>
      <c r="M6516" s="179" t="s">
        <v>151</v>
      </c>
    </row>
    <row r="6517" spans="1:13" ht="25.5">
      <c r="A6517" s="313" t="str">
        <f t="shared" si="101"/>
        <v>TacticalAirNavChannelCode_chan042Z</v>
      </c>
      <c r="B6517" s="330"/>
      <c r="C6517" s="334"/>
      <c r="D6517" s="188" t="s">
        <v>13963</v>
      </c>
      <c r="E6517" s="189" t="s">
        <v>13964</v>
      </c>
      <c r="F6517" s="162" t="s">
        <v>31212</v>
      </c>
      <c r="G6517" s="162" t="s">
        <v>13413</v>
      </c>
      <c r="H6517" s="219"/>
      <c r="I6517" s="169">
        <v>115884</v>
      </c>
      <c r="J6517" s="304" t="str">
        <f>CONCATENATE([2]Cover!$D$6,"fdd/view?i=",I6517)</f>
        <v>https://www.dgiwg.org/FAD/fdd/view?i=115884</v>
      </c>
      <c r="K6517" s="304" t="s">
        <v>40566</v>
      </c>
      <c r="L6517" s="188">
        <v>123</v>
      </c>
      <c r="M6517" s="179" t="s">
        <v>151</v>
      </c>
    </row>
    <row r="6518" spans="1:13" ht="25.5">
      <c r="A6518" s="313" t="str">
        <f t="shared" si="101"/>
        <v>TacticalAirNavChannelCode_chan043X</v>
      </c>
      <c r="B6518" s="330"/>
      <c r="C6518" s="334"/>
      <c r="D6518" s="188" t="s">
        <v>13966</v>
      </c>
      <c r="E6518" s="189" t="s">
        <v>13967</v>
      </c>
      <c r="F6518" s="162" t="s">
        <v>31213</v>
      </c>
      <c r="G6518" s="162" t="s">
        <v>13413</v>
      </c>
      <c r="H6518" s="219"/>
      <c r="I6518" s="169">
        <v>115885</v>
      </c>
      <c r="J6518" s="304" t="str">
        <f>CONCATENATE([2]Cover!$D$6,"fdd/view?i=",I6518)</f>
        <v>https://www.dgiwg.org/FAD/fdd/view?i=115885</v>
      </c>
      <c r="K6518" s="304" t="s">
        <v>40567</v>
      </c>
      <c r="L6518" s="188">
        <v>124</v>
      </c>
      <c r="M6518" s="179" t="s">
        <v>151</v>
      </c>
    </row>
    <row r="6519" spans="1:13" ht="25.5">
      <c r="A6519" s="313" t="str">
        <f t="shared" si="101"/>
        <v>TacticalAirNavChannelCode_chan043Y</v>
      </c>
      <c r="B6519" s="330"/>
      <c r="C6519" s="334"/>
      <c r="D6519" s="188" t="s">
        <v>13969</v>
      </c>
      <c r="E6519" s="189" t="s">
        <v>13970</v>
      </c>
      <c r="F6519" s="162" t="s">
        <v>31214</v>
      </c>
      <c r="G6519" s="162" t="s">
        <v>13413</v>
      </c>
      <c r="H6519" s="219"/>
      <c r="I6519" s="169">
        <v>115886</v>
      </c>
      <c r="J6519" s="304" t="str">
        <f>CONCATENATE([2]Cover!$D$6,"fdd/view?i=",I6519)</f>
        <v>https://www.dgiwg.org/FAD/fdd/view?i=115886</v>
      </c>
      <c r="K6519" s="304" t="s">
        <v>40568</v>
      </c>
      <c r="L6519" s="188">
        <v>125</v>
      </c>
      <c r="M6519" s="179" t="s">
        <v>151</v>
      </c>
    </row>
    <row r="6520" spans="1:13" ht="25.5">
      <c r="A6520" s="313" t="str">
        <f t="shared" si="101"/>
        <v>TacticalAirNavChannelCode_chan043Z</v>
      </c>
      <c r="B6520" s="330"/>
      <c r="C6520" s="334"/>
      <c r="D6520" s="188" t="s">
        <v>13972</v>
      </c>
      <c r="E6520" s="189" t="s">
        <v>13973</v>
      </c>
      <c r="F6520" s="162" t="s">
        <v>31215</v>
      </c>
      <c r="G6520" s="162" t="s">
        <v>13413</v>
      </c>
      <c r="H6520" s="219"/>
      <c r="I6520" s="169">
        <v>115887</v>
      </c>
      <c r="J6520" s="304" t="str">
        <f>CONCATENATE([2]Cover!$D$6,"fdd/view?i=",I6520)</f>
        <v>https://www.dgiwg.org/FAD/fdd/view?i=115887</v>
      </c>
      <c r="K6520" s="304" t="s">
        <v>40569</v>
      </c>
      <c r="L6520" s="188">
        <v>126</v>
      </c>
      <c r="M6520" s="179" t="s">
        <v>151</v>
      </c>
    </row>
    <row r="6521" spans="1:13" ht="25.5">
      <c r="A6521" s="313" t="str">
        <f t="shared" si="101"/>
        <v>TacticalAirNavChannelCode_chan044W</v>
      </c>
      <c r="B6521" s="330"/>
      <c r="C6521" s="334"/>
      <c r="D6521" s="188" t="s">
        <v>13975</v>
      </c>
      <c r="E6521" s="189" t="s">
        <v>13976</v>
      </c>
      <c r="F6521" s="162" t="s">
        <v>31216</v>
      </c>
      <c r="G6521" s="162" t="s">
        <v>13413</v>
      </c>
      <c r="H6521" s="219"/>
      <c r="I6521" s="169">
        <v>115888</v>
      </c>
      <c r="J6521" s="304" t="str">
        <f>CONCATENATE([2]Cover!$D$6,"fdd/view?i=",I6521)</f>
        <v>https://www.dgiwg.org/FAD/fdd/view?i=115888</v>
      </c>
      <c r="K6521" s="304" t="s">
        <v>40570</v>
      </c>
      <c r="L6521" s="188">
        <v>127</v>
      </c>
      <c r="M6521" s="179" t="s">
        <v>151</v>
      </c>
    </row>
    <row r="6522" spans="1:13" ht="25.5">
      <c r="A6522" s="313" t="str">
        <f t="shared" si="101"/>
        <v>TacticalAirNavChannelCode_chan044X</v>
      </c>
      <c r="B6522" s="330"/>
      <c r="C6522" s="334"/>
      <c r="D6522" s="188" t="s">
        <v>13978</v>
      </c>
      <c r="E6522" s="189" t="s">
        <v>13979</v>
      </c>
      <c r="F6522" s="162" t="s">
        <v>31217</v>
      </c>
      <c r="G6522" s="162" t="s">
        <v>13413</v>
      </c>
      <c r="H6522" s="219"/>
      <c r="I6522" s="169">
        <v>115889</v>
      </c>
      <c r="J6522" s="304" t="str">
        <f>CONCATENATE([2]Cover!$D$6,"fdd/view?i=",I6522)</f>
        <v>https://www.dgiwg.org/FAD/fdd/view?i=115889</v>
      </c>
      <c r="K6522" s="304" t="s">
        <v>40571</v>
      </c>
      <c r="L6522" s="188">
        <v>128</v>
      </c>
      <c r="M6522" s="179" t="s">
        <v>151</v>
      </c>
    </row>
    <row r="6523" spans="1:13" ht="25.5">
      <c r="A6523" s="313" t="str">
        <f t="shared" si="101"/>
        <v>TacticalAirNavChannelCode_chan044Y</v>
      </c>
      <c r="B6523" s="330"/>
      <c r="C6523" s="334"/>
      <c r="D6523" s="188" t="s">
        <v>13981</v>
      </c>
      <c r="E6523" s="189" t="s">
        <v>13982</v>
      </c>
      <c r="F6523" s="162" t="s">
        <v>31218</v>
      </c>
      <c r="G6523" s="162" t="s">
        <v>13413</v>
      </c>
      <c r="H6523" s="219"/>
      <c r="I6523" s="169">
        <v>115890</v>
      </c>
      <c r="J6523" s="304" t="str">
        <f>CONCATENATE([2]Cover!$D$6,"fdd/view?i=",I6523)</f>
        <v>https://www.dgiwg.org/FAD/fdd/view?i=115890</v>
      </c>
      <c r="K6523" s="304" t="s">
        <v>40572</v>
      </c>
      <c r="L6523" s="188">
        <v>129</v>
      </c>
      <c r="M6523" s="179" t="s">
        <v>151</v>
      </c>
    </row>
    <row r="6524" spans="1:13" ht="25.5">
      <c r="A6524" s="313" t="str">
        <f t="shared" si="101"/>
        <v>TacticalAirNavChannelCode_chan044Z</v>
      </c>
      <c r="B6524" s="330"/>
      <c r="C6524" s="334"/>
      <c r="D6524" s="188" t="s">
        <v>13984</v>
      </c>
      <c r="E6524" s="189" t="s">
        <v>13985</v>
      </c>
      <c r="F6524" s="162" t="s">
        <v>31219</v>
      </c>
      <c r="G6524" s="162" t="s">
        <v>13413</v>
      </c>
      <c r="H6524" s="219"/>
      <c r="I6524" s="169">
        <v>115891</v>
      </c>
      <c r="J6524" s="304" t="str">
        <f>CONCATENATE([2]Cover!$D$6,"fdd/view?i=",I6524)</f>
        <v>https://www.dgiwg.org/FAD/fdd/view?i=115891</v>
      </c>
      <c r="K6524" s="304" t="s">
        <v>40573</v>
      </c>
      <c r="L6524" s="188">
        <v>130</v>
      </c>
      <c r="M6524" s="179" t="s">
        <v>151</v>
      </c>
    </row>
    <row r="6525" spans="1:13" ht="25.5">
      <c r="A6525" s="313" t="str">
        <f t="shared" si="101"/>
        <v>TacticalAirNavChannelCode_chan045X</v>
      </c>
      <c r="B6525" s="330"/>
      <c r="C6525" s="334"/>
      <c r="D6525" s="188" t="s">
        <v>13987</v>
      </c>
      <c r="E6525" s="189" t="s">
        <v>13988</v>
      </c>
      <c r="F6525" s="162" t="s">
        <v>31220</v>
      </c>
      <c r="G6525" s="162" t="s">
        <v>13413</v>
      </c>
      <c r="H6525" s="219"/>
      <c r="I6525" s="169">
        <v>115892</v>
      </c>
      <c r="J6525" s="304" t="str">
        <f>CONCATENATE([2]Cover!$D$6,"fdd/view?i=",I6525)</f>
        <v>https://www.dgiwg.org/FAD/fdd/view?i=115892</v>
      </c>
      <c r="K6525" s="304" t="s">
        <v>40574</v>
      </c>
      <c r="L6525" s="188">
        <v>131</v>
      </c>
      <c r="M6525" s="179" t="s">
        <v>151</v>
      </c>
    </row>
    <row r="6526" spans="1:13" ht="25.5">
      <c r="A6526" s="313" t="str">
        <f t="shared" si="101"/>
        <v>TacticalAirNavChannelCode_chan045Y</v>
      </c>
      <c r="B6526" s="330"/>
      <c r="C6526" s="334"/>
      <c r="D6526" s="188" t="s">
        <v>13990</v>
      </c>
      <c r="E6526" s="189" t="s">
        <v>13991</v>
      </c>
      <c r="F6526" s="162" t="s">
        <v>31221</v>
      </c>
      <c r="G6526" s="162" t="s">
        <v>13413</v>
      </c>
      <c r="H6526" s="219"/>
      <c r="I6526" s="169">
        <v>115893</v>
      </c>
      <c r="J6526" s="304" t="str">
        <f>CONCATENATE([2]Cover!$D$6,"fdd/view?i=",I6526)</f>
        <v>https://www.dgiwg.org/FAD/fdd/view?i=115893</v>
      </c>
      <c r="K6526" s="304" t="s">
        <v>40575</v>
      </c>
      <c r="L6526" s="188">
        <v>132</v>
      </c>
      <c r="M6526" s="179" t="s">
        <v>151</v>
      </c>
    </row>
    <row r="6527" spans="1:13" ht="25.5">
      <c r="A6527" s="313" t="str">
        <f t="shared" si="101"/>
        <v>TacticalAirNavChannelCode_chan045Z</v>
      </c>
      <c r="B6527" s="330"/>
      <c r="C6527" s="334"/>
      <c r="D6527" s="188" t="s">
        <v>13993</v>
      </c>
      <c r="E6527" s="189" t="s">
        <v>13994</v>
      </c>
      <c r="F6527" s="162" t="s">
        <v>31222</v>
      </c>
      <c r="G6527" s="162" t="s">
        <v>13413</v>
      </c>
      <c r="H6527" s="219"/>
      <c r="I6527" s="169">
        <v>115894</v>
      </c>
      <c r="J6527" s="304" t="str">
        <f>CONCATENATE([2]Cover!$D$6,"fdd/view?i=",I6527)</f>
        <v>https://www.dgiwg.org/FAD/fdd/view?i=115894</v>
      </c>
      <c r="K6527" s="304" t="s">
        <v>40576</v>
      </c>
      <c r="L6527" s="188">
        <v>133</v>
      </c>
      <c r="M6527" s="179" t="s">
        <v>151</v>
      </c>
    </row>
    <row r="6528" spans="1:13" ht="25.5">
      <c r="A6528" s="313" t="str">
        <f t="shared" si="101"/>
        <v>TacticalAirNavChannelCode_chan046W</v>
      </c>
      <c r="B6528" s="330"/>
      <c r="C6528" s="334"/>
      <c r="D6528" s="188" t="s">
        <v>13996</v>
      </c>
      <c r="E6528" s="189" t="s">
        <v>13997</v>
      </c>
      <c r="F6528" s="162" t="s">
        <v>31223</v>
      </c>
      <c r="G6528" s="162" t="s">
        <v>13413</v>
      </c>
      <c r="H6528" s="219"/>
      <c r="I6528" s="169">
        <v>115895</v>
      </c>
      <c r="J6528" s="304" t="str">
        <f>CONCATENATE([2]Cover!$D$6,"fdd/view?i=",I6528)</f>
        <v>https://www.dgiwg.org/FAD/fdd/view?i=115895</v>
      </c>
      <c r="K6528" s="304" t="s">
        <v>40577</v>
      </c>
      <c r="L6528" s="188">
        <v>134</v>
      </c>
      <c r="M6528" s="179" t="s">
        <v>151</v>
      </c>
    </row>
    <row r="6529" spans="1:13" ht="25.5">
      <c r="A6529" s="313" t="str">
        <f t="shared" si="101"/>
        <v>TacticalAirNavChannelCode_chan046X</v>
      </c>
      <c r="B6529" s="330"/>
      <c r="C6529" s="334"/>
      <c r="D6529" s="188" t="s">
        <v>13999</v>
      </c>
      <c r="E6529" s="189" t="s">
        <v>14000</v>
      </c>
      <c r="F6529" s="162" t="s">
        <v>31224</v>
      </c>
      <c r="G6529" s="162" t="s">
        <v>13413</v>
      </c>
      <c r="H6529" s="219"/>
      <c r="I6529" s="169">
        <v>115896</v>
      </c>
      <c r="J6529" s="304" t="str">
        <f>CONCATENATE([2]Cover!$D$6,"fdd/view?i=",I6529)</f>
        <v>https://www.dgiwg.org/FAD/fdd/view?i=115896</v>
      </c>
      <c r="K6529" s="304" t="s">
        <v>40578</v>
      </c>
      <c r="L6529" s="188">
        <v>135</v>
      </c>
      <c r="M6529" s="179" t="s">
        <v>151</v>
      </c>
    </row>
    <row r="6530" spans="1:13" ht="25.5">
      <c r="A6530" s="313" t="str">
        <f t="shared" si="101"/>
        <v>TacticalAirNavChannelCode_chan046Y</v>
      </c>
      <c r="B6530" s="330"/>
      <c r="C6530" s="334"/>
      <c r="D6530" s="188" t="s">
        <v>14002</v>
      </c>
      <c r="E6530" s="189" t="s">
        <v>14003</v>
      </c>
      <c r="F6530" s="162" t="s">
        <v>31225</v>
      </c>
      <c r="G6530" s="162" t="s">
        <v>13413</v>
      </c>
      <c r="H6530" s="219"/>
      <c r="I6530" s="169">
        <v>115897</v>
      </c>
      <c r="J6530" s="304" t="str">
        <f>CONCATENATE([2]Cover!$D$6,"fdd/view?i=",I6530)</f>
        <v>https://www.dgiwg.org/FAD/fdd/view?i=115897</v>
      </c>
      <c r="K6530" s="304" t="s">
        <v>40579</v>
      </c>
      <c r="L6530" s="188">
        <v>136</v>
      </c>
      <c r="M6530" s="179" t="s">
        <v>151</v>
      </c>
    </row>
    <row r="6531" spans="1:13" ht="25.5">
      <c r="A6531" s="313" t="str">
        <f t="shared" ref="A6531:A6594" si="102">HYPERLINK(J6531,K6531)</f>
        <v>TacticalAirNavChannelCode_chan046Z</v>
      </c>
      <c r="B6531" s="330"/>
      <c r="C6531" s="334"/>
      <c r="D6531" s="188" t="s">
        <v>14005</v>
      </c>
      <c r="E6531" s="189" t="s">
        <v>14006</v>
      </c>
      <c r="F6531" s="162" t="s">
        <v>31226</v>
      </c>
      <c r="G6531" s="162" t="s">
        <v>13413</v>
      </c>
      <c r="H6531" s="219"/>
      <c r="I6531" s="169">
        <v>115898</v>
      </c>
      <c r="J6531" s="304" t="str">
        <f>CONCATENATE([2]Cover!$D$6,"fdd/view?i=",I6531)</f>
        <v>https://www.dgiwg.org/FAD/fdd/view?i=115898</v>
      </c>
      <c r="K6531" s="304" t="s">
        <v>40580</v>
      </c>
      <c r="L6531" s="188">
        <v>137</v>
      </c>
      <c r="M6531" s="179" t="s">
        <v>151</v>
      </c>
    </row>
    <row r="6532" spans="1:13" ht="25.5">
      <c r="A6532" s="313" t="str">
        <f t="shared" si="102"/>
        <v>TacticalAirNavChannelCode_chan047X</v>
      </c>
      <c r="B6532" s="330"/>
      <c r="C6532" s="334"/>
      <c r="D6532" s="188" t="s">
        <v>14008</v>
      </c>
      <c r="E6532" s="189" t="s">
        <v>14009</v>
      </c>
      <c r="F6532" s="162" t="s">
        <v>31227</v>
      </c>
      <c r="G6532" s="162" t="s">
        <v>13413</v>
      </c>
      <c r="H6532" s="219"/>
      <c r="I6532" s="169">
        <v>115899</v>
      </c>
      <c r="J6532" s="304" t="str">
        <f>CONCATENATE([2]Cover!$D$6,"fdd/view?i=",I6532)</f>
        <v>https://www.dgiwg.org/FAD/fdd/view?i=115899</v>
      </c>
      <c r="K6532" s="304" t="s">
        <v>40581</v>
      </c>
      <c r="L6532" s="188">
        <v>138</v>
      </c>
      <c r="M6532" s="179" t="s">
        <v>151</v>
      </c>
    </row>
    <row r="6533" spans="1:13" ht="25.5">
      <c r="A6533" s="313" t="str">
        <f t="shared" si="102"/>
        <v>TacticalAirNavChannelCode_chan047Y</v>
      </c>
      <c r="B6533" s="330"/>
      <c r="C6533" s="334"/>
      <c r="D6533" s="188" t="s">
        <v>14011</v>
      </c>
      <c r="E6533" s="189" t="s">
        <v>14012</v>
      </c>
      <c r="F6533" s="162" t="s">
        <v>31228</v>
      </c>
      <c r="G6533" s="162" t="s">
        <v>13413</v>
      </c>
      <c r="H6533" s="219"/>
      <c r="I6533" s="169">
        <v>115900</v>
      </c>
      <c r="J6533" s="304" t="str">
        <f>CONCATENATE([2]Cover!$D$6,"fdd/view?i=",I6533)</f>
        <v>https://www.dgiwg.org/FAD/fdd/view?i=115900</v>
      </c>
      <c r="K6533" s="304" t="s">
        <v>40582</v>
      </c>
      <c r="L6533" s="188">
        <v>139</v>
      </c>
      <c r="M6533" s="179" t="s">
        <v>151</v>
      </c>
    </row>
    <row r="6534" spans="1:13" ht="25.5">
      <c r="A6534" s="313" t="str">
        <f t="shared" si="102"/>
        <v>TacticalAirNavChannelCode_chan047Z</v>
      </c>
      <c r="B6534" s="330"/>
      <c r="C6534" s="334"/>
      <c r="D6534" s="188" t="s">
        <v>14014</v>
      </c>
      <c r="E6534" s="189" t="s">
        <v>14015</v>
      </c>
      <c r="F6534" s="162" t="s">
        <v>31229</v>
      </c>
      <c r="G6534" s="162" t="s">
        <v>13413</v>
      </c>
      <c r="H6534" s="219"/>
      <c r="I6534" s="169">
        <v>115901</v>
      </c>
      <c r="J6534" s="304" t="str">
        <f>CONCATENATE([2]Cover!$D$6,"fdd/view?i=",I6534)</f>
        <v>https://www.dgiwg.org/FAD/fdd/view?i=115901</v>
      </c>
      <c r="K6534" s="304" t="s">
        <v>40583</v>
      </c>
      <c r="L6534" s="188">
        <v>140</v>
      </c>
      <c r="M6534" s="179" t="s">
        <v>151</v>
      </c>
    </row>
    <row r="6535" spans="1:13" ht="25.5">
      <c r="A6535" s="313" t="str">
        <f t="shared" si="102"/>
        <v>TacticalAirNavChannelCode_chan048W</v>
      </c>
      <c r="B6535" s="330"/>
      <c r="C6535" s="334"/>
      <c r="D6535" s="188" t="s">
        <v>14017</v>
      </c>
      <c r="E6535" s="189" t="s">
        <v>14018</v>
      </c>
      <c r="F6535" s="162" t="s">
        <v>31230</v>
      </c>
      <c r="G6535" s="162" t="s">
        <v>13413</v>
      </c>
      <c r="H6535" s="219"/>
      <c r="I6535" s="169">
        <v>115902</v>
      </c>
      <c r="J6535" s="304" t="str">
        <f>CONCATENATE([2]Cover!$D$6,"fdd/view?i=",I6535)</f>
        <v>https://www.dgiwg.org/FAD/fdd/view?i=115902</v>
      </c>
      <c r="K6535" s="304" t="s">
        <v>40584</v>
      </c>
      <c r="L6535" s="188">
        <v>141</v>
      </c>
      <c r="M6535" s="179" t="s">
        <v>151</v>
      </c>
    </row>
    <row r="6536" spans="1:13" ht="25.5">
      <c r="A6536" s="313" t="str">
        <f t="shared" si="102"/>
        <v>TacticalAirNavChannelCode_chan048X</v>
      </c>
      <c r="B6536" s="330"/>
      <c r="C6536" s="334"/>
      <c r="D6536" s="188" t="s">
        <v>14020</v>
      </c>
      <c r="E6536" s="189" t="s">
        <v>14021</v>
      </c>
      <c r="F6536" s="162" t="s">
        <v>31231</v>
      </c>
      <c r="G6536" s="162" t="s">
        <v>13413</v>
      </c>
      <c r="H6536" s="219"/>
      <c r="I6536" s="169">
        <v>115903</v>
      </c>
      <c r="J6536" s="304" t="str">
        <f>CONCATENATE([2]Cover!$D$6,"fdd/view?i=",I6536)</f>
        <v>https://www.dgiwg.org/FAD/fdd/view?i=115903</v>
      </c>
      <c r="K6536" s="304" t="s">
        <v>40585</v>
      </c>
      <c r="L6536" s="188">
        <v>142</v>
      </c>
      <c r="M6536" s="179" t="s">
        <v>151</v>
      </c>
    </row>
    <row r="6537" spans="1:13" ht="25.5">
      <c r="A6537" s="313" t="str">
        <f t="shared" si="102"/>
        <v>TacticalAirNavChannelCode_chan048Y</v>
      </c>
      <c r="B6537" s="330"/>
      <c r="C6537" s="334"/>
      <c r="D6537" s="188" t="s">
        <v>14023</v>
      </c>
      <c r="E6537" s="189" t="s">
        <v>14024</v>
      </c>
      <c r="F6537" s="162" t="s">
        <v>31232</v>
      </c>
      <c r="G6537" s="162" t="s">
        <v>13413</v>
      </c>
      <c r="H6537" s="219"/>
      <c r="I6537" s="169">
        <v>115904</v>
      </c>
      <c r="J6537" s="304" t="str">
        <f>CONCATENATE([2]Cover!$D$6,"fdd/view?i=",I6537)</f>
        <v>https://www.dgiwg.org/FAD/fdd/view?i=115904</v>
      </c>
      <c r="K6537" s="304" t="s">
        <v>40586</v>
      </c>
      <c r="L6537" s="188">
        <v>143</v>
      </c>
      <c r="M6537" s="179" t="s">
        <v>151</v>
      </c>
    </row>
    <row r="6538" spans="1:13" ht="25.5">
      <c r="A6538" s="313" t="str">
        <f t="shared" si="102"/>
        <v>TacticalAirNavChannelCode_chan048Z</v>
      </c>
      <c r="B6538" s="330"/>
      <c r="C6538" s="334"/>
      <c r="D6538" s="188" t="s">
        <v>14026</v>
      </c>
      <c r="E6538" s="189" t="s">
        <v>14027</v>
      </c>
      <c r="F6538" s="162" t="s">
        <v>31233</v>
      </c>
      <c r="G6538" s="162" t="s">
        <v>13413</v>
      </c>
      <c r="H6538" s="219"/>
      <c r="I6538" s="169">
        <v>115905</v>
      </c>
      <c r="J6538" s="304" t="str">
        <f>CONCATENATE([2]Cover!$D$6,"fdd/view?i=",I6538)</f>
        <v>https://www.dgiwg.org/FAD/fdd/view?i=115905</v>
      </c>
      <c r="K6538" s="304" t="s">
        <v>40587</v>
      </c>
      <c r="L6538" s="188">
        <v>144</v>
      </c>
      <c r="M6538" s="179" t="s">
        <v>151</v>
      </c>
    </row>
    <row r="6539" spans="1:13" ht="25.5">
      <c r="A6539" s="313" t="str">
        <f t="shared" si="102"/>
        <v>TacticalAirNavChannelCode_chan049X</v>
      </c>
      <c r="B6539" s="330"/>
      <c r="C6539" s="334"/>
      <c r="D6539" s="188" t="s">
        <v>14029</v>
      </c>
      <c r="E6539" s="189" t="s">
        <v>14030</v>
      </c>
      <c r="F6539" s="162" t="s">
        <v>31234</v>
      </c>
      <c r="G6539" s="162" t="s">
        <v>13413</v>
      </c>
      <c r="H6539" s="219"/>
      <c r="I6539" s="169">
        <v>115906</v>
      </c>
      <c r="J6539" s="304" t="str">
        <f>CONCATENATE([2]Cover!$D$6,"fdd/view?i=",I6539)</f>
        <v>https://www.dgiwg.org/FAD/fdd/view?i=115906</v>
      </c>
      <c r="K6539" s="304" t="s">
        <v>40588</v>
      </c>
      <c r="L6539" s="188">
        <v>145</v>
      </c>
      <c r="M6539" s="179" t="s">
        <v>151</v>
      </c>
    </row>
    <row r="6540" spans="1:13" ht="25.5">
      <c r="A6540" s="313" t="str">
        <f t="shared" si="102"/>
        <v>TacticalAirNavChannelCode_chan049Y</v>
      </c>
      <c r="B6540" s="330"/>
      <c r="C6540" s="334"/>
      <c r="D6540" s="188" t="s">
        <v>14032</v>
      </c>
      <c r="E6540" s="189" t="s">
        <v>14033</v>
      </c>
      <c r="F6540" s="162" t="s">
        <v>31235</v>
      </c>
      <c r="G6540" s="162" t="s">
        <v>13413</v>
      </c>
      <c r="H6540" s="219"/>
      <c r="I6540" s="169">
        <v>115907</v>
      </c>
      <c r="J6540" s="304" t="str">
        <f>CONCATENATE([2]Cover!$D$6,"fdd/view?i=",I6540)</f>
        <v>https://www.dgiwg.org/FAD/fdd/view?i=115907</v>
      </c>
      <c r="K6540" s="304" t="s">
        <v>40589</v>
      </c>
      <c r="L6540" s="188">
        <v>146</v>
      </c>
      <c r="M6540" s="179" t="s">
        <v>151</v>
      </c>
    </row>
    <row r="6541" spans="1:13" ht="25.5">
      <c r="A6541" s="313" t="str">
        <f t="shared" si="102"/>
        <v>TacticalAirNavChannelCode_chan049Z</v>
      </c>
      <c r="B6541" s="330"/>
      <c r="C6541" s="334"/>
      <c r="D6541" s="188" t="s">
        <v>14035</v>
      </c>
      <c r="E6541" s="189" t="s">
        <v>14036</v>
      </c>
      <c r="F6541" s="162" t="s">
        <v>31236</v>
      </c>
      <c r="G6541" s="162" t="s">
        <v>13413</v>
      </c>
      <c r="H6541" s="219"/>
      <c r="I6541" s="169">
        <v>115908</v>
      </c>
      <c r="J6541" s="304" t="str">
        <f>CONCATENATE([2]Cover!$D$6,"fdd/view?i=",I6541)</f>
        <v>https://www.dgiwg.org/FAD/fdd/view?i=115908</v>
      </c>
      <c r="K6541" s="304" t="s">
        <v>40590</v>
      </c>
      <c r="L6541" s="188">
        <v>147</v>
      </c>
      <c r="M6541" s="179" t="s">
        <v>151</v>
      </c>
    </row>
    <row r="6542" spans="1:13" ht="25.5">
      <c r="A6542" s="313" t="str">
        <f t="shared" si="102"/>
        <v>TacticalAirNavChannelCode_chan050W</v>
      </c>
      <c r="B6542" s="330"/>
      <c r="C6542" s="334"/>
      <c r="D6542" s="188" t="s">
        <v>14044</v>
      </c>
      <c r="E6542" s="189" t="s">
        <v>14045</v>
      </c>
      <c r="F6542" s="162" t="s">
        <v>31239</v>
      </c>
      <c r="G6542" s="162" t="s">
        <v>13413</v>
      </c>
      <c r="H6542" s="219"/>
      <c r="I6542" s="169">
        <v>115909</v>
      </c>
      <c r="J6542" s="304" t="str">
        <f>CONCATENATE([2]Cover!$D$6,"fdd/view?i=",I6542)</f>
        <v>https://www.dgiwg.org/FAD/fdd/view?i=115909</v>
      </c>
      <c r="K6542" s="304" t="s">
        <v>40591</v>
      </c>
      <c r="L6542" s="188">
        <v>148</v>
      </c>
      <c r="M6542" s="179" t="s">
        <v>151</v>
      </c>
    </row>
    <row r="6543" spans="1:13" ht="25.5">
      <c r="A6543" s="313" t="str">
        <f t="shared" si="102"/>
        <v>TacticalAirNavChannelCode_chan050X</v>
      </c>
      <c r="B6543" s="330"/>
      <c r="C6543" s="334"/>
      <c r="D6543" s="188" t="s">
        <v>14047</v>
      </c>
      <c r="E6543" s="189" t="s">
        <v>14048</v>
      </c>
      <c r="F6543" s="162" t="s">
        <v>31240</v>
      </c>
      <c r="G6543" s="162" t="s">
        <v>13413</v>
      </c>
      <c r="H6543" s="219"/>
      <c r="I6543" s="169">
        <v>115910</v>
      </c>
      <c r="J6543" s="304" t="str">
        <f>CONCATENATE([2]Cover!$D$6,"fdd/view?i=",I6543)</f>
        <v>https://www.dgiwg.org/FAD/fdd/view?i=115910</v>
      </c>
      <c r="K6543" s="304" t="s">
        <v>40592</v>
      </c>
      <c r="L6543" s="188">
        <v>149</v>
      </c>
      <c r="M6543" s="179" t="s">
        <v>151</v>
      </c>
    </row>
    <row r="6544" spans="1:13" ht="25.5">
      <c r="A6544" s="313" t="str">
        <f t="shared" si="102"/>
        <v>TacticalAirNavChannelCode_chan050Y</v>
      </c>
      <c r="B6544" s="330"/>
      <c r="C6544" s="334"/>
      <c r="D6544" s="188" t="s">
        <v>14050</v>
      </c>
      <c r="E6544" s="189" t="s">
        <v>14051</v>
      </c>
      <c r="F6544" s="162" t="s">
        <v>31241</v>
      </c>
      <c r="G6544" s="162" t="s">
        <v>13413</v>
      </c>
      <c r="H6544" s="219"/>
      <c r="I6544" s="169">
        <v>115911</v>
      </c>
      <c r="J6544" s="304" t="str">
        <f>CONCATENATE([2]Cover!$D$6,"fdd/view?i=",I6544)</f>
        <v>https://www.dgiwg.org/FAD/fdd/view?i=115911</v>
      </c>
      <c r="K6544" s="304" t="s">
        <v>40593</v>
      </c>
      <c r="L6544" s="188">
        <v>150</v>
      </c>
      <c r="M6544" s="179" t="s">
        <v>151</v>
      </c>
    </row>
    <row r="6545" spans="1:13" ht="25.5">
      <c r="A6545" s="313" t="str">
        <f t="shared" si="102"/>
        <v>TacticalAirNavChannelCode_chan050Z</v>
      </c>
      <c r="B6545" s="330"/>
      <c r="C6545" s="334"/>
      <c r="D6545" s="188" t="s">
        <v>14053</v>
      </c>
      <c r="E6545" s="189" t="s">
        <v>14054</v>
      </c>
      <c r="F6545" s="162" t="s">
        <v>31242</v>
      </c>
      <c r="G6545" s="162" t="s">
        <v>13413</v>
      </c>
      <c r="H6545" s="219"/>
      <c r="I6545" s="169">
        <v>115912</v>
      </c>
      <c r="J6545" s="304" t="str">
        <f>CONCATENATE([2]Cover!$D$6,"fdd/view?i=",I6545)</f>
        <v>https://www.dgiwg.org/FAD/fdd/view?i=115912</v>
      </c>
      <c r="K6545" s="304" t="s">
        <v>40594</v>
      </c>
      <c r="L6545" s="188">
        <v>151</v>
      </c>
      <c r="M6545" s="179" t="s">
        <v>151</v>
      </c>
    </row>
    <row r="6546" spans="1:13" ht="25.5">
      <c r="A6546" s="313" t="str">
        <f t="shared" si="102"/>
        <v>TacticalAirNavChannelCode_chan051X</v>
      </c>
      <c r="B6546" s="330"/>
      <c r="C6546" s="334"/>
      <c r="D6546" s="188" t="s">
        <v>14056</v>
      </c>
      <c r="E6546" s="189" t="s">
        <v>14057</v>
      </c>
      <c r="F6546" s="162" t="s">
        <v>31243</v>
      </c>
      <c r="G6546" s="162" t="s">
        <v>13413</v>
      </c>
      <c r="H6546" s="219"/>
      <c r="I6546" s="169">
        <v>115913</v>
      </c>
      <c r="J6546" s="304" t="str">
        <f>CONCATENATE([2]Cover!$D$6,"fdd/view?i=",I6546)</f>
        <v>https://www.dgiwg.org/FAD/fdd/view?i=115913</v>
      </c>
      <c r="K6546" s="304" t="s">
        <v>40595</v>
      </c>
      <c r="L6546" s="188">
        <v>152</v>
      </c>
      <c r="M6546" s="179" t="s">
        <v>151</v>
      </c>
    </row>
    <row r="6547" spans="1:13" ht="25.5">
      <c r="A6547" s="313" t="str">
        <f t="shared" si="102"/>
        <v>TacticalAirNavChannelCode_chan051Y</v>
      </c>
      <c r="B6547" s="330"/>
      <c r="C6547" s="334"/>
      <c r="D6547" s="188" t="s">
        <v>14059</v>
      </c>
      <c r="E6547" s="189" t="s">
        <v>14060</v>
      </c>
      <c r="F6547" s="162" t="s">
        <v>31244</v>
      </c>
      <c r="G6547" s="162" t="s">
        <v>13413</v>
      </c>
      <c r="H6547" s="219"/>
      <c r="I6547" s="169">
        <v>115914</v>
      </c>
      <c r="J6547" s="304" t="str">
        <f>CONCATENATE([2]Cover!$D$6,"fdd/view?i=",I6547)</f>
        <v>https://www.dgiwg.org/FAD/fdd/view?i=115914</v>
      </c>
      <c r="K6547" s="304" t="s">
        <v>40596</v>
      </c>
      <c r="L6547" s="188">
        <v>153</v>
      </c>
      <c r="M6547" s="179" t="s">
        <v>151</v>
      </c>
    </row>
    <row r="6548" spans="1:13" ht="25.5">
      <c r="A6548" s="313" t="str">
        <f t="shared" si="102"/>
        <v>TacticalAirNavChannelCode_chan051Z</v>
      </c>
      <c r="B6548" s="330"/>
      <c r="C6548" s="334"/>
      <c r="D6548" s="188" t="s">
        <v>14062</v>
      </c>
      <c r="E6548" s="189" t="s">
        <v>14063</v>
      </c>
      <c r="F6548" s="162" t="s">
        <v>31245</v>
      </c>
      <c r="G6548" s="162" t="s">
        <v>13413</v>
      </c>
      <c r="H6548" s="219"/>
      <c r="I6548" s="169">
        <v>115915</v>
      </c>
      <c r="J6548" s="304" t="str">
        <f>CONCATENATE([2]Cover!$D$6,"fdd/view?i=",I6548)</f>
        <v>https://www.dgiwg.org/FAD/fdd/view?i=115915</v>
      </c>
      <c r="K6548" s="304" t="s">
        <v>40597</v>
      </c>
      <c r="L6548" s="188">
        <v>154</v>
      </c>
      <c r="M6548" s="179" t="s">
        <v>151</v>
      </c>
    </row>
    <row r="6549" spans="1:13" ht="25.5">
      <c r="A6549" s="313" t="str">
        <f t="shared" si="102"/>
        <v>TacticalAirNavChannelCode_chan052W</v>
      </c>
      <c r="B6549" s="330"/>
      <c r="C6549" s="334"/>
      <c r="D6549" s="188" t="s">
        <v>14065</v>
      </c>
      <c r="E6549" s="189" t="s">
        <v>14066</v>
      </c>
      <c r="F6549" s="162" t="s">
        <v>31246</v>
      </c>
      <c r="G6549" s="162" t="s">
        <v>13413</v>
      </c>
      <c r="H6549" s="219"/>
      <c r="I6549" s="169">
        <v>115916</v>
      </c>
      <c r="J6549" s="304" t="str">
        <f>CONCATENATE([2]Cover!$D$6,"fdd/view?i=",I6549)</f>
        <v>https://www.dgiwg.org/FAD/fdd/view?i=115916</v>
      </c>
      <c r="K6549" s="304" t="s">
        <v>40598</v>
      </c>
      <c r="L6549" s="188">
        <v>155</v>
      </c>
      <c r="M6549" s="179" t="s">
        <v>151</v>
      </c>
    </row>
    <row r="6550" spans="1:13" ht="25.5">
      <c r="A6550" s="313" t="str">
        <f t="shared" si="102"/>
        <v>TacticalAirNavChannelCode_chan052X</v>
      </c>
      <c r="B6550" s="330"/>
      <c r="C6550" s="334"/>
      <c r="D6550" s="188" t="s">
        <v>14068</v>
      </c>
      <c r="E6550" s="189" t="s">
        <v>14069</v>
      </c>
      <c r="F6550" s="162" t="s">
        <v>31247</v>
      </c>
      <c r="G6550" s="162" t="s">
        <v>13413</v>
      </c>
      <c r="H6550" s="219"/>
      <c r="I6550" s="169">
        <v>115917</v>
      </c>
      <c r="J6550" s="304" t="str">
        <f>CONCATENATE([2]Cover!$D$6,"fdd/view?i=",I6550)</f>
        <v>https://www.dgiwg.org/FAD/fdd/view?i=115917</v>
      </c>
      <c r="K6550" s="304" t="s">
        <v>40599</v>
      </c>
      <c r="L6550" s="188">
        <v>156</v>
      </c>
      <c r="M6550" s="179" t="s">
        <v>151</v>
      </c>
    </row>
    <row r="6551" spans="1:13" ht="25.5">
      <c r="A6551" s="313" t="str">
        <f t="shared" si="102"/>
        <v>TacticalAirNavChannelCode_chan052Y</v>
      </c>
      <c r="B6551" s="330"/>
      <c r="C6551" s="334"/>
      <c r="D6551" s="188" t="s">
        <v>14071</v>
      </c>
      <c r="E6551" s="189" t="s">
        <v>14072</v>
      </c>
      <c r="F6551" s="162" t="s">
        <v>31248</v>
      </c>
      <c r="G6551" s="162" t="s">
        <v>13413</v>
      </c>
      <c r="H6551" s="219"/>
      <c r="I6551" s="169">
        <v>115918</v>
      </c>
      <c r="J6551" s="304" t="str">
        <f>CONCATENATE([2]Cover!$D$6,"fdd/view?i=",I6551)</f>
        <v>https://www.dgiwg.org/FAD/fdd/view?i=115918</v>
      </c>
      <c r="K6551" s="304" t="s">
        <v>40600</v>
      </c>
      <c r="L6551" s="188">
        <v>157</v>
      </c>
      <c r="M6551" s="179" t="s">
        <v>151</v>
      </c>
    </row>
    <row r="6552" spans="1:13" ht="25.5">
      <c r="A6552" s="313" t="str">
        <f t="shared" si="102"/>
        <v>TacticalAirNavChannelCode_chan052Z</v>
      </c>
      <c r="B6552" s="330"/>
      <c r="C6552" s="334"/>
      <c r="D6552" s="188" t="s">
        <v>14074</v>
      </c>
      <c r="E6552" s="189" t="s">
        <v>14075</v>
      </c>
      <c r="F6552" s="162" t="s">
        <v>31249</v>
      </c>
      <c r="G6552" s="162" t="s">
        <v>13413</v>
      </c>
      <c r="H6552" s="219"/>
      <c r="I6552" s="169">
        <v>115919</v>
      </c>
      <c r="J6552" s="304" t="str">
        <f>CONCATENATE([2]Cover!$D$6,"fdd/view?i=",I6552)</f>
        <v>https://www.dgiwg.org/FAD/fdd/view?i=115919</v>
      </c>
      <c r="K6552" s="304" t="s">
        <v>40601</v>
      </c>
      <c r="L6552" s="188">
        <v>158</v>
      </c>
      <c r="M6552" s="179" t="s">
        <v>151</v>
      </c>
    </row>
    <row r="6553" spans="1:13" ht="25.5">
      <c r="A6553" s="313" t="str">
        <f t="shared" si="102"/>
        <v>TacticalAirNavChannelCode_chan053X</v>
      </c>
      <c r="B6553" s="330"/>
      <c r="C6553" s="334"/>
      <c r="D6553" s="188" t="s">
        <v>14077</v>
      </c>
      <c r="E6553" s="189" t="s">
        <v>14078</v>
      </c>
      <c r="F6553" s="162" t="s">
        <v>31250</v>
      </c>
      <c r="G6553" s="162" t="s">
        <v>13413</v>
      </c>
      <c r="H6553" s="219"/>
      <c r="I6553" s="169">
        <v>115920</v>
      </c>
      <c r="J6553" s="304" t="str">
        <f>CONCATENATE([2]Cover!$D$6,"fdd/view?i=",I6553)</f>
        <v>https://www.dgiwg.org/FAD/fdd/view?i=115920</v>
      </c>
      <c r="K6553" s="304" t="s">
        <v>40602</v>
      </c>
      <c r="L6553" s="188">
        <v>159</v>
      </c>
      <c r="M6553" s="179" t="s">
        <v>151</v>
      </c>
    </row>
    <row r="6554" spans="1:13" ht="25.5">
      <c r="A6554" s="313" t="str">
        <f t="shared" si="102"/>
        <v>TacticalAirNavChannelCode_chan053Y</v>
      </c>
      <c r="B6554" s="330"/>
      <c r="C6554" s="334"/>
      <c r="D6554" s="188" t="s">
        <v>14080</v>
      </c>
      <c r="E6554" s="189" t="s">
        <v>14081</v>
      </c>
      <c r="F6554" s="162" t="s">
        <v>31251</v>
      </c>
      <c r="G6554" s="162" t="s">
        <v>13413</v>
      </c>
      <c r="H6554" s="219"/>
      <c r="I6554" s="169">
        <v>115921</v>
      </c>
      <c r="J6554" s="304" t="str">
        <f>CONCATENATE([2]Cover!$D$6,"fdd/view?i=",I6554)</f>
        <v>https://www.dgiwg.org/FAD/fdd/view?i=115921</v>
      </c>
      <c r="K6554" s="304" t="s">
        <v>40603</v>
      </c>
      <c r="L6554" s="188">
        <v>160</v>
      </c>
      <c r="M6554" s="179" t="s">
        <v>151</v>
      </c>
    </row>
    <row r="6555" spans="1:13" ht="25.5">
      <c r="A6555" s="313" t="str">
        <f t="shared" si="102"/>
        <v>TacticalAirNavChannelCode_chan053Z</v>
      </c>
      <c r="B6555" s="330"/>
      <c r="C6555" s="334"/>
      <c r="D6555" s="188" t="s">
        <v>14083</v>
      </c>
      <c r="E6555" s="189" t="s">
        <v>14084</v>
      </c>
      <c r="F6555" s="162" t="s">
        <v>31252</v>
      </c>
      <c r="G6555" s="162" t="s">
        <v>13413</v>
      </c>
      <c r="H6555" s="219"/>
      <c r="I6555" s="169">
        <v>115922</v>
      </c>
      <c r="J6555" s="304" t="str">
        <f>CONCATENATE([2]Cover!$D$6,"fdd/view?i=",I6555)</f>
        <v>https://www.dgiwg.org/FAD/fdd/view?i=115922</v>
      </c>
      <c r="K6555" s="304" t="s">
        <v>40604</v>
      </c>
      <c r="L6555" s="188">
        <v>161</v>
      </c>
      <c r="M6555" s="179" t="s">
        <v>151</v>
      </c>
    </row>
    <row r="6556" spans="1:13" ht="25.5">
      <c r="A6556" s="313" t="str">
        <f t="shared" si="102"/>
        <v>TacticalAirNavChannelCode_chan054W</v>
      </c>
      <c r="B6556" s="330"/>
      <c r="C6556" s="334"/>
      <c r="D6556" s="188" t="s">
        <v>14086</v>
      </c>
      <c r="E6556" s="189" t="s">
        <v>14087</v>
      </c>
      <c r="F6556" s="162" t="s">
        <v>31253</v>
      </c>
      <c r="G6556" s="162" t="s">
        <v>13413</v>
      </c>
      <c r="H6556" s="219"/>
      <c r="I6556" s="169">
        <v>115923</v>
      </c>
      <c r="J6556" s="304" t="str">
        <f>CONCATENATE([2]Cover!$D$6,"fdd/view?i=",I6556)</f>
        <v>https://www.dgiwg.org/FAD/fdd/view?i=115923</v>
      </c>
      <c r="K6556" s="304" t="s">
        <v>40605</v>
      </c>
      <c r="L6556" s="188">
        <v>162</v>
      </c>
      <c r="M6556" s="179" t="s">
        <v>151</v>
      </c>
    </row>
    <row r="6557" spans="1:13" ht="25.5">
      <c r="A6557" s="313" t="str">
        <f t="shared" si="102"/>
        <v>TacticalAirNavChannelCode_chan054X</v>
      </c>
      <c r="B6557" s="330"/>
      <c r="C6557" s="334"/>
      <c r="D6557" s="188" t="s">
        <v>14089</v>
      </c>
      <c r="E6557" s="189" t="s">
        <v>14090</v>
      </c>
      <c r="F6557" s="162" t="s">
        <v>31254</v>
      </c>
      <c r="G6557" s="162" t="s">
        <v>13413</v>
      </c>
      <c r="H6557" s="219"/>
      <c r="I6557" s="169">
        <v>115924</v>
      </c>
      <c r="J6557" s="304" t="str">
        <f>CONCATENATE([2]Cover!$D$6,"fdd/view?i=",I6557)</f>
        <v>https://www.dgiwg.org/FAD/fdd/view?i=115924</v>
      </c>
      <c r="K6557" s="304" t="s">
        <v>40606</v>
      </c>
      <c r="L6557" s="188">
        <v>163</v>
      </c>
      <c r="M6557" s="179" t="s">
        <v>151</v>
      </c>
    </row>
    <row r="6558" spans="1:13" ht="25.5">
      <c r="A6558" s="313" t="str">
        <f t="shared" si="102"/>
        <v>TacticalAirNavChannelCode_chan054Y</v>
      </c>
      <c r="B6558" s="330"/>
      <c r="C6558" s="334"/>
      <c r="D6558" s="188" t="s">
        <v>14092</v>
      </c>
      <c r="E6558" s="189" t="s">
        <v>14093</v>
      </c>
      <c r="F6558" s="162" t="s">
        <v>31255</v>
      </c>
      <c r="G6558" s="162" t="s">
        <v>13413</v>
      </c>
      <c r="H6558" s="219"/>
      <c r="I6558" s="169">
        <v>115925</v>
      </c>
      <c r="J6558" s="304" t="str">
        <f>CONCATENATE([2]Cover!$D$6,"fdd/view?i=",I6558)</f>
        <v>https://www.dgiwg.org/FAD/fdd/view?i=115925</v>
      </c>
      <c r="K6558" s="304" t="s">
        <v>40607</v>
      </c>
      <c r="L6558" s="188">
        <v>164</v>
      </c>
      <c r="M6558" s="179" t="s">
        <v>151</v>
      </c>
    </row>
    <row r="6559" spans="1:13" ht="25.5">
      <c r="A6559" s="313" t="str">
        <f t="shared" si="102"/>
        <v>TacticalAirNavChannelCode_chan054Z</v>
      </c>
      <c r="B6559" s="330"/>
      <c r="C6559" s="334"/>
      <c r="D6559" s="188" t="s">
        <v>14095</v>
      </c>
      <c r="E6559" s="189" t="s">
        <v>14096</v>
      </c>
      <c r="F6559" s="162" t="s">
        <v>31256</v>
      </c>
      <c r="G6559" s="162" t="s">
        <v>13413</v>
      </c>
      <c r="H6559" s="219"/>
      <c r="I6559" s="169">
        <v>115926</v>
      </c>
      <c r="J6559" s="304" t="str">
        <f>CONCATENATE([2]Cover!$D$6,"fdd/view?i=",I6559)</f>
        <v>https://www.dgiwg.org/FAD/fdd/view?i=115926</v>
      </c>
      <c r="K6559" s="304" t="s">
        <v>40608</v>
      </c>
      <c r="L6559" s="188">
        <v>165</v>
      </c>
      <c r="M6559" s="179" t="s">
        <v>151</v>
      </c>
    </row>
    <row r="6560" spans="1:13" ht="25.5">
      <c r="A6560" s="313" t="str">
        <f t="shared" si="102"/>
        <v>TacticalAirNavChannelCode_chan055X</v>
      </c>
      <c r="B6560" s="330"/>
      <c r="C6560" s="334"/>
      <c r="D6560" s="188" t="s">
        <v>14098</v>
      </c>
      <c r="E6560" s="189" t="s">
        <v>14099</v>
      </c>
      <c r="F6560" s="162" t="s">
        <v>31257</v>
      </c>
      <c r="G6560" s="162" t="s">
        <v>13413</v>
      </c>
      <c r="H6560" s="219"/>
      <c r="I6560" s="169">
        <v>115927</v>
      </c>
      <c r="J6560" s="304" t="str">
        <f>CONCATENATE([2]Cover!$D$6,"fdd/view?i=",I6560)</f>
        <v>https://www.dgiwg.org/FAD/fdd/view?i=115927</v>
      </c>
      <c r="K6560" s="304" t="s">
        <v>40609</v>
      </c>
      <c r="L6560" s="188">
        <v>166</v>
      </c>
      <c r="M6560" s="179" t="s">
        <v>151</v>
      </c>
    </row>
    <row r="6561" spans="1:13" ht="25.5">
      <c r="A6561" s="313" t="str">
        <f t="shared" si="102"/>
        <v>TacticalAirNavChannelCode_chan055Y</v>
      </c>
      <c r="B6561" s="330"/>
      <c r="C6561" s="334"/>
      <c r="D6561" s="188" t="s">
        <v>14101</v>
      </c>
      <c r="E6561" s="189" t="s">
        <v>14102</v>
      </c>
      <c r="F6561" s="162" t="s">
        <v>31258</v>
      </c>
      <c r="G6561" s="162" t="s">
        <v>13413</v>
      </c>
      <c r="H6561" s="219"/>
      <c r="I6561" s="169">
        <v>115928</v>
      </c>
      <c r="J6561" s="304" t="str">
        <f>CONCATENATE([2]Cover!$D$6,"fdd/view?i=",I6561)</f>
        <v>https://www.dgiwg.org/FAD/fdd/view?i=115928</v>
      </c>
      <c r="K6561" s="304" t="s">
        <v>40610</v>
      </c>
      <c r="L6561" s="188">
        <v>167</v>
      </c>
      <c r="M6561" s="179" t="s">
        <v>151</v>
      </c>
    </row>
    <row r="6562" spans="1:13" ht="25.5">
      <c r="A6562" s="313" t="str">
        <f t="shared" si="102"/>
        <v>TacticalAirNavChannelCode_chan055Z</v>
      </c>
      <c r="B6562" s="330"/>
      <c r="C6562" s="334"/>
      <c r="D6562" s="188" t="s">
        <v>14104</v>
      </c>
      <c r="E6562" s="189" t="s">
        <v>14105</v>
      </c>
      <c r="F6562" s="162" t="s">
        <v>31259</v>
      </c>
      <c r="G6562" s="162" t="s">
        <v>13413</v>
      </c>
      <c r="H6562" s="219"/>
      <c r="I6562" s="169">
        <v>115929</v>
      </c>
      <c r="J6562" s="304" t="str">
        <f>CONCATENATE([2]Cover!$D$6,"fdd/view?i=",I6562)</f>
        <v>https://www.dgiwg.org/FAD/fdd/view?i=115929</v>
      </c>
      <c r="K6562" s="304" t="s">
        <v>40611</v>
      </c>
      <c r="L6562" s="188">
        <v>168</v>
      </c>
      <c r="M6562" s="179" t="s">
        <v>151</v>
      </c>
    </row>
    <row r="6563" spans="1:13" ht="25.5">
      <c r="A6563" s="313" t="str">
        <f t="shared" si="102"/>
        <v>TacticalAirNavChannelCode_chan056W</v>
      </c>
      <c r="B6563" s="330"/>
      <c r="C6563" s="334"/>
      <c r="D6563" s="188" t="s">
        <v>14107</v>
      </c>
      <c r="E6563" s="189" t="s">
        <v>14108</v>
      </c>
      <c r="F6563" s="162" t="s">
        <v>31260</v>
      </c>
      <c r="G6563" s="162" t="s">
        <v>13413</v>
      </c>
      <c r="H6563" s="219"/>
      <c r="I6563" s="169">
        <v>115930</v>
      </c>
      <c r="J6563" s="304" t="str">
        <f>CONCATENATE([2]Cover!$D$6,"fdd/view?i=",I6563)</f>
        <v>https://www.dgiwg.org/FAD/fdd/view?i=115930</v>
      </c>
      <c r="K6563" s="304" t="s">
        <v>40612</v>
      </c>
      <c r="L6563" s="188">
        <v>169</v>
      </c>
      <c r="M6563" s="179" t="s">
        <v>151</v>
      </c>
    </row>
    <row r="6564" spans="1:13" ht="25.5">
      <c r="A6564" s="313" t="str">
        <f t="shared" si="102"/>
        <v>TacticalAirNavChannelCode_chan056X</v>
      </c>
      <c r="B6564" s="330"/>
      <c r="C6564" s="334"/>
      <c r="D6564" s="188" t="s">
        <v>14110</v>
      </c>
      <c r="E6564" s="189" t="s">
        <v>14111</v>
      </c>
      <c r="F6564" s="162" t="s">
        <v>31261</v>
      </c>
      <c r="G6564" s="162" t="s">
        <v>13413</v>
      </c>
      <c r="H6564" s="219"/>
      <c r="I6564" s="169">
        <v>115931</v>
      </c>
      <c r="J6564" s="304" t="str">
        <f>CONCATENATE([2]Cover!$D$6,"fdd/view?i=",I6564)</f>
        <v>https://www.dgiwg.org/FAD/fdd/view?i=115931</v>
      </c>
      <c r="K6564" s="304" t="s">
        <v>40613</v>
      </c>
      <c r="L6564" s="188">
        <v>170</v>
      </c>
      <c r="M6564" s="179" t="s">
        <v>151</v>
      </c>
    </row>
    <row r="6565" spans="1:13" ht="25.5">
      <c r="A6565" s="313" t="str">
        <f t="shared" si="102"/>
        <v>TacticalAirNavChannelCode_chan056Y</v>
      </c>
      <c r="B6565" s="330"/>
      <c r="C6565" s="334"/>
      <c r="D6565" s="188" t="s">
        <v>14113</v>
      </c>
      <c r="E6565" s="189" t="s">
        <v>14114</v>
      </c>
      <c r="F6565" s="162" t="s">
        <v>31262</v>
      </c>
      <c r="G6565" s="162" t="s">
        <v>13413</v>
      </c>
      <c r="H6565" s="219"/>
      <c r="I6565" s="169">
        <v>115932</v>
      </c>
      <c r="J6565" s="304" t="str">
        <f>CONCATENATE([2]Cover!$D$6,"fdd/view?i=",I6565)</f>
        <v>https://www.dgiwg.org/FAD/fdd/view?i=115932</v>
      </c>
      <c r="K6565" s="304" t="s">
        <v>40614</v>
      </c>
      <c r="L6565" s="188">
        <v>171</v>
      </c>
      <c r="M6565" s="179" t="s">
        <v>151</v>
      </c>
    </row>
    <row r="6566" spans="1:13" ht="25.5">
      <c r="A6566" s="313" t="str">
        <f t="shared" si="102"/>
        <v>TacticalAirNavChannelCode_chan056Z</v>
      </c>
      <c r="B6566" s="330"/>
      <c r="C6566" s="334"/>
      <c r="D6566" s="188" t="s">
        <v>14116</v>
      </c>
      <c r="E6566" s="189" t="s">
        <v>14117</v>
      </c>
      <c r="F6566" s="162" t="s">
        <v>31263</v>
      </c>
      <c r="G6566" s="162" t="s">
        <v>13413</v>
      </c>
      <c r="H6566" s="219"/>
      <c r="I6566" s="169">
        <v>115933</v>
      </c>
      <c r="J6566" s="304" t="str">
        <f>CONCATENATE([2]Cover!$D$6,"fdd/view?i=",I6566)</f>
        <v>https://www.dgiwg.org/FAD/fdd/view?i=115933</v>
      </c>
      <c r="K6566" s="304" t="s">
        <v>40615</v>
      </c>
      <c r="L6566" s="188">
        <v>172</v>
      </c>
      <c r="M6566" s="179" t="s">
        <v>151</v>
      </c>
    </row>
    <row r="6567" spans="1:13" ht="25.5">
      <c r="A6567" s="313" t="str">
        <f t="shared" si="102"/>
        <v>TacticalAirNavChannelCode_chan057X</v>
      </c>
      <c r="B6567" s="330"/>
      <c r="C6567" s="334"/>
      <c r="D6567" s="188" t="s">
        <v>14119</v>
      </c>
      <c r="E6567" s="189" t="s">
        <v>14120</v>
      </c>
      <c r="F6567" s="162" t="s">
        <v>31264</v>
      </c>
      <c r="G6567" s="162" t="s">
        <v>13413</v>
      </c>
      <c r="H6567" s="219"/>
      <c r="I6567" s="169">
        <v>115934</v>
      </c>
      <c r="J6567" s="304" t="str">
        <f>CONCATENATE([2]Cover!$D$6,"fdd/view?i=",I6567)</f>
        <v>https://www.dgiwg.org/FAD/fdd/view?i=115934</v>
      </c>
      <c r="K6567" s="304" t="s">
        <v>40616</v>
      </c>
      <c r="L6567" s="188">
        <v>173</v>
      </c>
      <c r="M6567" s="179" t="s">
        <v>151</v>
      </c>
    </row>
    <row r="6568" spans="1:13" ht="25.5">
      <c r="A6568" s="313" t="str">
        <f t="shared" si="102"/>
        <v>TacticalAirNavChannelCode_chan057Y</v>
      </c>
      <c r="B6568" s="330"/>
      <c r="C6568" s="334"/>
      <c r="D6568" s="188" t="s">
        <v>14122</v>
      </c>
      <c r="E6568" s="189" t="s">
        <v>14123</v>
      </c>
      <c r="F6568" s="162" t="s">
        <v>31265</v>
      </c>
      <c r="G6568" s="162" t="s">
        <v>13413</v>
      </c>
      <c r="H6568" s="219"/>
      <c r="I6568" s="169">
        <v>115935</v>
      </c>
      <c r="J6568" s="304" t="str">
        <f>CONCATENATE([2]Cover!$D$6,"fdd/view?i=",I6568)</f>
        <v>https://www.dgiwg.org/FAD/fdd/view?i=115935</v>
      </c>
      <c r="K6568" s="304" t="s">
        <v>40617</v>
      </c>
      <c r="L6568" s="188">
        <v>174</v>
      </c>
      <c r="M6568" s="179" t="s">
        <v>151</v>
      </c>
    </row>
    <row r="6569" spans="1:13" ht="25.5">
      <c r="A6569" s="313" t="str">
        <f t="shared" si="102"/>
        <v>TacticalAirNavChannelCode_chan058X</v>
      </c>
      <c r="B6569" s="330"/>
      <c r="C6569" s="334"/>
      <c r="D6569" s="188" t="s">
        <v>14125</v>
      </c>
      <c r="E6569" s="189" t="s">
        <v>14126</v>
      </c>
      <c r="F6569" s="162" t="s">
        <v>31266</v>
      </c>
      <c r="G6569" s="162" t="s">
        <v>13413</v>
      </c>
      <c r="H6569" s="219"/>
      <c r="I6569" s="169">
        <v>115936</v>
      </c>
      <c r="J6569" s="304" t="str">
        <f>CONCATENATE([2]Cover!$D$6,"fdd/view?i=",I6569)</f>
        <v>https://www.dgiwg.org/FAD/fdd/view?i=115936</v>
      </c>
      <c r="K6569" s="304" t="s">
        <v>40618</v>
      </c>
      <c r="L6569" s="188">
        <v>175</v>
      </c>
      <c r="M6569" s="179" t="s">
        <v>151</v>
      </c>
    </row>
    <row r="6570" spans="1:13" ht="25.5">
      <c r="A6570" s="313" t="str">
        <f t="shared" si="102"/>
        <v>TacticalAirNavChannelCode_chan058Y</v>
      </c>
      <c r="B6570" s="330"/>
      <c r="C6570" s="334"/>
      <c r="D6570" s="188" t="s">
        <v>14128</v>
      </c>
      <c r="E6570" s="189" t="s">
        <v>14129</v>
      </c>
      <c r="F6570" s="162" t="s">
        <v>31267</v>
      </c>
      <c r="G6570" s="162" t="s">
        <v>13413</v>
      </c>
      <c r="H6570" s="219"/>
      <c r="I6570" s="169">
        <v>115937</v>
      </c>
      <c r="J6570" s="304" t="str">
        <f>CONCATENATE([2]Cover!$D$6,"fdd/view?i=",I6570)</f>
        <v>https://www.dgiwg.org/FAD/fdd/view?i=115937</v>
      </c>
      <c r="K6570" s="304" t="s">
        <v>40619</v>
      </c>
      <c r="L6570" s="188">
        <v>176</v>
      </c>
      <c r="M6570" s="179" t="s">
        <v>151</v>
      </c>
    </row>
    <row r="6571" spans="1:13" ht="25.5">
      <c r="A6571" s="313" t="str">
        <f t="shared" si="102"/>
        <v>TacticalAirNavChannelCode_chan059X</v>
      </c>
      <c r="B6571" s="330"/>
      <c r="C6571" s="334"/>
      <c r="D6571" s="188" t="s">
        <v>14131</v>
      </c>
      <c r="E6571" s="189" t="s">
        <v>14132</v>
      </c>
      <c r="F6571" s="162" t="s">
        <v>31268</v>
      </c>
      <c r="G6571" s="162" t="s">
        <v>13413</v>
      </c>
      <c r="H6571" s="219"/>
      <c r="I6571" s="169">
        <v>115938</v>
      </c>
      <c r="J6571" s="304" t="str">
        <f>CONCATENATE([2]Cover!$D$6,"fdd/view?i=",I6571)</f>
        <v>https://www.dgiwg.org/FAD/fdd/view?i=115938</v>
      </c>
      <c r="K6571" s="304" t="s">
        <v>40620</v>
      </c>
      <c r="L6571" s="188">
        <v>177</v>
      </c>
      <c r="M6571" s="179" t="s">
        <v>151</v>
      </c>
    </row>
    <row r="6572" spans="1:13" ht="25.5">
      <c r="A6572" s="313" t="str">
        <f t="shared" si="102"/>
        <v>TacticalAirNavChannelCode_chan059Y</v>
      </c>
      <c r="B6572" s="330"/>
      <c r="C6572" s="334"/>
      <c r="D6572" s="188" t="s">
        <v>14134</v>
      </c>
      <c r="E6572" s="189" t="s">
        <v>14135</v>
      </c>
      <c r="F6572" s="162" t="s">
        <v>31269</v>
      </c>
      <c r="G6572" s="162" t="s">
        <v>13413</v>
      </c>
      <c r="H6572" s="219"/>
      <c r="I6572" s="169">
        <v>115939</v>
      </c>
      <c r="J6572" s="304" t="str">
        <f>CONCATENATE([2]Cover!$D$6,"fdd/view?i=",I6572)</f>
        <v>https://www.dgiwg.org/FAD/fdd/view?i=115939</v>
      </c>
      <c r="K6572" s="304" t="s">
        <v>40621</v>
      </c>
      <c r="L6572" s="188">
        <v>178</v>
      </c>
      <c r="M6572" s="179" t="s">
        <v>151</v>
      </c>
    </row>
    <row r="6573" spans="1:13" ht="25.5">
      <c r="A6573" s="313" t="str">
        <f t="shared" si="102"/>
        <v>TacticalAirNavChannelCode_chan060X</v>
      </c>
      <c r="B6573" s="330"/>
      <c r="C6573" s="334"/>
      <c r="D6573" s="188" t="s">
        <v>14143</v>
      </c>
      <c r="E6573" s="189" t="s">
        <v>14144</v>
      </c>
      <c r="F6573" s="162" t="s">
        <v>31272</v>
      </c>
      <c r="G6573" s="162" t="s">
        <v>13413</v>
      </c>
      <c r="H6573" s="219"/>
      <c r="I6573" s="169">
        <v>115940</v>
      </c>
      <c r="J6573" s="304" t="str">
        <f>CONCATENATE([2]Cover!$D$6,"fdd/view?i=",I6573)</f>
        <v>https://www.dgiwg.org/FAD/fdd/view?i=115940</v>
      </c>
      <c r="K6573" s="304" t="s">
        <v>40622</v>
      </c>
      <c r="L6573" s="188">
        <v>179</v>
      </c>
      <c r="M6573" s="179" t="s">
        <v>151</v>
      </c>
    </row>
    <row r="6574" spans="1:13" ht="25.5">
      <c r="A6574" s="313" t="str">
        <f t="shared" si="102"/>
        <v>TacticalAirNavChannelCode_chan060Y</v>
      </c>
      <c r="B6574" s="330"/>
      <c r="C6574" s="334"/>
      <c r="D6574" s="188" t="s">
        <v>14146</v>
      </c>
      <c r="E6574" s="189" t="s">
        <v>14147</v>
      </c>
      <c r="F6574" s="162" t="s">
        <v>31273</v>
      </c>
      <c r="G6574" s="162" t="s">
        <v>13413</v>
      </c>
      <c r="H6574" s="219"/>
      <c r="I6574" s="169">
        <v>115941</v>
      </c>
      <c r="J6574" s="304" t="str">
        <f>CONCATENATE([2]Cover!$D$6,"fdd/view?i=",I6574)</f>
        <v>https://www.dgiwg.org/FAD/fdd/view?i=115941</v>
      </c>
      <c r="K6574" s="304" t="s">
        <v>40623</v>
      </c>
      <c r="L6574" s="188">
        <v>180</v>
      </c>
      <c r="M6574" s="179" t="s">
        <v>151</v>
      </c>
    </row>
    <row r="6575" spans="1:13" ht="25.5">
      <c r="A6575" s="313" t="str">
        <f t="shared" si="102"/>
        <v>TacticalAirNavChannelCode_chan061X</v>
      </c>
      <c r="B6575" s="330"/>
      <c r="C6575" s="334"/>
      <c r="D6575" s="188" t="s">
        <v>14149</v>
      </c>
      <c r="E6575" s="189" t="s">
        <v>14150</v>
      </c>
      <c r="F6575" s="162" t="s">
        <v>31274</v>
      </c>
      <c r="G6575" s="162" t="s">
        <v>13413</v>
      </c>
      <c r="H6575" s="219"/>
      <c r="I6575" s="169">
        <v>115942</v>
      </c>
      <c r="J6575" s="304" t="str">
        <f>CONCATENATE([2]Cover!$D$6,"fdd/view?i=",I6575)</f>
        <v>https://www.dgiwg.org/FAD/fdd/view?i=115942</v>
      </c>
      <c r="K6575" s="304" t="s">
        <v>40624</v>
      </c>
      <c r="L6575" s="188">
        <v>181</v>
      </c>
      <c r="M6575" s="179" t="s">
        <v>151</v>
      </c>
    </row>
    <row r="6576" spans="1:13" ht="25.5">
      <c r="A6576" s="313" t="str">
        <f t="shared" si="102"/>
        <v>TacticalAirNavChannelCode_chan061Y</v>
      </c>
      <c r="B6576" s="330"/>
      <c r="C6576" s="334"/>
      <c r="D6576" s="188" t="s">
        <v>14152</v>
      </c>
      <c r="E6576" s="189" t="s">
        <v>14153</v>
      </c>
      <c r="F6576" s="162" t="s">
        <v>31275</v>
      </c>
      <c r="G6576" s="162" t="s">
        <v>13413</v>
      </c>
      <c r="H6576" s="219"/>
      <c r="I6576" s="169">
        <v>115943</v>
      </c>
      <c r="J6576" s="304" t="str">
        <f>CONCATENATE([2]Cover!$D$6,"fdd/view?i=",I6576)</f>
        <v>https://www.dgiwg.org/FAD/fdd/view?i=115943</v>
      </c>
      <c r="K6576" s="304" t="s">
        <v>40625</v>
      </c>
      <c r="L6576" s="188">
        <v>182</v>
      </c>
      <c r="M6576" s="179" t="s">
        <v>151</v>
      </c>
    </row>
    <row r="6577" spans="1:13" ht="25.5">
      <c r="A6577" s="313" t="str">
        <f t="shared" si="102"/>
        <v>TacticalAirNavChannelCode_chan062X</v>
      </c>
      <c r="B6577" s="330"/>
      <c r="C6577" s="334"/>
      <c r="D6577" s="188" t="s">
        <v>14155</v>
      </c>
      <c r="E6577" s="189" t="s">
        <v>14156</v>
      </c>
      <c r="F6577" s="162" t="s">
        <v>31276</v>
      </c>
      <c r="G6577" s="162" t="s">
        <v>13413</v>
      </c>
      <c r="H6577" s="219"/>
      <c r="I6577" s="169">
        <v>115944</v>
      </c>
      <c r="J6577" s="304" t="str">
        <f>CONCATENATE([2]Cover!$D$6,"fdd/view?i=",I6577)</f>
        <v>https://www.dgiwg.org/FAD/fdd/view?i=115944</v>
      </c>
      <c r="K6577" s="304" t="s">
        <v>40626</v>
      </c>
      <c r="L6577" s="188">
        <v>183</v>
      </c>
      <c r="M6577" s="179" t="s">
        <v>151</v>
      </c>
    </row>
    <row r="6578" spans="1:13" ht="25.5">
      <c r="A6578" s="313" t="str">
        <f t="shared" si="102"/>
        <v>TacticalAirNavChannelCode_chan062Y</v>
      </c>
      <c r="B6578" s="330"/>
      <c r="C6578" s="334"/>
      <c r="D6578" s="188" t="s">
        <v>14158</v>
      </c>
      <c r="E6578" s="189" t="s">
        <v>14159</v>
      </c>
      <c r="F6578" s="162" t="s">
        <v>31277</v>
      </c>
      <c r="G6578" s="162" t="s">
        <v>13413</v>
      </c>
      <c r="H6578" s="219"/>
      <c r="I6578" s="169">
        <v>115945</v>
      </c>
      <c r="J6578" s="304" t="str">
        <f>CONCATENATE([2]Cover!$D$6,"fdd/view?i=",I6578)</f>
        <v>https://www.dgiwg.org/FAD/fdd/view?i=115945</v>
      </c>
      <c r="K6578" s="304" t="s">
        <v>40627</v>
      </c>
      <c r="L6578" s="188">
        <v>184</v>
      </c>
      <c r="M6578" s="179" t="s">
        <v>151</v>
      </c>
    </row>
    <row r="6579" spans="1:13" ht="25.5">
      <c r="A6579" s="313" t="str">
        <f t="shared" si="102"/>
        <v>TacticalAirNavChannelCode_chan063X</v>
      </c>
      <c r="B6579" s="330"/>
      <c r="C6579" s="334"/>
      <c r="D6579" s="188" t="s">
        <v>14161</v>
      </c>
      <c r="E6579" s="189" t="s">
        <v>14162</v>
      </c>
      <c r="F6579" s="162" t="s">
        <v>31278</v>
      </c>
      <c r="G6579" s="162" t="s">
        <v>13413</v>
      </c>
      <c r="H6579" s="219"/>
      <c r="I6579" s="169">
        <v>115946</v>
      </c>
      <c r="J6579" s="304" t="str">
        <f>CONCATENATE([2]Cover!$D$6,"fdd/view?i=",I6579)</f>
        <v>https://www.dgiwg.org/FAD/fdd/view?i=115946</v>
      </c>
      <c r="K6579" s="304" t="s">
        <v>40628</v>
      </c>
      <c r="L6579" s="188">
        <v>185</v>
      </c>
      <c r="M6579" s="179" t="s">
        <v>151</v>
      </c>
    </row>
    <row r="6580" spans="1:13" ht="25.5">
      <c r="A6580" s="313" t="str">
        <f t="shared" si="102"/>
        <v>TacticalAirNavChannelCode_chan063Y</v>
      </c>
      <c r="B6580" s="330"/>
      <c r="C6580" s="334"/>
      <c r="D6580" s="188" t="s">
        <v>14164</v>
      </c>
      <c r="E6580" s="189" t="s">
        <v>14165</v>
      </c>
      <c r="F6580" s="162" t="s">
        <v>31279</v>
      </c>
      <c r="G6580" s="162" t="s">
        <v>13413</v>
      </c>
      <c r="H6580" s="219"/>
      <c r="I6580" s="169">
        <v>115947</v>
      </c>
      <c r="J6580" s="304" t="str">
        <f>CONCATENATE([2]Cover!$D$6,"fdd/view?i=",I6580)</f>
        <v>https://www.dgiwg.org/FAD/fdd/view?i=115947</v>
      </c>
      <c r="K6580" s="304" t="s">
        <v>40629</v>
      </c>
      <c r="L6580" s="188">
        <v>186</v>
      </c>
      <c r="M6580" s="179" t="s">
        <v>151</v>
      </c>
    </row>
    <row r="6581" spans="1:13" ht="25.5">
      <c r="A6581" s="313" t="str">
        <f t="shared" si="102"/>
        <v>TacticalAirNavChannelCode_chan064X</v>
      </c>
      <c r="B6581" s="330"/>
      <c r="C6581" s="334"/>
      <c r="D6581" s="188" t="s">
        <v>14167</v>
      </c>
      <c r="E6581" s="189" t="s">
        <v>14168</v>
      </c>
      <c r="F6581" s="162" t="s">
        <v>31280</v>
      </c>
      <c r="G6581" s="162" t="s">
        <v>13413</v>
      </c>
      <c r="H6581" s="219"/>
      <c r="I6581" s="169">
        <v>115948</v>
      </c>
      <c r="J6581" s="304" t="str">
        <f>CONCATENATE([2]Cover!$D$6,"fdd/view?i=",I6581)</f>
        <v>https://www.dgiwg.org/FAD/fdd/view?i=115948</v>
      </c>
      <c r="K6581" s="304" t="s">
        <v>40630</v>
      </c>
      <c r="L6581" s="188">
        <v>187</v>
      </c>
      <c r="M6581" s="179" t="s">
        <v>151</v>
      </c>
    </row>
    <row r="6582" spans="1:13" ht="25.5">
      <c r="A6582" s="313" t="str">
        <f t="shared" si="102"/>
        <v>TacticalAirNavChannelCode_chan064Y</v>
      </c>
      <c r="B6582" s="330"/>
      <c r="C6582" s="334"/>
      <c r="D6582" s="188" t="s">
        <v>14170</v>
      </c>
      <c r="E6582" s="189" t="s">
        <v>14171</v>
      </c>
      <c r="F6582" s="162" t="s">
        <v>31281</v>
      </c>
      <c r="G6582" s="162" t="s">
        <v>13413</v>
      </c>
      <c r="H6582" s="219"/>
      <c r="I6582" s="169">
        <v>115949</v>
      </c>
      <c r="J6582" s="304" t="str">
        <f>CONCATENATE([2]Cover!$D$6,"fdd/view?i=",I6582)</f>
        <v>https://www.dgiwg.org/FAD/fdd/view?i=115949</v>
      </c>
      <c r="K6582" s="304" t="s">
        <v>40631</v>
      </c>
      <c r="L6582" s="188">
        <v>188</v>
      </c>
      <c r="M6582" s="179" t="s">
        <v>151</v>
      </c>
    </row>
    <row r="6583" spans="1:13" ht="25.5">
      <c r="A6583" s="313" t="str">
        <f t="shared" si="102"/>
        <v>TacticalAirNavChannelCode_chan065X</v>
      </c>
      <c r="B6583" s="330"/>
      <c r="C6583" s="334"/>
      <c r="D6583" s="188" t="s">
        <v>14173</v>
      </c>
      <c r="E6583" s="189" t="s">
        <v>14174</v>
      </c>
      <c r="F6583" s="162" t="s">
        <v>31282</v>
      </c>
      <c r="G6583" s="162" t="s">
        <v>13413</v>
      </c>
      <c r="H6583" s="219"/>
      <c r="I6583" s="169">
        <v>115950</v>
      </c>
      <c r="J6583" s="304" t="str">
        <f>CONCATENATE([2]Cover!$D$6,"fdd/view?i=",I6583)</f>
        <v>https://www.dgiwg.org/FAD/fdd/view?i=115950</v>
      </c>
      <c r="K6583" s="304" t="s">
        <v>40632</v>
      </c>
      <c r="L6583" s="188">
        <v>189</v>
      </c>
      <c r="M6583" s="179" t="s">
        <v>151</v>
      </c>
    </row>
    <row r="6584" spans="1:13" ht="25.5">
      <c r="A6584" s="313" t="str">
        <f t="shared" si="102"/>
        <v>TacticalAirNavChannelCode_chan065Y</v>
      </c>
      <c r="B6584" s="330"/>
      <c r="C6584" s="334"/>
      <c r="D6584" s="188" t="s">
        <v>14176</v>
      </c>
      <c r="E6584" s="189" t="s">
        <v>14177</v>
      </c>
      <c r="F6584" s="162" t="s">
        <v>31283</v>
      </c>
      <c r="G6584" s="162" t="s">
        <v>13413</v>
      </c>
      <c r="H6584" s="219"/>
      <c r="I6584" s="169">
        <v>115951</v>
      </c>
      <c r="J6584" s="304" t="str">
        <f>CONCATENATE([2]Cover!$D$6,"fdd/view?i=",I6584)</f>
        <v>https://www.dgiwg.org/FAD/fdd/view?i=115951</v>
      </c>
      <c r="K6584" s="304" t="s">
        <v>40633</v>
      </c>
      <c r="L6584" s="188">
        <v>190</v>
      </c>
      <c r="M6584" s="179" t="s">
        <v>151</v>
      </c>
    </row>
    <row r="6585" spans="1:13" ht="25.5">
      <c r="A6585" s="313" t="str">
        <f t="shared" si="102"/>
        <v>TacticalAirNavChannelCode_chan066X</v>
      </c>
      <c r="B6585" s="330"/>
      <c r="C6585" s="334"/>
      <c r="D6585" s="188" t="s">
        <v>14179</v>
      </c>
      <c r="E6585" s="189" t="s">
        <v>14180</v>
      </c>
      <c r="F6585" s="162" t="s">
        <v>31284</v>
      </c>
      <c r="G6585" s="162" t="s">
        <v>13413</v>
      </c>
      <c r="H6585" s="219"/>
      <c r="I6585" s="169">
        <v>115952</v>
      </c>
      <c r="J6585" s="304" t="str">
        <f>CONCATENATE([2]Cover!$D$6,"fdd/view?i=",I6585)</f>
        <v>https://www.dgiwg.org/FAD/fdd/view?i=115952</v>
      </c>
      <c r="K6585" s="304" t="s">
        <v>40634</v>
      </c>
      <c r="L6585" s="188">
        <v>191</v>
      </c>
      <c r="M6585" s="179" t="s">
        <v>151</v>
      </c>
    </row>
    <row r="6586" spans="1:13" ht="25.5">
      <c r="A6586" s="313" t="str">
        <f t="shared" si="102"/>
        <v>TacticalAirNavChannelCode_chan066Y</v>
      </c>
      <c r="B6586" s="330"/>
      <c r="C6586" s="334"/>
      <c r="D6586" s="188" t="s">
        <v>14182</v>
      </c>
      <c r="E6586" s="189" t="s">
        <v>14183</v>
      </c>
      <c r="F6586" s="162" t="s">
        <v>31285</v>
      </c>
      <c r="G6586" s="162" t="s">
        <v>13413</v>
      </c>
      <c r="H6586" s="219"/>
      <c r="I6586" s="169">
        <v>115953</v>
      </c>
      <c r="J6586" s="304" t="str">
        <f>CONCATENATE([2]Cover!$D$6,"fdd/view?i=",I6586)</f>
        <v>https://www.dgiwg.org/FAD/fdd/view?i=115953</v>
      </c>
      <c r="K6586" s="304" t="s">
        <v>40635</v>
      </c>
      <c r="L6586" s="188">
        <v>192</v>
      </c>
      <c r="M6586" s="179" t="s">
        <v>151</v>
      </c>
    </row>
    <row r="6587" spans="1:13" ht="25.5">
      <c r="A6587" s="313" t="str">
        <f t="shared" si="102"/>
        <v>TacticalAirNavChannelCode_chan067X</v>
      </c>
      <c r="B6587" s="330"/>
      <c r="C6587" s="334"/>
      <c r="D6587" s="188" t="s">
        <v>14185</v>
      </c>
      <c r="E6587" s="189" t="s">
        <v>14186</v>
      </c>
      <c r="F6587" s="162" t="s">
        <v>31286</v>
      </c>
      <c r="G6587" s="162" t="s">
        <v>13413</v>
      </c>
      <c r="H6587" s="219"/>
      <c r="I6587" s="169">
        <v>115954</v>
      </c>
      <c r="J6587" s="304" t="str">
        <f>CONCATENATE([2]Cover!$D$6,"fdd/view?i=",I6587)</f>
        <v>https://www.dgiwg.org/FAD/fdd/view?i=115954</v>
      </c>
      <c r="K6587" s="304" t="s">
        <v>40636</v>
      </c>
      <c r="L6587" s="188">
        <v>193</v>
      </c>
      <c r="M6587" s="179" t="s">
        <v>151</v>
      </c>
    </row>
    <row r="6588" spans="1:13" ht="25.5">
      <c r="A6588" s="313" t="str">
        <f t="shared" si="102"/>
        <v>TacticalAirNavChannelCode_chan067Y</v>
      </c>
      <c r="B6588" s="330"/>
      <c r="C6588" s="334"/>
      <c r="D6588" s="188" t="s">
        <v>14188</v>
      </c>
      <c r="E6588" s="189" t="s">
        <v>14189</v>
      </c>
      <c r="F6588" s="162" t="s">
        <v>31287</v>
      </c>
      <c r="G6588" s="162" t="s">
        <v>13413</v>
      </c>
      <c r="H6588" s="219"/>
      <c r="I6588" s="169">
        <v>115955</v>
      </c>
      <c r="J6588" s="304" t="str">
        <f>CONCATENATE([2]Cover!$D$6,"fdd/view?i=",I6588)</f>
        <v>https://www.dgiwg.org/FAD/fdd/view?i=115955</v>
      </c>
      <c r="K6588" s="304" t="s">
        <v>40637</v>
      </c>
      <c r="L6588" s="188">
        <v>194</v>
      </c>
      <c r="M6588" s="179" t="s">
        <v>151</v>
      </c>
    </row>
    <row r="6589" spans="1:13" ht="25.5">
      <c r="A6589" s="313" t="str">
        <f t="shared" si="102"/>
        <v>TacticalAirNavChannelCode_chan068X</v>
      </c>
      <c r="B6589" s="330"/>
      <c r="C6589" s="334"/>
      <c r="D6589" s="188" t="s">
        <v>14191</v>
      </c>
      <c r="E6589" s="189" t="s">
        <v>14192</v>
      </c>
      <c r="F6589" s="162" t="s">
        <v>31288</v>
      </c>
      <c r="G6589" s="162" t="s">
        <v>13413</v>
      </c>
      <c r="H6589" s="219"/>
      <c r="I6589" s="169">
        <v>115956</v>
      </c>
      <c r="J6589" s="304" t="str">
        <f>CONCATENATE([2]Cover!$D$6,"fdd/view?i=",I6589)</f>
        <v>https://www.dgiwg.org/FAD/fdd/view?i=115956</v>
      </c>
      <c r="K6589" s="304" t="s">
        <v>40638</v>
      </c>
      <c r="L6589" s="188">
        <v>195</v>
      </c>
      <c r="M6589" s="179" t="s">
        <v>151</v>
      </c>
    </row>
    <row r="6590" spans="1:13" ht="25.5">
      <c r="A6590" s="313" t="str">
        <f t="shared" si="102"/>
        <v>TacticalAirNavChannelCode_chan068Y</v>
      </c>
      <c r="B6590" s="330"/>
      <c r="C6590" s="334"/>
      <c r="D6590" s="188" t="s">
        <v>14194</v>
      </c>
      <c r="E6590" s="189" t="s">
        <v>14195</v>
      </c>
      <c r="F6590" s="162" t="s">
        <v>31289</v>
      </c>
      <c r="G6590" s="162" t="s">
        <v>13413</v>
      </c>
      <c r="H6590" s="219"/>
      <c r="I6590" s="169">
        <v>115957</v>
      </c>
      <c r="J6590" s="304" t="str">
        <f>CONCATENATE([2]Cover!$D$6,"fdd/view?i=",I6590)</f>
        <v>https://www.dgiwg.org/FAD/fdd/view?i=115957</v>
      </c>
      <c r="K6590" s="304" t="s">
        <v>40639</v>
      </c>
      <c r="L6590" s="188">
        <v>196</v>
      </c>
      <c r="M6590" s="179" t="s">
        <v>151</v>
      </c>
    </row>
    <row r="6591" spans="1:13" ht="25.5">
      <c r="A6591" s="313" t="str">
        <f t="shared" si="102"/>
        <v>TacticalAirNavChannelCode_chan069X</v>
      </c>
      <c r="B6591" s="330"/>
      <c r="C6591" s="334"/>
      <c r="D6591" s="188" t="s">
        <v>14197</v>
      </c>
      <c r="E6591" s="189" t="s">
        <v>14198</v>
      </c>
      <c r="F6591" s="162" t="s">
        <v>31290</v>
      </c>
      <c r="G6591" s="162" t="s">
        <v>13413</v>
      </c>
      <c r="H6591" s="219"/>
      <c r="I6591" s="169">
        <v>115958</v>
      </c>
      <c r="J6591" s="304" t="str">
        <f>CONCATENATE([2]Cover!$D$6,"fdd/view?i=",I6591)</f>
        <v>https://www.dgiwg.org/FAD/fdd/view?i=115958</v>
      </c>
      <c r="K6591" s="304" t="s">
        <v>40640</v>
      </c>
      <c r="L6591" s="188">
        <v>197</v>
      </c>
      <c r="M6591" s="179" t="s">
        <v>151</v>
      </c>
    </row>
    <row r="6592" spans="1:13" ht="25.5">
      <c r="A6592" s="313" t="str">
        <f t="shared" si="102"/>
        <v>TacticalAirNavChannelCode_chan069Y</v>
      </c>
      <c r="B6592" s="330"/>
      <c r="C6592" s="334"/>
      <c r="D6592" s="188" t="s">
        <v>14200</v>
      </c>
      <c r="E6592" s="189" t="s">
        <v>14201</v>
      </c>
      <c r="F6592" s="162" t="s">
        <v>31291</v>
      </c>
      <c r="G6592" s="162" t="s">
        <v>13413</v>
      </c>
      <c r="H6592" s="219"/>
      <c r="I6592" s="169">
        <v>115959</v>
      </c>
      <c r="J6592" s="304" t="str">
        <f>CONCATENATE([2]Cover!$D$6,"fdd/view?i=",I6592)</f>
        <v>https://www.dgiwg.org/FAD/fdd/view?i=115959</v>
      </c>
      <c r="K6592" s="304" t="s">
        <v>40641</v>
      </c>
      <c r="L6592" s="188">
        <v>198</v>
      </c>
      <c r="M6592" s="179" t="s">
        <v>151</v>
      </c>
    </row>
    <row r="6593" spans="1:13" ht="25.5">
      <c r="A6593" s="313" t="str">
        <f t="shared" si="102"/>
        <v>TacticalAirNavChannelCode_chan070X</v>
      </c>
      <c r="B6593" s="330"/>
      <c r="C6593" s="334"/>
      <c r="D6593" s="188" t="s">
        <v>14209</v>
      </c>
      <c r="E6593" s="189" t="s">
        <v>14210</v>
      </c>
      <c r="F6593" s="162" t="s">
        <v>31294</v>
      </c>
      <c r="G6593" s="162" t="s">
        <v>13413</v>
      </c>
      <c r="H6593" s="219"/>
      <c r="I6593" s="169">
        <v>115960</v>
      </c>
      <c r="J6593" s="304" t="str">
        <f>CONCATENATE([2]Cover!$D$6,"fdd/view?i=",I6593)</f>
        <v>https://www.dgiwg.org/FAD/fdd/view?i=115960</v>
      </c>
      <c r="K6593" s="304" t="s">
        <v>40642</v>
      </c>
      <c r="L6593" s="188">
        <v>199</v>
      </c>
      <c r="M6593" s="179" t="s">
        <v>151</v>
      </c>
    </row>
    <row r="6594" spans="1:13" ht="25.5">
      <c r="A6594" s="313" t="str">
        <f t="shared" si="102"/>
        <v>TacticalAirNavChannelCode_chan070Y</v>
      </c>
      <c r="B6594" s="330"/>
      <c r="C6594" s="334"/>
      <c r="D6594" s="188" t="s">
        <v>14212</v>
      </c>
      <c r="E6594" s="189" t="s">
        <v>14213</v>
      </c>
      <c r="F6594" s="162" t="s">
        <v>31295</v>
      </c>
      <c r="G6594" s="162" t="s">
        <v>13413</v>
      </c>
      <c r="H6594" s="219"/>
      <c r="I6594" s="169">
        <v>115961</v>
      </c>
      <c r="J6594" s="304" t="str">
        <f>CONCATENATE([2]Cover!$D$6,"fdd/view?i=",I6594)</f>
        <v>https://www.dgiwg.org/FAD/fdd/view?i=115961</v>
      </c>
      <c r="K6594" s="304" t="s">
        <v>40643</v>
      </c>
      <c r="L6594" s="188">
        <v>200</v>
      </c>
      <c r="M6594" s="179" t="s">
        <v>151</v>
      </c>
    </row>
    <row r="6595" spans="1:13" ht="25.5">
      <c r="A6595" s="313" t="str">
        <f t="shared" ref="A6595:A6658" si="103">HYPERLINK(J6595,K6595)</f>
        <v>TacticalAirNavChannelCode_chan071X</v>
      </c>
      <c r="B6595" s="330"/>
      <c r="C6595" s="334"/>
      <c r="D6595" s="188" t="s">
        <v>14215</v>
      </c>
      <c r="E6595" s="189" t="s">
        <v>14216</v>
      </c>
      <c r="F6595" s="162" t="s">
        <v>31296</v>
      </c>
      <c r="G6595" s="162" t="s">
        <v>13413</v>
      </c>
      <c r="H6595" s="219"/>
      <c r="I6595" s="169">
        <v>115962</v>
      </c>
      <c r="J6595" s="304" t="str">
        <f>CONCATENATE([2]Cover!$D$6,"fdd/view?i=",I6595)</f>
        <v>https://www.dgiwg.org/FAD/fdd/view?i=115962</v>
      </c>
      <c r="K6595" s="304" t="s">
        <v>40644</v>
      </c>
      <c r="L6595" s="188">
        <v>201</v>
      </c>
      <c r="M6595" s="179" t="s">
        <v>151</v>
      </c>
    </row>
    <row r="6596" spans="1:13" ht="25.5">
      <c r="A6596" s="313" t="str">
        <f t="shared" si="103"/>
        <v>TacticalAirNavChannelCode_chan071Y</v>
      </c>
      <c r="B6596" s="330"/>
      <c r="C6596" s="334"/>
      <c r="D6596" s="188" t="s">
        <v>14218</v>
      </c>
      <c r="E6596" s="189" t="s">
        <v>14219</v>
      </c>
      <c r="F6596" s="162" t="s">
        <v>31297</v>
      </c>
      <c r="G6596" s="162" t="s">
        <v>13413</v>
      </c>
      <c r="H6596" s="219"/>
      <c r="I6596" s="169">
        <v>115963</v>
      </c>
      <c r="J6596" s="304" t="str">
        <f>CONCATENATE([2]Cover!$D$6,"fdd/view?i=",I6596)</f>
        <v>https://www.dgiwg.org/FAD/fdd/view?i=115963</v>
      </c>
      <c r="K6596" s="304" t="s">
        <v>40645</v>
      </c>
      <c r="L6596" s="188">
        <v>202</v>
      </c>
      <c r="M6596" s="179" t="s">
        <v>151</v>
      </c>
    </row>
    <row r="6597" spans="1:13" ht="25.5">
      <c r="A6597" s="313" t="str">
        <f t="shared" si="103"/>
        <v>TacticalAirNavChannelCode_chan072X</v>
      </c>
      <c r="B6597" s="330"/>
      <c r="C6597" s="334"/>
      <c r="D6597" s="188" t="s">
        <v>14221</v>
      </c>
      <c r="E6597" s="189" t="s">
        <v>14222</v>
      </c>
      <c r="F6597" s="162" t="s">
        <v>31298</v>
      </c>
      <c r="G6597" s="162" t="s">
        <v>13413</v>
      </c>
      <c r="H6597" s="219"/>
      <c r="I6597" s="169">
        <v>115964</v>
      </c>
      <c r="J6597" s="304" t="str">
        <f>CONCATENATE([2]Cover!$D$6,"fdd/view?i=",I6597)</f>
        <v>https://www.dgiwg.org/FAD/fdd/view?i=115964</v>
      </c>
      <c r="K6597" s="304" t="s">
        <v>40646</v>
      </c>
      <c r="L6597" s="188">
        <v>203</v>
      </c>
      <c r="M6597" s="179" t="s">
        <v>151</v>
      </c>
    </row>
    <row r="6598" spans="1:13" ht="25.5">
      <c r="A6598" s="313" t="str">
        <f t="shared" si="103"/>
        <v>TacticalAirNavChannelCode_chan072Y</v>
      </c>
      <c r="B6598" s="330"/>
      <c r="C6598" s="334"/>
      <c r="D6598" s="188" t="s">
        <v>14224</v>
      </c>
      <c r="E6598" s="189" t="s">
        <v>14225</v>
      </c>
      <c r="F6598" s="162" t="s">
        <v>31299</v>
      </c>
      <c r="G6598" s="162" t="s">
        <v>13413</v>
      </c>
      <c r="H6598" s="219"/>
      <c r="I6598" s="169">
        <v>115965</v>
      </c>
      <c r="J6598" s="304" t="str">
        <f>CONCATENATE([2]Cover!$D$6,"fdd/view?i=",I6598)</f>
        <v>https://www.dgiwg.org/FAD/fdd/view?i=115965</v>
      </c>
      <c r="K6598" s="304" t="s">
        <v>40647</v>
      </c>
      <c r="L6598" s="188">
        <v>204</v>
      </c>
      <c r="M6598" s="179" t="s">
        <v>151</v>
      </c>
    </row>
    <row r="6599" spans="1:13" ht="25.5">
      <c r="A6599" s="313" t="str">
        <f t="shared" si="103"/>
        <v>TacticalAirNavChannelCode_chan073X</v>
      </c>
      <c r="B6599" s="330"/>
      <c r="C6599" s="334"/>
      <c r="D6599" s="188" t="s">
        <v>14227</v>
      </c>
      <c r="E6599" s="189" t="s">
        <v>14228</v>
      </c>
      <c r="F6599" s="162" t="s">
        <v>31300</v>
      </c>
      <c r="G6599" s="162" t="s">
        <v>13413</v>
      </c>
      <c r="H6599" s="219"/>
      <c r="I6599" s="169">
        <v>115966</v>
      </c>
      <c r="J6599" s="304" t="str">
        <f>CONCATENATE([2]Cover!$D$6,"fdd/view?i=",I6599)</f>
        <v>https://www.dgiwg.org/FAD/fdd/view?i=115966</v>
      </c>
      <c r="K6599" s="304" t="s">
        <v>40648</v>
      </c>
      <c r="L6599" s="188">
        <v>205</v>
      </c>
      <c r="M6599" s="179" t="s">
        <v>151</v>
      </c>
    </row>
    <row r="6600" spans="1:13" ht="25.5">
      <c r="A6600" s="313" t="str">
        <f t="shared" si="103"/>
        <v>TacticalAirNavChannelCode_chan073Y</v>
      </c>
      <c r="B6600" s="330"/>
      <c r="C6600" s="334"/>
      <c r="D6600" s="188" t="s">
        <v>14230</v>
      </c>
      <c r="E6600" s="189" t="s">
        <v>14231</v>
      </c>
      <c r="F6600" s="162" t="s">
        <v>31301</v>
      </c>
      <c r="G6600" s="162" t="s">
        <v>13413</v>
      </c>
      <c r="H6600" s="219"/>
      <c r="I6600" s="169">
        <v>115967</v>
      </c>
      <c r="J6600" s="304" t="str">
        <f>CONCATENATE([2]Cover!$D$6,"fdd/view?i=",I6600)</f>
        <v>https://www.dgiwg.org/FAD/fdd/view?i=115967</v>
      </c>
      <c r="K6600" s="304" t="s">
        <v>40649</v>
      </c>
      <c r="L6600" s="188">
        <v>206</v>
      </c>
      <c r="M6600" s="179" t="s">
        <v>151</v>
      </c>
    </row>
    <row r="6601" spans="1:13" ht="25.5">
      <c r="A6601" s="313" t="str">
        <f t="shared" si="103"/>
        <v>TacticalAirNavChannelCode_chan074X</v>
      </c>
      <c r="B6601" s="330"/>
      <c r="C6601" s="334"/>
      <c r="D6601" s="188" t="s">
        <v>14233</v>
      </c>
      <c r="E6601" s="189" t="s">
        <v>14234</v>
      </c>
      <c r="F6601" s="162" t="s">
        <v>31302</v>
      </c>
      <c r="G6601" s="162" t="s">
        <v>13413</v>
      </c>
      <c r="H6601" s="219"/>
      <c r="I6601" s="169">
        <v>115968</v>
      </c>
      <c r="J6601" s="304" t="str">
        <f>CONCATENATE([2]Cover!$D$6,"fdd/view?i=",I6601)</f>
        <v>https://www.dgiwg.org/FAD/fdd/view?i=115968</v>
      </c>
      <c r="K6601" s="304" t="s">
        <v>40650</v>
      </c>
      <c r="L6601" s="188">
        <v>207</v>
      </c>
      <c r="M6601" s="179" t="s">
        <v>151</v>
      </c>
    </row>
    <row r="6602" spans="1:13" ht="25.5">
      <c r="A6602" s="313" t="str">
        <f t="shared" si="103"/>
        <v>TacticalAirNavChannelCode_chan074Y</v>
      </c>
      <c r="B6602" s="330"/>
      <c r="C6602" s="334"/>
      <c r="D6602" s="188" t="s">
        <v>14236</v>
      </c>
      <c r="E6602" s="189" t="s">
        <v>14237</v>
      </c>
      <c r="F6602" s="162" t="s">
        <v>31303</v>
      </c>
      <c r="G6602" s="162" t="s">
        <v>13413</v>
      </c>
      <c r="H6602" s="219"/>
      <c r="I6602" s="169">
        <v>115969</v>
      </c>
      <c r="J6602" s="304" t="str">
        <f>CONCATENATE([2]Cover!$D$6,"fdd/view?i=",I6602)</f>
        <v>https://www.dgiwg.org/FAD/fdd/view?i=115969</v>
      </c>
      <c r="K6602" s="304" t="s">
        <v>40651</v>
      </c>
      <c r="L6602" s="188">
        <v>208</v>
      </c>
      <c r="M6602" s="179" t="s">
        <v>151</v>
      </c>
    </row>
    <row r="6603" spans="1:13" ht="25.5">
      <c r="A6603" s="313" t="str">
        <f t="shared" si="103"/>
        <v>TacticalAirNavChannelCode_chan075X</v>
      </c>
      <c r="B6603" s="330"/>
      <c r="C6603" s="334"/>
      <c r="D6603" s="188" t="s">
        <v>14239</v>
      </c>
      <c r="E6603" s="189" t="s">
        <v>14240</v>
      </c>
      <c r="F6603" s="162" t="s">
        <v>31304</v>
      </c>
      <c r="G6603" s="162" t="s">
        <v>13413</v>
      </c>
      <c r="H6603" s="219"/>
      <c r="I6603" s="169">
        <v>115970</v>
      </c>
      <c r="J6603" s="304" t="str">
        <f>CONCATENATE([2]Cover!$D$6,"fdd/view?i=",I6603)</f>
        <v>https://www.dgiwg.org/FAD/fdd/view?i=115970</v>
      </c>
      <c r="K6603" s="304" t="s">
        <v>40652</v>
      </c>
      <c r="L6603" s="188">
        <v>209</v>
      </c>
      <c r="M6603" s="179" t="s">
        <v>151</v>
      </c>
    </row>
    <row r="6604" spans="1:13" ht="25.5">
      <c r="A6604" s="313" t="str">
        <f t="shared" si="103"/>
        <v>TacticalAirNavChannelCode_chan075Y</v>
      </c>
      <c r="B6604" s="330"/>
      <c r="C6604" s="334"/>
      <c r="D6604" s="188" t="s">
        <v>14242</v>
      </c>
      <c r="E6604" s="189" t="s">
        <v>14243</v>
      </c>
      <c r="F6604" s="162" t="s">
        <v>31305</v>
      </c>
      <c r="G6604" s="162" t="s">
        <v>13413</v>
      </c>
      <c r="H6604" s="219"/>
      <c r="I6604" s="169">
        <v>115971</v>
      </c>
      <c r="J6604" s="304" t="str">
        <f>CONCATENATE([2]Cover!$D$6,"fdd/view?i=",I6604)</f>
        <v>https://www.dgiwg.org/FAD/fdd/view?i=115971</v>
      </c>
      <c r="K6604" s="304" t="s">
        <v>40653</v>
      </c>
      <c r="L6604" s="188">
        <v>210</v>
      </c>
      <c r="M6604" s="179" t="s">
        <v>151</v>
      </c>
    </row>
    <row r="6605" spans="1:13" ht="25.5">
      <c r="A6605" s="313" t="str">
        <f t="shared" si="103"/>
        <v>TacticalAirNavChannelCode_chan076X</v>
      </c>
      <c r="B6605" s="330"/>
      <c r="C6605" s="334"/>
      <c r="D6605" s="188" t="s">
        <v>14245</v>
      </c>
      <c r="E6605" s="189" t="s">
        <v>14246</v>
      </c>
      <c r="F6605" s="162" t="s">
        <v>31306</v>
      </c>
      <c r="G6605" s="162" t="s">
        <v>13413</v>
      </c>
      <c r="H6605" s="219"/>
      <c r="I6605" s="169">
        <v>115972</v>
      </c>
      <c r="J6605" s="304" t="str">
        <f>CONCATENATE([2]Cover!$D$6,"fdd/view?i=",I6605)</f>
        <v>https://www.dgiwg.org/FAD/fdd/view?i=115972</v>
      </c>
      <c r="K6605" s="304" t="s">
        <v>40654</v>
      </c>
      <c r="L6605" s="188">
        <v>211</v>
      </c>
      <c r="M6605" s="179" t="s">
        <v>151</v>
      </c>
    </row>
    <row r="6606" spans="1:13" ht="25.5">
      <c r="A6606" s="313" t="str">
        <f t="shared" si="103"/>
        <v>TacticalAirNavChannelCode_chan076Y</v>
      </c>
      <c r="B6606" s="330"/>
      <c r="C6606" s="334"/>
      <c r="D6606" s="188" t="s">
        <v>14248</v>
      </c>
      <c r="E6606" s="189" t="s">
        <v>14249</v>
      </c>
      <c r="F6606" s="162" t="s">
        <v>31307</v>
      </c>
      <c r="G6606" s="162" t="s">
        <v>13413</v>
      </c>
      <c r="H6606" s="219"/>
      <c r="I6606" s="169">
        <v>115973</v>
      </c>
      <c r="J6606" s="304" t="str">
        <f>CONCATENATE([2]Cover!$D$6,"fdd/view?i=",I6606)</f>
        <v>https://www.dgiwg.org/FAD/fdd/view?i=115973</v>
      </c>
      <c r="K6606" s="304" t="s">
        <v>40655</v>
      </c>
      <c r="L6606" s="188">
        <v>212</v>
      </c>
      <c r="M6606" s="179" t="s">
        <v>151</v>
      </c>
    </row>
    <row r="6607" spans="1:13" ht="25.5">
      <c r="A6607" s="313" t="str">
        <f t="shared" si="103"/>
        <v>TacticalAirNavChannelCode_chan077X</v>
      </c>
      <c r="B6607" s="330"/>
      <c r="C6607" s="334"/>
      <c r="D6607" s="188" t="s">
        <v>14251</v>
      </c>
      <c r="E6607" s="189" t="s">
        <v>14252</v>
      </c>
      <c r="F6607" s="162" t="s">
        <v>31308</v>
      </c>
      <c r="G6607" s="162" t="s">
        <v>13413</v>
      </c>
      <c r="H6607" s="219"/>
      <c r="I6607" s="169">
        <v>115974</v>
      </c>
      <c r="J6607" s="304" t="str">
        <f>CONCATENATE([2]Cover!$D$6,"fdd/view?i=",I6607)</f>
        <v>https://www.dgiwg.org/FAD/fdd/view?i=115974</v>
      </c>
      <c r="K6607" s="304" t="s">
        <v>40656</v>
      </c>
      <c r="L6607" s="188">
        <v>213</v>
      </c>
      <c r="M6607" s="179" t="s">
        <v>151</v>
      </c>
    </row>
    <row r="6608" spans="1:13" ht="25.5">
      <c r="A6608" s="313" t="str">
        <f t="shared" si="103"/>
        <v>TacticalAirNavChannelCode_chan077Y</v>
      </c>
      <c r="B6608" s="330"/>
      <c r="C6608" s="334"/>
      <c r="D6608" s="188" t="s">
        <v>14254</v>
      </c>
      <c r="E6608" s="189" t="s">
        <v>14255</v>
      </c>
      <c r="F6608" s="162" t="s">
        <v>31309</v>
      </c>
      <c r="G6608" s="162" t="s">
        <v>13413</v>
      </c>
      <c r="H6608" s="219"/>
      <c r="I6608" s="169">
        <v>115975</v>
      </c>
      <c r="J6608" s="304" t="str">
        <f>CONCATENATE([2]Cover!$D$6,"fdd/view?i=",I6608)</f>
        <v>https://www.dgiwg.org/FAD/fdd/view?i=115975</v>
      </c>
      <c r="K6608" s="304" t="s">
        <v>40657</v>
      </c>
      <c r="L6608" s="188">
        <v>214</v>
      </c>
      <c r="M6608" s="179" t="s">
        <v>151</v>
      </c>
    </row>
    <row r="6609" spans="1:13" ht="25.5">
      <c r="A6609" s="313" t="str">
        <f t="shared" si="103"/>
        <v>TacticalAirNavChannelCode_chan078X</v>
      </c>
      <c r="B6609" s="330"/>
      <c r="C6609" s="334"/>
      <c r="D6609" s="188" t="s">
        <v>14257</v>
      </c>
      <c r="E6609" s="189" t="s">
        <v>14258</v>
      </c>
      <c r="F6609" s="162" t="s">
        <v>31310</v>
      </c>
      <c r="G6609" s="162" t="s">
        <v>13413</v>
      </c>
      <c r="H6609" s="219"/>
      <c r="I6609" s="169">
        <v>115976</v>
      </c>
      <c r="J6609" s="304" t="str">
        <f>CONCATENATE([2]Cover!$D$6,"fdd/view?i=",I6609)</f>
        <v>https://www.dgiwg.org/FAD/fdd/view?i=115976</v>
      </c>
      <c r="K6609" s="304" t="s">
        <v>40658</v>
      </c>
      <c r="L6609" s="188">
        <v>215</v>
      </c>
      <c r="M6609" s="179" t="s">
        <v>151</v>
      </c>
    </row>
    <row r="6610" spans="1:13" ht="25.5">
      <c r="A6610" s="313" t="str">
        <f t="shared" si="103"/>
        <v>TacticalAirNavChannelCode_chan078Y</v>
      </c>
      <c r="B6610" s="330"/>
      <c r="C6610" s="334"/>
      <c r="D6610" s="188" t="s">
        <v>14260</v>
      </c>
      <c r="E6610" s="189" t="s">
        <v>14261</v>
      </c>
      <c r="F6610" s="162" t="s">
        <v>31311</v>
      </c>
      <c r="G6610" s="162" t="s">
        <v>13413</v>
      </c>
      <c r="H6610" s="219"/>
      <c r="I6610" s="169">
        <v>115977</v>
      </c>
      <c r="J6610" s="304" t="str">
        <f>CONCATENATE([2]Cover!$D$6,"fdd/view?i=",I6610)</f>
        <v>https://www.dgiwg.org/FAD/fdd/view?i=115977</v>
      </c>
      <c r="K6610" s="304" t="s">
        <v>40659</v>
      </c>
      <c r="L6610" s="188">
        <v>216</v>
      </c>
      <c r="M6610" s="179" t="s">
        <v>151</v>
      </c>
    </row>
    <row r="6611" spans="1:13" ht="25.5">
      <c r="A6611" s="313" t="str">
        <f t="shared" si="103"/>
        <v>TacticalAirNavChannelCode_chan079X</v>
      </c>
      <c r="B6611" s="330"/>
      <c r="C6611" s="334"/>
      <c r="D6611" s="188" t="s">
        <v>14263</v>
      </c>
      <c r="E6611" s="189" t="s">
        <v>14264</v>
      </c>
      <c r="F6611" s="162" t="s">
        <v>31312</v>
      </c>
      <c r="G6611" s="162" t="s">
        <v>13413</v>
      </c>
      <c r="H6611" s="219"/>
      <c r="I6611" s="169">
        <v>115978</v>
      </c>
      <c r="J6611" s="304" t="str">
        <f>CONCATENATE([2]Cover!$D$6,"fdd/view?i=",I6611)</f>
        <v>https://www.dgiwg.org/FAD/fdd/view?i=115978</v>
      </c>
      <c r="K6611" s="304" t="s">
        <v>40660</v>
      </c>
      <c r="L6611" s="188">
        <v>217</v>
      </c>
      <c r="M6611" s="179" t="s">
        <v>151</v>
      </c>
    </row>
    <row r="6612" spans="1:13" ht="25.5">
      <c r="A6612" s="313" t="str">
        <f t="shared" si="103"/>
        <v>TacticalAirNavChannelCode_chan079Y</v>
      </c>
      <c r="B6612" s="330"/>
      <c r="C6612" s="334"/>
      <c r="D6612" s="188" t="s">
        <v>14266</v>
      </c>
      <c r="E6612" s="189" t="s">
        <v>14267</v>
      </c>
      <c r="F6612" s="162" t="s">
        <v>31313</v>
      </c>
      <c r="G6612" s="162" t="s">
        <v>13413</v>
      </c>
      <c r="H6612" s="219"/>
      <c r="I6612" s="169">
        <v>115979</v>
      </c>
      <c r="J6612" s="304" t="str">
        <f>CONCATENATE([2]Cover!$D$6,"fdd/view?i=",I6612)</f>
        <v>https://www.dgiwg.org/FAD/fdd/view?i=115979</v>
      </c>
      <c r="K6612" s="304" t="s">
        <v>40661</v>
      </c>
      <c r="L6612" s="188">
        <v>218</v>
      </c>
      <c r="M6612" s="179" t="s">
        <v>151</v>
      </c>
    </row>
    <row r="6613" spans="1:13" ht="25.5">
      <c r="A6613" s="313" t="str">
        <f t="shared" si="103"/>
        <v>TacticalAirNavChannelCode_chan080X</v>
      </c>
      <c r="B6613" s="330"/>
      <c r="C6613" s="334"/>
      <c r="D6613" s="188" t="s">
        <v>14275</v>
      </c>
      <c r="E6613" s="189" t="s">
        <v>14276</v>
      </c>
      <c r="F6613" s="162" t="s">
        <v>31316</v>
      </c>
      <c r="G6613" s="162" t="s">
        <v>13413</v>
      </c>
      <c r="H6613" s="219"/>
      <c r="I6613" s="169">
        <v>115980</v>
      </c>
      <c r="J6613" s="304" t="str">
        <f>CONCATENATE([2]Cover!$D$6,"fdd/view?i=",I6613)</f>
        <v>https://www.dgiwg.org/FAD/fdd/view?i=115980</v>
      </c>
      <c r="K6613" s="304" t="s">
        <v>40662</v>
      </c>
      <c r="L6613" s="188">
        <v>219</v>
      </c>
      <c r="M6613" s="179" t="s">
        <v>151</v>
      </c>
    </row>
    <row r="6614" spans="1:13" ht="25.5">
      <c r="A6614" s="313" t="str">
        <f t="shared" si="103"/>
        <v>TacticalAirNavChannelCode_chan080Y</v>
      </c>
      <c r="B6614" s="330"/>
      <c r="C6614" s="334"/>
      <c r="D6614" s="188" t="s">
        <v>14278</v>
      </c>
      <c r="E6614" s="189" t="s">
        <v>14279</v>
      </c>
      <c r="F6614" s="162" t="s">
        <v>31317</v>
      </c>
      <c r="G6614" s="162" t="s">
        <v>13413</v>
      </c>
      <c r="H6614" s="219"/>
      <c r="I6614" s="169">
        <v>115981</v>
      </c>
      <c r="J6614" s="304" t="str">
        <f>CONCATENATE([2]Cover!$D$6,"fdd/view?i=",I6614)</f>
        <v>https://www.dgiwg.org/FAD/fdd/view?i=115981</v>
      </c>
      <c r="K6614" s="304" t="s">
        <v>40663</v>
      </c>
      <c r="L6614" s="188">
        <v>220</v>
      </c>
      <c r="M6614" s="179" t="s">
        <v>151</v>
      </c>
    </row>
    <row r="6615" spans="1:13" ht="25.5">
      <c r="A6615" s="313" t="str">
        <f t="shared" si="103"/>
        <v>TacticalAirNavChannelCode_chan080Z</v>
      </c>
      <c r="B6615" s="330"/>
      <c r="C6615" s="334"/>
      <c r="D6615" s="188" t="s">
        <v>14281</v>
      </c>
      <c r="E6615" s="189" t="s">
        <v>14282</v>
      </c>
      <c r="F6615" s="162" t="s">
        <v>31318</v>
      </c>
      <c r="G6615" s="162" t="s">
        <v>13413</v>
      </c>
      <c r="H6615" s="219"/>
      <c r="I6615" s="169">
        <v>115982</v>
      </c>
      <c r="J6615" s="304" t="str">
        <f>CONCATENATE([2]Cover!$D$6,"fdd/view?i=",I6615)</f>
        <v>https://www.dgiwg.org/FAD/fdd/view?i=115982</v>
      </c>
      <c r="K6615" s="304" t="s">
        <v>40664</v>
      </c>
      <c r="L6615" s="188">
        <v>221</v>
      </c>
      <c r="M6615" s="179" t="s">
        <v>151</v>
      </c>
    </row>
    <row r="6616" spans="1:13" ht="25.5">
      <c r="A6616" s="313" t="str">
        <f t="shared" si="103"/>
        <v>TacticalAirNavChannelCode_chan081X</v>
      </c>
      <c r="B6616" s="330"/>
      <c r="C6616" s="334"/>
      <c r="D6616" s="188" t="s">
        <v>14284</v>
      </c>
      <c r="E6616" s="189" t="s">
        <v>14285</v>
      </c>
      <c r="F6616" s="162" t="s">
        <v>31319</v>
      </c>
      <c r="G6616" s="162" t="s">
        <v>13413</v>
      </c>
      <c r="H6616" s="219"/>
      <c r="I6616" s="169">
        <v>115983</v>
      </c>
      <c r="J6616" s="304" t="str">
        <f>CONCATENATE([2]Cover!$D$6,"fdd/view?i=",I6616)</f>
        <v>https://www.dgiwg.org/FAD/fdd/view?i=115983</v>
      </c>
      <c r="K6616" s="304" t="s">
        <v>40665</v>
      </c>
      <c r="L6616" s="188">
        <v>222</v>
      </c>
      <c r="M6616" s="179" t="s">
        <v>151</v>
      </c>
    </row>
    <row r="6617" spans="1:13" ht="25.5">
      <c r="A6617" s="313" t="str">
        <f t="shared" si="103"/>
        <v>TacticalAirNavChannelCode_chan081Y</v>
      </c>
      <c r="B6617" s="330"/>
      <c r="C6617" s="334"/>
      <c r="D6617" s="188" t="s">
        <v>14287</v>
      </c>
      <c r="E6617" s="189" t="s">
        <v>14288</v>
      </c>
      <c r="F6617" s="162" t="s">
        <v>31320</v>
      </c>
      <c r="G6617" s="162" t="s">
        <v>13413</v>
      </c>
      <c r="H6617" s="219"/>
      <c r="I6617" s="169">
        <v>115984</v>
      </c>
      <c r="J6617" s="304" t="str">
        <f>CONCATENATE([2]Cover!$D$6,"fdd/view?i=",I6617)</f>
        <v>https://www.dgiwg.org/FAD/fdd/view?i=115984</v>
      </c>
      <c r="K6617" s="304" t="s">
        <v>40666</v>
      </c>
      <c r="L6617" s="188">
        <v>223</v>
      </c>
      <c r="M6617" s="179" t="s">
        <v>151</v>
      </c>
    </row>
    <row r="6618" spans="1:13" ht="25.5">
      <c r="A6618" s="313" t="str">
        <f t="shared" si="103"/>
        <v>TacticalAirNavChannelCode_chan081Z</v>
      </c>
      <c r="B6618" s="330"/>
      <c r="C6618" s="334"/>
      <c r="D6618" s="188" t="s">
        <v>14290</v>
      </c>
      <c r="E6618" s="189" t="s">
        <v>14291</v>
      </c>
      <c r="F6618" s="162" t="s">
        <v>31321</v>
      </c>
      <c r="G6618" s="162" t="s">
        <v>13413</v>
      </c>
      <c r="H6618" s="219"/>
      <c r="I6618" s="169">
        <v>115985</v>
      </c>
      <c r="J6618" s="304" t="str">
        <f>CONCATENATE([2]Cover!$D$6,"fdd/view?i=",I6618)</f>
        <v>https://www.dgiwg.org/FAD/fdd/view?i=115985</v>
      </c>
      <c r="K6618" s="304" t="s">
        <v>40667</v>
      </c>
      <c r="L6618" s="188">
        <v>224</v>
      </c>
      <c r="M6618" s="179" t="s">
        <v>151</v>
      </c>
    </row>
    <row r="6619" spans="1:13" ht="25.5">
      <c r="A6619" s="313" t="str">
        <f t="shared" si="103"/>
        <v>TacticalAirNavChannelCode_chan082X</v>
      </c>
      <c r="B6619" s="330"/>
      <c r="C6619" s="334"/>
      <c r="D6619" s="188" t="s">
        <v>14293</v>
      </c>
      <c r="E6619" s="189" t="s">
        <v>14294</v>
      </c>
      <c r="F6619" s="162" t="s">
        <v>31322</v>
      </c>
      <c r="G6619" s="162" t="s">
        <v>13413</v>
      </c>
      <c r="H6619" s="219"/>
      <c r="I6619" s="169">
        <v>115986</v>
      </c>
      <c r="J6619" s="304" t="str">
        <f>CONCATENATE([2]Cover!$D$6,"fdd/view?i=",I6619)</f>
        <v>https://www.dgiwg.org/FAD/fdd/view?i=115986</v>
      </c>
      <c r="K6619" s="304" t="s">
        <v>40668</v>
      </c>
      <c r="L6619" s="188">
        <v>225</v>
      </c>
      <c r="M6619" s="179" t="s">
        <v>151</v>
      </c>
    </row>
    <row r="6620" spans="1:13" ht="25.5">
      <c r="A6620" s="313" t="str">
        <f t="shared" si="103"/>
        <v>TacticalAirNavChannelCode_chan082Y</v>
      </c>
      <c r="B6620" s="330"/>
      <c r="C6620" s="334"/>
      <c r="D6620" s="188" t="s">
        <v>14296</v>
      </c>
      <c r="E6620" s="189" t="s">
        <v>14297</v>
      </c>
      <c r="F6620" s="162" t="s">
        <v>31323</v>
      </c>
      <c r="G6620" s="162" t="s">
        <v>13413</v>
      </c>
      <c r="H6620" s="219"/>
      <c r="I6620" s="169">
        <v>115987</v>
      </c>
      <c r="J6620" s="304" t="str">
        <f>CONCATENATE([2]Cover!$D$6,"fdd/view?i=",I6620)</f>
        <v>https://www.dgiwg.org/FAD/fdd/view?i=115987</v>
      </c>
      <c r="K6620" s="304" t="s">
        <v>40669</v>
      </c>
      <c r="L6620" s="188">
        <v>226</v>
      </c>
      <c r="M6620" s="179" t="s">
        <v>151</v>
      </c>
    </row>
    <row r="6621" spans="1:13" ht="25.5">
      <c r="A6621" s="313" t="str">
        <f t="shared" si="103"/>
        <v>TacticalAirNavChannelCode_chan082Z</v>
      </c>
      <c r="B6621" s="330"/>
      <c r="C6621" s="334"/>
      <c r="D6621" s="188" t="s">
        <v>14299</v>
      </c>
      <c r="E6621" s="189" t="s">
        <v>14300</v>
      </c>
      <c r="F6621" s="162" t="s">
        <v>31324</v>
      </c>
      <c r="G6621" s="162" t="s">
        <v>13413</v>
      </c>
      <c r="H6621" s="219"/>
      <c r="I6621" s="169">
        <v>115988</v>
      </c>
      <c r="J6621" s="304" t="str">
        <f>CONCATENATE([2]Cover!$D$6,"fdd/view?i=",I6621)</f>
        <v>https://www.dgiwg.org/FAD/fdd/view?i=115988</v>
      </c>
      <c r="K6621" s="304" t="s">
        <v>40670</v>
      </c>
      <c r="L6621" s="188">
        <v>227</v>
      </c>
      <c r="M6621" s="179" t="s">
        <v>151</v>
      </c>
    </row>
    <row r="6622" spans="1:13" ht="25.5">
      <c r="A6622" s="313" t="str">
        <f t="shared" si="103"/>
        <v>TacticalAirNavChannelCode_chan083X</v>
      </c>
      <c r="B6622" s="330"/>
      <c r="C6622" s="334"/>
      <c r="D6622" s="188" t="s">
        <v>14302</v>
      </c>
      <c r="E6622" s="189" t="s">
        <v>14303</v>
      </c>
      <c r="F6622" s="162" t="s">
        <v>31325</v>
      </c>
      <c r="G6622" s="162" t="s">
        <v>13413</v>
      </c>
      <c r="H6622" s="219"/>
      <c r="I6622" s="169">
        <v>115989</v>
      </c>
      <c r="J6622" s="304" t="str">
        <f>CONCATENATE([2]Cover!$D$6,"fdd/view?i=",I6622)</f>
        <v>https://www.dgiwg.org/FAD/fdd/view?i=115989</v>
      </c>
      <c r="K6622" s="304" t="s">
        <v>40671</v>
      </c>
      <c r="L6622" s="188">
        <v>228</v>
      </c>
      <c r="M6622" s="179" t="s">
        <v>151</v>
      </c>
    </row>
    <row r="6623" spans="1:13" ht="25.5">
      <c r="A6623" s="313" t="str">
        <f t="shared" si="103"/>
        <v>TacticalAirNavChannelCode_chan083Y</v>
      </c>
      <c r="B6623" s="330"/>
      <c r="C6623" s="334"/>
      <c r="D6623" s="188" t="s">
        <v>14305</v>
      </c>
      <c r="E6623" s="189" t="s">
        <v>14306</v>
      </c>
      <c r="F6623" s="162" t="s">
        <v>31326</v>
      </c>
      <c r="G6623" s="162" t="s">
        <v>13413</v>
      </c>
      <c r="H6623" s="219"/>
      <c r="I6623" s="169">
        <v>115990</v>
      </c>
      <c r="J6623" s="304" t="str">
        <f>CONCATENATE([2]Cover!$D$6,"fdd/view?i=",I6623)</f>
        <v>https://www.dgiwg.org/FAD/fdd/view?i=115990</v>
      </c>
      <c r="K6623" s="304" t="s">
        <v>40672</v>
      </c>
      <c r="L6623" s="188">
        <v>229</v>
      </c>
      <c r="M6623" s="179" t="s">
        <v>151</v>
      </c>
    </row>
    <row r="6624" spans="1:13" ht="25.5">
      <c r="A6624" s="313" t="str">
        <f t="shared" si="103"/>
        <v>TacticalAirNavChannelCode_chan083Z</v>
      </c>
      <c r="B6624" s="330"/>
      <c r="C6624" s="334"/>
      <c r="D6624" s="188" t="s">
        <v>14308</v>
      </c>
      <c r="E6624" s="189" t="s">
        <v>14309</v>
      </c>
      <c r="F6624" s="162" t="s">
        <v>31327</v>
      </c>
      <c r="G6624" s="162" t="s">
        <v>13413</v>
      </c>
      <c r="H6624" s="219"/>
      <c r="I6624" s="169">
        <v>115991</v>
      </c>
      <c r="J6624" s="304" t="str">
        <f>CONCATENATE([2]Cover!$D$6,"fdd/view?i=",I6624)</f>
        <v>https://www.dgiwg.org/FAD/fdd/view?i=115991</v>
      </c>
      <c r="K6624" s="304" t="s">
        <v>40673</v>
      </c>
      <c r="L6624" s="188">
        <v>230</v>
      </c>
      <c r="M6624" s="179" t="s">
        <v>151</v>
      </c>
    </row>
    <row r="6625" spans="1:13" ht="25.5">
      <c r="A6625" s="313" t="str">
        <f t="shared" si="103"/>
        <v>TacticalAirNavChannelCode_chan084X</v>
      </c>
      <c r="B6625" s="330"/>
      <c r="C6625" s="334"/>
      <c r="D6625" s="188" t="s">
        <v>14311</v>
      </c>
      <c r="E6625" s="189" t="s">
        <v>14312</v>
      </c>
      <c r="F6625" s="162" t="s">
        <v>31328</v>
      </c>
      <c r="G6625" s="162" t="s">
        <v>13413</v>
      </c>
      <c r="H6625" s="219"/>
      <c r="I6625" s="169">
        <v>115992</v>
      </c>
      <c r="J6625" s="304" t="str">
        <f>CONCATENATE([2]Cover!$D$6,"fdd/view?i=",I6625)</f>
        <v>https://www.dgiwg.org/FAD/fdd/view?i=115992</v>
      </c>
      <c r="K6625" s="304" t="s">
        <v>40674</v>
      </c>
      <c r="L6625" s="188">
        <v>231</v>
      </c>
      <c r="M6625" s="179" t="s">
        <v>151</v>
      </c>
    </row>
    <row r="6626" spans="1:13" ht="25.5">
      <c r="A6626" s="313" t="str">
        <f t="shared" si="103"/>
        <v>TacticalAirNavChannelCode_chan084Y</v>
      </c>
      <c r="B6626" s="330"/>
      <c r="C6626" s="334"/>
      <c r="D6626" s="188" t="s">
        <v>14314</v>
      </c>
      <c r="E6626" s="189" t="s">
        <v>14315</v>
      </c>
      <c r="F6626" s="162" t="s">
        <v>31329</v>
      </c>
      <c r="G6626" s="162" t="s">
        <v>13413</v>
      </c>
      <c r="H6626" s="219"/>
      <c r="I6626" s="169">
        <v>115993</v>
      </c>
      <c r="J6626" s="304" t="str">
        <f>CONCATENATE([2]Cover!$D$6,"fdd/view?i=",I6626)</f>
        <v>https://www.dgiwg.org/FAD/fdd/view?i=115993</v>
      </c>
      <c r="K6626" s="304" t="s">
        <v>40675</v>
      </c>
      <c r="L6626" s="188">
        <v>232</v>
      </c>
      <c r="M6626" s="179" t="s">
        <v>151</v>
      </c>
    </row>
    <row r="6627" spans="1:13" ht="25.5">
      <c r="A6627" s="313" t="str">
        <f t="shared" si="103"/>
        <v>TacticalAirNavChannelCode_chan084Z</v>
      </c>
      <c r="B6627" s="330"/>
      <c r="C6627" s="334"/>
      <c r="D6627" s="188" t="s">
        <v>14317</v>
      </c>
      <c r="E6627" s="189" t="s">
        <v>14318</v>
      </c>
      <c r="F6627" s="162" t="s">
        <v>31330</v>
      </c>
      <c r="G6627" s="162" t="s">
        <v>13413</v>
      </c>
      <c r="H6627" s="219"/>
      <c r="I6627" s="169">
        <v>115994</v>
      </c>
      <c r="J6627" s="304" t="str">
        <f>CONCATENATE([2]Cover!$D$6,"fdd/view?i=",I6627)</f>
        <v>https://www.dgiwg.org/FAD/fdd/view?i=115994</v>
      </c>
      <c r="K6627" s="304" t="s">
        <v>40676</v>
      </c>
      <c r="L6627" s="188">
        <v>233</v>
      </c>
      <c r="M6627" s="179" t="s">
        <v>151</v>
      </c>
    </row>
    <row r="6628" spans="1:13" ht="25.5">
      <c r="A6628" s="313" t="str">
        <f t="shared" si="103"/>
        <v>TacticalAirNavChannelCode_chan085X</v>
      </c>
      <c r="B6628" s="330"/>
      <c r="C6628" s="334"/>
      <c r="D6628" s="188" t="s">
        <v>14320</v>
      </c>
      <c r="E6628" s="189" t="s">
        <v>14321</v>
      </c>
      <c r="F6628" s="162" t="s">
        <v>31331</v>
      </c>
      <c r="G6628" s="162" t="s">
        <v>13413</v>
      </c>
      <c r="H6628" s="219"/>
      <c r="I6628" s="169">
        <v>115995</v>
      </c>
      <c r="J6628" s="304" t="str">
        <f>CONCATENATE([2]Cover!$D$6,"fdd/view?i=",I6628)</f>
        <v>https://www.dgiwg.org/FAD/fdd/view?i=115995</v>
      </c>
      <c r="K6628" s="304" t="s">
        <v>40677</v>
      </c>
      <c r="L6628" s="188">
        <v>234</v>
      </c>
      <c r="M6628" s="179" t="s">
        <v>151</v>
      </c>
    </row>
    <row r="6629" spans="1:13" ht="25.5">
      <c r="A6629" s="313" t="str">
        <f t="shared" si="103"/>
        <v>TacticalAirNavChannelCode_chan085Y</v>
      </c>
      <c r="B6629" s="330"/>
      <c r="C6629" s="334"/>
      <c r="D6629" s="188" t="s">
        <v>14323</v>
      </c>
      <c r="E6629" s="189" t="s">
        <v>14324</v>
      </c>
      <c r="F6629" s="162" t="s">
        <v>31332</v>
      </c>
      <c r="G6629" s="162" t="s">
        <v>13413</v>
      </c>
      <c r="H6629" s="219"/>
      <c r="I6629" s="169">
        <v>115996</v>
      </c>
      <c r="J6629" s="304" t="str">
        <f>CONCATENATE([2]Cover!$D$6,"fdd/view?i=",I6629)</f>
        <v>https://www.dgiwg.org/FAD/fdd/view?i=115996</v>
      </c>
      <c r="K6629" s="304" t="s">
        <v>40678</v>
      </c>
      <c r="L6629" s="188">
        <v>235</v>
      </c>
      <c r="M6629" s="179" t="s">
        <v>151</v>
      </c>
    </row>
    <row r="6630" spans="1:13" ht="25.5">
      <c r="A6630" s="313" t="str">
        <f t="shared" si="103"/>
        <v>TacticalAirNavChannelCode_chan085Z</v>
      </c>
      <c r="B6630" s="330"/>
      <c r="C6630" s="334"/>
      <c r="D6630" s="188" t="s">
        <v>14326</v>
      </c>
      <c r="E6630" s="189" t="s">
        <v>14327</v>
      </c>
      <c r="F6630" s="162" t="s">
        <v>31333</v>
      </c>
      <c r="G6630" s="162" t="s">
        <v>13413</v>
      </c>
      <c r="H6630" s="219"/>
      <c r="I6630" s="169">
        <v>115997</v>
      </c>
      <c r="J6630" s="304" t="str">
        <f>CONCATENATE([2]Cover!$D$6,"fdd/view?i=",I6630)</f>
        <v>https://www.dgiwg.org/FAD/fdd/view?i=115997</v>
      </c>
      <c r="K6630" s="304" t="s">
        <v>40679</v>
      </c>
      <c r="L6630" s="188">
        <v>236</v>
      </c>
      <c r="M6630" s="179" t="s">
        <v>151</v>
      </c>
    </row>
    <row r="6631" spans="1:13" ht="25.5">
      <c r="A6631" s="313" t="str">
        <f t="shared" si="103"/>
        <v>TacticalAirNavChannelCode_chan086X</v>
      </c>
      <c r="B6631" s="330"/>
      <c r="C6631" s="334"/>
      <c r="D6631" s="188" t="s">
        <v>14329</v>
      </c>
      <c r="E6631" s="189" t="s">
        <v>14330</v>
      </c>
      <c r="F6631" s="162" t="s">
        <v>31334</v>
      </c>
      <c r="G6631" s="162" t="s">
        <v>13413</v>
      </c>
      <c r="H6631" s="219"/>
      <c r="I6631" s="169">
        <v>115998</v>
      </c>
      <c r="J6631" s="304" t="str">
        <f>CONCATENATE([2]Cover!$D$6,"fdd/view?i=",I6631)</f>
        <v>https://www.dgiwg.org/FAD/fdd/view?i=115998</v>
      </c>
      <c r="K6631" s="304" t="s">
        <v>40680</v>
      </c>
      <c r="L6631" s="188">
        <v>237</v>
      </c>
      <c r="M6631" s="179" t="s">
        <v>151</v>
      </c>
    </row>
    <row r="6632" spans="1:13" ht="25.5">
      <c r="A6632" s="313" t="str">
        <f t="shared" si="103"/>
        <v>TacticalAirNavChannelCode_chan086Y</v>
      </c>
      <c r="B6632" s="330"/>
      <c r="C6632" s="334"/>
      <c r="D6632" s="188" t="s">
        <v>14332</v>
      </c>
      <c r="E6632" s="189" t="s">
        <v>14333</v>
      </c>
      <c r="F6632" s="162" t="s">
        <v>31335</v>
      </c>
      <c r="G6632" s="162" t="s">
        <v>13413</v>
      </c>
      <c r="H6632" s="219"/>
      <c r="I6632" s="169">
        <v>115999</v>
      </c>
      <c r="J6632" s="304" t="str">
        <f>CONCATENATE([2]Cover!$D$6,"fdd/view?i=",I6632)</f>
        <v>https://www.dgiwg.org/FAD/fdd/view?i=115999</v>
      </c>
      <c r="K6632" s="304" t="s">
        <v>40681</v>
      </c>
      <c r="L6632" s="188">
        <v>238</v>
      </c>
      <c r="M6632" s="179" t="s">
        <v>151</v>
      </c>
    </row>
    <row r="6633" spans="1:13" ht="25.5">
      <c r="A6633" s="313" t="str">
        <f t="shared" si="103"/>
        <v>TacticalAirNavChannelCode_chan086Z</v>
      </c>
      <c r="B6633" s="330"/>
      <c r="C6633" s="334"/>
      <c r="D6633" s="188" t="s">
        <v>14335</v>
      </c>
      <c r="E6633" s="189" t="s">
        <v>14336</v>
      </c>
      <c r="F6633" s="162" t="s">
        <v>31336</v>
      </c>
      <c r="G6633" s="162" t="s">
        <v>13413</v>
      </c>
      <c r="H6633" s="219"/>
      <c r="I6633" s="169">
        <v>116000</v>
      </c>
      <c r="J6633" s="304" t="str">
        <f>CONCATENATE([2]Cover!$D$6,"fdd/view?i=",I6633)</f>
        <v>https://www.dgiwg.org/FAD/fdd/view?i=116000</v>
      </c>
      <c r="K6633" s="304" t="s">
        <v>40682</v>
      </c>
      <c r="L6633" s="188">
        <v>239</v>
      </c>
      <c r="M6633" s="179" t="s">
        <v>151</v>
      </c>
    </row>
    <row r="6634" spans="1:13" ht="25.5">
      <c r="A6634" s="313" t="str">
        <f t="shared" si="103"/>
        <v>TacticalAirNavChannelCode_chan087X</v>
      </c>
      <c r="B6634" s="330"/>
      <c r="C6634" s="334"/>
      <c r="D6634" s="188" t="s">
        <v>14338</v>
      </c>
      <c r="E6634" s="189" t="s">
        <v>14339</v>
      </c>
      <c r="F6634" s="162" t="s">
        <v>31337</v>
      </c>
      <c r="G6634" s="162" t="s">
        <v>13413</v>
      </c>
      <c r="H6634" s="219"/>
      <c r="I6634" s="169">
        <v>116001</v>
      </c>
      <c r="J6634" s="304" t="str">
        <f>CONCATENATE([2]Cover!$D$6,"fdd/view?i=",I6634)</f>
        <v>https://www.dgiwg.org/FAD/fdd/view?i=116001</v>
      </c>
      <c r="K6634" s="304" t="s">
        <v>40683</v>
      </c>
      <c r="L6634" s="188">
        <v>240</v>
      </c>
      <c r="M6634" s="179" t="s">
        <v>151</v>
      </c>
    </row>
    <row r="6635" spans="1:13" ht="25.5">
      <c r="A6635" s="313" t="str">
        <f t="shared" si="103"/>
        <v>TacticalAirNavChannelCode_chan087Y</v>
      </c>
      <c r="B6635" s="330"/>
      <c r="C6635" s="334"/>
      <c r="D6635" s="188" t="s">
        <v>14341</v>
      </c>
      <c r="E6635" s="189" t="s">
        <v>14342</v>
      </c>
      <c r="F6635" s="162" t="s">
        <v>31338</v>
      </c>
      <c r="G6635" s="162" t="s">
        <v>13413</v>
      </c>
      <c r="H6635" s="219"/>
      <c r="I6635" s="169">
        <v>116002</v>
      </c>
      <c r="J6635" s="304" t="str">
        <f>CONCATENATE([2]Cover!$D$6,"fdd/view?i=",I6635)</f>
        <v>https://www.dgiwg.org/FAD/fdd/view?i=116002</v>
      </c>
      <c r="K6635" s="304" t="s">
        <v>40684</v>
      </c>
      <c r="L6635" s="188">
        <v>241</v>
      </c>
      <c r="M6635" s="179" t="s">
        <v>151</v>
      </c>
    </row>
    <row r="6636" spans="1:13" ht="25.5">
      <c r="A6636" s="313" t="str">
        <f t="shared" si="103"/>
        <v>TacticalAirNavChannelCode_chan087Z</v>
      </c>
      <c r="B6636" s="330"/>
      <c r="C6636" s="334"/>
      <c r="D6636" s="188" t="s">
        <v>14344</v>
      </c>
      <c r="E6636" s="189" t="s">
        <v>14345</v>
      </c>
      <c r="F6636" s="162" t="s">
        <v>31339</v>
      </c>
      <c r="G6636" s="162" t="s">
        <v>13413</v>
      </c>
      <c r="H6636" s="219"/>
      <c r="I6636" s="169">
        <v>116003</v>
      </c>
      <c r="J6636" s="304" t="str">
        <f>CONCATENATE([2]Cover!$D$6,"fdd/view?i=",I6636)</f>
        <v>https://www.dgiwg.org/FAD/fdd/view?i=116003</v>
      </c>
      <c r="K6636" s="304" t="s">
        <v>40685</v>
      </c>
      <c r="L6636" s="188">
        <v>242</v>
      </c>
      <c r="M6636" s="179" t="s">
        <v>151</v>
      </c>
    </row>
    <row r="6637" spans="1:13" ht="25.5">
      <c r="A6637" s="313" t="str">
        <f t="shared" si="103"/>
        <v>TacticalAirNavChannelCode_chan088X</v>
      </c>
      <c r="B6637" s="330"/>
      <c r="C6637" s="334"/>
      <c r="D6637" s="188" t="s">
        <v>14347</v>
      </c>
      <c r="E6637" s="189" t="s">
        <v>14348</v>
      </c>
      <c r="F6637" s="162" t="s">
        <v>31340</v>
      </c>
      <c r="G6637" s="162" t="s">
        <v>13413</v>
      </c>
      <c r="H6637" s="219"/>
      <c r="I6637" s="169">
        <v>116004</v>
      </c>
      <c r="J6637" s="304" t="str">
        <f>CONCATENATE([2]Cover!$D$6,"fdd/view?i=",I6637)</f>
        <v>https://www.dgiwg.org/FAD/fdd/view?i=116004</v>
      </c>
      <c r="K6637" s="304" t="s">
        <v>40686</v>
      </c>
      <c r="L6637" s="188">
        <v>243</v>
      </c>
      <c r="M6637" s="179" t="s">
        <v>151</v>
      </c>
    </row>
    <row r="6638" spans="1:13" ht="25.5">
      <c r="A6638" s="313" t="str">
        <f t="shared" si="103"/>
        <v>TacticalAirNavChannelCode_chan088Y</v>
      </c>
      <c r="B6638" s="330"/>
      <c r="C6638" s="334"/>
      <c r="D6638" s="188" t="s">
        <v>14350</v>
      </c>
      <c r="E6638" s="189" t="s">
        <v>14351</v>
      </c>
      <c r="F6638" s="162" t="s">
        <v>31341</v>
      </c>
      <c r="G6638" s="162" t="s">
        <v>13413</v>
      </c>
      <c r="H6638" s="219"/>
      <c r="I6638" s="169">
        <v>116005</v>
      </c>
      <c r="J6638" s="304" t="str">
        <f>CONCATENATE([2]Cover!$D$6,"fdd/view?i=",I6638)</f>
        <v>https://www.dgiwg.org/FAD/fdd/view?i=116005</v>
      </c>
      <c r="K6638" s="304" t="s">
        <v>40687</v>
      </c>
      <c r="L6638" s="188">
        <v>244</v>
      </c>
      <c r="M6638" s="179" t="s">
        <v>151</v>
      </c>
    </row>
    <row r="6639" spans="1:13" ht="25.5">
      <c r="A6639" s="313" t="str">
        <f t="shared" si="103"/>
        <v>TacticalAirNavChannelCode_chan088Z</v>
      </c>
      <c r="B6639" s="330"/>
      <c r="C6639" s="334"/>
      <c r="D6639" s="188" t="s">
        <v>14353</v>
      </c>
      <c r="E6639" s="189" t="s">
        <v>14354</v>
      </c>
      <c r="F6639" s="162" t="s">
        <v>31342</v>
      </c>
      <c r="G6639" s="162" t="s">
        <v>13413</v>
      </c>
      <c r="H6639" s="219"/>
      <c r="I6639" s="169">
        <v>116006</v>
      </c>
      <c r="J6639" s="304" t="str">
        <f>CONCATENATE([2]Cover!$D$6,"fdd/view?i=",I6639)</f>
        <v>https://www.dgiwg.org/FAD/fdd/view?i=116006</v>
      </c>
      <c r="K6639" s="304" t="s">
        <v>40688</v>
      </c>
      <c r="L6639" s="188">
        <v>245</v>
      </c>
      <c r="M6639" s="179" t="s">
        <v>151</v>
      </c>
    </row>
    <row r="6640" spans="1:13" ht="25.5">
      <c r="A6640" s="313" t="str">
        <f t="shared" si="103"/>
        <v>TacticalAirNavChannelCode_chan089X</v>
      </c>
      <c r="B6640" s="330"/>
      <c r="C6640" s="334"/>
      <c r="D6640" s="188" t="s">
        <v>14356</v>
      </c>
      <c r="E6640" s="189" t="s">
        <v>14357</v>
      </c>
      <c r="F6640" s="162" t="s">
        <v>31343</v>
      </c>
      <c r="G6640" s="162" t="s">
        <v>13413</v>
      </c>
      <c r="H6640" s="219"/>
      <c r="I6640" s="169">
        <v>116007</v>
      </c>
      <c r="J6640" s="304" t="str">
        <f>CONCATENATE([2]Cover!$D$6,"fdd/view?i=",I6640)</f>
        <v>https://www.dgiwg.org/FAD/fdd/view?i=116007</v>
      </c>
      <c r="K6640" s="304" t="s">
        <v>40689</v>
      </c>
      <c r="L6640" s="188">
        <v>246</v>
      </c>
      <c r="M6640" s="179" t="s">
        <v>151</v>
      </c>
    </row>
    <row r="6641" spans="1:13" ht="25.5">
      <c r="A6641" s="313" t="str">
        <f t="shared" si="103"/>
        <v>TacticalAirNavChannelCode_chan089Y</v>
      </c>
      <c r="B6641" s="330"/>
      <c r="C6641" s="334"/>
      <c r="D6641" s="188" t="s">
        <v>14359</v>
      </c>
      <c r="E6641" s="189" t="s">
        <v>14360</v>
      </c>
      <c r="F6641" s="162" t="s">
        <v>31344</v>
      </c>
      <c r="G6641" s="162" t="s">
        <v>13413</v>
      </c>
      <c r="H6641" s="219"/>
      <c r="I6641" s="169">
        <v>116008</v>
      </c>
      <c r="J6641" s="304" t="str">
        <f>CONCATENATE([2]Cover!$D$6,"fdd/view?i=",I6641)</f>
        <v>https://www.dgiwg.org/FAD/fdd/view?i=116008</v>
      </c>
      <c r="K6641" s="304" t="s">
        <v>40690</v>
      </c>
      <c r="L6641" s="188">
        <v>247</v>
      </c>
      <c r="M6641" s="179" t="s">
        <v>151</v>
      </c>
    </row>
    <row r="6642" spans="1:13" ht="25.5">
      <c r="A6642" s="313" t="str">
        <f t="shared" si="103"/>
        <v>TacticalAirNavChannelCode_chan089Z</v>
      </c>
      <c r="B6642" s="330"/>
      <c r="C6642" s="334"/>
      <c r="D6642" s="188" t="s">
        <v>14362</v>
      </c>
      <c r="E6642" s="189" t="s">
        <v>14363</v>
      </c>
      <c r="F6642" s="162" t="s">
        <v>31345</v>
      </c>
      <c r="G6642" s="162" t="s">
        <v>13413</v>
      </c>
      <c r="H6642" s="219"/>
      <c r="I6642" s="169">
        <v>116009</v>
      </c>
      <c r="J6642" s="304" t="str">
        <f>CONCATENATE([2]Cover!$D$6,"fdd/view?i=",I6642)</f>
        <v>https://www.dgiwg.org/FAD/fdd/view?i=116009</v>
      </c>
      <c r="K6642" s="304" t="s">
        <v>40691</v>
      </c>
      <c r="L6642" s="188">
        <v>248</v>
      </c>
      <c r="M6642" s="179" t="s">
        <v>151</v>
      </c>
    </row>
    <row r="6643" spans="1:13" ht="25.5">
      <c r="A6643" s="313" t="str">
        <f t="shared" si="103"/>
        <v>TacticalAirNavChannelCode_chan090X</v>
      </c>
      <c r="B6643" s="330"/>
      <c r="C6643" s="334"/>
      <c r="D6643" s="188" t="s">
        <v>14371</v>
      </c>
      <c r="E6643" s="189" t="s">
        <v>14372</v>
      </c>
      <c r="F6643" s="162" t="s">
        <v>31348</v>
      </c>
      <c r="G6643" s="162" t="s">
        <v>13413</v>
      </c>
      <c r="H6643" s="219"/>
      <c r="I6643" s="169">
        <v>116010</v>
      </c>
      <c r="J6643" s="304" t="str">
        <f>CONCATENATE([2]Cover!$D$6,"fdd/view?i=",I6643)</f>
        <v>https://www.dgiwg.org/FAD/fdd/view?i=116010</v>
      </c>
      <c r="K6643" s="304" t="s">
        <v>40692</v>
      </c>
      <c r="L6643" s="188">
        <v>249</v>
      </c>
      <c r="M6643" s="179" t="s">
        <v>151</v>
      </c>
    </row>
    <row r="6644" spans="1:13" ht="25.5">
      <c r="A6644" s="313" t="str">
        <f t="shared" si="103"/>
        <v>TacticalAirNavChannelCode_chan090Y</v>
      </c>
      <c r="B6644" s="330"/>
      <c r="C6644" s="334"/>
      <c r="D6644" s="188" t="s">
        <v>14374</v>
      </c>
      <c r="E6644" s="189" t="s">
        <v>14375</v>
      </c>
      <c r="F6644" s="162" t="s">
        <v>31349</v>
      </c>
      <c r="G6644" s="162" t="s">
        <v>13413</v>
      </c>
      <c r="H6644" s="219"/>
      <c r="I6644" s="169">
        <v>116011</v>
      </c>
      <c r="J6644" s="304" t="str">
        <f>CONCATENATE([2]Cover!$D$6,"fdd/view?i=",I6644)</f>
        <v>https://www.dgiwg.org/FAD/fdd/view?i=116011</v>
      </c>
      <c r="K6644" s="304" t="s">
        <v>40693</v>
      </c>
      <c r="L6644" s="188">
        <v>250</v>
      </c>
      <c r="M6644" s="179" t="s">
        <v>151</v>
      </c>
    </row>
    <row r="6645" spans="1:13" ht="25.5">
      <c r="A6645" s="313" t="str">
        <f t="shared" si="103"/>
        <v>TacticalAirNavChannelCode_chan090Z</v>
      </c>
      <c r="B6645" s="330"/>
      <c r="C6645" s="334"/>
      <c r="D6645" s="188" t="s">
        <v>14377</v>
      </c>
      <c r="E6645" s="189" t="s">
        <v>14378</v>
      </c>
      <c r="F6645" s="162" t="s">
        <v>31350</v>
      </c>
      <c r="G6645" s="162" t="s">
        <v>13413</v>
      </c>
      <c r="H6645" s="219"/>
      <c r="I6645" s="169">
        <v>116012</v>
      </c>
      <c r="J6645" s="304" t="str">
        <f>CONCATENATE([2]Cover!$D$6,"fdd/view?i=",I6645)</f>
        <v>https://www.dgiwg.org/FAD/fdd/view?i=116012</v>
      </c>
      <c r="K6645" s="304" t="s">
        <v>40694</v>
      </c>
      <c r="L6645" s="188">
        <v>251</v>
      </c>
      <c r="M6645" s="179" t="s">
        <v>151</v>
      </c>
    </row>
    <row r="6646" spans="1:13" ht="25.5">
      <c r="A6646" s="313" t="str">
        <f t="shared" si="103"/>
        <v>TacticalAirNavChannelCode_chan091X</v>
      </c>
      <c r="B6646" s="330"/>
      <c r="C6646" s="334"/>
      <c r="D6646" s="188" t="s">
        <v>14380</v>
      </c>
      <c r="E6646" s="189" t="s">
        <v>14381</v>
      </c>
      <c r="F6646" s="162" t="s">
        <v>31351</v>
      </c>
      <c r="G6646" s="162" t="s">
        <v>13413</v>
      </c>
      <c r="H6646" s="219"/>
      <c r="I6646" s="169">
        <v>116013</v>
      </c>
      <c r="J6646" s="304" t="str">
        <f>CONCATENATE([2]Cover!$D$6,"fdd/view?i=",I6646)</f>
        <v>https://www.dgiwg.org/FAD/fdd/view?i=116013</v>
      </c>
      <c r="K6646" s="304" t="s">
        <v>40695</v>
      </c>
      <c r="L6646" s="188">
        <v>252</v>
      </c>
      <c r="M6646" s="179" t="s">
        <v>151</v>
      </c>
    </row>
    <row r="6647" spans="1:13" ht="25.5">
      <c r="A6647" s="313" t="str">
        <f t="shared" si="103"/>
        <v>TacticalAirNavChannelCode_chan091Y</v>
      </c>
      <c r="B6647" s="330"/>
      <c r="C6647" s="334"/>
      <c r="D6647" s="188" t="s">
        <v>14383</v>
      </c>
      <c r="E6647" s="189" t="s">
        <v>14384</v>
      </c>
      <c r="F6647" s="162" t="s">
        <v>31352</v>
      </c>
      <c r="G6647" s="162" t="s">
        <v>13413</v>
      </c>
      <c r="H6647" s="219"/>
      <c r="I6647" s="169">
        <v>116014</v>
      </c>
      <c r="J6647" s="304" t="str">
        <f>CONCATENATE([2]Cover!$D$6,"fdd/view?i=",I6647)</f>
        <v>https://www.dgiwg.org/FAD/fdd/view?i=116014</v>
      </c>
      <c r="K6647" s="304" t="s">
        <v>40696</v>
      </c>
      <c r="L6647" s="188">
        <v>253</v>
      </c>
      <c r="M6647" s="179" t="s">
        <v>151</v>
      </c>
    </row>
    <row r="6648" spans="1:13" ht="25.5">
      <c r="A6648" s="313" t="str">
        <f t="shared" si="103"/>
        <v>TacticalAirNavChannelCode_chan091Z</v>
      </c>
      <c r="B6648" s="330"/>
      <c r="C6648" s="334"/>
      <c r="D6648" s="188" t="s">
        <v>14386</v>
      </c>
      <c r="E6648" s="189" t="s">
        <v>14387</v>
      </c>
      <c r="F6648" s="162" t="s">
        <v>31353</v>
      </c>
      <c r="G6648" s="162" t="s">
        <v>13413</v>
      </c>
      <c r="H6648" s="219"/>
      <c r="I6648" s="169">
        <v>116015</v>
      </c>
      <c r="J6648" s="304" t="str">
        <f>CONCATENATE([2]Cover!$D$6,"fdd/view?i=",I6648)</f>
        <v>https://www.dgiwg.org/FAD/fdd/view?i=116015</v>
      </c>
      <c r="K6648" s="304" t="s">
        <v>40697</v>
      </c>
      <c r="L6648" s="188">
        <v>254</v>
      </c>
      <c r="M6648" s="179" t="s">
        <v>151</v>
      </c>
    </row>
    <row r="6649" spans="1:13" ht="25.5">
      <c r="A6649" s="313" t="str">
        <f t="shared" si="103"/>
        <v>TacticalAirNavChannelCode_chan092X</v>
      </c>
      <c r="B6649" s="330"/>
      <c r="C6649" s="334"/>
      <c r="D6649" s="188" t="s">
        <v>14389</v>
      </c>
      <c r="E6649" s="189" t="s">
        <v>14390</v>
      </c>
      <c r="F6649" s="162" t="s">
        <v>31354</v>
      </c>
      <c r="G6649" s="162" t="s">
        <v>13413</v>
      </c>
      <c r="H6649" s="219"/>
      <c r="I6649" s="169">
        <v>116016</v>
      </c>
      <c r="J6649" s="304" t="str">
        <f>CONCATENATE([2]Cover!$D$6,"fdd/view?i=",I6649)</f>
        <v>https://www.dgiwg.org/FAD/fdd/view?i=116016</v>
      </c>
      <c r="K6649" s="304" t="s">
        <v>40698</v>
      </c>
      <c r="L6649" s="188">
        <v>255</v>
      </c>
      <c r="M6649" s="179" t="s">
        <v>151</v>
      </c>
    </row>
    <row r="6650" spans="1:13" ht="25.5">
      <c r="A6650" s="313" t="str">
        <f t="shared" si="103"/>
        <v>TacticalAirNavChannelCode_chan092Y</v>
      </c>
      <c r="B6650" s="330"/>
      <c r="C6650" s="334"/>
      <c r="D6650" s="188" t="s">
        <v>14392</v>
      </c>
      <c r="E6650" s="189" t="s">
        <v>14393</v>
      </c>
      <c r="F6650" s="162" t="s">
        <v>31355</v>
      </c>
      <c r="G6650" s="162" t="s">
        <v>13413</v>
      </c>
      <c r="H6650" s="219"/>
      <c r="I6650" s="169">
        <v>116017</v>
      </c>
      <c r="J6650" s="304" t="str">
        <f>CONCATENATE([2]Cover!$D$6,"fdd/view?i=",I6650)</f>
        <v>https://www.dgiwg.org/FAD/fdd/view?i=116017</v>
      </c>
      <c r="K6650" s="304" t="s">
        <v>40699</v>
      </c>
      <c r="L6650" s="188">
        <v>256</v>
      </c>
      <c r="M6650" s="179" t="s">
        <v>151</v>
      </c>
    </row>
    <row r="6651" spans="1:13" ht="25.5">
      <c r="A6651" s="313" t="str">
        <f t="shared" si="103"/>
        <v>TacticalAirNavChannelCode_chan092Z</v>
      </c>
      <c r="B6651" s="330"/>
      <c r="C6651" s="334"/>
      <c r="D6651" s="188" t="s">
        <v>14395</v>
      </c>
      <c r="E6651" s="189" t="s">
        <v>14396</v>
      </c>
      <c r="F6651" s="162" t="s">
        <v>31356</v>
      </c>
      <c r="G6651" s="162" t="s">
        <v>13413</v>
      </c>
      <c r="H6651" s="219"/>
      <c r="I6651" s="169">
        <v>116018</v>
      </c>
      <c r="J6651" s="304" t="str">
        <f>CONCATENATE([2]Cover!$D$6,"fdd/view?i=",I6651)</f>
        <v>https://www.dgiwg.org/FAD/fdd/view?i=116018</v>
      </c>
      <c r="K6651" s="304" t="s">
        <v>40700</v>
      </c>
      <c r="L6651" s="188">
        <v>257</v>
      </c>
      <c r="M6651" s="179" t="s">
        <v>151</v>
      </c>
    </row>
    <row r="6652" spans="1:13" ht="25.5">
      <c r="A6652" s="313" t="str">
        <f t="shared" si="103"/>
        <v>TacticalAirNavChannelCode_chan093X</v>
      </c>
      <c r="B6652" s="330"/>
      <c r="C6652" s="334"/>
      <c r="D6652" s="188" t="s">
        <v>14398</v>
      </c>
      <c r="E6652" s="189" t="s">
        <v>14399</v>
      </c>
      <c r="F6652" s="162" t="s">
        <v>31357</v>
      </c>
      <c r="G6652" s="162" t="s">
        <v>13413</v>
      </c>
      <c r="H6652" s="219"/>
      <c r="I6652" s="169">
        <v>116019</v>
      </c>
      <c r="J6652" s="304" t="str">
        <f>CONCATENATE([2]Cover!$D$6,"fdd/view?i=",I6652)</f>
        <v>https://www.dgiwg.org/FAD/fdd/view?i=116019</v>
      </c>
      <c r="K6652" s="304" t="s">
        <v>40701</v>
      </c>
      <c r="L6652" s="188">
        <v>258</v>
      </c>
      <c r="M6652" s="179" t="s">
        <v>151</v>
      </c>
    </row>
    <row r="6653" spans="1:13" ht="25.5">
      <c r="A6653" s="313" t="str">
        <f t="shared" si="103"/>
        <v>TacticalAirNavChannelCode_chan093Y</v>
      </c>
      <c r="B6653" s="330"/>
      <c r="C6653" s="334"/>
      <c r="D6653" s="188" t="s">
        <v>14401</v>
      </c>
      <c r="E6653" s="189" t="s">
        <v>14402</v>
      </c>
      <c r="F6653" s="162" t="s">
        <v>31358</v>
      </c>
      <c r="G6653" s="162" t="s">
        <v>13413</v>
      </c>
      <c r="H6653" s="219"/>
      <c r="I6653" s="169">
        <v>116020</v>
      </c>
      <c r="J6653" s="304" t="str">
        <f>CONCATENATE([2]Cover!$D$6,"fdd/view?i=",I6653)</f>
        <v>https://www.dgiwg.org/FAD/fdd/view?i=116020</v>
      </c>
      <c r="K6653" s="304" t="s">
        <v>40702</v>
      </c>
      <c r="L6653" s="188">
        <v>259</v>
      </c>
      <c r="M6653" s="179" t="s">
        <v>151</v>
      </c>
    </row>
    <row r="6654" spans="1:13" ht="25.5">
      <c r="A6654" s="313" t="str">
        <f t="shared" si="103"/>
        <v>TacticalAirNavChannelCode_chan093Z</v>
      </c>
      <c r="B6654" s="330"/>
      <c r="C6654" s="334"/>
      <c r="D6654" s="188" t="s">
        <v>14404</v>
      </c>
      <c r="E6654" s="189" t="s">
        <v>14405</v>
      </c>
      <c r="F6654" s="162" t="s">
        <v>31359</v>
      </c>
      <c r="G6654" s="162" t="s">
        <v>13413</v>
      </c>
      <c r="H6654" s="219"/>
      <c r="I6654" s="169">
        <v>116021</v>
      </c>
      <c r="J6654" s="304" t="str">
        <f>CONCATENATE([2]Cover!$D$6,"fdd/view?i=",I6654)</f>
        <v>https://www.dgiwg.org/FAD/fdd/view?i=116021</v>
      </c>
      <c r="K6654" s="304" t="s">
        <v>40703</v>
      </c>
      <c r="L6654" s="188">
        <v>260</v>
      </c>
      <c r="M6654" s="179" t="s">
        <v>151</v>
      </c>
    </row>
    <row r="6655" spans="1:13" ht="25.5">
      <c r="A6655" s="313" t="str">
        <f t="shared" si="103"/>
        <v>TacticalAirNavChannelCode_chan094X</v>
      </c>
      <c r="B6655" s="330"/>
      <c r="C6655" s="334"/>
      <c r="D6655" s="188" t="s">
        <v>14407</v>
      </c>
      <c r="E6655" s="189" t="s">
        <v>14408</v>
      </c>
      <c r="F6655" s="162" t="s">
        <v>31360</v>
      </c>
      <c r="G6655" s="162" t="s">
        <v>13413</v>
      </c>
      <c r="H6655" s="219"/>
      <c r="I6655" s="169">
        <v>116022</v>
      </c>
      <c r="J6655" s="304" t="str">
        <f>CONCATENATE([2]Cover!$D$6,"fdd/view?i=",I6655)</f>
        <v>https://www.dgiwg.org/FAD/fdd/view?i=116022</v>
      </c>
      <c r="K6655" s="304" t="s">
        <v>40704</v>
      </c>
      <c r="L6655" s="188">
        <v>261</v>
      </c>
      <c r="M6655" s="179" t="s">
        <v>151</v>
      </c>
    </row>
    <row r="6656" spans="1:13" ht="25.5">
      <c r="A6656" s="313" t="str">
        <f t="shared" si="103"/>
        <v>TacticalAirNavChannelCode_chan094Y</v>
      </c>
      <c r="B6656" s="330"/>
      <c r="C6656" s="334"/>
      <c r="D6656" s="188" t="s">
        <v>14410</v>
      </c>
      <c r="E6656" s="189" t="s">
        <v>14411</v>
      </c>
      <c r="F6656" s="162" t="s">
        <v>31361</v>
      </c>
      <c r="G6656" s="162" t="s">
        <v>13413</v>
      </c>
      <c r="H6656" s="219"/>
      <c r="I6656" s="169">
        <v>116023</v>
      </c>
      <c r="J6656" s="304" t="str">
        <f>CONCATENATE([2]Cover!$D$6,"fdd/view?i=",I6656)</f>
        <v>https://www.dgiwg.org/FAD/fdd/view?i=116023</v>
      </c>
      <c r="K6656" s="304" t="s">
        <v>40705</v>
      </c>
      <c r="L6656" s="188">
        <v>262</v>
      </c>
      <c r="M6656" s="179" t="s">
        <v>151</v>
      </c>
    </row>
    <row r="6657" spans="1:13" ht="25.5">
      <c r="A6657" s="313" t="str">
        <f t="shared" si="103"/>
        <v>TacticalAirNavChannelCode_chan094Z</v>
      </c>
      <c r="B6657" s="330"/>
      <c r="C6657" s="334"/>
      <c r="D6657" s="188" t="s">
        <v>14413</v>
      </c>
      <c r="E6657" s="189" t="s">
        <v>14414</v>
      </c>
      <c r="F6657" s="162" t="s">
        <v>31362</v>
      </c>
      <c r="G6657" s="162" t="s">
        <v>13413</v>
      </c>
      <c r="H6657" s="219"/>
      <c r="I6657" s="169">
        <v>116024</v>
      </c>
      <c r="J6657" s="304" t="str">
        <f>CONCATENATE([2]Cover!$D$6,"fdd/view?i=",I6657)</f>
        <v>https://www.dgiwg.org/FAD/fdd/view?i=116024</v>
      </c>
      <c r="K6657" s="304" t="s">
        <v>40706</v>
      </c>
      <c r="L6657" s="188">
        <v>263</v>
      </c>
      <c r="M6657" s="179" t="s">
        <v>151</v>
      </c>
    </row>
    <row r="6658" spans="1:13" ht="25.5">
      <c r="A6658" s="313" t="str">
        <f t="shared" si="103"/>
        <v>TacticalAirNavChannelCode_chan095X</v>
      </c>
      <c r="B6658" s="330"/>
      <c r="C6658" s="334"/>
      <c r="D6658" s="188" t="s">
        <v>14416</v>
      </c>
      <c r="E6658" s="189" t="s">
        <v>14417</v>
      </c>
      <c r="F6658" s="162" t="s">
        <v>31363</v>
      </c>
      <c r="G6658" s="162" t="s">
        <v>13413</v>
      </c>
      <c r="H6658" s="219"/>
      <c r="I6658" s="169">
        <v>116025</v>
      </c>
      <c r="J6658" s="304" t="str">
        <f>CONCATENATE([2]Cover!$D$6,"fdd/view?i=",I6658)</f>
        <v>https://www.dgiwg.org/FAD/fdd/view?i=116025</v>
      </c>
      <c r="K6658" s="304" t="s">
        <v>40707</v>
      </c>
      <c r="L6658" s="188">
        <v>264</v>
      </c>
      <c r="M6658" s="179" t="s">
        <v>151</v>
      </c>
    </row>
    <row r="6659" spans="1:13" ht="25.5">
      <c r="A6659" s="313" t="str">
        <f t="shared" ref="A6659:A6722" si="104">HYPERLINK(J6659,K6659)</f>
        <v>TacticalAirNavChannelCode_chan095Y</v>
      </c>
      <c r="B6659" s="330"/>
      <c r="C6659" s="334"/>
      <c r="D6659" s="188" t="s">
        <v>14419</v>
      </c>
      <c r="E6659" s="189" t="s">
        <v>14420</v>
      </c>
      <c r="F6659" s="162" t="s">
        <v>31364</v>
      </c>
      <c r="G6659" s="162" t="s">
        <v>13413</v>
      </c>
      <c r="H6659" s="219"/>
      <c r="I6659" s="169">
        <v>116026</v>
      </c>
      <c r="J6659" s="304" t="str">
        <f>CONCATENATE([2]Cover!$D$6,"fdd/view?i=",I6659)</f>
        <v>https://www.dgiwg.org/FAD/fdd/view?i=116026</v>
      </c>
      <c r="K6659" s="304" t="s">
        <v>40708</v>
      </c>
      <c r="L6659" s="188">
        <v>265</v>
      </c>
      <c r="M6659" s="179" t="s">
        <v>151</v>
      </c>
    </row>
    <row r="6660" spans="1:13" ht="25.5">
      <c r="A6660" s="313" t="str">
        <f t="shared" si="104"/>
        <v>TacticalAirNavChannelCode_chan095Z</v>
      </c>
      <c r="B6660" s="330"/>
      <c r="C6660" s="334"/>
      <c r="D6660" s="188" t="s">
        <v>14422</v>
      </c>
      <c r="E6660" s="189" t="s">
        <v>14423</v>
      </c>
      <c r="F6660" s="162" t="s">
        <v>31365</v>
      </c>
      <c r="G6660" s="162" t="s">
        <v>13413</v>
      </c>
      <c r="H6660" s="219"/>
      <c r="I6660" s="169">
        <v>116027</v>
      </c>
      <c r="J6660" s="304" t="str">
        <f>CONCATENATE([2]Cover!$D$6,"fdd/view?i=",I6660)</f>
        <v>https://www.dgiwg.org/FAD/fdd/view?i=116027</v>
      </c>
      <c r="K6660" s="304" t="s">
        <v>40709</v>
      </c>
      <c r="L6660" s="188">
        <v>266</v>
      </c>
      <c r="M6660" s="179" t="s">
        <v>151</v>
      </c>
    </row>
    <row r="6661" spans="1:13" ht="25.5">
      <c r="A6661" s="313" t="str">
        <f t="shared" si="104"/>
        <v>TacticalAirNavChannelCode_chan096X</v>
      </c>
      <c r="B6661" s="330"/>
      <c r="C6661" s="334"/>
      <c r="D6661" s="188" t="s">
        <v>14425</v>
      </c>
      <c r="E6661" s="189" t="s">
        <v>14426</v>
      </c>
      <c r="F6661" s="162" t="s">
        <v>31366</v>
      </c>
      <c r="G6661" s="162" t="s">
        <v>13413</v>
      </c>
      <c r="H6661" s="219"/>
      <c r="I6661" s="169">
        <v>116028</v>
      </c>
      <c r="J6661" s="304" t="str">
        <f>CONCATENATE([2]Cover!$D$6,"fdd/view?i=",I6661)</f>
        <v>https://www.dgiwg.org/FAD/fdd/view?i=116028</v>
      </c>
      <c r="K6661" s="304" t="s">
        <v>40710</v>
      </c>
      <c r="L6661" s="188">
        <v>267</v>
      </c>
      <c r="M6661" s="179" t="s">
        <v>151</v>
      </c>
    </row>
    <row r="6662" spans="1:13" ht="25.5">
      <c r="A6662" s="313" t="str">
        <f t="shared" si="104"/>
        <v>TacticalAirNavChannelCode_chan096Y</v>
      </c>
      <c r="B6662" s="330"/>
      <c r="C6662" s="334"/>
      <c r="D6662" s="188" t="s">
        <v>14428</v>
      </c>
      <c r="E6662" s="189" t="s">
        <v>14429</v>
      </c>
      <c r="F6662" s="162" t="s">
        <v>31367</v>
      </c>
      <c r="G6662" s="162" t="s">
        <v>13413</v>
      </c>
      <c r="H6662" s="219"/>
      <c r="I6662" s="169">
        <v>116029</v>
      </c>
      <c r="J6662" s="304" t="str">
        <f>CONCATENATE([2]Cover!$D$6,"fdd/view?i=",I6662)</f>
        <v>https://www.dgiwg.org/FAD/fdd/view?i=116029</v>
      </c>
      <c r="K6662" s="304" t="s">
        <v>40711</v>
      </c>
      <c r="L6662" s="188">
        <v>268</v>
      </c>
      <c r="M6662" s="179" t="s">
        <v>151</v>
      </c>
    </row>
    <row r="6663" spans="1:13" ht="25.5">
      <c r="A6663" s="313" t="str">
        <f t="shared" si="104"/>
        <v>TacticalAirNavChannelCode_chan096Z</v>
      </c>
      <c r="B6663" s="330"/>
      <c r="C6663" s="334"/>
      <c r="D6663" s="188" t="s">
        <v>14431</v>
      </c>
      <c r="E6663" s="189" t="s">
        <v>14432</v>
      </c>
      <c r="F6663" s="162" t="s">
        <v>31368</v>
      </c>
      <c r="G6663" s="162" t="s">
        <v>13413</v>
      </c>
      <c r="H6663" s="219"/>
      <c r="I6663" s="169">
        <v>116030</v>
      </c>
      <c r="J6663" s="304" t="str">
        <f>CONCATENATE([2]Cover!$D$6,"fdd/view?i=",I6663)</f>
        <v>https://www.dgiwg.org/FAD/fdd/view?i=116030</v>
      </c>
      <c r="K6663" s="304" t="s">
        <v>40712</v>
      </c>
      <c r="L6663" s="188">
        <v>269</v>
      </c>
      <c r="M6663" s="179" t="s">
        <v>151</v>
      </c>
    </row>
    <row r="6664" spans="1:13" ht="25.5">
      <c r="A6664" s="313" t="str">
        <f t="shared" si="104"/>
        <v>TacticalAirNavChannelCode_chan097X</v>
      </c>
      <c r="B6664" s="330"/>
      <c r="C6664" s="334"/>
      <c r="D6664" s="188" t="s">
        <v>14434</v>
      </c>
      <c r="E6664" s="189" t="s">
        <v>14435</v>
      </c>
      <c r="F6664" s="162" t="s">
        <v>31369</v>
      </c>
      <c r="G6664" s="162" t="s">
        <v>13413</v>
      </c>
      <c r="H6664" s="219"/>
      <c r="I6664" s="169">
        <v>116031</v>
      </c>
      <c r="J6664" s="304" t="str">
        <f>CONCATENATE([2]Cover!$D$6,"fdd/view?i=",I6664)</f>
        <v>https://www.dgiwg.org/FAD/fdd/view?i=116031</v>
      </c>
      <c r="K6664" s="304" t="s">
        <v>40713</v>
      </c>
      <c r="L6664" s="188">
        <v>270</v>
      </c>
      <c r="M6664" s="179" t="s">
        <v>151</v>
      </c>
    </row>
    <row r="6665" spans="1:13" ht="25.5">
      <c r="A6665" s="313" t="str">
        <f t="shared" si="104"/>
        <v>TacticalAirNavChannelCode_chan097Y</v>
      </c>
      <c r="B6665" s="330"/>
      <c r="C6665" s="334"/>
      <c r="D6665" s="188" t="s">
        <v>14437</v>
      </c>
      <c r="E6665" s="189" t="s">
        <v>14438</v>
      </c>
      <c r="F6665" s="162" t="s">
        <v>31370</v>
      </c>
      <c r="G6665" s="162" t="s">
        <v>13413</v>
      </c>
      <c r="H6665" s="219"/>
      <c r="I6665" s="169">
        <v>116032</v>
      </c>
      <c r="J6665" s="304" t="str">
        <f>CONCATENATE([2]Cover!$D$6,"fdd/view?i=",I6665)</f>
        <v>https://www.dgiwg.org/FAD/fdd/view?i=116032</v>
      </c>
      <c r="K6665" s="304" t="s">
        <v>40714</v>
      </c>
      <c r="L6665" s="188">
        <v>271</v>
      </c>
      <c r="M6665" s="179" t="s">
        <v>151</v>
      </c>
    </row>
    <row r="6666" spans="1:13" ht="25.5">
      <c r="A6666" s="313" t="str">
        <f t="shared" si="104"/>
        <v>TacticalAirNavChannelCode_chan097Z</v>
      </c>
      <c r="B6666" s="330"/>
      <c r="C6666" s="334"/>
      <c r="D6666" s="188" t="s">
        <v>14440</v>
      </c>
      <c r="E6666" s="189" t="s">
        <v>14441</v>
      </c>
      <c r="F6666" s="162" t="s">
        <v>31371</v>
      </c>
      <c r="G6666" s="162" t="s">
        <v>13413</v>
      </c>
      <c r="H6666" s="219"/>
      <c r="I6666" s="169">
        <v>116033</v>
      </c>
      <c r="J6666" s="304" t="str">
        <f>CONCATENATE([2]Cover!$D$6,"fdd/view?i=",I6666)</f>
        <v>https://www.dgiwg.org/FAD/fdd/view?i=116033</v>
      </c>
      <c r="K6666" s="304" t="s">
        <v>40715</v>
      </c>
      <c r="L6666" s="188">
        <v>272</v>
      </c>
      <c r="M6666" s="179" t="s">
        <v>151</v>
      </c>
    </row>
    <row r="6667" spans="1:13" ht="25.5">
      <c r="A6667" s="313" t="str">
        <f t="shared" si="104"/>
        <v>TacticalAirNavChannelCode_chan098X</v>
      </c>
      <c r="B6667" s="330"/>
      <c r="C6667" s="334"/>
      <c r="D6667" s="188" t="s">
        <v>14443</v>
      </c>
      <c r="E6667" s="189" t="s">
        <v>14444</v>
      </c>
      <c r="F6667" s="162" t="s">
        <v>31372</v>
      </c>
      <c r="G6667" s="162" t="s">
        <v>13413</v>
      </c>
      <c r="H6667" s="219"/>
      <c r="I6667" s="169">
        <v>116034</v>
      </c>
      <c r="J6667" s="304" t="str">
        <f>CONCATENATE([2]Cover!$D$6,"fdd/view?i=",I6667)</f>
        <v>https://www.dgiwg.org/FAD/fdd/view?i=116034</v>
      </c>
      <c r="K6667" s="304" t="s">
        <v>40716</v>
      </c>
      <c r="L6667" s="188">
        <v>273</v>
      </c>
      <c r="M6667" s="179" t="s">
        <v>151</v>
      </c>
    </row>
    <row r="6668" spans="1:13" ht="25.5">
      <c r="A6668" s="313" t="str">
        <f t="shared" si="104"/>
        <v>TacticalAirNavChannelCode_chan098Y</v>
      </c>
      <c r="B6668" s="330"/>
      <c r="C6668" s="334"/>
      <c r="D6668" s="188" t="s">
        <v>14446</v>
      </c>
      <c r="E6668" s="189" t="s">
        <v>14447</v>
      </c>
      <c r="F6668" s="162" t="s">
        <v>31373</v>
      </c>
      <c r="G6668" s="162" t="s">
        <v>13413</v>
      </c>
      <c r="H6668" s="219"/>
      <c r="I6668" s="169">
        <v>116035</v>
      </c>
      <c r="J6668" s="304" t="str">
        <f>CONCATENATE([2]Cover!$D$6,"fdd/view?i=",I6668)</f>
        <v>https://www.dgiwg.org/FAD/fdd/view?i=116035</v>
      </c>
      <c r="K6668" s="304" t="s">
        <v>40717</v>
      </c>
      <c r="L6668" s="188">
        <v>274</v>
      </c>
      <c r="M6668" s="179" t="s">
        <v>151</v>
      </c>
    </row>
    <row r="6669" spans="1:13" ht="25.5">
      <c r="A6669" s="313" t="str">
        <f t="shared" si="104"/>
        <v>TacticalAirNavChannelCode_chan098Z</v>
      </c>
      <c r="B6669" s="330"/>
      <c r="C6669" s="334"/>
      <c r="D6669" s="188" t="s">
        <v>14449</v>
      </c>
      <c r="E6669" s="189" t="s">
        <v>14450</v>
      </c>
      <c r="F6669" s="162" t="s">
        <v>31374</v>
      </c>
      <c r="G6669" s="162" t="s">
        <v>13413</v>
      </c>
      <c r="H6669" s="219"/>
      <c r="I6669" s="169">
        <v>116036</v>
      </c>
      <c r="J6669" s="304" t="str">
        <f>CONCATENATE([2]Cover!$D$6,"fdd/view?i=",I6669)</f>
        <v>https://www.dgiwg.org/FAD/fdd/view?i=116036</v>
      </c>
      <c r="K6669" s="304" t="s">
        <v>40718</v>
      </c>
      <c r="L6669" s="188">
        <v>275</v>
      </c>
      <c r="M6669" s="179" t="s">
        <v>151</v>
      </c>
    </row>
    <row r="6670" spans="1:13" ht="25.5">
      <c r="A6670" s="313" t="str">
        <f t="shared" si="104"/>
        <v>TacticalAirNavChannelCode_chan099X</v>
      </c>
      <c r="B6670" s="330"/>
      <c r="C6670" s="334"/>
      <c r="D6670" s="188" t="s">
        <v>14452</v>
      </c>
      <c r="E6670" s="189" t="s">
        <v>14453</v>
      </c>
      <c r="F6670" s="162" t="s">
        <v>31375</v>
      </c>
      <c r="G6670" s="162" t="s">
        <v>13413</v>
      </c>
      <c r="H6670" s="219"/>
      <c r="I6670" s="169">
        <v>116037</v>
      </c>
      <c r="J6670" s="304" t="str">
        <f>CONCATENATE([2]Cover!$D$6,"fdd/view?i=",I6670)</f>
        <v>https://www.dgiwg.org/FAD/fdd/view?i=116037</v>
      </c>
      <c r="K6670" s="304" t="s">
        <v>40719</v>
      </c>
      <c r="L6670" s="188">
        <v>276</v>
      </c>
      <c r="M6670" s="179" t="s">
        <v>151</v>
      </c>
    </row>
    <row r="6671" spans="1:13" ht="25.5">
      <c r="A6671" s="313" t="str">
        <f t="shared" si="104"/>
        <v>TacticalAirNavChannelCode_chan099Y</v>
      </c>
      <c r="B6671" s="330"/>
      <c r="C6671" s="334"/>
      <c r="D6671" s="188" t="s">
        <v>14455</v>
      </c>
      <c r="E6671" s="189" t="s">
        <v>14456</v>
      </c>
      <c r="F6671" s="162" t="s">
        <v>31376</v>
      </c>
      <c r="G6671" s="162" t="s">
        <v>13413</v>
      </c>
      <c r="H6671" s="219"/>
      <c r="I6671" s="169">
        <v>116038</v>
      </c>
      <c r="J6671" s="304" t="str">
        <f>CONCATENATE([2]Cover!$D$6,"fdd/view?i=",I6671)</f>
        <v>https://www.dgiwg.org/FAD/fdd/view?i=116038</v>
      </c>
      <c r="K6671" s="304" t="s">
        <v>40720</v>
      </c>
      <c r="L6671" s="188">
        <v>277</v>
      </c>
      <c r="M6671" s="179" t="s">
        <v>151</v>
      </c>
    </row>
    <row r="6672" spans="1:13" ht="25.5">
      <c r="A6672" s="313" t="str">
        <f t="shared" si="104"/>
        <v>TacticalAirNavChannelCode_chan099Z</v>
      </c>
      <c r="B6672" s="330"/>
      <c r="C6672" s="334"/>
      <c r="D6672" s="188" t="s">
        <v>14458</v>
      </c>
      <c r="E6672" s="189" t="s">
        <v>14459</v>
      </c>
      <c r="F6672" s="162" t="s">
        <v>31377</v>
      </c>
      <c r="G6672" s="162" t="s">
        <v>13413</v>
      </c>
      <c r="H6672" s="219"/>
      <c r="I6672" s="169">
        <v>116039</v>
      </c>
      <c r="J6672" s="304" t="str">
        <f>CONCATENATE([2]Cover!$D$6,"fdd/view?i=",I6672)</f>
        <v>https://www.dgiwg.org/FAD/fdd/view?i=116039</v>
      </c>
      <c r="K6672" s="304" t="s">
        <v>40721</v>
      </c>
      <c r="L6672" s="188">
        <v>278</v>
      </c>
      <c r="M6672" s="179" t="s">
        <v>151</v>
      </c>
    </row>
    <row r="6673" spans="1:13" ht="25.5">
      <c r="A6673" s="313" t="str">
        <f t="shared" si="104"/>
        <v>TacticalAirNavChannelCode_chan100X</v>
      </c>
      <c r="B6673" s="330"/>
      <c r="C6673" s="334"/>
      <c r="D6673" s="188" t="s">
        <v>13410</v>
      </c>
      <c r="E6673" s="189" t="s">
        <v>13411</v>
      </c>
      <c r="F6673" s="162" t="s">
        <v>31028</v>
      </c>
      <c r="G6673" s="162" t="s">
        <v>13413</v>
      </c>
      <c r="H6673" s="219"/>
      <c r="I6673" s="169">
        <v>116040</v>
      </c>
      <c r="J6673" s="304" t="str">
        <f>CONCATENATE([2]Cover!$D$6,"fdd/view?i=",I6673)</f>
        <v>https://www.dgiwg.org/FAD/fdd/view?i=116040</v>
      </c>
      <c r="K6673" s="304" t="s">
        <v>40722</v>
      </c>
      <c r="L6673" s="188">
        <v>279</v>
      </c>
      <c r="M6673" s="179" t="s">
        <v>151</v>
      </c>
    </row>
    <row r="6674" spans="1:13" ht="25.5">
      <c r="A6674" s="313" t="str">
        <f t="shared" si="104"/>
        <v>TacticalAirNavChannelCode_chan100Y</v>
      </c>
      <c r="B6674" s="330"/>
      <c r="C6674" s="334"/>
      <c r="D6674" s="188" t="s">
        <v>13414</v>
      </c>
      <c r="E6674" s="189" t="s">
        <v>13415</v>
      </c>
      <c r="F6674" s="162" t="s">
        <v>31029</v>
      </c>
      <c r="G6674" s="162" t="s">
        <v>13413</v>
      </c>
      <c r="H6674" s="219"/>
      <c r="I6674" s="169">
        <v>116041</v>
      </c>
      <c r="J6674" s="304" t="str">
        <f>CONCATENATE([2]Cover!$D$6,"fdd/view?i=",I6674)</f>
        <v>https://www.dgiwg.org/FAD/fdd/view?i=116041</v>
      </c>
      <c r="K6674" s="304" t="s">
        <v>40723</v>
      </c>
      <c r="L6674" s="188">
        <v>280</v>
      </c>
      <c r="M6674" s="179" t="s">
        <v>151</v>
      </c>
    </row>
    <row r="6675" spans="1:13" ht="25.5">
      <c r="A6675" s="313" t="str">
        <f t="shared" si="104"/>
        <v>TacticalAirNavChannelCode_chan100Z</v>
      </c>
      <c r="B6675" s="330"/>
      <c r="C6675" s="334"/>
      <c r="D6675" s="188" t="s">
        <v>13417</v>
      </c>
      <c r="E6675" s="189" t="s">
        <v>13418</v>
      </c>
      <c r="F6675" s="162" t="s">
        <v>31030</v>
      </c>
      <c r="G6675" s="162" t="s">
        <v>13413</v>
      </c>
      <c r="H6675" s="219"/>
      <c r="I6675" s="169">
        <v>116042</v>
      </c>
      <c r="J6675" s="304" t="str">
        <f>CONCATENATE([2]Cover!$D$6,"fdd/view?i=",I6675)</f>
        <v>https://www.dgiwg.org/FAD/fdd/view?i=116042</v>
      </c>
      <c r="K6675" s="304" t="s">
        <v>40724</v>
      </c>
      <c r="L6675" s="188">
        <v>281</v>
      </c>
      <c r="M6675" s="179" t="s">
        <v>151</v>
      </c>
    </row>
    <row r="6676" spans="1:13" ht="25.5">
      <c r="A6676" s="313" t="str">
        <f t="shared" si="104"/>
        <v>TacticalAirNavChannelCode_chan101X</v>
      </c>
      <c r="B6676" s="330"/>
      <c r="C6676" s="334"/>
      <c r="D6676" s="188" t="s">
        <v>13420</v>
      </c>
      <c r="E6676" s="189" t="s">
        <v>13421</v>
      </c>
      <c r="F6676" s="162" t="s">
        <v>31031</v>
      </c>
      <c r="G6676" s="162" t="s">
        <v>13413</v>
      </c>
      <c r="H6676" s="219"/>
      <c r="I6676" s="169">
        <v>116043</v>
      </c>
      <c r="J6676" s="304" t="str">
        <f>CONCATENATE([2]Cover!$D$6,"fdd/view?i=",I6676)</f>
        <v>https://www.dgiwg.org/FAD/fdd/view?i=116043</v>
      </c>
      <c r="K6676" s="304" t="s">
        <v>40725</v>
      </c>
      <c r="L6676" s="188">
        <v>282</v>
      </c>
      <c r="M6676" s="179" t="s">
        <v>151</v>
      </c>
    </row>
    <row r="6677" spans="1:13" ht="25.5">
      <c r="A6677" s="313" t="str">
        <f t="shared" si="104"/>
        <v>TacticalAirNavChannelCode_chan101Y</v>
      </c>
      <c r="B6677" s="330"/>
      <c r="C6677" s="334"/>
      <c r="D6677" s="188" t="s">
        <v>13423</v>
      </c>
      <c r="E6677" s="189" t="s">
        <v>13424</v>
      </c>
      <c r="F6677" s="162" t="s">
        <v>31032</v>
      </c>
      <c r="G6677" s="162" t="s">
        <v>13413</v>
      </c>
      <c r="H6677" s="219"/>
      <c r="I6677" s="169">
        <v>116044</v>
      </c>
      <c r="J6677" s="304" t="str">
        <f>CONCATENATE([2]Cover!$D$6,"fdd/view?i=",I6677)</f>
        <v>https://www.dgiwg.org/FAD/fdd/view?i=116044</v>
      </c>
      <c r="K6677" s="304" t="s">
        <v>40726</v>
      </c>
      <c r="L6677" s="188">
        <v>283</v>
      </c>
      <c r="M6677" s="179" t="s">
        <v>151</v>
      </c>
    </row>
    <row r="6678" spans="1:13" ht="25.5">
      <c r="A6678" s="313" t="str">
        <f t="shared" si="104"/>
        <v>TacticalAirNavChannelCode_chan101Z</v>
      </c>
      <c r="B6678" s="330"/>
      <c r="C6678" s="334"/>
      <c r="D6678" s="188" t="s">
        <v>13426</v>
      </c>
      <c r="E6678" s="189" t="s">
        <v>13427</v>
      </c>
      <c r="F6678" s="162" t="s">
        <v>31033</v>
      </c>
      <c r="G6678" s="162" t="s">
        <v>13413</v>
      </c>
      <c r="H6678" s="219"/>
      <c r="I6678" s="169">
        <v>116045</v>
      </c>
      <c r="J6678" s="304" t="str">
        <f>CONCATENATE([2]Cover!$D$6,"fdd/view?i=",I6678)</f>
        <v>https://www.dgiwg.org/FAD/fdd/view?i=116045</v>
      </c>
      <c r="K6678" s="304" t="s">
        <v>40727</v>
      </c>
      <c r="L6678" s="188">
        <v>284</v>
      </c>
      <c r="M6678" s="179" t="s">
        <v>151</v>
      </c>
    </row>
    <row r="6679" spans="1:13" ht="25.5">
      <c r="A6679" s="313" t="str">
        <f t="shared" si="104"/>
        <v>TacticalAirNavChannelCode_chan102X</v>
      </c>
      <c r="B6679" s="330"/>
      <c r="C6679" s="334"/>
      <c r="D6679" s="188" t="s">
        <v>13429</v>
      </c>
      <c r="E6679" s="189" t="s">
        <v>13430</v>
      </c>
      <c r="F6679" s="162" t="s">
        <v>31034</v>
      </c>
      <c r="G6679" s="162" t="s">
        <v>13413</v>
      </c>
      <c r="H6679" s="219"/>
      <c r="I6679" s="169">
        <v>116046</v>
      </c>
      <c r="J6679" s="304" t="str">
        <f>CONCATENATE([2]Cover!$D$6,"fdd/view?i=",I6679)</f>
        <v>https://www.dgiwg.org/FAD/fdd/view?i=116046</v>
      </c>
      <c r="K6679" s="304" t="s">
        <v>40728</v>
      </c>
      <c r="L6679" s="188">
        <v>285</v>
      </c>
      <c r="M6679" s="179" t="s">
        <v>151</v>
      </c>
    </row>
    <row r="6680" spans="1:13" ht="25.5">
      <c r="A6680" s="313" t="str">
        <f t="shared" si="104"/>
        <v>TacticalAirNavChannelCode_chan102Y</v>
      </c>
      <c r="B6680" s="330"/>
      <c r="C6680" s="334"/>
      <c r="D6680" s="188" t="s">
        <v>13432</v>
      </c>
      <c r="E6680" s="189" t="s">
        <v>13433</v>
      </c>
      <c r="F6680" s="162" t="s">
        <v>31035</v>
      </c>
      <c r="G6680" s="162" t="s">
        <v>13413</v>
      </c>
      <c r="H6680" s="219"/>
      <c r="I6680" s="169">
        <v>116047</v>
      </c>
      <c r="J6680" s="304" t="str">
        <f>CONCATENATE([2]Cover!$D$6,"fdd/view?i=",I6680)</f>
        <v>https://www.dgiwg.org/FAD/fdd/view?i=116047</v>
      </c>
      <c r="K6680" s="304" t="s">
        <v>40729</v>
      </c>
      <c r="L6680" s="188">
        <v>286</v>
      </c>
      <c r="M6680" s="179" t="s">
        <v>151</v>
      </c>
    </row>
    <row r="6681" spans="1:13" ht="25.5">
      <c r="A6681" s="313" t="str">
        <f t="shared" si="104"/>
        <v>TacticalAirNavChannelCode_chan102Z</v>
      </c>
      <c r="B6681" s="330"/>
      <c r="C6681" s="334"/>
      <c r="D6681" s="188" t="s">
        <v>13435</v>
      </c>
      <c r="E6681" s="189" t="s">
        <v>13436</v>
      </c>
      <c r="F6681" s="162" t="s">
        <v>31036</v>
      </c>
      <c r="G6681" s="162" t="s">
        <v>13413</v>
      </c>
      <c r="H6681" s="219"/>
      <c r="I6681" s="169">
        <v>116048</v>
      </c>
      <c r="J6681" s="304" t="str">
        <f>CONCATENATE([2]Cover!$D$6,"fdd/view?i=",I6681)</f>
        <v>https://www.dgiwg.org/FAD/fdd/view?i=116048</v>
      </c>
      <c r="K6681" s="304" t="s">
        <v>40730</v>
      </c>
      <c r="L6681" s="188">
        <v>287</v>
      </c>
      <c r="M6681" s="179" t="s">
        <v>151</v>
      </c>
    </row>
    <row r="6682" spans="1:13" ht="25.5">
      <c r="A6682" s="313" t="str">
        <f t="shared" si="104"/>
        <v>TacticalAirNavChannelCode_chan103X</v>
      </c>
      <c r="B6682" s="330"/>
      <c r="C6682" s="334"/>
      <c r="D6682" s="188" t="s">
        <v>13438</v>
      </c>
      <c r="E6682" s="189" t="s">
        <v>13439</v>
      </c>
      <c r="F6682" s="162" t="s">
        <v>31037</v>
      </c>
      <c r="G6682" s="162" t="s">
        <v>13413</v>
      </c>
      <c r="H6682" s="219"/>
      <c r="I6682" s="169">
        <v>116049</v>
      </c>
      <c r="J6682" s="304" t="str">
        <f>CONCATENATE([2]Cover!$D$6,"fdd/view?i=",I6682)</f>
        <v>https://www.dgiwg.org/FAD/fdd/view?i=116049</v>
      </c>
      <c r="K6682" s="304" t="s">
        <v>40731</v>
      </c>
      <c r="L6682" s="188">
        <v>288</v>
      </c>
      <c r="M6682" s="179" t="s">
        <v>151</v>
      </c>
    </row>
    <row r="6683" spans="1:13" ht="25.5">
      <c r="A6683" s="313" t="str">
        <f t="shared" si="104"/>
        <v>TacticalAirNavChannelCode_chan103Y</v>
      </c>
      <c r="B6683" s="330"/>
      <c r="C6683" s="334"/>
      <c r="D6683" s="188" t="s">
        <v>13441</v>
      </c>
      <c r="E6683" s="189" t="s">
        <v>13442</v>
      </c>
      <c r="F6683" s="162" t="s">
        <v>31038</v>
      </c>
      <c r="G6683" s="162" t="s">
        <v>13413</v>
      </c>
      <c r="H6683" s="219"/>
      <c r="I6683" s="169">
        <v>116050</v>
      </c>
      <c r="J6683" s="304" t="str">
        <f>CONCATENATE([2]Cover!$D$6,"fdd/view?i=",I6683)</f>
        <v>https://www.dgiwg.org/FAD/fdd/view?i=116050</v>
      </c>
      <c r="K6683" s="304" t="s">
        <v>40732</v>
      </c>
      <c r="L6683" s="188">
        <v>289</v>
      </c>
      <c r="M6683" s="179" t="s">
        <v>151</v>
      </c>
    </row>
    <row r="6684" spans="1:13" ht="25.5">
      <c r="A6684" s="313" t="str">
        <f t="shared" si="104"/>
        <v>TacticalAirNavChannelCode_chan103Z</v>
      </c>
      <c r="B6684" s="330"/>
      <c r="C6684" s="334"/>
      <c r="D6684" s="188" t="s">
        <v>13444</v>
      </c>
      <c r="E6684" s="189" t="s">
        <v>13445</v>
      </c>
      <c r="F6684" s="162" t="s">
        <v>31039</v>
      </c>
      <c r="G6684" s="162" t="s">
        <v>13413</v>
      </c>
      <c r="H6684" s="219"/>
      <c r="I6684" s="169">
        <v>116051</v>
      </c>
      <c r="J6684" s="304" t="str">
        <f>CONCATENATE([2]Cover!$D$6,"fdd/view?i=",I6684)</f>
        <v>https://www.dgiwg.org/FAD/fdd/view?i=116051</v>
      </c>
      <c r="K6684" s="304" t="s">
        <v>40733</v>
      </c>
      <c r="L6684" s="188">
        <v>290</v>
      </c>
      <c r="M6684" s="179" t="s">
        <v>151</v>
      </c>
    </row>
    <row r="6685" spans="1:13" ht="25.5">
      <c r="A6685" s="313" t="str">
        <f t="shared" si="104"/>
        <v>TacticalAirNavChannelCode_chan104X</v>
      </c>
      <c r="B6685" s="330"/>
      <c r="C6685" s="334"/>
      <c r="D6685" s="188" t="s">
        <v>13447</v>
      </c>
      <c r="E6685" s="189" t="s">
        <v>13448</v>
      </c>
      <c r="F6685" s="162" t="s">
        <v>31040</v>
      </c>
      <c r="G6685" s="162" t="s">
        <v>13413</v>
      </c>
      <c r="H6685" s="219"/>
      <c r="I6685" s="169">
        <v>116052</v>
      </c>
      <c r="J6685" s="304" t="str">
        <f>CONCATENATE([2]Cover!$D$6,"fdd/view?i=",I6685)</f>
        <v>https://www.dgiwg.org/FAD/fdd/view?i=116052</v>
      </c>
      <c r="K6685" s="304" t="s">
        <v>40734</v>
      </c>
      <c r="L6685" s="188">
        <v>291</v>
      </c>
      <c r="M6685" s="179" t="s">
        <v>151</v>
      </c>
    </row>
    <row r="6686" spans="1:13" ht="25.5">
      <c r="A6686" s="313" t="str">
        <f t="shared" si="104"/>
        <v>TacticalAirNavChannelCode_chan104Y</v>
      </c>
      <c r="B6686" s="330"/>
      <c r="C6686" s="334"/>
      <c r="D6686" s="188" t="s">
        <v>13450</v>
      </c>
      <c r="E6686" s="189" t="s">
        <v>13451</v>
      </c>
      <c r="F6686" s="162" t="s">
        <v>31041</v>
      </c>
      <c r="G6686" s="162" t="s">
        <v>13413</v>
      </c>
      <c r="H6686" s="219"/>
      <c r="I6686" s="169">
        <v>116053</v>
      </c>
      <c r="J6686" s="304" t="str">
        <f>CONCATENATE([2]Cover!$D$6,"fdd/view?i=",I6686)</f>
        <v>https://www.dgiwg.org/FAD/fdd/view?i=116053</v>
      </c>
      <c r="K6686" s="304" t="s">
        <v>40735</v>
      </c>
      <c r="L6686" s="188">
        <v>292</v>
      </c>
      <c r="M6686" s="179" t="s">
        <v>151</v>
      </c>
    </row>
    <row r="6687" spans="1:13" ht="25.5">
      <c r="A6687" s="313" t="str">
        <f t="shared" si="104"/>
        <v>TacticalAirNavChannelCode_chan104Z</v>
      </c>
      <c r="B6687" s="330"/>
      <c r="C6687" s="334"/>
      <c r="D6687" s="188" t="s">
        <v>13453</v>
      </c>
      <c r="E6687" s="189" t="s">
        <v>13454</v>
      </c>
      <c r="F6687" s="162" t="s">
        <v>31042</v>
      </c>
      <c r="G6687" s="162" t="s">
        <v>13413</v>
      </c>
      <c r="H6687" s="219"/>
      <c r="I6687" s="169">
        <v>116054</v>
      </c>
      <c r="J6687" s="304" t="str">
        <f>CONCATENATE([2]Cover!$D$6,"fdd/view?i=",I6687)</f>
        <v>https://www.dgiwg.org/FAD/fdd/view?i=116054</v>
      </c>
      <c r="K6687" s="304" t="s">
        <v>40736</v>
      </c>
      <c r="L6687" s="188">
        <v>293</v>
      </c>
      <c r="M6687" s="179" t="s">
        <v>151</v>
      </c>
    </row>
    <row r="6688" spans="1:13" ht="25.5">
      <c r="A6688" s="313" t="str">
        <f t="shared" si="104"/>
        <v>TacticalAirNavChannelCode_chan105X</v>
      </c>
      <c r="B6688" s="330"/>
      <c r="C6688" s="334"/>
      <c r="D6688" s="188" t="s">
        <v>13456</v>
      </c>
      <c r="E6688" s="189" t="s">
        <v>13457</v>
      </c>
      <c r="F6688" s="162" t="s">
        <v>31043</v>
      </c>
      <c r="G6688" s="162" t="s">
        <v>13413</v>
      </c>
      <c r="H6688" s="219"/>
      <c r="I6688" s="169">
        <v>116055</v>
      </c>
      <c r="J6688" s="304" t="str">
        <f>CONCATENATE([2]Cover!$D$6,"fdd/view?i=",I6688)</f>
        <v>https://www.dgiwg.org/FAD/fdd/view?i=116055</v>
      </c>
      <c r="K6688" s="304" t="s">
        <v>40737</v>
      </c>
      <c r="L6688" s="188">
        <v>294</v>
      </c>
      <c r="M6688" s="179" t="s">
        <v>151</v>
      </c>
    </row>
    <row r="6689" spans="1:13" ht="25.5">
      <c r="A6689" s="313" t="str">
        <f t="shared" si="104"/>
        <v>TacticalAirNavChannelCode_chan105Y</v>
      </c>
      <c r="B6689" s="330"/>
      <c r="C6689" s="334"/>
      <c r="D6689" s="188" t="s">
        <v>13459</v>
      </c>
      <c r="E6689" s="189" t="s">
        <v>13460</v>
      </c>
      <c r="F6689" s="162" t="s">
        <v>31044</v>
      </c>
      <c r="G6689" s="162" t="s">
        <v>13413</v>
      </c>
      <c r="H6689" s="219"/>
      <c r="I6689" s="169">
        <v>116056</v>
      </c>
      <c r="J6689" s="304" t="str">
        <f>CONCATENATE([2]Cover!$D$6,"fdd/view?i=",I6689)</f>
        <v>https://www.dgiwg.org/FAD/fdd/view?i=116056</v>
      </c>
      <c r="K6689" s="304" t="s">
        <v>40738</v>
      </c>
      <c r="L6689" s="188">
        <v>295</v>
      </c>
      <c r="M6689" s="179" t="s">
        <v>151</v>
      </c>
    </row>
    <row r="6690" spans="1:13" ht="25.5">
      <c r="A6690" s="313" t="str">
        <f t="shared" si="104"/>
        <v>TacticalAirNavChannelCode_chan105Z</v>
      </c>
      <c r="B6690" s="330"/>
      <c r="C6690" s="334"/>
      <c r="D6690" s="188" t="s">
        <v>13462</v>
      </c>
      <c r="E6690" s="189" t="s">
        <v>13463</v>
      </c>
      <c r="F6690" s="162" t="s">
        <v>31045</v>
      </c>
      <c r="G6690" s="162" t="s">
        <v>13413</v>
      </c>
      <c r="H6690" s="219"/>
      <c r="I6690" s="169">
        <v>116057</v>
      </c>
      <c r="J6690" s="304" t="str">
        <f>CONCATENATE([2]Cover!$D$6,"fdd/view?i=",I6690)</f>
        <v>https://www.dgiwg.org/FAD/fdd/view?i=116057</v>
      </c>
      <c r="K6690" s="304" t="s">
        <v>40739</v>
      </c>
      <c r="L6690" s="188">
        <v>296</v>
      </c>
      <c r="M6690" s="179" t="s">
        <v>151</v>
      </c>
    </row>
    <row r="6691" spans="1:13" ht="25.5">
      <c r="A6691" s="313" t="str">
        <f t="shared" si="104"/>
        <v>TacticalAirNavChannelCode_chan106X</v>
      </c>
      <c r="B6691" s="330"/>
      <c r="C6691" s="334"/>
      <c r="D6691" s="188" t="s">
        <v>13465</v>
      </c>
      <c r="E6691" s="189" t="s">
        <v>13466</v>
      </c>
      <c r="F6691" s="162" t="s">
        <v>31046</v>
      </c>
      <c r="G6691" s="162" t="s">
        <v>13413</v>
      </c>
      <c r="H6691" s="219"/>
      <c r="I6691" s="169">
        <v>116058</v>
      </c>
      <c r="J6691" s="304" t="str">
        <f>CONCATENATE([2]Cover!$D$6,"fdd/view?i=",I6691)</f>
        <v>https://www.dgiwg.org/FAD/fdd/view?i=116058</v>
      </c>
      <c r="K6691" s="304" t="s">
        <v>40740</v>
      </c>
      <c r="L6691" s="188">
        <v>297</v>
      </c>
      <c r="M6691" s="179" t="s">
        <v>151</v>
      </c>
    </row>
    <row r="6692" spans="1:13" ht="25.5">
      <c r="A6692" s="313" t="str">
        <f t="shared" si="104"/>
        <v>TacticalAirNavChannelCode_chan106Y</v>
      </c>
      <c r="B6692" s="330"/>
      <c r="C6692" s="334"/>
      <c r="D6692" s="188" t="s">
        <v>13468</v>
      </c>
      <c r="E6692" s="189" t="s">
        <v>13469</v>
      </c>
      <c r="F6692" s="162" t="s">
        <v>31047</v>
      </c>
      <c r="G6692" s="162" t="s">
        <v>13413</v>
      </c>
      <c r="H6692" s="219"/>
      <c r="I6692" s="169">
        <v>116059</v>
      </c>
      <c r="J6692" s="304" t="str">
        <f>CONCATENATE([2]Cover!$D$6,"fdd/view?i=",I6692)</f>
        <v>https://www.dgiwg.org/FAD/fdd/view?i=116059</v>
      </c>
      <c r="K6692" s="304" t="s">
        <v>40741</v>
      </c>
      <c r="L6692" s="188">
        <v>298</v>
      </c>
      <c r="M6692" s="179" t="s">
        <v>151</v>
      </c>
    </row>
    <row r="6693" spans="1:13" ht="25.5">
      <c r="A6693" s="313" t="str">
        <f t="shared" si="104"/>
        <v>TacticalAirNavChannelCode_chan106Z</v>
      </c>
      <c r="B6693" s="330"/>
      <c r="C6693" s="334"/>
      <c r="D6693" s="188" t="s">
        <v>13471</v>
      </c>
      <c r="E6693" s="189" t="s">
        <v>13472</v>
      </c>
      <c r="F6693" s="162" t="s">
        <v>31048</v>
      </c>
      <c r="G6693" s="162" t="s">
        <v>13413</v>
      </c>
      <c r="H6693" s="219"/>
      <c r="I6693" s="169">
        <v>116060</v>
      </c>
      <c r="J6693" s="304" t="str">
        <f>CONCATENATE([2]Cover!$D$6,"fdd/view?i=",I6693)</f>
        <v>https://www.dgiwg.org/FAD/fdd/view?i=116060</v>
      </c>
      <c r="K6693" s="304" t="s">
        <v>40742</v>
      </c>
      <c r="L6693" s="188">
        <v>299</v>
      </c>
      <c r="M6693" s="179" t="s">
        <v>151</v>
      </c>
    </row>
    <row r="6694" spans="1:13" ht="25.5">
      <c r="A6694" s="313" t="str">
        <f t="shared" si="104"/>
        <v>TacticalAirNavChannelCode_chan107X</v>
      </c>
      <c r="B6694" s="330"/>
      <c r="C6694" s="334"/>
      <c r="D6694" s="188" t="s">
        <v>13474</v>
      </c>
      <c r="E6694" s="189" t="s">
        <v>13475</v>
      </c>
      <c r="F6694" s="162" t="s">
        <v>31049</v>
      </c>
      <c r="G6694" s="162" t="s">
        <v>13413</v>
      </c>
      <c r="H6694" s="219"/>
      <c r="I6694" s="169">
        <v>116061</v>
      </c>
      <c r="J6694" s="304" t="str">
        <f>CONCATENATE([2]Cover!$D$6,"fdd/view?i=",I6694)</f>
        <v>https://www.dgiwg.org/FAD/fdd/view?i=116061</v>
      </c>
      <c r="K6694" s="304" t="s">
        <v>40743</v>
      </c>
      <c r="L6694" s="188">
        <v>300</v>
      </c>
      <c r="M6694" s="179" t="s">
        <v>151</v>
      </c>
    </row>
    <row r="6695" spans="1:13" ht="25.5">
      <c r="A6695" s="313" t="str">
        <f t="shared" si="104"/>
        <v>TacticalAirNavChannelCode_chan107Y</v>
      </c>
      <c r="B6695" s="330"/>
      <c r="C6695" s="334"/>
      <c r="D6695" s="188" t="s">
        <v>13477</v>
      </c>
      <c r="E6695" s="189" t="s">
        <v>13478</v>
      </c>
      <c r="F6695" s="162" t="s">
        <v>31050</v>
      </c>
      <c r="G6695" s="162" t="s">
        <v>13413</v>
      </c>
      <c r="H6695" s="219"/>
      <c r="I6695" s="169">
        <v>116062</v>
      </c>
      <c r="J6695" s="304" t="str">
        <f>CONCATENATE([2]Cover!$D$6,"fdd/view?i=",I6695)</f>
        <v>https://www.dgiwg.org/FAD/fdd/view?i=116062</v>
      </c>
      <c r="K6695" s="304" t="s">
        <v>40744</v>
      </c>
      <c r="L6695" s="188">
        <v>301</v>
      </c>
      <c r="M6695" s="179" t="s">
        <v>151</v>
      </c>
    </row>
    <row r="6696" spans="1:13" ht="25.5">
      <c r="A6696" s="313" t="str">
        <f t="shared" si="104"/>
        <v>TacticalAirNavChannelCode_chan107Z</v>
      </c>
      <c r="B6696" s="330"/>
      <c r="C6696" s="334"/>
      <c r="D6696" s="188" t="s">
        <v>13480</v>
      </c>
      <c r="E6696" s="189" t="s">
        <v>13481</v>
      </c>
      <c r="F6696" s="162" t="s">
        <v>31051</v>
      </c>
      <c r="G6696" s="162" t="s">
        <v>13413</v>
      </c>
      <c r="H6696" s="219"/>
      <c r="I6696" s="169">
        <v>116063</v>
      </c>
      <c r="J6696" s="304" t="str">
        <f>CONCATENATE([2]Cover!$D$6,"fdd/view?i=",I6696)</f>
        <v>https://www.dgiwg.org/FAD/fdd/view?i=116063</v>
      </c>
      <c r="K6696" s="304" t="s">
        <v>40745</v>
      </c>
      <c r="L6696" s="188">
        <v>302</v>
      </c>
      <c r="M6696" s="179" t="s">
        <v>151</v>
      </c>
    </row>
    <row r="6697" spans="1:13" ht="25.5">
      <c r="A6697" s="313" t="str">
        <f t="shared" si="104"/>
        <v>TacticalAirNavChannelCode_chan108X</v>
      </c>
      <c r="B6697" s="330"/>
      <c r="C6697" s="334"/>
      <c r="D6697" s="188" t="s">
        <v>13483</v>
      </c>
      <c r="E6697" s="189" t="s">
        <v>13484</v>
      </c>
      <c r="F6697" s="162" t="s">
        <v>31052</v>
      </c>
      <c r="G6697" s="162" t="s">
        <v>13413</v>
      </c>
      <c r="H6697" s="219"/>
      <c r="I6697" s="169">
        <v>116064</v>
      </c>
      <c r="J6697" s="304" t="str">
        <f>CONCATENATE([2]Cover!$D$6,"fdd/view?i=",I6697)</f>
        <v>https://www.dgiwg.org/FAD/fdd/view?i=116064</v>
      </c>
      <c r="K6697" s="304" t="s">
        <v>40746</v>
      </c>
      <c r="L6697" s="188">
        <v>303</v>
      </c>
      <c r="M6697" s="179" t="s">
        <v>151</v>
      </c>
    </row>
    <row r="6698" spans="1:13" ht="25.5">
      <c r="A6698" s="313" t="str">
        <f t="shared" si="104"/>
        <v>TacticalAirNavChannelCode_chan108Y</v>
      </c>
      <c r="B6698" s="330"/>
      <c r="C6698" s="334"/>
      <c r="D6698" s="188" t="s">
        <v>13486</v>
      </c>
      <c r="E6698" s="189" t="s">
        <v>13487</v>
      </c>
      <c r="F6698" s="162" t="s">
        <v>31053</v>
      </c>
      <c r="G6698" s="162" t="s">
        <v>13413</v>
      </c>
      <c r="H6698" s="219"/>
      <c r="I6698" s="169">
        <v>116065</v>
      </c>
      <c r="J6698" s="304" t="str">
        <f>CONCATENATE([2]Cover!$D$6,"fdd/view?i=",I6698)</f>
        <v>https://www.dgiwg.org/FAD/fdd/view?i=116065</v>
      </c>
      <c r="K6698" s="304" t="s">
        <v>40747</v>
      </c>
      <c r="L6698" s="188">
        <v>304</v>
      </c>
      <c r="M6698" s="179" t="s">
        <v>151</v>
      </c>
    </row>
    <row r="6699" spans="1:13" ht="25.5">
      <c r="A6699" s="313" t="str">
        <f t="shared" si="104"/>
        <v>TacticalAirNavChannelCode_chan108Z</v>
      </c>
      <c r="B6699" s="330"/>
      <c r="C6699" s="334"/>
      <c r="D6699" s="188" t="s">
        <v>13489</v>
      </c>
      <c r="E6699" s="189" t="s">
        <v>13490</v>
      </c>
      <c r="F6699" s="162" t="s">
        <v>31054</v>
      </c>
      <c r="G6699" s="162" t="s">
        <v>13413</v>
      </c>
      <c r="H6699" s="219"/>
      <c r="I6699" s="169">
        <v>116066</v>
      </c>
      <c r="J6699" s="304" t="str">
        <f>CONCATENATE([2]Cover!$D$6,"fdd/view?i=",I6699)</f>
        <v>https://www.dgiwg.org/FAD/fdd/view?i=116066</v>
      </c>
      <c r="K6699" s="304" t="s">
        <v>40748</v>
      </c>
      <c r="L6699" s="188">
        <v>305</v>
      </c>
      <c r="M6699" s="179" t="s">
        <v>151</v>
      </c>
    </row>
    <row r="6700" spans="1:13" ht="25.5">
      <c r="A6700" s="313" t="str">
        <f t="shared" si="104"/>
        <v>TacticalAirNavChannelCode_chan109X</v>
      </c>
      <c r="B6700" s="330"/>
      <c r="C6700" s="334"/>
      <c r="D6700" s="188" t="s">
        <v>13492</v>
      </c>
      <c r="E6700" s="189" t="s">
        <v>13493</v>
      </c>
      <c r="F6700" s="162" t="s">
        <v>31055</v>
      </c>
      <c r="G6700" s="162" t="s">
        <v>13413</v>
      </c>
      <c r="H6700" s="219"/>
      <c r="I6700" s="169">
        <v>116067</v>
      </c>
      <c r="J6700" s="304" t="str">
        <f>CONCATENATE([2]Cover!$D$6,"fdd/view?i=",I6700)</f>
        <v>https://www.dgiwg.org/FAD/fdd/view?i=116067</v>
      </c>
      <c r="K6700" s="304" t="s">
        <v>40749</v>
      </c>
      <c r="L6700" s="188">
        <v>306</v>
      </c>
      <c r="M6700" s="179" t="s">
        <v>151</v>
      </c>
    </row>
    <row r="6701" spans="1:13" ht="25.5">
      <c r="A6701" s="313" t="str">
        <f t="shared" si="104"/>
        <v>TacticalAirNavChannelCode_chan109Y</v>
      </c>
      <c r="B6701" s="330"/>
      <c r="C6701" s="334"/>
      <c r="D6701" s="188" t="s">
        <v>13495</v>
      </c>
      <c r="E6701" s="189" t="s">
        <v>13496</v>
      </c>
      <c r="F6701" s="162" t="s">
        <v>31056</v>
      </c>
      <c r="G6701" s="162" t="s">
        <v>13413</v>
      </c>
      <c r="H6701" s="219"/>
      <c r="I6701" s="169">
        <v>116068</v>
      </c>
      <c r="J6701" s="304" t="str">
        <f>CONCATENATE([2]Cover!$D$6,"fdd/view?i=",I6701)</f>
        <v>https://www.dgiwg.org/FAD/fdd/view?i=116068</v>
      </c>
      <c r="K6701" s="304" t="s">
        <v>40750</v>
      </c>
      <c r="L6701" s="188">
        <v>307</v>
      </c>
      <c r="M6701" s="179" t="s">
        <v>151</v>
      </c>
    </row>
    <row r="6702" spans="1:13" ht="25.5">
      <c r="A6702" s="313" t="str">
        <f t="shared" si="104"/>
        <v>TacticalAirNavChannelCode_chan109Z</v>
      </c>
      <c r="B6702" s="330"/>
      <c r="C6702" s="334"/>
      <c r="D6702" s="188" t="s">
        <v>13498</v>
      </c>
      <c r="E6702" s="189" t="s">
        <v>13499</v>
      </c>
      <c r="F6702" s="162" t="s">
        <v>31057</v>
      </c>
      <c r="G6702" s="162" t="s">
        <v>13413</v>
      </c>
      <c r="H6702" s="219"/>
      <c r="I6702" s="169">
        <v>116069</v>
      </c>
      <c r="J6702" s="304" t="str">
        <f>CONCATENATE([2]Cover!$D$6,"fdd/view?i=",I6702)</f>
        <v>https://www.dgiwg.org/FAD/fdd/view?i=116069</v>
      </c>
      <c r="K6702" s="304" t="s">
        <v>40751</v>
      </c>
      <c r="L6702" s="188">
        <v>308</v>
      </c>
      <c r="M6702" s="179" t="s">
        <v>151</v>
      </c>
    </row>
    <row r="6703" spans="1:13" ht="25.5">
      <c r="A6703" s="313" t="str">
        <f t="shared" si="104"/>
        <v>TacticalAirNavChannelCode_chan110X</v>
      </c>
      <c r="B6703" s="330"/>
      <c r="C6703" s="334"/>
      <c r="D6703" s="188" t="s">
        <v>13507</v>
      </c>
      <c r="E6703" s="189" t="s">
        <v>13508</v>
      </c>
      <c r="F6703" s="162" t="s">
        <v>31060</v>
      </c>
      <c r="G6703" s="162" t="s">
        <v>13413</v>
      </c>
      <c r="H6703" s="219"/>
      <c r="I6703" s="169">
        <v>116070</v>
      </c>
      <c r="J6703" s="304" t="str">
        <f>CONCATENATE([2]Cover!$D$6,"fdd/view?i=",I6703)</f>
        <v>https://www.dgiwg.org/FAD/fdd/view?i=116070</v>
      </c>
      <c r="K6703" s="304" t="s">
        <v>40752</v>
      </c>
      <c r="L6703" s="188">
        <v>309</v>
      </c>
      <c r="M6703" s="179" t="s">
        <v>151</v>
      </c>
    </row>
    <row r="6704" spans="1:13" ht="25.5">
      <c r="A6704" s="313" t="str">
        <f t="shared" si="104"/>
        <v>TacticalAirNavChannelCode_chan110Y</v>
      </c>
      <c r="B6704" s="330"/>
      <c r="C6704" s="334"/>
      <c r="D6704" s="188" t="s">
        <v>13510</v>
      </c>
      <c r="E6704" s="189" t="s">
        <v>13511</v>
      </c>
      <c r="F6704" s="162" t="s">
        <v>31061</v>
      </c>
      <c r="G6704" s="162" t="s">
        <v>13413</v>
      </c>
      <c r="H6704" s="219"/>
      <c r="I6704" s="169">
        <v>116071</v>
      </c>
      <c r="J6704" s="304" t="str">
        <f>CONCATENATE([2]Cover!$D$6,"fdd/view?i=",I6704)</f>
        <v>https://www.dgiwg.org/FAD/fdd/view?i=116071</v>
      </c>
      <c r="K6704" s="304" t="s">
        <v>40753</v>
      </c>
      <c r="L6704" s="188">
        <v>310</v>
      </c>
      <c r="M6704" s="179" t="s">
        <v>151</v>
      </c>
    </row>
    <row r="6705" spans="1:13" ht="25.5">
      <c r="A6705" s="313" t="str">
        <f t="shared" si="104"/>
        <v>TacticalAirNavChannelCode_chan110Z</v>
      </c>
      <c r="B6705" s="330"/>
      <c r="C6705" s="334"/>
      <c r="D6705" s="188" t="s">
        <v>13513</v>
      </c>
      <c r="E6705" s="189" t="s">
        <v>13514</v>
      </c>
      <c r="F6705" s="162" t="s">
        <v>31062</v>
      </c>
      <c r="G6705" s="162" t="s">
        <v>13413</v>
      </c>
      <c r="H6705" s="219"/>
      <c r="I6705" s="169">
        <v>116072</v>
      </c>
      <c r="J6705" s="304" t="str">
        <f>CONCATENATE([2]Cover!$D$6,"fdd/view?i=",I6705)</f>
        <v>https://www.dgiwg.org/FAD/fdd/view?i=116072</v>
      </c>
      <c r="K6705" s="304" t="s">
        <v>40754</v>
      </c>
      <c r="L6705" s="188">
        <v>311</v>
      </c>
      <c r="M6705" s="179" t="s">
        <v>151</v>
      </c>
    </row>
    <row r="6706" spans="1:13" ht="25.5">
      <c r="A6706" s="313" t="str">
        <f t="shared" si="104"/>
        <v>TacticalAirNavChannelCode_chan111X</v>
      </c>
      <c r="B6706" s="330"/>
      <c r="C6706" s="334"/>
      <c r="D6706" s="188" t="s">
        <v>13516</v>
      </c>
      <c r="E6706" s="189" t="s">
        <v>13517</v>
      </c>
      <c r="F6706" s="162" t="s">
        <v>31063</v>
      </c>
      <c r="G6706" s="162" t="s">
        <v>13413</v>
      </c>
      <c r="H6706" s="219"/>
      <c r="I6706" s="169">
        <v>116073</v>
      </c>
      <c r="J6706" s="304" t="str">
        <f>CONCATENATE([2]Cover!$D$6,"fdd/view?i=",I6706)</f>
        <v>https://www.dgiwg.org/FAD/fdd/view?i=116073</v>
      </c>
      <c r="K6706" s="304" t="s">
        <v>40755</v>
      </c>
      <c r="L6706" s="188">
        <v>312</v>
      </c>
      <c r="M6706" s="179" t="s">
        <v>151</v>
      </c>
    </row>
    <row r="6707" spans="1:13" ht="25.5">
      <c r="A6707" s="313" t="str">
        <f t="shared" si="104"/>
        <v>TacticalAirNavChannelCode_chan111Y</v>
      </c>
      <c r="B6707" s="330"/>
      <c r="C6707" s="334"/>
      <c r="D6707" s="188" t="s">
        <v>13519</v>
      </c>
      <c r="E6707" s="189" t="s">
        <v>13520</v>
      </c>
      <c r="F6707" s="162" t="s">
        <v>31064</v>
      </c>
      <c r="G6707" s="162" t="s">
        <v>13413</v>
      </c>
      <c r="H6707" s="219"/>
      <c r="I6707" s="169">
        <v>116074</v>
      </c>
      <c r="J6707" s="304" t="str">
        <f>CONCATENATE([2]Cover!$D$6,"fdd/view?i=",I6707)</f>
        <v>https://www.dgiwg.org/FAD/fdd/view?i=116074</v>
      </c>
      <c r="K6707" s="304" t="s">
        <v>40756</v>
      </c>
      <c r="L6707" s="188">
        <v>313</v>
      </c>
      <c r="M6707" s="179" t="s">
        <v>151</v>
      </c>
    </row>
    <row r="6708" spans="1:13" ht="25.5">
      <c r="A6708" s="313" t="str">
        <f t="shared" si="104"/>
        <v>TacticalAirNavChannelCode_chan111Z</v>
      </c>
      <c r="B6708" s="330"/>
      <c r="C6708" s="334"/>
      <c r="D6708" s="188" t="s">
        <v>13522</v>
      </c>
      <c r="E6708" s="189" t="s">
        <v>13523</v>
      </c>
      <c r="F6708" s="162" t="s">
        <v>31065</v>
      </c>
      <c r="G6708" s="162" t="s">
        <v>13413</v>
      </c>
      <c r="H6708" s="219"/>
      <c r="I6708" s="169">
        <v>116075</v>
      </c>
      <c r="J6708" s="304" t="str">
        <f>CONCATENATE([2]Cover!$D$6,"fdd/view?i=",I6708)</f>
        <v>https://www.dgiwg.org/FAD/fdd/view?i=116075</v>
      </c>
      <c r="K6708" s="304" t="s">
        <v>40757</v>
      </c>
      <c r="L6708" s="188">
        <v>314</v>
      </c>
      <c r="M6708" s="179" t="s">
        <v>151</v>
      </c>
    </row>
    <row r="6709" spans="1:13" ht="25.5">
      <c r="A6709" s="313" t="str">
        <f t="shared" si="104"/>
        <v>TacticalAirNavChannelCode_chan112X</v>
      </c>
      <c r="B6709" s="330"/>
      <c r="C6709" s="334"/>
      <c r="D6709" s="188" t="s">
        <v>13525</v>
      </c>
      <c r="E6709" s="189" t="s">
        <v>13526</v>
      </c>
      <c r="F6709" s="162" t="s">
        <v>31066</v>
      </c>
      <c r="G6709" s="162" t="s">
        <v>13413</v>
      </c>
      <c r="H6709" s="219"/>
      <c r="I6709" s="169">
        <v>116076</v>
      </c>
      <c r="J6709" s="304" t="str">
        <f>CONCATENATE([2]Cover!$D$6,"fdd/view?i=",I6709)</f>
        <v>https://www.dgiwg.org/FAD/fdd/view?i=116076</v>
      </c>
      <c r="K6709" s="304" t="s">
        <v>40758</v>
      </c>
      <c r="L6709" s="188">
        <v>315</v>
      </c>
      <c r="M6709" s="179" t="s">
        <v>151</v>
      </c>
    </row>
    <row r="6710" spans="1:13" ht="25.5">
      <c r="A6710" s="313" t="str">
        <f t="shared" si="104"/>
        <v>TacticalAirNavChannelCode_chan112Y</v>
      </c>
      <c r="B6710" s="330"/>
      <c r="C6710" s="334"/>
      <c r="D6710" s="188" t="s">
        <v>13528</v>
      </c>
      <c r="E6710" s="189" t="s">
        <v>13529</v>
      </c>
      <c r="F6710" s="162" t="s">
        <v>31067</v>
      </c>
      <c r="G6710" s="162" t="s">
        <v>13413</v>
      </c>
      <c r="H6710" s="219"/>
      <c r="I6710" s="169">
        <v>116077</v>
      </c>
      <c r="J6710" s="304" t="str">
        <f>CONCATENATE([2]Cover!$D$6,"fdd/view?i=",I6710)</f>
        <v>https://www.dgiwg.org/FAD/fdd/view?i=116077</v>
      </c>
      <c r="K6710" s="304" t="s">
        <v>40759</v>
      </c>
      <c r="L6710" s="188">
        <v>316</v>
      </c>
      <c r="M6710" s="179" t="s">
        <v>151</v>
      </c>
    </row>
    <row r="6711" spans="1:13" ht="25.5">
      <c r="A6711" s="313" t="str">
        <f t="shared" si="104"/>
        <v>TacticalAirNavChannelCode_chan112Z</v>
      </c>
      <c r="B6711" s="330"/>
      <c r="C6711" s="334"/>
      <c r="D6711" s="188" t="s">
        <v>13531</v>
      </c>
      <c r="E6711" s="189" t="s">
        <v>13532</v>
      </c>
      <c r="F6711" s="162" t="s">
        <v>31068</v>
      </c>
      <c r="G6711" s="162" t="s">
        <v>13413</v>
      </c>
      <c r="H6711" s="219"/>
      <c r="I6711" s="169">
        <v>116078</v>
      </c>
      <c r="J6711" s="304" t="str">
        <f>CONCATENATE([2]Cover!$D$6,"fdd/view?i=",I6711)</f>
        <v>https://www.dgiwg.org/FAD/fdd/view?i=116078</v>
      </c>
      <c r="K6711" s="304" t="s">
        <v>40760</v>
      </c>
      <c r="L6711" s="188">
        <v>317</v>
      </c>
      <c r="M6711" s="179" t="s">
        <v>151</v>
      </c>
    </row>
    <row r="6712" spans="1:13" ht="25.5">
      <c r="A6712" s="313" t="str">
        <f t="shared" si="104"/>
        <v>TacticalAirNavChannelCode_chan113X</v>
      </c>
      <c r="B6712" s="330"/>
      <c r="C6712" s="334"/>
      <c r="D6712" s="188" t="s">
        <v>13534</v>
      </c>
      <c r="E6712" s="189" t="s">
        <v>13535</v>
      </c>
      <c r="F6712" s="162" t="s">
        <v>31069</v>
      </c>
      <c r="G6712" s="162" t="s">
        <v>13413</v>
      </c>
      <c r="H6712" s="219"/>
      <c r="I6712" s="169">
        <v>116079</v>
      </c>
      <c r="J6712" s="304" t="str">
        <f>CONCATENATE([2]Cover!$D$6,"fdd/view?i=",I6712)</f>
        <v>https://www.dgiwg.org/FAD/fdd/view?i=116079</v>
      </c>
      <c r="K6712" s="304" t="s">
        <v>40761</v>
      </c>
      <c r="L6712" s="188">
        <v>318</v>
      </c>
      <c r="M6712" s="179" t="s">
        <v>151</v>
      </c>
    </row>
    <row r="6713" spans="1:13" ht="25.5">
      <c r="A6713" s="313" t="str">
        <f t="shared" si="104"/>
        <v>TacticalAirNavChannelCode_chan113Y</v>
      </c>
      <c r="B6713" s="330"/>
      <c r="C6713" s="334"/>
      <c r="D6713" s="188" t="s">
        <v>13537</v>
      </c>
      <c r="E6713" s="189" t="s">
        <v>13538</v>
      </c>
      <c r="F6713" s="162" t="s">
        <v>31070</v>
      </c>
      <c r="G6713" s="162" t="s">
        <v>13413</v>
      </c>
      <c r="H6713" s="219"/>
      <c r="I6713" s="169">
        <v>116080</v>
      </c>
      <c r="J6713" s="304" t="str">
        <f>CONCATENATE([2]Cover!$D$6,"fdd/view?i=",I6713)</f>
        <v>https://www.dgiwg.org/FAD/fdd/view?i=116080</v>
      </c>
      <c r="K6713" s="304" t="s">
        <v>40762</v>
      </c>
      <c r="L6713" s="188">
        <v>319</v>
      </c>
      <c r="M6713" s="179" t="s">
        <v>151</v>
      </c>
    </row>
    <row r="6714" spans="1:13" ht="25.5">
      <c r="A6714" s="313" t="str">
        <f t="shared" si="104"/>
        <v>TacticalAirNavChannelCode_chan113Z</v>
      </c>
      <c r="B6714" s="330"/>
      <c r="C6714" s="334"/>
      <c r="D6714" s="188" t="s">
        <v>13540</v>
      </c>
      <c r="E6714" s="189" t="s">
        <v>13541</v>
      </c>
      <c r="F6714" s="162" t="s">
        <v>31071</v>
      </c>
      <c r="G6714" s="162" t="s">
        <v>13413</v>
      </c>
      <c r="H6714" s="219"/>
      <c r="I6714" s="169">
        <v>116081</v>
      </c>
      <c r="J6714" s="304" t="str">
        <f>CONCATENATE([2]Cover!$D$6,"fdd/view?i=",I6714)</f>
        <v>https://www.dgiwg.org/FAD/fdd/view?i=116081</v>
      </c>
      <c r="K6714" s="304" t="s">
        <v>40763</v>
      </c>
      <c r="L6714" s="188">
        <v>320</v>
      </c>
      <c r="M6714" s="179" t="s">
        <v>151</v>
      </c>
    </row>
    <row r="6715" spans="1:13" ht="25.5">
      <c r="A6715" s="313" t="str">
        <f t="shared" si="104"/>
        <v>TacticalAirNavChannelCode_chan114X</v>
      </c>
      <c r="B6715" s="330"/>
      <c r="C6715" s="334"/>
      <c r="D6715" s="188" t="s">
        <v>13543</v>
      </c>
      <c r="E6715" s="189" t="s">
        <v>13544</v>
      </c>
      <c r="F6715" s="162" t="s">
        <v>31072</v>
      </c>
      <c r="G6715" s="162" t="s">
        <v>13413</v>
      </c>
      <c r="H6715" s="219"/>
      <c r="I6715" s="169">
        <v>116082</v>
      </c>
      <c r="J6715" s="304" t="str">
        <f>CONCATENATE([2]Cover!$D$6,"fdd/view?i=",I6715)</f>
        <v>https://www.dgiwg.org/FAD/fdd/view?i=116082</v>
      </c>
      <c r="K6715" s="304" t="s">
        <v>40764</v>
      </c>
      <c r="L6715" s="188">
        <v>321</v>
      </c>
      <c r="M6715" s="179" t="s">
        <v>151</v>
      </c>
    </row>
    <row r="6716" spans="1:13" ht="25.5">
      <c r="A6716" s="313" t="str">
        <f t="shared" si="104"/>
        <v>TacticalAirNavChannelCode_chan114Y</v>
      </c>
      <c r="B6716" s="330"/>
      <c r="C6716" s="334"/>
      <c r="D6716" s="188" t="s">
        <v>13546</v>
      </c>
      <c r="E6716" s="189" t="s">
        <v>13547</v>
      </c>
      <c r="F6716" s="162" t="s">
        <v>31073</v>
      </c>
      <c r="G6716" s="162" t="s">
        <v>13413</v>
      </c>
      <c r="H6716" s="219"/>
      <c r="I6716" s="169">
        <v>116083</v>
      </c>
      <c r="J6716" s="304" t="str">
        <f>CONCATENATE([2]Cover!$D$6,"fdd/view?i=",I6716)</f>
        <v>https://www.dgiwg.org/FAD/fdd/view?i=116083</v>
      </c>
      <c r="K6716" s="304" t="s">
        <v>40765</v>
      </c>
      <c r="L6716" s="188">
        <v>322</v>
      </c>
      <c r="M6716" s="179" t="s">
        <v>151</v>
      </c>
    </row>
    <row r="6717" spans="1:13" ht="25.5">
      <c r="A6717" s="313" t="str">
        <f t="shared" si="104"/>
        <v>TacticalAirNavChannelCode_chan114Z</v>
      </c>
      <c r="B6717" s="330"/>
      <c r="C6717" s="334"/>
      <c r="D6717" s="188" t="s">
        <v>13549</v>
      </c>
      <c r="E6717" s="189" t="s">
        <v>13550</v>
      </c>
      <c r="F6717" s="162" t="s">
        <v>31074</v>
      </c>
      <c r="G6717" s="162" t="s">
        <v>13413</v>
      </c>
      <c r="H6717" s="219"/>
      <c r="I6717" s="169">
        <v>116084</v>
      </c>
      <c r="J6717" s="304" t="str">
        <f>CONCATENATE([2]Cover!$D$6,"fdd/view?i=",I6717)</f>
        <v>https://www.dgiwg.org/FAD/fdd/view?i=116084</v>
      </c>
      <c r="K6717" s="304" t="s">
        <v>40766</v>
      </c>
      <c r="L6717" s="188">
        <v>323</v>
      </c>
      <c r="M6717" s="179" t="s">
        <v>151</v>
      </c>
    </row>
    <row r="6718" spans="1:13" ht="25.5">
      <c r="A6718" s="313" t="str">
        <f t="shared" si="104"/>
        <v>TacticalAirNavChannelCode_chan115X</v>
      </c>
      <c r="B6718" s="330"/>
      <c r="C6718" s="334"/>
      <c r="D6718" s="188" t="s">
        <v>13552</v>
      </c>
      <c r="E6718" s="189" t="s">
        <v>13553</v>
      </c>
      <c r="F6718" s="162" t="s">
        <v>31075</v>
      </c>
      <c r="G6718" s="162" t="s">
        <v>13413</v>
      </c>
      <c r="H6718" s="219"/>
      <c r="I6718" s="169">
        <v>116085</v>
      </c>
      <c r="J6718" s="304" t="str">
        <f>CONCATENATE([2]Cover!$D$6,"fdd/view?i=",I6718)</f>
        <v>https://www.dgiwg.org/FAD/fdd/view?i=116085</v>
      </c>
      <c r="K6718" s="304" t="s">
        <v>40767</v>
      </c>
      <c r="L6718" s="188">
        <v>324</v>
      </c>
      <c r="M6718" s="179" t="s">
        <v>151</v>
      </c>
    </row>
    <row r="6719" spans="1:13" ht="25.5">
      <c r="A6719" s="313" t="str">
        <f t="shared" si="104"/>
        <v>TacticalAirNavChannelCode_chan115Y</v>
      </c>
      <c r="B6719" s="330"/>
      <c r="C6719" s="334"/>
      <c r="D6719" s="188" t="s">
        <v>13555</v>
      </c>
      <c r="E6719" s="189" t="s">
        <v>13556</v>
      </c>
      <c r="F6719" s="162" t="s">
        <v>31076</v>
      </c>
      <c r="G6719" s="162" t="s">
        <v>13413</v>
      </c>
      <c r="H6719" s="219"/>
      <c r="I6719" s="169">
        <v>116086</v>
      </c>
      <c r="J6719" s="304" t="str">
        <f>CONCATENATE([2]Cover!$D$6,"fdd/view?i=",I6719)</f>
        <v>https://www.dgiwg.org/FAD/fdd/view?i=116086</v>
      </c>
      <c r="K6719" s="304" t="s">
        <v>40768</v>
      </c>
      <c r="L6719" s="188">
        <v>325</v>
      </c>
      <c r="M6719" s="179" t="s">
        <v>151</v>
      </c>
    </row>
    <row r="6720" spans="1:13" ht="25.5">
      <c r="A6720" s="313" t="str">
        <f t="shared" si="104"/>
        <v>TacticalAirNavChannelCode_chan115Z</v>
      </c>
      <c r="B6720" s="330"/>
      <c r="C6720" s="334"/>
      <c r="D6720" s="188" t="s">
        <v>13558</v>
      </c>
      <c r="E6720" s="189" t="s">
        <v>13559</v>
      </c>
      <c r="F6720" s="162" t="s">
        <v>31077</v>
      </c>
      <c r="G6720" s="162" t="s">
        <v>13413</v>
      </c>
      <c r="H6720" s="219"/>
      <c r="I6720" s="169">
        <v>116087</v>
      </c>
      <c r="J6720" s="304" t="str">
        <f>CONCATENATE([2]Cover!$D$6,"fdd/view?i=",I6720)</f>
        <v>https://www.dgiwg.org/FAD/fdd/view?i=116087</v>
      </c>
      <c r="K6720" s="304" t="s">
        <v>40769</v>
      </c>
      <c r="L6720" s="188">
        <v>326</v>
      </c>
      <c r="M6720" s="179" t="s">
        <v>151</v>
      </c>
    </row>
    <row r="6721" spans="1:13" ht="25.5">
      <c r="A6721" s="313" t="str">
        <f t="shared" si="104"/>
        <v>TacticalAirNavChannelCode_chan116X</v>
      </c>
      <c r="B6721" s="330"/>
      <c r="C6721" s="334"/>
      <c r="D6721" s="188" t="s">
        <v>13561</v>
      </c>
      <c r="E6721" s="189" t="s">
        <v>13562</v>
      </c>
      <c r="F6721" s="162" t="s">
        <v>31078</v>
      </c>
      <c r="G6721" s="162" t="s">
        <v>13413</v>
      </c>
      <c r="H6721" s="219"/>
      <c r="I6721" s="169">
        <v>116088</v>
      </c>
      <c r="J6721" s="304" t="str">
        <f>CONCATENATE([2]Cover!$D$6,"fdd/view?i=",I6721)</f>
        <v>https://www.dgiwg.org/FAD/fdd/view?i=116088</v>
      </c>
      <c r="K6721" s="304" t="s">
        <v>40770</v>
      </c>
      <c r="L6721" s="188">
        <v>327</v>
      </c>
      <c r="M6721" s="179" t="s">
        <v>151</v>
      </c>
    </row>
    <row r="6722" spans="1:13" ht="25.5">
      <c r="A6722" s="313" t="str">
        <f t="shared" si="104"/>
        <v>TacticalAirNavChannelCode_chan116Y</v>
      </c>
      <c r="B6722" s="330"/>
      <c r="C6722" s="334"/>
      <c r="D6722" s="188" t="s">
        <v>13564</v>
      </c>
      <c r="E6722" s="189" t="s">
        <v>13565</v>
      </c>
      <c r="F6722" s="162" t="s">
        <v>31079</v>
      </c>
      <c r="G6722" s="162" t="s">
        <v>13413</v>
      </c>
      <c r="H6722" s="219"/>
      <c r="I6722" s="169">
        <v>116089</v>
      </c>
      <c r="J6722" s="304" t="str">
        <f>CONCATENATE([2]Cover!$D$6,"fdd/view?i=",I6722)</f>
        <v>https://www.dgiwg.org/FAD/fdd/view?i=116089</v>
      </c>
      <c r="K6722" s="304" t="s">
        <v>40771</v>
      </c>
      <c r="L6722" s="188">
        <v>328</v>
      </c>
      <c r="M6722" s="179" t="s">
        <v>151</v>
      </c>
    </row>
    <row r="6723" spans="1:13" ht="25.5">
      <c r="A6723" s="313" t="str">
        <f t="shared" ref="A6723:A6786" si="105">HYPERLINK(J6723,K6723)</f>
        <v>TacticalAirNavChannelCode_chan116Z</v>
      </c>
      <c r="B6723" s="330"/>
      <c r="C6723" s="334"/>
      <c r="D6723" s="188" t="s">
        <v>13567</v>
      </c>
      <c r="E6723" s="189" t="s">
        <v>13568</v>
      </c>
      <c r="F6723" s="162" t="s">
        <v>31080</v>
      </c>
      <c r="G6723" s="162" t="s">
        <v>13413</v>
      </c>
      <c r="H6723" s="219"/>
      <c r="I6723" s="169">
        <v>116090</v>
      </c>
      <c r="J6723" s="304" t="str">
        <f>CONCATENATE([2]Cover!$D$6,"fdd/view?i=",I6723)</f>
        <v>https://www.dgiwg.org/FAD/fdd/view?i=116090</v>
      </c>
      <c r="K6723" s="304" t="s">
        <v>40772</v>
      </c>
      <c r="L6723" s="188">
        <v>329</v>
      </c>
      <c r="M6723" s="179" t="s">
        <v>151</v>
      </c>
    </row>
    <row r="6724" spans="1:13" ht="25.5">
      <c r="A6724" s="313" t="str">
        <f t="shared" si="105"/>
        <v>TacticalAirNavChannelCode_chan117X</v>
      </c>
      <c r="B6724" s="330"/>
      <c r="C6724" s="334"/>
      <c r="D6724" s="188" t="s">
        <v>13570</v>
      </c>
      <c r="E6724" s="189" t="s">
        <v>13571</v>
      </c>
      <c r="F6724" s="162" t="s">
        <v>31081</v>
      </c>
      <c r="G6724" s="162" t="s">
        <v>13413</v>
      </c>
      <c r="H6724" s="219"/>
      <c r="I6724" s="169">
        <v>116091</v>
      </c>
      <c r="J6724" s="304" t="str">
        <f>CONCATENATE([2]Cover!$D$6,"fdd/view?i=",I6724)</f>
        <v>https://www.dgiwg.org/FAD/fdd/view?i=116091</v>
      </c>
      <c r="K6724" s="304" t="s">
        <v>40773</v>
      </c>
      <c r="L6724" s="188">
        <v>330</v>
      </c>
      <c r="M6724" s="179" t="s">
        <v>151</v>
      </c>
    </row>
    <row r="6725" spans="1:13" ht="25.5">
      <c r="A6725" s="313" t="str">
        <f t="shared" si="105"/>
        <v>TacticalAirNavChannelCode_chan117Y</v>
      </c>
      <c r="B6725" s="330"/>
      <c r="C6725" s="334"/>
      <c r="D6725" s="188" t="s">
        <v>13573</v>
      </c>
      <c r="E6725" s="189" t="s">
        <v>13574</v>
      </c>
      <c r="F6725" s="162" t="s">
        <v>31082</v>
      </c>
      <c r="G6725" s="162" t="s">
        <v>13413</v>
      </c>
      <c r="H6725" s="219"/>
      <c r="I6725" s="169">
        <v>116092</v>
      </c>
      <c r="J6725" s="304" t="str">
        <f>CONCATENATE([2]Cover!$D$6,"fdd/view?i=",I6725)</f>
        <v>https://www.dgiwg.org/FAD/fdd/view?i=116092</v>
      </c>
      <c r="K6725" s="304" t="s">
        <v>40774</v>
      </c>
      <c r="L6725" s="188">
        <v>331</v>
      </c>
      <c r="M6725" s="179" t="s">
        <v>151</v>
      </c>
    </row>
    <row r="6726" spans="1:13" ht="25.5">
      <c r="A6726" s="313" t="str">
        <f t="shared" si="105"/>
        <v>TacticalAirNavChannelCode_chan117Z</v>
      </c>
      <c r="B6726" s="330"/>
      <c r="C6726" s="334"/>
      <c r="D6726" s="188" t="s">
        <v>13576</v>
      </c>
      <c r="E6726" s="189" t="s">
        <v>13577</v>
      </c>
      <c r="F6726" s="162" t="s">
        <v>31083</v>
      </c>
      <c r="G6726" s="162" t="s">
        <v>13413</v>
      </c>
      <c r="H6726" s="219"/>
      <c r="I6726" s="169">
        <v>116093</v>
      </c>
      <c r="J6726" s="304" t="str">
        <f>CONCATENATE([2]Cover!$D$6,"fdd/view?i=",I6726)</f>
        <v>https://www.dgiwg.org/FAD/fdd/view?i=116093</v>
      </c>
      <c r="K6726" s="304" t="s">
        <v>40775</v>
      </c>
      <c r="L6726" s="188">
        <v>332</v>
      </c>
      <c r="M6726" s="179" t="s">
        <v>151</v>
      </c>
    </row>
    <row r="6727" spans="1:13" ht="25.5">
      <c r="A6727" s="313" t="str">
        <f t="shared" si="105"/>
        <v>TacticalAirNavChannelCode_chan118X</v>
      </c>
      <c r="B6727" s="330"/>
      <c r="C6727" s="334"/>
      <c r="D6727" s="188" t="s">
        <v>13579</v>
      </c>
      <c r="E6727" s="189" t="s">
        <v>13580</v>
      </c>
      <c r="F6727" s="162" t="s">
        <v>31084</v>
      </c>
      <c r="G6727" s="162" t="s">
        <v>13413</v>
      </c>
      <c r="H6727" s="219"/>
      <c r="I6727" s="169">
        <v>116094</v>
      </c>
      <c r="J6727" s="304" t="str">
        <f>CONCATENATE([2]Cover!$D$6,"fdd/view?i=",I6727)</f>
        <v>https://www.dgiwg.org/FAD/fdd/view?i=116094</v>
      </c>
      <c r="K6727" s="304" t="s">
        <v>40776</v>
      </c>
      <c r="L6727" s="188">
        <v>333</v>
      </c>
      <c r="M6727" s="179" t="s">
        <v>151</v>
      </c>
    </row>
    <row r="6728" spans="1:13" ht="25.5">
      <c r="A6728" s="313" t="str">
        <f t="shared" si="105"/>
        <v>TacticalAirNavChannelCode_chan118Y</v>
      </c>
      <c r="B6728" s="330"/>
      <c r="C6728" s="334"/>
      <c r="D6728" s="188" t="s">
        <v>13582</v>
      </c>
      <c r="E6728" s="189" t="s">
        <v>13583</v>
      </c>
      <c r="F6728" s="162" t="s">
        <v>31085</v>
      </c>
      <c r="G6728" s="162" t="s">
        <v>13413</v>
      </c>
      <c r="H6728" s="219"/>
      <c r="I6728" s="169">
        <v>116095</v>
      </c>
      <c r="J6728" s="304" t="str">
        <f>CONCATENATE([2]Cover!$D$6,"fdd/view?i=",I6728)</f>
        <v>https://www.dgiwg.org/FAD/fdd/view?i=116095</v>
      </c>
      <c r="K6728" s="304" t="s">
        <v>40777</v>
      </c>
      <c r="L6728" s="188">
        <v>334</v>
      </c>
      <c r="M6728" s="179" t="s">
        <v>151</v>
      </c>
    </row>
    <row r="6729" spans="1:13" ht="25.5">
      <c r="A6729" s="313" t="str">
        <f t="shared" si="105"/>
        <v>TacticalAirNavChannelCode_chan118Z</v>
      </c>
      <c r="B6729" s="330"/>
      <c r="C6729" s="334"/>
      <c r="D6729" s="188" t="s">
        <v>13585</v>
      </c>
      <c r="E6729" s="189" t="s">
        <v>13586</v>
      </c>
      <c r="F6729" s="162" t="s">
        <v>31086</v>
      </c>
      <c r="G6729" s="162" t="s">
        <v>13413</v>
      </c>
      <c r="H6729" s="219"/>
      <c r="I6729" s="169">
        <v>116096</v>
      </c>
      <c r="J6729" s="304" t="str">
        <f>CONCATENATE([2]Cover!$D$6,"fdd/view?i=",I6729)</f>
        <v>https://www.dgiwg.org/FAD/fdd/view?i=116096</v>
      </c>
      <c r="K6729" s="304" t="s">
        <v>40778</v>
      </c>
      <c r="L6729" s="188">
        <v>335</v>
      </c>
      <c r="M6729" s="179" t="s">
        <v>151</v>
      </c>
    </row>
    <row r="6730" spans="1:13" ht="25.5">
      <c r="A6730" s="313" t="str">
        <f t="shared" si="105"/>
        <v>TacticalAirNavChannelCode_chan119X</v>
      </c>
      <c r="B6730" s="330"/>
      <c r="C6730" s="334"/>
      <c r="D6730" s="188" t="s">
        <v>13588</v>
      </c>
      <c r="E6730" s="189" t="s">
        <v>13589</v>
      </c>
      <c r="F6730" s="162" t="s">
        <v>31087</v>
      </c>
      <c r="G6730" s="162" t="s">
        <v>13413</v>
      </c>
      <c r="H6730" s="219"/>
      <c r="I6730" s="169">
        <v>116097</v>
      </c>
      <c r="J6730" s="304" t="str">
        <f>CONCATENATE([2]Cover!$D$6,"fdd/view?i=",I6730)</f>
        <v>https://www.dgiwg.org/FAD/fdd/view?i=116097</v>
      </c>
      <c r="K6730" s="304" t="s">
        <v>40779</v>
      </c>
      <c r="L6730" s="188">
        <v>336</v>
      </c>
      <c r="M6730" s="179" t="s">
        <v>151</v>
      </c>
    </row>
    <row r="6731" spans="1:13" ht="25.5">
      <c r="A6731" s="313" t="str">
        <f t="shared" si="105"/>
        <v>TacticalAirNavChannelCode_chan119Y</v>
      </c>
      <c r="B6731" s="330"/>
      <c r="C6731" s="334"/>
      <c r="D6731" s="188" t="s">
        <v>13591</v>
      </c>
      <c r="E6731" s="189" t="s">
        <v>13592</v>
      </c>
      <c r="F6731" s="162" t="s">
        <v>31088</v>
      </c>
      <c r="G6731" s="162" t="s">
        <v>13413</v>
      </c>
      <c r="H6731" s="219"/>
      <c r="I6731" s="169">
        <v>116098</v>
      </c>
      <c r="J6731" s="304" t="str">
        <f>CONCATENATE([2]Cover!$D$6,"fdd/view?i=",I6731)</f>
        <v>https://www.dgiwg.org/FAD/fdd/view?i=116098</v>
      </c>
      <c r="K6731" s="304" t="s">
        <v>40780</v>
      </c>
      <c r="L6731" s="188">
        <v>337</v>
      </c>
      <c r="M6731" s="179" t="s">
        <v>151</v>
      </c>
    </row>
    <row r="6732" spans="1:13" ht="25.5">
      <c r="A6732" s="313" t="str">
        <f t="shared" si="105"/>
        <v>TacticalAirNavChannelCode_chan119Z</v>
      </c>
      <c r="B6732" s="330"/>
      <c r="C6732" s="334"/>
      <c r="D6732" s="188" t="s">
        <v>13594</v>
      </c>
      <c r="E6732" s="189" t="s">
        <v>13595</v>
      </c>
      <c r="F6732" s="162" t="s">
        <v>31089</v>
      </c>
      <c r="G6732" s="162" t="s">
        <v>13413</v>
      </c>
      <c r="H6732" s="219"/>
      <c r="I6732" s="169">
        <v>116099</v>
      </c>
      <c r="J6732" s="304" t="str">
        <f>CONCATENATE([2]Cover!$D$6,"fdd/view?i=",I6732)</f>
        <v>https://www.dgiwg.org/FAD/fdd/view?i=116099</v>
      </c>
      <c r="K6732" s="304" t="s">
        <v>40781</v>
      </c>
      <c r="L6732" s="188">
        <v>338</v>
      </c>
      <c r="M6732" s="179" t="s">
        <v>151</v>
      </c>
    </row>
    <row r="6733" spans="1:13" ht="25.5">
      <c r="A6733" s="313" t="str">
        <f t="shared" si="105"/>
        <v>TacticalAirNavChannelCode_chan120X</v>
      </c>
      <c r="B6733" s="330"/>
      <c r="C6733" s="334"/>
      <c r="D6733" s="188" t="s">
        <v>13603</v>
      </c>
      <c r="E6733" s="189" t="s">
        <v>13604</v>
      </c>
      <c r="F6733" s="162" t="s">
        <v>31092</v>
      </c>
      <c r="G6733" s="162" t="s">
        <v>13413</v>
      </c>
      <c r="H6733" s="219"/>
      <c r="I6733" s="169">
        <v>116100</v>
      </c>
      <c r="J6733" s="304" t="str">
        <f>CONCATENATE([2]Cover!$D$6,"fdd/view?i=",I6733)</f>
        <v>https://www.dgiwg.org/FAD/fdd/view?i=116100</v>
      </c>
      <c r="K6733" s="304" t="s">
        <v>40782</v>
      </c>
      <c r="L6733" s="188">
        <v>339</v>
      </c>
      <c r="M6733" s="179" t="s">
        <v>151</v>
      </c>
    </row>
    <row r="6734" spans="1:13" ht="25.5">
      <c r="A6734" s="313" t="str">
        <f t="shared" si="105"/>
        <v>TacticalAirNavChannelCode_chan120Y</v>
      </c>
      <c r="B6734" s="330"/>
      <c r="C6734" s="334"/>
      <c r="D6734" s="188" t="s">
        <v>13606</v>
      </c>
      <c r="E6734" s="189" t="s">
        <v>13607</v>
      </c>
      <c r="F6734" s="162" t="s">
        <v>31093</v>
      </c>
      <c r="G6734" s="162" t="s">
        <v>13413</v>
      </c>
      <c r="H6734" s="219"/>
      <c r="I6734" s="169">
        <v>116101</v>
      </c>
      <c r="J6734" s="304" t="str">
        <f>CONCATENATE([2]Cover!$D$6,"fdd/view?i=",I6734)</f>
        <v>https://www.dgiwg.org/FAD/fdd/view?i=116101</v>
      </c>
      <c r="K6734" s="304" t="s">
        <v>40783</v>
      </c>
      <c r="L6734" s="188">
        <v>340</v>
      </c>
      <c r="M6734" s="179" t="s">
        <v>151</v>
      </c>
    </row>
    <row r="6735" spans="1:13" ht="25.5">
      <c r="A6735" s="313" t="str">
        <f t="shared" si="105"/>
        <v>TacticalAirNavChannelCode_chan121X</v>
      </c>
      <c r="B6735" s="330"/>
      <c r="C6735" s="334"/>
      <c r="D6735" s="188" t="s">
        <v>13609</v>
      </c>
      <c r="E6735" s="189" t="s">
        <v>13610</v>
      </c>
      <c r="F6735" s="162" t="s">
        <v>31094</v>
      </c>
      <c r="G6735" s="162" t="s">
        <v>13413</v>
      </c>
      <c r="H6735" s="219"/>
      <c r="I6735" s="169">
        <v>116102</v>
      </c>
      <c r="J6735" s="304" t="str">
        <f>CONCATENATE([2]Cover!$D$6,"fdd/view?i=",I6735)</f>
        <v>https://www.dgiwg.org/FAD/fdd/view?i=116102</v>
      </c>
      <c r="K6735" s="304" t="s">
        <v>40784</v>
      </c>
      <c r="L6735" s="188">
        <v>341</v>
      </c>
      <c r="M6735" s="179" t="s">
        <v>151</v>
      </c>
    </row>
    <row r="6736" spans="1:13" ht="25.5">
      <c r="A6736" s="313" t="str">
        <f t="shared" si="105"/>
        <v>TacticalAirNavChannelCode_chan121Y</v>
      </c>
      <c r="B6736" s="330"/>
      <c r="C6736" s="334"/>
      <c r="D6736" s="188" t="s">
        <v>13612</v>
      </c>
      <c r="E6736" s="189" t="s">
        <v>13613</v>
      </c>
      <c r="F6736" s="162" t="s">
        <v>31095</v>
      </c>
      <c r="G6736" s="162" t="s">
        <v>13413</v>
      </c>
      <c r="H6736" s="219"/>
      <c r="I6736" s="169">
        <v>116103</v>
      </c>
      <c r="J6736" s="304" t="str">
        <f>CONCATENATE([2]Cover!$D$6,"fdd/view?i=",I6736)</f>
        <v>https://www.dgiwg.org/FAD/fdd/view?i=116103</v>
      </c>
      <c r="K6736" s="304" t="s">
        <v>40785</v>
      </c>
      <c r="L6736" s="188">
        <v>342</v>
      </c>
      <c r="M6736" s="179" t="s">
        <v>151</v>
      </c>
    </row>
    <row r="6737" spans="1:13" ht="25.5">
      <c r="A6737" s="313" t="str">
        <f t="shared" si="105"/>
        <v>TacticalAirNavChannelCode_chan122X</v>
      </c>
      <c r="B6737" s="330"/>
      <c r="C6737" s="334"/>
      <c r="D6737" s="188" t="s">
        <v>13615</v>
      </c>
      <c r="E6737" s="189" t="s">
        <v>13616</v>
      </c>
      <c r="F6737" s="162" t="s">
        <v>31096</v>
      </c>
      <c r="G6737" s="162" t="s">
        <v>13413</v>
      </c>
      <c r="H6737" s="219"/>
      <c r="I6737" s="169">
        <v>116104</v>
      </c>
      <c r="J6737" s="304" t="str">
        <f>CONCATENATE([2]Cover!$D$6,"fdd/view?i=",I6737)</f>
        <v>https://www.dgiwg.org/FAD/fdd/view?i=116104</v>
      </c>
      <c r="K6737" s="304" t="s">
        <v>40786</v>
      </c>
      <c r="L6737" s="188">
        <v>343</v>
      </c>
      <c r="M6737" s="179" t="s">
        <v>151</v>
      </c>
    </row>
    <row r="6738" spans="1:13" ht="25.5">
      <c r="A6738" s="313" t="str">
        <f t="shared" si="105"/>
        <v>TacticalAirNavChannelCode_chan122Y</v>
      </c>
      <c r="B6738" s="330"/>
      <c r="C6738" s="334"/>
      <c r="D6738" s="188" t="s">
        <v>13618</v>
      </c>
      <c r="E6738" s="189" t="s">
        <v>13619</v>
      </c>
      <c r="F6738" s="162" t="s">
        <v>31097</v>
      </c>
      <c r="G6738" s="162" t="s">
        <v>13413</v>
      </c>
      <c r="H6738" s="219"/>
      <c r="I6738" s="169">
        <v>116105</v>
      </c>
      <c r="J6738" s="304" t="str">
        <f>CONCATENATE([2]Cover!$D$6,"fdd/view?i=",I6738)</f>
        <v>https://www.dgiwg.org/FAD/fdd/view?i=116105</v>
      </c>
      <c r="K6738" s="304" t="s">
        <v>40787</v>
      </c>
      <c r="L6738" s="188">
        <v>344</v>
      </c>
      <c r="M6738" s="179" t="s">
        <v>151</v>
      </c>
    </row>
    <row r="6739" spans="1:13" ht="25.5">
      <c r="A6739" s="313" t="str">
        <f t="shared" si="105"/>
        <v>TacticalAirNavChannelCode_chan123X</v>
      </c>
      <c r="B6739" s="330"/>
      <c r="C6739" s="334"/>
      <c r="D6739" s="188" t="s">
        <v>13621</v>
      </c>
      <c r="E6739" s="189" t="s">
        <v>13622</v>
      </c>
      <c r="F6739" s="162" t="s">
        <v>31098</v>
      </c>
      <c r="G6739" s="162" t="s">
        <v>13413</v>
      </c>
      <c r="H6739" s="219"/>
      <c r="I6739" s="169">
        <v>116106</v>
      </c>
      <c r="J6739" s="304" t="str">
        <f>CONCATENATE([2]Cover!$D$6,"fdd/view?i=",I6739)</f>
        <v>https://www.dgiwg.org/FAD/fdd/view?i=116106</v>
      </c>
      <c r="K6739" s="304" t="s">
        <v>40788</v>
      </c>
      <c r="L6739" s="188">
        <v>345</v>
      </c>
      <c r="M6739" s="179" t="s">
        <v>151</v>
      </c>
    </row>
    <row r="6740" spans="1:13" ht="25.5">
      <c r="A6740" s="313" t="str">
        <f t="shared" si="105"/>
        <v>TacticalAirNavChannelCode_chan123Y</v>
      </c>
      <c r="B6740" s="330"/>
      <c r="C6740" s="334"/>
      <c r="D6740" s="188" t="s">
        <v>13624</v>
      </c>
      <c r="E6740" s="189" t="s">
        <v>13625</v>
      </c>
      <c r="F6740" s="162" t="s">
        <v>31099</v>
      </c>
      <c r="G6740" s="162" t="s">
        <v>13413</v>
      </c>
      <c r="H6740" s="219"/>
      <c r="I6740" s="169">
        <v>116107</v>
      </c>
      <c r="J6740" s="304" t="str">
        <f>CONCATENATE([2]Cover!$D$6,"fdd/view?i=",I6740)</f>
        <v>https://www.dgiwg.org/FAD/fdd/view?i=116107</v>
      </c>
      <c r="K6740" s="304" t="s">
        <v>40789</v>
      </c>
      <c r="L6740" s="188">
        <v>346</v>
      </c>
      <c r="M6740" s="179" t="s">
        <v>151</v>
      </c>
    </row>
    <row r="6741" spans="1:13" ht="25.5">
      <c r="A6741" s="313" t="str">
        <f t="shared" si="105"/>
        <v>TacticalAirNavChannelCode_chan124X</v>
      </c>
      <c r="B6741" s="330"/>
      <c r="C6741" s="334"/>
      <c r="D6741" s="188" t="s">
        <v>13627</v>
      </c>
      <c r="E6741" s="189" t="s">
        <v>13628</v>
      </c>
      <c r="F6741" s="162" t="s">
        <v>31100</v>
      </c>
      <c r="G6741" s="162" t="s">
        <v>13413</v>
      </c>
      <c r="H6741" s="219"/>
      <c r="I6741" s="169">
        <v>116108</v>
      </c>
      <c r="J6741" s="304" t="str">
        <f>CONCATENATE([2]Cover!$D$6,"fdd/view?i=",I6741)</f>
        <v>https://www.dgiwg.org/FAD/fdd/view?i=116108</v>
      </c>
      <c r="K6741" s="304" t="s">
        <v>40790</v>
      </c>
      <c r="L6741" s="188">
        <v>347</v>
      </c>
      <c r="M6741" s="179" t="s">
        <v>151</v>
      </c>
    </row>
    <row r="6742" spans="1:13" ht="25.5">
      <c r="A6742" s="313" t="str">
        <f t="shared" si="105"/>
        <v>TacticalAirNavChannelCode_chan124Y</v>
      </c>
      <c r="B6742" s="330"/>
      <c r="C6742" s="334"/>
      <c r="D6742" s="188" t="s">
        <v>13630</v>
      </c>
      <c r="E6742" s="189" t="s">
        <v>13631</v>
      </c>
      <c r="F6742" s="162" t="s">
        <v>31101</v>
      </c>
      <c r="G6742" s="162" t="s">
        <v>13413</v>
      </c>
      <c r="H6742" s="219"/>
      <c r="I6742" s="169">
        <v>116109</v>
      </c>
      <c r="J6742" s="304" t="str">
        <f>CONCATENATE([2]Cover!$D$6,"fdd/view?i=",I6742)</f>
        <v>https://www.dgiwg.org/FAD/fdd/view?i=116109</v>
      </c>
      <c r="K6742" s="304" t="s">
        <v>40791</v>
      </c>
      <c r="L6742" s="188">
        <v>348</v>
      </c>
      <c r="M6742" s="179" t="s">
        <v>151</v>
      </c>
    </row>
    <row r="6743" spans="1:13" ht="25.5">
      <c r="A6743" s="313" t="str">
        <f t="shared" si="105"/>
        <v>TacticalAirNavChannelCode_chan125X</v>
      </c>
      <c r="B6743" s="330"/>
      <c r="C6743" s="334"/>
      <c r="D6743" s="188" t="s">
        <v>13633</v>
      </c>
      <c r="E6743" s="189" t="s">
        <v>13634</v>
      </c>
      <c r="F6743" s="162" t="s">
        <v>31102</v>
      </c>
      <c r="G6743" s="162" t="s">
        <v>13413</v>
      </c>
      <c r="H6743" s="219"/>
      <c r="I6743" s="169">
        <v>116110</v>
      </c>
      <c r="J6743" s="304" t="str">
        <f>CONCATENATE([2]Cover!$D$6,"fdd/view?i=",I6743)</f>
        <v>https://www.dgiwg.org/FAD/fdd/view?i=116110</v>
      </c>
      <c r="K6743" s="304" t="s">
        <v>40792</v>
      </c>
      <c r="L6743" s="188">
        <v>349</v>
      </c>
      <c r="M6743" s="179" t="s">
        <v>151</v>
      </c>
    </row>
    <row r="6744" spans="1:13" ht="25.5">
      <c r="A6744" s="313" t="str">
        <f t="shared" si="105"/>
        <v>TacticalAirNavChannelCode_chan125Y</v>
      </c>
      <c r="B6744" s="330"/>
      <c r="C6744" s="334"/>
      <c r="D6744" s="188" t="s">
        <v>13636</v>
      </c>
      <c r="E6744" s="189" t="s">
        <v>13637</v>
      </c>
      <c r="F6744" s="162" t="s">
        <v>31103</v>
      </c>
      <c r="G6744" s="162" t="s">
        <v>13413</v>
      </c>
      <c r="H6744" s="219"/>
      <c r="I6744" s="169">
        <v>116111</v>
      </c>
      <c r="J6744" s="304" t="str">
        <f>CONCATENATE([2]Cover!$D$6,"fdd/view?i=",I6744)</f>
        <v>https://www.dgiwg.org/FAD/fdd/view?i=116111</v>
      </c>
      <c r="K6744" s="304" t="s">
        <v>40793</v>
      </c>
      <c r="L6744" s="188">
        <v>350</v>
      </c>
      <c r="M6744" s="179" t="s">
        <v>151</v>
      </c>
    </row>
    <row r="6745" spans="1:13" ht="25.5">
      <c r="A6745" s="313" t="str">
        <f t="shared" si="105"/>
        <v>TacticalAirNavChannelCode_chan126X</v>
      </c>
      <c r="B6745" s="330"/>
      <c r="C6745" s="334"/>
      <c r="D6745" s="188" t="s">
        <v>13639</v>
      </c>
      <c r="E6745" s="189" t="s">
        <v>13640</v>
      </c>
      <c r="F6745" s="162" t="s">
        <v>31104</v>
      </c>
      <c r="G6745" s="162" t="s">
        <v>13413</v>
      </c>
      <c r="H6745" s="219"/>
      <c r="I6745" s="169">
        <v>116112</v>
      </c>
      <c r="J6745" s="304" t="str">
        <f>CONCATENATE([2]Cover!$D$6,"fdd/view?i=",I6745)</f>
        <v>https://www.dgiwg.org/FAD/fdd/view?i=116112</v>
      </c>
      <c r="K6745" s="304" t="s">
        <v>40794</v>
      </c>
      <c r="L6745" s="188">
        <v>351</v>
      </c>
      <c r="M6745" s="179" t="s">
        <v>151</v>
      </c>
    </row>
    <row r="6746" spans="1:13" ht="25.5">
      <c r="A6746" s="313" t="str">
        <f t="shared" si="105"/>
        <v>TacticalAirNavChannelCode_chan126Y</v>
      </c>
      <c r="B6746" s="331"/>
      <c r="C6746" s="335"/>
      <c r="D6746" s="181" t="s">
        <v>13642</v>
      </c>
      <c r="E6746" s="192" t="s">
        <v>13643</v>
      </c>
      <c r="F6746" s="193" t="s">
        <v>31105</v>
      </c>
      <c r="G6746" s="193" t="s">
        <v>13413</v>
      </c>
      <c r="H6746" s="220"/>
      <c r="I6746" s="169">
        <v>116113</v>
      </c>
      <c r="J6746" s="304" t="str">
        <f>CONCATENATE([2]Cover!$D$6,"fdd/view?i=",I6746)</f>
        <v>https://www.dgiwg.org/FAD/fdd/view?i=116113</v>
      </c>
      <c r="K6746" s="304" t="s">
        <v>40795</v>
      </c>
      <c r="L6746" s="181">
        <v>352</v>
      </c>
      <c r="M6746" s="179" t="s">
        <v>151</v>
      </c>
    </row>
    <row r="6747" spans="1:13" ht="25.5">
      <c r="A6747" s="313" t="str">
        <f t="shared" si="105"/>
        <v>TaxiwayTypeCode_aircraftStandTaxilane</v>
      </c>
      <c r="B6747" s="332" t="str">
        <f>HYPERLINK("[#]Datatypes!A1370:L1370","TaxiwayTypeCode")</f>
        <v>TaxiwayTypeCode</v>
      </c>
      <c r="C6747" s="333" t="s">
        <v>12994</v>
      </c>
      <c r="D6747" s="202" t="s">
        <v>31383</v>
      </c>
      <c r="E6747" s="203" t="s">
        <v>31384</v>
      </c>
      <c r="F6747" s="204" t="s">
        <v>31385</v>
      </c>
      <c r="G6747" s="205"/>
      <c r="H6747" s="218"/>
      <c r="I6747" s="169">
        <v>115475</v>
      </c>
      <c r="J6747" s="304" t="str">
        <f>CONCATENATE([2]Cover!$D$6,"fdd/view?i=",I6747)</f>
        <v>https://www.dgiwg.org/FAD/fdd/view?i=115475</v>
      </c>
      <c r="K6747" s="304" t="s">
        <v>40796</v>
      </c>
      <c r="L6747" s="202">
        <v>9</v>
      </c>
      <c r="M6747" s="179" t="s">
        <v>151</v>
      </c>
    </row>
    <row r="6748" spans="1:13" ht="25.5">
      <c r="A6748" s="313" t="str">
        <f t="shared" si="105"/>
        <v>TaxiwayTypeCode_airTaxiway</v>
      </c>
      <c r="B6748" s="330"/>
      <c r="C6748" s="334"/>
      <c r="D6748" s="188" t="s">
        <v>31380</v>
      </c>
      <c r="E6748" s="189" t="s">
        <v>31381</v>
      </c>
      <c r="F6748" s="162" t="s">
        <v>31382</v>
      </c>
      <c r="G6748" s="190"/>
      <c r="H6748" s="219"/>
      <c r="I6748" s="169">
        <v>115473</v>
      </c>
      <c r="J6748" s="304" t="str">
        <f>CONCATENATE([2]Cover!$D$6,"fdd/view?i=",I6748)</f>
        <v>https://www.dgiwg.org/FAD/fdd/view?i=115473</v>
      </c>
      <c r="K6748" s="304" t="s">
        <v>40797</v>
      </c>
      <c r="L6748" s="188">
        <v>12</v>
      </c>
      <c r="M6748" s="179" t="s">
        <v>151</v>
      </c>
    </row>
    <row r="6749" spans="1:13" ht="25.5">
      <c r="A6749" s="313" t="str">
        <f t="shared" si="105"/>
        <v>TaxiwayTypeCode_apronTaxiway</v>
      </c>
      <c r="B6749" s="330"/>
      <c r="C6749" s="334"/>
      <c r="D6749" s="188" t="s">
        <v>31386</v>
      </c>
      <c r="E6749" s="189" t="s">
        <v>31387</v>
      </c>
      <c r="F6749" s="162" t="s">
        <v>31388</v>
      </c>
      <c r="G6749" s="190"/>
      <c r="H6749" s="219"/>
      <c r="I6749" s="169">
        <v>115474</v>
      </c>
      <c r="J6749" s="304" t="str">
        <f>CONCATENATE([2]Cover!$D$6,"fdd/view?i=",I6749)</f>
        <v>https://www.dgiwg.org/FAD/fdd/view?i=115474</v>
      </c>
      <c r="K6749" s="304" t="s">
        <v>40798</v>
      </c>
      <c r="L6749" s="188">
        <v>8</v>
      </c>
      <c r="M6749" s="179" t="s">
        <v>151</v>
      </c>
    </row>
    <row r="6750" spans="1:13" ht="25.5">
      <c r="A6750" s="313" t="str">
        <f t="shared" si="105"/>
        <v>TaxiwayTypeCode_dispersal</v>
      </c>
      <c r="B6750" s="330"/>
      <c r="C6750" s="334"/>
      <c r="D6750" s="188" t="s">
        <v>16659</v>
      </c>
      <c r="E6750" s="189" t="s">
        <v>16660</v>
      </c>
      <c r="F6750" s="162" t="s">
        <v>31389</v>
      </c>
      <c r="G6750" s="190"/>
      <c r="H6750" s="219"/>
      <c r="I6750" s="169">
        <v>115483</v>
      </c>
      <c r="J6750" s="304" t="str">
        <f>CONCATENATE([2]Cover!$D$6,"fdd/view?i=",I6750)</f>
        <v>https://www.dgiwg.org/FAD/fdd/view?i=115483</v>
      </c>
      <c r="K6750" s="304" t="s">
        <v>40799</v>
      </c>
      <c r="L6750" s="188">
        <v>5</v>
      </c>
      <c r="M6750" s="179" t="s">
        <v>151</v>
      </c>
    </row>
    <row r="6751" spans="1:13" ht="25.5">
      <c r="A6751" s="313" t="str">
        <f t="shared" si="105"/>
        <v>TaxiwayTypeCode_helicopterGroundTaxiway</v>
      </c>
      <c r="B6751" s="330"/>
      <c r="C6751" s="334"/>
      <c r="D6751" s="188" t="s">
        <v>31390</v>
      </c>
      <c r="E6751" s="189" t="s">
        <v>31391</v>
      </c>
      <c r="F6751" s="162" t="s">
        <v>31392</v>
      </c>
      <c r="G6751" s="190"/>
      <c r="H6751" s="219"/>
      <c r="I6751" s="169">
        <v>115476</v>
      </c>
      <c r="J6751" s="304" t="str">
        <f>CONCATENATE([2]Cover!$D$6,"fdd/view?i=",I6751)</f>
        <v>https://www.dgiwg.org/FAD/fdd/view?i=115476</v>
      </c>
      <c r="K6751" s="304" t="s">
        <v>40800</v>
      </c>
      <c r="L6751" s="188">
        <v>13</v>
      </c>
      <c r="M6751" s="179" t="s">
        <v>151</v>
      </c>
    </row>
    <row r="6752" spans="1:13" ht="25.5">
      <c r="A6752" s="313" t="str">
        <f t="shared" si="105"/>
        <v>TaxiwayTypeCode_leadInTaxilane</v>
      </c>
      <c r="B6752" s="330"/>
      <c r="C6752" s="334"/>
      <c r="D6752" s="188" t="s">
        <v>31393</v>
      </c>
      <c r="E6752" s="189" t="s">
        <v>31394</v>
      </c>
      <c r="F6752" s="162" t="s">
        <v>31395</v>
      </c>
      <c r="G6752" s="190"/>
      <c r="H6752" s="219"/>
      <c r="I6752" s="169">
        <v>115477</v>
      </c>
      <c r="J6752" s="304" t="str">
        <f>CONCATENATE([2]Cover!$D$6,"fdd/view?i=",I6752)</f>
        <v>https://www.dgiwg.org/FAD/fdd/view?i=115477</v>
      </c>
      <c r="K6752" s="304" t="s">
        <v>40801</v>
      </c>
      <c r="L6752" s="188">
        <v>10</v>
      </c>
      <c r="M6752" s="179" t="s">
        <v>151</v>
      </c>
    </row>
    <row r="6753" spans="1:13">
      <c r="A6753" s="313" t="str">
        <f t="shared" si="105"/>
        <v>TaxiwayTypeCode_leadOutTaxilane</v>
      </c>
      <c r="B6753" s="330"/>
      <c r="C6753" s="334"/>
      <c r="D6753" s="188" t="s">
        <v>31396</v>
      </c>
      <c r="E6753" s="189" t="s">
        <v>31397</v>
      </c>
      <c r="F6753" s="162" t="s">
        <v>31398</v>
      </c>
      <c r="G6753" s="190"/>
      <c r="H6753" s="219"/>
      <c r="I6753" s="169">
        <v>115478</v>
      </c>
      <c r="J6753" s="304" t="str">
        <f>CONCATENATE([2]Cover!$D$6,"fdd/view?i=",I6753)</f>
        <v>https://www.dgiwg.org/FAD/fdd/view?i=115478</v>
      </c>
      <c r="K6753" s="304" t="s">
        <v>40802</v>
      </c>
      <c r="L6753" s="188">
        <v>11</v>
      </c>
      <c r="M6753" s="179" t="s">
        <v>151</v>
      </c>
    </row>
    <row r="6754" spans="1:13" ht="25.5">
      <c r="A6754" s="313" t="str">
        <f t="shared" si="105"/>
        <v>TaxiwayTypeCode_loop</v>
      </c>
      <c r="B6754" s="330"/>
      <c r="C6754" s="334"/>
      <c r="D6754" s="188" t="s">
        <v>31399</v>
      </c>
      <c r="E6754" s="189" t="s">
        <v>31400</v>
      </c>
      <c r="F6754" s="162" t="s">
        <v>31401</v>
      </c>
      <c r="G6754" s="190"/>
      <c r="H6754" s="219"/>
      <c r="I6754" s="169">
        <v>115484</v>
      </c>
      <c r="J6754" s="304" t="str">
        <f>CONCATENATE([2]Cover!$D$6,"fdd/view?i=",I6754)</f>
        <v>https://www.dgiwg.org/FAD/fdd/view?i=115484</v>
      </c>
      <c r="K6754" s="304" t="s">
        <v>40803</v>
      </c>
      <c r="L6754" s="188">
        <v>6</v>
      </c>
      <c r="M6754" s="179" t="s">
        <v>151</v>
      </c>
    </row>
    <row r="6755" spans="1:13">
      <c r="A6755" s="313" t="str">
        <f t="shared" si="105"/>
        <v>TaxiwayTypeCode_parallelTaxiway</v>
      </c>
      <c r="B6755" s="330"/>
      <c r="C6755" s="334"/>
      <c r="D6755" s="188" t="s">
        <v>31402</v>
      </c>
      <c r="E6755" s="189" t="s">
        <v>31403</v>
      </c>
      <c r="F6755" s="162" t="s">
        <v>31404</v>
      </c>
      <c r="G6755" s="190"/>
      <c r="H6755" s="219"/>
      <c r="I6755" s="169">
        <v>115479</v>
      </c>
      <c r="J6755" s="304" t="str">
        <f>CONCATENATE([2]Cover!$D$6,"fdd/view?i=",I6755)</f>
        <v>https://www.dgiwg.org/FAD/fdd/view?i=115479</v>
      </c>
      <c r="K6755" s="304" t="s">
        <v>40804</v>
      </c>
      <c r="L6755" s="188">
        <v>1</v>
      </c>
      <c r="M6755" s="179" t="s">
        <v>151</v>
      </c>
    </row>
    <row r="6756" spans="1:13">
      <c r="A6756" s="313" t="str">
        <f t="shared" si="105"/>
        <v>TaxiwayTypeCode_perimeter</v>
      </c>
      <c r="B6756" s="330"/>
      <c r="C6756" s="334"/>
      <c r="D6756" s="188" t="s">
        <v>31405</v>
      </c>
      <c r="E6756" s="189" t="s">
        <v>31406</v>
      </c>
      <c r="F6756" s="162" t="s">
        <v>31407</v>
      </c>
      <c r="G6756" s="190"/>
      <c r="H6756" s="219"/>
      <c r="I6756" s="169">
        <v>115485</v>
      </c>
      <c r="J6756" s="304" t="str">
        <f>CONCATENATE([2]Cover!$D$6,"fdd/view?i=",I6756)</f>
        <v>https://www.dgiwg.org/FAD/fdd/view?i=115485</v>
      </c>
      <c r="K6756" s="304" t="s">
        <v>40805</v>
      </c>
      <c r="L6756" s="188">
        <v>7</v>
      </c>
      <c r="M6756" s="179" t="s">
        <v>151</v>
      </c>
    </row>
    <row r="6757" spans="1:13" ht="38.25">
      <c r="A6757" s="313" t="str">
        <f t="shared" si="105"/>
        <v>TaxiwayTypeCode_rapidExitTurnoffTaxiway</v>
      </c>
      <c r="B6757" s="330"/>
      <c r="C6757" s="334"/>
      <c r="D6757" s="188" t="s">
        <v>31408</v>
      </c>
      <c r="E6757" s="189" t="s">
        <v>31409</v>
      </c>
      <c r="F6757" s="162" t="s">
        <v>31410</v>
      </c>
      <c r="G6757" s="190"/>
      <c r="H6757" s="221" t="s">
        <v>31411</v>
      </c>
      <c r="I6757" s="169">
        <v>115480</v>
      </c>
      <c r="J6757" s="304" t="str">
        <f>CONCATENATE([2]Cover!$D$6,"fdd/view?i=",I6757)</f>
        <v>https://www.dgiwg.org/FAD/fdd/view?i=115480</v>
      </c>
      <c r="K6757" s="304" t="s">
        <v>40806</v>
      </c>
      <c r="L6757" s="188">
        <v>3</v>
      </c>
      <c r="M6757" s="179" t="s">
        <v>151</v>
      </c>
    </row>
    <row r="6758" spans="1:13" ht="25.5">
      <c r="A6758" s="313" t="str">
        <f t="shared" si="105"/>
        <v>TaxiwayTypeCode_stubTaxiway</v>
      </c>
      <c r="B6758" s="330"/>
      <c r="C6758" s="334"/>
      <c r="D6758" s="188" t="s">
        <v>31412</v>
      </c>
      <c r="E6758" s="189" t="s">
        <v>31413</v>
      </c>
      <c r="F6758" s="162" t="s">
        <v>31414</v>
      </c>
      <c r="G6758" s="190"/>
      <c r="H6758" s="221" t="s">
        <v>31415</v>
      </c>
      <c r="I6758" s="169">
        <v>115481</v>
      </c>
      <c r="J6758" s="304" t="str">
        <f>CONCATENATE([2]Cover!$D$6,"fdd/view?i=",I6758)</f>
        <v>https://www.dgiwg.org/FAD/fdd/view?i=115481</v>
      </c>
      <c r="K6758" s="304" t="s">
        <v>40807</v>
      </c>
      <c r="L6758" s="188">
        <v>2</v>
      </c>
      <c r="M6758" s="179" t="s">
        <v>151</v>
      </c>
    </row>
    <row r="6759" spans="1:13" ht="25.5">
      <c r="A6759" s="313" t="str">
        <f t="shared" si="105"/>
        <v>TaxiwayTypeCode_turnaroundTaxiway</v>
      </c>
      <c r="B6759" s="331"/>
      <c r="C6759" s="335"/>
      <c r="D6759" s="181" t="s">
        <v>31416</v>
      </c>
      <c r="E6759" s="192" t="s">
        <v>31417</v>
      </c>
      <c r="F6759" s="193" t="s">
        <v>31418</v>
      </c>
      <c r="G6759" s="194"/>
      <c r="H6759" s="220"/>
      <c r="I6759" s="169">
        <v>115482</v>
      </c>
      <c r="J6759" s="304" t="str">
        <f>CONCATENATE([2]Cover!$D$6,"fdd/view?i=",I6759)</f>
        <v>https://www.dgiwg.org/FAD/fdd/view?i=115482</v>
      </c>
      <c r="K6759" s="304" t="s">
        <v>40808</v>
      </c>
      <c r="L6759" s="181">
        <v>4</v>
      </c>
      <c r="M6759" s="179" t="s">
        <v>151</v>
      </c>
    </row>
    <row r="6760" spans="1:13" ht="127.5">
      <c r="A6760" s="313" t="str">
        <f t="shared" si="105"/>
        <v>TelecomManageRegionTypeCode_localAccessTransportArea</v>
      </c>
      <c r="B6760" s="332" t="str">
        <f>HYPERLINK("[#]Datatypes!A1372:L1372","TelecomManageRegionTypeCode")</f>
        <v>TelecomManageRegionTypeCode</v>
      </c>
      <c r="C6760" s="333" t="s">
        <v>12996</v>
      </c>
      <c r="D6760" s="202" t="s">
        <v>31419</v>
      </c>
      <c r="E6760" s="203" t="s">
        <v>31420</v>
      </c>
      <c r="F6760" s="204" t="s">
        <v>31421</v>
      </c>
      <c r="G6760" s="204" t="s">
        <v>31422</v>
      </c>
      <c r="H6760" s="218"/>
      <c r="I6760" s="169">
        <v>204739</v>
      </c>
      <c r="J6760" s="304" t="str">
        <f>CONCATENATE([2]Cover!$D$6,"fdd/view?i=",I6760)</f>
        <v>https://www.dgiwg.org/FAD/fdd/view?i=204739</v>
      </c>
      <c r="K6760" s="304" t="s">
        <v>40809</v>
      </c>
      <c r="L6760" s="202">
        <v>4</v>
      </c>
      <c r="M6760" s="179" t="s">
        <v>1295</v>
      </c>
    </row>
    <row r="6761" spans="1:13" ht="38.25">
      <c r="A6761" s="313" t="str">
        <f t="shared" si="105"/>
        <v>TelecomManageRegionTypeCode_localExchCarRateCentre</v>
      </c>
      <c r="B6761" s="330"/>
      <c r="C6761" s="334"/>
      <c r="D6761" s="188" t="s">
        <v>31423</v>
      </c>
      <c r="E6761" s="189" t="s">
        <v>31424</v>
      </c>
      <c r="F6761" s="162" t="s">
        <v>31425</v>
      </c>
      <c r="G6761" s="162" t="s">
        <v>31426</v>
      </c>
      <c r="H6761" s="219"/>
      <c r="I6761" s="169">
        <v>204740</v>
      </c>
      <c r="J6761" s="304" t="str">
        <f>CONCATENATE([2]Cover!$D$6,"fdd/view?i=",I6761)</f>
        <v>https://www.dgiwg.org/FAD/fdd/view?i=204740</v>
      </c>
      <c r="K6761" s="304" t="s">
        <v>40810</v>
      </c>
      <c r="L6761" s="188">
        <v>5</v>
      </c>
      <c r="M6761" s="179" t="s">
        <v>1295</v>
      </c>
    </row>
    <row r="6762" spans="1:13" ht="102">
      <c r="A6762" s="313" t="str">
        <f t="shared" si="105"/>
        <v>TelecomManageRegionTypeCode_localExchCarWireCentre</v>
      </c>
      <c r="B6762" s="330"/>
      <c r="C6762" s="334"/>
      <c r="D6762" s="188" t="s">
        <v>31427</v>
      </c>
      <c r="E6762" s="189" t="s">
        <v>31428</v>
      </c>
      <c r="F6762" s="162" t="s">
        <v>31429</v>
      </c>
      <c r="G6762" s="162" t="s">
        <v>31430</v>
      </c>
      <c r="H6762" s="219"/>
      <c r="I6762" s="169">
        <v>204741</v>
      </c>
      <c r="J6762" s="304" t="str">
        <f>CONCATENATE([2]Cover!$D$6,"fdd/view?i=",I6762)</f>
        <v>https://www.dgiwg.org/FAD/fdd/view?i=204741</v>
      </c>
      <c r="K6762" s="304" t="s">
        <v>40811</v>
      </c>
      <c r="L6762" s="188">
        <v>6</v>
      </c>
      <c r="M6762" s="179" t="s">
        <v>1295</v>
      </c>
    </row>
    <row r="6763" spans="1:13" ht="204">
      <c r="A6763" s="313" t="str">
        <f t="shared" si="105"/>
        <v>TelecomManageRegionTypeCode_localNumPlanArea</v>
      </c>
      <c r="B6763" s="330"/>
      <c r="C6763" s="334"/>
      <c r="D6763" s="188" t="s">
        <v>31431</v>
      </c>
      <c r="E6763" s="189" t="s">
        <v>31432</v>
      </c>
      <c r="F6763" s="162" t="s">
        <v>31433</v>
      </c>
      <c r="G6763" s="162" t="s">
        <v>31434</v>
      </c>
      <c r="H6763" s="219"/>
      <c r="I6763" s="169">
        <v>204736</v>
      </c>
      <c r="J6763" s="304" t="str">
        <f>CONCATENATE([2]Cover!$D$6,"fdd/view?i=",I6763)</f>
        <v>https://www.dgiwg.org/FAD/fdd/view?i=204736</v>
      </c>
      <c r="K6763" s="304" t="s">
        <v>40812</v>
      </c>
      <c r="L6763" s="188">
        <v>1</v>
      </c>
      <c r="M6763" s="179" t="s">
        <v>1295</v>
      </c>
    </row>
    <row r="6764" spans="1:13" ht="102">
      <c r="A6764" s="313" t="str">
        <f t="shared" si="105"/>
        <v>TelecomManageRegionTypeCode_publicSafetyAnsPtServ</v>
      </c>
      <c r="B6764" s="330"/>
      <c r="C6764" s="334"/>
      <c r="D6764" s="188" t="s">
        <v>31435</v>
      </c>
      <c r="E6764" s="189" t="s">
        <v>31436</v>
      </c>
      <c r="F6764" s="162" t="s">
        <v>31437</v>
      </c>
      <c r="G6764" s="162" t="s">
        <v>31438</v>
      </c>
      <c r="H6764" s="219"/>
      <c r="I6764" s="169">
        <v>204738</v>
      </c>
      <c r="J6764" s="304" t="str">
        <f>CONCATENATE([2]Cover!$D$6,"fdd/view?i=",I6764)</f>
        <v>https://www.dgiwg.org/FAD/fdd/view?i=204738</v>
      </c>
      <c r="K6764" s="304" t="s">
        <v>40813</v>
      </c>
      <c r="L6764" s="188">
        <v>3</v>
      </c>
      <c r="M6764" s="179" t="s">
        <v>1295</v>
      </c>
    </row>
    <row r="6765" spans="1:13" ht="204">
      <c r="A6765" s="313" t="str">
        <f t="shared" si="105"/>
        <v>TelecomManageRegionTypeCode_serviceBasedNumPlanArea</v>
      </c>
      <c r="B6765" s="331"/>
      <c r="C6765" s="335"/>
      <c r="D6765" s="181" t="s">
        <v>31439</v>
      </c>
      <c r="E6765" s="192" t="s">
        <v>31440</v>
      </c>
      <c r="F6765" s="193" t="s">
        <v>31441</v>
      </c>
      <c r="G6765" s="193" t="s">
        <v>31434</v>
      </c>
      <c r="H6765" s="220"/>
      <c r="I6765" s="169">
        <v>204737</v>
      </c>
      <c r="J6765" s="304" t="str">
        <f>CONCATENATE([2]Cover!$D$6,"fdd/view?i=",I6765)</f>
        <v>https://www.dgiwg.org/FAD/fdd/view?i=204737</v>
      </c>
      <c r="K6765" s="304" t="s">
        <v>40814</v>
      </c>
      <c r="L6765" s="181">
        <v>2</v>
      </c>
      <c r="M6765" s="179" t="s">
        <v>1295</v>
      </c>
    </row>
    <row r="6766" spans="1:13" ht="51">
      <c r="A6766" s="313" t="str">
        <f t="shared" si="105"/>
        <v>TelescopeTypeCode_optical</v>
      </c>
      <c r="B6766" s="332" t="str">
        <f>HYPERLINK("[#]Datatypes!A1378:L1378","TelescopeTypeCode")</f>
        <v>TelescopeTypeCode</v>
      </c>
      <c r="C6766" s="333" t="s">
        <v>13005</v>
      </c>
      <c r="D6766" s="202" t="s">
        <v>31442</v>
      </c>
      <c r="E6766" s="203" t="s">
        <v>31443</v>
      </c>
      <c r="F6766" s="204" t="s">
        <v>31444</v>
      </c>
      <c r="G6766" s="205"/>
      <c r="H6766" s="218"/>
      <c r="I6766" s="169">
        <v>108443</v>
      </c>
      <c r="J6766" s="304" t="str">
        <f>CONCATENATE([2]Cover!$D$6,"fdd/view?i=",I6766)</f>
        <v>https://www.dgiwg.org/FAD/fdd/view?i=108443</v>
      </c>
      <c r="K6766" s="304" t="s">
        <v>40815</v>
      </c>
      <c r="L6766" s="202">
        <v>1</v>
      </c>
      <c r="M6766" s="179" t="s">
        <v>151</v>
      </c>
    </row>
    <row r="6767" spans="1:13" ht="38.25">
      <c r="A6767" s="313" t="str">
        <f t="shared" si="105"/>
        <v>TelescopeTypeCode_parabolicRadioAerial</v>
      </c>
      <c r="B6767" s="330"/>
      <c r="C6767" s="334"/>
      <c r="D6767" s="188" t="s">
        <v>31445</v>
      </c>
      <c r="E6767" s="189" t="s">
        <v>31446</v>
      </c>
      <c r="F6767" s="162" t="s">
        <v>31447</v>
      </c>
      <c r="G6767" s="190"/>
      <c r="H6767" s="219"/>
      <c r="I6767" s="169">
        <v>108444</v>
      </c>
      <c r="J6767" s="304" t="str">
        <f>CONCATENATE([2]Cover!$D$6,"fdd/view?i=",I6767)</f>
        <v>https://www.dgiwg.org/FAD/fdd/view?i=108444</v>
      </c>
      <c r="K6767" s="304" t="s">
        <v>40816</v>
      </c>
      <c r="L6767" s="188">
        <v>2</v>
      </c>
      <c r="M6767" s="179" t="s">
        <v>151</v>
      </c>
    </row>
    <row r="6768" spans="1:13" ht="38.25">
      <c r="A6768" s="313" t="str">
        <f t="shared" si="105"/>
        <v>TelescopeTypeCode_radioAerialArray</v>
      </c>
      <c r="B6768" s="331"/>
      <c r="C6768" s="335"/>
      <c r="D6768" s="181" t="s">
        <v>31448</v>
      </c>
      <c r="E6768" s="192" t="s">
        <v>31449</v>
      </c>
      <c r="F6768" s="193" t="s">
        <v>31450</v>
      </c>
      <c r="G6768" s="194"/>
      <c r="H6768" s="220"/>
      <c r="I6768" s="169">
        <v>108445</v>
      </c>
      <c r="J6768" s="304" t="str">
        <f>CONCATENATE([2]Cover!$D$6,"fdd/view?i=",I6768)</f>
        <v>https://www.dgiwg.org/FAD/fdd/view?i=108445</v>
      </c>
      <c r="K6768" s="304" t="s">
        <v>40817</v>
      </c>
      <c r="L6768" s="181">
        <v>3</v>
      </c>
      <c r="M6768" s="179" t="s">
        <v>151</v>
      </c>
    </row>
    <row r="6769" spans="1:13" ht="38.25">
      <c r="A6769" s="313" t="str">
        <f t="shared" si="105"/>
        <v>TerminalArriveAltAreaTypeCode_leftBase</v>
      </c>
      <c r="B6769" s="332" t="str">
        <f>HYPERLINK("[#]Datatypes!A1382:L1382","TerminalArriveAltAreaTypeCode")</f>
        <v>TerminalArriveAltAreaTypeCode</v>
      </c>
      <c r="C6769" s="333" t="s">
        <v>13010</v>
      </c>
      <c r="D6769" s="202" t="s">
        <v>31451</v>
      </c>
      <c r="E6769" s="203" t="s">
        <v>31452</v>
      </c>
      <c r="F6769" s="204" t="s">
        <v>31453</v>
      </c>
      <c r="G6769" s="205"/>
      <c r="H6769" s="218"/>
      <c r="I6769" s="169">
        <v>116605</v>
      </c>
      <c r="J6769" s="304" t="str">
        <f>CONCATENATE([2]Cover!$D$6,"fdd/view?i=",I6769)</f>
        <v>https://www.dgiwg.org/FAD/fdd/view?i=116605</v>
      </c>
      <c r="K6769" s="304" t="s">
        <v>40818</v>
      </c>
      <c r="L6769" s="202">
        <v>2</v>
      </c>
      <c r="M6769" s="179" t="s">
        <v>151</v>
      </c>
    </row>
    <row r="6770" spans="1:13" ht="38.25">
      <c r="A6770" s="313" t="str">
        <f t="shared" si="105"/>
        <v>TerminalArriveAltAreaTypeCode_rightBase</v>
      </c>
      <c r="B6770" s="330"/>
      <c r="C6770" s="334"/>
      <c r="D6770" s="188" t="s">
        <v>31454</v>
      </c>
      <c r="E6770" s="189" t="s">
        <v>31455</v>
      </c>
      <c r="F6770" s="162" t="s">
        <v>31456</v>
      </c>
      <c r="G6770" s="190"/>
      <c r="H6770" s="219"/>
      <c r="I6770" s="169">
        <v>116606</v>
      </c>
      <c r="J6770" s="304" t="str">
        <f>CONCATENATE([2]Cover!$D$6,"fdd/view?i=",I6770)</f>
        <v>https://www.dgiwg.org/FAD/fdd/view?i=116606</v>
      </c>
      <c r="K6770" s="304" t="s">
        <v>40819</v>
      </c>
      <c r="L6770" s="188">
        <v>3</v>
      </c>
      <c r="M6770" s="179" t="s">
        <v>151</v>
      </c>
    </row>
    <row r="6771" spans="1:13" ht="38.25">
      <c r="A6771" s="313" t="str">
        <f t="shared" si="105"/>
        <v>TerminalArriveAltAreaTypeCode_straightIn</v>
      </c>
      <c r="B6771" s="331"/>
      <c r="C6771" s="335"/>
      <c r="D6771" s="181" t="s">
        <v>22463</v>
      </c>
      <c r="E6771" s="192" t="s">
        <v>22464</v>
      </c>
      <c r="F6771" s="193" t="s">
        <v>31457</v>
      </c>
      <c r="G6771" s="194"/>
      <c r="H6771" s="220"/>
      <c r="I6771" s="169">
        <v>116607</v>
      </c>
      <c r="J6771" s="304" t="str">
        <f>CONCATENATE([2]Cover!$D$6,"fdd/view?i=",I6771)</f>
        <v>https://www.dgiwg.org/FAD/fdd/view?i=116607</v>
      </c>
      <c r="K6771" s="304" t="s">
        <v>40820</v>
      </c>
      <c r="L6771" s="181">
        <v>1</v>
      </c>
      <c r="M6771" s="179" t="s">
        <v>151</v>
      </c>
    </row>
    <row r="6772" spans="1:13" ht="25.5">
      <c r="A6772" s="313" t="str">
        <f t="shared" si="105"/>
        <v>TerrainFaceTypeCode_cliff</v>
      </c>
      <c r="B6772" s="332" t="str">
        <f>HYPERLINK("[#]Datatypes!A1390:L1390","TerrainFaceTypeCode")</f>
        <v>TerrainFaceTypeCode</v>
      </c>
      <c r="C6772" s="333" t="s">
        <v>13021</v>
      </c>
      <c r="D6772" s="202" t="s">
        <v>31458</v>
      </c>
      <c r="E6772" s="203" t="s">
        <v>31459</v>
      </c>
      <c r="F6772" s="204" t="s">
        <v>31460</v>
      </c>
      <c r="G6772" s="205"/>
      <c r="H6772" s="218"/>
      <c r="I6772" s="169">
        <v>114341</v>
      </c>
      <c r="J6772" s="304" t="str">
        <f>CONCATENATE([2]Cover!$D$6,"fdd/view?i=",I6772)</f>
        <v>https://www.dgiwg.org/FAD/fdd/view?i=114341</v>
      </c>
      <c r="K6772" s="304" t="s">
        <v>40821</v>
      </c>
      <c r="L6772" s="202">
        <v>1</v>
      </c>
      <c r="M6772" s="179" t="s">
        <v>151</v>
      </c>
    </row>
    <row r="6773" spans="1:13" ht="25.5">
      <c r="A6773" s="313" t="str">
        <f t="shared" si="105"/>
        <v>TerrainFaceTypeCode_escarpment</v>
      </c>
      <c r="B6773" s="331"/>
      <c r="C6773" s="335"/>
      <c r="D6773" s="181" t="s">
        <v>31461</v>
      </c>
      <c r="E6773" s="192" t="s">
        <v>31462</v>
      </c>
      <c r="F6773" s="193" t="s">
        <v>31463</v>
      </c>
      <c r="G6773" s="194"/>
      <c r="H6773" s="223" t="s">
        <v>31464</v>
      </c>
      <c r="I6773" s="169">
        <v>114342</v>
      </c>
      <c r="J6773" s="304" t="str">
        <f>CONCATENATE([2]Cover!$D$6,"fdd/view?i=",I6773)</f>
        <v>https://www.dgiwg.org/FAD/fdd/view?i=114342</v>
      </c>
      <c r="K6773" s="304" t="s">
        <v>40822</v>
      </c>
      <c r="L6773" s="181">
        <v>2</v>
      </c>
      <c r="M6773" s="179" t="s">
        <v>151</v>
      </c>
    </row>
    <row r="6774" spans="1:13">
      <c r="A6774" s="313" t="str">
        <f t="shared" si="105"/>
        <v>TerrainMorphologyCode_angular</v>
      </c>
      <c r="B6774" s="332" t="str">
        <f>HYPERLINK("[#]Datatypes!A1392:L1392","TerrainMorphologyCode")</f>
        <v>TerrainMorphologyCode</v>
      </c>
      <c r="C6774" s="333" t="s">
        <v>13023</v>
      </c>
      <c r="D6774" s="202" t="s">
        <v>31465</v>
      </c>
      <c r="E6774" s="203" t="s">
        <v>31466</v>
      </c>
      <c r="F6774" s="204" t="s">
        <v>31467</v>
      </c>
      <c r="G6774" s="205"/>
      <c r="H6774" s="218"/>
      <c r="I6774" s="169">
        <v>108014</v>
      </c>
      <c r="J6774" s="304" t="str">
        <f>CONCATENATE([2]Cover!$D$6,"fdd/view?i=",I6774)</f>
        <v>https://www.dgiwg.org/FAD/fdd/view?i=108014</v>
      </c>
      <c r="K6774" s="304" t="s">
        <v>40823</v>
      </c>
      <c r="L6774" s="202">
        <v>5</v>
      </c>
      <c r="M6774" s="179" t="s">
        <v>151</v>
      </c>
    </row>
    <row r="6775" spans="1:13" ht="38.25">
      <c r="A6775" s="313" t="str">
        <f t="shared" si="105"/>
        <v>TerrainMorphologyCode_boulderField</v>
      </c>
      <c r="B6775" s="330"/>
      <c r="C6775" s="334"/>
      <c r="D6775" s="188" t="s">
        <v>31468</v>
      </c>
      <c r="E6775" s="189" t="s">
        <v>31469</v>
      </c>
      <c r="F6775" s="162" t="s">
        <v>31470</v>
      </c>
      <c r="G6775" s="162" t="s">
        <v>31471</v>
      </c>
      <c r="H6775" s="219"/>
      <c r="I6775" s="169">
        <v>108025</v>
      </c>
      <c r="J6775" s="304" t="str">
        <f>CONCATENATE([2]Cover!$D$6,"fdd/view?i=",I6775)</f>
        <v>https://www.dgiwg.org/FAD/fdd/view?i=108025</v>
      </c>
      <c r="K6775" s="304" t="s">
        <v>40824</v>
      </c>
      <c r="L6775" s="188">
        <v>20</v>
      </c>
      <c r="M6775" s="179" t="s">
        <v>151</v>
      </c>
    </row>
    <row r="6776" spans="1:13" ht="25.5">
      <c r="A6776" s="313" t="str">
        <f t="shared" si="105"/>
        <v>TerrainMorphologyCode_deepErosionalGullies</v>
      </c>
      <c r="B6776" s="330"/>
      <c r="C6776" s="334"/>
      <c r="D6776" s="188" t="s">
        <v>31472</v>
      </c>
      <c r="E6776" s="189" t="s">
        <v>31473</v>
      </c>
      <c r="F6776" s="162" t="s">
        <v>31474</v>
      </c>
      <c r="G6776" s="190"/>
      <c r="H6776" s="219"/>
      <c r="I6776" s="169">
        <v>108044</v>
      </c>
      <c r="J6776" s="304" t="str">
        <f>CONCATENATE([2]Cover!$D$6,"fdd/view?i=",I6776)</f>
        <v>https://www.dgiwg.org/FAD/fdd/view?i=108044</v>
      </c>
      <c r="K6776" s="304" t="s">
        <v>40825</v>
      </c>
      <c r="L6776" s="188">
        <v>56</v>
      </c>
      <c r="M6776" s="179" t="s">
        <v>151</v>
      </c>
    </row>
    <row r="6777" spans="1:13" ht="25.5">
      <c r="A6777" s="313" t="str">
        <f t="shared" si="105"/>
        <v>TerrainMorphologyCode_dissectedFloodplain</v>
      </c>
      <c r="B6777" s="330"/>
      <c r="C6777" s="334"/>
      <c r="D6777" s="188" t="s">
        <v>31475</v>
      </c>
      <c r="E6777" s="189" t="s">
        <v>31476</v>
      </c>
      <c r="F6777" s="162" t="s">
        <v>31477</v>
      </c>
      <c r="G6777" s="190"/>
      <c r="H6777" s="219"/>
      <c r="I6777" s="169">
        <v>108042</v>
      </c>
      <c r="J6777" s="304" t="str">
        <f>CONCATENATE([2]Cover!$D$6,"fdd/view?i=",I6777)</f>
        <v>https://www.dgiwg.org/FAD/fdd/view?i=108042</v>
      </c>
      <c r="K6777" s="304" t="s">
        <v>40826</v>
      </c>
      <c r="L6777" s="188">
        <v>54</v>
      </c>
      <c r="M6777" s="179" t="s">
        <v>151</v>
      </c>
    </row>
    <row r="6778" spans="1:13" ht="25.5">
      <c r="A6778" s="313" t="str">
        <f t="shared" si="105"/>
        <v>TerrainMorphologyCode_frostPolygons</v>
      </c>
      <c r="B6778" s="330"/>
      <c r="C6778" s="334"/>
      <c r="D6778" s="188" t="s">
        <v>31478</v>
      </c>
      <c r="E6778" s="189" t="s">
        <v>31479</v>
      </c>
      <c r="F6778" s="162" t="s">
        <v>31480</v>
      </c>
      <c r="G6778" s="190"/>
      <c r="H6778" s="219"/>
      <c r="I6778" s="169">
        <v>108055</v>
      </c>
      <c r="J6778" s="304" t="str">
        <f>CONCATENATE([2]Cover!$D$6,"fdd/view?i=",I6778)</f>
        <v>https://www.dgiwg.org/FAD/fdd/view?i=108055</v>
      </c>
      <c r="K6778" s="304" t="s">
        <v>40827</v>
      </c>
      <c r="L6778" s="188">
        <v>67</v>
      </c>
      <c r="M6778" s="179" t="s">
        <v>151</v>
      </c>
    </row>
    <row r="6779" spans="1:13" ht="25.5">
      <c r="A6779" s="313" t="str">
        <f t="shared" si="105"/>
        <v>TerrainMorphologyCode_highlyDissected</v>
      </c>
      <c r="B6779" s="330"/>
      <c r="C6779" s="334"/>
      <c r="D6779" s="188" t="s">
        <v>31481</v>
      </c>
      <c r="E6779" s="189" t="s">
        <v>31482</v>
      </c>
      <c r="F6779" s="162" t="s">
        <v>31483</v>
      </c>
      <c r="G6779" s="190"/>
      <c r="H6779" s="219"/>
      <c r="I6779" s="169">
        <v>108043</v>
      </c>
      <c r="J6779" s="304" t="str">
        <f>CONCATENATE([2]Cover!$D$6,"fdd/view?i=",I6779)</f>
        <v>https://www.dgiwg.org/FAD/fdd/view?i=108043</v>
      </c>
      <c r="K6779" s="304" t="s">
        <v>40828</v>
      </c>
      <c r="L6779" s="188">
        <v>55</v>
      </c>
      <c r="M6779" s="179" t="s">
        <v>151</v>
      </c>
    </row>
    <row r="6780" spans="1:13" ht="25.5">
      <c r="A6780" s="313" t="str">
        <f t="shared" si="105"/>
        <v>TerrainMorphologyCode_highlyDistortedSharpRocky</v>
      </c>
      <c r="B6780" s="330"/>
      <c r="C6780" s="334"/>
      <c r="D6780" s="188" t="s">
        <v>31484</v>
      </c>
      <c r="E6780" s="189" t="s">
        <v>31485</v>
      </c>
      <c r="F6780" s="162" t="s">
        <v>31486</v>
      </c>
      <c r="G6780" s="190"/>
      <c r="H6780" s="219"/>
      <c r="I6780" s="169">
        <v>108038</v>
      </c>
      <c r="J6780" s="304" t="str">
        <f>CONCATENATE([2]Cover!$D$6,"fdd/view?i=",I6780)</f>
        <v>https://www.dgiwg.org/FAD/fdd/view?i=108038</v>
      </c>
      <c r="K6780" s="304" t="s">
        <v>40829</v>
      </c>
      <c r="L6780" s="188">
        <v>43</v>
      </c>
      <c r="M6780" s="179" t="s">
        <v>151</v>
      </c>
    </row>
    <row r="6781" spans="1:13" ht="25.5">
      <c r="A6781" s="313" t="str">
        <f t="shared" si="105"/>
        <v>TerrainMorphologyCode_highlyFracturedRock</v>
      </c>
      <c r="B6781" s="330"/>
      <c r="C6781" s="334"/>
      <c r="D6781" s="188" t="s">
        <v>31487</v>
      </c>
      <c r="E6781" s="189" t="s">
        <v>31488</v>
      </c>
      <c r="F6781" s="162" t="s">
        <v>31489</v>
      </c>
      <c r="G6781" s="190"/>
      <c r="H6781" s="219"/>
      <c r="I6781" s="169">
        <v>108026</v>
      </c>
      <c r="J6781" s="304" t="str">
        <f>CONCATENATE([2]Cover!$D$6,"fdd/view?i=",I6781)</f>
        <v>https://www.dgiwg.org/FAD/fdd/view?i=108026</v>
      </c>
      <c r="K6781" s="304" t="s">
        <v>40830</v>
      </c>
      <c r="L6781" s="188">
        <v>31</v>
      </c>
      <c r="M6781" s="179" t="s">
        <v>151</v>
      </c>
    </row>
    <row r="6782" spans="1:13" ht="25.5">
      <c r="A6782" s="313" t="str">
        <f t="shared" si="105"/>
        <v>TerrainMorphologyCode_hummockyFrostHeaves</v>
      </c>
      <c r="B6782" s="330"/>
      <c r="C6782" s="334"/>
      <c r="D6782" s="188" t="s">
        <v>31496</v>
      </c>
      <c r="E6782" s="189" t="s">
        <v>31497</v>
      </c>
      <c r="F6782" s="162" t="s">
        <v>31498</v>
      </c>
      <c r="G6782" s="190"/>
      <c r="H6782" s="219"/>
      <c r="I6782" s="169">
        <v>108054</v>
      </c>
      <c r="J6782" s="304" t="str">
        <f>CONCATENATE([2]Cover!$D$6,"fdd/view?i=",I6782)</f>
        <v>https://www.dgiwg.org/FAD/fdd/view?i=108054</v>
      </c>
      <c r="K6782" s="304" t="s">
        <v>40831</v>
      </c>
      <c r="L6782" s="188">
        <v>66</v>
      </c>
      <c r="M6782" s="179" t="s">
        <v>151</v>
      </c>
    </row>
    <row r="6783" spans="1:13" ht="25.5">
      <c r="A6783" s="313" t="str">
        <f t="shared" si="105"/>
        <v>TerrainMorphologyCode_hummockyKarstLargeHills</v>
      </c>
      <c r="B6783" s="330"/>
      <c r="C6783" s="334"/>
      <c r="D6783" s="188" t="s">
        <v>31490</v>
      </c>
      <c r="E6783" s="189" t="s">
        <v>31491</v>
      </c>
      <c r="F6783" s="162" t="s">
        <v>31492</v>
      </c>
      <c r="G6783" s="190"/>
      <c r="H6783" s="219"/>
      <c r="I6783" s="169">
        <v>108048</v>
      </c>
      <c r="J6783" s="304" t="str">
        <f>CONCATENATE([2]Cover!$D$6,"fdd/view?i=",I6783)</f>
        <v>https://www.dgiwg.org/FAD/fdd/view?i=108048</v>
      </c>
      <c r="K6783" s="304" t="s">
        <v>40832</v>
      </c>
      <c r="L6783" s="188">
        <v>60</v>
      </c>
      <c r="M6783" s="179" t="s">
        <v>151</v>
      </c>
    </row>
    <row r="6784" spans="1:13" ht="25.5">
      <c r="A6784" s="313" t="str">
        <f t="shared" si="105"/>
        <v>TerrainMorphologyCode_hummockyKarstLowMounds</v>
      </c>
      <c r="B6784" s="330"/>
      <c r="C6784" s="334"/>
      <c r="D6784" s="188" t="s">
        <v>31493</v>
      </c>
      <c r="E6784" s="189" t="s">
        <v>31494</v>
      </c>
      <c r="F6784" s="162" t="s">
        <v>31495</v>
      </c>
      <c r="G6784" s="190"/>
      <c r="H6784" s="219"/>
      <c r="I6784" s="169">
        <v>108049</v>
      </c>
      <c r="J6784" s="304" t="str">
        <f>CONCATENATE([2]Cover!$D$6,"fdd/view?i=",I6784)</f>
        <v>https://www.dgiwg.org/FAD/fdd/view?i=108049</v>
      </c>
      <c r="K6784" s="304" t="s">
        <v>40833</v>
      </c>
      <c r="L6784" s="188">
        <v>61</v>
      </c>
      <c r="M6784" s="179" t="s">
        <v>151</v>
      </c>
    </row>
    <row r="6785" spans="1:13" ht="38.25">
      <c r="A6785" s="313" t="str">
        <f t="shared" si="105"/>
        <v>TerrainMorphologyCode_irregularDeepFoliateFract</v>
      </c>
      <c r="B6785" s="330"/>
      <c r="C6785" s="334"/>
      <c r="D6785" s="188" t="s">
        <v>31499</v>
      </c>
      <c r="E6785" s="189" t="s">
        <v>31500</v>
      </c>
      <c r="F6785" s="162" t="s">
        <v>31501</v>
      </c>
      <c r="G6785" s="190"/>
      <c r="H6785" s="219"/>
      <c r="I6785" s="169">
        <v>108030</v>
      </c>
      <c r="J6785" s="304" t="str">
        <f>CONCATENATE([2]Cover!$D$6,"fdd/view?i=",I6785)</f>
        <v>https://www.dgiwg.org/FAD/fdd/view?i=108030</v>
      </c>
      <c r="K6785" s="304" t="s">
        <v>40834</v>
      </c>
      <c r="L6785" s="188">
        <v>35</v>
      </c>
      <c r="M6785" s="179" t="s">
        <v>151</v>
      </c>
    </row>
    <row r="6786" spans="1:13" ht="25.5">
      <c r="A6786" s="313" t="str">
        <f t="shared" si="105"/>
        <v>TerrainMorphologyCode_karstNumerousSinkholes</v>
      </c>
      <c r="B6786" s="330"/>
      <c r="C6786" s="334"/>
      <c r="D6786" s="188" t="s">
        <v>31502</v>
      </c>
      <c r="E6786" s="189" t="s">
        <v>31503</v>
      </c>
      <c r="F6786" s="162" t="s">
        <v>31504</v>
      </c>
      <c r="G6786" s="190"/>
      <c r="H6786" s="219"/>
      <c r="I6786" s="169">
        <v>108047</v>
      </c>
      <c r="J6786" s="304" t="str">
        <f>CONCATENATE([2]Cover!$D$6,"fdd/view?i=",I6786)</f>
        <v>https://www.dgiwg.org/FAD/fdd/view?i=108047</v>
      </c>
      <c r="K6786" s="304" t="s">
        <v>40835</v>
      </c>
      <c r="L6786" s="188">
        <v>59</v>
      </c>
      <c r="M6786" s="179" t="s">
        <v>151</v>
      </c>
    </row>
    <row r="6787" spans="1:13" ht="38.25">
      <c r="A6787" s="313" t="str">
        <f t="shared" ref="A6787:A6850" si="106">HYPERLINK(J6787,K6787)</f>
        <v>TerrainMorphologyCode_karstNumerousSinkSolValley</v>
      </c>
      <c r="B6787" s="330"/>
      <c r="C6787" s="334"/>
      <c r="D6787" s="188" t="s">
        <v>31505</v>
      </c>
      <c r="E6787" s="189" t="s">
        <v>31506</v>
      </c>
      <c r="F6787" s="162" t="s">
        <v>31507</v>
      </c>
      <c r="G6787" s="190"/>
      <c r="H6787" s="219"/>
      <c r="I6787" s="169">
        <v>108046</v>
      </c>
      <c r="J6787" s="304" t="str">
        <f>CONCATENATE([2]Cover!$D$6,"fdd/view?i=",I6787)</f>
        <v>https://www.dgiwg.org/FAD/fdd/view?i=108046</v>
      </c>
      <c r="K6787" s="304" t="s">
        <v>40836</v>
      </c>
      <c r="L6787" s="188">
        <v>58</v>
      </c>
      <c r="M6787" s="179" t="s">
        <v>151</v>
      </c>
    </row>
    <row r="6788" spans="1:13" ht="25.5">
      <c r="A6788" s="313" t="str">
        <f t="shared" si="106"/>
        <v>TerrainMorphologyCode_landslidePotential</v>
      </c>
      <c r="B6788" s="330"/>
      <c r="C6788" s="334"/>
      <c r="D6788" s="188" t="s">
        <v>31508</v>
      </c>
      <c r="E6788" s="189" t="s">
        <v>31509</v>
      </c>
      <c r="F6788" s="162" t="s">
        <v>31510</v>
      </c>
      <c r="G6788" s="190"/>
      <c r="H6788" s="219"/>
      <c r="I6788" s="169">
        <v>108011</v>
      </c>
      <c r="J6788" s="304" t="str">
        <f>CONCATENATE([2]Cover!$D$6,"fdd/view?i=",I6788)</f>
        <v>https://www.dgiwg.org/FAD/fdd/view?i=108011</v>
      </c>
      <c r="K6788" s="304" t="s">
        <v>40837</v>
      </c>
      <c r="L6788" s="188">
        <v>2</v>
      </c>
      <c r="M6788" s="179" t="s">
        <v>151</v>
      </c>
    </row>
    <row r="6789" spans="1:13" ht="25.5">
      <c r="A6789" s="313" t="str">
        <f t="shared" si="106"/>
        <v>TerrainMorphologyCode_levelButUncohesive</v>
      </c>
      <c r="B6789" s="330"/>
      <c r="C6789" s="334"/>
      <c r="D6789" s="188" t="s">
        <v>31511</v>
      </c>
      <c r="E6789" s="189" t="s">
        <v>31512</v>
      </c>
      <c r="F6789" s="162" t="s">
        <v>31513</v>
      </c>
      <c r="G6789" s="190"/>
      <c r="H6789" s="219"/>
      <c r="I6789" s="169">
        <v>108012</v>
      </c>
      <c r="J6789" s="304" t="str">
        <f>CONCATENATE([2]Cover!$D$6,"fdd/view?i=",I6789)</f>
        <v>https://www.dgiwg.org/FAD/fdd/view?i=108012</v>
      </c>
      <c r="K6789" s="304" t="s">
        <v>40838</v>
      </c>
      <c r="L6789" s="188">
        <v>3</v>
      </c>
      <c r="M6789" s="179" t="s">
        <v>151</v>
      </c>
    </row>
    <row r="6790" spans="1:13" ht="25.5">
      <c r="A6790" s="313" t="str">
        <f t="shared" si="106"/>
        <v>TerrainMorphologyCode_meanderScarsLakes</v>
      </c>
      <c r="B6790" s="330"/>
      <c r="C6790" s="334"/>
      <c r="D6790" s="188" t="s">
        <v>31514</v>
      </c>
      <c r="E6790" s="189" t="s">
        <v>31515</v>
      </c>
      <c r="F6790" s="162" t="s">
        <v>31516</v>
      </c>
      <c r="G6790" s="190"/>
      <c r="H6790" s="219"/>
      <c r="I6790" s="169">
        <v>108052</v>
      </c>
      <c r="J6790" s="304" t="str">
        <f>CONCATENATE([2]Cover!$D$6,"fdd/view?i=",I6790)</f>
        <v>https://www.dgiwg.org/FAD/fdd/view?i=108052</v>
      </c>
      <c r="K6790" s="304" t="s">
        <v>40839</v>
      </c>
      <c r="L6790" s="188">
        <v>64</v>
      </c>
      <c r="M6790" s="179" t="s">
        <v>151</v>
      </c>
    </row>
    <row r="6791" spans="1:13" ht="25.5">
      <c r="A6791" s="313" t="str">
        <f t="shared" si="106"/>
        <v>TerrainMorphologyCode_mineTailings</v>
      </c>
      <c r="B6791" s="330"/>
      <c r="C6791" s="334"/>
      <c r="D6791" s="188" t="s">
        <v>31517</v>
      </c>
      <c r="E6791" s="189" t="s">
        <v>31518</v>
      </c>
      <c r="F6791" s="162" t="s">
        <v>31519</v>
      </c>
      <c r="G6791" s="190"/>
      <c r="H6791" s="221" t="s">
        <v>31520</v>
      </c>
      <c r="I6791" s="169">
        <v>108064</v>
      </c>
      <c r="J6791" s="304" t="str">
        <f>CONCATENATE([2]Cover!$D$6,"fdd/view?i=",I6791)</f>
        <v>https://www.dgiwg.org/FAD/fdd/view?i=108064</v>
      </c>
      <c r="K6791" s="304" t="s">
        <v>40840</v>
      </c>
      <c r="L6791" s="188">
        <v>86</v>
      </c>
      <c r="M6791" s="179" t="s">
        <v>151</v>
      </c>
    </row>
    <row r="6792" spans="1:13" ht="25.5">
      <c r="A6792" s="313" t="str">
        <f t="shared" si="106"/>
        <v>TerrainMorphologyCode_moderatelyDissected</v>
      </c>
      <c r="B6792" s="330"/>
      <c r="C6792" s="334"/>
      <c r="D6792" s="188" t="s">
        <v>31521</v>
      </c>
      <c r="E6792" s="189" t="s">
        <v>31522</v>
      </c>
      <c r="F6792" s="162" t="s">
        <v>31523</v>
      </c>
      <c r="G6792" s="190"/>
      <c r="H6792" s="219"/>
      <c r="I6792" s="169">
        <v>108040</v>
      </c>
      <c r="J6792" s="304" t="str">
        <f>CONCATENATE([2]Cover!$D$6,"fdd/view?i=",I6792)</f>
        <v>https://www.dgiwg.org/FAD/fdd/view?i=108040</v>
      </c>
      <c r="K6792" s="304" t="s">
        <v>40841</v>
      </c>
      <c r="L6792" s="188">
        <v>52</v>
      </c>
      <c r="M6792" s="179" t="s">
        <v>151</v>
      </c>
    </row>
    <row r="6793" spans="1:13" ht="38.25">
      <c r="A6793" s="313" t="str">
        <f t="shared" si="106"/>
        <v>TerrainMorphologyCode_moderatelyDissectScatRock</v>
      </c>
      <c r="B6793" s="330"/>
      <c r="C6793" s="334"/>
      <c r="D6793" s="188" t="s">
        <v>31524</v>
      </c>
      <c r="E6793" s="189" t="s">
        <v>31525</v>
      </c>
      <c r="F6793" s="162" t="s">
        <v>31526</v>
      </c>
      <c r="G6793" s="190"/>
      <c r="H6793" s="219"/>
      <c r="I6793" s="169">
        <v>108041</v>
      </c>
      <c r="J6793" s="304" t="str">
        <f>CONCATENATE([2]Cover!$D$6,"fdd/view?i=",I6793)</f>
        <v>https://www.dgiwg.org/FAD/fdd/view?i=108041</v>
      </c>
      <c r="K6793" s="304" t="s">
        <v>40842</v>
      </c>
      <c r="L6793" s="188">
        <v>53</v>
      </c>
      <c r="M6793" s="179" t="s">
        <v>151</v>
      </c>
    </row>
    <row r="6794" spans="1:13" ht="25.5">
      <c r="A6794" s="313" t="str">
        <f t="shared" si="106"/>
        <v>TerrainMorphologyCode_noEffect</v>
      </c>
      <c r="B6794" s="330"/>
      <c r="C6794" s="334"/>
      <c r="D6794" s="188" t="s">
        <v>31527</v>
      </c>
      <c r="E6794" s="189" t="s">
        <v>31528</v>
      </c>
      <c r="F6794" s="162" t="s">
        <v>31529</v>
      </c>
      <c r="G6794" s="190"/>
      <c r="H6794" s="219"/>
      <c r="I6794" s="169">
        <v>108010</v>
      </c>
      <c r="J6794" s="304" t="str">
        <f>CONCATENATE([2]Cover!$D$6,"fdd/view?i=",I6794)</f>
        <v>https://www.dgiwg.org/FAD/fdd/view?i=108010</v>
      </c>
      <c r="K6794" s="304" t="s">
        <v>40843</v>
      </c>
      <c r="L6794" s="188">
        <v>1</v>
      </c>
      <c r="M6794" s="179" t="s">
        <v>151</v>
      </c>
    </row>
    <row r="6795" spans="1:13" ht="38.25">
      <c r="A6795" s="313" t="str">
        <f t="shared" si="106"/>
        <v>TerrainMorphologyCode_numerousBoulders</v>
      </c>
      <c r="B6795" s="330"/>
      <c r="C6795" s="334"/>
      <c r="D6795" s="188" t="s">
        <v>31530</v>
      </c>
      <c r="E6795" s="189" t="s">
        <v>31531</v>
      </c>
      <c r="F6795" s="162" t="s">
        <v>31532</v>
      </c>
      <c r="G6795" s="162" t="s">
        <v>31471</v>
      </c>
      <c r="H6795" s="219"/>
      <c r="I6795" s="169">
        <v>108021</v>
      </c>
      <c r="J6795" s="304" t="str">
        <f>CONCATENATE([2]Cover!$D$6,"fdd/view?i=",I6795)</f>
        <v>https://www.dgiwg.org/FAD/fdd/view?i=108021</v>
      </c>
      <c r="K6795" s="304" t="s">
        <v>40844</v>
      </c>
      <c r="L6795" s="188">
        <v>16</v>
      </c>
      <c r="M6795" s="179" t="s">
        <v>151</v>
      </c>
    </row>
    <row r="6796" spans="1:13" ht="38.25">
      <c r="A6796" s="313" t="str">
        <f t="shared" si="106"/>
        <v>TerrainMorphologyCode_numerousCobblesBoulders</v>
      </c>
      <c r="B6796" s="330"/>
      <c r="C6796" s="334"/>
      <c r="D6796" s="188" t="s">
        <v>31533</v>
      </c>
      <c r="E6796" s="189" t="s">
        <v>31534</v>
      </c>
      <c r="F6796" s="162" t="s">
        <v>31535</v>
      </c>
      <c r="G6796" s="162" t="s">
        <v>31536</v>
      </c>
      <c r="H6796" s="219"/>
      <c r="I6796" s="169">
        <v>108016</v>
      </c>
      <c r="J6796" s="304" t="str">
        <f>CONCATENATE([2]Cover!$D$6,"fdd/view?i=",I6796)</f>
        <v>https://www.dgiwg.org/FAD/fdd/view?i=108016</v>
      </c>
      <c r="K6796" s="304" t="s">
        <v>40845</v>
      </c>
      <c r="L6796" s="188">
        <v>11</v>
      </c>
      <c r="M6796" s="179" t="s">
        <v>151</v>
      </c>
    </row>
    <row r="6797" spans="1:13" ht="25.5">
      <c r="A6797" s="313" t="str">
        <f t="shared" si="106"/>
        <v>TerrainMorphologyCode_numerousCrevasses</v>
      </c>
      <c r="B6797" s="330"/>
      <c r="C6797" s="334"/>
      <c r="D6797" s="188" t="s">
        <v>31537</v>
      </c>
      <c r="E6797" s="189" t="s">
        <v>31538</v>
      </c>
      <c r="F6797" s="162" t="s">
        <v>31539</v>
      </c>
      <c r="G6797" s="190"/>
      <c r="H6797" s="219"/>
      <c r="I6797" s="169">
        <v>108058</v>
      </c>
      <c r="J6797" s="304" t="str">
        <f>CONCATENATE([2]Cover!$D$6,"fdd/view?i=",I6797)</f>
        <v>https://www.dgiwg.org/FAD/fdd/view?i=108058</v>
      </c>
      <c r="K6797" s="304" t="s">
        <v>40846</v>
      </c>
      <c r="L6797" s="188">
        <v>70</v>
      </c>
      <c r="M6797" s="179" t="s">
        <v>151</v>
      </c>
    </row>
    <row r="6798" spans="1:13" ht="25.5">
      <c r="A6798" s="313" t="str">
        <f t="shared" si="106"/>
        <v>TerrainMorphologyCode_numerousDykedFields</v>
      </c>
      <c r="B6798" s="330"/>
      <c r="C6798" s="334"/>
      <c r="D6798" s="188" t="s">
        <v>31540</v>
      </c>
      <c r="E6798" s="189" t="s">
        <v>31541</v>
      </c>
      <c r="F6798" s="162" t="s">
        <v>31542</v>
      </c>
      <c r="G6798" s="190"/>
      <c r="H6798" s="221" t="s">
        <v>31543</v>
      </c>
      <c r="I6798" s="169">
        <v>108067</v>
      </c>
      <c r="J6798" s="304" t="str">
        <f>CONCATENATE([2]Cover!$D$6,"fdd/view?i=",I6798)</f>
        <v>https://www.dgiwg.org/FAD/fdd/view?i=108067</v>
      </c>
      <c r="K6798" s="304" t="s">
        <v>40847</v>
      </c>
      <c r="L6798" s="188">
        <v>89</v>
      </c>
      <c r="M6798" s="179" t="s">
        <v>151</v>
      </c>
    </row>
    <row r="6799" spans="1:13" ht="25.5">
      <c r="A6799" s="313" t="str">
        <f t="shared" si="106"/>
        <v>TerrainMorphologyCode_numerousDykes</v>
      </c>
      <c r="B6799" s="330"/>
      <c r="C6799" s="334"/>
      <c r="D6799" s="188" t="s">
        <v>31544</v>
      </c>
      <c r="E6799" s="189" t="s">
        <v>31545</v>
      </c>
      <c r="F6799" s="162" t="s">
        <v>31546</v>
      </c>
      <c r="G6799" s="190"/>
      <c r="H6799" s="221" t="s">
        <v>31547</v>
      </c>
      <c r="I6799" s="169">
        <v>108066</v>
      </c>
      <c r="J6799" s="304" t="str">
        <f>CONCATENATE([2]Cover!$D$6,"fdd/view?i=",I6799)</f>
        <v>https://www.dgiwg.org/FAD/fdd/view?i=108066</v>
      </c>
      <c r="K6799" s="304" t="s">
        <v>40848</v>
      </c>
      <c r="L6799" s="188">
        <v>88</v>
      </c>
      <c r="M6799" s="179" t="s">
        <v>151</v>
      </c>
    </row>
    <row r="6800" spans="1:13" ht="25.5">
      <c r="A6800" s="313" t="str">
        <f t="shared" si="106"/>
        <v>TerrainMorphologyCode_numerousFences</v>
      </c>
      <c r="B6800" s="330"/>
      <c r="C6800" s="334"/>
      <c r="D6800" s="188" t="s">
        <v>31548</v>
      </c>
      <c r="E6800" s="189" t="s">
        <v>31549</v>
      </c>
      <c r="F6800" s="162" t="s">
        <v>31550</v>
      </c>
      <c r="G6800" s="162" t="s">
        <v>31551</v>
      </c>
      <c r="H6800" s="219"/>
      <c r="I6800" s="169">
        <v>108068</v>
      </c>
      <c r="J6800" s="304" t="str">
        <f>CONCATENATE([2]Cover!$D$6,"fdd/view?i=",I6800)</f>
        <v>https://www.dgiwg.org/FAD/fdd/view?i=108068</v>
      </c>
      <c r="K6800" s="304" t="s">
        <v>40849</v>
      </c>
      <c r="L6800" s="188">
        <v>90</v>
      </c>
      <c r="M6800" s="179" t="s">
        <v>151</v>
      </c>
    </row>
    <row r="6801" spans="1:13" ht="38.25">
      <c r="A6801" s="313" t="str">
        <f t="shared" si="106"/>
        <v>TerrainMorphologyCode_numerousHedgerows</v>
      </c>
      <c r="B6801" s="330"/>
      <c r="C6801" s="334"/>
      <c r="D6801" s="188" t="s">
        <v>31552</v>
      </c>
      <c r="E6801" s="189" t="s">
        <v>31553</v>
      </c>
      <c r="F6801" s="162" t="s">
        <v>31554</v>
      </c>
      <c r="G6801" s="162" t="s">
        <v>31555</v>
      </c>
      <c r="H6801" s="219"/>
      <c r="I6801" s="169">
        <v>108073</v>
      </c>
      <c r="J6801" s="304" t="str">
        <f>CONCATENATE([2]Cover!$D$6,"fdd/view?i=",I6801)</f>
        <v>https://www.dgiwg.org/FAD/fdd/view?i=108073</v>
      </c>
      <c r="K6801" s="304" t="s">
        <v>40850</v>
      </c>
      <c r="L6801" s="188">
        <v>95</v>
      </c>
      <c r="M6801" s="179" t="s">
        <v>151</v>
      </c>
    </row>
    <row r="6802" spans="1:13" ht="25.5">
      <c r="A6802" s="313" t="str">
        <f t="shared" si="106"/>
        <v>TerrainMorphologyCode_numerousManMadeDrainage</v>
      </c>
      <c r="B6802" s="330"/>
      <c r="C6802" s="334"/>
      <c r="D6802" s="188" t="s">
        <v>31556</v>
      </c>
      <c r="E6802" s="189" t="s">
        <v>31557</v>
      </c>
      <c r="F6802" s="162" t="s">
        <v>31558</v>
      </c>
      <c r="G6802" s="190"/>
      <c r="H6802" s="219"/>
      <c r="I6802" s="169">
        <v>108070</v>
      </c>
      <c r="J6802" s="304" t="str">
        <f>CONCATENATE([2]Cover!$D$6,"fdd/view?i=",I6802)</f>
        <v>https://www.dgiwg.org/FAD/fdd/view?i=108070</v>
      </c>
      <c r="K6802" s="304" t="s">
        <v>40851</v>
      </c>
      <c r="L6802" s="188">
        <v>92</v>
      </c>
      <c r="M6802" s="179" t="s">
        <v>151</v>
      </c>
    </row>
    <row r="6803" spans="1:13" ht="25.5">
      <c r="A6803" s="313" t="str">
        <f t="shared" si="106"/>
        <v>TerrainMorphologyCode_numerousRockOutcrops</v>
      </c>
      <c r="B6803" s="330"/>
      <c r="C6803" s="334"/>
      <c r="D6803" s="188" t="s">
        <v>31559</v>
      </c>
      <c r="E6803" s="189" t="s">
        <v>31560</v>
      </c>
      <c r="F6803" s="162" t="s">
        <v>31561</v>
      </c>
      <c r="G6803" s="190"/>
      <c r="H6803" s="219"/>
      <c r="I6803" s="169">
        <v>108022</v>
      </c>
      <c r="J6803" s="304" t="str">
        <f>CONCATENATE([2]Cover!$D$6,"fdd/view?i=",I6803)</f>
        <v>https://www.dgiwg.org/FAD/fdd/view?i=108022</v>
      </c>
      <c r="K6803" s="304" t="s">
        <v>40852</v>
      </c>
      <c r="L6803" s="188">
        <v>17</v>
      </c>
      <c r="M6803" s="179" t="s">
        <v>151</v>
      </c>
    </row>
    <row r="6804" spans="1:13" ht="25.5">
      <c r="A6804" s="313" t="str">
        <f t="shared" si="106"/>
        <v>TerrainMorphologyCode_numerousSmallLakesPonds</v>
      </c>
      <c r="B6804" s="330"/>
      <c r="C6804" s="334"/>
      <c r="D6804" s="188" t="s">
        <v>31562</v>
      </c>
      <c r="E6804" s="189" t="s">
        <v>31563</v>
      </c>
      <c r="F6804" s="162" t="s">
        <v>31564</v>
      </c>
      <c r="G6804" s="190"/>
      <c r="H6804" s="219"/>
      <c r="I6804" s="169">
        <v>108057</v>
      </c>
      <c r="J6804" s="304" t="str">
        <f>CONCATENATE([2]Cover!$D$6,"fdd/view?i=",I6804)</f>
        <v>https://www.dgiwg.org/FAD/fdd/view?i=108057</v>
      </c>
      <c r="K6804" s="304" t="s">
        <v>40853</v>
      </c>
      <c r="L6804" s="188">
        <v>69</v>
      </c>
      <c r="M6804" s="179" t="s">
        <v>151</v>
      </c>
    </row>
    <row r="6805" spans="1:13" ht="25.5">
      <c r="A6805" s="313" t="str">
        <f t="shared" si="106"/>
        <v>TerrainMorphologyCode_numerousStoneWalls</v>
      </c>
      <c r="B6805" s="330"/>
      <c r="C6805" s="334"/>
      <c r="D6805" s="188" t="s">
        <v>31565</v>
      </c>
      <c r="E6805" s="189" t="s">
        <v>31566</v>
      </c>
      <c r="F6805" s="162" t="s">
        <v>31567</v>
      </c>
      <c r="G6805" s="190"/>
      <c r="H6805" s="219"/>
      <c r="I6805" s="169">
        <v>108069</v>
      </c>
      <c r="J6805" s="304" t="str">
        <f>CONCATENATE([2]Cover!$D$6,"fdd/view?i=",I6805)</f>
        <v>https://www.dgiwg.org/FAD/fdd/view?i=108069</v>
      </c>
      <c r="K6805" s="304" t="s">
        <v>40854</v>
      </c>
      <c r="L6805" s="188">
        <v>91</v>
      </c>
      <c r="M6805" s="179" t="s">
        <v>151</v>
      </c>
    </row>
    <row r="6806" spans="1:13" ht="25.5">
      <c r="A6806" s="313" t="str">
        <f t="shared" si="106"/>
        <v>TerrainMorphologyCode_numerousTerracedFields</v>
      </c>
      <c r="B6806" s="330"/>
      <c r="C6806" s="334"/>
      <c r="D6806" s="188" t="s">
        <v>31568</v>
      </c>
      <c r="E6806" s="189" t="s">
        <v>31569</v>
      </c>
      <c r="F6806" s="162" t="s">
        <v>31570</v>
      </c>
      <c r="G6806" s="162" t="s">
        <v>31571</v>
      </c>
      <c r="H6806" s="219"/>
      <c r="I6806" s="169">
        <v>108071</v>
      </c>
      <c r="J6806" s="304" t="str">
        <f>CONCATENATE([2]Cover!$D$6,"fdd/view?i=",I6806)</f>
        <v>https://www.dgiwg.org/FAD/fdd/view?i=108071</v>
      </c>
      <c r="K6806" s="304" t="s">
        <v>40855</v>
      </c>
      <c r="L6806" s="188">
        <v>93</v>
      </c>
      <c r="M6806" s="179" t="s">
        <v>151</v>
      </c>
    </row>
    <row r="6807" spans="1:13" ht="25.5">
      <c r="A6807" s="313" t="str">
        <f t="shared" si="106"/>
        <v>TerrainMorphologyCode_numerousTerraces</v>
      </c>
      <c r="B6807" s="330"/>
      <c r="C6807" s="334"/>
      <c r="D6807" s="188" t="s">
        <v>31572</v>
      </c>
      <c r="E6807" s="189" t="s">
        <v>31573</v>
      </c>
      <c r="F6807" s="162" t="s">
        <v>31574</v>
      </c>
      <c r="G6807" s="162" t="s">
        <v>31575</v>
      </c>
      <c r="H6807" s="219"/>
      <c r="I6807" s="169">
        <v>108059</v>
      </c>
      <c r="J6807" s="304" t="str">
        <f>CONCATENATE([2]Cover!$D$6,"fdd/view?i=",I6807)</f>
        <v>https://www.dgiwg.org/FAD/fdd/view?i=108059</v>
      </c>
      <c r="K6807" s="304" t="s">
        <v>40856</v>
      </c>
      <c r="L6807" s="188">
        <v>81</v>
      </c>
      <c r="M6807" s="179" t="s">
        <v>151</v>
      </c>
    </row>
    <row r="6808" spans="1:13" ht="25.5">
      <c r="A6808" s="313" t="str">
        <f t="shared" si="106"/>
        <v>TerrainMorphologyCode_parallelEarthenRows</v>
      </c>
      <c r="B6808" s="330"/>
      <c r="C6808" s="334"/>
      <c r="D6808" s="188" t="s">
        <v>31576</v>
      </c>
      <c r="E6808" s="189" t="s">
        <v>31577</v>
      </c>
      <c r="F6808" s="162" t="s">
        <v>31578</v>
      </c>
      <c r="G6808" s="190"/>
      <c r="H6808" s="219"/>
      <c r="I6808" s="169">
        <v>108072</v>
      </c>
      <c r="J6808" s="304" t="str">
        <f>CONCATENATE([2]Cover!$D$6,"fdd/view?i=",I6808)</f>
        <v>https://www.dgiwg.org/FAD/fdd/view?i=108072</v>
      </c>
      <c r="K6808" s="304" t="s">
        <v>40857</v>
      </c>
      <c r="L6808" s="188">
        <v>94</v>
      </c>
      <c r="M6808" s="179" t="s">
        <v>151</v>
      </c>
    </row>
    <row r="6809" spans="1:13" ht="25.5">
      <c r="A6809" s="313" t="str">
        <f t="shared" si="106"/>
        <v>TerrainMorphologyCode_playa</v>
      </c>
      <c r="B6809" s="330"/>
      <c r="C6809" s="334"/>
      <c r="D6809" s="188" t="s">
        <v>31579</v>
      </c>
      <c r="E6809" s="189" t="s">
        <v>31580</v>
      </c>
      <c r="F6809" s="162" t="s">
        <v>31581</v>
      </c>
      <c r="G6809" s="190"/>
      <c r="H6809" s="221" t="s">
        <v>31582</v>
      </c>
      <c r="I6809" s="169">
        <v>108051</v>
      </c>
      <c r="J6809" s="304" t="str">
        <f>CONCATENATE([2]Cover!$D$6,"fdd/view?i=",I6809)</f>
        <v>https://www.dgiwg.org/FAD/fdd/view?i=108051</v>
      </c>
      <c r="K6809" s="304" t="s">
        <v>40858</v>
      </c>
      <c r="L6809" s="188">
        <v>63</v>
      </c>
      <c r="M6809" s="179" t="s">
        <v>151</v>
      </c>
    </row>
    <row r="6810" spans="1:13">
      <c r="A6810" s="313" t="str">
        <f t="shared" si="106"/>
        <v>TerrainMorphologyCode_rough</v>
      </c>
      <c r="B6810" s="330"/>
      <c r="C6810" s="334"/>
      <c r="D6810" s="188" t="s">
        <v>31583</v>
      </c>
      <c r="E6810" s="189" t="s">
        <v>31584</v>
      </c>
      <c r="F6810" s="162" t="s">
        <v>31585</v>
      </c>
      <c r="G6810" s="190"/>
      <c r="H6810" s="219"/>
      <c r="I6810" s="169">
        <v>108013</v>
      </c>
      <c r="J6810" s="304" t="str">
        <f>CONCATENATE([2]Cover!$D$6,"fdd/view?i=",I6810)</f>
        <v>https://www.dgiwg.org/FAD/fdd/view?i=108013</v>
      </c>
      <c r="K6810" s="304" t="s">
        <v>40859</v>
      </c>
      <c r="L6810" s="188">
        <v>4</v>
      </c>
      <c r="M6810" s="179" t="s">
        <v>151</v>
      </c>
    </row>
    <row r="6811" spans="1:13" ht="25.5">
      <c r="A6811" s="313" t="str">
        <f t="shared" si="106"/>
        <v>TerrainMorphologyCode_rounded</v>
      </c>
      <c r="B6811" s="330"/>
      <c r="C6811" s="334"/>
      <c r="D6811" s="188" t="s">
        <v>31586</v>
      </c>
      <c r="E6811" s="189" t="s">
        <v>31587</v>
      </c>
      <c r="F6811" s="162" t="s">
        <v>31588</v>
      </c>
      <c r="G6811" s="190"/>
      <c r="H6811" s="219"/>
      <c r="I6811" s="169">
        <v>108015</v>
      </c>
      <c r="J6811" s="304" t="str">
        <f>CONCATENATE([2]Cover!$D$6,"fdd/view?i=",I6811)</f>
        <v>https://www.dgiwg.org/FAD/fdd/view?i=108015</v>
      </c>
      <c r="K6811" s="304" t="s">
        <v>40860</v>
      </c>
      <c r="L6811" s="188">
        <v>6</v>
      </c>
      <c r="M6811" s="179" t="s">
        <v>151</v>
      </c>
    </row>
    <row r="6812" spans="1:13" ht="25.5">
      <c r="A6812" s="313" t="str">
        <f t="shared" si="106"/>
        <v>TerrainMorphologyCode_ruggedBedrock</v>
      </c>
      <c r="B6812" s="330"/>
      <c r="C6812" s="334"/>
      <c r="D6812" s="188" t="s">
        <v>31589</v>
      </c>
      <c r="E6812" s="189" t="s">
        <v>31590</v>
      </c>
      <c r="F6812" s="162" t="s">
        <v>31591</v>
      </c>
      <c r="G6812" s="190"/>
      <c r="H6812" s="219"/>
      <c r="I6812" s="169">
        <v>108032</v>
      </c>
      <c r="J6812" s="304" t="str">
        <f>CONCATENATE([2]Cover!$D$6,"fdd/view?i=",I6812)</f>
        <v>https://www.dgiwg.org/FAD/fdd/view?i=108032</v>
      </c>
      <c r="K6812" s="304" t="s">
        <v>40861</v>
      </c>
      <c r="L6812" s="188">
        <v>37</v>
      </c>
      <c r="M6812" s="179" t="s">
        <v>151</v>
      </c>
    </row>
    <row r="6813" spans="1:13" ht="25.5">
      <c r="A6813" s="313" t="str">
        <f t="shared" si="106"/>
        <v>TerrainMorphologyCode_ruggedNumerousRockOutcrops</v>
      </c>
      <c r="B6813" s="330"/>
      <c r="C6813" s="334"/>
      <c r="D6813" s="188" t="s">
        <v>31592</v>
      </c>
      <c r="E6813" s="189" t="s">
        <v>31593</v>
      </c>
      <c r="F6813" s="162" t="s">
        <v>31594</v>
      </c>
      <c r="G6813" s="190"/>
      <c r="H6813" s="219"/>
      <c r="I6813" s="169">
        <v>108031</v>
      </c>
      <c r="J6813" s="304" t="str">
        <f>CONCATENATE([2]Cover!$D$6,"fdd/view?i=",I6813)</f>
        <v>https://www.dgiwg.org/FAD/fdd/view?i=108031</v>
      </c>
      <c r="K6813" s="304" t="s">
        <v>40862</v>
      </c>
      <c r="L6813" s="188">
        <v>36</v>
      </c>
      <c r="M6813" s="179" t="s">
        <v>151</v>
      </c>
    </row>
    <row r="6814" spans="1:13" ht="38.25">
      <c r="A6814" s="313" t="str">
        <f t="shared" si="106"/>
        <v>TerrainMorphologyCode_scatteredBoulders</v>
      </c>
      <c r="B6814" s="330"/>
      <c r="C6814" s="334"/>
      <c r="D6814" s="188" t="s">
        <v>31595</v>
      </c>
      <c r="E6814" s="189" t="s">
        <v>31596</v>
      </c>
      <c r="F6814" s="162" t="s">
        <v>31597</v>
      </c>
      <c r="G6814" s="162" t="s">
        <v>31471</v>
      </c>
      <c r="H6814" s="219"/>
      <c r="I6814" s="169">
        <v>108023</v>
      </c>
      <c r="J6814" s="304" t="str">
        <f>CONCATENATE([2]Cover!$D$6,"fdd/view?i=",I6814)</f>
        <v>https://www.dgiwg.org/FAD/fdd/view?i=108023</v>
      </c>
      <c r="K6814" s="304" t="s">
        <v>40863</v>
      </c>
      <c r="L6814" s="188">
        <v>18</v>
      </c>
      <c r="M6814" s="179" t="s">
        <v>151</v>
      </c>
    </row>
    <row r="6815" spans="1:13" ht="38.25">
      <c r="A6815" s="313" t="str">
        <f t="shared" si="106"/>
        <v>TerrainMorphologyCode_solifluctionLobesFrostScar</v>
      </c>
      <c r="B6815" s="330"/>
      <c r="C6815" s="334"/>
      <c r="D6815" s="188" t="s">
        <v>31598</v>
      </c>
      <c r="E6815" s="189" t="s">
        <v>31599</v>
      </c>
      <c r="F6815" s="162" t="s">
        <v>31600</v>
      </c>
      <c r="G6815" s="190"/>
      <c r="H6815" s="219"/>
      <c r="I6815" s="169">
        <v>108053</v>
      </c>
      <c r="J6815" s="304" t="str">
        <f>CONCATENATE([2]Cover!$D$6,"fdd/view?i=",I6815)</f>
        <v>https://www.dgiwg.org/FAD/fdd/view?i=108053</v>
      </c>
      <c r="K6815" s="304" t="s">
        <v>40864</v>
      </c>
      <c r="L6815" s="188">
        <v>65</v>
      </c>
      <c r="M6815" s="179" t="s">
        <v>151</v>
      </c>
    </row>
    <row r="6816" spans="1:13" ht="38.25">
      <c r="A6816" s="313" t="str">
        <f t="shared" si="106"/>
        <v>TerrainMorphologyCode_steepRuggedDissectGullies</v>
      </c>
      <c r="B6816" s="330"/>
      <c r="C6816" s="334"/>
      <c r="D6816" s="188" t="s">
        <v>31601</v>
      </c>
      <c r="E6816" s="189" t="s">
        <v>31602</v>
      </c>
      <c r="F6816" s="162" t="s">
        <v>31603</v>
      </c>
      <c r="G6816" s="190"/>
      <c r="H6816" s="219"/>
      <c r="I6816" s="169">
        <v>108045</v>
      </c>
      <c r="J6816" s="304" t="str">
        <f>CONCATENATE([2]Cover!$D$6,"fdd/view?i=",I6816)</f>
        <v>https://www.dgiwg.org/FAD/fdd/view?i=108045</v>
      </c>
      <c r="K6816" s="304" t="s">
        <v>40865</v>
      </c>
      <c r="L6816" s="188">
        <v>57</v>
      </c>
      <c r="M6816" s="179" t="s">
        <v>151</v>
      </c>
    </row>
    <row r="6817" spans="1:13" ht="25.5">
      <c r="A6817" s="313" t="str">
        <f t="shared" si="106"/>
        <v>TerrainMorphologyCode_stonyAreas</v>
      </c>
      <c r="B6817" s="330"/>
      <c r="C6817" s="334"/>
      <c r="D6817" s="188" t="s">
        <v>31604</v>
      </c>
      <c r="E6817" s="189" t="s">
        <v>31605</v>
      </c>
      <c r="F6817" s="162" t="s">
        <v>31606</v>
      </c>
      <c r="G6817" s="190"/>
      <c r="H6817" s="219"/>
      <c r="I6817" s="169">
        <v>108017</v>
      </c>
      <c r="J6817" s="304" t="str">
        <f>CONCATENATE([2]Cover!$D$6,"fdd/view?i=",I6817)</f>
        <v>https://www.dgiwg.org/FAD/fdd/view?i=108017</v>
      </c>
      <c r="K6817" s="304" t="s">
        <v>40866</v>
      </c>
      <c r="L6817" s="188">
        <v>12</v>
      </c>
      <c r="M6817" s="179" t="s">
        <v>151</v>
      </c>
    </row>
    <row r="6818" spans="1:13" ht="38.25">
      <c r="A6818" s="313" t="str">
        <f t="shared" si="106"/>
        <v>TerrainMorphologyCode_stonySoilNumerousBoulders</v>
      </c>
      <c r="B6818" s="330"/>
      <c r="C6818" s="334"/>
      <c r="D6818" s="188" t="s">
        <v>31607</v>
      </c>
      <c r="E6818" s="189" t="s">
        <v>31608</v>
      </c>
      <c r="F6818" s="162" t="s">
        <v>31609</v>
      </c>
      <c r="G6818" s="162" t="s">
        <v>31471</v>
      </c>
      <c r="H6818" s="219"/>
      <c r="I6818" s="169">
        <v>108020</v>
      </c>
      <c r="J6818" s="304" t="str">
        <f>CONCATENATE([2]Cover!$D$6,"fdd/view?i=",I6818)</f>
        <v>https://www.dgiwg.org/FAD/fdd/view?i=108020</v>
      </c>
      <c r="K6818" s="304" t="s">
        <v>40867</v>
      </c>
      <c r="L6818" s="188">
        <v>15</v>
      </c>
      <c r="M6818" s="179" t="s">
        <v>151</v>
      </c>
    </row>
    <row r="6819" spans="1:13" ht="25.5">
      <c r="A6819" s="313" t="str">
        <f t="shared" si="106"/>
        <v>TerrainMorphologyCode_stonySoilNumerousGullies</v>
      </c>
      <c r="B6819" s="330"/>
      <c r="C6819" s="334"/>
      <c r="D6819" s="188" t="s">
        <v>31610</v>
      </c>
      <c r="E6819" s="189" t="s">
        <v>31611</v>
      </c>
      <c r="F6819" s="162" t="s">
        <v>31612</v>
      </c>
      <c r="G6819" s="190"/>
      <c r="H6819" s="219"/>
      <c r="I6819" s="169">
        <v>108039</v>
      </c>
      <c r="J6819" s="304" t="str">
        <f>CONCATENATE([2]Cover!$D$6,"fdd/view?i=",I6819)</f>
        <v>https://www.dgiwg.org/FAD/fdd/view?i=108039</v>
      </c>
      <c r="K6819" s="304" t="s">
        <v>40868</v>
      </c>
      <c r="L6819" s="188">
        <v>51</v>
      </c>
      <c r="M6819" s="179" t="s">
        <v>151</v>
      </c>
    </row>
    <row r="6820" spans="1:13" ht="38.25">
      <c r="A6820" s="313" t="str">
        <f t="shared" si="106"/>
        <v>TerrainMorphologyCode_stonySoilNumerousRockCrops</v>
      </c>
      <c r="B6820" s="330"/>
      <c r="C6820" s="334"/>
      <c r="D6820" s="188" t="s">
        <v>31613</v>
      </c>
      <c r="E6820" s="189" t="s">
        <v>31614</v>
      </c>
      <c r="F6820" s="162" t="s">
        <v>31615</v>
      </c>
      <c r="G6820" s="162" t="s">
        <v>31471</v>
      </c>
      <c r="H6820" s="219"/>
      <c r="I6820" s="169">
        <v>108029</v>
      </c>
      <c r="J6820" s="304" t="str">
        <f>CONCATENATE([2]Cover!$D$6,"fdd/view?i=",I6820)</f>
        <v>https://www.dgiwg.org/FAD/fdd/view?i=108029</v>
      </c>
      <c r="K6820" s="304" t="s">
        <v>40869</v>
      </c>
      <c r="L6820" s="188">
        <v>34</v>
      </c>
      <c r="M6820" s="179" t="s">
        <v>151</v>
      </c>
    </row>
    <row r="6821" spans="1:13" ht="38.25">
      <c r="A6821" s="313" t="str">
        <f t="shared" si="106"/>
        <v>TerrainMorphologyCode_stonySoilScatteredBoulders</v>
      </c>
      <c r="B6821" s="330"/>
      <c r="C6821" s="334"/>
      <c r="D6821" s="188" t="s">
        <v>31616</v>
      </c>
      <c r="E6821" s="189" t="s">
        <v>31617</v>
      </c>
      <c r="F6821" s="162" t="s">
        <v>31618</v>
      </c>
      <c r="G6821" s="162" t="s">
        <v>31471</v>
      </c>
      <c r="H6821" s="219"/>
      <c r="I6821" s="169">
        <v>108019</v>
      </c>
      <c r="J6821" s="304" t="str">
        <f>CONCATENATE([2]Cover!$D$6,"fdd/view?i=",I6821)</f>
        <v>https://www.dgiwg.org/FAD/fdd/view?i=108019</v>
      </c>
      <c r="K6821" s="304" t="s">
        <v>40870</v>
      </c>
      <c r="L6821" s="188">
        <v>14</v>
      </c>
      <c r="M6821" s="179" t="s">
        <v>151</v>
      </c>
    </row>
    <row r="6822" spans="1:13" ht="25.5">
      <c r="A6822" s="313" t="str">
        <f t="shared" si="106"/>
        <v>TerrainMorphologyCode_stonySoilWithSurfaceRock</v>
      </c>
      <c r="B6822" s="330"/>
      <c r="C6822" s="334"/>
      <c r="D6822" s="188" t="s">
        <v>31619</v>
      </c>
      <c r="E6822" s="189" t="s">
        <v>31620</v>
      </c>
      <c r="F6822" s="162" t="s">
        <v>31621</v>
      </c>
      <c r="G6822" s="190"/>
      <c r="H6822" s="219"/>
      <c r="I6822" s="169">
        <v>108018</v>
      </c>
      <c r="J6822" s="304" t="str">
        <f>CONCATENATE([2]Cover!$D$6,"fdd/view?i=",I6822)</f>
        <v>https://www.dgiwg.org/FAD/fdd/view?i=108018</v>
      </c>
      <c r="K6822" s="304" t="s">
        <v>40871</v>
      </c>
      <c r="L6822" s="188">
        <v>13</v>
      </c>
      <c r="M6822" s="179" t="s">
        <v>151</v>
      </c>
    </row>
    <row r="6823" spans="1:13" ht="25.5">
      <c r="A6823" s="313" t="str">
        <f t="shared" si="106"/>
        <v>TerrainMorphologyCode_talus</v>
      </c>
      <c r="B6823" s="330"/>
      <c r="C6823" s="334"/>
      <c r="D6823" s="188" t="s">
        <v>19016</v>
      </c>
      <c r="E6823" s="189" t="s">
        <v>19017</v>
      </c>
      <c r="F6823" s="162" t="s">
        <v>31622</v>
      </c>
      <c r="G6823" s="190"/>
      <c r="H6823" s="221" t="s">
        <v>24667</v>
      </c>
      <c r="I6823" s="169">
        <v>108024</v>
      </c>
      <c r="J6823" s="304" t="str">
        <f>CONCATENATE([2]Cover!$D$6,"fdd/view?i=",I6823)</f>
        <v>https://www.dgiwg.org/FAD/fdd/view?i=108024</v>
      </c>
      <c r="K6823" s="304" t="s">
        <v>40872</v>
      </c>
      <c r="L6823" s="188">
        <v>19</v>
      </c>
      <c r="M6823" s="179" t="s">
        <v>151</v>
      </c>
    </row>
    <row r="6824" spans="1:13" ht="25.5">
      <c r="A6824" s="313" t="str">
        <f t="shared" si="106"/>
        <v>TerrainMorphologyCode_unweatheredLava</v>
      </c>
      <c r="B6824" s="330"/>
      <c r="C6824" s="334"/>
      <c r="D6824" s="188" t="s">
        <v>31623</v>
      </c>
      <c r="E6824" s="189" t="s">
        <v>31624</v>
      </c>
      <c r="F6824" s="162" t="s">
        <v>31625</v>
      </c>
      <c r="G6824" s="190"/>
      <c r="H6824" s="219"/>
      <c r="I6824" s="169">
        <v>108028</v>
      </c>
      <c r="J6824" s="304" t="str">
        <f>CONCATENATE([2]Cover!$D$6,"fdd/view?i=",I6824)</f>
        <v>https://www.dgiwg.org/FAD/fdd/view?i=108028</v>
      </c>
      <c r="K6824" s="304" t="s">
        <v>40873</v>
      </c>
      <c r="L6824" s="188">
        <v>33</v>
      </c>
      <c r="M6824" s="179" t="s">
        <v>151</v>
      </c>
    </row>
    <row r="6825" spans="1:13" ht="25.5">
      <c r="A6825" s="313" t="str">
        <f t="shared" si="106"/>
        <v>TerrainMorphologyCode_weatheredLava</v>
      </c>
      <c r="B6825" s="331"/>
      <c r="C6825" s="335"/>
      <c r="D6825" s="181" t="s">
        <v>31626</v>
      </c>
      <c r="E6825" s="192" t="s">
        <v>31627</v>
      </c>
      <c r="F6825" s="193" t="s">
        <v>31628</v>
      </c>
      <c r="G6825" s="194"/>
      <c r="H6825" s="220"/>
      <c r="I6825" s="169">
        <v>108027</v>
      </c>
      <c r="J6825" s="304" t="str">
        <f>CONCATENATE([2]Cover!$D$6,"fdd/view?i=",I6825)</f>
        <v>https://www.dgiwg.org/FAD/fdd/view?i=108027</v>
      </c>
      <c r="K6825" s="304" t="s">
        <v>40874</v>
      </c>
      <c r="L6825" s="181">
        <v>32</v>
      </c>
      <c r="M6825" s="179" t="s">
        <v>151</v>
      </c>
    </row>
    <row r="6826" spans="1:13" ht="25.5">
      <c r="A6826" s="313" t="str">
        <f t="shared" si="106"/>
        <v>TerrainSurfaceMaterialCode_asphalt</v>
      </c>
      <c r="B6826" s="332" t="str">
        <f>HYPERLINK("[#]Datatypes!A1394:L1394","TerrainSurfaceMaterialCode")</f>
        <v>TerrainSurfaceMaterialCode</v>
      </c>
      <c r="C6826" s="333" t="s">
        <v>13025</v>
      </c>
      <c r="D6826" s="202" t="s">
        <v>15076</v>
      </c>
      <c r="E6826" s="203" t="s">
        <v>15077</v>
      </c>
      <c r="F6826" s="204" t="s">
        <v>28338</v>
      </c>
      <c r="G6826" s="205"/>
      <c r="H6826" s="218"/>
      <c r="I6826" s="169">
        <v>202746</v>
      </c>
      <c r="J6826" s="304" t="str">
        <f>CONCATENATE([2]Cover!$D$6,"fdd/view?i=",I6826)</f>
        <v>https://www.dgiwg.org/FAD/fdd/view?i=202746</v>
      </c>
      <c r="K6826" s="304" t="s">
        <v>40875</v>
      </c>
      <c r="L6826" s="202">
        <v>1</v>
      </c>
      <c r="M6826" s="179" t="s">
        <v>1295</v>
      </c>
    </row>
    <row r="6827" spans="1:13" ht="38.25">
      <c r="A6827" s="313" t="str">
        <f t="shared" si="106"/>
        <v>TerrainSurfaceMaterialCode_bedrock</v>
      </c>
      <c r="B6827" s="330"/>
      <c r="C6827" s="334"/>
      <c r="D6827" s="188" t="s">
        <v>18082</v>
      </c>
      <c r="E6827" s="189" t="s">
        <v>18083</v>
      </c>
      <c r="F6827" s="162" t="s">
        <v>18084</v>
      </c>
      <c r="G6827" s="162" t="s">
        <v>18085</v>
      </c>
      <c r="H6827" s="219"/>
      <c r="I6827" s="169">
        <v>202747</v>
      </c>
      <c r="J6827" s="304" t="str">
        <f>CONCATENATE([2]Cover!$D$6,"fdd/view?i=",I6827)</f>
        <v>https://www.dgiwg.org/FAD/fdd/view?i=202747</v>
      </c>
      <c r="K6827" s="304" t="s">
        <v>40876</v>
      </c>
      <c r="L6827" s="188">
        <v>2</v>
      </c>
      <c r="M6827" s="179" t="s">
        <v>1295</v>
      </c>
    </row>
    <row r="6828" spans="1:13" ht="25.5">
      <c r="A6828" s="313" t="str">
        <f t="shared" si="106"/>
        <v>TerrainSurfaceMaterialCode_boulders</v>
      </c>
      <c r="B6828" s="330"/>
      <c r="C6828" s="334"/>
      <c r="D6828" s="188" t="s">
        <v>16777</v>
      </c>
      <c r="E6828" s="189" t="s">
        <v>16778</v>
      </c>
      <c r="F6828" s="162" t="s">
        <v>18112</v>
      </c>
      <c r="G6828" s="190"/>
      <c r="H6828" s="219"/>
      <c r="I6828" s="169">
        <v>202748</v>
      </c>
      <c r="J6828" s="304" t="str">
        <f>CONCATENATE([2]Cover!$D$6,"fdd/view?i=",I6828)</f>
        <v>https://www.dgiwg.org/FAD/fdd/view?i=202748</v>
      </c>
      <c r="K6828" s="304" t="s">
        <v>40877</v>
      </c>
      <c r="L6828" s="188">
        <v>3</v>
      </c>
      <c r="M6828" s="179" t="s">
        <v>1295</v>
      </c>
    </row>
    <row r="6829" spans="1:13" ht="38.25">
      <c r="A6829" s="313" t="str">
        <f t="shared" si="106"/>
        <v>TerrainSurfaceMaterialCode_concrete</v>
      </c>
      <c r="B6829" s="330"/>
      <c r="C6829" s="334"/>
      <c r="D6829" s="188" t="s">
        <v>15093</v>
      </c>
      <c r="E6829" s="189" t="s">
        <v>15094</v>
      </c>
      <c r="F6829" s="162" t="s">
        <v>18089</v>
      </c>
      <c r="G6829" s="190"/>
      <c r="H6829" s="219"/>
      <c r="I6829" s="169">
        <v>202749</v>
      </c>
      <c r="J6829" s="304" t="str">
        <f>CONCATENATE([2]Cover!$D$6,"fdd/view?i=",I6829)</f>
        <v>https://www.dgiwg.org/FAD/fdd/view?i=202749</v>
      </c>
      <c r="K6829" s="304" t="s">
        <v>40878</v>
      </c>
      <c r="L6829" s="188">
        <v>4</v>
      </c>
      <c r="M6829" s="179" t="s">
        <v>1295</v>
      </c>
    </row>
    <row r="6830" spans="1:13" ht="25.5">
      <c r="A6830" s="313" t="str">
        <f t="shared" si="106"/>
        <v>TerrainSurfaceMaterialCode_evaporite</v>
      </c>
      <c r="B6830" s="330"/>
      <c r="C6830" s="334"/>
      <c r="D6830" s="188" t="s">
        <v>28369</v>
      </c>
      <c r="E6830" s="189" t="s">
        <v>28370</v>
      </c>
      <c r="F6830" s="162" t="s">
        <v>28371</v>
      </c>
      <c r="G6830" s="190"/>
      <c r="H6830" s="219"/>
      <c r="I6830" s="169">
        <v>202750</v>
      </c>
      <c r="J6830" s="304" t="str">
        <f>CONCATENATE([2]Cover!$D$6,"fdd/view?i=",I6830)</f>
        <v>https://www.dgiwg.org/FAD/fdd/view?i=202750</v>
      </c>
      <c r="K6830" s="304" t="s">
        <v>40879</v>
      </c>
      <c r="L6830" s="188">
        <v>5</v>
      </c>
      <c r="M6830" s="179" t="s">
        <v>1295</v>
      </c>
    </row>
    <row r="6831" spans="1:13" ht="25.5">
      <c r="A6831" s="313" t="str">
        <f t="shared" si="106"/>
        <v>TerrainSurfaceMaterialCode_frozenWater</v>
      </c>
      <c r="B6831" s="330"/>
      <c r="C6831" s="334"/>
      <c r="D6831" s="188" t="s">
        <v>28383</v>
      </c>
      <c r="E6831" s="189" t="s">
        <v>28384</v>
      </c>
      <c r="F6831" s="162" t="s">
        <v>28385</v>
      </c>
      <c r="G6831" s="162" t="s">
        <v>28386</v>
      </c>
      <c r="H6831" s="219"/>
      <c r="I6831" s="169">
        <v>203122</v>
      </c>
      <c r="J6831" s="304" t="str">
        <f>CONCATENATE([2]Cover!$D$6,"fdd/view?i=",I6831)</f>
        <v>https://www.dgiwg.org/FAD/fdd/view?i=203122</v>
      </c>
      <c r="K6831" s="304" t="s">
        <v>40880</v>
      </c>
      <c r="L6831" s="188">
        <v>6</v>
      </c>
      <c r="M6831" s="179" t="s">
        <v>1295</v>
      </c>
    </row>
    <row r="6832" spans="1:13" ht="25.5">
      <c r="A6832" s="313" t="str">
        <f t="shared" si="106"/>
        <v>TerrainSurfaceMaterialCode_gravel</v>
      </c>
      <c r="B6832" s="330"/>
      <c r="C6832" s="334"/>
      <c r="D6832" s="188" t="s">
        <v>15105</v>
      </c>
      <c r="E6832" s="189" t="s">
        <v>15106</v>
      </c>
      <c r="F6832" s="162" t="s">
        <v>28401</v>
      </c>
      <c r="G6832" s="162" t="s">
        <v>28402</v>
      </c>
      <c r="H6832" s="219"/>
      <c r="I6832" s="169">
        <v>203123</v>
      </c>
      <c r="J6832" s="304" t="str">
        <f>CONCATENATE([2]Cover!$D$6,"fdd/view?i=",I6832)</f>
        <v>https://www.dgiwg.org/FAD/fdd/view?i=203123</v>
      </c>
      <c r="K6832" s="304" t="s">
        <v>40881</v>
      </c>
      <c r="L6832" s="188">
        <v>7</v>
      </c>
      <c r="M6832" s="179" t="s">
        <v>1295</v>
      </c>
    </row>
    <row r="6833" spans="1:13" ht="25.5">
      <c r="A6833" s="313" t="str">
        <f t="shared" si="106"/>
        <v>TerrainSurfaceMaterialCode_lavaFlow</v>
      </c>
      <c r="B6833" s="330"/>
      <c r="C6833" s="334"/>
      <c r="D6833" s="188" t="s">
        <v>31629</v>
      </c>
      <c r="E6833" s="189" t="s">
        <v>31630</v>
      </c>
      <c r="F6833" s="162" t="s">
        <v>31631</v>
      </c>
      <c r="G6833" s="190"/>
      <c r="H6833" s="219"/>
      <c r="I6833" s="169">
        <v>203124</v>
      </c>
      <c r="J6833" s="304" t="str">
        <f>CONCATENATE([2]Cover!$D$6,"fdd/view?i=",I6833)</f>
        <v>https://www.dgiwg.org/FAD/fdd/view?i=203124</v>
      </c>
      <c r="K6833" s="304" t="s">
        <v>40882</v>
      </c>
      <c r="L6833" s="188">
        <v>8</v>
      </c>
      <c r="M6833" s="179" t="s">
        <v>1295</v>
      </c>
    </row>
    <row r="6834" spans="1:13" ht="25.5">
      <c r="A6834" s="313" t="str">
        <f t="shared" si="106"/>
        <v>TerrainSurfaceMaterialCode_loess</v>
      </c>
      <c r="B6834" s="330"/>
      <c r="C6834" s="334"/>
      <c r="D6834" s="188" t="s">
        <v>28418</v>
      </c>
      <c r="E6834" s="189" t="s">
        <v>28419</v>
      </c>
      <c r="F6834" s="162" t="s">
        <v>28420</v>
      </c>
      <c r="G6834" s="190"/>
      <c r="H6834" s="219"/>
      <c r="I6834" s="169">
        <v>203125</v>
      </c>
      <c r="J6834" s="304" t="str">
        <f>CONCATENATE([2]Cover!$D$6,"fdd/view?i=",I6834)</f>
        <v>https://www.dgiwg.org/FAD/fdd/view?i=203125</v>
      </c>
      <c r="K6834" s="304" t="s">
        <v>40883</v>
      </c>
      <c r="L6834" s="188">
        <v>9</v>
      </c>
      <c r="M6834" s="179" t="s">
        <v>1295</v>
      </c>
    </row>
    <row r="6835" spans="1:13" ht="25.5">
      <c r="A6835" s="313" t="str">
        <f t="shared" si="106"/>
        <v>TerrainSurfaceMaterialCode_mud</v>
      </c>
      <c r="B6835" s="330"/>
      <c r="C6835" s="334"/>
      <c r="D6835" s="188" t="s">
        <v>16814</v>
      </c>
      <c r="E6835" s="189" t="s">
        <v>16815</v>
      </c>
      <c r="F6835" s="162" t="s">
        <v>28436</v>
      </c>
      <c r="G6835" s="162" t="s">
        <v>28437</v>
      </c>
      <c r="H6835" s="219"/>
      <c r="I6835" s="169">
        <v>203126</v>
      </c>
      <c r="J6835" s="304" t="str">
        <f>CONCATENATE([2]Cover!$D$6,"fdd/view?i=",I6835)</f>
        <v>https://www.dgiwg.org/FAD/fdd/view?i=203126</v>
      </c>
      <c r="K6835" s="304" t="s">
        <v>40884</v>
      </c>
      <c r="L6835" s="188">
        <v>10</v>
      </c>
      <c r="M6835" s="179" t="s">
        <v>1295</v>
      </c>
    </row>
    <row r="6836" spans="1:13" ht="38.25">
      <c r="A6836" s="313" t="str">
        <f t="shared" si="106"/>
        <v>TerrainSurfaceMaterialCode_paved</v>
      </c>
      <c r="B6836" s="330"/>
      <c r="C6836" s="334"/>
      <c r="D6836" s="188" t="s">
        <v>18100</v>
      </c>
      <c r="E6836" s="189" t="s">
        <v>18101</v>
      </c>
      <c r="F6836" s="162" t="s">
        <v>18102</v>
      </c>
      <c r="G6836" s="190"/>
      <c r="H6836" s="219"/>
      <c r="I6836" s="169">
        <v>203127</v>
      </c>
      <c r="J6836" s="304" t="str">
        <f>CONCATENATE([2]Cover!$D$6,"fdd/view?i=",I6836)</f>
        <v>https://www.dgiwg.org/FAD/fdd/view?i=203127</v>
      </c>
      <c r="K6836" s="304" t="s">
        <v>40885</v>
      </c>
      <c r="L6836" s="188">
        <v>11</v>
      </c>
      <c r="M6836" s="179" t="s">
        <v>1295</v>
      </c>
    </row>
    <row r="6837" spans="1:13">
      <c r="A6837" s="313" t="str">
        <f t="shared" si="106"/>
        <v>TerrainSurfaceMaterialCode_rock</v>
      </c>
      <c r="B6837" s="330"/>
      <c r="C6837" s="334"/>
      <c r="D6837" s="188" t="s">
        <v>28485</v>
      </c>
      <c r="E6837" s="189" t="s">
        <v>28486</v>
      </c>
      <c r="F6837" s="162" t="s">
        <v>28487</v>
      </c>
      <c r="G6837" s="190"/>
      <c r="H6837" s="219"/>
      <c r="I6837" s="169">
        <v>203128</v>
      </c>
      <c r="J6837" s="304" t="str">
        <f>CONCATENATE([2]Cover!$D$6,"fdd/view?i=",I6837)</f>
        <v>https://www.dgiwg.org/FAD/fdd/view?i=203128</v>
      </c>
      <c r="K6837" s="304" t="s">
        <v>40886</v>
      </c>
      <c r="L6837" s="188">
        <v>12</v>
      </c>
      <c r="M6837" s="179" t="s">
        <v>1295</v>
      </c>
    </row>
    <row r="6838" spans="1:13" ht="89.25">
      <c r="A6838" s="313" t="str">
        <f t="shared" si="106"/>
        <v>TerrainSurfaceMaterialCode_sand</v>
      </c>
      <c r="B6838" s="330"/>
      <c r="C6838" s="334"/>
      <c r="D6838" s="188" t="s">
        <v>15137</v>
      </c>
      <c r="E6838" s="189" t="s">
        <v>15138</v>
      </c>
      <c r="F6838" s="162" t="s">
        <v>18114</v>
      </c>
      <c r="G6838" s="162" t="s">
        <v>31632</v>
      </c>
      <c r="H6838" s="219"/>
      <c r="I6838" s="169">
        <v>203129</v>
      </c>
      <c r="J6838" s="304" t="str">
        <f>CONCATENATE([2]Cover!$D$6,"fdd/view?i=",I6838)</f>
        <v>https://www.dgiwg.org/FAD/fdd/view?i=203129</v>
      </c>
      <c r="K6838" s="304" t="s">
        <v>40887</v>
      </c>
      <c r="L6838" s="188">
        <v>13</v>
      </c>
      <c r="M6838" s="179" t="s">
        <v>1295</v>
      </c>
    </row>
    <row r="6839" spans="1:13" ht="38.25">
      <c r="A6839" s="313" t="str">
        <f t="shared" si="106"/>
        <v>TerrainSurfaceMaterialCode_soil</v>
      </c>
      <c r="B6839" s="331"/>
      <c r="C6839" s="335"/>
      <c r="D6839" s="181" t="s">
        <v>18127</v>
      </c>
      <c r="E6839" s="192" t="s">
        <v>18128</v>
      </c>
      <c r="F6839" s="193" t="s">
        <v>18129</v>
      </c>
      <c r="G6839" s="194"/>
      <c r="H6839" s="220"/>
      <c r="I6839" s="169">
        <v>203130</v>
      </c>
      <c r="J6839" s="304" t="str">
        <f>CONCATENATE([2]Cover!$D$6,"fdd/view?i=",I6839)</f>
        <v>https://www.dgiwg.org/FAD/fdd/view?i=203130</v>
      </c>
      <c r="K6839" s="304" t="s">
        <v>40888</v>
      </c>
      <c r="L6839" s="181">
        <v>14</v>
      </c>
      <c r="M6839" s="179" t="s">
        <v>1295</v>
      </c>
    </row>
    <row r="6840" spans="1:13" ht="25.5">
      <c r="A6840" s="313" t="str">
        <f t="shared" si="106"/>
        <v>ThrustAugmentFluidTypeCode_antiDetonationInjection</v>
      </c>
      <c r="B6840" s="332" t="str">
        <f>HYPERLINK("[#]Datatypes!A1444:L1444","ThrustAugmentFluidTypeCode")</f>
        <v>ThrustAugmentFluidTypeCode</v>
      </c>
      <c r="C6840" s="333" t="s">
        <v>13079</v>
      </c>
      <c r="D6840" s="202" t="s">
        <v>31633</v>
      </c>
      <c r="E6840" s="203" t="s">
        <v>31634</v>
      </c>
      <c r="F6840" s="204" t="s">
        <v>31635</v>
      </c>
      <c r="G6840" s="205"/>
      <c r="H6840" s="218"/>
      <c r="I6840" s="169">
        <v>116459</v>
      </c>
      <c r="J6840" s="304" t="str">
        <f>CONCATENATE([2]Cover!$D$6,"fdd/view?i=",I6840)</f>
        <v>https://www.dgiwg.org/FAD/fdd/view?i=116459</v>
      </c>
      <c r="K6840" s="304" t="s">
        <v>40889</v>
      </c>
      <c r="L6840" s="202">
        <v>4</v>
      </c>
      <c r="M6840" s="179" t="s">
        <v>151</v>
      </c>
    </row>
    <row r="6841" spans="1:13" ht="25.5">
      <c r="A6841" s="313" t="str">
        <f t="shared" si="106"/>
        <v>ThrustAugmentFluidTypeCode_s_1739</v>
      </c>
      <c r="B6841" s="330"/>
      <c r="C6841" s="334"/>
      <c r="D6841" s="188" t="s">
        <v>31636</v>
      </c>
      <c r="E6841" s="189" t="s">
        <v>31637</v>
      </c>
      <c r="F6841" s="162" t="s">
        <v>31638</v>
      </c>
      <c r="G6841" s="190"/>
      <c r="H6841" s="221" t="s">
        <v>31639</v>
      </c>
      <c r="I6841" s="169">
        <v>116458</v>
      </c>
      <c r="J6841" s="304" t="str">
        <f>CONCATENATE([2]Cover!$D$6,"fdd/view?i=",I6841)</f>
        <v>https://www.dgiwg.org/FAD/fdd/view?i=116458</v>
      </c>
      <c r="K6841" s="304" t="s">
        <v>40890</v>
      </c>
      <c r="L6841" s="188">
        <v>3</v>
      </c>
      <c r="M6841" s="179" t="s">
        <v>151</v>
      </c>
    </row>
    <row r="6842" spans="1:13" ht="25.5">
      <c r="A6842" s="313" t="str">
        <f t="shared" si="106"/>
        <v>ThrustAugmentFluidTypeCode_s_1744</v>
      </c>
      <c r="B6842" s="330"/>
      <c r="C6842" s="334"/>
      <c r="D6842" s="188" t="s">
        <v>31640</v>
      </c>
      <c r="E6842" s="189" t="s">
        <v>31641</v>
      </c>
      <c r="F6842" s="162" t="s">
        <v>31642</v>
      </c>
      <c r="G6842" s="190"/>
      <c r="H6842" s="221" t="s">
        <v>31643</v>
      </c>
      <c r="I6842" s="169">
        <v>116457</v>
      </c>
      <c r="J6842" s="304" t="str">
        <f>CONCATENATE([2]Cover!$D$6,"fdd/view?i=",I6842)</f>
        <v>https://www.dgiwg.org/FAD/fdd/view?i=116457</v>
      </c>
      <c r="K6842" s="304" t="s">
        <v>40891</v>
      </c>
      <c r="L6842" s="188">
        <v>2</v>
      </c>
      <c r="M6842" s="179" t="s">
        <v>151</v>
      </c>
    </row>
    <row r="6843" spans="1:13" ht="25.5">
      <c r="A6843" s="313" t="str">
        <f t="shared" si="106"/>
        <v>ThrustAugmentFluidTypeCode_s_747</v>
      </c>
      <c r="B6843" s="330"/>
      <c r="C6843" s="334"/>
      <c r="D6843" s="188" t="s">
        <v>15890</v>
      </c>
      <c r="E6843" s="189" t="s">
        <v>15891</v>
      </c>
      <c r="F6843" s="162" t="s">
        <v>31644</v>
      </c>
      <c r="G6843" s="190"/>
      <c r="H6843" s="221" t="s">
        <v>31645</v>
      </c>
      <c r="I6843" s="169">
        <v>116456</v>
      </c>
      <c r="J6843" s="304" t="str">
        <f>CONCATENATE([2]Cover!$D$6,"fdd/view?i=",I6843)</f>
        <v>https://www.dgiwg.org/FAD/fdd/view?i=116456</v>
      </c>
      <c r="K6843" s="304" t="s">
        <v>40892</v>
      </c>
      <c r="L6843" s="188">
        <v>1</v>
      </c>
      <c r="M6843" s="179" t="s">
        <v>151</v>
      </c>
    </row>
    <row r="6844" spans="1:13" ht="25.5">
      <c r="A6844" s="313" t="str">
        <f t="shared" si="106"/>
        <v>ThrustAugmentFluidTypeCode_water</v>
      </c>
      <c r="B6844" s="330"/>
      <c r="C6844" s="334"/>
      <c r="D6844" s="188" t="s">
        <v>15146</v>
      </c>
      <c r="E6844" s="189" t="s">
        <v>31646</v>
      </c>
      <c r="F6844" s="162" t="s">
        <v>31647</v>
      </c>
      <c r="G6844" s="190"/>
      <c r="H6844" s="219"/>
      <c r="I6844" s="169">
        <v>116460</v>
      </c>
      <c r="J6844" s="304" t="str">
        <f>CONCATENATE([2]Cover!$D$6,"fdd/view?i=",I6844)</f>
        <v>https://www.dgiwg.org/FAD/fdd/view?i=116460</v>
      </c>
      <c r="K6844" s="304" t="s">
        <v>40893</v>
      </c>
      <c r="L6844" s="188">
        <v>5</v>
      </c>
      <c r="M6844" s="179" t="s">
        <v>151</v>
      </c>
    </row>
    <row r="6845" spans="1:13" ht="25.5">
      <c r="A6845" s="313" t="str">
        <f t="shared" si="106"/>
        <v>ThrustAugmentFluidTypeCode_waterAlcohol</v>
      </c>
      <c r="B6845" s="331"/>
      <c r="C6845" s="335"/>
      <c r="D6845" s="181" t="s">
        <v>31648</v>
      </c>
      <c r="E6845" s="192" t="s">
        <v>31649</v>
      </c>
      <c r="F6845" s="193" t="s">
        <v>31650</v>
      </c>
      <c r="G6845" s="194"/>
      <c r="H6845" s="220"/>
      <c r="I6845" s="169">
        <v>116461</v>
      </c>
      <c r="J6845" s="304" t="str">
        <f>CONCATENATE([2]Cover!$D$6,"fdd/view?i=",I6845)</f>
        <v>https://www.dgiwg.org/FAD/fdd/view?i=116461</v>
      </c>
      <c r="K6845" s="304" t="s">
        <v>40894</v>
      </c>
      <c r="L6845" s="181">
        <v>6</v>
      </c>
      <c r="M6845" s="179" t="s">
        <v>151</v>
      </c>
    </row>
    <row r="6846" spans="1:13" ht="38.25">
      <c r="A6846" s="313" t="str">
        <f t="shared" si="106"/>
        <v>TombTypeCode_burialMound</v>
      </c>
      <c r="B6846" s="332" t="str">
        <f>HYPERLINK("[#]Datatypes!A1446:L1446","TombTypeCode")</f>
        <v>TombTypeCode</v>
      </c>
      <c r="C6846" s="333" t="s">
        <v>13081</v>
      </c>
      <c r="D6846" s="202" t="s">
        <v>31651</v>
      </c>
      <c r="E6846" s="203" t="s">
        <v>31652</v>
      </c>
      <c r="F6846" s="204" t="s">
        <v>31653</v>
      </c>
      <c r="G6846" s="204" t="s">
        <v>31654</v>
      </c>
      <c r="H6846" s="222" t="s">
        <v>31655</v>
      </c>
      <c r="I6846" s="169">
        <v>118050</v>
      </c>
      <c r="J6846" s="304" t="str">
        <f>CONCATENATE([2]Cover!$D$6,"fdd/view?i=",I6846)</f>
        <v>https://www.dgiwg.org/FAD/fdd/view?i=118050</v>
      </c>
      <c r="K6846" s="304" t="s">
        <v>40895</v>
      </c>
      <c r="L6846" s="202">
        <v>6</v>
      </c>
      <c r="M6846" s="179" t="s">
        <v>151</v>
      </c>
    </row>
    <row r="6847" spans="1:13" ht="25.5">
      <c r="A6847" s="313" t="str">
        <f t="shared" si="106"/>
        <v>TombTypeCode_catacomb</v>
      </c>
      <c r="B6847" s="330"/>
      <c r="C6847" s="334"/>
      <c r="D6847" s="188" t="s">
        <v>31656</v>
      </c>
      <c r="E6847" s="189" t="s">
        <v>31657</v>
      </c>
      <c r="F6847" s="162" t="s">
        <v>31658</v>
      </c>
      <c r="G6847" s="190"/>
      <c r="H6847" s="219"/>
      <c r="I6847" s="169">
        <v>112534</v>
      </c>
      <c r="J6847" s="304" t="str">
        <f>CONCATENATE([2]Cover!$D$6,"fdd/view?i=",I6847)</f>
        <v>https://www.dgiwg.org/FAD/fdd/view?i=112534</v>
      </c>
      <c r="K6847" s="304" t="s">
        <v>40896</v>
      </c>
      <c r="L6847" s="188">
        <v>2</v>
      </c>
      <c r="M6847" s="179" t="s">
        <v>151</v>
      </c>
    </row>
    <row r="6848" spans="1:13" ht="76.5">
      <c r="A6848" s="313" t="str">
        <f t="shared" si="106"/>
        <v>TombTypeCode_cave</v>
      </c>
      <c r="B6848" s="330"/>
      <c r="C6848" s="334"/>
      <c r="D6848" s="188" t="s">
        <v>29650</v>
      </c>
      <c r="E6848" s="189" t="s">
        <v>29651</v>
      </c>
      <c r="F6848" s="162" t="s">
        <v>31659</v>
      </c>
      <c r="G6848" s="162" t="s">
        <v>31660</v>
      </c>
      <c r="H6848" s="219"/>
      <c r="I6848" s="169">
        <v>112532</v>
      </c>
      <c r="J6848" s="304" t="str">
        <f>CONCATENATE([2]Cover!$D$6,"fdd/view?i=",I6848)</f>
        <v>https://www.dgiwg.org/FAD/fdd/view?i=112532</v>
      </c>
      <c r="K6848" s="304" t="s">
        <v>40897</v>
      </c>
      <c r="L6848" s="188">
        <v>1</v>
      </c>
      <c r="M6848" s="179" t="s">
        <v>151</v>
      </c>
    </row>
    <row r="6849" spans="1:13" ht="76.5">
      <c r="A6849" s="313" t="str">
        <f t="shared" si="106"/>
        <v>TombTypeCode_columbarium</v>
      </c>
      <c r="B6849" s="330"/>
      <c r="C6849" s="334"/>
      <c r="D6849" s="188" t="s">
        <v>31661</v>
      </c>
      <c r="E6849" s="189" t="s">
        <v>31662</v>
      </c>
      <c r="F6849" s="162" t="s">
        <v>31663</v>
      </c>
      <c r="G6849" s="162" t="s">
        <v>31664</v>
      </c>
      <c r="H6849" s="219"/>
      <c r="I6849" s="169">
        <v>119635</v>
      </c>
      <c r="J6849" s="304" t="str">
        <f>CONCATENATE([2]Cover!$D$6,"fdd/view?i=",I6849)</f>
        <v>https://www.dgiwg.org/FAD/fdd/view?i=119635</v>
      </c>
      <c r="K6849" s="304" t="s">
        <v>40898</v>
      </c>
      <c r="L6849" s="188">
        <v>7</v>
      </c>
      <c r="M6849" s="179" t="s">
        <v>151</v>
      </c>
    </row>
    <row r="6850" spans="1:13" ht="25.5">
      <c r="A6850" s="313" t="str">
        <f t="shared" si="106"/>
        <v>TombTypeCode_crypt</v>
      </c>
      <c r="B6850" s="330"/>
      <c r="C6850" s="334"/>
      <c r="D6850" s="188" t="s">
        <v>31665</v>
      </c>
      <c r="E6850" s="189" t="s">
        <v>31666</v>
      </c>
      <c r="F6850" s="162" t="s">
        <v>31667</v>
      </c>
      <c r="G6850" s="190"/>
      <c r="H6850" s="219"/>
      <c r="I6850" s="169">
        <v>112536</v>
      </c>
      <c r="J6850" s="304" t="str">
        <f>CONCATENATE([2]Cover!$D$6,"fdd/view?i=",I6850)</f>
        <v>https://www.dgiwg.org/FAD/fdd/view?i=112536</v>
      </c>
      <c r="K6850" s="304" t="s">
        <v>40899</v>
      </c>
      <c r="L6850" s="188">
        <v>3</v>
      </c>
      <c r="M6850" s="179" t="s">
        <v>151</v>
      </c>
    </row>
    <row r="6851" spans="1:13" ht="76.5">
      <c r="A6851" s="313" t="str">
        <f t="shared" ref="A6851:A6914" si="107">HYPERLINK(J6851,K6851)</f>
        <v>TombTypeCode_mausoleum</v>
      </c>
      <c r="B6851" s="330"/>
      <c r="C6851" s="334"/>
      <c r="D6851" s="188" t="s">
        <v>31668</v>
      </c>
      <c r="E6851" s="189" t="s">
        <v>31669</v>
      </c>
      <c r="F6851" s="162" t="s">
        <v>31670</v>
      </c>
      <c r="G6851" s="162" t="s">
        <v>31671</v>
      </c>
      <c r="H6851" s="219"/>
      <c r="I6851" s="169">
        <v>112540</v>
      </c>
      <c r="J6851" s="304" t="str">
        <f>CONCATENATE([2]Cover!$D$6,"fdd/view?i=",I6851)</f>
        <v>https://www.dgiwg.org/FAD/fdd/view?i=112540</v>
      </c>
      <c r="K6851" s="304" t="s">
        <v>40900</v>
      </c>
      <c r="L6851" s="188">
        <v>5</v>
      </c>
      <c r="M6851" s="179" t="s">
        <v>151</v>
      </c>
    </row>
    <row r="6852" spans="1:13" ht="25.5">
      <c r="A6852" s="313" t="str">
        <f t="shared" si="107"/>
        <v>TombTypeCode_surfaceVault</v>
      </c>
      <c r="B6852" s="331"/>
      <c r="C6852" s="335"/>
      <c r="D6852" s="181" t="s">
        <v>31672</v>
      </c>
      <c r="E6852" s="192" t="s">
        <v>31673</v>
      </c>
      <c r="F6852" s="193" t="s">
        <v>31674</v>
      </c>
      <c r="G6852" s="194"/>
      <c r="H6852" s="220"/>
      <c r="I6852" s="169">
        <v>112538</v>
      </c>
      <c r="J6852" s="304" t="str">
        <f>CONCATENATE([2]Cover!$D$6,"fdd/view?i=",I6852)</f>
        <v>https://www.dgiwg.org/FAD/fdd/view?i=112538</v>
      </c>
      <c r="K6852" s="304" t="s">
        <v>40901</v>
      </c>
      <c r="L6852" s="181">
        <v>4</v>
      </c>
      <c r="M6852" s="179" t="s">
        <v>151</v>
      </c>
    </row>
    <row r="6853" spans="1:13" ht="38.25">
      <c r="A6853" s="313" t="str">
        <f t="shared" si="107"/>
        <v>MD_TopicCategoryCode_biota</v>
      </c>
      <c r="B6853" s="332" t="str">
        <f>HYPERLINK("[#]Datatypes!A1448:L1448","MD_TopicCategoryCode")</f>
        <v>MD_TopicCategoryCode</v>
      </c>
      <c r="C6853" s="333" t="s">
        <v>13083</v>
      </c>
      <c r="D6853" s="202" t="s">
        <v>31675</v>
      </c>
      <c r="E6853" s="203" t="s">
        <v>31676</v>
      </c>
      <c r="F6853" s="204" t="s">
        <v>31677</v>
      </c>
      <c r="G6853" s="204" t="s">
        <v>31678</v>
      </c>
      <c r="H6853" s="218"/>
      <c r="I6853" s="169">
        <v>207224</v>
      </c>
      <c r="J6853" s="304" t="str">
        <f>CONCATENATE([2]Cover!$D$6,"fdd/view?i=",I6853)</f>
        <v>https://www.dgiwg.org/FAD/fdd/view?i=207224</v>
      </c>
      <c r="K6853" s="304" t="s">
        <v>40902</v>
      </c>
      <c r="L6853" s="202">
        <v>2</v>
      </c>
      <c r="M6853" s="179" t="s">
        <v>1295</v>
      </c>
    </row>
    <row r="6854" spans="1:13" ht="25.5">
      <c r="A6854" s="313" t="str">
        <f t="shared" si="107"/>
        <v>MD_TopicCategoryCode_boundaries</v>
      </c>
      <c r="B6854" s="330"/>
      <c r="C6854" s="334"/>
      <c r="D6854" s="188" t="s">
        <v>31679</v>
      </c>
      <c r="E6854" s="189" t="s">
        <v>31680</v>
      </c>
      <c r="F6854" s="162" t="s">
        <v>31681</v>
      </c>
      <c r="G6854" s="162" t="s">
        <v>31682</v>
      </c>
      <c r="H6854" s="219"/>
      <c r="I6854" s="169">
        <v>207225</v>
      </c>
      <c r="J6854" s="304" t="str">
        <f>CONCATENATE([2]Cover!$D$6,"fdd/view?i=",I6854)</f>
        <v>https://www.dgiwg.org/FAD/fdd/view?i=207225</v>
      </c>
      <c r="K6854" s="304" t="s">
        <v>40903</v>
      </c>
      <c r="L6854" s="188">
        <v>3</v>
      </c>
      <c r="M6854" s="179" t="s">
        <v>1295</v>
      </c>
    </row>
    <row r="6855" spans="1:13" ht="38.25">
      <c r="A6855" s="313" t="str">
        <f t="shared" si="107"/>
        <v>MD_TopicCategoryCode_climatologyMeteorologyAtmosphere</v>
      </c>
      <c r="B6855" s="330"/>
      <c r="C6855" s="334"/>
      <c r="D6855" s="188" t="s">
        <v>31683</v>
      </c>
      <c r="E6855" s="189" t="s">
        <v>31684</v>
      </c>
      <c r="F6855" s="162" t="s">
        <v>31685</v>
      </c>
      <c r="G6855" s="162" t="s">
        <v>31686</v>
      </c>
      <c r="H6855" s="219"/>
      <c r="I6855" s="169">
        <v>207226</v>
      </c>
      <c r="J6855" s="304" t="str">
        <f>CONCATENATE([2]Cover!$D$6,"fdd/view?i=",I6855)</f>
        <v>https://www.dgiwg.org/FAD/fdd/view?i=207226</v>
      </c>
      <c r="K6855" s="304" t="s">
        <v>40904</v>
      </c>
      <c r="L6855" s="188">
        <v>4</v>
      </c>
      <c r="M6855" s="179" t="s">
        <v>1295</v>
      </c>
    </row>
    <row r="6856" spans="1:13" ht="63.75">
      <c r="A6856" s="313" t="str">
        <f t="shared" si="107"/>
        <v>MD_TopicCategoryCode_economy</v>
      </c>
      <c r="B6856" s="330"/>
      <c r="C6856" s="334"/>
      <c r="D6856" s="188" t="s">
        <v>31687</v>
      </c>
      <c r="E6856" s="189" t="s">
        <v>31688</v>
      </c>
      <c r="F6856" s="162" t="s">
        <v>31689</v>
      </c>
      <c r="G6856" s="162" t="s">
        <v>31690</v>
      </c>
      <c r="H6856" s="219"/>
      <c r="I6856" s="169">
        <v>207227</v>
      </c>
      <c r="J6856" s="304" t="str">
        <f>CONCATENATE([2]Cover!$D$6,"fdd/view?i=",I6856)</f>
        <v>https://www.dgiwg.org/FAD/fdd/view?i=207227</v>
      </c>
      <c r="K6856" s="304" t="s">
        <v>40905</v>
      </c>
      <c r="L6856" s="188">
        <v>5</v>
      </c>
      <c r="M6856" s="179" t="s">
        <v>1295</v>
      </c>
    </row>
    <row r="6857" spans="1:13" ht="25.5">
      <c r="A6857" s="313" t="str">
        <f t="shared" si="107"/>
        <v>MD_TopicCategoryCode_elevation</v>
      </c>
      <c r="B6857" s="330"/>
      <c r="C6857" s="334"/>
      <c r="D6857" s="188" t="s">
        <v>31691</v>
      </c>
      <c r="E6857" s="189" t="s">
        <v>6718</v>
      </c>
      <c r="F6857" s="162" t="s">
        <v>31692</v>
      </c>
      <c r="G6857" s="162" t="s">
        <v>31693</v>
      </c>
      <c r="H6857" s="219"/>
      <c r="I6857" s="169">
        <v>207228</v>
      </c>
      <c r="J6857" s="304" t="str">
        <f>CONCATENATE([2]Cover!$D$6,"fdd/view?i=",I6857)</f>
        <v>https://www.dgiwg.org/FAD/fdd/view?i=207228</v>
      </c>
      <c r="K6857" s="304" t="s">
        <v>40906</v>
      </c>
      <c r="L6857" s="188">
        <v>6</v>
      </c>
      <c r="M6857" s="179" t="s">
        <v>1295</v>
      </c>
    </row>
    <row r="6858" spans="1:13" ht="51">
      <c r="A6858" s="313" t="str">
        <f t="shared" si="107"/>
        <v>MD_TopicCategoryCode_environment</v>
      </c>
      <c r="B6858" s="330"/>
      <c r="C6858" s="334"/>
      <c r="D6858" s="188" t="s">
        <v>31694</v>
      </c>
      <c r="E6858" s="189" t="s">
        <v>31695</v>
      </c>
      <c r="F6858" s="162" t="s">
        <v>31696</v>
      </c>
      <c r="G6858" s="162" t="s">
        <v>31697</v>
      </c>
      <c r="H6858" s="219"/>
      <c r="I6858" s="169">
        <v>207229</v>
      </c>
      <c r="J6858" s="304" t="str">
        <f>CONCATENATE([2]Cover!$D$6,"fdd/view?i=",I6858)</f>
        <v>https://www.dgiwg.org/FAD/fdd/view?i=207229</v>
      </c>
      <c r="K6858" s="304" t="s">
        <v>40907</v>
      </c>
      <c r="L6858" s="188">
        <v>7</v>
      </c>
      <c r="M6858" s="179" t="s">
        <v>1295</v>
      </c>
    </row>
    <row r="6859" spans="1:13" ht="38.25">
      <c r="A6859" s="313" t="str">
        <f t="shared" si="107"/>
        <v>MD_TopicCategoryCode_farming</v>
      </c>
      <c r="B6859" s="330"/>
      <c r="C6859" s="334"/>
      <c r="D6859" s="188" t="s">
        <v>31698</v>
      </c>
      <c r="E6859" s="189" t="s">
        <v>31699</v>
      </c>
      <c r="F6859" s="162" t="s">
        <v>31700</v>
      </c>
      <c r="G6859" s="162" t="s">
        <v>31701</v>
      </c>
      <c r="H6859" s="219"/>
      <c r="I6859" s="169">
        <v>207223</v>
      </c>
      <c r="J6859" s="304" t="str">
        <f>CONCATENATE([2]Cover!$D$6,"fdd/view?i=",I6859)</f>
        <v>https://www.dgiwg.org/FAD/fdd/view?i=207223</v>
      </c>
      <c r="K6859" s="304" t="s">
        <v>40908</v>
      </c>
      <c r="L6859" s="188">
        <v>1</v>
      </c>
      <c r="M6859" s="179" t="s">
        <v>1295</v>
      </c>
    </row>
    <row r="6860" spans="1:13" ht="89.25">
      <c r="A6860" s="313" t="str">
        <f t="shared" si="107"/>
        <v>MD_TopicCategoryCode_geoscientificInformation</v>
      </c>
      <c r="B6860" s="330"/>
      <c r="C6860" s="334"/>
      <c r="D6860" s="188" t="s">
        <v>31702</v>
      </c>
      <c r="E6860" s="189" t="s">
        <v>31703</v>
      </c>
      <c r="F6860" s="162" t="s">
        <v>31704</v>
      </c>
      <c r="G6860" s="162" t="s">
        <v>31705</v>
      </c>
      <c r="H6860" s="219"/>
      <c r="I6860" s="169">
        <v>207230</v>
      </c>
      <c r="J6860" s="304" t="str">
        <f>CONCATENATE([2]Cover!$D$6,"fdd/view?i=",I6860)</f>
        <v>https://www.dgiwg.org/FAD/fdd/view?i=207230</v>
      </c>
      <c r="K6860" s="304" t="s">
        <v>40909</v>
      </c>
      <c r="L6860" s="188">
        <v>8</v>
      </c>
      <c r="M6860" s="179" t="s">
        <v>1295</v>
      </c>
    </row>
    <row r="6861" spans="1:13" ht="38.25">
      <c r="A6861" s="313" t="str">
        <f t="shared" si="107"/>
        <v>MD_TopicCategoryCode_health</v>
      </c>
      <c r="B6861" s="330"/>
      <c r="C6861" s="334"/>
      <c r="D6861" s="188" t="s">
        <v>31706</v>
      </c>
      <c r="E6861" s="189" t="s">
        <v>31707</v>
      </c>
      <c r="F6861" s="162" t="s">
        <v>31708</v>
      </c>
      <c r="G6861" s="162" t="s">
        <v>31709</v>
      </c>
      <c r="H6861" s="219"/>
      <c r="I6861" s="169">
        <v>207231</v>
      </c>
      <c r="J6861" s="304" t="str">
        <f>CONCATENATE([2]Cover!$D$6,"fdd/view?i=",I6861)</f>
        <v>https://www.dgiwg.org/FAD/fdd/view?i=207231</v>
      </c>
      <c r="K6861" s="304" t="s">
        <v>40910</v>
      </c>
      <c r="L6861" s="188">
        <v>9</v>
      </c>
      <c r="M6861" s="179" t="s">
        <v>1295</v>
      </c>
    </row>
    <row r="6862" spans="1:13" ht="25.5">
      <c r="A6862" s="313" t="str">
        <f t="shared" si="107"/>
        <v>MD_TopicCategoryCode_imageryBaseMapsEarthCover</v>
      </c>
      <c r="B6862" s="330"/>
      <c r="C6862" s="334"/>
      <c r="D6862" s="188" t="s">
        <v>31710</v>
      </c>
      <c r="E6862" s="189" t="s">
        <v>31711</v>
      </c>
      <c r="F6862" s="162" t="s">
        <v>31712</v>
      </c>
      <c r="G6862" s="162" t="s">
        <v>31713</v>
      </c>
      <c r="H6862" s="219"/>
      <c r="I6862" s="169">
        <v>207232</v>
      </c>
      <c r="J6862" s="304" t="str">
        <f>CONCATENATE([2]Cover!$D$6,"fdd/view?i=",I6862)</f>
        <v>https://www.dgiwg.org/FAD/fdd/view?i=207232</v>
      </c>
      <c r="K6862" s="304" t="s">
        <v>40911</v>
      </c>
      <c r="L6862" s="188">
        <v>10</v>
      </c>
      <c r="M6862" s="179" t="s">
        <v>1295</v>
      </c>
    </row>
    <row r="6863" spans="1:13" ht="38.25">
      <c r="A6863" s="313" t="str">
        <f t="shared" si="107"/>
        <v>MD_TopicCategoryCode_inlandWaters</v>
      </c>
      <c r="B6863" s="330"/>
      <c r="C6863" s="334"/>
      <c r="D6863" s="188" t="s">
        <v>31714</v>
      </c>
      <c r="E6863" s="189" t="s">
        <v>31715</v>
      </c>
      <c r="F6863" s="162" t="s">
        <v>31716</v>
      </c>
      <c r="G6863" s="162" t="s">
        <v>31717</v>
      </c>
      <c r="H6863" s="219"/>
      <c r="I6863" s="169">
        <v>207234</v>
      </c>
      <c r="J6863" s="304" t="str">
        <f>CONCATENATE([2]Cover!$D$6,"fdd/view?i=",I6863)</f>
        <v>https://www.dgiwg.org/FAD/fdd/view?i=207234</v>
      </c>
      <c r="K6863" s="304" t="s">
        <v>40912</v>
      </c>
      <c r="L6863" s="188">
        <v>12</v>
      </c>
      <c r="M6863" s="179" t="s">
        <v>1295</v>
      </c>
    </row>
    <row r="6864" spans="1:13" ht="25.5">
      <c r="A6864" s="313" t="str">
        <f t="shared" si="107"/>
        <v>MD_TopicCategoryCode_intelligenceMilitary</v>
      </c>
      <c r="B6864" s="330"/>
      <c r="C6864" s="334"/>
      <c r="D6864" s="188" t="s">
        <v>31718</v>
      </c>
      <c r="E6864" s="189" t="s">
        <v>31719</v>
      </c>
      <c r="F6864" s="162" t="s">
        <v>31720</v>
      </c>
      <c r="G6864" s="162" t="s">
        <v>31721</v>
      </c>
      <c r="H6864" s="219"/>
      <c r="I6864" s="169">
        <v>207233</v>
      </c>
      <c r="J6864" s="304" t="str">
        <f>CONCATENATE([2]Cover!$D$6,"fdd/view?i=",I6864)</f>
        <v>https://www.dgiwg.org/FAD/fdd/view?i=207233</v>
      </c>
      <c r="K6864" s="304" t="s">
        <v>40913</v>
      </c>
      <c r="L6864" s="188">
        <v>11</v>
      </c>
      <c r="M6864" s="179" t="s">
        <v>1295</v>
      </c>
    </row>
    <row r="6865" spans="1:13" ht="38.25">
      <c r="A6865" s="313" t="str">
        <f t="shared" si="107"/>
        <v>MD_TopicCategoryCode_location</v>
      </c>
      <c r="B6865" s="330"/>
      <c r="C6865" s="334"/>
      <c r="D6865" s="188" t="s">
        <v>31722</v>
      </c>
      <c r="E6865" s="189" t="s">
        <v>31723</v>
      </c>
      <c r="F6865" s="162" t="s">
        <v>31724</v>
      </c>
      <c r="G6865" s="162" t="s">
        <v>31725</v>
      </c>
      <c r="H6865" s="219"/>
      <c r="I6865" s="169">
        <v>207235</v>
      </c>
      <c r="J6865" s="304" t="str">
        <f>CONCATENATE([2]Cover!$D$6,"fdd/view?i=",I6865)</f>
        <v>https://www.dgiwg.org/FAD/fdd/view?i=207235</v>
      </c>
      <c r="K6865" s="304" t="s">
        <v>40914</v>
      </c>
      <c r="L6865" s="188">
        <v>13</v>
      </c>
      <c r="M6865" s="179" t="s">
        <v>1295</v>
      </c>
    </row>
    <row r="6866" spans="1:13" ht="25.5">
      <c r="A6866" s="313" t="str">
        <f t="shared" si="107"/>
        <v>MD_TopicCategoryCode_oceans</v>
      </c>
      <c r="B6866" s="330"/>
      <c r="C6866" s="334"/>
      <c r="D6866" s="188" t="s">
        <v>31726</v>
      </c>
      <c r="E6866" s="189" t="s">
        <v>31727</v>
      </c>
      <c r="F6866" s="162" t="s">
        <v>31728</v>
      </c>
      <c r="G6866" s="162" t="s">
        <v>31729</v>
      </c>
      <c r="H6866" s="219"/>
      <c r="I6866" s="169">
        <v>207236</v>
      </c>
      <c r="J6866" s="304" t="str">
        <f>CONCATENATE([2]Cover!$D$6,"fdd/view?i=",I6866)</f>
        <v>https://www.dgiwg.org/FAD/fdd/view?i=207236</v>
      </c>
      <c r="K6866" s="304" t="s">
        <v>40915</v>
      </c>
      <c r="L6866" s="188">
        <v>14</v>
      </c>
      <c r="M6866" s="179" t="s">
        <v>1295</v>
      </c>
    </row>
    <row r="6867" spans="1:13" ht="25.5">
      <c r="A6867" s="313" t="str">
        <f t="shared" si="107"/>
        <v>MD_TopicCategoryCode_planningCadastre</v>
      </c>
      <c r="B6867" s="330"/>
      <c r="C6867" s="334"/>
      <c r="D6867" s="188" t="s">
        <v>31730</v>
      </c>
      <c r="E6867" s="189" t="s">
        <v>31731</v>
      </c>
      <c r="F6867" s="162" t="s">
        <v>31732</v>
      </c>
      <c r="G6867" s="162" t="s">
        <v>31733</v>
      </c>
      <c r="H6867" s="219"/>
      <c r="I6867" s="169">
        <v>207237</v>
      </c>
      <c r="J6867" s="304" t="str">
        <f>CONCATENATE([2]Cover!$D$6,"fdd/view?i=",I6867)</f>
        <v>https://www.dgiwg.org/FAD/fdd/view?i=207237</v>
      </c>
      <c r="K6867" s="304" t="s">
        <v>40916</v>
      </c>
      <c r="L6867" s="188">
        <v>15</v>
      </c>
      <c r="M6867" s="179" t="s">
        <v>1295</v>
      </c>
    </row>
    <row r="6868" spans="1:13" ht="76.5">
      <c r="A6868" s="313" t="str">
        <f t="shared" si="107"/>
        <v>MD_TopicCategoryCode_society</v>
      </c>
      <c r="B6868" s="330"/>
      <c r="C6868" s="334"/>
      <c r="D6868" s="188" t="s">
        <v>31734</v>
      </c>
      <c r="E6868" s="189" t="s">
        <v>31735</v>
      </c>
      <c r="F6868" s="162" t="s">
        <v>31736</v>
      </c>
      <c r="G6868" s="162" t="s">
        <v>31737</v>
      </c>
      <c r="H6868" s="219"/>
      <c r="I6868" s="169">
        <v>207238</v>
      </c>
      <c r="J6868" s="304" t="str">
        <f>CONCATENATE([2]Cover!$D$6,"fdd/view?i=",I6868)</f>
        <v>https://www.dgiwg.org/FAD/fdd/view?i=207238</v>
      </c>
      <c r="K6868" s="304" t="s">
        <v>40917</v>
      </c>
      <c r="L6868" s="188">
        <v>16</v>
      </c>
      <c r="M6868" s="179" t="s">
        <v>1295</v>
      </c>
    </row>
    <row r="6869" spans="1:13" ht="25.5">
      <c r="A6869" s="313" t="str">
        <f t="shared" si="107"/>
        <v>MD_TopicCategoryCode_structure</v>
      </c>
      <c r="B6869" s="330"/>
      <c r="C6869" s="334"/>
      <c r="D6869" s="188" t="s">
        <v>31738</v>
      </c>
      <c r="E6869" s="189" t="s">
        <v>31739</v>
      </c>
      <c r="F6869" s="162" t="s">
        <v>31740</v>
      </c>
      <c r="G6869" s="162" t="s">
        <v>31741</v>
      </c>
      <c r="H6869" s="219"/>
      <c r="I6869" s="169">
        <v>207239</v>
      </c>
      <c r="J6869" s="304" t="str">
        <f>CONCATENATE([2]Cover!$D$6,"fdd/view?i=",I6869)</f>
        <v>https://www.dgiwg.org/FAD/fdd/view?i=207239</v>
      </c>
      <c r="K6869" s="304" t="s">
        <v>40918</v>
      </c>
      <c r="L6869" s="188">
        <v>17</v>
      </c>
      <c r="M6869" s="179" t="s">
        <v>1295</v>
      </c>
    </row>
    <row r="6870" spans="1:13" ht="38.25">
      <c r="A6870" s="313" t="str">
        <f t="shared" si="107"/>
        <v>MD_TopicCategoryCode_transportation</v>
      </c>
      <c r="B6870" s="330"/>
      <c r="C6870" s="334"/>
      <c r="D6870" s="188" t="s">
        <v>31742</v>
      </c>
      <c r="E6870" s="189" t="s">
        <v>31743</v>
      </c>
      <c r="F6870" s="162" t="s">
        <v>31744</v>
      </c>
      <c r="G6870" s="162" t="s">
        <v>31745</v>
      </c>
      <c r="H6870" s="219"/>
      <c r="I6870" s="169">
        <v>207240</v>
      </c>
      <c r="J6870" s="304" t="str">
        <f>CONCATENATE([2]Cover!$D$6,"fdd/view?i=",I6870)</f>
        <v>https://www.dgiwg.org/FAD/fdd/view?i=207240</v>
      </c>
      <c r="K6870" s="304" t="s">
        <v>40919</v>
      </c>
      <c r="L6870" s="188">
        <v>18</v>
      </c>
      <c r="M6870" s="179" t="s">
        <v>1295</v>
      </c>
    </row>
    <row r="6871" spans="1:13" ht="76.5">
      <c r="A6871" s="313" t="str">
        <f t="shared" si="107"/>
        <v>MD_TopicCategoryCode_utilitiesCommunication</v>
      </c>
      <c r="B6871" s="331"/>
      <c r="C6871" s="335"/>
      <c r="D6871" s="181" t="s">
        <v>31746</v>
      </c>
      <c r="E6871" s="192" t="s">
        <v>31747</v>
      </c>
      <c r="F6871" s="193" t="s">
        <v>31748</v>
      </c>
      <c r="G6871" s="193" t="s">
        <v>31749</v>
      </c>
      <c r="H6871" s="220"/>
      <c r="I6871" s="169">
        <v>207241</v>
      </c>
      <c r="J6871" s="304" t="str">
        <f>CONCATENATE([2]Cover!$D$6,"fdd/view?i=",I6871)</f>
        <v>https://www.dgiwg.org/FAD/fdd/view?i=207241</v>
      </c>
      <c r="K6871" s="304" t="s">
        <v>40920</v>
      </c>
      <c r="L6871" s="181">
        <v>19</v>
      </c>
      <c r="M6871" s="179" t="s">
        <v>1295</v>
      </c>
    </row>
    <row r="6872" spans="1:13">
      <c r="A6872" s="313" t="str">
        <f t="shared" si="107"/>
        <v>TopmarkShapeCode_ballOverCone</v>
      </c>
      <c r="B6872" s="332" t="str">
        <f>HYPERLINK("[#]Datatypes!A1450:L1450","TopmarkShapeCode")</f>
        <v>TopmarkShapeCode</v>
      </c>
      <c r="C6872" s="333" t="s">
        <v>13086</v>
      </c>
      <c r="D6872" s="202" t="s">
        <v>31775</v>
      </c>
      <c r="E6872" s="203" t="s">
        <v>31776</v>
      </c>
      <c r="F6872" s="204" t="s">
        <v>31777</v>
      </c>
      <c r="G6872" s="205"/>
      <c r="H6872" s="218"/>
      <c r="I6872" s="169">
        <v>119132</v>
      </c>
      <c r="J6872" s="304" t="str">
        <f>CONCATENATE([2]Cover!$D$6,"fdd/view?i=",I6872)</f>
        <v>https://www.dgiwg.org/FAD/fdd/view?i=119132</v>
      </c>
      <c r="K6872" s="304" t="s">
        <v>40921</v>
      </c>
      <c r="L6872" s="202">
        <v>33</v>
      </c>
      <c r="M6872" s="179" t="s">
        <v>151</v>
      </c>
    </row>
    <row r="6873" spans="1:13" ht="25.5">
      <c r="A6873" s="313" t="str">
        <f t="shared" si="107"/>
        <v>TopmarkShapeCode_besomPointDownward</v>
      </c>
      <c r="B6873" s="330"/>
      <c r="C6873" s="334"/>
      <c r="D6873" s="188" t="s">
        <v>31778</v>
      </c>
      <c r="E6873" s="189" t="s">
        <v>31779</v>
      </c>
      <c r="F6873" s="162" t="s">
        <v>31780</v>
      </c>
      <c r="G6873" s="190"/>
      <c r="H6873" s="221" t="s">
        <v>31781</v>
      </c>
      <c r="I6873" s="169">
        <v>118955</v>
      </c>
      <c r="J6873" s="304" t="str">
        <f>CONCATENATE([2]Cover!$D$6,"fdd/view?i=",I6873)</f>
        <v>https://www.dgiwg.org/FAD/fdd/view?i=118955</v>
      </c>
      <c r="K6873" s="304" t="s">
        <v>40922</v>
      </c>
      <c r="L6873" s="188">
        <v>16</v>
      </c>
      <c r="M6873" s="179" t="s">
        <v>151</v>
      </c>
    </row>
    <row r="6874" spans="1:13" ht="25.5">
      <c r="A6874" s="313" t="str">
        <f t="shared" si="107"/>
        <v>TopmarkShapeCode_besomPointUpward</v>
      </c>
      <c r="B6874" s="330"/>
      <c r="C6874" s="334"/>
      <c r="D6874" s="188" t="s">
        <v>31782</v>
      </c>
      <c r="E6874" s="189" t="s">
        <v>31783</v>
      </c>
      <c r="F6874" s="162" t="s">
        <v>31784</v>
      </c>
      <c r="G6874" s="190"/>
      <c r="H6874" s="221" t="s">
        <v>31785</v>
      </c>
      <c r="I6874" s="169">
        <v>118954</v>
      </c>
      <c r="J6874" s="304" t="str">
        <f>CONCATENATE([2]Cover!$D$6,"fdd/view?i=",I6874)</f>
        <v>https://www.dgiwg.org/FAD/fdd/view?i=118954</v>
      </c>
      <c r="K6874" s="304" t="s">
        <v>40923</v>
      </c>
      <c r="L6874" s="188">
        <v>15</v>
      </c>
      <c r="M6874" s="179" t="s">
        <v>151</v>
      </c>
    </row>
    <row r="6875" spans="1:13" ht="25.5">
      <c r="A6875" s="313" t="str">
        <f t="shared" si="107"/>
        <v>TopmarkShapeCode_board</v>
      </c>
      <c r="B6875" s="330"/>
      <c r="C6875" s="334"/>
      <c r="D6875" s="188" t="s">
        <v>31786</v>
      </c>
      <c r="E6875" s="189" t="s">
        <v>31787</v>
      </c>
      <c r="F6875" s="162" t="s">
        <v>31788</v>
      </c>
      <c r="G6875" s="162" t="s">
        <v>31789</v>
      </c>
      <c r="H6875" s="219"/>
      <c r="I6875" s="169">
        <v>118945</v>
      </c>
      <c r="J6875" s="304" t="str">
        <f>CONCATENATE([2]Cover!$D$6,"fdd/view?i=",I6875)</f>
        <v>https://www.dgiwg.org/FAD/fdd/view?i=118945</v>
      </c>
      <c r="K6875" s="304" t="s">
        <v>40924</v>
      </c>
      <c r="L6875" s="188">
        <v>6</v>
      </c>
      <c r="M6875" s="179" t="s">
        <v>151</v>
      </c>
    </row>
    <row r="6876" spans="1:13">
      <c r="A6876" s="313" t="str">
        <f t="shared" si="107"/>
        <v>TopmarkShapeCode_canOverBall</v>
      </c>
      <c r="B6876" s="330"/>
      <c r="C6876" s="334"/>
      <c r="D6876" s="188" t="s">
        <v>31790</v>
      </c>
      <c r="E6876" s="189" t="s">
        <v>31791</v>
      </c>
      <c r="F6876" s="162" t="s">
        <v>31792</v>
      </c>
      <c r="G6876" s="190"/>
      <c r="H6876" s="219"/>
      <c r="I6876" s="169">
        <v>119135</v>
      </c>
      <c r="J6876" s="304" t="str">
        <f>CONCATENATE([2]Cover!$D$6,"fdd/view?i=",I6876)</f>
        <v>https://www.dgiwg.org/FAD/fdd/view?i=119135</v>
      </c>
      <c r="K6876" s="304" t="s">
        <v>40925</v>
      </c>
      <c r="L6876" s="188">
        <v>34</v>
      </c>
      <c r="M6876" s="179" t="s">
        <v>151</v>
      </c>
    </row>
    <row r="6877" spans="1:13" ht="25.5">
      <c r="A6877" s="313" t="str">
        <f t="shared" si="107"/>
        <v>TopmarkShapeCode_circle</v>
      </c>
      <c r="B6877" s="330"/>
      <c r="C6877" s="334"/>
      <c r="D6877" s="188" t="s">
        <v>31793</v>
      </c>
      <c r="E6877" s="189" t="s">
        <v>31794</v>
      </c>
      <c r="F6877" s="162" t="s">
        <v>31795</v>
      </c>
      <c r="G6877" s="190"/>
      <c r="H6877" s="219"/>
      <c r="I6877" s="169">
        <v>118965</v>
      </c>
      <c r="J6877" s="304" t="str">
        <f>CONCATENATE([2]Cover!$D$6,"fdd/view?i=",I6877)</f>
        <v>https://www.dgiwg.org/FAD/fdd/view?i=118965</v>
      </c>
      <c r="K6877" s="304" t="s">
        <v>40926</v>
      </c>
      <c r="L6877" s="188">
        <v>26</v>
      </c>
      <c r="M6877" s="179" t="s">
        <v>151</v>
      </c>
    </row>
    <row r="6878" spans="1:13" ht="25.5">
      <c r="A6878" s="313" t="str">
        <f t="shared" si="107"/>
        <v>TopmarkShapeCode_circleOverTrianglePointUp</v>
      </c>
      <c r="B6878" s="330"/>
      <c r="C6878" s="334"/>
      <c r="D6878" s="188" t="s">
        <v>31796</v>
      </c>
      <c r="E6878" s="189" t="s">
        <v>31797</v>
      </c>
      <c r="F6878" s="162" t="s">
        <v>31798</v>
      </c>
      <c r="G6878" s="162" t="s">
        <v>31799</v>
      </c>
      <c r="H6878" s="219"/>
      <c r="I6878" s="169">
        <v>118971</v>
      </c>
      <c r="J6878" s="304" t="str">
        <f>CONCATENATE([2]Cover!$D$6,"fdd/view?i=",I6878)</f>
        <v>https://www.dgiwg.org/FAD/fdd/view?i=118971</v>
      </c>
      <c r="K6878" s="304" t="s">
        <v>40927</v>
      </c>
      <c r="L6878" s="188">
        <v>32</v>
      </c>
      <c r="M6878" s="179" t="s">
        <v>151</v>
      </c>
    </row>
    <row r="6879" spans="1:13">
      <c r="A6879" s="313" t="str">
        <f t="shared" si="107"/>
        <v>TopmarkShapeCode_coneOverBall</v>
      </c>
      <c r="B6879" s="330"/>
      <c r="C6879" s="334"/>
      <c r="D6879" s="188" t="s">
        <v>31800</v>
      </c>
      <c r="E6879" s="189" t="s">
        <v>31801</v>
      </c>
      <c r="F6879" s="162" t="s">
        <v>31802</v>
      </c>
      <c r="G6879" s="190"/>
      <c r="H6879" s="219"/>
      <c r="I6879" s="169">
        <v>119133</v>
      </c>
      <c r="J6879" s="304" t="str">
        <f>CONCATENATE([2]Cover!$D$6,"fdd/view?i=",I6879)</f>
        <v>https://www.dgiwg.org/FAD/fdd/view?i=119133</v>
      </c>
      <c r="K6879" s="304" t="s">
        <v>40928</v>
      </c>
      <c r="L6879" s="188">
        <v>35</v>
      </c>
      <c r="M6879" s="179" t="s">
        <v>151</v>
      </c>
    </row>
    <row r="6880" spans="1:13" ht="76.5">
      <c r="A6880" s="313" t="str">
        <f t="shared" si="107"/>
        <v>TopmarkShapeCode_conePointDownward</v>
      </c>
      <c r="B6880" s="330"/>
      <c r="C6880" s="334"/>
      <c r="D6880" s="188" t="s">
        <v>31803</v>
      </c>
      <c r="E6880" s="189" t="s">
        <v>31804</v>
      </c>
      <c r="F6880" s="162" t="s">
        <v>31805</v>
      </c>
      <c r="G6880" s="162" t="s">
        <v>31806</v>
      </c>
      <c r="H6880" s="219"/>
      <c r="I6880" s="169">
        <v>118941</v>
      </c>
      <c r="J6880" s="304" t="str">
        <f>CONCATENATE([2]Cover!$D$6,"fdd/view?i=",I6880)</f>
        <v>https://www.dgiwg.org/FAD/fdd/view?i=118941</v>
      </c>
      <c r="K6880" s="304" t="s">
        <v>40929</v>
      </c>
      <c r="L6880" s="188">
        <v>2</v>
      </c>
      <c r="M6880" s="179" t="s">
        <v>151</v>
      </c>
    </row>
    <row r="6881" spans="1:13" ht="76.5">
      <c r="A6881" s="313" t="str">
        <f t="shared" si="107"/>
        <v>TopmarkShapeCode_conePointUpward</v>
      </c>
      <c r="B6881" s="330"/>
      <c r="C6881" s="334"/>
      <c r="D6881" s="188" t="s">
        <v>31807</v>
      </c>
      <c r="E6881" s="189" t="s">
        <v>31808</v>
      </c>
      <c r="F6881" s="162" t="s">
        <v>31809</v>
      </c>
      <c r="G6881" s="162" t="s">
        <v>31810</v>
      </c>
      <c r="H6881" s="219"/>
      <c r="I6881" s="169">
        <v>118940</v>
      </c>
      <c r="J6881" s="304" t="str">
        <f>CONCATENATE([2]Cover!$D$6,"fdd/view?i=",I6881)</f>
        <v>https://www.dgiwg.org/FAD/fdd/view?i=118940</v>
      </c>
      <c r="K6881" s="304" t="s">
        <v>40930</v>
      </c>
      <c r="L6881" s="188">
        <v>1</v>
      </c>
      <c r="M6881" s="179" t="s">
        <v>151</v>
      </c>
    </row>
    <row r="6882" spans="1:13" ht="25.5">
      <c r="A6882" s="313" t="str">
        <f t="shared" si="107"/>
        <v>TopmarkShapeCode_crossOverBall</v>
      </c>
      <c r="B6882" s="330"/>
      <c r="C6882" s="334"/>
      <c r="D6882" s="188" t="s">
        <v>31811</v>
      </c>
      <c r="E6882" s="189" t="s">
        <v>31812</v>
      </c>
      <c r="F6882" s="162" t="s">
        <v>31813</v>
      </c>
      <c r="G6882" s="190"/>
      <c r="H6882" s="219"/>
      <c r="I6882" s="169">
        <v>119134</v>
      </c>
      <c r="J6882" s="304" t="str">
        <f>CONCATENATE([2]Cover!$D$6,"fdd/view?i=",I6882)</f>
        <v>https://www.dgiwg.org/FAD/fdd/view?i=119134</v>
      </c>
      <c r="K6882" s="304" t="s">
        <v>40931</v>
      </c>
      <c r="L6882" s="188">
        <v>36</v>
      </c>
      <c r="M6882" s="179" t="s">
        <v>151</v>
      </c>
    </row>
    <row r="6883" spans="1:13" ht="153">
      <c r="A6883" s="313" t="str">
        <f t="shared" si="107"/>
        <v>TopmarkShapeCode_cylinder</v>
      </c>
      <c r="B6883" s="330"/>
      <c r="C6883" s="334"/>
      <c r="D6883" s="188" t="s">
        <v>31814</v>
      </c>
      <c r="E6883" s="189" t="s">
        <v>31815</v>
      </c>
      <c r="F6883" s="162" t="s">
        <v>31816</v>
      </c>
      <c r="G6883" s="162" t="s">
        <v>31817</v>
      </c>
      <c r="H6883" s="221" t="s">
        <v>18509</v>
      </c>
      <c r="I6883" s="169">
        <v>118944</v>
      </c>
      <c r="J6883" s="304" t="str">
        <f>CONCATENATE([2]Cover!$D$6,"fdd/view?i=",I6883)</f>
        <v>https://www.dgiwg.org/FAD/fdd/view?i=118944</v>
      </c>
      <c r="K6883" s="304" t="s">
        <v>40932</v>
      </c>
      <c r="L6883" s="188">
        <v>5</v>
      </c>
      <c r="M6883" s="179" t="s">
        <v>151</v>
      </c>
    </row>
    <row r="6884" spans="1:13" ht="25.5">
      <c r="A6884" s="313" t="str">
        <f t="shared" si="107"/>
        <v>TopmarkShapeCode_diamond</v>
      </c>
      <c r="B6884" s="330"/>
      <c r="C6884" s="334"/>
      <c r="D6884" s="188" t="s">
        <v>18516</v>
      </c>
      <c r="E6884" s="189" t="s">
        <v>18517</v>
      </c>
      <c r="F6884" s="162" t="s">
        <v>31818</v>
      </c>
      <c r="G6884" s="190"/>
      <c r="H6884" s="221" t="s">
        <v>18519</v>
      </c>
      <c r="I6884" s="169">
        <v>118951</v>
      </c>
      <c r="J6884" s="304" t="str">
        <f>CONCATENATE([2]Cover!$D$6,"fdd/view?i=",I6884)</f>
        <v>https://www.dgiwg.org/FAD/fdd/view?i=118951</v>
      </c>
      <c r="K6884" s="304" t="s">
        <v>40933</v>
      </c>
      <c r="L6884" s="188">
        <v>12</v>
      </c>
      <c r="M6884" s="179" t="s">
        <v>151</v>
      </c>
    </row>
    <row r="6885" spans="1:13" ht="25.5">
      <c r="A6885" s="313" t="str">
        <f t="shared" si="107"/>
        <v>TopmarkShapeCode_diamondOverBall</v>
      </c>
      <c r="B6885" s="330"/>
      <c r="C6885" s="334"/>
      <c r="D6885" s="188" t="s">
        <v>31819</v>
      </c>
      <c r="E6885" s="189" t="s">
        <v>31820</v>
      </c>
      <c r="F6885" s="162" t="s">
        <v>31821</v>
      </c>
      <c r="G6885" s="190"/>
      <c r="H6885" s="219"/>
      <c r="I6885" s="169">
        <v>119136</v>
      </c>
      <c r="J6885" s="304" t="str">
        <f>CONCATENATE([2]Cover!$D$6,"fdd/view?i=",I6885)</f>
        <v>https://www.dgiwg.org/FAD/fdd/view?i=119136</v>
      </c>
      <c r="K6885" s="304" t="s">
        <v>40934</v>
      </c>
      <c r="L6885" s="188">
        <v>37</v>
      </c>
      <c r="M6885" s="179" t="s">
        <v>151</v>
      </c>
    </row>
    <row r="6886" spans="1:13" ht="51">
      <c r="A6886" s="313" t="str">
        <f t="shared" si="107"/>
        <v>TopmarkShapeCode_diamondOverCircle</v>
      </c>
      <c r="B6886" s="330"/>
      <c r="C6886" s="334"/>
      <c r="D6886" s="188" t="s">
        <v>31822</v>
      </c>
      <c r="E6886" s="189" t="s">
        <v>31823</v>
      </c>
      <c r="F6886" s="162" t="s">
        <v>31824</v>
      </c>
      <c r="G6886" s="162" t="s">
        <v>31825</v>
      </c>
      <c r="H6886" s="221" t="s">
        <v>31826</v>
      </c>
      <c r="I6886" s="169">
        <v>118970</v>
      </c>
      <c r="J6886" s="304" t="str">
        <f>CONCATENATE([2]Cover!$D$6,"fdd/view?i=",I6886)</f>
        <v>https://www.dgiwg.org/FAD/fdd/view?i=118970</v>
      </c>
      <c r="K6886" s="304" t="s">
        <v>40935</v>
      </c>
      <c r="L6886" s="188">
        <v>31</v>
      </c>
      <c r="M6886" s="179" t="s">
        <v>151</v>
      </c>
    </row>
    <row r="6887" spans="1:13">
      <c r="A6887" s="313" t="str">
        <f t="shared" si="107"/>
        <v>TopmarkShapeCode_flag</v>
      </c>
      <c r="B6887" s="330"/>
      <c r="C6887" s="334"/>
      <c r="D6887" s="188" t="s">
        <v>31827</v>
      </c>
      <c r="E6887" s="189" t="s">
        <v>31828</v>
      </c>
      <c r="F6887" s="162" t="s">
        <v>31829</v>
      </c>
      <c r="G6887" s="190"/>
      <c r="H6887" s="219"/>
      <c r="I6887" s="169">
        <v>118956</v>
      </c>
      <c r="J6887" s="304" t="str">
        <f>CONCATENATE([2]Cover!$D$6,"fdd/view?i=",I6887)</f>
        <v>https://www.dgiwg.org/FAD/fdd/view?i=118956</v>
      </c>
      <c r="K6887" s="304" t="s">
        <v>40936</v>
      </c>
      <c r="L6887" s="188">
        <v>17</v>
      </c>
      <c r="M6887" s="179" t="s">
        <v>151</v>
      </c>
    </row>
    <row r="6888" spans="1:13" ht="38.25">
      <c r="A6888" s="313" t="str">
        <f t="shared" si="107"/>
        <v>TopmarkShapeCode_horizontalRectangle</v>
      </c>
      <c r="B6888" s="330"/>
      <c r="C6888" s="334"/>
      <c r="D6888" s="188" t="s">
        <v>31830</v>
      </c>
      <c r="E6888" s="189" t="s">
        <v>31831</v>
      </c>
      <c r="F6888" s="162" t="s">
        <v>31832</v>
      </c>
      <c r="G6888" s="162" t="s">
        <v>31833</v>
      </c>
      <c r="H6888" s="219"/>
      <c r="I6888" s="169">
        <v>118959</v>
      </c>
      <c r="J6888" s="304" t="str">
        <f>CONCATENATE([2]Cover!$D$6,"fdd/view?i=",I6888)</f>
        <v>https://www.dgiwg.org/FAD/fdd/view?i=118959</v>
      </c>
      <c r="K6888" s="304" t="s">
        <v>40937</v>
      </c>
      <c r="L6888" s="188">
        <v>20</v>
      </c>
      <c r="M6888" s="179" t="s">
        <v>151</v>
      </c>
    </row>
    <row r="6889" spans="1:13">
      <c r="A6889" s="313" t="str">
        <f t="shared" si="107"/>
        <v>TopmarkShapeCode_shapedLikeT</v>
      </c>
      <c r="B6889" s="330"/>
      <c r="C6889" s="334"/>
      <c r="D6889" s="188" t="s">
        <v>23231</v>
      </c>
      <c r="E6889" s="189" t="s">
        <v>31860</v>
      </c>
      <c r="F6889" s="162" t="s">
        <v>31861</v>
      </c>
      <c r="G6889" s="190"/>
      <c r="H6889" s="219"/>
      <c r="I6889" s="169">
        <v>118967</v>
      </c>
      <c r="J6889" s="304" t="str">
        <f>CONCATENATE([2]Cover!$D$6,"fdd/view?i=",I6889)</f>
        <v>https://www.dgiwg.org/FAD/fdd/view?i=118967</v>
      </c>
      <c r="K6889" s="304" t="s">
        <v>40938</v>
      </c>
      <c r="L6889" s="188">
        <v>28</v>
      </c>
      <c r="M6889" s="179" t="s">
        <v>151</v>
      </c>
    </row>
    <row r="6890" spans="1:13" ht="25.5">
      <c r="A6890" s="313" t="str">
        <f t="shared" si="107"/>
        <v>TopmarkShapeCode_shapedLikeUprightCross</v>
      </c>
      <c r="B6890" s="330"/>
      <c r="C6890" s="334"/>
      <c r="D6890" s="188" t="s">
        <v>31862</v>
      </c>
      <c r="E6890" s="189" t="s">
        <v>31863</v>
      </c>
      <c r="F6890" s="162" t="s">
        <v>31864</v>
      </c>
      <c r="G6890" s="190"/>
      <c r="H6890" s="221" t="s">
        <v>31865</v>
      </c>
      <c r="I6890" s="169">
        <v>118947</v>
      </c>
      <c r="J6890" s="304" t="str">
        <f>CONCATENATE([2]Cover!$D$6,"fdd/view?i=",I6890)</f>
        <v>https://www.dgiwg.org/FAD/fdd/view?i=118947</v>
      </c>
      <c r="K6890" s="304" t="s">
        <v>40939</v>
      </c>
      <c r="L6890" s="188">
        <v>8</v>
      </c>
      <c r="M6890" s="179" t="s">
        <v>151</v>
      </c>
    </row>
    <row r="6891" spans="1:13" ht="63.75">
      <c r="A6891" s="313" t="str">
        <f t="shared" si="107"/>
        <v>TopmarkShapeCode_shapedLikeX</v>
      </c>
      <c r="B6891" s="330"/>
      <c r="C6891" s="334"/>
      <c r="D6891" s="188" t="s">
        <v>31872</v>
      </c>
      <c r="E6891" s="189" t="s">
        <v>31873</v>
      </c>
      <c r="F6891" s="162" t="s">
        <v>31874</v>
      </c>
      <c r="G6891" s="162" t="s">
        <v>31875</v>
      </c>
      <c r="H6891" s="221" t="s">
        <v>31876</v>
      </c>
      <c r="I6891" s="169">
        <v>118946</v>
      </c>
      <c r="J6891" s="304" t="str">
        <f>CONCATENATE([2]Cover!$D$6,"fdd/view?i=",I6891)</f>
        <v>https://www.dgiwg.org/FAD/fdd/view?i=118946</v>
      </c>
      <c r="K6891" s="304" t="s">
        <v>40940</v>
      </c>
      <c r="L6891" s="188">
        <v>7</v>
      </c>
      <c r="M6891" s="179" t="s">
        <v>151</v>
      </c>
    </row>
    <row r="6892" spans="1:13" ht="63.75">
      <c r="A6892" s="313" t="str">
        <f t="shared" si="107"/>
        <v>TopmarkShapeCode_sphere</v>
      </c>
      <c r="B6892" s="330"/>
      <c r="C6892" s="334"/>
      <c r="D6892" s="188" t="s">
        <v>31834</v>
      </c>
      <c r="E6892" s="189" t="s">
        <v>31835</v>
      </c>
      <c r="F6892" s="162" t="s">
        <v>31836</v>
      </c>
      <c r="G6892" s="162" t="s">
        <v>31837</v>
      </c>
      <c r="H6892" s="221" t="s">
        <v>31838</v>
      </c>
      <c r="I6892" s="169">
        <v>118942</v>
      </c>
      <c r="J6892" s="304" t="str">
        <f>CONCATENATE([2]Cover!$D$6,"fdd/view?i=",I6892)</f>
        <v>https://www.dgiwg.org/FAD/fdd/view?i=118942</v>
      </c>
      <c r="K6892" s="304" t="s">
        <v>40941</v>
      </c>
      <c r="L6892" s="188">
        <v>3</v>
      </c>
      <c r="M6892" s="179" t="s">
        <v>151</v>
      </c>
    </row>
    <row r="6893" spans="1:13" ht="51">
      <c r="A6893" s="313" t="str">
        <f t="shared" si="107"/>
        <v>TopmarkShapeCode_sphereOverDiamond</v>
      </c>
      <c r="B6893" s="330"/>
      <c r="C6893" s="334"/>
      <c r="D6893" s="188" t="s">
        <v>31839</v>
      </c>
      <c r="E6893" s="189" t="s">
        <v>31840</v>
      </c>
      <c r="F6893" s="162" t="s">
        <v>31841</v>
      </c>
      <c r="G6893" s="162" t="s">
        <v>31825</v>
      </c>
      <c r="H6893" s="221" t="s">
        <v>31842</v>
      </c>
      <c r="I6893" s="169">
        <v>118957</v>
      </c>
      <c r="J6893" s="304" t="str">
        <f>CONCATENATE([2]Cover!$D$6,"fdd/view?i=",I6893)</f>
        <v>https://www.dgiwg.org/FAD/fdd/view?i=118957</v>
      </c>
      <c r="K6893" s="304" t="s">
        <v>40942</v>
      </c>
      <c r="L6893" s="188">
        <v>18</v>
      </c>
      <c r="M6893" s="179" t="s">
        <v>151</v>
      </c>
    </row>
    <row r="6894" spans="1:13">
      <c r="A6894" s="313" t="str">
        <f t="shared" si="107"/>
        <v>TopmarkShapeCode_square</v>
      </c>
      <c r="B6894" s="330"/>
      <c r="C6894" s="334"/>
      <c r="D6894" s="188" t="s">
        <v>19648</v>
      </c>
      <c r="E6894" s="189" t="s">
        <v>19649</v>
      </c>
      <c r="F6894" s="162" t="s">
        <v>31843</v>
      </c>
      <c r="G6894" s="190"/>
      <c r="H6894" s="219"/>
      <c r="I6894" s="169">
        <v>118958</v>
      </c>
      <c r="J6894" s="304" t="str">
        <f>CONCATENATE([2]Cover!$D$6,"fdd/view?i=",I6894)</f>
        <v>https://www.dgiwg.org/FAD/fdd/view?i=118958</v>
      </c>
      <c r="K6894" s="304" t="s">
        <v>40943</v>
      </c>
      <c r="L6894" s="188">
        <v>19</v>
      </c>
      <c r="M6894" s="179" t="s">
        <v>151</v>
      </c>
    </row>
    <row r="6895" spans="1:13" ht="25.5">
      <c r="A6895" s="313" t="str">
        <f t="shared" si="107"/>
        <v>TopmarkShapeCode_trapeziumShortDownward</v>
      </c>
      <c r="B6895" s="330"/>
      <c r="C6895" s="334"/>
      <c r="D6895" s="188" t="s">
        <v>31844</v>
      </c>
      <c r="E6895" s="189" t="s">
        <v>31845</v>
      </c>
      <c r="F6895" s="162" t="s">
        <v>31846</v>
      </c>
      <c r="G6895" s="162" t="s">
        <v>31847</v>
      </c>
      <c r="H6895" s="219"/>
      <c r="I6895" s="169">
        <v>118962</v>
      </c>
      <c r="J6895" s="304" t="str">
        <f>CONCATENATE([2]Cover!$D$6,"fdd/view?i=",I6895)</f>
        <v>https://www.dgiwg.org/FAD/fdd/view?i=118962</v>
      </c>
      <c r="K6895" s="304" t="s">
        <v>40944</v>
      </c>
      <c r="L6895" s="188">
        <v>23</v>
      </c>
      <c r="M6895" s="179" t="s">
        <v>151</v>
      </c>
    </row>
    <row r="6896" spans="1:13" ht="25.5">
      <c r="A6896" s="313" t="str">
        <f t="shared" si="107"/>
        <v>TopmarkShapeCode_trapeziumShortUpward</v>
      </c>
      <c r="B6896" s="330"/>
      <c r="C6896" s="334"/>
      <c r="D6896" s="188" t="s">
        <v>31848</v>
      </c>
      <c r="E6896" s="189" t="s">
        <v>31849</v>
      </c>
      <c r="F6896" s="162" t="s">
        <v>31850</v>
      </c>
      <c r="G6896" s="162" t="s">
        <v>31847</v>
      </c>
      <c r="H6896" s="219"/>
      <c r="I6896" s="169">
        <v>118961</v>
      </c>
      <c r="J6896" s="304" t="str">
        <f>CONCATENATE([2]Cover!$D$6,"fdd/view?i=",I6896)</f>
        <v>https://www.dgiwg.org/FAD/fdd/view?i=118961</v>
      </c>
      <c r="K6896" s="304" t="s">
        <v>40945</v>
      </c>
      <c r="L6896" s="188">
        <v>22</v>
      </c>
      <c r="M6896" s="179" t="s">
        <v>151</v>
      </c>
    </row>
    <row r="6897" spans="1:13" ht="25.5">
      <c r="A6897" s="313" t="str">
        <f t="shared" si="107"/>
        <v>TopmarkShapeCode_trianglePointDownward</v>
      </c>
      <c r="B6897" s="330"/>
      <c r="C6897" s="334"/>
      <c r="D6897" s="188" t="s">
        <v>31851</v>
      </c>
      <c r="E6897" s="189" t="s">
        <v>31852</v>
      </c>
      <c r="F6897" s="162" t="s">
        <v>31853</v>
      </c>
      <c r="G6897" s="162" t="s">
        <v>31799</v>
      </c>
      <c r="H6897" s="219"/>
      <c r="I6897" s="169">
        <v>118964</v>
      </c>
      <c r="J6897" s="304" t="str">
        <f>CONCATENATE([2]Cover!$D$6,"fdd/view?i=",I6897)</f>
        <v>https://www.dgiwg.org/FAD/fdd/view?i=118964</v>
      </c>
      <c r="K6897" s="304" t="s">
        <v>40946</v>
      </c>
      <c r="L6897" s="188">
        <v>25</v>
      </c>
      <c r="M6897" s="179" t="s">
        <v>151</v>
      </c>
    </row>
    <row r="6898" spans="1:13" ht="25.5">
      <c r="A6898" s="313" t="str">
        <f t="shared" si="107"/>
        <v>TopmarkShapeCode_trianglePointUpOverCircle</v>
      </c>
      <c r="B6898" s="330"/>
      <c r="C6898" s="334"/>
      <c r="D6898" s="188" t="s">
        <v>31857</v>
      </c>
      <c r="E6898" s="189" t="s">
        <v>31858</v>
      </c>
      <c r="F6898" s="162" t="s">
        <v>31859</v>
      </c>
      <c r="G6898" s="162" t="s">
        <v>31799</v>
      </c>
      <c r="H6898" s="219"/>
      <c r="I6898" s="169">
        <v>118968</v>
      </c>
      <c r="J6898" s="304" t="str">
        <f>CONCATENATE([2]Cover!$D$6,"fdd/view?i=",I6898)</f>
        <v>https://www.dgiwg.org/FAD/fdd/view?i=118968</v>
      </c>
      <c r="K6898" s="304" t="s">
        <v>40947</v>
      </c>
      <c r="L6898" s="188">
        <v>29</v>
      </c>
      <c r="M6898" s="179" t="s">
        <v>151</v>
      </c>
    </row>
    <row r="6899" spans="1:13" ht="25.5">
      <c r="A6899" s="313" t="str">
        <f t="shared" si="107"/>
        <v>TopmarkShapeCode_trianglePointUpward</v>
      </c>
      <c r="B6899" s="330"/>
      <c r="C6899" s="334"/>
      <c r="D6899" s="188" t="s">
        <v>31854</v>
      </c>
      <c r="E6899" s="189" t="s">
        <v>31855</v>
      </c>
      <c r="F6899" s="162" t="s">
        <v>31856</v>
      </c>
      <c r="G6899" s="162" t="s">
        <v>31799</v>
      </c>
      <c r="H6899" s="219"/>
      <c r="I6899" s="169">
        <v>118963</v>
      </c>
      <c r="J6899" s="304" t="str">
        <f>CONCATENATE([2]Cover!$D$6,"fdd/view?i=",I6899)</f>
        <v>https://www.dgiwg.org/FAD/fdd/view?i=118963</v>
      </c>
      <c r="K6899" s="304" t="s">
        <v>40948</v>
      </c>
      <c r="L6899" s="188">
        <v>24</v>
      </c>
      <c r="M6899" s="179" t="s">
        <v>151</v>
      </c>
    </row>
    <row r="6900" spans="1:13" ht="76.5">
      <c r="A6900" s="313" t="str">
        <f t="shared" si="107"/>
        <v>TopmarkShapeCode_twoConesBaseToBase</v>
      </c>
      <c r="B6900" s="330"/>
      <c r="C6900" s="334"/>
      <c r="D6900" s="188" t="s">
        <v>31750</v>
      </c>
      <c r="E6900" s="189" t="s">
        <v>31751</v>
      </c>
      <c r="F6900" s="162" t="s">
        <v>31752</v>
      </c>
      <c r="G6900" s="162" t="s">
        <v>31753</v>
      </c>
      <c r="H6900" s="219"/>
      <c r="I6900" s="169">
        <v>118950</v>
      </c>
      <c r="J6900" s="304" t="str">
        <f>CONCATENATE([2]Cover!$D$6,"fdd/view?i=",I6900)</f>
        <v>https://www.dgiwg.org/FAD/fdd/view?i=118950</v>
      </c>
      <c r="K6900" s="304" t="s">
        <v>40949</v>
      </c>
      <c r="L6900" s="188">
        <v>11</v>
      </c>
      <c r="M6900" s="179" t="s">
        <v>151</v>
      </c>
    </row>
    <row r="6901" spans="1:13" ht="76.5">
      <c r="A6901" s="313" t="str">
        <f t="shared" si="107"/>
        <v>TopmarkShapeCode_twoConesPointsDownward</v>
      </c>
      <c r="B6901" s="330"/>
      <c r="C6901" s="334"/>
      <c r="D6901" s="188" t="s">
        <v>31758</v>
      </c>
      <c r="E6901" s="189" t="s">
        <v>31759</v>
      </c>
      <c r="F6901" s="162" t="s">
        <v>31760</v>
      </c>
      <c r="G6901" s="162" t="s">
        <v>31761</v>
      </c>
      <c r="H6901" s="219"/>
      <c r="I6901" s="169">
        <v>118953</v>
      </c>
      <c r="J6901" s="304" t="str">
        <f>CONCATENATE([2]Cover!$D$6,"fdd/view?i=",I6901)</f>
        <v>https://www.dgiwg.org/FAD/fdd/view?i=118953</v>
      </c>
      <c r="K6901" s="304" t="s">
        <v>40950</v>
      </c>
      <c r="L6901" s="188">
        <v>14</v>
      </c>
      <c r="M6901" s="179" t="s">
        <v>151</v>
      </c>
    </row>
    <row r="6902" spans="1:13" ht="76.5">
      <c r="A6902" s="313" t="str">
        <f t="shared" si="107"/>
        <v>TopmarkShapeCode_twoConesPointsUpward</v>
      </c>
      <c r="B6902" s="330"/>
      <c r="C6902" s="334"/>
      <c r="D6902" s="188" t="s">
        <v>31762</v>
      </c>
      <c r="E6902" s="189" t="s">
        <v>31763</v>
      </c>
      <c r="F6902" s="162" t="s">
        <v>31764</v>
      </c>
      <c r="G6902" s="162" t="s">
        <v>31765</v>
      </c>
      <c r="H6902" s="219"/>
      <c r="I6902" s="169">
        <v>118952</v>
      </c>
      <c r="J6902" s="304" t="str">
        <f>CONCATENATE([2]Cover!$D$6,"fdd/view?i=",I6902)</f>
        <v>https://www.dgiwg.org/FAD/fdd/view?i=118952</v>
      </c>
      <c r="K6902" s="304" t="s">
        <v>40951</v>
      </c>
      <c r="L6902" s="188">
        <v>13</v>
      </c>
      <c r="M6902" s="179" t="s">
        <v>151</v>
      </c>
    </row>
    <row r="6903" spans="1:13" ht="76.5">
      <c r="A6903" s="313" t="str">
        <f t="shared" si="107"/>
        <v>TopmarkShapeCode_twoConesPointToPoint</v>
      </c>
      <c r="B6903" s="330"/>
      <c r="C6903" s="334"/>
      <c r="D6903" s="188" t="s">
        <v>31754</v>
      </c>
      <c r="E6903" s="189" t="s">
        <v>31755</v>
      </c>
      <c r="F6903" s="162" t="s">
        <v>31756</v>
      </c>
      <c r="G6903" s="162" t="s">
        <v>31757</v>
      </c>
      <c r="H6903" s="219"/>
      <c r="I6903" s="169">
        <v>118949</v>
      </c>
      <c r="J6903" s="304" t="str">
        <f>CONCATENATE([2]Cover!$D$6,"fdd/view?i=",I6903)</f>
        <v>https://www.dgiwg.org/FAD/fdd/view?i=118949</v>
      </c>
      <c r="K6903" s="304" t="s">
        <v>40952</v>
      </c>
      <c r="L6903" s="188">
        <v>10</v>
      </c>
      <c r="M6903" s="179" t="s">
        <v>151</v>
      </c>
    </row>
    <row r="6904" spans="1:13" ht="63.75">
      <c r="A6904" s="313" t="str">
        <f t="shared" si="107"/>
        <v>TopmarkShapeCode_twoSpheresOneOverOther</v>
      </c>
      <c r="B6904" s="330"/>
      <c r="C6904" s="334"/>
      <c r="D6904" s="188" t="s">
        <v>31766</v>
      </c>
      <c r="E6904" s="189" t="s">
        <v>31767</v>
      </c>
      <c r="F6904" s="162" t="s">
        <v>31768</v>
      </c>
      <c r="G6904" s="162" t="s">
        <v>31769</v>
      </c>
      <c r="H6904" s="221" t="s">
        <v>31770</v>
      </c>
      <c r="I6904" s="169">
        <v>118943</v>
      </c>
      <c r="J6904" s="304" t="str">
        <f>CONCATENATE([2]Cover!$D$6,"fdd/view?i=",I6904)</f>
        <v>https://www.dgiwg.org/FAD/fdd/view?i=118943</v>
      </c>
      <c r="K6904" s="304" t="s">
        <v>40953</v>
      </c>
      <c r="L6904" s="188">
        <v>4</v>
      </c>
      <c r="M6904" s="179" t="s">
        <v>151</v>
      </c>
    </row>
    <row r="6905" spans="1:13" ht="38.25">
      <c r="A6905" s="313" t="str">
        <f t="shared" si="107"/>
        <v>TopmarkShapeCode_twoUprightCrosses</v>
      </c>
      <c r="B6905" s="330"/>
      <c r="C6905" s="334"/>
      <c r="D6905" s="188" t="s">
        <v>31771</v>
      </c>
      <c r="E6905" s="189" t="s">
        <v>31772</v>
      </c>
      <c r="F6905" s="162" t="s">
        <v>31773</v>
      </c>
      <c r="G6905" s="162" t="s">
        <v>31774</v>
      </c>
      <c r="H6905" s="219"/>
      <c r="I6905" s="169">
        <v>118966</v>
      </c>
      <c r="J6905" s="304" t="str">
        <f>CONCATENATE([2]Cover!$D$6,"fdd/view?i=",I6905)</f>
        <v>https://www.dgiwg.org/FAD/fdd/view?i=118966</v>
      </c>
      <c r="K6905" s="304" t="s">
        <v>40954</v>
      </c>
      <c r="L6905" s="188">
        <v>27</v>
      </c>
      <c r="M6905" s="179" t="s">
        <v>151</v>
      </c>
    </row>
    <row r="6906" spans="1:13" ht="38.25">
      <c r="A6906" s="313" t="str">
        <f t="shared" si="107"/>
        <v>TopmarkShapeCode_uprightCrossOverCircle</v>
      </c>
      <c r="B6906" s="330"/>
      <c r="C6906" s="334"/>
      <c r="D6906" s="188" t="s">
        <v>31866</v>
      </c>
      <c r="E6906" s="189" t="s">
        <v>31867</v>
      </c>
      <c r="F6906" s="162" t="s">
        <v>31868</v>
      </c>
      <c r="G6906" s="162" t="s">
        <v>31774</v>
      </c>
      <c r="H6906" s="219"/>
      <c r="I6906" s="169">
        <v>118969</v>
      </c>
      <c r="J6906" s="304" t="str">
        <f>CONCATENATE([2]Cover!$D$6,"fdd/view?i=",I6906)</f>
        <v>https://www.dgiwg.org/FAD/fdd/view?i=118969</v>
      </c>
      <c r="K6906" s="304" t="s">
        <v>40955</v>
      </c>
      <c r="L6906" s="188">
        <v>30</v>
      </c>
      <c r="M6906" s="179" t="s">
        <v>151</v>
      </c>
    </row>
    <row r="6907" spans="1:13" ht="38.25">
      <c r="A6907" s="313" t="str">
        <f t="shared" si="107"/>
        <v>TopmarkShapeCode_verticalRectangle</v>
      </c>
      <c r="B6907" s="331"/>
      <c r="C6907" s="335"/>
      <c r="D6907" s="181" t="s">
        <v>31869</v>
      </c>
      <c r="E6907" s="192" t="s">
        <v>31870</v>
      </c>
      <c r="F6907" s="193" t="s">
        <v>31871</v>
      </c>
      <c r="G6907" s="193" t="s">
        <v>31833</v>
      </c>
      <c r="H6907" s="220"/>
      <c r="I6907" s="169">
        <v>118960</v>
      </c>
      <c r="J6907" s="304" t="str">
        <f>CONCATENATE([2]Cover!$D$6,"fdd/view?i=",I6907)</f>
        <v>https://www.dgiwg.org/FAD/fdd/view?i=118960</v>
      </c>
      <c r="K6907" s="304" t="s">
        <v>40956</v>
      </c>
      <c r="L6907" s="181">
        <v>21</v>
      </c>
      <c r="M6907" s="179" t="s">
        <v>151</v>
      </c>
    </row>
    <row r="6908" spans="1:13" ht="51">
      <c r="A6908" s="313" t="str">
        <f t="shared" si="107"/>
        <v>TowerShapeCode_frameShapedLikeA</v>
      </c>
      <c r="B6908" s="332" t="str">
        <f>HYPERLINK("[#]Datatypes!A1452:L1452","TowerShapeCode")</f>
        <v>TowerShapeCode</v>
      </c>
      <c r="C6908" s="333" t="s">
        <v>13088</v>
      </c>
      <c r="D6908" s="202" t="s">
        <v>31877</v>
      </c>
      <c r="E6908" s="225" t="s">
        <v>31878</v>
      </c>
      <c r="F6908" s="204" t="s">
        <v>31879</v>
      </c>
      <c r="G6908" s="204" t="s">
        <v>31880</v>
      </c>
      <c r="H6908" s="218"/>
      <c r="I6908" s="169">
        <v>109853</v>
      </c>
      <c r="J6908" s="304" t="str">
        <f>CONCATENATE([2]Cover!$D$6,"fdd/view?i=",I6908)</f>
        <v>https://www.dgiwg.org/FAD/fdd/view?i=109853</v>
      </c>
      <c r="K6908" s="304" t="s">
        <v>40957</v>
      </c>
      <c r="L6908" s="202">
        <v>1</v>
      </c>
      <c r="M6908" s="179" t="s">
        <v>151</v>
      </c>
    </row>
    <row r="6909" spans="1:13" ht="51">
      <c r="A6909" s="313" t="str">
        <f t="shared" si="107"/>
        <v>TowerShapeCode_frameShapedLikeH</v>
      </c>
      <c r="B6909" s="330"/>
      <c r="C6909" s="334"/>
      <c r="D6909" s="188" t="s">
        <v>31881</v>
      </c>
      <c r="E6909" s="226" t="s">
        <v>31882</v>
      </c>
      <c r="F6909" s="162" t="s">
        <v>31883</v>
      </c>
      <c r="G6909" s="162" t="s">
        <v>31880</v>
      </c>
      <c r="H6909" s="219"/>
      <c r="I6909" s="169">
        <v>109858</v>
      </c>
      <c r="J6909" s="304" t="str">
        <f>CONCATENATE([2]Cover!$D$6,"fdd/view?i=",I6909)</f>
        <v>https://www.dgiwg.org/FAD/fdd/view?i=109858</v>
      </c>
      <c r="K6909" s="304" t="s">
        <v>40958</v>
      </c>
      <c r="L6909" s="188">
        <v>2</v>
      </c>
      <c r="M6909" s="179" t="s">
        <v>151</v>
      </c>
    </row>
    <row r="6910" spans="1:13" ht="51">
      <c r="A6910" s="313" t="str">
        <f t="shared" si="107"/>
        <v>TowerShapeCode_frameShapedLikeI</v>
      </c>
      <c r="B6910" s="330"/>
      <c r="C6910" s="334"/>
      <c r="D6910" s="188" t="s">
        <v>31884</v>
      </c>
      <c r="E6910" s="226" t="s">
        <v>31885</v>
      </c>
      <c r="F6910" s="162" t="s">
        <v>31886</v>
      </c>
      <c r="G6910" s="162" t="s">
        <v>31880</v>
      </c>
      <c r="H6910" s="219"/>
      <c r="I6910" s="169">
        <v>109859</v>
      </c>
      <c r="J6910" s="304" t="str">
        <f>CONCATENATE([2]Cover!$D$6,"fdd/view?i=",I6910)</f>
        <v>https://www.dgiwg.org/FAD/fdd/view?i=109859</v>
      </c>
      <c r="K6910" s="304" t="s">
        <v>40959</v>
      </c>
      <c r="L6910" s="188">
        <v>3</v>
      </c>
      <c r="M6910" s="179" t="s">
        <v>151</v>
      </c>
    </row>
    <row r="6911" spans="1:13" ht="51">
      <c r="A6911" s="313" t="str">
        <f t="shared" si="107"/>
        <v>TowerShapeCode_frameShapedLikeT</v>
      </c>
      <c r="B6911" s="330"/>
      <c r="C6911" s="334"/>
      <c r="D6911" s="188" t="s">
        <v>31896</v>
      </c>
      <c r="E6911" s="226" t="s">
        <v>31897</v>
      </c>
      <c r="F6911" s="162" t="s">
        <v>31898</v>
      </c>
      <c r="G6911" s="162" t="s">
        <v>31880</v>
      </c>
      <c r="H6911" s="219"/>
      <c r="I6911" s="169">
        <v>109860</v>
      </c>
      <c r="J6911" s="304" t="str">
        <f>CONCATENATE([2]Cover!$D$6,"fdd/view?i=",I6911)</f>
        <v>https://www.dgiwg.org/FAD/fdd/view?i=109860</v>
      </c>
      <c r="K6911" s="304" t="s">
        <v>40960</v>
      </c>
      <c r="L6911" s="188">
        <v>4</v>
      </c>
      <c r="M6911" s="179" t="s">
        <v>151</v>
      </c>
    </row>
    <row r="6912" spans="1:13" ht="51">
      <c r="A6912" s="313" t="str">
        <f t="shared" si="107"/>
        <v>TowerShapeCode_frameShapedLikeY</v>
      </c>
      <c r="B6912" s="330"/>
      <c r="C6912" s="334"/>
      <c r="D6912" s="188" t="s">
        <v>31911</v>
      </c>
      <c r="E6912" s="226" t="s">
        <v>31912</v>
      </c>
      <c r="F6912" s="162" t="s">
        <v>31913</v>
      </c>
      <c r="G6912" s="162" t="s">
        <v>31880</v>
      </c>
      <c r="H6912" s="219"/>
      <c r="I6912" s="169">
        <v>109861</v>
      </c>
      <c r="J6912" s="304" t="str">
        <f>CONCATENATE([2]Cover!$D$6,"fdd/view?i=",I6912)</f>
        <v>https://www.dgiwg.org/FAD/fdd/view?i=109861</v>
      </c>
      <c r="K6912" s="304" t="s">
        <v>40961</v>
      </c>
      <c r="L6912" s="188">
        <v>5</v>
      </c>
      <c r="M6912" s="179" t="s">
        <v>151</v>
      </c>
    </row>
    <row r="6913" spans="1:13" ht="25.5">
      <c r="A6913" s="313" t="str">
        <f t="shared" si="107"/>
        <v>TowerShapeCode_mast</v>
      </c>
      <c r="B6913" s="330"/>
      <c r="C6913" s="334"/>
      <c r="D6913" s="188" t="s">
        <v>31887</v>
      </c>
      <c r="E6913" s="189" t="s">
        <v>31888</v>
      </c>
      <c r="F6913" s="162" t="s">
        <v>31889</v>
      </c>
      <c r="G6913" s="162" t="s">
        <v>31890</v>
      </c>
      <c r="H6913" s="219"/>
      <c r="I6913" s="169">
        <v>109862</v>
      </c>
      <c r="J6913" s="304" t="str">
        <f>CONCATENATE([2]Cover!$D$6,"fdd/view?i=",I6913)</f>
        <v>https://www.dgiwg.org/FAD/fdd/view?i=109862</v>
      </c>
      <c r="K6913" s="304" t="s">
        <v>40962</v>
      </c>
      <c r="L6913" s="188">
        <v>6</v>
      </c>
      <c r="M6913" s="179" t="s">
        <v>151</v>
      </c>
    </row>
    <row r="6914" spans="1:13">
      <c r="A6914" s="313" t="str">
        <f t="shared" si="107"/>
        <v>TowerShapeCode_obelisk</v>
      </c>
      <c r="B6914" s="330"/>
      <c r="C6914" s="334"/>
      <c r="D6914" s="188" t="s">
        <v>30790</v>
      </c>
      <c r="E6914" s="189" t="s">
        <v>30791</v>
      </c>
      <c r="F6914" s="162" t="s">
        <v>30792</v>
      </c>
      <c r="G6914" s="190"/>
      <c r="H6914" s="219"/>
      <c r="I6914" s="169">
        <v>109863</v>
      </c>
      <c r="J6914" s="304" t="str">
        <f>CONCATENATE([2]Cover!$D$6,"fdd/view?i=",I6914)</f>
        <v>https://www.dgiwg.org/FAD/fdd/view?i=109863</v>
      </c>
      <c r="K6914" s="304" t="s">
        <v>40963</v>
      </c>
      <c r="L6914" s="188">
        <v>7</v>
      </c>
      <c r="M6914" s="179" t="s">
        <v>151</v>
      </c>
    </row>
    <row r="6915" spans="1:13" ht="38.25">
      <c r="A6915" s="313" t="str">
        <f t="shared" ref="A6915:A6978" si="108">HYPERLINK(J6915,K6915)</f>
        <v>TowerShapeCode_pole</v>
      </c>
      <c r="B6915" s="330"/>
      <c r="C6915" s="334"/>
      <c r="D6915" s="188" t="s">
        <v>31891</v>
      </c>
      <c r="E6915" s="189" t="s">
        <v>31892</v>
      </c>
      <c r="F6915" s="162" t="s">
        <v>31893</v>
      </c>
      <c r="G6915" s="162" t="s">
        <v>31894</v>
      </c>
      <c r="H6915" s="219"/>
      <c r="I6915" s="169">
        <v>109864</v>
      </c>
      <c r="J6915" s="304" t="str">
        <f>CONCATENATE([2]Cover!$D$6,"fdd/view?i=",I6915)</f>
        <v>https://www.dgiwg.org/FAD/fdd/view?i=109864</v>
      </c>
      <c r="K6915" s="304" t="s">
        <v>40964</v>
      </c>
      <c r="L6915" s="188">
        <v>8</v>
      </c>
      <c r="M6915" s="179" t="s">
        <v>151</v>
      </c>
    </row>
    <row r="6916" spans="1:13" ht="25.5">
      <c r="A6916" s="313" t="str">
        <f t="shared" si="108"/>
        <v>TowerShapeCode_rectangularPrism</v>
      </c>
      <c r="B6916" s="330"/>
      <c r="C6916" s="334"/>
      <c r="D6916" s="188" t="s">
        <v>30797</v>
      </c>
      <c r="E6916" s="189" t="s">
        <v>30798</v>
      </c>
      <c r="F6916" s="162" t="s">
        <v>30799</v>
      </c>
      <c r="G6916" s="162" t="s">
        <v>31895</v>
      </c>
      <c r="H6916" s="219"/>
      <c r="I6916" s="169">
        <v>109865</v>
      </c>
      <c r="J6916" s="304" t="str">
        <f>CONCATENATE([2]Cover!$D$6,"fdd/view?i=",I6916)</f>
        <v>https://www.dgiwg.org/FAD/fdd/view?i=109865</v>
      </c>
      <c r="K6916" s="304" t="s">
        <v>40965</v>
      </c>
      <c r="L6916" s="188">
        <v>9</v>
      </c>
      <c r="M6916" s="179" t="s">
        <v>151</v>
      </c>
    </row>
    <row r="6917" spans="1:13" ht="25.5">
      <c r="A6917" s="313" t="str">
        <f t="shared" si="108"/>
        <v>TowerShapeCode_squarePrism</v>
      </c>
      <c r="B6917" s="330"/>
      <c r="C6917" s="334"/>
      <c r="D6917" s="188" t="s">
        <v>30806</v>
      </c>
      <c r="E6917" s="189" t="s">
        <v>30807</v>
      </c>
      <c r="F6917" s="162" t="s">
        <v>30808</v>
      </c>
      <c r="G6917" s="162" t="s">
        <v>31895</v>
      </c>
      <c r="H6917" s="219"/>
      <c r="I6917" s="169">
        <v>109854</v>
      </c>
      <c r="J6917" s="304" t="str">
        <f>CONCATENATE([2]Cover!$D$6,"fdd/view?i=",I6917)</f>
        <v>https://www.dgiwg.org/FAD/fdd/view?i=109854</v>
      </c>
      <c r="K6917" s="304" t="s">
        <v>40966</v>
      </c>
      <c r="L6917" s="188">
        <v>10</v>
      </c>
      <c r="M6917" s="179" t="s">
        <v>151</v>
      </c>
    </row>
    <row r="6918" spans="1:13" ht="38.25">
      <c r="A6918" s="313" t="str">
        <f t="shared" si="108"/>
        <v>TowerShapeCode_towerMill</v>
      </c>
      <c r="B6918" s="330"/>
      <c r="C6918" s="334"/>
      <c r="D6918" s="188" t="s">
        <v>31899</v>
      </c>
      <c r="E6918" s="189" t="s">
        <v>31900</v>
      </c>
      <c r="F6918" s="162" t="s">
        <v>31901</v>
      </c>
      <c r="G6918" s="162" t="s">
        <v>31902</v>
      </c>
      <c r="H6918" s="219"/>
      <c r="I6918" s="169">
        <v>117966</v>
      </c>
      <c r="J6918" s="304" t="str">
        <f>CONCATENATE([2]Cover!$D$6,"fdd/view?i=",I6918)</f>
        <v>https://www.dgiwg.org/FAD/fdd/view?i=117966</v>
      </c>
      <c r="K6918" s="304" t="s">
        <v>40967</v>
      </c>
      <c r="L6918" s="188">
        <v>14</v>
      </c>
      <c r="M6918" s="179" t="s">
        <v>151</v>
      </c>
    </row>
    <row r="6919" spans="1:13">
      <c r="A6919" s="313" t="str">
        <f t="shared" si="108"/>
        <v>TowerShapeCode_tripod</v>
      </c>
      <c r="B6919" s="330"/>
      <c r="C6919" s="334"/>
      <c r="D6919" s="188" t="s">
        <v>31903</v>
      </c>
      <c r="E6919" s="189" t="s">
        <v>31904</v>
      </c>
      <c r="F6919" s="162" t="s">
        <v>31905</v>
      </c>
      <c r="G6919" s="190"/>
      <c r="H6919" s="219"/>
      <c r="I6919" s="169">
        <v>109855</v>
      </c>
      <c r="J6919" s="304" t="str">
        <f>CONCATENATE([2]Cover!$D$6,"fdd/view?i=",I6919)</f>
        <v>https://www.dgiwg.org/FAD/fdd/view?i=109855</v>
      </c>
      <c r="K6919" s="304" t="s">
        <v>40968</v>
      </c>
      <c r="L6919" s="188">
        <v>11</v>
      </c>
      <c r="M6919" s="179" t="s">
        <v>151</v>
      </c>
    </row>
    <row r="6920" spans="1:13" ht="25.5">
      <c r="A6920" s="313" t="str">
        <f t="shared" si="108"/>
        <v>TowerShapeCode_truss</v>
      </c>
      <c r="B6920" s="330"/>
      <c r="C6920" s="334"/>
      <c r="D6920" s="188" t="s">
        <v>18392</v>
      </c>
      <c r="E6920" s="189" t="s">
        <v>18393</v>
      </c>
      <c r="F6920" s="162" t="s">
        <v>31906</v>
      </c>
      <c r="G6920" s="162" t="s">
        <v>31907</v>
      </c>
      <c r="H6920" s="219"/>
      <c r="I6920" s="169">
        <v>109856</v>
      </c>
      <c r="J6920" s="304" t="str">
        <f>CONCATENATE([2]Cover!$D$6,"fdd/view?i=",I6920)</f>
        <v>https://www.dgiwg.org/FAD/fdd/view?i=109856</v>
      </c>
      <c r="K6920" s="304" t="s">
        <v>40969</v>
      </c>
      <c r="L6920" s="188">
        <v>12</v>
      </c>
      <c r="M6920" s="179" t="s">
        <v>151</v>
      </c>
    </row>
    <row r="6921" spans="1:13" ht="25.5">
      <c r="A6921" s="313" t="str">
        <f t="shared" si="108"/>
        <v>TowerShapeCode_tubular</v>
      </c>
      <c r="B6921" s="331"/>
      <c r="C6921" s="335"/>
      <c r="D6921" s="181" t="s">
        <v>31908</v>
      </c>
      <c r="E6921" s="192" t="s">
        <v>31909</v>
      </c>
      <c r="F6921" s="193" t="s">
        <v>31910</v>
      </c>
      <c r="G6921" s="194"/>
      <c r="H6921" s="220"/>
      <c r="I6921" s="169">
        <v>109857</v>
      </c>
      <c r="J6921" s="304" t="str">
        <f>CONCATENATE([2]Cover!$D$6,"fdd/view?i=",I6921)</f>
        <v>https://www.dgiwg.org/FAD/fdd/view?i=109857</v>
      </c>
      <c r="K6921" s="304" t="s">
        <v>40970</v>
      </c>
      <c r="L6921" s="181">
        <v>13</v>
      </c>
      <c r="M6921" s="179" t="s">
        <v>151</v>
      </c>
    </row>
    <row r="6922" spans="1:13" ht="25.5">
      <c r="A6922" s="313" t="str">
        <f t="shared" si="108"/>
        <v>TowerTypeCode_dropTower</v>
      </c>
      <c r="B6922" s="332" t="str">
        <f>HYPERLINK("[#]Datatypes!A1454:L1454","TowerTypeCode")</f>
        <v>TowerTypeCode</v>
      </c>
      <c r="C6922" s="333" t="s">
        <v>13090</v>
      </c>
      <c r="D6922" s="202" t="s">
        <v>31914</v>
      </c>
      <c r="E6922" s="203" t="s">
        <v>31915</v>
      </c>
      <c r="F6922" s="204" t="s">
        <v>31916</v>
      </c>
      <c r="G6922" s="205"/>
      <c r="H6922" s="218"/>
      <c r="I6922" s="169">
        <v>112841</v>
      </c>
      <c r="J6922" s="304" t="str">
        <f>CONCATENATE([2]Cover!$D$6,"fdd/view?i=",I6922)</f>
        <v>https://www.dgiwg.org/FAD/fdd/view?i=112841</v>
      </c>
      <c r="K6922" s="304" t="s">
        <v>40971</v>
      </c>
      <c r="L6922" s="202">
        <v>23</v>
      </c>
      <c r="M6922" s="179" t="s">
        <v>151</v>
      </c>
    </row>
    <row r="6923" spans="1:13" ht="38.25">
      <c r="A6923" s="313" t="str">
        <f t="shared" si="108"/>
        <v>TowerTypeCode_fireTower</v>
      </c>
      <c r="B6923" s="330"/>
      <c r="C6923" s="334"/>
      <c r="D6923" s="188" t="s">
        <v>31917</v>
      </c>
      <c r="E6923" s="189" t="s">
        <v>31918</v>
      </c>
      <c r="F6923" s="162" t="s">
        <v>31919</v>
      </c>
      <c r="G6923" s="162" t="s">
        <v>31920</v>
      </c>
      <c r="H6923" s="219"/>
      <c r="I6923" s="169">
        <v>108786</v>
      </c>
      <c r="J6923" s="304" t="str">
        <f>CONCATENATE([2]Cover!$D$6,"fdd/view?i=",I6923)</f>
        <v>https://www.dgiwg.org/FAD/fdd/view?i=108786</v>
      </c>
      <c r="K6923" s="304" t="s">
        <v>40972</v>
      </c>
      <c r="L6923" s="188">
        <v>12</v>
      </c>
      <c r="M6923" s="179" t="s">
        <v>151</v>
      </c>
    </row>
    <row r="6924" spans="1:13" ht="38.25">
      <c r="A6924" s="313" t="str">
        <f t="shared" si="108"/>
        <v>TowerTypeCode_guardTower</v>
      </c>
      <c r="B6924" s="330"/>
      <c r="C6924" s="334"/>
      <c r="D6924" s="188" t="s">
        <v>31921</v>
      </c>
      <c r="E6924" s="189" t="s">
        <v>31922</v>
      </c>
      <c r="F6924" s="162" t="s">
        <v>31923</v>
      </c>
      <c r="G6924" s="162" t="s">
        <v>31924</v>
      </c>
      <c r="H6924" s="219"/>
      <c r="I6924" s="169">
        <v>112839</v>
      </c>
      <c r="J6924" s="304" t="str">
        <f>CONCATENATE([2]Cover!$D$6,"fdd/view?i=",I6924)</f>
        <v>https://www.dgiwg.org/FAD/fdd/view?i=112839</v>
      </c>
      <c r="K6924" s="304" t="s">
        <v>40973</v>
      </c>
      <c r="L6924" s="188">
        <v>21</v>
      </c>
      <c r="M6924" s="179" t="s">
        <v>151</v>
      </c>
    </row>
    <row r="6925" spans="1:13" ht="38.25">
      <c r="A6925" s="313" t="str">
        <f t="shared" si="108"/>
        <v>TowerTypeCode_industrialTower</v>
      </c>
      <c r="B6925" s="330"/>
      <c r="C6925" s="334"/>
      <c r="D6925" s="188" t="s">
        <v>31925</v>
      </c>
      <c r="E6925" s="189" t="s">
        <v>31926</v>
      </c>
      <c r="F6925" s="162" t="s">
        <v>31927</v>
      </c>
      <c r="G6925" s="162" t="s">
        <v>31928</v>
      </c>
      <c r="H6925" s="219"/>
      <c r="I6925" s="169">
        <v>112840</v>
      </c>
      <c r="J6925" s="304" t="str">
        <f>CONCATENATE([2]Cover!$D$6,"fdd/view?i=",I6925)</f>
        <v>https://www.dgiwg.org/FAD/fdd/view?i=112840</v>
      </c>
      <c r="K6925" s="304" t="s">
        <v>40974</v>
      </c>
      <c r="L6925" s="188">
        <v>22</v>
      </c>
      <c r="M6925" s="179" t="s">
        <v>151</v>
      </c>
    </row>
    <row r="6926" spans="1:13">
      <c r="A6926" s="313" t="str">
        <f t="shared" si="108"/>
        <v>TowerTypeCode_lookoutTower</v>
      </c>
      <c r="B6926" s="330"/>
      <c r="C6926" s="334"/>
      <c r="D6926" s="188" t="s">
        <v>31929</v>
      </c>
      <c r="E6926" s="189" t="s">
        <v>31930</v>
      </c>
      <c r="F6926" s="162" t="s">
        <v>31931</v>
      </c>
      <c r="G6926" s="162" t="s">
        <v>31932</v>
      </c>
      <c r="H6926" s="219"/>
      <c r="I6926" s="169">
        <v>108784</v>
      </c>
      <c r="J6926" s="304" t="str">
        <f>CONCATENATE([2]Cover!$D$6,"fdd/view?i=",I6926)</f>
        <v>https://www.dgiwg.org/FAD/fdd/view?i=108784</v>
      </c>
      <c r="K6926" s="304" t="s">
        <v>40975</v>
      </c>
      <c r="L6926" s="188">
        <v>10</v>
      </c>
      <c r="M6926" s="179" t="s">
        <v>151</v>
      </c>
    </row>
    <row r="6927" spans="1:13">
      <c r="A6927" s="313" t="str">
        <f t="shared" si="108"/>
        <v>TowerTypeCode_observationTower</v>
      </c>
      <c r="B6927" s="330"/>
      <c r="C6927" s="334"/>
      <c r="D6927" s="188" t="s">
        <v>31933</v>
      </c>
      <c r="E6927" s="189" t="s">
        <v>31934</v>
      </c>
      <c r="F6927" s="162" t="s">
        <v>31935</v>
      </c>
      <c r="G6927" s="162" t="s">
        <v>31936</v>
      </c>
      <c r="H6927" s="219"/>
      <c r="I6927" s="169">
        <v>108776</v>
      </c>
      <c r="J6927" s="304" t="str">
        <f>CONCATENATE([2]Cover!$D$6,"fdd/view?i=",I6927)</f>
        <v>https://www.dgiwg.org/FAD/fdd/view?i=108776</v>
      </c>
      <c r="K6927" s="304" t="s">
        <v>40976</v>
      </c>
      <c r="L6927" s="188">
        <v>2</v>
      </c>
      <c r="M6927" s="179" t="s">
        <v>151</v>
      </c>
    </row>
    <row r="6928" spans="1:13" ht="63.75">
      <c r="A6928" s="313" t="str">
        <f t="shared" si="108"/>
        <v>TowerTypeCode_solarPowerTower</v>
      </c>
      <c r="B6928" s="330"/>
      <c r="C6928" s="334"/>
      <c r="D6928" s="188" t="s">
        <v>31937</v>
      </c>
      <c r="E6928" s="189" t="s">
        <v>31938</v>
      </c>
      <c r="F6928" s="162" t="s">
        <v>31939</v>
      </c>
      <c r="G6928" s="162" t="s">
        <v>31940</v>
      </c>
      <c r="H6928" s="219"/>
      <c r="I6928" s="169">
        <v>119112</v>
      </c>
      <c r="J6928" s="304" t="str">
        <f>CONCATENATE([2]Cover!$D$6,"fdd/view?i=",I6928)</f>
        <v>https://www.dgiwg.org/FAD/fdd/view?i=119112</v>
      </c>
      <c r="K6928" s="304" t="s">
        <v>40977</v>
      </c>
      <c r="L6928" s="188">
        <v>24</v>
      </c>
      <c r="M6928" s="179" t="s">
        <v>151</v>
      </c>
    </row>
    <row r="6929" spans="1:13" ht="25.5">
      <c r="A6929" s="313" t="str">
        <f t="shared" si="108"/>
        <v>TowerTypeCode_telecommunicationTower</v>
      </c>
      <c r="B6929" s="331"/>
      <c r="C6929" s="335"/>
      <c r="D6929" s="181" t="s">
        <v>31941</v>
      </c>
      <c r="E6929" s="192" t="s">
        <v>31942</v>
      </c>
      <c r="F6929" s="193" t="s">
        <v>31943</v>
      </c>
      <c r="G6929" s="194"/>
      <c r="H6929" s="220"/>
      <c r="I6929" s="169">
        <v>112838</v>
      </c>
      <c r="J6929" s="304" t="str">
        <f>CONCATENATE([2]Cover!$D$6,"fdd/view?i=",I6929)</f>
        <v>https://www.dgiwg.org/FAD/fdd/view?i=112838</v>
      </c>
      <c r="K6929" s="304" t="s">
        <v>40978</v>
      </c>
      <c r="L6929" s="181">
        <v>20</v>
      </c>
      <c r="M6929" s="179" t="s">
        <v>151</v>
      </c>
    </row>
    <row r="6930" spans="1:13" ht="38.25">
      <c r="A6930" s="313" t="str">
        <f t="shared" si="108"/>
        <v>TrackTypeCode_craneTrack</v>
      </c>
      <c r="B6930" s="332" t="str">
        <f>HYPERLINK("[#]Datatypes!A1456:L1456","TrackTypeCode")</f>
        <v>TrackTypeCode</v>
      </c>
      <c r="C6930" s="333" t="s">
        <v>13092</v>
      </c>
      <c r="D6930" s="202" t="s">
        <v>31944</v>
      </c>
      <c r="E6930" s="203" t="s">
        <v>31945</v>
      </c>
      <c r="F6930" s="204" t="s">
        <v>31946</v>
      </c>
      <c r="G6930" s="204" t="s">
        <v>31947</v>
      </c>
      <c r="H6930" s="218"/>
      <c r="I6930" s="169">
        <v>109866</v>
      </c>
      <c r="J6930" s="304" t="str">
        <f>CONCATENATE([2]Cover!$D$6,"fdd/view?i=",I6930)</f>
        <v>https://www.dgiwg.org/FAD/fdd/view?i=109866</v>
      </c>
      <c r="K6930" s="304" t="s">
        <v>40979</v>
      </c>
      <c r="L6930" s="202">
        <v>1</v>
      </c>
      <c r="M6930" s="179" t="s">
        <v>151</v>
      </c>
    </row>
    <row r="6931" spans="1:13" ht="25.5">
      <c r="A6931" s="313" t="str">
        <f t="shared" si="108"/>
        <v>TrackTypeCode_drillTrack</v>
      </c>
      <c r="B6931" s="330"/>
      <c r="C6931" s="334"/>
      <c r="D6931" s="188" t="s">
        <v>31948</v>
      </c>
      <c r="E6931" s="189" t="s">
        <v>31949</v>
      </c>
      <c r="F6931" s="162" t="s">
        <v>31950</v>
      </c>
      <c r="G6931" s="190"/>
      <c r="H6931" s="219"/>
      <c r="I6931" s="169">
        <v>109869</v>
      </c>
      <c r="J6931" s="304" t="str">
        <f>CONCATENATE([2]Cover!$D$6,"fdd/view?i=",I6931)</f>
        <v>https://www.dgiwg.org/FAD/fdd/view?i=109869</v>
      </c>
      <c r="K6931" s="304" t="s">
        <v>40980</v>
      </c>
      <c r="L6931" s="188">
        <v>2</v>
      </c>
      <c r="M6931" s="179" t="s">
        <v>151</v>
      </c>
    </row>
    <row r="6932" spans="1:13" ht="25.5">
      <c r="A6932" s="313" t="str">
        <f t="shared" si="108"/>
        <v>TrackTypeCode_houseTrack</v>
      </c>
      <c r="B6932" s="330"/>
      <c r="C6932" s="334"/>
      <c r="D6932" s="188" t="s">
        <v>31951</v>
      </c>
      <c r="E6932" s="189" t="s">
        <v>31952</v>
      </c>
      <c r="F6932" s="162" t="s">
        <v>31953</v>
      </c>
      <c r="G6932" s="162" t="s">
        <v>31954</v>
      </c>
      <c r="H6932" s="219"/>
      <c r="I6932" s="169">
        <v>109870</v>
      </c>
      <c r="J6932" s="304" t="str">
        <f>CONCATENATE([2]Cover!$D$6,"fdd/view?i=",I6932)</f>
        <v>https://www.dgiwg.org/FAD/fdd/view?i=109870</v>
      </c>
      <c r="K6932" s="304" t="s">
        <v>40981</v>
      </c>
      <c r="L6932" s="188">
        <v>3</v>
      </c>
      <c r="M6932" s="179" t="s">
        <v>151</v>
      </c>
    </row>
    <row r="6933" spans="1:13" ht="25.5">
      <c r="A6933" s="313" t="str">
        <f t="shared" si="108"/>
        <v>TrackTypeCode_jointTrack</v>
      </c>
      <c r="B6933" s="330"/>
      <c r="C6933" s="334"/>
      <c r="D6933" s="188" t="s">
        <v>31955</v>
      </c>
      <c r="E6933" s="189" t="s">
        <v>31956</v>
      </c>
      <c r="F6933" s="162" t="s">
        <v>31957</v>
      </c>
      <c r="G6933" s="190"/>
      <c r="H6933" s="219"/>
      <c r="I6933" s="169">
        <v>109871</v>
      </c>
      <c r="J6933" s="304" t="str">
        <f>CONCATENATE([2]Cover!$D$6,"fdd/view?i=",I6933)</f>
        <v>https://www.dgiwg.org/FAD/fdd/view?i=109871</v>
      </c>
      <c r="K6933" s="304" t="s">
        <v>40982</v>
      </c>
      <c r="L6933" s="188">
        <v>4</v>
      </c>
      <c r="M6933" s="179" t="s">
        <v>151</v>
      </c>
    </row>
    <row r="6934" spans="1:13" ht="25.5">
      <c r="A6934" s="313" t="str">
        <f t="shared" si="108"/>
        <v>TrackTypeCode_ladderTrack</v>
      </c>
      <c r="B6934" s="330"/>
      <c r="C6934" s="334"/>
      <c r="D6934" s="188" t="s">
        <v>31958</v>
      </c>
      <c r="E6934" s="189" t="s">
        <v>31959</v>
      </c>
      <c r="F6934" s="162" t="s">
        <v>31960</v>
      </c>
      <c r="G6934" s="190"/>
      <c r="H6934" s="219"/>
      <c r="I6934" s="169">
        <v>109872</v>
      </c>
      <c r="J6934" s="304" t="str">
        <f>CONCATENATE([2]Cover!$D$6,"fdd/view?i=",I6934)</f>
        <v>https://www.dgiwg.org/FAD/fdd/view?i=109872</v>
      </c>
      <c r="K6934" s="304" t="s">
        <v>40983</v>
      </c>
      <c r="L6934" s="188">
        <v>5</v>
      </c>
      <c r="M6934" s="179" t="s">
        <v>151</v>
      </c>
    </row>
    <row r="6935" spans="1:13" ht="25.5">
      <c r="A6935" s="313" t="str">
        <f t="shared" si="108"/>
        <v>TrackTypeCode_maglev</v>
      </c>
      <c r="B6935" s="330"/>
      <c r="C6935" s="334"/>
      <c r="D6935" s="188" t="s">
        <v>31961</v>
      </c>
      <c r="E6935" s="189" t="s">
        <v>31962</v>
      </c>
      <c r="F6935" s="162" t="s">
        <v>31963</v>
      </c>
      <c r="G6935" s="162" t="s">
        <v>31964</v>
      </c>
      <c r="H6935" s="219"/>
      <c r="I6935" s="169">
        <v>110574</v>
      </c>
      <c r="J6935" s="304" t="str">
        <f>CONCATENATE([2]Cover!$D$6,"fdd/view?i=",I6935)</f>
        <v>https://www.dgiwg.org/FAD/fdd/view?i=110574</v>
      </c>
      <c r="K6935" s="304" t="s">
        <v>40984</v>
      </c>
      <c r="L6935" s="188">
        <v>13</v>
      </c>
      <c r="M6935" s="179" t="s">
        <v>151</v>
      </c>
    </row>
    <row r="6936" spans="1:13" ht="25.5">
      <c r="A6936" s="313" t="str">
        <f t="shared" si="108"/>
        <v>TrackTypeCode_monorail</v>
      </c>
      <c r="B6936" s="330"/>
      <c r="C6936" s="334"/>
      <c r="D6936" s="188" t="s">
        <v>31965</v>
      </c>
      <c r="E6936" s="189" t="s">
        <v>31966</v>
      </c>
      <c r="F6936" s="162" t="s">
        <v>31967</v>
      </c>
      <c r="G6936" s="190"/>
      <c r="H6936" s="219"/>
      <c r="I6936" s="169">
        <v>110573</v>
      </c>
      <c r="J6936" s="304" t="str">
        <f>CONCATENATE([2]Cover!$D$6,"fdd/view?i=",I6936)</f>
        <v>https://www.dgiwg.org/FAD/fdd/view?i=110573</v>
      </c>
      <c r="K6936" s="304" t="s">
        <v>40985</v>
      </c>
      <c r="L6936" s="188">
        <v>12</v>
      </c>
      <c r="M6936" s="179" t="s">
        <v>151</v>
      </c>
    </row>
    <row r="6937" spans="1:13" ht="51">
      <c r="A6937" s="313" t="str">
        <f t="shared" si="108"/>
        <v>TrackTypeCode_pairedTrack</v>
      </c>
      <c r="B6937" s="330"/>
      <c r="C6937" s="334"/>
      <c r="D6937" s="188" t="s">
        <v>31968</v>
      </c>
      <c r="E6937" s="189" t="s">
        <v>31969</v>
      </c>
      <c r="F6937" s="162" t="s">
        <v>31970</v>
      </c>
      <c r="G6937" s="190"/>
      <c r="H6937" s="219"/>
      <c r="I6937" s="169">
        <v>109873</v>
      </c>
      <c r="J6937" s="304" t="str">
        <f>CONCATENATE([2]Cover!$D$6,"fdd/view?i=",I6937)</f>
        <v>https://www.dgiwg.org/FAD/fdd/view?i=109873</v>
      </c>
      <c r="K6937" s="304" t="s">
        <v>40986</v>
      </c>
      <c r="L6937" s="188">
        <v>6</v>
      </c>
      <c r="M6937" s="179" t="s">
        <v>151</v>
      </c>
    </row>
    <row r="6938" spans="1:13" ht="25.5">
      <c r="A6938" s="313" t="str">
        <f t="shared" si="108"/>
        <v>TrackTypeCode_ripTrack</v>
      </c>
      <c r="B6938" s="330"/>
      <c r="C6938" s="334"/>
      <c r="D6938" s="188" t="s">
        <v>31971</v>
      </c>
      <c r="E6938" s="189" t="s">
        <v>31972</v>
      </c>
      <c r="F6938" s="162" t="s">
        <v>31973</v>
      </c>
      <c r="G6938" s="162" t="s">
        <v>31974</v>
      </c>
      <c r="H6938" s="219"/>
      <c r="I6938" s="169">
        <v>109874</v>
      </c>
      <c r="J6938" s="304" t="str">
        <f>CONCATENATE([2]Cover!$D$6,"fdd/view?i=",I6938)</f>
        <v>https://www.dgiwg.org/FAD/fdd/view?i=109874</v>
      </c>
      <c r="K6938" s="304" t="s">
        <v>40987</v>
      </c>
      <c r="L6938" s="188">
        <v>7</v>
      </c>
      <c r="M6938" s="179" t="s">
        <v>151</v>
      </c>
    </row>
    <row r="6939" spans="1:13" ht="38.25">
      <c r="A6939" s="313" t="str">
        <f t="shared" si="108"/>
        <v>TrackTypeCode_stubTrack</v>
      </c>
      <c r="B6939" s="330"/>
      <c r="C6939" s="334"/>
      <c r="D6939" s="188" t="s">
        <v>31975</v>
      </c>
      <c r="E6939" s="189" t="s">
        <v>31976</v>
      </c>
      <c r="F6939" s="162" t="s">
        <v>31977</v>
      </c>
      <c r="G6939" s="190"/>
      <c r="H6939" s="219"/>
      <c r="I6939" s="169">
        <v>109876</v>
      </c>
      <c r="J6939" s="304" t="str">
        <f>CONCATENATE([2]Cover!$D$6,"fdd/view?i=",I6939)</f>
        <v>https://www.dgiwg.org/FAD/fdd/view?i=109876</v>
      </c>
      <c r="K6939" s="304" t="s">
        <v>40988</v>
      </c>
      <c r="L6939" s="188">
        <v>9</v>
      </c>
      <c r="M6939" s="179" t="s">
        <v>151</v>
      </c>
    </row>
    <row r="6940" spans="1:13" ht="25.5">
      <c r="A6940" s="313" t="str">
        <f t="shared" si="108"/>
        <v>TrackTypeCode_teamTrack</v>
      </c>
      <c r="B6940" s="331"/>
      <c r="C6940" s="335"/>
      <c r="D6940" s="181" t="s">
        <v>31978</v>
      </c>
      <c r="E6940" s="192" t="s">
        <v>31979</v>
      </c>
      <c r="F6940" s="193" t="s">
        <v>31980</v>
      </c>
      <c r="G6940" s="194"/>
      <c r="H6940" s="220"/>
      <c r="I6940" s="169">
        <v>109867</v>
      </c>
      <c r="J6940" s="304" t="str">
        <f>CONCATENATE([2]Cover!$D$6,"fdd/view?i=",I6940)</f>
        <v>https://www.dgiwg.org/FAD/fdd/view?i=109867</v>
      </c>
      <c r="K6940" s="304" t="s">
        <v>40989</v>
      </c>
      <c r="L6940" s="181">
        <v>10</v>
      </c>
      <c r="M6940" s="179" t="s">
        <v>151</v>
      </c>
    </row>
    <row r="6941" spans="1:13">
      <c r="A6941" s="313" t="str">
        <f t="shared" si="108"/>
        <v>TrafficFlowCode_inbound</v>
      </c>
      <c r="B6941" s="332" t="str">
        <f>HYPERLINK("[#]Datatypes!A1458:L1458","TrafficFlowCode")</f>
        <v>TrafficFlowCode</v>
      </c>
      <c r="C6941" s="333" t="s">
        <v>13094</v>
      </c>
      <c r="D6941" s="202" t="s">
        <v>31981</v>
      </c>
      <c r="E6941" s="203" t="s">
        <v>31982</v>
      </c>
      <c r="F6941" s="204" t="s">
        <v>31983</v>
      </c>
      <c r="G6941" s="205"/>
      <c r="H6941" s="218"/>
      <c r="I6941" s="169">
        <v>108685</v>
      </c>
      <c r="J6941" s="304" t="str">
        <f>CONCATENATE([2]Cover!$D$6,"fdd/view?i=",I6941)</f>
        <v>https://www.dgiwg.org/FAD/fdd/view?i=108685</v>
      </c>
      <c r="K6941" s="304" t="s">
        <v>40990</v>
      </c>
      <c r="L6941" s="202">
        <v>1</v>
      </c>
      <c r="M6941" s="179" t="s">
        <v>151</v>
      </c>
    </row>
    <row r="6942" spans="1:13">
      <c r="A6942" s="313" t="str">
        <f t="shared" si="108"/>
        <v>TrafficFlowCode_oneWay</v>
      </c>
      <c r="B6942" s="330"/>
      <c r="C6942" s="334"/>
      <c r="D6942" s="188" t="s">
        <v>8942</v>
      </c>
      <c r="E6942" s="189" t="s">
        <v>8943</v>
      </c>
      <c r="F6942" s="162" t="s">
        <v>31984</v>
      </c>
      <c r="G6942" s="190"/>
      <c r="H6942" s="219"/>
      <c r="I6942" s="169">
        <v>108687</v>
      </c>
      <c r="J6942" s="304" t="str">
        <f>CONCATENATE([2]Cover!$D$6,"fdd/view?i=",I6942)</f>
        <v>https://www.dgiwg.org/FAD/fdd/view?i=108687</v>
      </c>
      <c r="K6942" s="304" t="s">
        <v>40991</v>
      </c>
      <c r="L6942" s="188">
        <v>3</v>
      </c>
      <c r="M6942" s="179" t="s">
        <v>151</v>
      </c>
    </row>
    <row r="6943" spans="1:13" ht="25.5">
      <c r="A6943" s="313" t="str">
        <f t="shared" si="108"/>
        <v>TrafficFlowCode_outbound</v>
      </c>
      <c r="B6943" s="330"/>
      <c r="C6943" s="334"/>
      <c r="D6943" s="188" t="s">
        <v>31985</v>
      </c>
      <c r="E6943" s="189" t="s">
        <v>31986</v>
      </c>
      <c r="F6943" s="162" t="s">
        <v>31987</v>
      </c>
      <c r="G6943" s="190"/>
      <c r="H6943" s="219"/>
      <c r="I6943" s="169">
        <v>108686</v>
      </c>
      <c r="J6943" s="304" t="str">
        <f>CONCATENATE([2]Cover!$D$6,"fdd/view?i=",I6943)</f>
        <v>https://www.dgiwg.org/FAD/fdd/view?i=108686</v>
      </c>
      <c r="K6943" s="304" t="s">
        <v>40992</v>
      </c>
      <c r="L6943" s="188">
        <v>2</v>
      </c>
      <c r="M6943" s="179" t="s">
        <v>151</v>
      </c>
    </row>
    <row r="6944" spans="1:13">
      <c r="A6944" s="313" t="str">
        <f t="shared" si="108"/>
        <v>TrafficFlowCode_twoWay</v>
      </c>
      <c r="B6944" s="331"/>
      <c r="C6944" s="335"/>
      <c r="D6944" s="181" t="s">
        <v>31988</v>
      </c>
      <c r="E6944" s="192" t="s">
        <v>31989</v>
      </c>
      <c r="F6944" s="193" t="s">
        <v>31990</v>
      </c>
      <c r="G6944" s="194"/>
      <c r="H6944" s="220"/>
      <c r="I6944" s="169">
        <v>108688</v>
      </c>
      <c r="J6944" s="304" t="str">
        <f>CONCATENATE([2]Cover!$D$6,"fdd/view?i=",I6944)</f>
        <v>https://www.dgiwg.org/FAD/fdd/view?i=108688</v>
      </c>
      <c r="K6944" s="304" t="s">
        <v>40993</v>
      </c>
      <c r="L6944" s="181">
        <v>4</v>
      </c>
      <c r="M6944" s="179" t="s">
        <v>151</v>
      </c>
    </row>
    <row r="6945" spans="1:13" ht="204">
      <c r="A6945" s="313" t="str">
        <f t="shared" si="108"/>
        <v>TrafficMonitorTypeCode_automaticTrafficCounter</v>
      </c>
      <c r="B6945" s="332" t="str">
        <f>HYPERLINK("[#]Datatypes!A1460:L1460","TrafficMonitorTypeCode")</f>
        <v>TrafficMonitorTypeCode</v>
      </c>
      <c r="C6945" s="333" t="s">
        <v>13096</v>
      </c>
      <c r="D6945" s="202" t="s">
        <v>31991</v>
      </c>
      <c r="E6945" s="203" t="s">
        <v>31992</v>
      </c>
      <c r="F6945" s="204" t="s">
        <v>31993</v>
      </c>
      <c r="G6945" s="204" t="s">
        <v>31994</v>
      </c>
      <c r="H6945" s="218"/>
      <c r="I6945" s="169">
        <v>119076</v>
      </c>
      <c r="J6945" s="304" t="str">
        <f>CONCATENATE([2]Cover!$D$6,"fdd/view?i=",I6945)</f>
        <v>https://www.dgiwg.org/FAD/fdd/view?i=119076</v>
      </c>
      <c r="K6945" s="304" t="s">
        <v>40994</v>
      </c>
      <c r="L6945" s="202">
        <v>1</v>
      </c>
      <c r="M6945" s="179" t="s">
        <v>151</v>
      </c>
    </row>
    <row r="6946" spans="1:13" ht="63.75">
      <c r="A6946" s="313" t="str">
        <f t="shared" si="108"/>
        <v>TrafficMonitorTypeCode_video</v>
      </c>
      <c r="B6946" s="330"/>
      <c r="C6946" s="334"/>
      <c r="D6946" s="188" t="s">
        <v>18986</v>
      </c>
      <c r="E6946" s="189" t="s">
        <v>18987</v>
      </c>
      <c r="F6946" s="162" t="s">
        <v>31995</v>
      </c>
      <c r="G6946" s="162" t="s">
        <v>31996</v>
      </c>
      <c r="H6946" s="219"/>
      <c r="I6946" s="169">
        <v>119077</v>
      </c>
      <c r="J6946" s="304" t="str">
        <f>CONCATENATE([2]Cover!$D$6,"fdd/view?i=",I6946)</f>
        <v>https://www.dgiwg.org/FAD/fdd/view?i=119077</v>
      </c>
      <c r="K6946" s="304" t="s">
        <v>40995</v>
      </c>
      <c r="L6946" s="188">
        <v>2</v>
      </c>
      <c r="M6946" s="179" t="s">
        <v>151</v>
      </c>
    </row>
    <row r="6947" spans="1:13" ht="38.25">
      <c r="A6947" s="313" t="str">
        <f t="shared" si="108"/>
        <v>TrafficMonitorTypeCode_weighInMotion</v>
      </c>
      <c r="B6947" s="331"/>
      <c r="C6947" s="335"/>
      <c r="D6947" s="181" t="s">
        <v>31997</v>
      </c>
      <c r="E6947" s="192" t="s">
        <v>31998</v>
      </c>
      <c r="F6947" s="193" t="s">
        <v>31999</v>
      </c>
      <c r="G6947" s="193" t="s">
        <v>32000</v>
      </c>
      <c r="H6947" s="220"/>
      <c r="I6947" s="169">
        <v>119078</v>
      </c>
      <c r="J6947" s="304" t="str">
        <f>CONCATENATE([2]Cover!$D$6,"fdd/view?i=",I6947)</f>
        <v>https://www.dgiwg.org/FAD/fdd/view?i=119078</v>
      </c>
      <c r="K6947" s="304" t="s">
        <v>40996</v>
      </c>
      <c r="L6947" s="181">
        <v>3</v>
      </c>
      <c r="M6947" s="179" t="s">
        <v>151</v>
      </c>
    </row>
    <row r="6948" spans="1:13" ht="25.5">
      <c r="A6948" s="313" t="str">
        <f t="shared" si="108"/>
        <v>TrafficRestrictionTypeCode_railwaySwitch</v>
      </c>
      <c r="B6948" s="332" t="str">
        <f>HYPERLINK("[#]Datatypes!A1462:L1462","TrafficRestrictionTypeCode")</f>
        <v>TrafficRestrictionTypeCode</v>
      </c>
      <c r="C6948" s="333" t="s">
        <v>13098</v>
      </c>
      <c r="D6948" s="202" t="s">
        <v>29677</v>
      </c>
      <c r="E6948" s="203" t="s">
        <v>3567</v>
      </c>
      <c r="F6948" s="204" t="s">
        <v>3568</v>
      </c>
      <c r="G6948" s="205"/>
      <c r="H6948" s="218"/>
      <c r="I6948" s="169">
        <v>117960</v>
      </c>
      <c r="J6948" s="304" t="str">
        <f>CONCATENATE([2]Cover!$D$6,"fdd/view?i=",I6948)</f>
        <v>https://www.dgiwg.org/FAD/fdd/view?i=117960</v>
      </c>
      <c r="K6948" s="304" t="s">
        <v>40997</v>
      </c>
      <c r="L6948" s="202">
        <v>1</v>
      </c>
      <c r="M6948" s="179" t="s">
        <v>151</v>
      </c>
    </row>
    <row r="6949" spans="1:13" ht="25.5">
      <c r="A6949" s="313" t="str">
        <f t="shared" si="108"/>
        <v>TrafficRestrictionTypeCode_reducedTrackLaneCount</v>
      </c>
      <c r="B6949" s="330"/>
      <c r="C6949" s="334"/>
      <c r="D6949" s="188" t="s">
        <v>29679</v>
      </c>
      <c r="E6949" s="189" t="s">
        <v>29680</v>
      </c>
      <c r="F6949" s="162" t="s">
        <v>29681</v>
      </c>
      <c r="G6949" s="190"/>
      <c r="H6949" s="219"/>
      <c r="I6949" s="169">
        <v>117961</v>
      </c>
      <c r="J6949" s="304" t="str">
        <f>CONCATENATE([2]Cover!$D$6,"fdd/view?i=",I6949)</f>
        <v>https://www.dgiwg.org/FAD/fdd/view?i=117961</v>
      </c>
      <c r="K6949" s="304" t="s">
        <v>40998</v>
      </c>
      <c r="L6949" s="188">
        <v>2</v>
      </c>
      <c r="M6949" s="179" t="s">
        <v>151</v>
      </c>
    </row>
    <row r="6950" spans="1:13" ht="25.5">
      <c r="A6950" s="313" t="str">
        <f t="shared" si="108"/>
        <v>TrafficRestrictionTypeCode_roadInterchange</v>
      </c>
      <c r="B6950" s="330"/>
      <c r="C6950" s="334"/>
      <c r="D6950" s="188" t="s">
        <v>29684</v>
      </c>
      <c r="E6950" s="189" t="s">
        <v>3659</v>
      </c>
      <c r="F6950" s="162" t="s">
        <v>29685</v>
      </c>
      <c r="G6950" s="190"/>
      <c r="H6950" s="219"/>
      <c r="I6950" s="169">
        <v>117962</v>
      </c>
      <c r="J6950" s="304" t="str">
        <f>CONCATENATE([2]Cover!$D$6,"fdd/view?i=",I6950)</f>
        <v>https://www.dgiwg.org/FAD/fdd/view?i=117962</v>
      </c>
      <c r="K6950" s="304" t="s">
        <v>40999</v>
      </c>
      <c r="L6950" s="188">
        <v>3</v>
      </c>
      <c r="M6950" s="179" t="s">
        <v>151</v>
      </c>
    </row>
    <row r="6951" spans="1:13" ht="25.5">
      <c r="A6951" s="313" t="str">
        <f t="shared" si="108"/>
        <v>TrafficRestrictionTypeCode_sharpCurves</v>
      </c>
      <c r="B6951" s="330"/>
      <c r="C6951" s="334"/>
      <c r="D6951" s="188" t="s">
        <v>32001</v>
      </c>
      <c r="E6951" s="189" t="s">
        <v>32002</v>
      </c>
      <c r="F6951" s="162" t="s">
        <v>32003</v>
      </c>
      <c r="G6951" s="190"/>
      <c r="H6951" s="219"/>
      <c r="I6951" s="169">
        <v>206561</v>
      </c>
      <c r="J6951" s="304" t="str">
        <f>CONCATENATE([2]Cover!$D$6,"fdd/view?i=",I6951)</f>
        <v>https://www.dgiwg.org/FAD/fdd/view?i=206561</v>
      </c>
      <c r="K6951" s="304" t="s">
        <v>41000</v>
      </c>
      <c r="L6951" s="188">
        <v>8</v>
      </c>
      <c r="M6951" s="179" t="s">
        <v>1295</v>
      </c>
    </row>
    <row r="6952" spans="1:13" ht="38.25">
      <c r="A6952" s="313" t="str">
        <f t="shared" si="108"/>
        <v>TrafficRestrictionTypeCode_steepGrades</v>
      </c>
      <c r="B6952" s="331"/>
      <c r="C6952" s="335"/>
      <c r="D6952" s="181" t="s">
        <v>32004</v>
      </c>
      <c r="E6952" s="192" t="s">
        <v>32005</v>
      </c>
      <c r="F6952" s="193" t="s">
        <v>32006</v>
      </c>
      <c r="G6952" s="194"/>
      <c r="H6952" s="220"/>
      <c r="I6952" s="169">
        <v>206562</v>
      </c>
      <c r="J6952" s="304" t="str">
        <f>CONCATENATE([2]Cover!$D$6,"fdd/view?i=",I6952)</f>
        <v>https://www.dgiwg.org/FAD/fdd/view?i=206562</v>
      </c>
      <c r="K6952" s="304" t="s">
        <v>41001</v>
      </c>
      <c r="L6952" s="181">
        <v>9</v>
      </c>
      <c r="M6952" s="179" t="s">
        <v>1295</v>
      </c>
    </row>
    <row r="6953" spans="1:13" ht="25.5">
      <c r="A6953" s="313" t="str">
        <f t="shared" si="108"/>
        <v>TransportationBlockTypeCode_dropGate</v>
      </c>
      <c r="B6953" s="332" t="str">
        <f>HYPERLINK("[#]Datatypes!A1466:L1466","TransportationBlockTypeCode")</f>
        <v>TransportationBlockTypeCode</v>
      </c>
      <c r="C6953" s="333" t="s">
        <v>13103</v>
      </c>
      <c r="D6953" s="202" t="s">
        <v>32007</v>
      </c>
      <c r="E6953" s="203" t="s">
        <v>32008</v>
      </c>
      <c r="F6953" s="204" t="s">
        <v>32009</v>
      </c>
      <c r="G6953" s="205"/>
      <c r="H6953" s="218"/>
      <c r="I6953" s="169">
        <v>103352</v>
      </c>
      <c r="J6953" s="304" t="str">
        <f>CONCATENATE([2]Cover!$D$6,"fdd/view?i=",I6953)</f>
        <v>https://www.dgiwg.org/FAD/fdd/view?i=103352</v>
      </c>
      <c r="K6953" s="304" t="s">
        <v>41002</v>
      </c>
      <c r="L6953" s="202">
        <v>1</v>
      </c>
      <c r="M6953" s="179" t="s">
        <v>151</v>
      </c>
    </row>
    <row r="6954" spans="1:13" ht="25.5">
      <c r="A6954" s="313" t="str">
        <f t="shared" si="108"/>
        <v>TransportationBlockTypeCode_rollingBlock</v>
      </c>
      <c r="B6954" s="331"/>
      <c r="C6954" s="335"/>
      <c r="D6954" s="181" t="s">
        <v>32010</v>
      </c>
      <c r="E6954" s="192" t="s">
        <v>32011</v>
      </c>
      <c r="F6954" s="193" t="s">
        <v>32012</v>
      </c>
      <c r="G6954" s="194"/>
      <c r="H6954" s="220"/>
      <c r="I6954" s="169">
        <v>103353</v>
      </c>
      <c r="J6954" s="304" t="str">
        <f>CONCATENATE([2]Cover!$D$6,"fdd/view?i=",I6954)</f>
        <v>https://www.dgiwg.org/FAD/fdd/view?i=103353</v>
      </c>
      <c r="K6954" s="304" t="s">
        <v>41003</v>
      </c>
      <c r="L6954" s="181">
        <v>2</v>
      </c>
      <c r="M6954" s="179" t="s">
        <v>151</v>
      </c>
    </row>
    <row r="6955" spans="1:13" ht="63.75">
      <c r="A6955" s="313" t="str">
        <f t="shared" si="108"/>
        <v>TransRouteProtectShelterTypeCode_gallery</v>
      </c>
      <c r="B6955" s="332" t="str">
        <f>HYPERLINK("[#]Datatypes!A1468:L1468","TransRouteProtectShelterTypeCode")</f>
        <v>TransRouteProtectShelterTypeCode</v>
      </c>
      <c r="C6955" s="333" t="s">
        <v>13105</v>
      </c>
      <c r="D6955" s="202" t="s">
        <v>29665</v>
      </c>
      <c r="E6955" s="203" t="s">
        <v>29666</v>
      </c>
      <c r="F6955" s="204" t="s">
        <v>32013</v>
      </c>
      <c r="G6955" s="204" t="s">
        <v>32014</v>
      </c>
      <c r="H6955" s="218"/>
      <c r="I6955" s="169">
        <v>117967</v>
      </c>
      <c r="J6955" s="304" t="str">
        <f>CONCATENATE([2]Cover!$D$6,"fdd/view?i=",I6955)</f>
        <v>https://www.dgiwg.org/FAD/fdd/view?i=117967</v>
      </c>
      <c r="K6955" s="304" t="s">
        <v>41004</v>
      </c>
      <c r="L6955" s="202">
        <v>1</v>
      </c>
      <c r="M6955" s="179" t="s">
        <v>151</v>
      </c>
    </row>
    <row r="6956" spans="1:13" ht="38.25">
      <c r="A6956" s="313" t="str">
        <f t="shared" si="108"/>
        <v>TransRouteProtectShelterTypeCode_protectionShed</v>
      </c>
      <c r="B6956" s="330"/>
      <c r="C6956" s="334"/>
      <c r="D6956" s="188" t="s">
        <v>32015</v>
      </c>
      <c r="E6956" s="189" t="s">
        <v>32016</v>
      </c>
      <c r="F6956" s="162" t="s">
        <v>32017</v>
      </c>
      <c r="G6956" s="162" t="s">
        <v>32018</v>
      </c>
      <c r="H6956" s="219"/>
      <c r="I6956" s="169">
        <v>117970</v>
      </c>
      <c r="J6956" s="304" t="str">
        <f>CONCATENATE([2]Cover!$D$6,"fdd/view?i=",I6956)</f>
        <v>https://www.dgiwg.org/FAD/fdd/view?i=117970</v>
      </c>
      <c r="K6956" s="304" t="s">
        <v>41005</v>
      </c>
      <c r="L6956" s="188">
        <v>4</v>
      </c>
      <c r="M6956" s="179" t="s">
        <v>151</v>
      </c>
    </row>
    <row r="6957" spans="1:13" ht="25.5">
      <c r="A6957" s="313" t="str">
        <f t="shared" si="108"/>
        <v>TransRouteProtectShelterTypeCode_rockProtectionShed</v>
      </c>
      <c r="B6957" s="330"/>
      <c r="C6957" s="334"/>
      <c r="D6957" s="188" t="s">
        <v>32019</v>
      </c>
      <c r="E6957" s="189" t="s">
        <v>32020</v>
      </c>
      <c r="F6957" s="162" t="s">
        <v>32021</v>
      </c>
      <c r="G6957" s="162" t="s">
        <v>32022</v>
      </c>
      <c r="H6957" s="219"/>
      <c r="I6957" s="169">
        <v>117968</v>
      </c>
      <c r="J6957" s="304" t="str">
        <f>CONCATENATE([2]Cover!$D$6,"fdd/view?i=",I6957)</f>
        <v>https://www.dgiwg.org/FAD/fdd/view?i=117968</v>
      </c>
      <c r="K6957" s="304" t="s">
        <v>41006</v>
      </c>
      <c r="L6957" s="188">
        <v>2</v>
      </c>
      <c r="M6957" s="179" t="s">
        <v>151</v>
      </c>
    </row>
    <row r="6958" spans="1:13" ht="38.25">
      <c r="A6958" s="313" t="str">
        <f t="shared" si="108"/>
        <v>TransRouteProtectShelterTypeCode_snowProtectionShed</v>
      </c>
      <c r="B6958" s="331"/>
      <c r="C6958" s="335"/>
      <c r="D6958" s="181" t="s">
        <v>32023</v>
      </c>
      <c r="E6958" s="192" t="s">
        <v>32024</v>
      </c>
      <c r="F6958" s="193" t="s">
        <v>32025</v>
      </c>
      <c r="G6958" s="193" t="s">
        <v>32026</v>
      </c>
      <c r="H6958" s="220"/>
      <c r="I6958" s="169">
        <v>117969</v>
      </c>
      <c r="J6958" s="304" t="str">
        <f>CONCATENATE([2]Cover!$D$6,"fdd/view?i=",I6958)</f>
        <v>https://www.dgiwg.org/FAD/fdd/view?i=117969</v>
      </c>
      <c r="K6958" s="304" t="s">
        <v>41007</v>
      </c>
      <c r="L6958" s="181">
        <v>3</v>
      </c>
      <c r="M6958" s="179" t="s">
        <v>151</v>
      </c>
    </row>
    <row r="6959" spans="1:13" ht="25.5">
      <c r="A6959" s="313" t="str">
        <f t="shared" si="108"/>
        <v>TransportationSystemTypeCode_aeronautical</v>
      </c>
      <c r="B6959" s="332" t="str">
        <f>HYPERLINK("[#]Datatypes!A1470:L1470","TransportationSystemTypeCode")</f>
        <v>TransportationSystemTypeCode</v>
      </c>
      <c r="C6959" s="333" t="s">
        <v>13107</v>
      </c>
      <c r="D6959" s="202" t="s">
        <v>32027</v>
      </c>
      <c r="E6959" s="203" t="s">
        <v>32028</v>
      </c>
      <c r="F6959" s="204" t="s">
        <v>32029</v>
      </c>
      <c r="G6959" s="205"/>
      <c r="H6959" s="218"/>
      <c r="I6959" s="169">
        <v>110556</v>
      </c>
      <c r="J6959" s="304" t="str">
        <f>CONCATENATE([2]Cover!$D$6,"fdd/view?i=",I6959)</f>
        <v>https://www.dgiwg.org/FAD/fdd/view?i=110556</v>
      </c>
      <c r="K6959" s="304" t="s">
        <v>41008</v>
      </c>
      <c r="L6959" s="202">
        <v>1</v>
      </c>
      <c r="M6959" s="179" t="s">
        <v>151</v>
      </c>
    </row>
    <row r="6960" spans="1:13" ht="25.5">
      <c r="A6960" s="313" t="str">
        <f t="shared" si="108"/>
        <v>TransportationSystemTypeCode_aqueduct</v>
      </c>
      <c r="B6960" s="330"/>
      <c r="C6960" s="334"/>
      <c r="D6960" s="188" t="s">
        <v>32030</v>
      </c>
      <c r="E6960" s="189" t="s">
        <v>1563</v>
      </c>
      <c r="F6960" s="162" t="s">
        <v>32031</v>
      </c>
      <c r="G6960" s="162" t="s">
        <v>32032</v>
      </c>
      <c r="H6960" s="219"/>
      <c r="I6960" s="169">
        <v>110557</v>
      </c>
      <c r="J6960" s="304" t="str">
        <f>CONCATENATE([2]Cover!$D$6,"fdd/view?i=",I6960)</f>
        <v>https://www.dgiwg.org/FAD/fdd/view?i=110557</v>
      </c>
      <c r="K6960" s="304" t="s">
        <v>41009</v>
      </c>
      <c r="L6960" s="188">
        <v>2</v>
      </c>
      <c r="M6960" s="179" t="s">
        <v>151</v>
      </c>
    </row>
    <row r="6961" spans="1:13" ht="25.5">
      <c r="A6961" s="313" t="str">
        <f t="shared" si="108"/>
        <v>TransportationSystemTypeCode_automotive</v>
      </c>
      <c r="B6961" s="330"/>
      <c r="C6961" s="334"/>
      <c r="D6961" s="188" t="s">
        <v>32033</v>
      </c>
      <c r="E6961" s="189" t="s">
        <v>32034</v>
      </c>
      <c r="F6961" s="162" t="s">
        <v>32035</v>
      </c>
      <c r="G6961" s="190"/>
      <c r="H6961" s="219"/>
      <c r="I6961" s="169">
        <v>110558</v>
      </c>
      <c r="J6961" s="304" t="str">
        <f>CONCATENATE([2]Cover!$D$6,"fdd/view?i=",I6961)</f>
        <v>https://www.dgiwg.org/FAD/fdd/view?i=110558</v>
      </c>
      <c r="K6961" s="304" t="s">
        <v>41010</v>
      </c>
      <c r="L6961" s="188">
        <v>3</v>
      </c>
      <c r="M6961" s="179" t="s">
        <v>151</v>
      </c>
    </row>
    <row r="6962" spans="1:13" ht="25.5">
      <c r="A6962" s="313" t="str">
        <f t="shared" si="108"/>
        <v>TransportationSystemTypeCode_bus</v>
      </c>
      <c r="B6962" s="330"/>
      <c r="C6962" s="334"/>
      <c r="D6962" s="188" t="s">
        <v>32036</v>
      </c>
      <c r="E6962" s="189" t="s">
        <v>32037</v>
      </c>
      <c r="F6962" s="162" t="s">
        <v>32038</v>
      </c>
      <c r="G6962" s="190"/>
      <c r="H6962" s="219"/>
      <c r="I6962" s="169">
        <v>110559</v>
      </c>
      <c r="J6962" s="304" t="str">
        <f>CONCATENATE([2]Cover!$D$6,"fdd/view?i=",I6962)</f>
        <v>https://www.dgiwg.org/FAD/fdd/view?i=110559</v>
      </c>
      <c r="K6962" s="304" t="s">
        <v>41011</v>
      </c>
      <c r="L6962" s="188">
        <v>4</v>
      </c>
      <c r="M6962" s="179" t="s">
        <v>151</v>
      </c>
    </row>
    <row r="6963" spans="1:13" ht="25.5">
      <c r="A6963" s="313" t="str">
        <f t="shared" si="108"/>
        <v>TransportationSystemTypeCode_cableway</v>
      </c>
      <c r="B6963" s="330"/>
      <c r="C6963" s="334"/>
      <c r="D6963" s="188" t="s">
        <v>18867</v>
      </c>
      <c r="E6963" s="189" t="s">
        <v>1778</v>
      </c>
      <c r="F6963" s="162" t="s">
        <v>32039</v>
      </c>
      <c r="G6963" s="162" t="s">
        <v>28065</v>
      </c>
      <c r="H6963" s="219"/>
      <c r="I6963" s="169">
        <v>119326</v>
      </c>
      <c r="J6963" s="304" t="str">
        <f>CONCATENATE([2]Cover!$D$6,"fdd/view?i=",I6963)</f>
        <v>https://www.dgiwg.org/FAD/fdd/view?i=119326</v>
      </c>
      <c r="K6963" s="304" t="s">
        <v>41012</v>
      </c>
      <c r="L6963" s="188">
        <v>30</v>
      </c>
      <c r="M6963" s="179" t="s">
        <v>151</v>
      </c>
    </row>
    <row r="6964" spans="1:13" ht="25.5">
      <c r="A6964" s="313" t="str">
        <f t="shared" si="108"/>
        <v>TransportationSystemTypeCode_canal</v>
      </c>
      <c r="B6964" s="330"/>
      <c r="C6964" s="334"/>
      <c r="D6964" s="188" t="s">
        <v>32040</v>
      </c>
      <c r="E6964" s="189" t="s">
        <v>1798</v>
      </c>
      <c r="F6964" s="162" t="s">
        <v>32041</v>
      </c>
      <c r="G6964" s="162" t="s">
        <v>32042</v>
      </c>
      <c r="H6964" s="219"/>
      <c r="I6964" s="169">
        <v>110560</v>
      </c>
      <c r="J6964" s="304" t="str">
        <f>CONCATENATE([2]Cover!$D$6,"fdd/view?i=",I6964)</f>
        <v>https://www.dgiwg.org/FAD/fdd/view?i=110560</v>
      </c>
      <c r="K6964" s="304" t="s">
        <v>41013</v>
      </c>
      <c r="L6964" s="188">
        <v>5</v>
      </c>
      <c r="M6964" s="179" t="s">
        <v>151</v>
      </c>
    </row>
    <row r="6965" spans="1:13" ht="25.5">
      <c r="A6965" s="313" t="str">
        <f t="shared" si="108"/>
        <v>TransportationSystemTypeCode_caravanRoute</v>
      </c>
      <c r="B6965" s="330"/>
      <c r="C6965" s="334"/>
      <c r="D6965" s="188" t="s">
        <v>32043</v>
      </c>
      <c r="E6965" s="189" t="s">
        <v>32044</v>
      </c>
      <c r="F6965" s="162" t="s">
        <v>32045</v>
      </c>
      <c r="G6965" s="162" t="s">
        <v>32046</v>
      </c>
      <c r="H6965" s="219"/>
      <c r="I6965" s="169">
        <v>110561</v>
      </c>
      <c r="J6965" s="304" t="str">
        <f>CONCATENATE([2]Cover!$D$6,"fdd/view?i=",I6965)</f>
        <v>https://www.dgiwg.org/FAD/fdd/view?i=110561</v>
      </c>
      <c r="K6965" s="304" t="s">
        <v>41014</v>
      </c>
      <c r="L6965" s="188">
        <v>6</v>
      </c>
      <c r="M6965" s="179" t="s">
        <v>151</v>
      </c>
    </row>
    <row r="6966" spans="1:13" ht="25.5">
      <c r="A6966" s="313" t="str">
        <f t="shared" si="108"/>
        <v>TransportationSystemTypeCode_drove</v>
      </c>
      <c r="B6966" s="330"/>
      <c r="C6966" s="334"/>
      <c r="D6966" s="188" t="s">
        <v>32047</v>
      </c>
      <c r="E6966" s="189" t="s">
        <v>32048</v>
      </c>
      <c r="F6966" s="162" t="s">
        <v>32049</v>
      </c>
      <c r="G6966" s="162" t="s">
        <v>32050</v>
      </c>
      <c r="H6966" s="221" t="s">
        <v>32051</v>
      </c>
      <c r="I6966" s="169">
        <v>112750</v>
      </c>
      <c r="J6966" s="304" t="str">
        <f>CONCATENATE([2]Cover!$D$6,"fdd/view?i=",I6966)</f>
        <v>https://www.dgiwg.org/FAD/fdd/view?i=112750</v>
      </c>
      <c r="K6966" s="304" t="s">
        <v>41015</v>
      </c>
      <c r="L6966" s="188">
        <v>23</v>
      </c>
      <c r="M6966" s="179" t="s">
        <v>151</v>
      </c>
    </row>
    <row r="6967" spans="1:13" ht="25.5">
      <c r="A6967" s="313" t="str">
        <f t="shared" si="108"/>
        <v>TransportationSystemTypeCode_inlandWaterway</v>
      </c>
      <c r="B6967" s="330"/>
      <c r="C6967" s="334"/>
      <c r="D6967" s="188" t="s">
        <v>32052</v>
      </c>
      <c r="E6967" s="189" t="s">
        <v>32053</v>
      </c>
      <c r="F6967" s="162" t="s">
        <v>32054</v>
      </c>
      <c r="G6967" s="190"/>
      <c r="H6967" s="219"/>
      <c r="I6967" s="169">
        <v>110572</v>
      </c>
      <c r="J6967" s="304" t="str">
        <f>CONCATENATE([2]Cover!$D$6,"fdd/view?i=",I6967)</f>
        <v>https://www.dgiwg.org/FAD/fdd/view?i=110572</v>
      </c>
      <c r="K6967" s="304" t="s">
        <v>41016</v>
      </c>
      <c r="L6967" s="188">
        <v>17</v>
      </c>
      <c r="M6967" s="179" t="s">
        <v>151</v>
      </c>
    </row>
    <row r="6968" spans="1:13" ht="25.5">
      <c r="A6968" s="313" t="str">
        <f t="shared" si="108"/>
        <v>TransportationSystemTypeCode_maritime</v>
      </c>
      <c r="B6968" s="330"/>
      <c r="C6968" s="334"/>
      <c r="D6968" s="188" t="s">
        <v>32055</v>
      </c>
      <c r="E6968" s="189" t="s">
        <v>32056</v>
      </c>
      <c r="F6968" s="162" t="s">
        <v>32057</v>
      </c>
      <c r="G6968" s="190"/>
      <c r="H6968" s="219"/>
      <c r="I6968" s="169">
        <v>110562</v>
      </c>
      <c r="J6968" s="304" t="str">
        <f>CONCATENATE([2]Cover!$D$6,"fdd/view?i=",I6968)</f>
        <v>https://www.dgiwg.org/FAD/fdd/view?i=110562</v>
      </c>
      <c r="K6968" s="304" t="s">
        <v>41017</v>
      </c>
      <c r="L6968" s="188">
        <v>7</v>
      </c>
      <c r="M6968" s="179" t="s">
        <v>151</v>
      </c>
    </row>
    <row r="6969" spans="1:13" ht="25.5">
      <c r="A6969" s="313" t="str">
        <f t="shared" si="108"/>
        <v>TransportationSystemTypeCode_noTransportationSystem</v>
      </c>
      <c r="B6969" s="330"/>
      <c r="C6969" s="334"/>
      <c r="D6969" s="188" t="s">
        <v>32058</v>
      </c>
      <c r="E6969" s="189" t="s">
        <v>32059</v>
      </c>
      <c r="F6969" s="162" t="s">
        <v>32060</v>
      </c>
      <c r="G6969" s="190"/>
      <c r="H6969" s="219"/>
      <c r="I6969" s="169">
        <v>110563</v>
      </c>
      <c r="J6969" s="304" t="str">
        <f>CONCATENATE([2]Cover!$D$6,"fdd/view?i=",I6969)</f>
        <v>https://www.dgiwg.org/FAD/fdd/view?i=110563</v>
      </c>
      <c r="K6969" s="304" t="s">
        <v>41018</v>
      </c>
      <c r="L6969" s="188">
        <v>8</v>
      </c>
      <c r="M6969" s="179" t="s">
        <v>151</v>
      </c>
    </row>
    <row r="6970" spans="1:13" ht="25.5">
      <c r="A6970" s="313" t="str">
        <f t="shared" si="108"/>
        <v>TransportationSystemTypeCode_packRoad</v>
      </c>
      <c r="B6970" s="330"/>
      <c r="C6970" s="334"/>
      <c r="D6970" s="188" t="s">
        <v>32061</v>
      </c>
      <c r="E6970" s="189" t="s">
        <v>32062</v>
      </c>
      <c r="F6970" s="162" t="s">
        <v>32063</v>
      </c>
      <c r="G6970" s="190"/>
      <c r="H6970" s="219"/>
      <c r="I6970" s="169">
        <v>110748</v>
      </c>
      <c r="J6970" s="304" t="str">
        <f>CONCATENATE([2]Cover!$D$6,"fdd/view?i=",I6970)</f>
        <v>https://www.dgiwg.org/FAD/fdd/view?i=110748</v>
      </c>
      <c r="K6970" s="304" t="s">
        <v>41019</v>
      </c>
      <c r="L6970" s="188">
        <v>18</v>
      </c>
      <c r="M6970" s="179" t="s">
        <v>151</v>
      </c>
    </row>
    <row r="6971" spans="1:13" ht="25.5">
      <c r="A6971" s="313" t="str">
        <f t="shared" si="108"/>
        <v>TransportationSystemTypeCode_pedestrian</v>
      </c>
      <c r="B6971" s="330"/>
      <c r="C6971" s="334"/>
      <c r="D6971" s="188" t="s">
        <v>32064</v>
      </c>
      <c r="E6971" s="189" t="s">
        <v>32065</v>
      </c>
      <c r="F6971" s="162" t="s">
        <v>32066</v>
      </c>
      <c r="G6971" s="162" t="s">
        <v>32067</v>
      </c>
      <c r="H6971" s="219"/>
      <c r="I6971" s="169">
        <v>110564</v>
      </c>
      <c r="J6971" s="304" t="str">
        <f>CONCATENATE([2]Cover!$D$6,"fdd/view?i=",I6971)</f>
        <v>https://www.dgiwg.org/FAD/fdd/view?i=110564</v>
      </c>
      <c r="K6971" s="304" t="s">
        <v>41020</v>
      </c>
      <c r="L6971" s="188">
        <v>9</v>
      </c>
      <c r="M6971" s="179" t="s">
        <v>151</v>
      </c>
    </row>
    <row r="6972" spans="1:13" ht="25.5">
      <c r="A6972" s="313" t="str">
        <f t="shared" si="108"/>
        <v>TransportationSystemTypeCode_pipeline</v>
      </c>
      <c r="B6972" s="330"/>
      <c r="C6972" s="334"/>
      <c r="D6972" s="188" t="s">
        <v>18693</v>
      </c>
      <c r="E6972" s="189" t="s">
        <v>3413</v>
      </c>
      <c r="F6972" s="162" t="s">
        <v>32068</v>
      </c>
      <c r="G6972" s="162" t="s">
        <v>32069</v>
      </c>
      <c r="H6972" s="219"/>
      <c r="I6972" s="169">
        <v>110565</v>
      </c>
      <c r="J6972" s="304" t="str">
        <f>CONCATENATE([2]Cover!$D$6,"fdd/view?i=",I6972)</f>
        <v>https://www.dgiwg.org/FAD/fdd/view?i=110565</v>
      </c>
      <c r="K6972" s="304" t="s">
        <v>41021</v>
      </c>
      <c r="L6972" s="188">
        <v>10</v>
      </c>
      <c r="M6972" s="179" t="s">
        <v>151</v>
      </c>
    </row>
    <row r="6973" spans="1:13" ht="38.25">
      <c r="A6973" s="313" t="str">
        <f t="shared" si="108"/>
        <v>TransportationSystemTypeCode_pipelineMaintenance</v>
      </c>
      <c r="B6973" s="330"/>
      <c r="C6973" s="334"/>
      <c r="D6973" s="188" t="s">
        <v>32070</v>
      </c>
      <c r="E6973" s="189" t="s">
        <v>32071</v>
      </c>
      <c r="F6973" s="162" t="s">
        <v>32072</v>
      </c>
      <c r="G6973" s="190"/>
      <c r="H6973" s="219"/>
      <c r="I6973" s="169">
        <v>117971</v>
      </c>
      <c r="J6973" s="304" t="str">
        <f>CONCATENATE([2]Cover!$D$6,"fdd/view?i=",I6973)</f>
        <v>https://www.dgiwg.org/FAD/fdd/view?i=117971</v>
      </c>
      <c r="K6973" s="304" t="s">
        <v>41022</v>
      </c>
      <c r="L6973" s="188">
        <v>21</v>
      </c>
      <c r="M6973" s="179" t="s">
        <v>151</v>
      </c>
    </row>
    <row r="6974" spans="1:13" ht="25.5">
      <c r="A6974" s="313" t="str">
        <f t="shared" si="108"/>
        <v>TransportationSystemTypeCode_portage</v>
      </c>
      <c r="B6974" s="330"/>
      <c r="C6974" s="334"/>
      <c r="D6974" s="188" t="s">
        <v>32073</v>
      </c>
      <c r="E6974" s="189" t="s">
        <v>32074</v>
      </c>
      <c r="F6974" s="162" t="s">
        <v>32075</v>
      </c>
      <c r="G6974" s="190"/>
      <c r="H6974" s="219"/>
      <c r="I6974" s="169">
        <v>110566</v>
      </c>
      <c r="J6974" s="304" t="str">
        <f>CONCATENATE([2]Cover!$D$6,"fdd/view?i=",I6974)</f>
        <v>https://www.dgiwg.org/FAD/fdd/view?i=110566</v>
      </c>
      <c r="K6974" s="304" t="s">
        <v>41023</v>
      </c>
      <c r="L6974" s="188">
        <v>11</v>
      </c>
      <c r="M6974" s="179" t="s">
        <v>151</v>
      </c>
    </row>
    <row r="6975" spans="1:13" ht="38.25">
      <c r="A6975" s="313" t="str">
        <f t="shared" si="108"/>
        <v>TransportationSystemTypeCode_powerLineMaintenance</v>
      </c>
      <c r="B6975" s="330"/>
      <c r="C6975" s="334"/>
      <c r="D6975" s="188" t="s">
        <v>32076</v>
      </c>
      <c r="E6975" s="189" t="s">
        <v>32077</v>
      </c>
      <c r="F6975" s="162" t="s">
        <v>32078</v>
      </c>
      <c r="G6975" s="190"/>
      <c r="H6975" s="219"/>
      <c r="I6975" s="169">
        <v>117972</v>
      </c>
      <c r="J6975" s="304" t="str">
        <f>CONCATENATE([2]Cover!$D$6,"fdd/view?i=",I6975)</f>
        <v>https://www.dgiwg.org/FAD/fdd/view?i=117972</v>
      </c>
      <c r="K6975" s="304" t="s">
        <v>41024</v>
      </c>
      <c r="L6975" s="188">
        <v>22</v>
      </c>
      <c r="M6975" s="179" t="s">
        <v>151</v>
      </c>
    </row>
    <row r="6976" spans="1:13" ht="25.5">
      <c r="A6976" s="313" t="str">
        <f t="shared" si="108"/>
        <v>TransportationSystemTypeCode_railway</v>
      </c>
      <c r="B6976" s="330"/>
      <c r="C6976" s="334"/>
      <c r="D6976" s="188" t="s">
        <v>32079</v>
      </c>
      <c r="E6976" s="189" t="s">
        <v>3553</v>
      </c>
      <c r="F6976" s="162" t="s">
        <v>32080</v>
      </c>
      <c r="G6976" s="190"/>
      <c r="H6976" s="219"/>
      <c r="I6976" s="169">
        <v>110567</v>
      </c>
      <c r="J6976" s="304" t="str">
        <f>CONCATENATE([2]Cover!$D$6,"fdd/view?i=",I6976)</f>
        <v>https://www.dgiwg.org/FAD/fdd/view?i=110567</v>
      </c>
      <c r="K6976" s="304" t="s">
        <v>41025</v>
      </c>
      <c r="L6976" s="188">
        <v>12</v>
      </c>
      <c r="M6976" s="179" t="s">
        <v>151</v>
      </c>
    </row>
    <row r="6977" spans="1:13" ht="25.5">
      <c r="A6977" s="313" t="str">
        <f t="shared" si="108"/>
        <v>TransportationSystemTypeCode_rescueRoad</v>
      </c>
      <c r="B6977" s="330"/>
      <c r="C6977" s="334"/>
      <c r="D6977" s="188" t="s">
        <v>32081</v>
      </c>
      <c r="E6977" s="189" t="s">
        <v>32082</v>
      </c>
      <c r="F6977" s="162" t="s">
        <v>32083</v>
      </c>
      <c r="G6977" s="190"/>
      <c r="H6977" s="219"/>
      <c r="I6977" s="169">
        <v>114399</v>
      </c>
      <c r="J6977" s="304" t="str">
        <f>CONCATENATE([2]Cover!$D$6,"fdd/view?i=",I6977)</f>
        <v>https://www.dgiwg.org/FAD/fdd/view?i=114399</v>
      </c>
      <c r="K6977" s="304" t="s">
        <v>41026</v>
      </c>
      <c r="L6977" s="188">
        <v>24</v>
      </c>
      <c r="M6977" s="179" t="s">
        <v>151</v>
      </c>
    </row>
    <row r="6978" spans="1:13" ht="25.5">
      <c r="A6978" s="313" t="str">
        <f t="shared" si="108"/>
        <v>TransportationSystemTypeCode_road</v>
      </c>
      <c r="B6978" s="330"/>
      <c r="C6978" s="334"/>
      <c r="D6978" s="188" t="s">
        <v>29567</v>
      </c>
      <c r="E6978" s="189" t="s">
        <v>3655</v>
      </c>
      <c r="F6978" s="162" t="s">
        <v>32084</v>
      </c>
      <c r="G6978" s="190"/>
      <c r="H6978" s="219"/>
      <c r="I6978" s="169">
        <v>110568</v>
      </c>
      <c r="J6978" s="304" t="str">
        <f>CONCATENATE([2]Cover!$D$6,"fdd/view?i=",I6978)</f>
        <v>https://www.dgiwg.org/FAD/fdd/view?i=110568</v>
      </c>
      <c r="K6978" s="304" t="s">
        <v>41027</v>
      </c>
      <c r="L6978" s="188">
        <v>13</v>
      </c>
      <c r="M6978" s="179" t="s">
        <v>151</v>
      </c>
    </row>
    <row r="6979" spans="1:13" ht="25.5">
      <c r="A6979" s="313" t="str">
        <f t="shared" ref="A6979:A7042" si="109">HYPERLINK(J6979,K6979)</f>
        <v>TransportationSystemTypeCode_runway</v>
      </c>
      <c r="B6979" s="330"/>
      <c r="C6979" s="334"/>
      <c r="D6979" s="188" t="s">
        <v>15185</v>
      </c>
      <c r="E6979" s="189" t="s">
        <v>3689</v>
      </c>
      <c r="F6979" s="162" t="s">
        <v>3690</v>
      </c>
      <c r="G6979" s="162" t="s">
        <v>32085</v>
      </c>
      <c r="H6979" s="219"/>
      <c r="I6979" s="169">
        <v>117973</v>
      </c>
      <c r="J6979" s="304" t="str">
        <f>CONCATENATE([2]Cover!$D$6,"fdd/view?i=",I6979)</f>
        <v>https://www.dgiwg.org/FAD/fdd/view?i=117973</v>
      </c>
      <c r="K6979" s="304" t="s">
        <v>41028</v>
      </c>
      <c r="L6979" s="188">
        <v>25</v>
      </c>
      <c r="M6979" s="179" t="s">
        <v>151</v>
      </c>
    </row>
    <row r="6980" spans="1:13" ht="51">
      <c r="A6980" s="313" t="str">
        <f t="shared" si="109"/>
        <v>TransportationSystemTypeCode_taxiway</v>
      </c>
      <c r="B6980" s="330"/>
      <c r="C6980" s="334"/>
      <c r="D6980" s="188" t="s">
        <v>15189</v>
      </c>
      <c r="E6980" s="189" t="s">
        <v>4188</v>
      </c>
      <c r="F6980" s="162" t="s">
        <v>4189</v>
      </c>
      <c r="G6980" s="162" t="s">
        <v>32086</v>
      </c>
      <c r="H6980" s="219"/>
      <c r="I6980" s="169">
        <v>112837</v>
      </c>
      <c r="J6980" s="304" t="str">
        <f>CONCATENATE([2]Cover!$D$6,"fdd/view?i=",I6980)</f>
        <v>https://www.dgiwg.org/FAD/fdd/view?i=112837</v>
      </c>
      <c r="K6980" s="304" t="s">
        <v>41029</v>
      </c>
      <c r="L6980" s="188">
        <v>20</v>
      </c>
      <c r="M6980" s="179" t="s">
        <v>151</v>
      </c>
    </row>
    <row r="6981" spans="1:13" ht="25.5">
      <c r="A6981" s="313" t="str">
        <f t="shared" si="109"/>
        <v>TransportationSystemTypeCode_truck</v>
      </c>
      <c r="B6981" s="330"/>
      <c r="C6981" s="334"/>
      <c r="D6981" s="188" t="s">
        <v>32087</v>
      </c>
      <c r="E6981" s="189" t="s">
        <v>32088</v>
      </c>
      <c r="F6981" s="162" t="s">
        <v>32089</v>
      </c>
      <c r="G6981" s="190"/>
      <c r="H6981" s="219"/>
      <c r="I6981" s="169">
        <v>110570</v>
      </c>
      <c r="J6981" s="304" t="str">
        <f>CONCATENATE([2]Cover!$D$6,"fdd/view?i=",I6981)</f>
        <v>https://www.dgiwg.org/FAD/fdd/view?i=110570</v>
      </c>
      <c r="K6981" s="304" t="s">
        <v>41030</v>
      </c>
      <c r="L6981" s="188">
        <v>15</v>
      </c>
      <c r="M6981" s="179" t="s">
        <v>151</v>
      </c>
    </row>
    <row r="6982" spans="1:13" ht="25.5">
      <c r="A6982" s="313" t="str">
        <f t="shared" si="109"/>
        <v>TransportationSystemTypeCode_undergroundRailway</v>
      </c>
      <c r="B6982" s="331"/>
      <c r="C6982" s="335"/>
      <c r="D6982" s="181" t="s">
        <v>29153</v>
      </c>
      <c r="E6982" s="192" t="s">
        <v>29154</v>
      </c>
      <c r="F6982" s="193" t="s">
        <v>32090</v>
      </c>
      <c r="G6982" s="193" t="s">
        <v>32091</v>
      </c>
      <c r="H6982" s="220"/>
      <c r="I6982" s="169">
        <v>110571</v>
      </c>
      <c r="J6982" s="304" t="str">
        <f>CONCATENATE([2]Cover!$D$6,"fdd/view?i=",I6982)</f>
        <v>https://www.dgiwg.org/FAD/fdd/view?i=110571</v>
      </c>
      <c r="K6982" s="304" t="s">
        <v>41031</v>
      </c>
      <c r="L6982" s="181">
        <v>16</v>
      </c>
      <c r="M6982" s="179" t="s">
        <v>151</v>
      </c>
    </row>
    <row r="6983" spans="1:13" ht="38.25">
      <c r="A6983" s="313" t="str">
        <f t="shared" si="109"/>
        <v>TropicalHurricaneCategoryCode_category1</v>
      </c>
      <c r="B6983" s="332" t="str">
        <f>HYPERLINK("[#]Datatypes!A1472:L1472","TropicalHurricaneCategoryCode")</f>
        <v>TropicalHurricaneCategoryCode</v>
      </c>
      <c r="C6983" s="333" t="s">
        <v>13109</v>
      </c>
      <c r="D6983" s="202" t="s">
        <v>32092</v>
      </c>
      <c r="E6983" s="203" t="s">
        <v>32093</v>
      </c>
      <c r="F6983" s="204" t="s">
        <v>32094</v>
      </c>
      <c r="G6983" s="204" t="s">
        <v>32095</v>
      </c>
      <c r="H6983" s="218"/>
      <c r="I6983" s="169">
        <v>204745</v>
      </c>
      <c r="J6983" s="304" t="str">
        <f>CONCATENATE([2]Cover!$D$6,"fdd/view?i=",I6983)</f>
        <v>https://www.dgiwg.org/FAD/fdd/view?i=204745</v>
      </c>
      <c r="K6983" s="304" t="s">
        <v>41032</v>
      </c>
      <c r="L6983" s="202">
        <v>1</v>
      </c>
      <c r="M6983" s="179" t="s">
        <v>1295</v>
      </c>
    </row>
    <row r="6984" spans="1:13" ht="38.25">
      <c r="A6984" s="313" t="str">
        <f t="shared" si="109"/>
        <v>TropicalHurricaneCategoryCode_category2</v>
      </c>
      <c r="B6984" s="330"/>
      <c r="C6984" s="334"/>
      <c r="D6984" s="188" t="s">
        <v>32096</v>
      </c>
      <c r="E6984" s="189" t="s">
        <v>32097</v>
      </c>
      <c r="F6984" s="162" t="s">
        <v>32098</v>
      </c>
      <c r="G6984" s="162" t="s">
        <v>32099</v>
      </c>
      <c r="H6984" s="219"/>
      <c r="I6984" s="169">
        <v>204746</v>
      </c>
      <c r="J6984" s="304" t="str">
        <f>CONCATENATE([2]Cover!$D$6,"fdd/view?i=",I6984)</f>
        <v>https://www.dgiwg.org/FAD/fdd/view?i=204746</v>
      </c>
      <c r="K6984" s="304" t="s">
        <v>41033</v>
      </c>
      <c r="L6984" s="188">
        <v>2</v>
      </c>
      <c r="M6984" s="179" t="s">
        <v>1295</v>
      </c>
    </row>
    <row r="6985" spans="1:13" ht="38.25">
      <c r="A6985" s="313" t="str">
        <f t="shared" si="109"/>
        <v>TropicalHurricaneCategoryCode_category3</v>
      </c>
      <c r="B6985" s="330"/>
      <c r="C6985" s="334"/>
      <c r="D6985" s="188" t="s">
        <v>32100</v>
      </c>
      <c r="E6985" s="189" t="s">
        <v>32101</v>
      </c>
      <c r="F6985" s="162" t="s">
        <v>32102</v>
      </c>
      <c r="G6985" s="162" t="s">
        <v>32103</v>
      </c>
      <c r="H6985" s="219"/>
      <c r="I6985" s="169">
        <v>204747</v>
      </c>
      <c r="J6985" s="304" t="str">
        <f>CONCATENATE([2]Cover!$D$6,"fdd/view?i=",I6985)</f>
        <v>https://www.dgiwg.org/FAD/fdd/view?i=204747</v>
      </c>
      <c r="K6985" s="304" t="s">
        <v>41034</v>
      </c>
      <c r="L6985" s="188">
        <v>3</v>
      </c>
      <c r="M6985" s="179" t="s">
        <v>1295</v>
      </c>
    </row>
    <row r="6986" spans="1:13" ht="38.25">
      <c r="A6986" s="313" t="str">
        <f t="shared" si="109"/>
        <v>TropicalHurricaneCategoryCode_category4</v>
      </c>
      <c r="B6986" s="330"/>
      <c r="C6986" s="334"/>
      <c r="D6986" s="188" t="s">
        <v>32104</v>
      </c>
      <c r="E6986" s="189" t="s">
        <v>32105</v>
      </c>
      <c r="F6986" s="162" t="s">
        <v>32106</v>
      </c>
      <c r="G6986" s="162" t="s">
        <v>32107</v>
      </c>
      <c r="H6986" s="219"/>
      <c r="I6986" s="169">
        <v>204748</v>
      </c>
      <c r="J6986" s="304" t="str">
        <f>CONCATENATE([2]Cover!$D$6,"fdd/view?i=",I6986)</f>
        <v>https://www.dgiwg.org/FAD/fdd/view?i=204748</v>
      </c>
      <c r="K6986" s="304" t="s">
        <v>41035</v>
      </c>
      <c r="L6986" s="188">
        <v>4</v>
      </c>
      <c r="M6986" s="179" t="s">
        <v>1295</v>
      </c>
    </row>
    <row r="6987" spans="1:13" ht="25.5">
      <c r="A6987" s="313" t="str">
        <f t="shared" si="109"/>
        <v>TropicalHurricaneCategoryCode_category5</v>
      </c>
      <c r="B6987" s="331"/>
      <c r="C6987" s="335"/>
      <c r="D6987" s="181" t="s">
        <v>32108</v>
      </c>
      <c r="E6987" s="192" t="s">
        <v>32109</v>
      </c>
      <c r="F6987" s="193" t="s">
        <v>32110</v>
      </c>
      <c r="G6987" s="193" t="s">
        <v>32111</v>
      </c>
      <c r="H6987" s="220"/>
      <c r="I6987" s="169">
        <v>204749</v>
      </c>
      <c r="J6987" s="304" t="str">
        <f>CONCATENATE([2]Cover!$D$6,"fdd/view?i=",I6987)</f>
        <v>https://www.dgiwg.org/FAD/fdd/view?i=204749</v>
      </c>
      <c r="K6987" s="304" t="s">
        <v>41036</v>
      </c>
      <c r="L6987" s="181">
        <v>5</v>
      </c>
      <c r="M6987" s="179" t="s">
        <v>1295</v>
      </c>
    </row>
    <row r="6988" spans="1:13" ht="25.5">
      <c r="A6988" s="313" t="str">
        <f t="shared" si="109"/>
        <v>TurnDirectionCode_eitherLeftRightTurn</v>
      </c>
      <c r="B6988" s="332" t="str">
        <f>HYPERLINK("[#]Datatypes!A1474:L1474","TurnDirectionCode")</f>
        <v>TurnDirectionCode</v>
      </c>
      <c r="C6988" s="333" t="s">
        <v>13111</v>
      </c>
      <c r="D6988" s="202" t="s">
        <v>32112</v>
      </c>
      <c r="E6988" s="203" t="s">
        <v>32113</v>
      </c>
      <c r="F6988" s="204" t="s">
        <v>32114</v>
      </c>
      <c r="G6988" s="205"/>
      <c r="H6988" s="218"/>
      <c r="I6988" s="169">
        <v>115691</v>
      </c>
      <c r="J6988" s="304" t="str">
        <f>CONCATENATE([2]Cover!$D$6,"fdd/view?i=",I6988)</f>
        <v>https://www.dgiwg.org/FAD/fdd/view?i=115691</v>
      </c>
      <c r="K6988" s="304" t="s">
        <v>41037</v>
      </c>
      <c r="L6988" s="202">
        <v>3</v>
      </c>
      <c r="M6988" s="179" t="s">
        <v>151</v>
      </c>
    </row>
    <row r="6989" spans="1:13">
      <c r="A6989" s="313" t="str">
        <f t="shared" si="109"/>
        <v>TurnDirectionCode_leftTurn</v>
      </c>
      <c r="B6989" s="330"/>
      <c r="C6989" s="334"/>
      <c r="D6989" s="188" t="s">
        <v>32115</v>
      </c>
      <c r="E6989" s="189" t="s">
        <v>32116</v>
      </c>
      <c r="F6989" s="162" t="s">
        <v>32117</v>
      </c>
      <c r="G6989" s="190"/>
      <c r="H6989" s="219"/>
      <c r="I6989" s="169">
        <v>115690</v>
      </c>
      <c r="J6989" s="304" t="str">
        <f>CONCATENATE([2]Cover!$D$6,"fdd/view?i=",I6989)</f>
        <v>https://www.dgiwg.org/FAD/fdd/view?i=115690</v>
      </c>
      <c r="K6989" s="304" t="s">
        <v>41038</v>
      </c>
      <c r="L6989" s="188">
        <v>2</v>
      </c>
      <c r="M6989" s="179" t="s">
        <v>151</v>
      </c>
    </row>
    <row r="6990" spans="1:13">
      <c r="A6990" s="313" t="str">
        <f t="shared" si="109"/>
        <v>TurnDirectionCode_rightTurn</v>
      </c>
      <c r="B6990" s="331"/>
      <c r="C6990" s="335"/>
      <c r="D6990" s="181" t="s">
        <v>32118</v>
      </c>
      <c r="E6990" s="192" t="s">
        <v>32119</v>
      </c>
      <c r="F6990" s="193" t="s">
        <v>32120</v>
      </c>
      <c r="G6990" s="194"/>
      <c r="H6990" s="220"/>
      <c r="I6990" s="169">
        <v>115689</v>
      </c>
      <c r="J6990" s="304" t="str">
        <f>CONCATENATE([2]Cover!$D$6,"fdd/view?i=",I6990)</f>
        <v>https://www.dgiwg.org/FAD/fdd/view?i=115689</v>
      </c>
      <c r="K6990" s="304" t="s">
        <v>41039</v>
      </c>
      <c r="L6990" s="181">
        <v>1</v>
      </c>
      <c r="M6990" s="179" t="s">
        <v>151</v>
      </c>
    </row>
    <row r="6991" spans="1:13" ht="25.5">
      <c r="A6991" s="313" t="str">
        <f t="shared" si="109"/>
        <v>UndergroundAccessOrientCode_horizontal</v>
      </c>
      <c r="B6991" s="332" t="str">
        <f>HYPERLINK("[#]Datatypes!A1476:L1476","UndergroundAccessOrientCode")</f>
        <v>UndergroundAccessOrientCode</v>
      </c>
      <c r="C6991" s="333" t="s">
        <v>13113</v>
      </c>
      <c r="D6991" s="202" t="s">
        <v>32121</v>
      </c>
      <c r="E6991" s="203" t="s">
        <v>32122</v>
      </c>
      <c r="F6991" s="204" t="s">
        <v>32123</v>
      </c>
      <c r="G6991" s="205"/>
      <c r="H6991" s="218"/>
      <c r="I6991" s="169">
        <v>119313</v>
      </c>
      <c r="J6991" s="304" t="str">
        <f>CONCATENATE([2]Cover!$D$6,"fdd/view?i=",I6991)</f>
        <v>https://www.dgiwg.org/FAD/fdd/view?i=119313</v>
      </c>
      <c r="K6991" s="304" t="s">
        <v>41040</v>
      </c>
      <c r="L6991" s="202">
        <v>1</v>
      </c>
      <c r="M6991" s="179" t="s">
        <v>151</v>
      </c>
    </row>
    <row r="6992" spans="1:13" ht="25.5">
      <c r="A6992" s="313" t="str">
        <f t="shared" si="109"/>
        <v>UndergroundAccessOrientCode_slopesDownward</v>
      </c>
      <c r="B6992" s="330"/>
      <c r="C6992" s="334"/>
      <c r="D6992" s="188" t="s">
        <v>32124</v>
      </c>
      <c r="E6992" s="189" t="s">
        <v>32125</v>
      </c>
      <c r="F6992" s="162" t="s">
        <v>32126</v>
      </c>
      <c r="G6992" s="190"/>
      <c r="H6992" s="219"/>
      <c r="I6992" s="169">
        <v>119314</v>
      </c>
      <c r="J6992" s="304" t="str">
        <f>CONCATENATE([2]Cover!$D$6,"fdd/view?i=",I6992)</f>
        <v>https://www.dgiwg.org/FAD/fdd/view?i=119314</v>
      </c>
      <c r="K6992" s="304" t="s">
        <v>41041</v>
      </c>
      <c r="L6992" s="188">
        <v>2</v>
      </c>
      <c r="M6992" s="179" t="s">
        <v>151</v>
      </c>
    </row>
    <row r="6993" spans="1:13" ht="25.5">
      <c r="A6993" s="313" t="str">
        <f t="shared" si="109"/>
        <v>UndergroundAccessOrientCode_slopesUpward</v>
      </c>
      <c r="B6993" s="330"/>
      <c r="C6993" s="334"/>
      <c r="D6993" s="188" t="s">
        <v>32127</v>
      </c>
      <c r="E6993" s="189" t="s">
        <v>32128</v>
      </c>
      <c r="F6993" s="162" t="s">
        <v>32129</v>
      </c>
      <c r="G6993" s="190"/>
      <c r="H6993" s="219"/>
      <c r="I6993" s="169">
        <v>119316</v>
      </c>
      <c r="J6993" s="304" t="str">
        <f>CONCATENATE([2]Cover!$D$6,"fdd/view?i=",I6993)</f>
        <v>https://www.dgiwg.org/FAD/fdd/view?i=119316</v>
      </c>
      <c r="K6993" s="304" t="s">
        <v>41042</v>
      </c>
      <c r="L6993" s="188">
        <v>4</v>
      </c>
      <c r="M6993" s="179" t="s">
        <v>151</v>
      </c>
    </row>
    <row r="6994" spans="1:13" ht="25.5">
      <c r="A6994" s="313" t="str">
        <f t="shared" si="109"/>
        <v>UndergroundAccessOrientCode_verticalDown</v>
      </c>
      <c r="B6994" s="330"/>
      <c r="C6994" s="334"/>
      <c r="D6994" s="188" t="s">
        <v>32130</v>
      </c>
      <c r="E6994" s="189" t="s">
        <v>32131</v>
      </c>
      <c r="F6994" s="162" t="s">
        <v>32132</v>
      </c>
      <c r="G6994" s="190"/>
      <c r="H6994" s="219"/>
      <c r="I6994" s="169">
        <v>119315</v>
      </c>
      <c r="J6994" s="304" t="str">
        <f>CONCATENATE([2]Cover!$D$6,"fdd/view?i=",I6994)</f>
        <v>https://www.dgiwg.org/FAD/fdd/view?i=119315</v>
      </c>
      <c r="K6994" s="304" t="s">
        <v>41043</v>
      </c>
      <c r="L6994" s="188">
        <v>3</v>
      </c>
      <c r="M6994" s="179" t="s">
        <v>151</v>
      </c>
    </row>
    <row r="6995" spans="1:13" ht="25.5">
      <c r="A6995" s="313" t="str">
        <f t="shared" si="109"/>
        <v>UndergroundAccessOrientCode_verticalUp</v>
      </c>
      <c r="B6995" s="331"/>
      <c r="C6995" s="335"/>
      <c r="D6995" s="181" t="s">
        <v>32133</v>
      </c>
      <c r="E6995" s="192" t="s">
        <v>32134</v>
      </c>
      <c r="F6995" s="193" t="s">
        <v>32135</v>
      </c>
      <c r="G6995" s="194"/>
      <c r="H6995" s="220"/>
      <c r="I6995" s="169">
        <v>119324</v>
      </c>
      <c r="J6995" s="304" t="str">
        <f>CONCATENATE([2]Cover!$D$6,"fdd/view?i=",I6995)</f>
        <v>https://www.dgiwg.org/FAD/fdd/view?i=119324</v>
      </c>
      <c r="K6995" s="304" t="s">
        <v>41044</v>
      </c>
      <c r="L6995" s="181">
        <v>5</v>
      </c>
      <c r="M6995" s="179" t="s">
        <v>151</v>
      </c>
    </row>
    <row r="6996" spans="1:13" ht="63.75">
      <c r="A6996" s="313" t="str">
        <f t="shared" si="109"/>
        <v>UndergroundMineAccessCode_drift</v>
      </c>
      <c r="B6996" s="332" t="str">
        <f>HYPERLINK("[#]Datatypes!A1478:L1478","UndergroundMineAccessCode")</f>
        <v>UndergroundMineAccessCode</v>
      </c>
      <c r="C6996" s="333" t="s">
        <v>13115</v>
      </c>
      <c r="D6996" s="202" t="s">
        <v>32136</v>
      </c>
      <c r="E6996" s="203" t="s">
        <v>32137</v>
      </c>
      <c r="F6996" s="204" t="s">
        <v>32138</v>
      </c>
      <c r="G6996" s="204" t="s">
        <v>32139</v>
      </c>
      <c r="H6996" s="218"/>
      <c r="I6996" s="169">
        <v>112542</v>
      </c>
      <c r="J6996" s="304" t="str">
        <f>CONCATENATE([2]Cover!$D$6,"fdd/view?i=",I6996)</f>
        <v>https://www.dgiwg.org/FAD/fdd/view?i=112542</v>
      </c>
      <c r="K6996" s="304" t="s">
        <v>41045</v>
      </c>
      <c r="L6996" s="202">
        <v>1</v>
      </c>
      <c r="M6996" s="179" t="s">
        <v>151</v>
      </c>
    </row>
    <row r="6997" spans="1:13" ht="102">
      <c r="A6997" s="313" t="str">
        <f t="shared" si="109"/>
        <v>UndergroundMineAccessCode_shaft</v>
      </c>
      <c r="B6997" s="330"/>
      <c r="C6997" s="334"/>
      <c r="D6997" s="188" t="s">
        <v>32140</v>
      </c>
      <c r="E6997" s="189" t="s">
        <v>32141</v>
      </c>
      <c r="F6997" s="162" t="s">
        <v>32142</v>
      </c>
      <c r="G6997" s="162" t="s">
        <v>32143</v>
      </c>
      <c r="H6997" s="219"/>
      <c r="I6997" s="169">
        <v>112546</v>
      </c>
      <c r="J6997" s="304" t="str">
        <f>CONCATENATE([2]Cover!$D$6,"fdd/view?i=",I6997)</f>
        <v>https://www.dgiwg.org/FAD/fdd/view?i=112546</v>
      </c>
      <c r="K6997" s="304" t="s">
        <v>41046</v>
      </c>
      <c r="L6997" s="188">
        <v>3</v>
      </c>
      <c r="M6997" s="179" t="s">
        <v>151</v>
      </c>
    </row>
    <row r="6998" spans="1:13" ht="51">
      <c r="A6998" s="313" t="str">
        <f t="shared" si="109"/>
        <v>UndergroundMineAccessCode_slope</v>
      </c>
      <c r="B6998" s="331"/>
      <c r="C6998" s="335"/>
      <c r="D6998" s="181" t="s">
        <v>19740</v>
      </c>
      <c r="E6998" s="192" t="s">
        <v>19741</v>
      </c>
      <c r="F6998" s="193" t="s">
        <v>32144</v>
      </c>
      <c r="G6998" s="193" t="s">
        <v>32145</v>
      </c>
      <c r="H6998" s="220"/>
      <c r="I6998" s="169">
        <v>112544</v>
      </c>
      <c r="J6998" s="304" t="str">
        <f>CONCATENATE([2]Cover!$D$6,"fdd/view?i=",I6998)</f>
        <v>https://www.dgiwg.org/FAD/fdd/view?i=112544</v>
      </c>
      <c r="K6998" s="304" t="s">
        <v>41047</v>
      </c>
      <c r="L6998" s="181">
        <v>2</v>
      </c>
      <c r="M6998" s="179" t="s">
        <v>151</v>
      </c>
    </row>
    <row r="6999" spans="1:13" ht="25.5">
      <c r="A6999" s="313" t="str">
        <f t="shared" si="109"/>
        <v>UndergndStorageFormTypeCode_abandonedMine</v>
      </c>
      <c r="B6999" s="332" t="str">
        <f>HYPERLINK("[#]Datatypes!A1480:L1480","UndergndStorageFormTypeCode")</f>
        <v>UndergndStorageFormTypeCode</v>
      </c>
      <c r="C6999" s="333" t="s">
        <v>13117</v>
      </c>
      <c r="D6999" s="202" t="s">
        <v>32146</v>
      </c>
      <c r="E6999" s="203" t="s">
        <v>32147</v>
      </c>
      <c r="F6999" s="204" t="s">
        <v>32148</v>
      </c>
      <c r="G6999" s="204" t="s">
        <v>32149</v>
      </c>
      <c r="H6999" s="218"/>
      <c r="I6999" s="169">
        <v>119271</v>
      </c>
      <c r="J6999" s="304" t="str">
        <f>CONCATENATE([2]Cover!$D$6,"fdd/view?i=",I6999)</f>
        <v>https://www.dgiwg.org/FAD/fdd/view?i=119271</v>
      </c>
      <c r="K6999" s="304" t="s">
        <v>41048</v>
      </c>
      <c r="L6999" s="202">
        <v>1</v>
      </c>
      <c r="M6999" s="179" t="s">
        <v>151</v>
      </c>
    </row>
    <row r="7000" spans="1:13" ht="38.25">
      <c r="A7000" s="313" t="str">
        <f t="shared" si="109"/>
        <v>UndergndStorageFormTypeCode_aquifer</v>
      </c>
      <c r="B7000" s="330"/>
      <c r="C7000" s="334"/>
      <c r="D7000" s="188" t="s">
        <v>32150</v>
      </c>
      <c r="E7000" s="189" t="s">
        <v>1567</v>
      </c>
      <c r="F7000" s="162" t="s">
        <v>32151</v>
      </c>
      <c r="G7000" s="162" t="s">
        <v>32152</v>
      </c>
      <c r="H7000" s="219"/>
      <c r="I7000" s="169">
        <v>119272</v>
      </c>
      <c r="J7000" s="304" t="str">
        <f>CONCATENATE([2]Cover!$D$6,"fdd/view?i=",I7000)</f>
        <v>https://www.dgiwg.org/FAD/fdd/view?i=119272</v>
      </c>
      <c r="K7000" s="304" t="s">
        <v>41049</v>
      </c>
      <c r="L7000" s="188">
        <v>2</v>
      </c>
      <c r="M7000" s="179" t="s">
        <v>151</v>
      </c>
    </row>
    <row r="7001" spans="1:13" ht="76.5">
      <c r="A7001" s="313" t="str">
        <f t="shared" si="109"/>
        <v>UndergndStorageFormTypeCode_beddedSaltCavern</v>
      </c>
      <c r="B7001" s="330"/>
      <c r="C7001" s="334"/>
      <c r="D7001" s="188" t="s">
        <v>32153</v>
      </c>
      <c r="E7001" s="189" t="s">
        <v>32154</v>
      </c>
      <c r="F7001" s="162" t="s">
        <v>32155</v>
      </c>
      <c r="G7001" s="162" t="s">
        <v>32156</v>
      </c>
      <c r="H7001" s="219"/>
      <c r="I7001" s="169">
        <v>206613</v>
      </c>
      <c r="J7001" s="304" t="str">
        <f>CONCATENATE([2]Cover!$D$6,"fdd/view?i=",I7001)</f>
        <v>https://www.dgiwg.org/FAD/fdd/view?i=206613</v>
      </c>
      <c r="K7001" s="304" t="s">
        <v>41050</v>
      </c>
      <c r="L7001" s="188">
        <v>7</v>
      </c>
      <c r="M7001" s="179" t="s">
        <v>1295</v>
      </c>
    </row>
    <row r="7002" spans="1:13" ht="114.75">
      <c r="A7002" s="313" t="str">
        <f t="shared" si="109"/>
        <v>UndergndStorageFormTypeCode_depletedReservoir</v>
      </c>
      <c r="B7002" s="330"/>
      <c r="C7002" s="334"/>
      <c r="D7002" s="188" t="s">
        <v>32157</v>
      </c>
      <c r="E7002" s="189" t="s">
        <v>32158</v>
      </c>
      <c r="F7002" s="162" t="s">
        <v>32159</v>
      </c>
      <c r="G7002" s="162" t="s">
        <v>32160</v>
      </c>
      <c r="H7002" s="219"/>
      <c r="I7002" s="169">
        <v>119273</v>
      </c>
      <c r="J7002" s="304" t="str">
        <f>CONCATENATE([2]Cover!$D$6,"fdd/view?i=",I7002)</f>
        <v>https://www.dgiwg.org/FAD/fdd/view?i=119273</v>
      </c>
      <c r="K7002" s="304" t="s">
        <v>41051</v>
      </c>
      <c r="L7002" s="188">
        <v>3</v>
      </c>
      <c r="M7002" s="179" t="s">
        <v>151</v>
      </c>
    </row>
    <row r="7003" spans="1:13" ht="51">
      <c r="A7003" s="313" t="str">
        <f t="shared" si="109"/>
        <v>UndergndStorageFormTypeCode_hardRockCavern</v>
      </c>
      <c r="B7003" s="330"/>
      <c r="C7003" s="334"/>
      <c r="D7003" s="188" t="s">
        <v>32161</v>
      </c>
      <c r="E7003" s="189" t="s">
        <v>32162</v>
      </c>
      <c r="F7003" s="162" t="s">
        <v>32163</v>
      </c>
      <c r="G7003" s="162" t="s">
        <v>32164</v>
      </c>
      <c r="H7003" s="219"/>
      <c r="I7003" s="169">
        <v>119274</v>
      </c>
      <c r="J7003" s="304" t="str">
        <f>CONCATENATE([2]Cover!$D$6,"fdd/view?i=",I7003)</f>
        <v>https://www.dgiwg.org/FAD/fdd/view?i=119274</v>
      </c>
      <c r="K7003" s="304" t="s">
        <v>41052</v>
      </c>
      <c r="L7003" s="188">
        <v>4</v>
      </c>
      <c r="M7003" s="179" t="s">
        <v>151</v>
      </c>
    </row>
    <row r="7004" spans="1:13" ht="114.75">
      <c r="A7004" s="313" t="str">
        <f t="shared" si="109"/>
        <v>UndergndStorageFormTypeCode_saltCavern</v>
      </c>
      <c r="B7004" s="330"/>
      <c r="C7004" s="334"/>
      <c r="D7004" s="188" t="s">
        <v>32165</v>
      </c>
      <c r="E7004" s="189" t="s">
        <v>32166</v>
      </c>
      <c r="F7004" s="162" t="s">
        <v>32167</v>
      </c>
      <c r="G7004" s="162" t="s">
        <v>32168</v>
      </c>
      <c r="H7004" s="219"/>
      <c r="I7004" s="169">
        <v>119275</v>
      </c>
      <c r="J7004" s="304" t="str">
        <f>CONCATENATE([2]Cover!$D$6,"fdd/view?i=",I7004)</f>
        <v>https://www.dgiwg.org/FAD/fdd/view?i=119275</v>
      </c>
      <c r="K7004" s="304" t="s">
        <v>41053</v>
      </c>
      <c r="L7004" s="188">
        <v>5</v>
      </c>
      <c r="M7004" s="179" t="s">
        <v>151</v>
      </c>
    </row>
    <row r="7005" spans="1:13" ht="178.5">
      <c r="A7005" s="313" t="str">
        <f t="shared" si="109"/>
        <v>UndergndStorageFormTypeCode_saltDomeCavern</v>
      </c>
      <c r="B7005" s="331"/>
      <c r="C7005" s="335"/>
      <c r="D7005" s="181" t="s">
        <v>32169</v>
      </c>
      <c r="E7005" s="192" t="s">
        <v>32170</v>
      </c>
      <c r="F7005" s="193" t="s">
        <v>32171</v>
      </c>
      <c r="G7005" s="193" t="s">
        <v>32172</v>
      </c>
      <c r="H7005" s="220"/>
      <c r="I7005" s="169">
        <v>206612</v>
      </c>
      <c r="J7005" s="304" t="str">
        <f>CONCATENATE([2]Cover!$D$6,"fdd/view?i=",I7005)</f>
        <v>https://www.dgiwg.org/FAD/fdd/view?i=206612</v>
      </c>
      <c r="K7005" s="304" t="s">
        <v>41054</v>
      </c>
      <c r="L7005" s="181">
        <v>6</v>
      </c>
      <c r="M7005" s="179" t="s">
        <v>1295</v>
      </c>
    </row>
    <row r="7006" spans="1:13" ht="38.25">
      <c r="A7006" s="313" t="str">
        <f t="shared" si="109"/>
        <v>UnderwaterDelineationQualityCode_averageDelineation</v>
      </c>
      <c r="B7006" s="332" t="str">
        <f>HYPERLINK("[#]Datatypes!A1482:L1482","UnderwaterDelineationQualityCode")</f>
        <v>UnderwaterDelineationQualityCode</v>
      </c>
      <c r="C7006" s="333" t="s">
        <v>13119</v>
      </c>
      <c r="D7006" s="202" t="s">
        <v>32173</v>
      </c>
      <c r="E7006" s="203" t="s">
        <v>32174</v>
      </c>
      <c r="F7006" s="204" t="s">
        <v>32175</v>
      </c>
      <c r="G7006" s="204" t="s">
        <v>32176</v>
      </c>
      <c r="H7006" s="218"/>
      <c r="I7006" s="169">
        <v>206277</v>
      </c>
      <c r="J7006" s="304" t="str">
        <f>CONCATENATE([2]Cover!$D$6,"fdd/view?i=",I7006)</f>
        <v>https://www.dgiwg.org/FAD/fdd/view?i=206277</v>
      </c>
      <c r="K7006" s="304" t="s">
        <v>41055</v>
      </c>
      <c r="L7006" s="202">
        <v>3</v>
      </c>
      <c r="M7006" s="179" t="s">
        <v>1295</v>
      </c>
    </row>
    <row r="7007" spans="1:13" ht="38.25">
      <c r="A7007" s="313" t="str">
        <f t="shared" si="109"/>
        <v>UnderwaterDelineationQualityCode_excellentDelineation</v>
      </c>
      <c r="B7007" s="330"/>
      <c r="C7007" s="334"/>
      <c r="D7007" s="188" t="s">
        <v>32177</v>
      </c>
      <c r="E7007" s="189" t="s">
        <v>32178</v>
      </c>
      <c r="F7007" s="162" t="s">
        <v>32179</v>
      </c>
      <c r="G7007" s="162" t="s">
        <v>32180</v>
      </c>
      <c r="H7007" s="219"/>
      <c r="I7007" s="169">
        <v>206275</v>
      </c>
      <c r="J7007" s="304" t="str">
        <f>CONCATENATE([2]Cover!$D$6,"fdd/view?i=",I7007)</f>
        <v>https://www.dgiwg.org/FAD/fdd/view?i=206275</v>
      </c>
      <c r="K7007" s="304" t="s">
        <v>41056</v>
      </c>
      <c r="L7007" s="188">
        <v>1</v>
      </c>
      <c r="M7007" s="179" t="s">
        <v>1295</v>
      </c>
    </row>
    <row r="7008" spans="1:13" ht="51">
      <c r="A7008" s="313" t="str">
        <f t="shared" si="109"/>
        <v>UnderwaterDelineationQualityCode_goodDelineation</v>
      </c>
      <c r="B7008" s="330"/>
      <c r="C7008" s="334"/>
      <c r="D7008" s="188" t="s">
        <v>32181</v>
      </c>
      <c r="E7008" s="189" t="s">
        <v>32182</v>
      </c>
      <c r="F7008" s="162" t="s">
        <v>32183</v>
      </c>
      <c r="G7008" s="162" t="s">
        <v>32184</v>
      </c>
      <c r="H7008" s="219"/>
      <c r="I7008" s="169">
        <v>206276</v>
      </c>
      <c r="J7008" s="304" t="str">
        <f>CONCATENATE([2]Cover!$D$6,"fdd/view?i=",I7008)</f>
        <v>https://www.dgiwg.org/FAD/fdd/view?i=206276</v>
      </c>
      <c r="K7008" s="304" t="s">
        <v>41057</v>
      </c>
      <c r="L7008" s="188">
        <v>2</v>
      </c>
      <c r="M7008" s="179" t="s">
        <v>1295</v>
      </c>
    </row>
    <row r="7009" spans="1:13" ht="38.25">
      <c r="A7009" s="313" t="str">
        <f t="shared" si="109"/>
        <v>UnderwaterDelineationQualityCode_highlyObscuredDelineation</v>
      </c>
      <c r="B7009" s="330"/>
      <c r="C7009" s="334"/>
      <c r="D7009" s="188" t="s">
        <v>32185</v>
      </c>
      <c r="E7009" s="189" t="s">
        <v>32186</v>
      </c>
      <c r="F7009" s="162" t="s">
        <v>32187</v>
      </c>
      <c r="G7009" s="162" t="s">
        <v>32188</v>
      </c>
      <c r="H7009" s="219"/>
      <c r="I7009" s="169">
        <v>206279</v>
      </c>
      <c r="J7009" s="304" t="str">
        <f>CONCATENATE([2]Cover!$D$6,"fdd/view?i=",I7009)</f>
        <v>https://www.dgiwg.org/FAD/fdd/view?i=206279</v>
      </c>
      <c r="K7009" s="304" t="s">
        <v>41058</v>
      </c>
      <c r="L7009" s="188">
        <v>5</v>
      </c>
      <c r="M7009" s="179" t="s">
        <v>1295</v>
      </c>
    </row>
    <row r="7010" spans="1:13" ht="38.25">
      <c r="A7010" s="313" t="str">
        <f t="shared" si="109"/>
        <v>UnderwaterDelineationQualityCode_poorDelineation</v>
      </c>
      <c r="B7010" s="331"/>
      <c r="C7010" s="335"/>
      <c r="D7010" s="181" t="s">
        <v>32189</v>
      </c>
      <c r="E7010" s="192" t="s">
        <v>32190</v>
      </c>
      <c r="F7010" s="193" t="s">
        <v>32191</v>
      </c>
      <c r="G7010" s="193" t="s">
        <v>32192</v>
      </c>
      <c r="H7010" s="220"/>
      <c r="I7010" s="169">
        <v>206278</v>
      </c>
      <c r="J7010" s="304" t="str">
        <f>CONCATENATE([2]Cover!$D$6,"fdd/view?i=",I7010)</f>
        <v>https://www.dgiwg.org/FAD/fdd/view?i=206278</v>
      </c>
      <c r="K7010" s="304" t="s">
        <v>41059</v>
      </c>
      <c r="L7010" s="181">
        <v>4</v>
      </c>
      <c r="M7010" s="179" t="s">
        <v>1295</v>
      </c>
    </row>
    <row r="7011" spans="1:13" ht="25.5">
      <c r="A7011" s="313" t="str">
        <f t="shared" si="109"/>
        <v>VegetationCharacteristicCode_algae</v>
      </c>
      <c r="B7011" s="332" t="str">
        <f>HYPERLINK("[#]Datatypes!A1490:L1490","VegetationCharacteristicCode")</f>
        <v>VegetationCharacteristicCode</v>
      </c>
      <c r="C7011" s="333" t="s">
        <v>13130</v>
      </c>
      <c r="D7011" s="202" t="s">
        <v>32193</v>
      </c>
      <c r="E7011" s="203" t="s">
        <v>32194</v>
      </c>
      <c r="F7011" s="204" t="s">
        <v>32195</v>
      </c>
      <c r="G7011" s="204" t="s">
        <v>32196</v>
      </c>
      <c r="H7011" s="218"/>
      <c r="I7011" s="169">
        <v>109240</v>
      </c>
      <c r="J7011" s="304" t="str">
        <f>CONCATENATE([2]Cover!$D$6,"fdd/view?i=",I7011)</f>
        <v>https://www.dgiwg.org/FAD/fdd/view?i=109240</v>
      </c>
      <c r="K7011" s="304" t="s">
        <v>41060</v>
      </c>
      <c r="L7011" s="202">
        <v>61</v>
      </c>
      <c r="M7011" s="179" t="s">
        <v>151</v>
      </c>
    </row>
    <row r="7012" spans="1:13" ht="38.25">
      <c r="A7012" s="313" t="str">
        <f t="shared" si="109"/>
        <v>VegetationCharacteristicCode_brush</v>
      </c>
      <c r="B7012" s="330"/>
      <c r="C7012" s="334"/>
      <c r="D7012" s="188" t="s">
        <v>17767</v>
      </c>
      <c r="E7012" s="189" t="s">
        <v>1742</v>
      </c>
      <c r="F7012" s="162" t="s">
        <v>1743</v>
      </c>
      <c r="G7012" s="162" t="s">
        <v>1744</v>
      </c>
      <c r="H7012" s="219"/>
      <c r="I7012" s="169">
        <v>110597</v>
      </c>
      <c r="J7012" s="304" t="str">
        <f>CONCATENATE([2]Cover!$D$6,"fdd/view?i=",I7012)</f>
        <v>https://www.dgiwg.org/FAD/fdd/view?i=110597</v>
      </c>
      <c r="K7012" s="304" t="s">
        <v>41061</v>
      </c>
      <c r="L7012" s="188">
        <v>75</v>
      </c>
      <c r="M7012" s="179" t="s">
        <v>151</v>
      </c>
    </row>
    <row r="7013" spans="1:13" ht="25.5">
      <c r="A7013" s="313" t="str">
        <f t="shared" si="109"/>
        <v>VegetationCharacteristicCode_grassland</v>
      </c>
      <c r="B7013" s="330"/>
      <c r="C7013" s="334"/>
      <c r="D7013" s="188" t="s">
        <v>32197</v>
      </c>
      <c r="E7013" s="189" t="s">
        <v>2625</v>
      </c>
      <c r="F7013" s="162" t="s">
        <v>2626</v>
      </c>
      <c r="G7013" s="162" t="s">
        <v>2627</v>
      </c>
      <c r="H7013" s="219"/>
      <c r="I7013" s="169">
        <v>109191</v>
      </c>
      <c r="J7013" s="304" t="str">
        <f>CONCATENATE([2]Cover!$D$6,"fdd/view?i=",I7013)</f>
        <v>https://www.dgiwg.org/FAD/fdd/view?i=109191</v>
      </c>
      <c r="K7013" s="304" t="s">
        <v>41062</v>
      </c>
      <c r="L7013" s="188">
        <v>8</v>
      </c>
      <c r="M7013" s="179" t="s">
        <v>151</v>
      </c>
    </row>
    <row r="7014" spans="1:13" ht="25.5">
      <c r="A7014" s="313" t="str">
        <f t="shared" si="109"/>
        <v>VegetationCharacteristicCode_grasslandWithTrees</v>
      </c>
      <c r="B7014" s="330"/>
      <c r="C7014" s="334"/>
      <c r="D7014" s="188" t="s">
        <v>32198</v>
      </c>
      <c r="E7014" s="189" t="s">
        <v>32199</v>
      </c>
      <c r="F7014" s="162" t="s">
        <v>32200</v>
      </c>
      <c r="G7014" s="190"/>
      <c r="H7014" s="219"/>
      <c r="I7014" s="169">
        <v>109192</v>
      </c>
      <c r="J7014" s="304" t="str">
        <f>CONCATENATE([2]Cover!$D$6,"fdd/view?i=",I7014)</f>
        <v>https://www.dgiwg.org/FAD/fdd/view?i=109192</v>
      </c>
      <c r="K7014" s="304" t="s">
        <v>41063</v>
      </c>
      <c r="L7014" s="188">
        <v>9</v>
      </c>
      <c r="M7014" s="179" t="s">
        <v>151</v>
      </c>
    </row>
    <row r="7015" spans="1:13" ht="25.5">
      <c r="A7015" s="313" t="str">
        <f t="shared" si="109"/>
        <v>VegetationCharacteristicCode_meadow</v>
      </c>
      <c r="B7015" s="330"/>
      <c r="C7015" s="334"/>
      <c r="D7015" s="188" t="s">
        <v>32201</v>
      </c>
      <c r="E7015" s="189" t="s">
        <v>32202</v>
      </c>
      <c r="F7015" s="162" t="s">
        <v>32203</v>
      </c>
      <c r="G7015" s="190"/>
      <c r="H7015" s="219"/>
      <c r="I7015" s="169">
        <v>112842</v>
      </c>
      <c r="J7015" s="304" t="str">
        <f>CONCATENATE([2]Cover!$D$6,"fdd/view?i=",I7015)</f>
        <v>https://www.dgiwg.org/FAD/fdd/view?i=112842</v>
      </c>
      <c r="K7015" s="304" t="s">
        <v>41064</v>
      </c>
      <c r="L7015" s="188">
        <v>83</v>
      </c>
      <c r="M7015" s="179" t="s">
        <v>151</v>
      </c>
    </row>
    <row r="7016" spans="1:13" ht="25.5">
      <c r="A7016" s="313" t="str">
        <f t="shared" si="109"/>
        <v>VegetationCharacteristicCode_seaGrass</v>
      </c>
      <c r="B7016" s="330"/>
      <c r="C7016" s="334"/>
      <c r="D7016" s="188" t="s">
        <v>32204</v>
      </c>
      <c r="E7016" s="189" t="s">
        <v>32205</v>
      </c>
      <c r="F7016" s="162" t="s">
        <v>32206</v>
      </c>
      <c r="G7016" s="162" t="s">
        <v>32207</v>
      </c>
      <c r="H7016" s="219"/>
      <c r="I7016" s="169">
        <v>109241</v>
      </c>
      <c r="J7016" s="304" t="str">
        <f>CONCATENATE([2]Cover!$D$6,"fdd/view?i=",I7016)</f>
        <v>https://www.dgiwg.org/FAD/fdd/view?i=109241</v>
      </c>
      <c r="K7016" s="304" t="s">
        <v>41065</v>
      </c>
      <c r="L7016" s="188">
        <v>62</v>
      </c>
      <c r="M7016" s="179" t="s">
        <v>151</v>
      </c>
    </row>
    <row r="7017" spans="1:13" ht="25.5">
      <c r="A7017" s="313" t="str">
        <f t="shared" si="109"/>
        <v>VegetationCharacteristicCode_tropicalGrass</v>
      </c>
      <c r="B7017" s="330"/>
      <c r="C7017" s="334"/>
      <c r="D7017" s="188" t="s">
        <v>32208</v>
      </c>
      <c r="E7017" s="189" t="s">
        <v>32209</v>
      </c>
      <c r="F7017" s="162" t="s">
        <v>32210</v>
      </c>
      <c r="G7017" s="162" t="s">
        <v>32211</v>
      </c>
      <c r="H7017" s="219"/>
      <c r="I7017" s="169">
        <v>109193</v>
      </c>
      <c r="J7017" s="304" t="str">
        <f>CONCATENATE([2]Cover!$D$6,"fdd/view?i=",I7017)</f>
        <v>https://www.dgiwg.org/FAD/fdd/view?i=109193</v>
      </c>
      <c r="K7017" s="304" t="s">
        <v>41066</v>
      </c>
      <c r="L7017" s="188">
        <v>10</v>
      </c>
      <c r="M7017" s="179" t="s">
        <v>151</v>
      </c>
    </row>
    <row r="7018" spans="1:13" ht="25.5">
      <c r="A7018" s="313" t="str">
        <f t="shared" si="109"/>
        <v>VegetationCharacteristicCode_withoutTrees</v>
      </c>
      <c r="B7018" s="330"/>
      <c r="C7018" s="334"/>
      <c r="D7018" s="188" t="s">
        <v>32212</v>
      </c>
      <c r="E7018" s="189" t="s">
        <v>32213</v>
      </c>
      <c r="F7018" s="162" t="s">
        <v>32214</v>
      </c>
      <c r="G7018" s="190"/>
      <c r="H7018" s="219"/>
      <c r="I7018" s="169">
        <v>109235</v>
      </c>
      <c r="J7018" s="304" t="str">
        <f>CONCATENATE([2]Cover!$D$6,"fdd/view?i=",I7018)</f>
        <v>https://www.dgiwg.org/FAD/fdd/view?i=109235</v>
      </c>
      <c r="K7018" s="304" t="s">
        <v>41067</v>
      </c>
      <c r="L7018" s="188">
        <v>56</v>
      </c>
      <c r="M7018" s="179" t="s">
        <v>151</v>
      </c>
    </row>
    <row r="7019" spans="1:13" ht="25.5">
      <c r="A7019" s="313" t="str">
        <f t="shared" si="109"/>
        <v>VegetationCharacteristicCode_wood</v>
      </c>
      <c r="B7019" s="331"/>
      <c r="C7019" s="335"/>
      <c r="D7019" s="181" t="s">
        <v>15149</v>
      </c>
      <c r="E7019" s="192" t="s">
        <v>15150</v>
      </c>
      <c r="F7019" s="193" t="s">
        <v>17787</v>
      </c>
      <c r="G7019" s="194"/>
      <c r="H7019" s="223" t="s">
        <v>17788</v>
      </c>
      <c r="I7019" s="169">
        <v>109229</v>
      </c>
      <c r="J7019" s="304" t="str">
        <f>CONCATENATE([2]Cover!$D$6,"fdd/view?i=",I7019)</f>
        <v>https://www.dgiwg.org/FAD/fdd/view?i=109229</v>
      </c>
      <c r="K7019" s="304" t="s">
        <v>41068</v>
      </c>
      <c r="L7019" s="181">
        <v>50</v>
      </c>
      <c r="M7019" s="179" t="s">
        <v>151</v>
      </c>
    </row>
    <row r="7020" spans="1:13" ht="63.75">
      <c r="A7020" s="313" t="str">
        <f t="shared" si="109"/>
        <v>VegetationSpeciesCode_algae</v>
      </c>
      <c r="B7020" s="332" t="str">
        <f>HYPERLINK("[#]Datatypes!A1492:L1492","VegetationSpeciesCode")</f>
        <v>VegetationSpeciesCode</v>
      </c>
      <c r="C7020" s="333" t="s">
        <v>13132</v>
      </c>
      <c r="D7020" s="202" t="s">
        <v>32193</v>
      </c>
      <c r="E7020" s="203" t="s">
        <v>32194</v>
      </c>
      <c r="F7020" s="204" t="s">
        <v>32215</v>
      </c>
      <c r="G7020" s="204" t="s">
        <v>32216</v>
      </c>
      <c r="H7020" s="218"/>
      <c r="I7020" s="169">
        <v>112846</v>
      </c>
      <c r="J7020" s="304" t="str">
        <f>CONCATENATE([2]Cover!$D$6,"fdd/view?i=",I7020)</f>
        <v>https://www.dgiwg.org/FAD/fdd/view?i=112846</v>
      </c>
      <c r="K7020" s="304" t="s">
        <v>41069</v>
      </c>
      <c r="L7020" s="202">
        <v>36</v>
      </c>
      <c r="M7020" s="179" t="s">
        <v>151</v>
      </c>
    </row>
    <row r="7021" spans="1:13" ht="25.5">
      <c r="A7021" s="313" t="str">
        <f t="shared" si="109"/>
        <v>VegetationSpeciesCode_bamboo</v>
      </c>
      <c r="B7021" s="330"/>
      <c r="C7021" s="334"/>
      <c r="D7021" s="188" t="s">
        <v>19440</v>
      </c>
      <c r="E7021" s="189" t="s">
        <v>19441</v>
      </c>
      <c r="F7021" s="162" t="s">
        <v>19442</v>
      </c>
      <c r="G7021" s="162" t="s">
        <v>19443</v>
      </c>
      <c r="H7021" s="219"/>
      <c r="I7021" s="169">
        <v>112844</v>
      </c>
      <c r="J7021" s="304" t="str">
        <f>CONCATENATE([2]Cover!$D$6,"fdd/view?i=",I7021)</f>
        <v>https://www.dgiwg.org/FAD/fdd/view?i=112844</v>
      </c>
      <c r="K7021" s="304" t="s">
        <v>41070</v>
      </c>
      <c r="L7021" s="188">
        <v>34</v>
      </c>
      <c r="M7021" s="179" t="s">
        <v>151</v>
      </c>
    </row>
    <row r="7022" spans="1:13" ht="63.75">
      <c r="A7022" s="313" t="str">
        <f t="shared" si="109"/>
        <v>VegetationSpeciesCode_cypress</v>
      </c>
      <c r="B7022" s="330"/>
      <c r="C7022" s="334"/>
      <c r="D7022" s="188" t="s">
        <v>32217</v>
      </c>
      <c r="E7022" s="189" t="s">
        <v>32218</v>
      </c>
      <c r="F7022" s="162" t="s">
        <v>32219</v>
      </c>
      <c r="G7022" s="162" t="s">
        <v>32220</v>
      </c>
      <c r="H7022" s="219"/>
      <c r="I7022" s="169">
        <v>110619</v>
      </c>
      <c r="J7022" s="304" t="str">
        <f>CONCATENATE([2]Cover!$D$6,"fdd/view?i=",I7022)</f>
        <v>https://www.dgiwg.org/FAD/fdd/view?i=110619</v>
      </c>
      <c r="K7022" s="304" t="s">
        <v>41071</v>
      </c>
      <c r="L7022" s="188">
        <v>8</v>
      </c>
      <c r="M7022" s="179" t="s">
        <v>151</v>
      </c>
    </row>
    <row r="7023" spans="1:13" ht="51">
      <c r="A7023" s="313" t="str">
        <f t="shared" si="109"/>
        <v>VegetationSpeciesCode_kelp</v>
      </c>
      <c r="B7023" s="330"/>
      <c r="C7023" s="334"/>
      <c r="D7023" s="188" t="s">
        <v>32221</v>
      </c>
      <c r="E7023" s="189" t="s">
        <v>32222</v>
      </c>
      <c r="F7023" s="162" t="s">
        <v>32223</v>
      </c>
      <c r="G7023" s="162" t="s">
        <v>32224</v>
      </c>
      <c r="H7023" s="219"/>
      <c r="I7023" s="169">
        <v>110628</v>
      </c>
      <c r="J7023" s="304" t="str">
        <f>CONCATENATE([2]Cover!$D$6,"fdd/view?i=",I7023)</f>
        <v>https://www.dgiwg.org/FAD/fdd/view?i=110628</v>
      </c>
      <c r="K7023" s="304" t="s">
        <v>41072</v>
      </c>
      <c r="L7023" s="188">
        <v>17</v>
      </c>
      <c r="M7023" s="179" t="s">
        <v>151</v>
      </c>
    </row>
    <row r="7024" spans="1:13" ht="76.5">
      <c r="A7024" s="313" t="str">
        <f t="shared" si="109"/>
        <v>VegetationSpeciesCode_mangrove</v>
      </c>
      <c r="B7024" s="330"/>
      <c r="C7024" s="334"/>
      <c r="D7024" s="188" t="s">
        <v>30175</v>
      </c>
      <c r="E7024" s="189" t="s">
        <v>30176</v>
      </c>
      <c r="F7024" s="162" t="s">
        <v>32225</v>
      </c>
      <c r="G7024" s="162" t="s">
        <v>32226</v>
      </c>
      <c r="H7024" s="219"/>
      <c r="I7024" s="169">
        <v>110630</v>
      </c>
      <c r="J7024" s="304" t="str">
        <f>CONCATENATE([2]Cover!$D$6,"fdd/view?i=",I7024)</f>
        <v>https://www.dgiwg.org/FAD/fdd/view?i=110630</v>
      </c>
      <c r="K7024" s="304" t="s">
        <v>41073</v>
      </c>
      <c r="L7024" s="188">
        <v>19</v>
      </c>
      <c r="M7024" s="179" t="s">
        <v>151</v>
      </c>
    </row>
    <row r="7025" spans="1:13" ht="25.5">
      <c r="A7025" s="313" t="str">
        <f t="shared" si="109"/>
        <v>VegetationSpeciesCode_nipa</v>
      </c>
      <c r="B7025" s="330"/>
      <c r="C7025" s="334"/>
      <c r="D7025" s="188" t="s">
        <v>32227</v>
      </c>
      <c r="E7025" s="189" t="s">
        <v>32228</v>
      </c>
      <c r="F7025" s="162" t="s">
        <v>32229</v>
      </c>
      <c r="G7025" s="190"/>
      <c r="H7025" s="221" t="s">
        <v>32230</v>
      </c>
      <c r="I7025" s="169">
        <v>110633</v>
      </c>
      <c r="J7025" s="304" t="str">
        <f>CONCATENATE([2]Cover!$D$6,"fdd/view?i=",I7025)</f>
        <v>https://www.dgiwg.org/FAD/fdd/view?i=110633</v>
      </c>
      <c r="K7025" s="304" t="s">
        <v>41074</v>
      </c>
      <c r="L7025" s="188">
        <v>22</v>
      </c>
      <c r="M7025" s="179" t="s">
        <v>151</v>
      </c>
    </row>
    <row r="7026" spans="1:13" ht="38.25">
      <c r="A7026" s="313" t="str">
        <f t="shared" si="109"/>
        <v>VegetationSpeciesCode_palm</v>
      </c>
      <c r="B7026" s="330"/>
      <c r="C7026" s="334"/>
      <c r="D7026" s="188" t="s">
        <v>32231</v>
      </c>
      <c r="E7026" s="189" t="s">
        <v>32232</v>
      </c>
      <c r="F7026" s="162" t="s">
        <v>32233</v>
      </c>
      <c r="G7026" s="162" t="s">
        <v>32234</v>
      </c>
      <c r="H7026" s="221" t="s">
        <v>20814</v>
      </c>
      <c r="I7026" s="169">
        <v>110636</v>
      </c>
      <c r="J7026" s="304" t="str">
        <f>CONCATENATE([2]Cover!$D$6,"fdd/view?i=",I7026)</f>
        <v>https://www.dgiwg.org/FAD/fdd/view?i=110636</v>
      </c>
      <c r="K7026" s="304" t="s">
        <v>41075</v>
      </c>
      <c r="L7026" s="188">
        <v>25</v>
      </c>
      <c r="M7026" s="179" t="s">
        <v>151</v>
      </c>
    </row>
    <row r="7027" spans="1:13" ht="114.75">
      <c r="A7027" s="313" t="str">
        <f t="shared" si="109"/>
        <v>VegetationSpeciesCode_posidonia</v>
      </c>
      <c r="B7027" s="330"/>
      <c r="C7027" s="334"/>
      <c r="D7027" s="188" t="s">
        <v>32235</v>
      </c>
      <c r="E7027" s="189" t="s">
        <v>32236</v>
      </c>
      <c r="F7027" s="162" t="s">
        <v>32237</v>
      </c>
      <c r="G7027" s="162" t="s">
        <v>32238</v>
      </c>
      <c r="H7027" s="219"/>
      <c r="I7027" s="169">
        <v>110639</v>
      </c>
      <c r="J7027" s="304" t="str">
        <f>CONCATENATE([2]Cover!$D$6,"fdd/view?i=",I7027)</f>
        <v>https://www.dgiwg.org/FAD/fdd/view?i=110639</v>
      </c>
      <c r="K7027" s="304" t="s">
        <v>41076</v>
      </c>
      <c r="L7027" s="188">
        <v>28</v>
      </c>
      <c r="M7027" s="179" t="s">
        <v>151</v>
      </c>
    </row>
    <row r="7028" spans="1:13" ht="63.75">
      <c r="A7028" s="313" t="str">
        <f t="shared" si="109"/>
        <v>VegetationSpeciesCode_reed</v>
      </c>
      <c r="B7028" s="330"/>
      <c r="C7028" s="334"/>
      <c r="D7028" s="188" t="s">
        <v>22841</v>
      </c>
      <c r="E7028" s="189" t="s">
        <v>22842</v>
      </c>
      <c r="F7028" s="162" t="s">
        <v>32239</v>
      </c>
      <c r="G7028" s="162" t="s">
        <v>32240</v>
      </c>
      <c r="H7028" s="219"/>
      <c r="I7028" s="169">
        <v>110640</v>
      </c>
      <c r="J7028" s="304" t="str">
        <f>CONCATENATE([2]Cover!$D$6,"fdd/view?i=",I7028)</f>
        <v>https://www.dgiwg.org/FAD/fdd/view?i=110640</v>
      </c>
      <c r="K7028" s="304" t="s">
        <v>41077</v>
      </c>
      <c r="L7028" s="188">
        <v>29</v>
      </c>
      <c r="M7028" s="179" t="s">
        <v>151</v>
      </c>
    </row>
    <row r="7029" spans="1:13" ht="38.25">
      <c r="A7029" s="313" t="str">
        <f t="shared" si="109"/>
        <v>VegetationSpeciesCode_sargassum</v>
      </c>
      <c r="B7029" s="330"/>
      <c r="C7029" s="334"/>
      <c r="D7029" s="188" t="s">
        <v>32241</v>
      </c>
      <c r="E7029" s="189" t="s">
        <v>32242</v>
      </c>
      <c r="F7029" s="162" t="s">
        <v>32243</v>
      </c>
      <c r="G7029" s="190"/>
      <c r="H7029" s="221" t="s">
        <v>32244</v>
      </c>
      <c r="I7029" s="169">
        <v>110641</v>
      </c>
      <c r="J7029" s="304" t="str">
        <f>CONCATENATE([2]Cover!$D$6,"fdd/view?i=",I7029)</f>
        <v>https://www.dgiwg.org/FAD/fdd/view?i=110641</v>
      </c>
      <c r="K7029" s="304" t="s">
        <v>41078</v>
      </c>
      <c r="L7029" s="188">
        <v>30</v>
      </c>
      <c r="M7029" s="179" t="s">
        <v>151</v>
      </c>
    </row>
    <row r="7030" spans="1:13" ht="51">
      <c r="A7030" s="313" t="str">
        <f t="shared" si="109"/>
        <v>VegetationSpeciesCode_seaTangle</v>
      </c>
      <c r="B7030" s="330"/>
      <c r="C7030" s="334"/>
      <c r="D7030" s="188" t="s">
        <v>32245</v>
      </c>
      <c r="E7030" s="189" t="s">
        <v>32246</v>
      </c>
      <c r="F7030" s="162" t="s">
        <v>32247</v>
      </c>
      <c r="G7030" s="162" t="s">
        <v>32248</v>
      </c>
      <c r="H7030" s="221" t="s">
        <v>32249</v>
      </c>
      <c r="I7030" s="169">
        <v>110642</v>
      </c>
      <c r="J7030" s="304" t="str">
        <f>CONCATENATE([2]Cover!$D$6,"fdd/view?i=",I7030)</f>
        <v>https://www.dgiwg.org/FAD/fdd/view?i=110642</v>
      </c>
      <c r="K7030" s="304" t="s">
        <v>41079</v>
      </c>
      <c r="L7030" s="188">
        <v>31</v>
      </c>
      <c r="M7030" s="179" t="s">
        <v>151</v>
      </c>
    </row>
    <row r="7031" spans="1:13" ht="89.25">
      <c r="A7031" s="313" t="str">
        <f t="shared" si="109"/>
        <v>VegetationSpeciesCode_swampCypress</v>
      </c>
      <c r="B7031" s="330"/>
      <c r="C7031" s="334"/>
      <c r="D7031" s="188" t="s">
        <v>32250</v>
      </c>
      <c r="E7031" s="189" t="s">
        <v>32251</v>
      </c>
      <c r="F7031" s="162" t="s">
        <v>32252</v>
      </c>
      <c r="G7031" s="162" t="s">
        <v>32253</v>
      </c>
      <c r="H7031" s="219"/>
      <c r="I7031" s="169">
        <v>207842</v>
      </c>
      <c r="J7031" s="304" t="str">
        <f>CONCATENATE([2]Cover!$D$6,"fdd/view?i=",I7031)</f>
        <v>https://www.dgiwg.org/FAD/fdd/view?i=207842</v>
      </c>
      <c r="K7031" s="304" t="s">
        <v>41080</v>
      </c>
      <c r="L7031" s="188">
        <v>64</v>
      </c>
      <c r="M7031" s="179" t="s">
        <v>1295</v>
      </c>
    </row>
    <row r="7032" spans="1:13" ht="153">
      <c r="A7032" s="313" t="str">
        <f t="shared" si="109"/>
        <v>VegetationSpeciesCode_waterHyacinth</v>
      </c>
      <c r="B7032" s="331"/>
      <c r="C7032" s="335"/>
      <c r="D7032" s="181" t="s">
        <v>32254</v>
      </c>
      <c r="E7032" s="192" t="s">
        <v>32255</v>
      </c>
      <c r="F7032" s="193" t="s">
        <v>32256</v>
      </c>
      <c r="G7032" s="193" t="s">
        <v>32257</v>
      </c>
      <c r="H7032" s="220"/>
      <c r="I7032" s="169">
        <v>112845</v>
      </c>
      <c r="J7032" s="304" t="str">
        <f>CONCATENATE([2]Cover!$D$6,"fdd/view?i=",I7032)</f>
        <v>https://www.dgiwg.org/FAD/fdd/view?i=112845</v>
      </c>
      <c r="K7032" s="304" t="s">
        <v>41081</v>
      </c>
      <c r="L7032" s="181">
        <v>35</v>
      </c>
      <c r="M7032" s="179" t="s">
        <v>151</v>
      </c>
    </row>
    <row r="7033" spans="1:13">
      <c r="A7033" s="313" t="str">
        <f t="shared" si="109"/>
        <v>VehicleTypeCode_aircraft</v>
      </c>
      <c r="B7033" s="332" t="str">
        <f>HYPERLINK("[#]Datatypes!A1494:L1494","VehicleTypeCode")</f>
        <v>VehicleTypeCode</v>
      </c>
      <c r="C7033" s="333" t="s">
        <v>13134</v>
      </c>
      <c r="D7033" s="202" t="s">
        <v>25468</v>
      </c>
      <c r="E7033" s="203" t="s">
        <v>25469</v>
      </c>
      <c r="F7033" s="204" t="s">
        <v>28553</v>
      </c>
      <c r="G7033" s="204" t="s">
        <v>28554</v>
      </c>
      <c r="H7033" s="218"/>
      <c r="I7033" s="169">
        <v>109881</v>
      </c>
      <c r="J7033" s="304" t="str">
        <f>CONCATENATE([2]Cover!$D$6,"fdd/view?i=",I7033)</f>
        <v>https://www.dgiwg.org/FAD/fdd/view?i=109881</v>
      </c>
      <c r="K7033" s="304" t="s">
        <v>41082</v>
      </c>
      <c r="L7033" s="202">
        <v>1</v>
      </c>
      <c r="M7033" s="179" t="s">
        <v>151</v>
      </c>
    </row>
    <row r="7034" spans="1:13">
      <c r="A7034" s="313" t="str">
        <f t="shared" si="109"/>
        <v>VehicleTypeCode_automobile</v>
      </c>
      <c r="B7034" s="330"/>
      <c r="C7034" s="334"/>
      <c r="D7034" s="188" t="s">
        <v>32258</v>
      </c>
      <c r="E7034" s="189" t="s">
        <v>32259</v>
      </c>
      <c r="F7034" s="162" t="s">
        <v>32260</v>
      </c>
      <c r="G7034" s="190"/>
      <c r="H7034" s="219"/>
      <c r="I7034" s="169">
        <v>109883</v>
      </c>
      <c r="J7034" s="304" t="str">
        <f>CONCATENATE([2]Cover!$D$6,"fdd/view?i=",I7034)</f>
        <v>https://www.dgiwg.org/FAD/fdd/view?i=109883</v>
      </c>
      <c r="K7034" s="304" t="s">
        <v>41083</v>
      </c>
      <c r="L7034" s="188">
        <v>2</v>
      </c>
      <c r="M7034" s="179" t="s">
        <v>151</v>
      </c>
    </row>
    <row r="7035" spans="1:13" ht="25.5">
      <c r="A7035" s="313" t="str">
        <f t="shared" si="109"/>
        <v>VehicleTypeCode_barge</v>
      </c>
      <c r="B7035" s="330"/>
      <c r="C7035" s="334"/>
      <c r="D7035" s="188" t="s">
        <v>18559</v>
      </c>
      <c r="E7035" s="189" t="s">
        <v>18560</v>
      </c>
      <c r="F7035" s="162" t="s">
        <v>32261</v>
      </c>
      <c r="G7035" s="190"/>
      <c r="H7035" s="219"/>
      <c r="I7035" s="169">
        <v>109884</v>
      </c>
      <c r="J7035" s="304" t="str">
        <f>CONCATENATE([2]Cover!$D$6,"fdd/view?i=",I7035)</f>
        <v>https://www.dgiwg.org/FAD/fdd/view?i=109884</v>
      </c>
      <c r="K7035" s="304" t="s">
        <v>41084</v>
      </c>
      <c r="L7035" s="188">
        <v>3</v>
      </c>
      <c r="M7035" s="179" t="s">
        <v>151</v>
      </c>
    </row>
    <row r="7036" spans="1:13" ht="25.5">
      <c r="A7036" s="313" t="str">
        <f t="shared" si="109"/>
        <v>VehicleTypeCode_bicycle</v>
      </c>
      <c r="B7036" s="330"/>
      <c r="C7036" s="334"/>
      <c r="D7036" s="188" t="s">
        <v>28862</v>
      </c>
      <c r="E7036" s="189" t="s">
        <v>28863</v>
      </c>
      <c r="F7036" s="162" t="s">
        <v>32262</v>
      </c>
      <c r="G7036" s="190"/>
      <c r="H7036" s="219"/>
      <c r="I7036" s="169">
        <v>109885</v>
      </c>
      <c r="J7036" s="304" t="str">
        <f>CONCATENATE([2]Cover!$D$6,"fdd/view?i=",I7036)</f>
        <v>https://www.dgiwg.org/FAD/fdd/view?i=109885</v>
      </c>
      <c r="K7036" s="304" t="s">
        <v>41085</v>
      </c>
      <c r="L7036" s="188">
        <v>4</v>
      </c>
      <c r="M7036" s="179" t="s">
        <v>151</v>
      </c>
    </row>
    <row r="7037" spans="1:13">
      <c r="A7037" s="313" t="str">
        <f t="shared" si="109"/>
        <v>VehicleTypeCode_boat</v>
      </c>
      <c r="B7037" s="330"/>
      <c r="C7037" s="334"/>
      <c r="D7037" s="188" t="s">
        <v>32263</v>
      </c>
      <c r="E7037" s="189" t="s">
        <v>32264</v>
      </c>
      <c r="F7037" s="162" t="s">
        <v>32265</v>
      </c>
      <c r="G7037" s="190"/>
      <c r="H7037" s="219"/>
      <c r="I7037" s="169">
        <v>109886</v>
      </c>
      <c r="J7037" s="304" t="str">
        <f>CONCATENATE([2]Cover!$D$6,"fdd/view?i=",I7037)</f>
        <v>https://www.dgiwg.org/FAD/fdd/view?i=109886</v>
      </c>
      <c r="K7037" s="304" t="s">
        <v>41086</v>
      </c>
      <c r="L7037" s="188">
        <v>5</v>
      </c>
      <c r="M7037" s="179" t="s">
        <v>151</v>
      </c>
    </row>
    <row r="7038" spans="1:13">
      <c r="A7038" s="313" t="str">
        <f t="shared" si="109"/>
        <v>VehicleTypeCode_bus</v>
      </c>
      <c r="B7038" s="330"/>
      <c r="C7038" s="334"/>
      <c r="D7038" s="188" t="s">
        <v>32036</v>
      </c>
      <c r="E7038" s="189" t="s">
        <v>32037</v>
      </c>
      <c r="F7038" s="162" t="s">
        <v>32266</v>
      </c>
      <c r="G7038" s="190"/>
      <c r="H7038" s="219"/>
      <c r="I7038" s="169">
        <v>109887</v>
      </c>
      <c r="J7038" s="304" t="str">
        <f>CONCATENATE([2]Cover!$D$6,"fdd/view?i=",I7038)</f>
        <v>https://www.dgiwg.org/FAD/fdd/view?i=109887</v>
      </c>
      <c r="K7038" s="304" t="s">
        <v>41087</v>
      </c>
      <c r="L7038" s="188">
        <v>6</v>
      </c>
      <c r="M7038" s="179" t="s">
        <v>151</v>
      </c>
    </row>
    <row r="7039" spans="1:13" ht="25.5">
      <c r="A7039" s="313" t="str">
        <f t="shared" si="109"/>
        <v>VehicleTypeCode_caravan</v>
      </c>
      <c r="B7039" s="330"/>
      <c r="C7039" s="334"/>
      <c r="D7039" s="188" t="s">
        <v>32267</v>
      </c>
      <c r="E7039" s="189" t="s">
        <v>32268</v>
      </c>
      <c r="F7039" s="162" t="s">
        <v>32269</v>
      </c>
      <c r="G7039" s="190"/>
      <c r="H7039" s="219"/>
      <c r="I7039" s="169">
        <v>109889</v>
      </c>
      <c r="J7039" s="304" t="str">
        <f>CONCATENATE([2]Cover!$D$6,"fdd/view?i=",I7039)</f>
        <v>https://www.dgiwg.org/FAD/fdd/view?i=109889</v>
      </c>
      <c r="K7039" s="304" t="s">
        <v>41088</v>
      </c>
      <c r="L7039" s="188">
        <v>8</v>
      </c>
      <c r="M7039" s="179" t="s">
        <v>151</v>
      </c>
    </row>
    <row r="7040" spans="1:13">
      <c r="A7040" s="313" t="str">
        <f t="shared" si="109"/>
        <v>VehicleTypeCode_caravanette</v>
      </c>
      <c r="B7040" s="330"/>
      <c r="C7040" s="334"/>
      <c r="D7040" s="188" t="s">
        <v>32270</v>
      </c>
      <c r="E7040" s="189" t="s">
        <v>32271</v>
      </c>
      <c r="F7040" s="162" t="s">
        <v>32272</v>
      </c>
      <c r="G7040" s="190"/>
      <c r="H7040" s="219"/>
      <c r="I7040" s="169">
        <v>109888</v>
      </c>
      <c r="J7040" s="304" t="str">
        <f>CONCATENATE([2]Cover!$D$6,"fdd/view?i=",I7040)</f>
        <v>https://www.dgiwg.org/FAD/fdd/view?i=109888</v>
      </c>
      <c r="K7040" s="304" t="s">
        <v>41089</v>
      </c>
      <c r="L7040" s="188">
        <v>7</v>
      </c>
      <c r="M7040" s="179" t="s">
        <v>151</v>
      </c>
    </row>
    <row r="7041" spans="1:13">
      <c r="A7041" s="313" t="str">
        <f t="shared" si="109"/>
        <v>VehicleTypeCode_motorcycle</v>
      </c>
      <c r="B7041" s="330"/>
      <c r="C7041" s="334"/>
      <c r="D7041" s="188" t="s">
        <v>28905</v>
      </c>
      <c r="E7041" s="189" t="s">
        <v>28906</v>
      </c>
      <c r="F7041" s="162" t="s">
        <v>32273</v>
      </c>
      <c r="G7041" s="190"/>
      <c r="H7041" s="219"/>
      <c r="I7041" s="169">
        <v>109890</v>
      </c>
      <c r="J7041" s="304" t="str">
        <f>CONCATENATE([2]Cover!$D$6,"fdd/view?i=",I7041)</f>
        <v>https://www.dgiwg.org/FAD/fdd/view?i=109890</v>
      </c>
      <c r="K7041" s="304" t="s">
        <v>41090</v>
      </c>
      <c r="L7041" s="188">
        <v>9</v>
      </c>
      <c r="M7041" s="179" t="s">
        <v>151</v>
      </c>
    </row>
    <row r="7042" spans="1:13">
      <c r="A7042" s="313" t="str">
        <f t="shared" si="109"/>
        <v>VehicleTypeCode_ship</v>
      </c>
      <c r="B7042" s="331"/>
      <c r="C7042" s="335"/>
      <c r="D7042" s="181" t="s">
        <v>32274</v>
      </c>
      <c r="E7042" s="192" t="s">
        <v>32275</v>
      </c>
      <c r="F7042" s="193" t="s">
        <v>32276</v>
      </c>
      <c r="G7042" s="194"/>
      <c r="H7042" s="220"/>
      <c r="I7042" s="169">
        <v>109882</v>
      </c>
      <c r="J7042" s="304" t="str">
        <f>CONCATENATE([2]Cover!$D$6,"fdd/view?i=",I7042)</f>
        <v>https://www.dgiwg.org/FAD/fdd/view?i=109882</v>
      </c>
      <c r="K7042" s="304" t="s">
        <v>41091</v>
      </c>
      <c r="L7042" s="181">
        <v>10</v>
      </c>
      <c r="M7042" s="179" t="s">
        <v>151</v>
      </c>
    </row>
    <row r="7043" spans="1:13" ht="25.5">
      <c r="A7043" s="313" t="str">
        <f t="shared" ref="A7043:A7106" si="110">HYPERLINK(J7043,K7043)</f>
        <v>VertClearRefCode_highestHighWater</v>
      </c>
      <c r="B7043" s="332" t="str">
        <f>HYPERLINK("[#]Datatypes!A1496:L1496","VertClearRefCode")</f>
        <v>VertClearRefCode</v>
      </c>
      <c r="C7043" s="333" t="s">
        <v>13136</v>
      </c>
      <c r="D7043" s="202" t="s">
        <v>23579</v>
      </c>
      <c r="E7043" s="203" t="s">
        <v>23580</v>
      </c>
      <c r="F7043" s="204" t="s">
        <v>23581</v>
      </c>
      <c r="G7043" s="205"/>
      <c r="H7043" s="218"/>
      <c r="I7043" s="169">
        <v>109121</v>
      </c>
      <c r="J7043" s="304" t="str">
        <f>CONCATENATE([2]Cover!$D$6,"fdd/view?i=",I7043)</f>
        <v>https://www.dgiwg.org/FAD/fdd/view?i=109121</v>
      </c>
      <c r="K7043" s="304" t="s">
        <v>41092</v>
      </c>
      <c r="L7043" s="202">
        <v>28</v>
      </c>
      <c r="M7043" s="179" t="s">
        <v>151</v>
      </c>
    </row>
    <row r="7044" spans="1:13" ht="25.5">
      <c r="A7044" s="313" t="str">
        <f t="shared" si="110"/>
        <v>VertClearRefCode_indianSpringHighWater</v>
      </c>
      <c r="B7044" s="330"/>
      <c r="C7044" s="334"/>
      <c r="D7044" s="188" t="s">
        <v>23582</v>
      </c>
      <c r="E7044" s="189" t="s">
        <v>23583</v>
      </c>
      <c r="F7044" s="162" t="s">
        <v>23584</v>
      </c>
      <c r="G7044" s="190"/>
      <c r="H7044" s="219"/>
      <c r="I7044" s="169">
        <v>109122</v>
      </c>
      <c r="J7044" s="304" t="str">
        <f>CONCATENATE([2]Cover!$D$6,"fdd/view?i=",I7044)</f>
        <v>https://www.dgiwg.org/FAD/fdd/view?i=109122</v>
      </c>
      <c r="K7044" s="304" t="s">
        <v>41093</v>
      </c>
      <c r="L7044" s="188">
        <v>30</v>
      </c>
      <c r="M7044" s="179" t="s">
        <v>151</v>
      </c>
    </row>
    <row r="7045" spans="1:13" ht="25.5">
      <c r="A7045" s="313" t="str">
        <f t="shared" si="110"/>
        <v>VertClearRefCode_meanHigherHighWater</v>
      </c>
      <c r="B7045" s="330"/>
      <c r="C7045" s="334"/>
      <c r="D7045" s="188" t="s">
        <v>23591</v>
      </c>
      <c r="E7045" s="189" t="s">
        <v>23592</v>
      </c>
      <c r="F7045" s="162" t="s">
        <v>23593</v>
      </c>
      <c r="G7045" s="190"/>
      <c r="H7045" s="219"/>
      <c r="I7045" s="169">
        <v>109117</v>
      </c>
      <c r="J7045" s="304" t="str">
        <f>CONCATENATE([2]Cover!$D$6,"fdd/view?i=",I7045)</f>
        <v>https://www.dgiwg.org/FAD/fdd/view?i=109117</v>
      </c>
      <c r="K7045" s="304" t="s">
        <v>41094</v>
      </c>
      <c r="L7045" s="188">
        <v>10</v>
      </c>
      <c r="M7045" s="179" t="s">
        <v>151</v>
      </c>
    </row>
    <row r="7046" spans="1:13" ht="25.5">
      <c r="A7046" s="313" t="str">
        <f t="shared" si="110"/>
        <v>VertClearRefCode_meanHigherHighWaterSprings</v>
      </c>
      <c r="B7046" s="330"/>
      <c r="C7046" s="334"/>
      <c r="D7046" s="188" t="s">
        <v>23594</v>
      </c>
      <c r="E7046" s="189" t="s">
        <v>23595</v>
      </c>
      <c r="F7046" s="162" t="s">
        <v>23596</v>
      </c>
      <c r="G7046" s="190"/>
      <c r="H7046" s="219"/>
      <c r="I7046" s="169">
        <v>109119</v>
      </c>
      <c r="J7046" s="304" t="str">
        <f>CONCATENATE([2]Cover!$D$6,"fdd/view?i=",I7046)</f>
        <v>https://www.dgiwg.org/FAD/fdd/view?i=109119</v>
      </c>
      <c r="K7046" s="304" t="s">
        <v>41095</v>
      </c>
      <c r="L7046" s="188">
        <v>24</v>
      </c>
      <c r="M7046" s="179" t="s">
        <v>151</v>
      </c>
    </row>
    <row r="7047" spans="1:13" ht="25.5">
      <c r="A7047" s="313" t="str">
        <f t="shared" si="110"/>
        <v>VertClearRefCode_meanHighWater</v>
      </c>
      <c r="B7047" s="330"/>
      <c r="C7047" s="334"/>
      <c r="D7047" s="188" t="s">
        <v>23585</v>
      </c>
      <c r="E7047" s="189" t="s">
        <v>23586</v>
      </c>
      <c r="F7047" s="162" t="s">
        <v>23587</v>
      </c>
      <c r="G7047" s="190"/>
      <c r="H7047" s="219"/>
      <c r="I7047" s="169">
        <v>109115</v>
      </c>
      <c r="J7047" s="304" t="str">
        <f>CONCATENATE([2]Cover!$D$6,"fdd/view?i=",I7047)</f>
        <v>https://www.dgiwg.org/FAD/fdd/view?i=109115</v>
      </c>
      <c r="K7047" s="304" t="s">
        <v>41096</v>
      </c>
      <c r="L7047" s="188">
        <v>7</v>
      </c>
      <c r="M7047" s="179" t="s">
        <v>151</v>
      </c>
    </row>
    <row r="7048" spans="1:13" ht="25.5">
      <c r="A7048" s="313" t="str">
        <f t="shared" si="110"/>
        <v>VertClearRefCode_meanHighWaterSprings</v>
      </c>
      <c r="B7048" s="330"/>
      <c r="C7048" s="334"/>
      <c r="D7048" s="188" t="s">
        <v>23588</v>
      </c>
      <c r="E7048" s="189" t="s">
        <v>23589</v>
      </c>
      <c r="F7048" s="162" t="s">
        <v>23590</v>
      </c>
      <c r="G7048" s="190"/>
      <c r="H7048" s="219"/>
      <c r="I7048" s="169">
        <v>109116</v>
      </c>
      <c r="J7048" s="304" t="str">
        <f>CONCATENATE([2]Cover!$D$6,"fdd/view?i=",I7048)</f>
        <v>https://www.dgiwg.org/FAD/fdd/view?i=109116</v>
      </c>
      <c r="K7048" s="304" t="s">
        <v>41097</v>
      </c>
      <c r="L7048" s="188">
        <v>9</v>
      </c>
      <c r="M7048" s="179" t="s">
        <v>151</v>
      </c>
    </row>
    <row r="7049" spans="1:13" ht="25.5">
      <c r="A7049" s="313" t="str">
        <f t="shared" si="110"/>
        <v>VertClearRefCode_meanSeaLevel</v>
      </c>
      <c r="B7049" s="331"/>
      <c r="C7049" s="335"/>
      <c r="D7049" s="181" t="s">
        <v>23597</v>
      </c>
      <c r="E7049" s="192" t="s">
        <v>23598</v>
      </c>
      <c r="F7049" s="193" t="s">
        <v>23599</v>
      </c>
      <c r="G7049" s="194"/>
      <c r="H7049" s="220"/>
      <c r="I7049" s="169">
        <v>109118</v>
      </c>
      <c r="J7049" s="304" t="str">
        <f>CONCATENATE([2]Cover!$D$6,"fdd/view?i=",I7049)</f>
        <v>https://www.dgiwg.org/FAD/fdd/view?i=109118</v>
      </c>
      <c r="K7049" s="304" t="s">
        <v>41098</v>
      </c>
      <c r="L7049" s="181">
        <v>15</v>
      </c>
      <c r="M7049" s="179" t="s">
        <v>151</v>
      </c>
    </row>
    <row r="7050" spans="1:13" ht="38.25">
      <c r="A7050" s="313" t="str">
        <f t="shared" si="110"/>
        <v>VerticalConstMaterialCode_adobeBrick</v>
      </c>
      <c r="B7050" s="332" t="str">
        <f>HYPERLINK("[#]Datatypes!A1498:L1498","VerticalConstMaterialCode")</f>
        <v>VerticalConstMaterialCode</v>
      </c>
      <c r="C7050" s="333" t="s">
        <v>13138</v>
      </c>
      <c r="D7050" s="202" t="s">
        <v>28331</v>
      </c>
      <c r="E7050" s="203" t="s">
        <v>28332</v>
      </c>
      <c r="F7050" s="204" t="s">
        <v>28333</v>
      </c>
      <c r="G7050" s="204" t="s">
        <v>28334</v>
      </c>
      <c r="H7050" s="218"/>
      <c r="I7050" s="169">
        <v>203131</v>
      </c>
      <c r="J7050" s="304" t="str">
        <f>CONCATENATE([2]Cover!$D$6,"fdd/view?i=",I7050)</f>
        <v>https://www.dgiwg.org/FAD/fdd/view?i=203131</v>
      </c>
      <c r="K7050" s="304" t="s">
        <v>41099</v>
      </c>
      <c r="L7050" s="202">
        <v>1</v>
      </c>
      <c r="M7050" s="179" t="s">
        <v>1295</v>
      </c>
    </row>
    <row r="7051" spans="1:13" ht="25.5">
      <c r="A7051" s="313" t="str">
        <f t="shared" si="110"/>
        <v>VerticalConstMaterialCode_aluminum</v>
      </c>
      <c r="B7051" s="330"/>
      <c r="C7051" s="334"/>
      <c r="D7051" s="188" t="s">
        <v>28335</v>
      </c>
      <c r="E7051" s="189" t="s">
        <v>28336</v>
      </c>
      <c r="F7051" s="162" t="s">
        <v>28337</v>
      </c>
      <c r="G7051" s="190"/>
      <c r="H7051" s="219"/>
      <c r="I7051" s="169">
        <v>203132</v>
      </c>
      <c r="J7051" s="304" t="str">
        <f>CONCATENATE([2]Cover!$D$6,"fdd/view?i=",I7051)</f>
        <v>https://www.dgiwg.org/FAD/fdd/view?i=203132</v>
      </c>
      <c r="K7051" s="304" t="s">
        <v>41100</v>
      </c>
      <c r="L7051" s="188">
        <v>2</v>
      </c>
      <c r="M7051" s="179" t="s">
        <v>1295</v>
      </c>
    </row>
    <row r="7052" spans="1:13" ht="25.5">
      <c r="A7052" s="313" t="str">
        <f t="shared" si="110"/>
        <v>VerticalConstMaterialCode_brick</v>
      </c>
      <c r="B7052" s="330"/>
      <c r="C7052" s="334"/>
      <c r="D7052" s="188" t="s">
        <v>15087</v>
      </c>
      <c r="E7052" s="189" t="s">
        <v>15088</v>
      </c>
      <c r="F7052" s="162" t="s">
        <v>28339</v>
      </c>
      <c r="G7052" s="190"/>
      <c r="H7052" s="219"/>
      <c r="I7052" s="169">
        <v>203133</v>
      </c>
      <c r="J7052" s="304" t="str">
        <f>CONCATENATE([2]Cover!$D$6,"fdd/view?i=",I7052)</f>
        <v>https://www.dgiwg.org/FAD/fdd/view?i=203133</v>
      </c>
      <c r="K7052" s="304" t="s">
        <v>41101</v>
      </c>
      <c r="L7052" s="188">
        <v>3</v>
      </c>
      <c r="M7052" s="179" t="s">
        <v>1295</v>
      </c>
    </row>
    <row r="7053" spans="1:13" ht="38.25">
      <c r="A7053" s="313" t="str">
        <f t="shared" si="110"/>
        <v>VerticalConstMaterialCode_concrete</v>
      </c>
      <c r="B7053" s="330"/>
      <c r="C7053" s="334"/>
      <c r="D7053" s="188" t="s">
        <v>15093</v>
      </c>
      <c r="E7053" s="189" t="s">
        <v>15094</v>
      </c>
      <c r="F7053" s="162" t="s">
        <v>18089</v>
      </c>
      <c r="G7053" s="190"/>
      <c r="H7053" s="219"/>
      <c r="I7053" s="169">
        <v>203134</v>
      </c>
      <c r="J7053" s="304" t="str">
        <f>CONCATENATE([2]Cover!$D$6,"fdd/view?i=",I7053)</f>
        <v>https://www.dgiwg.org/FAD/fdd/view?i=203134</v>
      </c>
      <c r="K7053" s="304" t="s">
        <v>41102</v>
      </c>
      <c r="L7053" s="188">
        <v>4</v>
      </c>
      <c r="M7053" s="179" t="s">
        <v>1295</v>
      </c>
    </row>
    <row r="7054" spans="1:13" ht="38.25">
      <c r="A7054" s="313" t="str">
        <f t="shared" si="110"/>
        <v>VerticalConstMaterialCode_fibreglass</v>
      </c>
      <c r="B7054" s="330"/>
      <c r="C7054" s="334"/>
      <c r="D7054" s="188" t="s">
        <v>28376</v>
      </c>
      <c r="E7054" s="189" t="s">
        <v>28377</v>
      </c>
      <c r="F7054" s="162" t="s">
        <v>28378</v>
      </c>
      <c r="G7054" s="190"/>
      <c r="H7054" s="219"/>
      <c r="I7054" s="169">
        <v>203135</v>
      </c>
      <c r="J7054" s="304" t="str">
        <f>CONCATENATE([2]Cover!$D$6,"fdd/view?i=",I7054)</f>
        <v>https://www.dgiwg.org/FAD/fdd/view?i=203135</v>
      </c>
      <c r="K7054" s="304" t="s">
        <v>41103</v>
      </c>
      <c r="L7054" s="188">
        <v>5</v>
      </c>
      <c r="M7054" s="179" t="s">
        <v>1295</v>
      </c>
    </row>
    <row r="7055" spans="1:13" ht="25.5">
      <c r="A7055" s="313" t="str">
        <f t="shared" si="110"/>
        <v>VerticalConstMaterialCode_glass</v>
      </c>
      <c r="B7055" s="330"/>
      <c r="C7055" s="334"/>
      <c r="D7055" s="188" t="s">
        <v>28391</v>
      </c>
      <c r="E7055" s="189" t="s">
        <v>28392</v>
      </c>
      <c r="F7055" s="162" t="s">
        <v>28393</v>
      </c>
      <c r="G7055" s="162" t="s">
        <v>28394</v>
      </c>
      <c r="H7055" s="219"/>
      <c r="I7055" s="169">
        <v>203136</v>
      </c>
      <c r="J7055" s="304" t="str">
        <f>CONCATENATE([2]Cover!$D$6,"fdd/view?i=",I7055)</f>
        <v>https://www.dgiwg.org/FAD/fdd/view?i=203136</v>
      </c>
      <c r="K7055" s="304" t="s">
        <v>41104</v>
      </c>
      <c r="L7055" s="188">
        <v>6</v>
      </c>
      <c r="M7055" s="179" t="s">
        <v>1295</v>
      </c>
    </row>
    <row r="7056" spans="1:13" ht="38.25">
      <c r="A7056" s="313" t="str">
        <f t="shared" si="110"/>
        <v>VerticalConstMaterialCode_iron</v>
      </c>
      <c r="B7056" s="330"/>
      <c r="C7056" s="334"/>
      <c r="D7056" s="188" t="s">
        <v>28410</v>
      </c>
      <c r="E7056" s="189" t="s">
        <v>28411</v>
      </c>
      <c r="F7056" s="162" t="s">
        <v>28412</v>
      </c>
      <c r="G7056" s="162" t="s">
        <v>28413</v>
      </c>
      <c r="H7056" s="219"/>
      <c r="I7056" s="169">
        <v>203137</v>
      </c>
      <c r="J7056" s="304" t="str">
        <f>CONCATENATE([2]Cover!$D$6,"fdd/view?i=",I7056)</f>
        <v>https://www.dgiwg.org/FAD/fdd/view?i=203137</v>
      </c>
      <c r="K7056" s="304" t="s">
        <v>41105</v>
      </c>
      <c r="L7056" s="188">
        <v>7</v>
      </c>
      <c r="M7056" s="179" t="s">
        <v>1295</v>
      </c>
    </row>
    <row r="7057" spans="1:13" ht="51">
      <c r="A7057" s="313" t="str">
        <f t="shared" si="110"/>
        <v>VerticalConstMaterialCode_masonry</v>
      </c>
      <c r="B7057" s="330"/>
      <c r="C7057" s="334"/>
      <c r="D7057" s="188" t="s">
        <v>18096</v>
      </c>
      <c r="E7057" s="189" t="s">
        <v>18097</v>
      </c>
      <c r="F7057" s="162" t="s">
        <v>32277</v>
      </c>
      <c r="G7057" s="190"/>
      <c r="H7057" s="221" t="s">
        <v>18099</v>
      </c>
      <c r="I7057" s="169">
        <v>203138</v>
      </c>
      <c r="J7057" s="304" t="str">
        <f>CONCATENATE([2]Cover!$D$6,"fdd/view?i=",I7057)</f>
        <v>https://www.dgiwg.org/FAD/fdd/view?i=203138</v>
      </c>
      <c r="K7057" s="304" t="s">
        <v>41106</v>
      </c>
      <c r="L7057" s="188">
        <v>8</v>
      </c>
      <c r="M7057" s="179" t="s">
        <v>1295</v>
      </c>
    </row>
    <row r="7058" spans="1:13" ht="38.25">
      <c r="A7058" s="313" t="str">
        <f t="shared" si="110"/>
        <v>VerticalConstMaterialCode_metal</v>
      </c>
      <c r="B7058" s="330"/>
      <c r="C7058" s="334"/>
      <c r="D7058" s="188" t="s">
        <v>22444</v>
      </c>
      <c r="E7058" s="189" t="s">
        <v>22445</v>
      </c>
      <c r="F7058" s="162" t="s">
        <v>28434</v>
      </c>
      <c r="G7058" s="162" t="s">
        <v>28435</v>
      </c>
      <c r="H7058" s="219"/>
      <c r="I7058" s="169">
        <v>203139</v>
      </c>
      <c r="J7058" s="304" t="str">
        <f>CONCATENATE([2]Cover!$D$6,"fdd/view?i=",I7058)</f>
        <v>https://www.dgiwg.org/FAD/fdd/view?i=203139</v>
      </c>
      <c r="K7058" s="304" t="s">
        <v>41107</v>
      </c>
      <c r="L7058" s="188">
        <v>9</v>
      </c>
      <c r="M7058" s="179" t="s">
        <v>1295</v>
      </c>
    </row>
    <row r="7059" spans="1:13" ht="63.75">
      <c r="A7059" s="313" t="str">
        <f t="shared" si="110"/>
        <v>VerticalConstMaterialCode_mudBasedConstruction</v>
      </c>
      <c r="B7059" s="330"/>
      <c r="C7059" s="334"/>
      <c r="D7059" s="188" t="s">
        <v>28438</v>
      </c>
      <c r="E7059" s="189" t="s">
        <v>28439</v>
      </c>
      <c r="F7059" s="162" t="s">
        <v>28440</v>
      </c>
      <c r="G7059" s="162" t="s">
        <v>28441</v>
      </c>
      <c r="H7059" s="219"/>
      <c r="I7059" s="169">
        <v>203140</v>
      </c>
      <c r="J7059" s="304" t="str">
        <f>CONCATENATE([2]Cover!$D$6,"fdd/view?i=",I7059)</f>
        <v>https://www.dgiwg.org/FAD/fdd/view?i=203140</v>
      </c>
      <c r="K7059" s="304" t="s">
        <v>41108</v>
      </c>
      <c r="L7059" s="188">
        <v>10</v>
      </c>
      <c r="M7059" s="179" t="s">
        <v>1295</v>
      </c>
    </row>
    <row r="7060" spans="1:13" ht="38.25">
      <c r="A7060" s="313" t="str">
        <f t="shared" si="110"/>
        <v>VerticalConstMaterialCode_plantMaterial</v>
      </c>
      <c r="B7060" s="330"/>
      <c r="C7060" s="334"/>
      <c r="D7060" s="188" t="s">
        <v>28460</v>
      </c>
      <c r="E7060" s="189" t="s">
        <v>28461</v>
      </c>
      <c r="F7060" s="162" t="s">
        <v>28462</v>
      </c>
      <c r="G7060" s="162" t="s">
        <v>28463</v>
      </c>
      <c r="H7060" s="219"/>
      <c r="I7060" s="169">
        <v>203141</v>
      </c>
      <c r="J7060" s="304" t="str">
        <f>CONCATENATE([2]Cover!$D$6,"fdd/view?i=",I7060)</f>
        <v>https://www.dgiwg.org/FAD/fdd/view?i=203141</v>
      </c>
      <c r="K7060" s="304" t="s">
        <v>41109</v>
      </c>
      <c r="L7060" s="188">
        <v>11</v>
      </c>
      <c r="M7060" s="179" t="s">
        <v>1295</v>
      </c>
    </row>
    <row r="7061" spans="1:13" ht="25.5">
      <c r="A7061" s="313" t="str">
        <f t="shared" si="110"/>
        <v>VerticalConstMaterialCode_prestressedConcrete</v>
      </c>
      <c r="B7061" s="330"/>
      <c r="C7061" s="334"/>
      <c r="D7061" s="188" t="s">
        <v>28468</v>
      </c>
      <c r="E7061" s="189" t="s">
        <v>28469</v>
      </c>
      <c r="F7061" s="162" t="s">
        <v>28470</v>
      </c>
      <c r="G7061" s="190"/>
      <c r="H7061" s="219"/>
      <c r="I7061" s="169">
        <v>203142</v>
      </c>
      <c r="J7061" s="304" t="str">
        <f>CONCATENATE([2]Cover!$D$6,"fdd/view?i=",I7061)</f>
        <v>https://www.dgiwg.org/FAD/fdd/view?i=203142</v>
      </c>
      <c r="K7061" s="304" t="s">
        <v>41110</v>
      </c>
      <c r="L7061" s="188">
        <v>12</v>
      </c>
      <c r="M7061" s="179" t="s">
        <v>1295</v>
      </c>
    </row>
    <row r="7062" spans="1:13" ht="25.5">
      <c r="A7062" s="313" t="str">
        <f t="shared" si="110"/>
        <v>VerticalConstMaterialCode_reinforcedConcrete</v>
      </c>
      <c r="B7062" s="330"/>
      <c r="C7062" s="334"/>
      <c r="D7062" s="188" t="s">
        <v>18106</v>
      </c>
      <c r="E7062" s="189" t="s">
        <v>18107</v>
      </c>
      <c r="F7062" s="162" t="s">
        <v>18108</v>
      </c>
      <c r="G7062" s="190"/>
      <c r="H7062" s="221" t="s">
        <v>18109</v>
      </c>
      <c r="I7062" s="169">
        <v>203143</v>
      </c>
      <c r="J7062" s="304" t="str">
        <f>CONCATENATE([2]Cover!$D$6,"fdd/view?i=",I7062)</f>
        <v>https://www.dgiwg.org/FAD/fdd/view?i=203143</v>
      </c>
      <c r="K7062" s="304" t="s">
        <v>41111</v>
      </c>
      <c r="L7062" s="188">
        <v>13</v>
      </c>
      <c r="M7062" s="179" t="s">
        <v>1295</v>
      </c>
    </row>
    <row r="7063" spans="1:13" ht="25.5">
      <c r="A7063" s="313" t="str">
        <f t="shared" si="110"/>
        <v>VerticalConstMaterialCode_sod</v>
      </c>
      <c r="B7063" s="330"/>
      <c r="C7063" s="334"/>
      <c r="D7063" s="188" t="s">
        <v>28507</v>
      </c>
      <c r="E7063" s="189" t="s">
        <v>28508</v>
      </c>
      <c r="F7063" s="162" t="s">
        <v>28509</v>
      </c>
      <c r="G7063" s="190"/>
      <c r="H7063" s="221" t="s">
        <v>28510</v>
      </c>
      <c r="I7063" s="169">
        <v>203144</v>
      </c>
      <c r="J7063" s="304" t="str">
        <f>CONCATENATE([2]Cover!$D$6,"fdd/view?i=",I7063)</f>
        <v>https://www.dgiwg.org/FAD/fdd/view?i=203144</v>
      </c>
      <c r="K7063" s="304" t="s">
        <v>41112</v>
      </c>
      <c r="L7063" s="188">
        <v>14</v>
      </c>
      <c r="M7063" s="179" t="s">
        <v>1295</v>
      </c>
    </row>
    <row r="7064" spans="1:13" ht="38.25">
      <c r="A7064" s="313" t="str">
        <f t="shared" si="110"/>
        <v>VerticalConstMaterialCode_steel</v>
      </c>
      <c r="B7064" s="330"/>
      <c r="C7064" s="334"/>
      <c r="D7064" s="188" t="s">
        <v>28517</v>
      </c>
      <c r="E7064" s="189" t="s">
        <v>28518</v>
      </c>
      <c r="F7064" s="162" t="s">
        <v>28519</v>
      </c>
      <c r="G7064" s="162" t="s">
        <v>28520</v>
      </c>
      <c r="H7064" s="219"/>
      <c r="I7064" s="169">
        <v>203145</v>
      </c>
      <c r="J7064" s="304" t="str">
        <f>CONCATENATE([2]Cover!$D$6,"fdd/view?i=",I7064)</f>
        <v>https://www.dgiwg.org/FAD/fdd/view?i=203145</v>
      </c>
      <c r="K7064" s="304" t="s">
        <v>41113</v>
      </c>
      <c r="L7064" s="188">
        <v>15</v>
      </c>
      <c r="M7064" s="179" t="s">
        <v>1295</v>
      </c>
    </row>
    <row r="7065" spans="1:13" ht="38.25">
      <c r="A7065" s="313" t="str">
        <f t="shared" si="110"/>
        <v>VerticalConstMaterialCode_stone</v>
      </c>
      <c r="B7065" s="330"/>
      <c r="C7065" s="334"/>
      <c r="D7065" s="188" t="s">
        <v>15143</v>
      </c>
      <c r="E7065" s="189" t="s">
        <v>15144</v>
      </c>
      <c r="F7065" s="162" t="s">
        <v>28521</v>
      </c>
      <c r="G7065" s="162" t="s">
        <v>28522</v>
      </c>
      <c r="H7065" s="219"/>
      <c r="I7065" s="169">
        <v>203146</v>
      </c>
      <c r="J7065" s="304" t="str">
        <f>CONCATENATE([2]Cover!$D$6,"fdd/view?i=",I7065)</f>
        <v>https://www.dgiwg.org/FAD/fdd/view?i=203146</v>
      </c>
      <c r="K7065" s="304" t="s">
        <v>41114</v>
      </c>
      <c r="L7065" s="188">
        <v>16</v>
      </c>
      <c r="M7065" s="179" t="s">
        <v>1295</v>
      </c>
    </row>
    <row r="7066" spans="1:13" ht="38.25">
      <c r="A7066" s="313" t="str">
        <f t="shared" si="110"/>
        <v>VerticalConstMaterialCode_treatedTimber</v>
      </c>
      <c r="B7066" s="330"/>
      <c r="C7066" s="334"/>
      <c r="D7066" s="188" t="s">
        <v>28523</v>
      </c>
      <c r="E7066" s="189" t="s">
        <v>28524</v>
      </c>
      <c r="F7066" s="162" t="s">
        <v>28525</v>
      </c>
      <c r="G7066" s="162" t="s">
        <v>28526</v>
      </c>
      <c r="H7066" s="219"/>
      <c r="I7066" s="169">
        <v>203147</v>
      </c>
      <c r="J7066" s="304" t="str">
        <f>CONCATENATE([2]Cover!$D$6,"fdd/view?i=",I7066)</f>
        <v>https://www.dgiwg.org/FAD/fdd/view?i=203147</v>
      </c>
      <c r="K7066" s="304" t="s">
        <v>41115</v>
      </c>
      <c r="L7066" s="188">
        <v>17</v>
      </c>
      <c r="M7066" s="179" t="s">
        <v>1295</v>
      </c>
    </row>
    <row r="7067" spans="1:13" ht="38.25">
      <c r="A7067" s="313" t="str">
        <f t="shared" si="110"/>
        <v>VerticalConstMaterialCode_wood</v>
      </c>
      <c r="B7067" s="331"/>
      <c r="C7067" s="335"/>
      <c r="D7067" s="181" t="s">
        <v>15149</v>
      </c>
      <c r="E7067" s="192" t="s">
        <v>15150</v>
      </c>
      <c r="F7067" s="193" t="s">
        <v>28539</v>
      </c>
      <c r="G7067" s="193" t="s">
        <v>28540</v>
      </c>
      <c r="H7067" s="220"/>
      <c r="I7067" s="169">
        <v>203148</v>
      </c>
      <c r="J7067" s="304" t="str">
        <f>CONCATENATE([2]Cover!$D$6,"fdd/view?i=",I7067)</f>
        <v>https://www.dgiwg.org/FAD/fdd/view?i=203148</v>
      </c>
      <c r="K7067" s="304" t="s">
        <v>41116</v>
      </c>
      <c r="L7067" s="181">
        <v>18</v>
      </c>
      <c r="M7067" s="179" t="s">
        <v>1295</v>
      </c>
    </row>
    <row r="7068" spans="1:13" ht="140.25">
      <c r="A7068" s="313" t="str">
        <f t="shared" si="110"/>
        <v>VerticalDatumCode_groundLevel</v>
      </c>
      <c r="B7068" s="332" t="str">
        <f>HYPERLINK("[#]Datatypes!A1500:L1500","VerticalDatumCode")</f>
        <v>VerticalDatumCode</v>
      </c>
      <c r="C7068" s="333" t="s">
        <v>12032</v>
      </c>
      <c r="D7068" s="202" t="s">
        <v>32278</v>
      </c>
      <c r="E7068" s="203" t="s">
        <v>32279</v>
      </c>
      <c r="F7068" s="204" t="s">
        <v>32280</v>
      </c>
      <c r="G7068" s="204" t="s">
        <v>32281</v>
      </c>
      <c r="H7068" s="218"/>
      <c r="I7068" s="169">
        <v>112700</v>
      </c>
      <c r="J7068" s="304" t="str">
        <f>CONCATENATE([2]Cover!$D$6,"fdd/view?i=",I7068)</f>
        <v>https://www.dgiwg.org/FAD/fdd/view?i=112700</v>
      </c>
      <c r="K7068" s="304" t="s">
        <v>41117</v>
      </c>
      <c r="L7068" s="202">
        <v>6</v>
      </c>
      <c r="M7068" s="179" t="s">
        <v>151</v>
      </c>
    </row>
    <row r="7069" spans="1:13" ht="38.25">
      <c r="A7069" s="313" t="str">
        <f t="shared" si="110"/>
        <v>VerticalDatumCode_meanSeaLevel</v>
      </c>
      <c r="B7069" s="330"/>
      <c r="C7069" s="334"/>
      <c r="D7069" s="188" t="s">
        <v>23597</v>
      </c>
      <c r="E7069" s="189" t="s">
        <v>32282</v>
      </c>
      <c r="F7069" s="162" t="s">
        <v>32283</v>
      </c>
      <c r="G7069" s="190"/>
      <c r="H7069" s="219"/>
      <c r="I7069" s="169">
        <v>112694</v>
      </c>
      <c r="J7069" s="304" t="str">
        <f>CONCATENATE([2]Cover!$D$6,"fdd/view?i=",I7069)</f>
        <v>https://www.dgiwg.org/FAD/fdd/view?i=112694</v>
      </c>
      <c r="K7069" s="304" t="s">
        <v>41118</v>
      </c>
      <c r="L7069" s="188">
        <v>3</v>
      </c>
      <c r="M7069" s="179" t="s">
        <v>151</v>
      </c>
    </row>
    <row r="7070" spans="1:13" ht="76.5">
      <c r="A7070" s="313" t="str">
        <f t="shared" si="110"/>
        <v>VerticalDatumCode_navd88</v>
      </c>
      <c r="B7070" s="330"/>
      <c r="C7070" s="334"/>
      <c r="D7070" s="188" t="s">
        <v>32288</v>
      </c>
      <c r="E7070" s="189" t="s">
        <v>32289</v>
      </c>
      <c r="F7070" s="162" t="s">
        <v>32290</v>
      </c>
      <c r="G7070" s="162" t="s">
        <v>32291</v>
      </c>
      <c r="H7070" s="219"/>
      <c r="I7070" s="169">
        <v>112696</v>
      </c>
      <c r="J7070" s="304" t="str">
        <f>CONCATENATE([2]Cover!$D$6,"fdd/view?i=",I7070)</f>
        <v>https://www.dgiwg.org/FAD/fdd/view?i=112696</v>
      </c>
      <c r="K7070" s="304" t="s">
        <v>41119</v>
      </c>
      <c r="L7070" s="188">
        <v>4</v>
      </c>
      <c r="M7070" s="179" t="s">
        <v>151</v>
      </c>
    </row>
    <row r="7071" spans="1:13" ht="38.25">
      <c r="A7071" s="313" t="str">
        <f t="shared" si="110"/>
        <v>VerticalDatumCode_ngvd29</v>
      </c>
      <c r="B7071" s="330"/>
      <c r="C7071" s="334"/>
      <c r="D7071" s="188" t="s">
        <v>32284</v>
      </c>
      <c r="E7071" s="189" t="s">
        <v>32285</v>
      </c>
      <c r="F7071" s="162" t="s">
        <v>32286</v>
      </c>
      <c r="G7071" s="162" t="s">
        <v>32287</v>
      </c>
      <c r="H7071" s="219"/>
      <c r="I7071" s="169">
        <v>112698</v>
      </c>
      <c r="J7071" s="304" t="str">
        <f>CONCATENATE([2]Cover!$D$6,"fdd/view?i=",I7071)</f>
        <v>https://www.dgiwg.org/FAD/fdd/view?i=112698</v>
      </c>
      <c r="K7071" s="304" t="s">
        <v>41120</v>
      </c>
      <c r="L7071" s="188">
        <v>5</v>
      </c>
      <c r="M7071" s="179" t="s">
        <v>151</v>
      </c>
    </row>
    <row r="7072" spans="1:13" ht="25.5">
      <c r="A7072" s="313" t="str">
        <f t="shared" si="110"/>
        <v>VerticalDatumCode_wgs84</v>
      </c>
      <c r="B7072" s="330"/>
      <c r="C7072" s="334"/>
      <c r="D7072" s="188" t="s">
        <v>32298</v>
      </c>
      <c r="E7072" s="189" t="s">
        <v>32299</v>
      </c>
      <c r="F7072" s="162" t="s">
        <v>32300</v>
      </c>
      <c r="G7072" s="190"/>
      <c r="H7072" s="219"/>
      <c r="I7072" s="169">
        <v>112690</v>
      </c>
      <c r="J7072" s="304" t="str">
        <f>CONCATENATE([2]Cover!$D$6,"fdd/view?i=",I7072)</f>
        <v>https://www.dgiwg.org/FAD/fdd/view?i=112690</v>
      </c>
      <c r="K7072" s="304" t="s">
        <v>41121</v>
      </c>
      <c r="L7072" s="188">
        <v>1</v>
      </c>
      <c r="M7072" s="179" t="s">
        <v>151</v>
      </c>
    </row>
    <row r="7073" spans="1:13" ht="38.25">
      <c r="A7073" s="313" t="str">
        <f t="shared" si="110"/>
        <v>VerticalDatumCode_wgs84Egm08</v>
      </c>
      <c r="B7073" s="330"/>
      <c r="C7073" s="334"/>
      <c r="D7073" s="188" t="s">
        <v>32292</v>
      </c>
      <c r="E7073" s="189" t="s">
        <v>32293</v>
      </c>
      <c r="F7073" s="162" t="s">
        <v>32294</v>
      </c>
      <c r="G7073" s="190"/>
      <c r="H7073" s="219"/>
      <c r="I7073" s="169">
        <v>112702</v>
      </c>
      <c r="J7073" s="304" t="str">
        <f>CONCATENATE([2]Cover!$D$6,"fdd/view?i=",I7073)</f>
        <v>https://www.dgiwg.org/FAD/fdd/view?i=112702</v>
      </c>
      <c r="K7073" s="304" t="s">
        <v>41122</v>
      </c>
      <c r="L7073" s="188">
        <v>7</v>
      </c>
      <c r="M7073" s="179" t="s">
        <v>151</v>
      </c>
    </row>
    <row r="7074" spans="1:13" ht="38.25">
      <c r="A7074" s="313" t="str">
        <f t="shared" si="110"/>
        <v>VerticalDatumCode_wgs84Egm96</v>
      </c>
      <c r="B7074" s="331"/>
      <c r="C7074" s="335"/>
      <c r="D7074" s="181" t="s">
        <v>32295</v>
      </c>
      <c r="E7074" s="192" t="s">
        <v>32296</v>
      </c>
      <c r="F7074" s="193" t="s">
        <v>32297</v>
      </c>
      <c r="G7074" s="194"/>
      <c r="H7074" s="220"/>
      <c r="I7074" s="169">
        <v>112692</v>
      </c>
      <c r="J7074" s="304" t="str">
        <f>CONCATENATE([2]Cover!$D$6,"fdd/view?i=",I7074)</f>
        <v>https://www.dgiwg.org/FAD/fdd/view?i=112692</v>
      </c>
      <c r="K7074" s="304" t="s">
        <v>41123</v>
      </c>
      <c r="L7074" s="181">
        <v>2</v>
      </c>
      <c r="M7074" s="179" t="s">
        <v>151</v>
      </c>
    </row>
    <row r="7075" spans="1:13" ht="25.5">
      <c r="A7075" s="313" t="str">
        <f t="shared" si="110"/>
        <v>VerticalDistanceReferenceCode_aboveGround</v>
      </c>
      <c r="B7075" s="332" t="str">
        <f>HYPERLINK("[#]Datatypes!A1504:L1504","VerticalDistanceReferenceCode")</f>
        <v>VerticalDistanceReferenceCode</v>
      </c>
      <c r="C7075" s="333" t="s">
        <v>13143</v>
      </c>
      <c r="D7075" s="202" t="s">
        <v>32301</v>
      </c>
      <c r="E7075" s="203" t="s">
        <v>32302</v>
      </c>
      <c r="F7075" s="204" t="s">
        <v>32303</v>
      </c>
      <c r="G7075" s="205"/>
      <c r="H7075" s="218"/>
      <c r="I7075" s="169">
        <v>115695</v>
      </c>
      <c r="J7075" s="304" t="str">
        <f>CONCATENATE([2]Cover!$D$6,"fdd/view?i=",I7075)</f>
        <v>https://www.dgiwg.org/FAD/fdd/view?i=115695</v>
      </c>
      <c r="K7075" s="304" t="s">
        <v>41124</v>
      </c>
      <c r="L7075" s="202">
        <v>1</v>
      </c>
      <c r="M7075" s="179" t="s">
        <v>151</v>
      </c>
    </row>
    <row r="7076" spans="1:13" ht="25.5">
      <c r="A7076" s="313" t="str">
        <f t="shared" si="110"/>
        <v>VerticalDistanceReferenceCode_aboveMsl</v>
      </c>
      <c r="B7076" s="330"/>
      <c r="C7076" s="334"/>
      <c r="D7076" s="188" t="s">
        <v>32304</v>
      </c>
      <c r="E7076" s="189" t="s">
        <v>32305</v>
      </c>
      <c r="F7076" s="162" t="s">
        <v>32306</v>
      </c>
      <c r="G7076" s="162" t="s">
        <v>32307</v>
      </c>
      <c r="H7076" s="219"/>
      <c r="I7076" s="169">
        <v>115696</v>
      </c>
      <c r="J7076" s="304" t="str">
        <f>CONCATENATE([2]Cover!$D$6,"fdd/view?i=",I7076)</f>
        <v>https://www.dgiwg.org/FAD/fdd/view?i=115696</v>
      </c>
      <c r="K7076" s="304" t="s">
        <v>41125</v>
      </c>
      <c r="L7076" s="188">
        <v>2</v>
      </c>
      <c r="M7076" s="179" t="s">
        <v>151</v>
      </c>
    </row>
    <row r="7077" spans="1:13" ht="25.5">
      <c r="A7077" s="313" t="str">
        <f t="shared" si="110"/>
        <v>VerticalDistanceReferenceCode_aboveWgs84Ellipsoid</v>
      </c>
      <c r="B7077" s="330"/>
      <c r="C7077" s="334"/>
      <c r="D7077" s="188" t="s">
        <v>32308</v>
      </c>
      <c r="E7077" s="189" t="s">
        <v>32309</v>
      </c>
      <c r="F7077" s="162" t="s">
        <v>32310</v>
      </c>
      <c r="G7077" s="190"/>
      <c r="H7077" s="219"/>
      <c r="I7077" s="169">
        <v>115697</v>
      </c>
      <c r="J7077" s="304" t="str">
        <f>CONCATENATE([2]Cover!$D$6,"fdd/view?i=",I7077)</f>
        <v>https://www.dgiwg.org/FAD/fdd/view?i=115697</v>
      </c>
      <c r="K7077" s="304" t="s">
        <v>41126</v>
      </c>
      <c r="L7077" s="188">
        <v>3</v>
      </c>
      <c r="M7077" s="179" t="s">
        <v>151</v>
      </c>
    </row>
    <row r="7078" spans="1:13" ht="25.5">
      <c r="A7078" s="313" t="str">
        <f t="shared" si="110"/>
        <v>VerticalDistanceReferenceCode_standardPressureDistance</v>
      </c>
      <c r="B7078" s="331"/>
      <c r="C7078" s="335"/>
      <c r="D7078" s="181" t="s">
        <v>32311</v>
      </c>
      <c r="E7078" s="192" t="s">
        <v>32312</v>
      </c>
      <c r="F7078" s="193" t="s">
        <v>32313</v>
      </c>
      <c r="G7078" s="193" t="s">
        <v>32314</v>
      </c>
      <c r="H7078" s="220"/>
      <c r="I7078" s="169">
        <v>115698</v>
      </c>
      <c r="J7078" s="304" t="str">
        <f>CONCATENATE([2]Cover!$D$6,"fdd/view?i=",I7078)</f>
        <v>https://www.dgiwg.org/FAD/fdd/view?i=115698</v>
      </c>
      <c r="K7078" s="304" t="s">
        <v>41127</v>
      </c>
      <c r="L7078" s="181">
        <v>4</v>
      </c>
      <c r="M7078" s="179" t="s">
        <v>151</v>
      </c>
    </row>
    <row r="7079" spans="1:13" ht="25.5">
      <c r="A7079" s="313" t="str">
        <f t="shared" si="110"/>
        <v>VerticalRelativeLocationCode_aboveSurface</v>
      </c>
      <c r="B7079" s="332" t="str">
        <f>HYPERLINK("[#]Datatypes!A1514:L1514","VerticalRelativeLocationCode")</f>
        <v>VerticalRelativeLocationCode</v>
      </c>
      <c r="C7079" s="333" t="s">
        <v>13153</v>
      </c>
      <c r="D7079" s="202" t="s">
        <v>32315</v>
      </c>
      <c r="E7079" s="203" t="s">
        <v>32316</v>
      </c>
      <c r="F7079" s="204" t="s">
        <v>32317</v>
      </c>
      <c r="G7079" s="205"/>
      <c r="H7079" s="218"/>
      <c r="I7079" s="169">
        <v>110223</v>
      </c>
      <c r="J7079" s="304" t="str">
        <f>CONCATENATE([2]Cover!$D$6,"fdd/view?i=",I7079)</f>
        <v>https://www.dgiwg.org/FAD/fdd/view?i=110223</v>
      </c>
      <c r="K7079" s="304" t="s">
        <v>41128</v>
      </c>
      <c r="L7079" s="202">
        <v>45</v>
      </c>
      <c r="M7079" s="179" t="s">
        <v>151</v>
      </c>
    </row>
    <row r="7080" spans="1:13" ht="25.5">
      <c r="A7080" s="313" t="str">
        <f t="shared" si="110"/>
        <v>VerticalRelativeLocationCode_aboveWaterbodyBottom</v>
      </c>
      <c r="B7080" s="330"/>
      <c r="C7080" s="334"/>
      <c r="D7080" s="188" t="s">
        <v>32318</v>
      </c>
      <c r="E7080" s="189" t="s">
        <v>32319</v>
      </c>
      <c r="F7080" s="162" t="s">
        <v>32320</v>
      </c>
      <c r="G7080" s="190"/>
      <c r="H7080" s="219"/>
      <c r="I7080" s="169">
        <v>110224</v>
      </c>
      <c r="J7080" s="304" t="str">
        <f>CONCATENATE([2]Cover!$D$6,"fdd/view?i=",I7080)</f>
        <v>https://www.dgiwg.org/FAD/fdd/view?i=110224</v>
      </c>
      <c r="K7080" s="304" t="s">
        <v>41129</v>
      </c>
      <c r="L7080" s="188">
        <v>46</v>
      </c>
      <c r="M7080" s="179" t="s">
        <v>151</v>
      </c>
    </row>
    <row r="7081" spans="1:13" ht="25.5">
      <c r="A7081" s="313" t="str">
        <f t="shared" si="110"/>
        <v>VerticalRelativeLocationCode_belowGroundSurface</v>
      </c>
      <c r="B7081" s="330"/>
      <c r="C7081" s="334"/>
      <c r="D7081" s="188" t="s">
        <v>32321</v>
      </c>
      <c r="E7081" s="189" t="s">
        <v>32322</v>
      </c>
      <c r="F7081" s="162" t="s">
        <v>32323</v>
      </c>
      <c r="G7081" s="190"/>
      <c r="H7081" s="219"/>
      <c r="I7081" s="169">
        <v>105012</v>
      </c>
      <c r="J7081" s="304" t="str">
        <f>CONCATENATE([2]Cover!$D$6,"fdd/view?i=",I7081)</f>
        <v>https://www.dgiwg.org/FAD/fdd/view?i=105012</v>
      </c>
      <c r="K7081" s="304" t="s">
        <v>41130</v>
      </c>
      <c r="L7081" s="188">
        <v>40</v>
      </c>
      <c r="M7081" s="179" t="s">
        <v>151</v>
      </c>
    </row>
    <row r="7082" spans="1:13" ht="25.5">
      <c r="A7082" s="313" t="str">
        <f t="shared" si="110"/>
        <v>VerticalRelativeLocationCode_belowWaterbodyBottom</v>
      </c>
      <c r="B7082" s="330"/>
      <c r="C7082" s="334"/>
      <c r="D7082" s="188" t="s">
        <v>32324</v>
      </c>
      <c r="E7082" s="189" t="s">
        <v>32325</v>
      </c>
      <c r="F7082" s="162" t="s">
        <v>32326</v>
      </c>
      <c r="G7082" s="190"/>
      <c r="H7082" s="219"/>
      <c r="I7082" s="169">
        <v>104998</v>
      </c>
      <c r="J7082" s="304" t="str">
        <f>CONCATENATE([2]Cover!$D$6,"fdd/view?i=",I7082)</f>
        <v>https://www.dgiwg.org/FAD/fdd/view?i=104998</v>
      </c>
      <c r="K7082" s="304" t="s">
        <v>41131</v>
      </c>
      <c r="L7082" s="188">
        <v>23</v>
      </c>
      <c r="M7082" s="179" t="s">
        <v>151</v>
      </c>
    </row>
    <row r="7083" spans="1:13" ht="25.5">
      <c r="A7083" s="313" t="str">
        <f t="shared" si="110"/>
        <v>VerticalRelativeLocationCode_belowWaterbodySurface</v>
      </c>
      <c r="B7083" s="330"/>
      <c r="C7083" s="334"/>
      <c r="D7083" s="188" t="s">
        <v>32327</v>
      </c>
      <c r="E7083" s="189" t="s">
        <v>32328</v>
      </c>
      <c r="F7083" s="162" t="s">
        <v>32329</v>
      </c>
      <c r="G7083" s="190"/>
      <c r="H7083" s="219"/>
      <c r="I7083" s="169">
        <v>119108</v>
      </c>
      <c r="J7083" s="304" t="str">
        <f>CONCATENATE([2]Cover!$D$6,"fdd/view?i=",I7083)</f>
        <v>https://www.dgiwg.org/FAD/fdd/view?i=119108</v>
      </c>
      <c r="K7083" s="304" t="s">
        <v>41132</v>
      </c>
      <c r="L7083" s="188">
        <v>47</v>
      </c>
      <c r="M7083" s="179" t="s">
        <v>151</v>
      </c>
    </row>
    <row r="7084" spans="1:13" ht="25.5">
      <c r="A7084" s="313" t="str">
        <f t="shared" si="110"/>
        <v>VerticalRelativeLocationCode_onSurface</v>
      </c>
      <c r="B7084" s="330"/>
      <c r="C7084" s="334"/>
      <c r="D7084" s="188" t="s">
        <v>32330</v>
      </c>
      <c r="E7084" s="189" t="s">
        <v>32331</v>
      </c>
      <c r="F7084" s="162" t="s">
        <v>32332</v>
      </c>
      <c r="G7084" s="190"/>
      <c r="H7084" s="219"/>
      <c r="I7084" s="169">
        <v>110222</v>
      </c>
      <c r="J7084" s="304" t="str">
        <f>CONCATENATE([2]Cover!$D$6,"fdd/view?i=",I7084)</f>
        <v>https://www.dgiwg.org/FAD/fdd/view?i=110222</v>
      </c>
      <c r="K7084" s="304" t="s">
        <v>41133</v>
      </c>
      <c r="L7084" s="188">
        <v>44</v>
      </c>
      <c r="M7084" s="179" t="s">
        <v>151</v>
      </c>
    </row>
    <row r="7085" spans="1:13" ht="25.5">
      <c r="A7085" s="313" t="str">
        <f t="shared" si="110"/>
        <v>VerticalRelativeLocationCode_onWaterbodyBottom</v>
      </c>
      <c r="B7085" s="331"/>
      <c r="C7085" s="335"/>
      <c r="D7085" s="181" t="s">
        <v>32333</v>
      </c>
      <c r="E7085" s="192" t="s">
        <v>32334</v>
      </c>
      <c r="F7085" s="193" t="s">
        <v>32335</v>
      </c>
      <c r="G7085" s="194"/>
      <c r="H7085" s="220"/>
      <c r="I7085" s="169">
        <v>104993</v>
      </c>
      <c r="J7085" s="304" t="str">
        <f>CONCATENATE([2]Cover!$D$6,"fdd/view?i=",I7085)</f>
        <v>https://www.dgiwg.org/FAD/fdd/view?i=104993</v>
      </c>
      <c r="K7085" s="304" t="s">
        <v>41134</v>
      </c>
      <c r="L7085" s="181">
        <v>17</v>
      </c>
      <c r="M7085" s="179" t="s">
        <v>151</v>
      </c>
    </row>
    <row r="7086" spans="1:13" ht="25.5">
      <c r="A7086" s="313" t="str">
        <f t="shared" si="110"/>
        <v>VesselBoardingMethodCode_gangway</v>
      </c>
      <c r="B7086" s="332" t="str">
        <f>HYPERLINK("[#]Datatypes!A1520:L1520","VesselBoardingMethodCode")</f>
        <v>VesselBoardingMethodCode</v>
      </c>
      <c r="C7086" s="333" t="s">
        <v>13158</v>
      </c>
      <c r="D7086" s="202" t="s">
        <v>32336</v>
      </c>
      <c r="E7086" s="203" t="s">
        <v>32337</v>
      </c>
      <c r="F7086" s="204" t="s">
        <v>32338</v>
      </c>
      <c r="G7086" s="205"/>
      <c r="H7086" s="218"/>
      <c r="I7086" s="169">
        <v>114379</v>
      </c>
      <c r="J7086" s="304" t="str">
        <f>CONCATENATE([2]Cover!$D$6,"fdd/view?i=",I7086)</f>
        <v>https://www.dgiwg.org/FAD/fdd/view?i=114379</v>
      </c>
      <c r="K7086" s="304" t="s">
        <v>41135</v>
      </c>
      <c r="L7086" s="202">
        <v>1</v>
      </c>
      <c r="M7086" s="179" t="s">
        <v>151</v>
      </c>
    </row>
    <row r="7087" spans="1:13" ht="38.25">
      <c r="A7087" s="313" t="str">
        <f t="shared" si="110"/>
        <v>VesselBoardingMethodCode_grapplingHook</v>
      </c>
      <c r="B7087" s="330"/>
      <c r="C7087" s="334"/>
      <c r="D7087" s="188" t="s">
        <v>32339</v>
      </c>
      <c r="E7087" s="189" t="s">
        <v>32340</v>
      </c>
      <c r="F7087" s="162" t="s">
        <v>32341</v>
      </c>
      <c r="G7087" s="190"/>
      <c r="H7087" s="219"/>
      <c r="I7087" s="169">
        <v>114380</v>
      </c>
      <c r="J7087" s="304" t="str">
        <f>CONCATENATE([2]Cover!$D$6,"fdd/view?i=",I7087)</f>
        <v>https://www.dgiwg.org/FAD/fdd/view?i=114380</v>
      </c>
      <c r="K7087" s="304" t="s">
        <v>41136</v>
      </c>
      <c r="L7087" s="188">
        <v>2</v>
      </c>
      <c r="M7087" s="179" t="s">
        <v>151</v>
      </c>
    </row>
    <row r="7088" spans="1:13" ht="25.5">
      <c r="A7088" s="313" t="str">
        <f t="shared" si="110"/>
        <v>VesselBoardingMethodCode_jumped</v>
      </c>
      <c r="B7088" s="330"/>
      <c r="C7088" s="334"/>
      <c r="D7088" s="188" t="s">
        <v>32342</v>
      </c>
      <c r="E7088" s="189" t="s">
        <v>32343</v>
      </c>
      <c r="F7088" s="162" t="s">
        <v>32344</v>
      </c>
      <c r="G7088" s="190"/>
      <c r="H7088" s="219"/>
      <c r="I7088" s="169">
        <v>114381</v>
      </c>
      <c r="J7088" s="304" t="str">
        <f>CONCATENATE([2]Cover!$D$6,"fdd/view?i=",I7088)</f>
        <v>https://www.dgiwg.org/FAD/fdd/view?i=114381</v>
      </c>
      <c r="K7088" s="304" t="s">
        <v>41137</v>
      </c>
      <c r="L7088" s="188">
        <v>3</v>
      </c>
      <c r="M7088" s="179" t="s">
        <v>151</v>
      </c>
    </row>
    <row r="7089" spans="1:13" ht="25.5">
      <c r="A7089" s="313" t="str">
        <f t="shared" si="110"/>
        <v>VesselBoardingMethodCode_towLine</v>
      </c>
      <c r="B7089" s="331"/>
      <c r="C7089" s="335"/>
      <c r="D7089" s="181" t="s">
        <v>32345</v>
      </c>
      <c r="E7089" s="192" t="s">
        <v>32346</v>
      </c>
      <c r="F7089" s="193" t="s">
        <v>32347</v>
      </c>
      <c r="G7089" s="194"/>
      <c r="H7089" s="220"/>
      <c r="I7089" s="169">
        <v>114382</v>
      </c>
      <c r="J7089" s="304" t="str">
        <f>CONCATENATE([2]Cover!$D$6,"fdd/view?i=",I7089)</f>
        <v>https://www.dgiwg.org/FAD/fdd/view?i=114382</v>
      </c>
      <c r="K7089" s="304" t="s">
        <v>41138</v>
      </c>
      <c r="L7089" s="181">
        <v>4</v>
      </c>
      <c r="M7089" s="179" t="s">
        <v>151</v>
      </c>
    </row>
    <row r="7090" spans="1:13" ht="25.5">
      <c r="A7090" s="313" t="str">
        <f t="shared" si="110"/>
        <v>VesselBoardingPointCode_amidships</v>
      </c>
      <c r="B7090" s="332" t="str">
        <f>HYPERLINK("[#]Datatypes!A1522:L1522","VesselBoardingPointCode")</f>
        <v>VesselBoardingPointCode</v>
      </c>
      <c r="C7090" s="333" t="s">
        <v>13160</v>
      </c>
      <c r="D7090" s="202" t="s">
        <v>32348</v>
      </c>
      <c r="E7090" s="203" t="s">
        <v>32349</v>
      </c>
      <c r="F7090" s="204" t="s">
        <v>32350</v>
      </c>
      <c r="G7090" s="205"/>
      <c r="H7090" s="218"/>
      <c r="I7090" s="169">
        <v>114383</v>
      </c>
      <c r="J7090" s="304" t="str">
        <f>CONCATENATE([2]Cover!$D$6,"fdd/view?i=",I7090)</f>
        <v>https://www.dgiwg.org/FAD/fdd/view?i=114383</v>
      </c>
      <c r="K7090" s="304" t="s">
        <v>41139</v>
      </c>
      <c r="L7090" s="202">
        <v>1</v>
      </c>
      <c r="M7090" s="179" t="s">
        <v>151</v>
      </c>
    </row>
    <row r="7091" spans="1:13" ht="25.5">
      <c r="A7091" s="313" t="str">
        <f t="shared" si="110"/>
        <v>VesselBoardingPointCode_bridgeWing</v>
      </c>
      <c r="B7091" s="330"/>
      <c r="C7091" s="334"/>
      <c r="D7091" s="188" t="s">
        <v>32351</v>
      </c>
      <c r="E7091" s="189" t="s">
        <v>32352</v>
      </c>
      <c r="F7091" s="162" t="s">
        <v>32353</v>
      </c>
      <c r="G7091" s="162" t="s">
        <v>32354</v>
      </c>
      <c r="H7091" s="219"/>
      <c r="I7091" s="169">
        <v>114384</v>
      </c>
      <c r="J7091" s="304" t="str">
        <f>CONCATENATE([2]Cover!$D$6,"fdd/view?i=",I7091)</f>
        <v>https://www.dgiwg.org/FAD/fdd/view?i=114384</v>
      </c>
      <c r="K7091" s="304" t="s">
        <v>41140</v>
      </c>
      <c r="L7091" s="188">
        <v>2</v>
      </c>
      <c r="M7091" s="179" t="s">
        <v>151</v>
      </c>
    </row>
    <row r="7092" spans="1:13" ht="25.5">
      <c r="A7092" s="313" t="str">
        <f t="shared" si="110"/>
        <v>VesselBoardingPointCode_engineRoom</v>
      </c>
      <c r="B7092" s="330"/>
      <c r="C7092" s="334"/>
      <c r="D7092" s="188" t="s">
        <v>32355</v>
      </c>
      <c r="E7092" s="189" t="s">
        <v>32356</v>
      </c>
      <c r="F7092" s="162" t="s">
        <v>32357</v>
      </c>
      <c r="G7092" s="190"/>
      <c r="H7092" s="219"/>
      <c r="I7092" s="169">
        <v>114385</v>
      </c>
      <c r="J7092" s="304" t="str">
        <f>CONCATENATE([2]Cover!$D$6,"fdd/view?i=",I7092)</f>
        <v>https://www.dgiwg.org/FAD/fdd/view?i=114385</v>
      </c>
      <c r="K7092" s="304" t="s">
        <v>41141</v>
      </c>
      <c r="L7092" s="188">
        <v>3</v>
      </c>
      <c r="M7092" s="179" t="s">
        <v>151</v>
      </c>
    </row>
    <row r="7093" spans="1:13" ht="25.5">
      <c r="A7093" s="313" t="str">
        <f t="shared" si="110"/>
        <v>VesselBoardingPointCode_fantail</v>
      </c>
      <c r="B7093" s="330"/>
      <c r="C7093" s="334"/>
      <c r="D7093" s="188" t="s">
        <v>32358</v>
      </c>
      <c r="E7093" s="189" t="s">
        <v>32359</v>
      </c>
      <c r="F7093" s="162" t="s">
        <v>32360</v>
      </c>
      <c r="G7093" s="190"/>
      <c r="H7093" s="219"/>
      <c r="I7093" s="169">
        <v>114386</v>
      </c>
      <c r="J7093" s="304" t="str">
        <f>CONCATENATE([2]Cover!$D$6,"fdd/view?i=",I7093)</f>
        <v>https://www.dgiwg.org/FAD/fdd/view?i=114386</v>
      </c>
      <c r="K7093" s="304" t="s">
        <v>41142</v>
      </c>
      <c r="L7093" s="188">
        <v>4</v>
      </c>
      <c r="M7093" s="179" t="s">
        <v>151</v>
      </c>
    </row>
    <row r="7094" spans="1:13" ht="25.5">
      <c r="A7094" s="313" t="str">
        <f t="shared" si="110"/>
        <v>VesselBoardingPointCode_stern</v>
      </c>
      <c r="B7094" s="331"/>
      <c r="C7094" s="335"/>
      <c r="D7094" s="181" t="s">
        <v>32361</v>
      </c>
      <c r="E7094" s="192" t="s">
        <v>32362</v>
      </c>
      <c r="F7094" s="193" t="s">
        <v>32363</v>
      </c>
      <c r="G7094" s="194"/>
      <c r="H7094" s="220"/>
      <c r="I7094" s="169">
        <v>114387</v>
      </c>
      <c r="J7094" s="304" t="str">
        <f>CONCATENATE([2]Cover!$D$6,"fdd/view?i=",I7094)</f>
        <v>https://www.dgiwg.org/FAD/fdd/view?i=114387</v>
      </c>
      <c r="K7094" s="304" t="s">
        <v>41143</v>
      </c>
      <c r="L7094" s="181">
        <v>5</v>
      </c>
      <c r="M7094" s="179" t="s">
        <v>151</v>
      </c>
    </row>
    <row r="7095" spans="1:13" ht="25.5">
      <c r="A7095" s="313" t="str">
        <f t="shared" si="110"/>
        <v>VesselTypeCode_aircraft</v>
      </c>
      <c r="B7095" s="332" t="str">
        <f>HYPERLINK("[#]Datatypes!A1524:L1524","VesselTypeCode")</f>
        <v>VesselTypeCode</v>
      </c>
      <c r="C7095" s="333" t="s">
        <v>13162</v>
      </c>
      <c r="D7095" s="202" t="s">
        <v>25468</v>
      </c>
      <c r="E7095" s="203" t="s">
        <v>25469</v>
      </c>
      <c r="F7095" s="204" t="s">
        <v>32364</v>
      </c>
      <c r="G7095" s="205"/>
      <c r="H7095" s="218"/>
      <c r="I7095" s="169">
        <v>109444</v>
      </c>
      <c r="J7095" s="304" t="str">
        <f>CONCATENATE([2]Cover!$D$6,"fdd/view?i=",I7095)</f>
        <v>https://www.dgiwg.org/FAD/fdd/view?i=109444</v>
      </c>
      <c r="K7095" s="304" t="s">
        <v>41144</v>
      </c>
      <c r="L7095" s="202">
        <v>2</v>
      </c>
      <c r="M7095" s="179" t="s">
        <v>151</v>
      </c>
    </row>
    <row r="7096" spans="1:13">
      <c r="A7096" s="313" t="str">
        <f t="shared" si="110"/>
        <v>VesselTypeCode_aircraftCarrier</v>
      </c>
      <c r="B7096" s="330"/>
      <c r="C7096" s="334"/>
      <c r="D7096" s="188" t="s">
        <v>32365</v>
      </c>
      <c r="E7096" s="189" t="s">
        <v>32366</v>
      </c>
      <c r="F7096" s="162" t="s">
        <v>32367</v>
      </c>
      <c r="G7096" s="190"/>
      <c r="H7096" s="219"/>
      <c r="I7096" s="169">
        <v>109450</v>
      </c>
      <c r="J7096" s="304" t="str">
        <f>CONCATENATE([2]Cover!$D$6,"fdd/view?i=",I7096)</f>
        <v>https://www.dgiwg.org/FAD/fdd/view?i=109450</v>
      </c>
      <c r="K7096" s="304" t="s">
        <v>41145</v>
      </c>
      <c r="L7096" s="188">
        <v>8</v>
      </c>
      <c r="M7096" s="179" t="s">
        <v>151</v>
      </c>
    </row>
    <row r="7097" spans="1:13" ht="25.5">
      <c r="A7097" s="313" t="str">
        <f t="shared" si="110"/>
        <v>VesselTypeCode_amphibiousWarfareVessel</v>
      </c>
      <c r="B7097" s="330"/>
      <c r="C7097" s="334"/>
      <c r="D7097" s="188" t="s">
        <v>32368</v>
      </c>
      <c r="E7097" s="189" t="s">
        <v>32369</v>
      </c>
      <c r="F7097" s="162" t="s">
        <v>32370</v>
      </c>
      <c r="G7097" s="190"/>
      <c r="H7097" s="219"/>
      <c r="I7097" s="169">
        <v>114400</v>
      </c>
      <c r="J7097" s="304" t="str">
        <f>CONCATENATE([2]Cover!$D$6,"fdd/view?i=",I7097)</f>
        <v>https://www.dgiwg.org/FAD/fdd/view?i=114400</v>
      </c>
      <c r="K7097" s="304" t="s">
        <v>41146</v>
      </c>
      <c r="L7097" s="188">
        <v>136</v>
      </c>
      <c r="M7097" s="179" t="s">
        <v>151</v>
      </c>
    </row>
    <row r="7098" spans="1:13">
      <c r="A7098" s="313" t="str">
        <f t="shared" si="110"/>
        <v>VesselTypeCode_ancientMerchant</v>
      </c>
      <c r="B7098" s="330"/>
      <c r="C7098" s="334"/>
      <c r="D7098" s="188" t="s">
        <v>32371</v>
      </c>
      <c r="E7098" s="189" t="s">
        <v>32372</v>
      </c>
      <c r="F7098" s="162" t="s">
        <v>32373</v>
      </c>
      <c r="G7098" s="190"/>
      <c r="H7098" s="219"/>
      <c r="I7098" s="169">
        <v>109548</v>
      </c>
      <c r="J7098" s="304" t="str">
        <f>CONCATENATE([2]Cover!$D$6,"fdd/view?i=",I7098)</f>
        <v>https://www.dgiwg.org/FAD/fdd/view?i=109548</v>
      </c>
      <c r="K7098" s="304" t="s">
        <v>41147</v>
      </c>
      <c r="L7098" s="188">
        <v>109</v>
      </c>
      <c r="M7098" s="179" t="s">
        <v>151</v>
      </c>
    </row>
    <row r="7099" spans="1:13" ht="25.5">
      <c r="A7099" s="313" t="str">
        <f t="shared" si="110"/>
        <v>VesselTypeCode_ancientMilitaryVessel</v>
      </c>
      <c r="B7099" s="330"/>
      <c r="C7099" s="334"/>
      <c r="D7099" s="188" t="s">
        <v>32374</v>
      </c>
      <c r="E7099" s="189" t="s">
        <v>32375</v>
      </c>
      <c r="F7099" s="162" t="s">
        <v>32373</v>
      </c>
      <c r="G7099" s="190"/>
      <c r="H7099" s="219"/>
      <c r="I7099" s="169">
        <v>109540</v>
      </c>
      <c r="J7099" s="304" t="str">
        <f>CONCATENATE([2]Cover!$D$6,"fdd/view?i=",I7099)</f>
        <v>https://www.dgiwg.org/FAD/fdd/view?i=109540</v>
      </c>
      <c r="K7099" s="304" t="s">
        <v>41148</v>
      </c>
      <c r="L7099" s="188">
        <v>100</v>
      </c>
      <c r="M7099" s="179" t="s">
        <v>151</v>
      </c>
    </row>
    <row r="7100" spans="1:13" ht="25.5">
      <c r="A7100" s="313" t="str">
        <f t="shared" si="110"/>
        <v>VesselTypeCode_antiSubmarineBarrier</v>
      </c>
      <c r="B7100" s="330"/>
      <c r="C7100" s="334"/>
      <c r="D7100" s="188" t="s">
        <v>32376</v>
      </c>
      <c r="E7100" s="189" t="s">
        <v>32377</v>
      </c>
      <c r="F7100" s="162" t="s">
        <v>32378</v>
      </c>
      <c r="G7100" s="190"/>
      <c r="H7100" s="219"/>
      <c r="I7100" s="169">
        <v>109556</v>
      </c>
      <c r="J7100" s="304" t="str">
        <f>CONCATENATE([2]Cover!$D$6,"fdd/view?i=",I7100)</f>
        <v>https://www.dgiwg.org/FAD/fdd/view?i=109556</v>
      </c>
      <c r="K7100" s="304" t="s">
        <v>41149</v>
      </c>
      <c r="L7100" s="188">
        <v>118</v>
      </c>
      <c r="M7100" s="179" t="s">
        <v>151</v>
      </c>
    </row>
    <row r="7101" spans="1:13">
      <c r="A7101" s="313" t="str">
        <f t="shared" si="110"/>
        <v>VesselTypeCode_armedVessel</v>
      </c>
      <c r="B7101" s="330"/>
      <c r="C7101" s="334"/>
      <c r="D7101" s="188" t="s">
        <v>32379</v>
      </c>
      <c r="E7101" s="189" t="s">
        <v>32380</v>
      </c>
      <c r="F7101" s="162" t="s">
        <v>32381</v>
      </c>
      <c r="G7101" s="190"/>
      <c r="H7101" s="219"/>
      <c r="I7101" s="169">
        <v>109550</v>
      </c>
      <c r="J7101" s="304" t="str">
        <f>CONCATENATE([2]Cover!$D$6,"fdd/view?i=",I7101)</f>
        <v>https://www.dgiwg.org/FAD/fdd/view?i=109550</v>
      </c>
      <c r="K7101" s="304" t="s">
        <v>41150</v>
      </c>
      <c r="L7101" s="188">
        <v>111</v>
      </c>
      <c r="M7101" s="179" t="s">
        <v>151</v>
      </c>
    </row>
    <row r="7102" spans="1:13">
      <c r="A7102" s="313" t="str">
        <f t="shared" si="110"/>
        <v>VesselTypeCode_auxiliary</v>
      </c>
      <c r="B7102" s="330"/>
      <c r="C7102" s="334"/>
      <c r="D7102" s="188" t="s">
        <v>32382</v>
      </c>
      <c r="E7102" s="189" t="s">
        <v>32383</v>
      </c>
      <c r="F7102" s="162" t="s">
        <v>32384</v>
      </c>
      <c r="G7102" s="162" t="s">
        <v>32385</v>
      </c>
      <c r="H7102" s="219"/>
      <c r="I7102" s="169">
        <v>109445</v>
      </c>
      <c r="J7102" s="304" t="str">
        <f>CONCATENATE([2]Cover!$D$6,"fdd/view?i=",I7102)</f>
        <v>https://www.dgiwg.org/FAD/fdd/view?i=109445</v>
      </c>
      <c r="K7102" s="304" t="s">
        <v>41151</v>
      </c>
      <c r="L7102" s="188">
        <v>3</v>
      </c>
      <c r="M7102" s="179" t="s">
        <v>151</v>
      </c>
    </row>
    <row r="7103" spans="1:13" ht="38.25">
      <c r="A7103" s="313" t="str">
        <f t="shared" si="110"/>
        <v>VesselTypeCode_barge</v>
      </c>
      <c r="B7103" s="330"/>
      <c r="C7103" s="334"/>
      <c r="D7103" s="188" t="s">
        <v>18559</v>
      </c>
      <c r="E7103" s="189" t="s">
        <v>18560</v>
      </c>
      <c r="F7103" s="162" t="s">
        <v>32386</v>
      </c>
      <c r="G7103" s="190"/>
      <c r="H7103" s="219"/>
      <c r="I7103" s="169">
        <v>109447</v>
      </c>
      <c r="J7103" s="304" t="str">
        <f>CONCATENATE([2]Cover!$D$6,"fdd/view?i=",I7103)</f>
        <v>https://www.dgiwg.org/FAD/fdd/view?i=109447</v>
      </c>
      <c r="K7103" s="304" t="s">
        <v>41152</v>
      </c>
      <c r="L7103" s="188">
        <v>5</v>
      </c>
      <c r="M7103" s="179" t="s">
        <v>151</v>
      </c>
    </row>
    <row r="7104" spans="1:13" ht="38.25">
      <c r="A7104" s="313" t="str">
        <f t="shared" si="110"/>
        <v>VesselTypeCode_barque</v>
      </c>
      <c r="B7104" s="330"/>
      <c r="C7104" s="334"/>
      <c r="D7104" s="188" t="s">
        <v>32387</v>
      </c>
      <c r="E7104" s="189" t="s">
        <v>32388</v>
      </c>
      <c r="F7104" s="162" t="s">
        <v>32389</v>
      </c>
      <c r="G7104" s="162" t="s">
        <v>32390</v>
      </c>
      <c r="H7104" s="219"/>
      <c r="I7104" s="169">
        <v>109521</v>
      </c>
      <c r="J7104" s="304" t="str">
        <f>CONCATENATE([2]Cover!$D$6,"fdd/view?i=",I7104)</f>
        <v>https://www.dgiwg.org/FAD/fdd/view?i=109521</v>
      </c>
      <c r="K7104" s="304" t="s">
        <v>41153</v>
      </c>
      <c r="L7104" s="188">
        <v>81</v>
      </c>
      <c r="M7104" s="179" t="s">
        <v>151</v>
      </c>
    </row>
    <row r="7105" spans="1:13" ht="25.5">
      <c r="A7105" s="313" t="str">
        <f t="shared" si="110"/>
        <v>VesselTypeCode_battleCruiser</v>
      </c>
      <c r="B7105" s="330"/>
      <c r="C7105" s="334"/>
      <c r="D7105" s="188" t="s">
        <v>32391</v>
      </c>
      <c r="E7105" s="189" t="s">
        <v>32392</v>
      </c>
      <c r="F7105" s="162" t="s">
        <v>32393</v>
      </c>
      <c r="G7105" s="190"/>
      <c r="H7105" s="219"/>
      <c r="I7105" s="169">
        <v>109544</v>
      </c>
      <c r="J7105" s="304" t="str">
        <f>CONCATENATE([2]Cover!$D$6,"fdd/view?i=",I7105)</f>
        <v>https://www.dgiwg.org/FAD/fdd/view?i=109544</v>
      </c>
      <c r="K7105" s="304" t="s">
        <v>41154</v>
      </c>
      <c r="L7105" s="188">
        <v>104</v>
      </c>
      <c r="M7105" s="179" t="s">
        <v>151</v>
      </c>
    </row>
    <row r="7106" spans="1:13" ht="38.25">
      <c r="A7106" s="313" t="str">
        <f t="shared" si="110"/>
        <v>VesselTypeCode_battleship</v>
      </c>
      <c r="B7106" s="330"/>
      <c r="C7106" s="334"/>
      <c r="D7106" s="188" t="s">
        <v>32394</v>
      </c>
      <c r="E7106" s="189" t="s">
        <v>32395</v>
      </c>
      <c r="F7106" s="162" t="s">
        <v>32396</v>
      </c>
      <c r="G7106" s="162" t="s">
        <v>32397</v>
      </c>
      <c r="H7106" s="219"/>
      <c r="I7106" s="169">
        <v>109446</v>
      </c>
      <c r="J7106" s="304" t="str">
        <f>CONCATENATE([2]Cover!$D$6,"fdd/view?i=",I7106)</f>
        <v>https://www.dgiwg.org/FAD/fdd/view?i=109446</v>
      </c>
      <c r="K7106" s="304" t="s">
        <v>41155</v>
      </c>
      <c r="L7106" s="188">
        <v>4</v>
      </c>
      <c r="M7106" s="179" t="s">
        <v>151</v>
      </c>
    </row>
    <row r="7107" spans="1:13" ht="25.5">
      <c r="A7107" s="313" t="str">
        <f t="shared" ref="A7107:A7170" si="111">HYPERLINK(J7107,K7107)</f>
        <v>VesselTypeCode_beamTrawler</v>
      </c>
      <c r="B7107" s="330"/>
      <c r="C7107" s="334"/>
      <c r="D7107" s="188" t="s">
        <v>32398</v>
      </c>
      <c r="E7107" s="189" t="s">
        <v>32399</v>
      </c>
      <c r="F7107" s="162" t="s">
        <v>32400</v>
      </c>
      <c r="G7107" s="190"/>
      <c r="H7107" s="219"/>
      <c r="I7107" s="169">
        <v>110658</v>
      </c>
      <c r="J7107" s="304" t="str">
        <f>CONCATENATE([2]Cover!$D$6,"fdd/view?i=",I7107)</f>
        <v>https://www.dgiwg.org/FAD/fdd/view?i=110658</v>
      </c>
      <c r="K7107" s="304" t="s">
        <v>41156</v>
      </c>
      <c r="L7107" s="188">
        <v>121</v>
      </c>
      <c r="M7107" s="179" t="s">
        <v>151</v>
      </c>
    </row>
    <row r="7108" spans="1:13">
      <c r="A7108" s="313" t="str">
        <f t="shared" si="111"/>
        <v>VesselTypeCode_blockShip</v>
      </c>
      <c r="B7108" s="330"/>
      <c r="C7108" s="334"/>
      <c r="D7108" s="188" t="s">
        <v>32401</v>
      </c>
      <c r="E7108" s="189" t="s">
        <v>32402</v>
      </c>
      <c r="F7108" s="162" t="s">
        <v>32403</v>
      </c>
      <c r="G7108" s="190"/>
      <c r="H7108" s="219"/>
      <c r="I7108" s="169">
        <v>109552</v>
      </c>
      <c r="J7108" s="304" t="str">
        <f>CONCATENATE([2]Cover!$D$6,"fdd/view?i=",I7108)</f>
        <v>https://www.dgiwg.org/FAD/fdd/view?i=109552</v>
      </c>
      <c r="K7108" s="304" t="s">
        <v>41157</v>
      </c>
      <c r="L7108" s="188">
        <v>114</v>
      </c>
      <c r="M7108" s="179" t="s">
        <v>151</v>
      </c>
    </row>
    <row r="7109" spans="1:13" ht="38.25">
      <c r="A7109" s="313" t="str">
        <f t="shared" si="111"/>
        <v>VesselTypeCode_boardingVessel</v>
      </c>
      <c r="B7109" s="330"/>
      <c r="C7109" s="334"/>
      <c r="D7109" s="188" t="s">
        <v>32404</v>
      </c>
      <c r="E7109" s="189" t="s">
        <v>32405</v>
      </c>
      <c r="F7109" s="162" t="s">
        <v>32406</v>
      </c>
      <c r="G7109" s="162" t="s">
        <v>32407</v>
      </c>
      <c r="H7109" s="219"/>
      <c r="I7109" s="169">
        <v>109534</v>
      </c>
      <c r="J7109" s="304" t="str">
        <f>CONCATENATE([2]Cover!$D$6,"fdd/view?i=",I7109)</f>
        <v>https://www.dgiwg.org/FAD/fdd/view?i=109534</v>
      </c>
      <c r="K7109" s="304" t="s">
        <v>41158</v>
      </c>
      <c r="L7109" s="188">
        <v>94</v>
      </c>
      <c r="M7109" s="179" t="s">
        <v>151</v>
      </c>
    </row>
    <row r="7110" spans="1:13">
      <c r="A7110" s="313" t="str">
        <f t="shared" si="111"/>
        <v>VesselTypeCode_bombardon</v>
      </c>
      <c r="B7110" s="330"/>
      <c r="C7110" s="334"/>
      <c r="D7110" s="188" t="s">
        <v>32408</v>
      </c>
      <c r="E7110" s="189" t="s">
        <v>32409</v>
      </c>
      <c r="F7110" s="162" t="s">
        <v>32410</v>
      </c>
      <c r="G7110" s="190"/>
      <c r="H7110" s="219"/>
      <c r="I7110" s="169">
        <v>109553</v>
      </c>
      <c r="J7110" s="304" t="str">
        <f>CONCATENATE([2]Cover!$D$6,"fdd/view?i=",I7110)</f>
        <v>https://www.dgiwg.org/FAD/fdd/view?i=109553</v>
      </c>
      <c r="K7110" s="304" t="s">
        <v>41159</v>
      </c>
      <c r="L7110" s="188">
        <v>115</v>
      </c>
      <c r="M7110" s="179" t="s">
        <v>151</v>
      </c>
    </row>
    <row r="7111" spans="1:13" ht="25.5">
      <c r="A7111" s="313" t="str">
        <f t="shared" si="111"/>
        <v>VesselTypeCode_brigantine</v>
      </c>
      <c r="B7111" s="330"/>
      <c r="C7111" s="334"/>
      <c r="D7111" s="188" t="s">
        <v>32411</v>
      </c>
      <c r="E7111" s="189" t="s">
        <v>32412</v>
      </c>
      <c r="F7111" s="162" t="s">
        <v>32413</v>
      </c>
      <c r="G7111" s="190"/>
      <c r="H7111" s="219"/>
      <c r="I7111" s="169">
        <v>109517</v>
      </c>
      <c r="J7111" s="304" t="str">
        <f>CONCATENATE([2]Cover!$D$6,"fdd/view?i=",I7111)</f>
        <v>https://www.dgiwg.org/FAD/fdd/view?i=109517</v>
      </c>
      <c r="K7111" s="304" t="s">
        <v>41160</v>
      </c>
      <c r="L7111" s="188">
        <v>77</v>
      </c>
      <c r="M7111" s="179" t="s">
        <v>151</v>
      </c>
    </row>
    <row r="7112" spans="1:13" ht="25.5">
      <c r="A7112" s="313" t="str">
        <f t="shared" si="111"/>
        <v>VesselTypeCode_bulkCarrier</v>
      </c>
      <c r="B7112" s="330"/>
      <c r="C7112" s="334"/>
      <c r="D7112" s="188" t="s">
        <v>32414</v>
      </c>
      <c r="E7112" s="189" t="s">
        <v>32415</v>
      </c>
      <c r="F7112" s="162" t="s">
        <v>32416</v>
      </c>
      <c r="G7112" s="190"/>
      <c r="H7112" s="219"/>
      <c r="I7112" s="169">
        <v>109476</v>
      </c>
      <c r="J7112" s="304" t="str">
        <f>CONCATENATE([2]Cover!$D$6,"fdd/view?i=",I7112)</f>
        <v>https://www.dgiwg.org/FAD/fdd/view?i=109476</v>
      </c>
      <c r="K7112" s="304" t="s">
        <v>41161</v>
      </c>
      <c r="L7112" s="188">
        <v>34</v>
      </c>
      <c r="M7112" s="179" t="s">
        <v>151</v>
      </c>
    </row>
    <row r="7113" spans="1:13" ht="25.5">
      <c r="A7113" s="313" t="str">
        <f t="shared" si="111"/>
        <v>VesselTypeCode_buoy</v>
      </c>
      <c r="B7113" s="330"/>
      <c r="C7113" s="334"/>
      <c r="D7113" s="188" t="s">
        <v>18133</v>
      </c>
      <c r="E7113" s="189" t="s">
        <v>1766</v>
      </c>
      <c r="F7113" s="162" t="s">
        <v>32417</v>
      </c>
      <c r="G7113" s="190"/>
      <c r="H7113" s="219"/>
      <c r="I7113" s="169">
        <v>109448</v>
      </c>
      <c r="J7113" s="304" t="str">
        <f>CONCATENATE([2]Cover!$D$6,"fdd/view?i=",I7113)</f>
        <v>https://www.dgiwg.org/FAD/fdd/view?i=109448</v>
      </c>
      <c r="K7113" s="304" t="s">
        <v>41162</v>
      </c>
      <c r="L7113" s="188">
        <v>6</v>
      </c>
      <c r="M7113" s="179" t="s">
        <v>151</v>
      </c>
    </row>
    <row r="7114" spans="1:13" ht="25.5">
      <c r="A7114" s="313" t="str">
        <f t="shared" si="111"/>
        <v>VesselTypeCode_cabinCruiser</v>
      </c>
      <c r="B7114" s="330"/>
      <c r="C7114" s="334"/>
      <c r="D7114" s="188" t="s">
        <v>32418</v>
      </c>
      <c r="E7114" s="189" t="s">
        <v>32419</v>
      </c>
      <c r="F7114" s="162" t="s">
        <v>32420</v>
      </c>
      <c r="G7114" s="190"/>
      <c r="H7114" s="219"/>
      <c r="I7114" s="169">
        <v>109525</v>
      </c>
      <c r="J7114" s="304" t="str">
        <f>CONCATENATE([2]Cover!$D$6,"fdd/view?i=",I7114)</f>
        <v>https://www.dgiwg.org/FAD/fdd/view?i=109525</v>
      </c>
      <c r="K7114" s="304" t="s">
        <v>41163</v>
      </c>
      <c r="L7114" s="188">
        <v>85</v>
      </c>
      <c r="M7114" s="179" t="s">
        <v>151</v>
      </c>
    </row>
    <row r="7115" spans="1:13" ht="25.5">
      <c r="A7115" s="313" t="str">
        <f t="shared" si="111"/>
        <v>VesselTypeCode_caisson</v>
      </c>
      <c r="B7115" s="330"/>
      <c r="C7115" s="334"/>
      <c r="D7115" s="188" t="s">
        <v>17806</v>
      </c>
      <c r="E7115" s="189" t="s">
        <v>17807</v>
      </c>
      <c r="F7115" s="162" t="s">
        <v>32421</v>
      </c>
      <c r="G7115" s="190"/>
      <c r="H7115" s="219"/>
      <c r="I7115" s="169">
        <v>109449</v>
      </c>
      <c r="J7115" s="304" t="str">
        <f>CONCATENATE([2]Cover!$D$6,"fdd/view?i=",I7115)</f>
        <v>https://www.dgiwg.org/FAD/fdd/view?i=109449</v>
      </c>
      <c r="K7115" s="304" t="s">
        <v>41164</v>
      </c>
      <c r="L7115" s="188">
        <v>7</v>
      </c>
      <c r="M7115" s="179" t="s">
        <v>151</v>
      </c>
    </row>
    <row r="7116" spans="1:13">
      <c r="A7116" s="313" t="str">
        <f t="shared" si="111"/>
        <v>VesselTypeCode_cargo</v>
      </c>
      <c r="B7116" s="330"/>
      <c r="C7116" s="334"/>
      <c r="D7116" s="188" t="s">
        <v>16656</v>
      </c>
      <c r="E7116" s="189" t="s">
        <v>16657</v>
      </c>
      <c r="F7116" s="162" t="s">
        <v>32422</v>
      </c>
      <c r="G7116" s="190"/>
      <c r="H7116" s="219"/>
      <c r="I7116" s="169">
        <v>109451</v>
      </c>
      <c r="J7116" s="304" t="str">
        <f>CONCATENATE([2]Cover!$D$6,"fdd/view?i=",I7116)</f>
        <v>https://www.dgiwg.org/FAD/fdd/view?i=109451</v>
      </c>
      <c r="K7116" s="304" t="s">
        <v>41165</v>
      </c>
      <c r="L7116" s="188">
        <v>9</v>
      </c>
      <c r="M7116" s="179" t="s">
        <v>151</v>
      </c>
    </row>
    <row r="7117" spans="1:13" ht="25.5">
      <c r="A7117" s="313" t="str">
        <f t="shared" si="111"/>
        <v>VesselTypeCode_carrier</v>
      </c>
      <c r="B7117" s="330"/>
      <c r="C7117" s="334"/>
      <c r="D7117" s="188" t="s">
        <v>32423</v>
      </c>
      <c r="E7117" s="189" t="s">
        <v>32424</v>
      </c>
      <c r="F7117" s="162" t="s">
        <v>32425</v>
      </c>
      <c r="G7117" s="162" t="s">
        <v>32426</v>
      </c>
      <c r="H7117" s="219"/>
      <c r="I7117" s="169">
        <v>110659</v>
      </c>
      <c r="J7117" s="304" t="str">
        <f>CONCATENATE([2]Cover!$D$6,"fdd/view?i=",I7117)</f>
        <v>https://www.dgiwg.org/FAD/fdd/view?i=110659</v>
      </c>
      <c r="K7117" s="304" t="s">
        <v>41166</v>
      </c>
      <c r="L7117" s="188">
        <v>122</v>
      </c>
      <c r="M7117" s="179" t="s">
        <v>151</v>
      </c>
    </row>
    <row r="7118" spans="1:13">
      <c r="A7118" s="313" t="str">
        <f t="shared" si="111"/>
        <v>VesselTypeCode_catameran</v>
      </c>
      <c r="B7118" s="330"/>
      <c r="C7118" s="334"/>
      <c r="D7118" s="188" t="s">
        <v>32427</v>
      </c>
      <c r="E7118" s="189" t="s">
        <v>32428</v>
      </c>
      <c r="F7118" s="162" t="s">
        <v>32429</v>
      </c>
      <c r="G7118" s="190"/>
      <c r="H7118" s="219"/>
      <c r="I7118" s="169">
        <v>109526</v>
      </c>
      <c r="J7118" s="304" t="str">
        <f>CONCATENATE([2]Cover!$D$6,"fdd/view?i=",I7118)</f>
        <v>https://www.dgiwg.org/FAD/fdd/view?i=109526</v>
      </c>
      <c r="K7118" s="304" t="s">
        <v>41167</v>
      </c>
      <c r="L7118" s="188">
        <v>86</v>
      </c>
      <c r="M7118" s="179" t="s">
        <v>151</v>
      </c>
    </row>
    <row r="7119" spans="1:13" ht="25.5">
      <c r="A7119" s="313" t="str">
        <f t="shared" si="111"/>
        <v>VesselTypeCode_coaster</v>
      </c>
      <c r="B7119" s="330"/>
      <c r="C7119" s="334"/>
      <c r="D7119" s="188" t="s">
        <v>32433</v>
      </c>
      <c r="E7119" s="189" t="s">
        <v>32434</v>
      </c>
      <c r="F7119" s="162" t="s">
        <v>32435</v>
      </c>
      <c r="G7119" s="190"/>
      <c r="H7119" s="219"/>
      <c r="I7119" s="169">
        <v>109453</v>
      </c>
      <c r="J7119" s="304" t="str">
        <f>CONCATENATE([2]Cover!$D$6,"fdd/view?i=",I7119)</f>
        <v>https://www.dgiwg.org/FAD/fdd/view?i=109453</v>
      </c>
      <c r="K7119" s="304" t="s">
        <v>41168</v>
      </c>
      <c r="L7119" s="188">
        <v>11</v>
      </c>
      <c r="M7119" s="179" t="s">
        <v>151</v>
      </c>
    </row>
    <row r="7120" spans="1:13" ht="38.25">
      <c r="A7120" s="313" t="str">
        <f t="shared" si="111"/>
        <v>VesselTypeCode_coastGuardVessel</v>
      </c>
      <c r="B7120" s="330"/>
      <c r="C7120" s="334"/>
      <c r="D7120" s="188" t="s">
        <v>32430</v>
      </c>
      <c r="E7120" s="189" t="s">
        <v>32431</v>
      </c>
      <c r="F7120" s="162" t="s">
        <v>32432</v>
      </c>
      <c r="G7120" s="190"/>
      <c r="H7120" s="219"/>
      <c r="I7120" s="169">
        <v>109542</v>
      </c>
      <c r="J7120" s="304" t="str">
        <f>CONCATENATE([2]Cover!$D$6,"fdd/view?i=",I7120)</f>
        <v>https://www.dgiwg.org/FAD/fdd/view?i=109542</v>
      </c>
      <c r="K7120" s="304" t="s">
        <v>41169</v>
      </c>
      <c r="L7120" s="188">
        <v>102</v>
      </c>
      <c r="M7120" s="179" t="s">
        <v>151</v>
      </c>
    </row>
    <row r="7121" spans="1:13">
      <c r="A7121" s="313" t="str">
        <f t="shared" si="111"/>
        <v>VesselTypeCode_collier</v>
      </c>
      <c r="B7121" s="330"/>
      <c r="C7121" s="334"/>
      <c r="D7121" s="188" t="s">
        <v>32436</v>
      </c>
      <c r="E7121" s="189" t="s">
        <v>32437</v>
      </c>
      <c r="F7121" s="162" t="s">
        <v>32438</v>
      </c>
      <c r="G7121" s="190"/>
      <c r="H7121" s="219"/>
      <c r="I7121" s="169">
        <v>109515</v>
      </c>
      <c r="J7121" s="304" t="str">
        <f>CONCATENATE([2]Cover!$D$6,"fdd/view?i=",I7121)</f>
        <v>https://www.dgiwg.org/FAD/fdd/view?i=109515</v>
      </c>
      <c r="K7121" s="304" t="s">
        <v>41170</v>
      </c>
      <c r="L7121" s="188">
        <v>75</v>
      </c>
      <c r="M7121" s="179" t="s">
        <v>151</v>
      </c>
    </row>
    <row r="7122" spans="1:13">
      <c r="A7122" s="313" t="str">
        <f t="shared" si="111"/>
        <v>VesselTypeCode_containerShip</v>
      </c>
      <c r="B7122" s="330"/>
      <c r="C7122" s="334"/>
      <c r="D7122" s="188" t="s">
        <v>32439</v>
      </c>
      <c r="E7122" s="189" t="s">
        <v>32440</v>
      </c>
      <c r="F7122" s="162" t="s">
        <v>32441</v>
      </c>
      <c r="G7122" s="190"/>
      <c r="H7122" s="219"/>
      <c r="I7122" s="169">
        <v>110660</v>
      </c>
      <c r="J7122" s="304" t="str">
        <f>CONCATENATE([2]Cover!$D$6,"fdd/view?i=",I7122)</f>
        <v>https://www.dgiwg.org/FAD/fdd/view?i=110660</v>
      </c>
      <c r="K7122" s="304" t="s">
        <v>41171</v>
      </c>
      <c r="L7122" s="188">
        <v>123</v>
      </c>
      <c r="M7122" s="179" t="s">
        <v>151</v>
      </c>
    </row>
    <row r="7123" spans="1:13" ht="25.5">
      <c r="A7123" s="313" t="str">
        <f t="shared" si="111"/>
        <v>VesselTypeCode_corvette</v>
      </c>
      <c r="B7123" s="330"/>
      <c r="C7123" s="334"/>
      <c r="D7123" s="188" t="s">
        <v>32442</v>
      </c>
      <c r="E7123" s="189" t="s">
        <v>32443</v>
      </c>
      <c r="F7123" s="162" t="s">
        <v>32444</v>
      </c>
      <c r="G7123" s="190"/>
      <c r="H7123" s="219"/>
      <c r="I7123" s="169">
        <v>110661</v>
      </c>
      <c r="J7123" s="304" t="str">
        <f>CONCATENATE([2]Cover!$D$6,"fdd/view?i=",I7123)</f>
        <v>https://www.dgiwg.org/FAD/fdd/view?i=110661</v>
      </c>
      <c r="K7123" s="304" t="s">
        <v>41172</v>
      </c>
      <c r="L7123" s="188">
        <v>124</v>
      </c>
      <c r="M7123" s="179" t="s">
        <v>151</v>
      </c>
    </row>
    <row r="7124" spans="1:13">
      <c r="A7124" s="313" t="str">
        <f t="shared" si="111"/>
        <v>VesselTypeCode_cruiser</v>
      </c>
      <c r="B7124" s="330"/>
      <c r="C7124" s="334"/>
      <c r="D7124" s="188" t="s">
        <v>32445</v>
      </c>
      <c r="E7124" s="189" t="s">
        <v>32446</v>
      </c>
      <c r="F7124" s="162" t="s">
        <v>32447</v>
      </c>
      <c r="G7124" s="190"/>
      <c r="H7124" s="219"/>
      <c r="I7124" s="169">
        <v>109454</v>
      </c>
      <c r="J7124" s="304" t="str">
        <f>CONCATENATE([2]Cover!$D$6,"fdd/view?i=",I7124)</f>
        <v>https://www.dgiwg.org/FAD/fdd/view?i=109454</v>
      </c>
      <c r="K7124" s="304" t="s">
        <v>41173</v>
      </c>
      <c r="L7124" s="188">
        <v>12</v>
      </c>
      <c r="M7124" s="179" t="s">
        <v>151</v>
      </c>
    </row>
    <row r="7125" spans="1:13" ht="63.75">
      <c r="A7125" s="313" t="str">
        <f t="shared" si="111"/>
        <v>VesselTypeCode_cutter</v>
      </c>
      <c r="B7125" s="330"/>
      <c r="C7125" s="334"/>
      <c r="D7125" s="188" t="s">
        <v>26977</v>
      </c>
      <c r="E7125" s="189" t="s">
        <v>26978</v>
      </c>
      <c r="F7125" s="162" t="s">
        <v>32450</v>
      </c>
      <c r="G7125" s="162" t="s">
        <v>32451</v>
      </c>
      <c r="H7125" s="219"/>
      <c r="I7125" s="169">
        <v>109519</v>
      </c>
      <c r="J7125" s="304" t="str">
        <f>CONCATENATE([2]Cover!$D$6,"fdd/view?i=",I7125)</f>
        <v>https://www.dgiwg.org/FAD/fdd/view?i=109519</v>
      </c>
      <c r="K7125" s="304" t="s">
        <v>41174</v>
      </c>
      <c r="L7125" s="188">
        <v>79</v>
      </c>
      <c r="M7125" s="179" t="s">
        <v>151</v>
      </c>
    </row>
    <row r="7126" spans="1:13" ht="25.5">
      <c r="A7126" s="313" t="str">
        <f t="shared" si="111"/>
        <v>VesselTypeCode_derrickBarge</v>
      </c>
      <c r="B7126" s="330"/>
      <c r="C7126" s="334"/>
      <c r="D7126" s="188" t="s">
        <v>32452</v>
      </c>
      <c r="E7126" s="189" t="s">
        <v>32453</v>
      </c>
      <c r="F7126" s="162" t="s">
        <v>32454</v>
      </c>
      <c r="G7126" s="190"/>
      <c r="H7126" s="221" t="s">
        <v>32455</v>
      </c>
      <c r="I7126" s="169">
        <v>109513</v>
      </c>
      <c r="J7126" s="304" t="str">
        <f>CONCATENATE([2]Cover!$D$6,"fdd/view?i=",I7126)</f>
        <v>https://www.dgiwg.org/FAD/fdd/view?i=109513</v>
      </c>
      <c r="K7126" s="304" t="s">
        <v>41175</v>
      </c>
      <c r="L7126" s="188">
        <v>73</v>
      </c>
      <c r="M7126" s="179" t="s">
        <v>151</v>
      </c>
    </row>
    <row r="7127" spans="1:13" ht="25.5">
      <c r="A7127" s="313" t="str">
        <f t="shared" si="111"/>
        <v>VesselTypeCode_destroyer</v>
      </c>
      <c r="B7127" s="330"/>
      <c r="C7127" s="334"/>
      <c r="D7127" s="188" t="s">
        <v>32456</v>
      </c>
      <c r="E7127" s="189" t="s">
        <v>32457</v>
      </c>
      <c r="F7127" s="162" t="s">
        <v>32458</v>
      </c>
      <c r="G7127" s="190"/>
      <c r="H7127" s="219"/>
      <c r="I7127" s="169">
        <v>110662</v>
      </c>
      <c r="J7127" s="304" t="str">
        <f>CONCATENATE([2]Cover!$D$6,"fdd/view?i=",I7127)</f>
        <v>https://www.dgiwg.org/FAD/fdd/view?i=110662</v>
      </c>
      <c r="K7127" s="304" t="s">
        <v>41176</v>
      </c>
      <c r="L7127" s="188">
        <v>125</v>
      </c>
      <c r="M7127" s="179" t="s">
        <v>151</v>
      </c>
    </row>
    <row r="7128" spans="1:13">
      <c r="A7128" s="313" t="str">
        <f t="shared" si="111"/>
        <v>VesselTypeCode_dinghy</v>
      </c>
      <c r="B7128" s="330"/>
      <c r="C7128" s="334"/>
      <c r="D7128" s="188" t="s">
        <v>32459</v>
      </c>
      <c r="E7128" s="189" t="s">
        <v>32460</v>
      </c>
      <c r="F7128" s="162" t="s">
        <v>32461</v>
      </c>
      <c r="G7128" s="190"/>
      <c r="H7128" s="219"/>
      <c r="I7128" s="169">
        <v>109530</v>
      </c>
      <c r="J7128" s="304" t="str">
        <f>CONCATENATE([2]Cover!$D$6,"fdd/view?i=",I7128)</f>
        <v>https://www.dgiwg.org/FAD/fdd/view?i=109530</v>
      </c>
      <c r="K7128" s="304" t="s">
        <v>41177</v>
      </c>
      <c r="L7128" s="188">
        <v>90</v>
      </c>
      <c r="M7128" s="179" t="s">
        <v>151</v>
      </c>
    </row>
    <row r="7129" spans="1:13" ht="38.25">
      <c r="A7129" s="313" t="str">
        <f t="shared" si="111"/>
        <v>VesselTypeCode_dreadnoughtBattleship</v>
      </c>
      <c r="B7129" s="330"/>
      <c r="C7129" s="334"/>
      <c r="D7129" s="188" t="s">
        <v>32462</v>
      </c>
      <c r="E7129" s="189" t="s">
        <v>32463</v>
      </c>
      <c r="F7129" s="162" t="s">
        <v>32464</v>
      </c>
      <c r="G7129" s="190"/>
      <c r="H7129" s="219"/>
      <c r="I7129" s="169">
        <v>109543</v>
      </c>
      <c r="J7129" s="304" t="str">
        <f>CONCATENATE([2]Cover!$D$6,"fdd/view?i=",I7129)</f>
        <v>https://www.dgiwg.org/FAD/fdd/view?i=109543</v>
      </c>
      <c r="K7129" s="304" t="s">
        <v>41178</v>
      </c>
      <c r="L7129" s="188">
        <v>103</v>
      </c>
      <c r="M7129" s="179" t="s">
        <v>151</v>
      </c>
    </row>
    <row r="7130" spans="1:13" ht="38.25">
      <c r="A7130" s="313" t="str">
        <f t="shared" si="111"/>
        <v>VesselTypeCode_dredger</v>
      </c>
      <c r="B7130" s="330"/>
      <c r="C7130" s="334"/>
      <c r="D7130" s="188" t="s">
        <v>32465</v>
      </c>
      <c r="E7130" s="189" t="s">
        <v>32466</v>
      </c>
      <c r="F7130" s="162" t="s">
        <v>32467</v>
      </c>
      <c r="G7130" s="190"/>
      <c r="H7130" s="221" t="s">
        <v>21035</v>
      </c>
      <c r="I7130" s="169">
        <v>109457</v>
      </c>
      <c r="J7130" s="304" t="str">
        <f>CONCATENATE([2]Cover!$D$6,"fdd/view?i=",I7130)</f>
        <v>https://www.dgiwg.org/FAD/fdd/view?i=109457</v>
      </c>
      <c r="K7130" s="304" t="s">
        <v>41179</v>
      </c>
      <c r="L7130" s="188">
        <v>15</v>
      </c>
      <c r="M7130" s="179" t="s">
        <v>151</v>
      </c>
    </row>
    <row r="7131" spans="1:13" ht="25.5">
      <c r="A7131" s="313" t="str">
        <f t="shared" si="111"/>
        <v>VesselTypeCode_drifter</v>
      </c>
      <c r="B7131" s="330"/>
      <c r="C7131" s="334"/>
      <c r="D7131" s="188" t="s">
        <v>32468</v>
      </c>
      <c r="E7131" s="189" t="s">
        <v>32469</v>
      </c>
      <c r="F7131" s="162" t="s">
        <v>32470</v>
      </c>
      <c r="G7131" s="162" t="s">
        <v>32471</v>
      </c>
      <c r="H7131" s="219"/>
      <c r="I7131" s="169">
        <v>110663</v>
      </c>
      <c r="J7131" s="304" t="str">
        <f>CONCATENATE([2]Cover!$D$6,"fdd/view?i=",I7131)</f>
        <v>https://www.dgiwg.org/FAD/fdd/view?i=110663</v>
      </c>
      <c r="K7131" s="304" t="s">
        <v>41180</v>
      </c>
      <c r="L7131" s="188">
        <v>126</v>
      </c>
      <c r="M7131" s="179" t="s">
        <v>151</v>
      </c>
    </row>
    <row r="7132" spans="1:13" ht="25.5">
      <c r="A7132" s="313" t="str">
        <f t="shared" si="111"/>
        <v>VesselTypeCode_drillVesselOrRig</v>
      </c>
      <c r="B7132" s="330"/>
      <c r="C7132" s="334"/>
      <c r="D7132" s="188" t="s">
        <v>32472</v>
      </c>
      <c r="E7132" s="189" t="s">
        <v>32473</v>
      </c>
      <c r="F7132" s="162" t="s">
        <v>32474</v>
      </c>
      <c r="G7132" s="190"/>
      <c r="H7132" s="219"/>
      <c r="I7132" s="169">
        <v>109458</v>
      </c>
      <c r="J7132" s="304" t="str">
        <f>CONCATENATE([2]Cover!$D$6,"fdd/view?i=",I7132)</f>
        <v>https://www.dgiwg.org/FAD/fdd/view?i=109458</v>
      </c>
      <c r="K7132" s="304" t="s">
        <v>41181</v>
      </c>
      <c r="L7132" s="188">
        <v>16</v>
      </c>
      <c r="M7132" s="179" t="s">
        <v>151</v>
      </c>
    </row>
    <row r="7133" spans="1:13">
      <c r="A7133" s="313" t="str">
        <f t="shared" si="111"/>
        <v>VesselTypeCode_eastIndiaman</v>
      </c>
      <c r="B7133" s="330"/>
      <c r="C7133" s="334"/>
      <c r="D7133" s="188" t="s">
        <v>32475</v>
      </c>
      <c r="E7133" s="189" t="s">
        <v>32476</v>
      </c>
      <c r="F7133" s="162" t="s">
        <v>32477</v>
      </c>
      <c r="G7133" s="190"/>
      <c r="H7133" s="219"/>
      <c r="I7133" s="169">
        <v>109506</v>
      </c>
      <c r="J7133" s="304" t="str">
        <f>CONCATENATE([2]Cover!$D$6,"fdd/view?i=",I7133)</f>
        <v>https://www.dgiwg.org/FAD/fdd/view?i=109506</v>
      </c>
      <c r="K7133" s="304" t="s">
        <v>41182</v>
      </c>
      <c r="L7133" s="188">
        <v>66</v>
      </c>
      <c r="M7133" s="179" t="s">
        <v>151</v>
      </c>
    </row>
    <row r="7134" spans="1:13">
      <c r="A7134" s="313" t="str">
        <f t="shared" si="111"/>
        <v>VesselTypeCode_escortVessel</v>
      </c>
      <c r="B7134" s="330"/>
      <c r="C7134" s="334"/>
      <c r="D7134" s="188" t="s">
        <v>32478</v>
      </c>
      <c r="E7134" s="189" t="s">
        <v>32479</v>
      </c>
      <c r="F7134" s="162" t="s">
        <v>32480</v>
      </c>
      <c r="G7134" s="190"/>
      <c r="H7134" s="219"/>
      <c r="I7134" s="169">
        <v>109551</v>
      </c>
      <c r="J7134" s="304" t="str">
        <f>CONCATENATE([2]Cover!$D$6,"fdd/view?i=",I7134)</f>
        <v>https://www.dgiwg.org/FAD/fdd/view?i=109551</v>
      </c>
      <c r="K7134" s="304" t="s">
        <v>41183</v>
      </c>
      <c r="L7134" s="188">
        <v>112</v>
      </c>
      <c r="M7134" s="179" t="s">
        <v>151</v>
      </c>
    </row>
    <row r="7135" spans="1:13" ht="25.5">
      <c r="A7135" s="313" t="str">
        <f t="shared" si="111"/>
        <v>VesselTypeCode_explorationVessel</v>
      </c>
      <c r="B7135" s="330"/>
      <c r="C7135" s="334"/>
      <c r="D7135" s="188" t="s">
        <v>32481</v>
      </c>
      <c r="E7135" s="189" t="s">
        <v>32482</v>
      </c>
      <c r="F7135" s="162" t="s">
        <v>32483</v>
      </c>
      <c r="G7135" s="190"/>
      <c r="H7135" s="219"/>
      <c r="I7135" s="169">
        <v>109537</v>
      </c>
      <c r="J7135" s="304" t="str">
        <f>CONCATENATE([2]Cover!$D$6,"fdd/view?i=",I7135)</f>
        <v>https://www.dgiwg.org/FAD/fdd/view?i=109537</v>
      </c>
      <c r="K7135" s="304" t="s">
        <v>41184</v>
      </c>
      <c r="L7135" s="188">
        <v>97</v>
      </c>
      <c r="M7135" s="179" t="s">
        <v>151</v>
      </c>
    </row>
    <row r="7136" spans="1:13">
      <c r="A7136" s="313" t="str">
        <f t="shared" si="111"/>
        <v>VesselTypeCode_factoryShip</v>
      </c>
      <c r="B7136" s="330"/>
      <c r="C7136" s="334"/>
      <c r="D7136" s="188" t="s">
        <v>32484</v>
      </c>
      <c r="E7136" s="189" t="s">
        <v>32485</v>
      </c>
      <c r="F7136" s="162" t="s">
        <v>32486</v>
      </c>
      <c r="G7136" s="190"/>
      <c r="H7136" s="219"/>
      <c r="I7136" s="169">
        <v>110664</v>
      </c>
      <c r="J7136" s="304" t="str">
        <f>CONCATENATE([2]Cover!$D$6,"fdd/view?i=",I7136)</f>
        <v>https://www.dgiwg.org/FAD/fdd/view?i=110664</v>
      </c>
      <c r="K7136" s="304" t="s">
        <v>41185</v>
      </c>
      <c r="L7136" s="188">
        <v>127</v>
      </c>
      <c r="M7136" s="179" t="s">
        <v>151</v>
      </c>
    </row>
    <row r="7137" spans="1:13" ht="25.5">
      <c r="A7137" s="313" t="str">
        <f t="shared" si="111"/>
        <v>VesselTypeCode_ferry</v>
      </c>
      <c r="B7137" s="330"/>
      <c r="C7137" s="334"/>
      <c r="D7137" s="188" t="s">
        <v>18024</v>
      </c>
      <c r="E7137" s="189" t="s">
        <v>18025</v>
      </c>
      <c r="F7137" s="162" t="s">
        <v>32487</v>
      </c>
      <c r="G7137" s="190"/>
      <c r="H7137" s="219"/>
      <c r="I7137" s="169">
        <v>109462</v>
      </c>
      <c r="J7137" s="304" t="str">
        <f>CONCATENATE([2]Cover!$D$6,"fdd/view?i=",I7137)</f>
        <v>https://www.dgiwg.org/FAD/fdd/view?i=109462</v>
      </c>
      <c r="K7137" s="304" t="s">
        <v>41186</v>
      </c>
      <c r="L7137" s="188">
        <v>20</v>
      </c>
      <c r="M7137" s="179" t="s">
        <v>151</v>
      </c>
    </row>
    <row r="7138" spans="1:13" ht="25.5">
      <c r="A7138" s="313" t="str">
        <f t="shared" si="111"/>
        <v>VesselTypeCode_fishingVessel</v>
      </c>
      <c r="B7138" s="330"/>
      <c r="C7138" s="334"/>
      <c r="D7138" s="188" t="s">
        <v>32488</v>
      </c>
      <c r="E7138" s="189" t="s">
        <v>32489</v>
      </c>
      <c r="F7138" s="162" t="s">
        <v>32490</v>
      </c>
      <c r="G7138" s="190"/>
      <c r="H7138" s="219"/>
      <c r="I7138" s="169">
        <v>109460</v>
      </c>
      <c r="J7138" s="304" t="str">
        <f>CONCATENATE([2]Cover!$D$6,"fdd/view?i=",I7138)</f>
        <v>https://www.dgiwg.org/FAD/fdd/view?i=109460</v>
      </c>
      <c r="K7138" s="304" t="s">
        <v>41187</v>
      </c>
      <c r="L7138" s="188">
        <v>18</v>
      </c>
      <c r="M7138" s="179" t="s">
        <v>151</v>
      </c>
    </row>
    <row r="7139" spans="1:13">
      <c r="A7139" s="313" t="str">
        <f t="shared" si="111"/>
        <v>VesselTypeCode_freighter</v>
      </c>
      <c r="B7139" s="330"/>
      <c r="C7139" s="334"/>
      <c r="D7139" s="188" t="s">
        <v>32491</v>
      </c>
      <c r="E7139" s="189" t="s">
        <v>32492</v>
      </c>
      <c r="F7139" s="162" t="s">
        <v>32493</v>
      </c>
      <c r="G7139" s="190"/>
      <c r="H7139" s="219"/>
      <c r="I7139" s="169">
        <v>110665</v>
      </c>
      <c r="J7139" s="304" t="str">
        <f>CONCATENATE([2]Cover!$D$6,"fdd/view?i=",I7139)</f>
        <v>https://www.dgiwg.org/FAD/fdd/view?i=110665</v>
      </c>
      <c r="K7139" s="304" t="s">
        <v>41188</v>
      </c>
      <c r="L7139" s="188">
        <v>128</v>
      </c>
      <c r="M7139" s="179" t="s">
        <v>151</v>
      </c>
    </row>
    <row r="7140" spans="1:13" ht="25.5">
      <c r="A7140" s="313" t="str">
        <f t="shared" si="111"/>
        <v>VesselTypeCode_frigate</v>
      </c>
      <c r="B7140" s="330"/>
      <c r="C7140" s="334"/>
      <c r="D7140" s="188" t="s">
        <v>32494</v>
      </c>
      <c r="E7140" s="189" t="s">
        <v>32495</v>
      </c>
      <c r="F7140" s="162" t="s">
        <v>32496</v>
      </c>
      <c r="G7140" s="162" t="s">
        <v>32497</v>
      </c>
      <c r="H7140" s="219"/>
      <c r="I7140" s="169">
        <v>109463</v>
      </c>
      <c r="J7140" s="304" t="str">
        <f>CONCATENATE([2]Cover!$D$6,"fdd/view?i=",I7140)</f>
        <v>https://www.dgiwg.org/FAD/fdd/view?i=109463</v>
      </c>
      <c r="K7140" s="304" t="s">
        <v>41189</v>
      </c>
      <c r="L7140" s="188">
        <v>21</v>
      </c>
      <c r="M7140" s="179" t="s">
        <v>151</v>
      </c>
    </row>
    <row r="7141" spans="1:13" ht="38.25">
      <c r="A7141" s="313" t="str">
        <f t="shared" si="111"/>
        <v>VesselTypeCode_gasTurbineVessel</v>
      </c>
      <c r="B7141" s="330"/>
      <c r="C7141" s="334"/>
      <c r="D7141" s="188" t="s">
        <v>32498</v>
      </c>
      <c r="E7141" s="189" t="s">
        <v>32499</v>
      </c>
      <c r="F7141" s="162" t="s">
        <v>32500</v>
      </c>
      <c r="G7141" s="190"/>
      <c r="H7141" s="219"/>
      <c r="I7141" s="169">
        <v>109501</v>
      </c>
      <c r="J7141" s="304" t="str">
        <f>CONCATENATE([2]Cover!$D$6,"fdd/view?i=",I7141)</f>
        <v>https://www.dgiwg.org/FAD/fdd/view?i=109501</v>
      </c>
      <c r="K7141" s="304" t="s">
        <v>41190</v>
      </c>
      <c r="L7141" s="188">
        <v>59</v>
      </c>
      <c r="M7141" s="179" t="s">
        <v>151</v>
      </c>
    </row>
    <row r="7142" spans="1:13" ht="25.5">
      <c r="A7142" s="313" t="str">
        <f t="shared" si="111"/>
        <v>VesselTypeCode_gunboat</v>
      </c>
      <c r="B7142" s="330"/>
      <c r="C7142" s="334"/>
      <c r="D7142" s="188" t="s">
        <v>32501</v>
      </c>
      <c r="E7142" s="189" t="s">
        <v>32502</v>
      </c>
      <c r="F7142" s="162" t="s">
        <v>32503</v>
      </c>
      <c r="G7142" s="190"/>
      <c r="H7142" s="219"/>
      <c r="I7142" s="169">
        <v>109464</v>
      </c>
      <c r="J7142" s="304" t="str">
        <f>CONCATENATE([2]Cover!$D$6,"fdd/view?i=",I7142)</f>
        <v>https://www.dgiwg.org/FAD/fdd/view?i=109464</v>
      </c>
      <c r="K7142" s="304" t="s">
        <v>41191</v>
      </c>
      <c r="L7142" s="188">
        <v>22</v>
      </c>
      <c r="M7142" s="179" t="s">
        <v>151</v>
      </c>
    </row>
    <row r="7143" spans="1:13" ht="25.5">
      <c r="A7143" s="313" t="str">
        <f t="shared" si="111"/>
        <v>VesselTypeCode_heavyCruiser</v>
      </c>
      <c r="B7143" s="330"/>
      <c r="C7143" s="334"/>
      <c r="D7143" s="188" t="s">
        <v>32504</v>
      </c>
      <c r="E7143" s="189" t="s">
        <v>32505</v>
      </c>
      <c r="F7143" s="162" t="s">
        <v>32506</v>
      </c>
      <c r="G7143" s="190"/>
      <c r="H7143" s="219"/>
      <c r="I7143" s="169">
        <v>109546</v>
      </c>
      <c r="J7143" s="304" t="str">
        <f>CONCATENATE([2]Cover!$D$6,"fdd/view?i=",I7143)</f>
        <v>https://www.dgiwg.org/FAD/fdd/view?i=109546</v>
      </c>
      <c r="K7143" s="304" t="s">
        <v>41192</v>
      </c>
      <c r="L7143" s="188">
        <v>107</v>
      </c>
      <c r="M7143" s="179" t="s">
        <v>151</v>
      </c>
    </row>
    <row r="7144" spans="1:13" ht="38.25">
      <c r="A7144" s="313" t="str">
        <f t="shared" si="111"/>
        <v>VesselTypeCode_helicopter</v>
      </c>
      <c r="B7144" s="330"/>
      <c r="C7144" s="334"/>
      <c r="D7144" s="188" t="s">
        <v>28178</v>
      </c>
      <c r="E7144" s="189" t="s">
        <v>28179</v>
      </c>
      <c r="F7144" s="162" t="s">
        <v>32507</v>
      </c>
      <c r="G7144" s="190"/>
      <c r="H7144" s="219"/>
      <c r="I7144" s="169">
        <v>109541</v>
      </c>
      <c r="J7144" s="304" t="str">
        <f>CONCATENATE([2]Cover!$D$6,"fdd/view?i=",I7144)</f>
        <v>https://www.dgiwg.org/FAD/fdd/view?i=109541</v>
      </c>
      <c r="K7144" s="304" t="s">
        <v>41193</v>
      </c>
      <c r="L7144" s="188">
        <v>101</v>
      </c>
      <c r="M7144" s="179" t="s">
        <v>151</v>
      </c>
    </row>
    <row r="7145" spans="1:13" ht="25.5">
      <c r="A7145" s="313" t="str">
        <f t="shared" si="111"/>
        <v>VesselTypeCode_hospitalShip</v>
      </c>
      <c r="B7145" s="330"/>
      <c r="C7145" s="334"/>
      <c r="D7145" s="188" t="s">
        <v>32508</v>
      </c>
      <c r="E7145" s="189" t="s">
        <v>32509</v>
      </c>
      <c r="F7145" s="162" t="s">
        <v>32510</v>
      </c>
      <c r="G7145" s="190"/>
      <c r="H7145" s="219"/>
      <c r="I7145" s="169">
        <v>109465</v>
      </c>
      <c r="J7145" s="304" t="str">
        <f>CONCATENATE([2]Cover!$D$6,"fdd/view?i=",I7145)</f>
        <v>https://www.dgiwg.org/FAD/fdd/view?i=109465</v>
      </c>
      <c r="K7145" s="304" t="s">
        <v>41194</v>
      </c>
      <c r="L7145" s="188">
        <v>23</v>
      </c>
      <c r="M7145" s="179" t="s">
        <v>151</v>
      </c>
    </row>
    <row r="7146" spans="1:13" ht="25.5">
      <c r="A7146" s="313" t="str">
        <f t="shared" si="111"/>
        <v>VesselTypeCode_hovercraft</v>
      </c>
      <c r="B7146" s="330"/>
      <c r="C7146" s="334"/>
      <c r="D7146" s="188" t="s">
        <v>32511</v>
      </c>
      <c r="E7146" s="189" t="s">
        <v>32512</v>
      </c>
      <c r="F7146" s="162" t="s">
        <v>32513</v>
      </c>
      <c r="G7146" s="190"/>
      <c r="H7146" s="219"/>
      <c r="I7146" s="169">
        <v>109523</v>
      </c>
      <c r="J7146" s="304" t="str">
        <f>CONCATENATE([2]Cover!$D$6,"fdd/view?i=",I7146)</f>
        <v>https://www.dgiwg.org/FAD/fdd/view?i=109523</v>
      </c>
      <c r="K7146" s="304" t="s">
        <v>41195</v>
      </c>
      <c r="L7146" s="188">
        <v>83</v>
      </c>
      <c r="M7146" s="179" t="s">
        <v>151</v>
      </c>
    </row>
    <row r="7147" spans="1:13" ht="25.5">
      <c r="A7147" s="313" t="str">
        <f t="shared" si="111"/>
        <v>VesselTypeCode_hydrofoil</v>
      </c>
      <c r="B7147" s="330"/>
      <c r="C7147" s="334"/>
      <c r="D7147" s="188" t="s">
        <v>32514</v>
      </c>
      <c r="E7147" s="189" t="s">
        <v>32515</v>
      </c>
      <c r="F7147" s="162" t="s">
        <v>32516</v>
      </c>
      <c r="G7147" s="190"/>
      <c r="H7147" s="219"/>
      <c r="I7147" s="169">
        <v>110666</v>
      </c>
      <c r="J7147" s="304" t="str">
        <f>CONCATENATE([2]Cover!$D$6,"fdd/view?i=",I7147)</f>
        <v>https://www.dgiwg.org/FAD/fdd/view?i=110666</v>
      </c>
      <c r="K7147" s="304" t="s">
        <v>41196</v>
      </c>
      <c r="L7147" s="188">
        <v>129</v>
      </c>
      <c r="M7147" s="179" t="s">
        <v>151</v>
      </c>
    </row>
    <row r="7148" spans="1:13">
      <c r="A7148" s="313" t="str">
        <f t="shared" si="111"/>
        <v>VesselTypeCode_iceBreaker</v>
      </c>
      <c r="B7148" s="330"/>
      <c r="C7148" s="334"/>
      <c r="D7148" s="188" t="s">
        <v>32517</v>
      </c>
      <c r="E7148" s="189" t="s">
        <v>32518</v>
      </c>
      <c r="F7148" s="162" t="s">
        <v>32519</v>
      </c>
      <c r="G7148" s="190"/>
      <c r="H7148" s="219"/>
      <c r="I7148" s="169">
        <v>109535</v>
      </c>
      <c r="J7148" s="304" t="str">
        <f>CONCATENATE([2]Cover!$D$6,"fdd/view?i=",I7148)</f>
        <v>https://www.dgiwg.org/FAD/fdd/view?i=109535</v>
      </c>
      <c r="K7148" s="304" t="s">
        <v>41197</v>
      </c>
      <c r="L7148" s="188">
        <v>95</v>
      </c>
      <c r="M7148" s="179" t="s">
        <v>151</v>
      </c>
    </row>
    <row r="7149" spans="1:13">
      <c r="A7149" s="313" t="str">
        <f t="shared" si="111"/>
        <v>VesselTypeCode_inshoreVessel</v>
      </c>
      <c r="B7149" s="330"/>
      <c r="C7149" s="334"/>
      <c r="D7149" s="188" t="s">
        <v>32520</v>
      </c>
      <c r="E7149" s="189" t="s">
        <v>32521</v>
      </c>
      <c r="F7149" s="162" t="s">
        <v>32522</v>
      </c>
      <c r="G7149" s="190"/>
      <c r="H7149" s="219"/>
      <c r="I7149" s="169">
        <v>109504</v>
      </c>
      <c r="J7149" s="304" t="str">
        <f>CONCATENATE([2]Cover!$D$6,"fdd/view?i=",I7149)</f>
        <v>https://www.dgiwg.org/FAD/fdd/view?i=109504</v>
      </c>
      <c r="K7149" s="304" t="s">
        <v>41198</v>
      </c>
      <c r="L7149" s="188">
        <v>64</v>
      </c>
      <c r="M7149" s="179" t="s">
        <v>151</v>
      </c>
    </row>
    <row r="7150" spans="1:13" ht="38.25">
      <c r="A7150" s="313" t="str">
        <f t="shared" si="111"/>
        <v>VesselTypeCode_junk</v>
      </c>
      <c r="B7150" s="330"/>
      <c r="C7150" s="334"/>
      <c r="D7150" s="188" t="s">
        <v>32523</v>
      </c>
      <c r="E7150" s="189" t="s">
        <v>32524</v>
      </c>
      <c r="F7150" s="162" t="s">
        <v>32525</v>
      </c>
      <c r="G7150" s="190"/>
      <c r="H7150" s="219"/>
      <c r="I7150" s="169">
        <v>109467</v>
      </c>
      <c r="J7150" s="304" t="str">
        <f>CONCATENATE([2]Cover!$D$6,"fdd/view?i=",I7150)</f>
        <v>https://www.dgiwg.org/FAD/fdd/view?i=109467</v>
      </c>
      <c r="K7150" s="304" t="s">
        <v>41199</v>
      </c>
      <c r="L7150" s="188">
        <v>25</v>
      </c>
      <c r="M7150" s="179" t="s">
        <v>151</v>
      </c>
    </row>
    <row r="7151" spans="1:13" ht="38.25">
      <c r="A7151" s="313" t="str">
        <f t="shared" si="111"/>
        <v>VesselTypeCode_ketch</v>
      </c>
      <c r="B7151" s="330"/>
      <c r="C7151" s="334"/>
      <c r="D7151" s="188" t="s">
        <v>32526</v>
      </c>
      <c r="E7151" s="189" t="s">
        <v>32527</v>
      </c>
      <c r="F7151" s="162" t="s">
        <v>32528</v>
      </c>
      <c r="G7151" s="162" t="s">
        <v>32529</v>
      </c>
      <c r="H7151" s="219"/>
      <c r="I7151" s="169">
        <v>109518</v>
      </c>
      <c r="J7151" s="304" t="str">
        <f>CONCATENATE([2]Cover!$D$6,"fdd/view?i=",I7151)</f>
        <v>https://www.dgiwg.org/FAD/fdd/view?i=109518</v>
      </c>
      <c r="K7151" s="304" t="s">
        <v>41200</v>
      </c>
      <c r="L7151" s="188">
        <v>78</v>
      </c>
      <c r="M7151" s="179" t="s">
        <v>151</v>
      </c>
    </row>
    <row r="7152" spans="1:13" ht="25.5">
      <c r="A7152" s="313" t="str">
        <f t="shared" si="111"/>
        <v>VesselTypeCode_landingCraftInfantry</v>
      </c>
      <c r="B7152" s="330"/>
      <c r="C7152" s="334"/>
      <c r="D7152" s="188" t="s">
        <v>32530</v>
      </c>
      <c r="E7152" s="189" t="s">
        <v>32531</v>
      </c>
      <c r="F7152" s="162" t="s">
        <v>32532</v>
      </c>
      <c r="G7152" s="190"/>
      <c r="H7152" s="219"/>
      <c r="I7152" s="169">
        <v>109469</v>
      </c>
      <c r="J7152" s="304" t="str">
        <f>CONCATENATE([2]Cover!$D$6,"fdd/view?i=",I7152)</f>
        <v>https://www.dgiwg.org/FAD/fdd/view?i=109469</v>
      </c>
      <c r="K7152" s="304" t="s">
        <v>41201</v>
      </c>
      <c r="L7152" s="188">
        <v>27</v>
      </c>
      <c r="M7152" s="179" t="s">
        <v>151</v>
      </c>
    </row>
    <row r="7153" spans="1:13" ht="38.25">
      <c r="A7153" s="313" t="str">
        <f t="shared" si="111"/>
        <v>VesselTypeCode_landingShipInfantry</v>
      </c>
      <c r="B7153" s="330"/>
      <c r="C7153" s="334"/>
      <c r="D7153" s="188" t="s">
        <v>32533</v>
      </c>
      <c r="E7153" s="189" t="s">
        <v>32534</v>
      </c>
      <c r="F7153" s="162" t="s">
        <v>32535</v>
      </c>
      <c r="G7153" s="162" t="s">
        <v>32536</v>
      </c>
      <c r="H7153" s="219"/>
      <c r="I7153" s="169">
        <v>109471</v>
      </c>
      <c r="J7153" s="304" t="str">
        <f>CONCATENATE([2]Cover!$D$6,"fdd/view?i=",I7153)</f>
        <v>https://www.dgiwg.org/FAD/fdd/view?i=109471</v>
      </c>
      <c r="K7153" s="304" t="s">
        <v>41202</v>
      </c>
      <c r="L7153" s="188">
        <v>29</v>
      </c>
      <c r="M7153" s="179" t="s">
        <v>151</v>
      </c>
    </row>
    <row r="7154" spans="1:13" ht="38.25">
      <c r="A7154" s="313" t="str">
        <f t="shared" si="111"/>
        <v>VesselTypeCode_landingShipTank</v>
      </c>
      <c r="B7154" s="330"/>
      <c r="C7154" s="334"/>
      <c r="D7154" s="188" t="s">
        <v>32537</v>
      </c>
      <c r="E7154" s="189" t="s">
        <v>32538</v>
      </c>
      <c r="F7154" s="162" t="s">
        <v>32539</v>
      </c>
      <c r="G7154" s="162" t="s">
        <v>32540</v>
      </c>
      <c r="H7154" s="219"/>
      <c r="I7154" s="169">
        <v>109472</v>
      </c>
      <c r="J7154" s="304" t="str">
        <f>CONCATENATE([2]Cover!$D$6,"fdd/view?i=",I7154)</f>
        <v>https://www.dgiwg.org/FAD/fdd/view?i=109472</v>
      </c>
      <c r="K7154" s="304" t="s">
        <v>41203</v>
      </c>
      <c r="L7154" s="188">
        <v>30</v>
      </c>
      <c r="M7154" s="179" t="s">
        <v>151</v>
      </c>
    </row>
    <row r="7155" spans="1:13">
      <c r="A7155" s="313" t="str">
        <f t="shared" si="111"/>
        <v>VesselTypeCode_landingStage</v>
      </c>
      <c r="B7155" s="330"/>
      <c r="C7155" s="334"/>
      <c r="D7155" s="188" t="s">
        <v>32541</v>
      </c>
      <c r="E7155" s="189" t="s">
        <v>32542</v>
      </c>
      <c r="F7155" s="162" t="s">
        <v>32543</v>
      </c>
      <c r="G7155" s="190"/>
      <c r="H7155" s="219"/>
      <c r="I7155" s="169">
        <v>109554</v>
      </c>
      <c r="J7155" s="304" t="str">
        <f>CONCATENATE([2]Cover!$D$6,"fdd/view?i=",I7155)</f>
        <v>https://www.dgiwg.org/FAD/fdd/view?i=109554</v>
      </c>
      <c r="K7155" s="304" t="s">
        <v>41204</v>
      </c>
      <c r="L7155" s="188">
        <v>116</v>
      </c>
      <c r="M7155" s="179" t="s">
        <v>151</v>
      </c>
    </row>
    <row r="7156" spans="1:13" ht="51">
      <c r="A7156" s="313" t="str">
        <f t="shared" si="111"/>
        <v>VesselTypeCode_largeContainerShip</v>
      </c>
      <c r="B7156" s="330"/>
      <c r="C7156" s="334"/>
      <c r="D7156" s="188" t="s">
        <v>32544</v>
      </c>
      <c r="E7156" s="189" t="s">
        <v>32545</v>
      </c>
      <c r="F7156" s="162" t="s">
        <v>32546</v>
      </c>
      <c r="G7156" s="162" t="s">
        <v>32547</v>
      </c>
      <c r="H7156" s="219"/>
      <c r="I7156" s="169">
        <v>109494</v>
      </c>
      <c r="J7156" s="304" t="str">
        <f>CONCATENATE([2]Cover!$D$6,"fdd/view?i=",I7156)</f>
        <v>https://www.dgiwg.org/FAD/fdd/view?i=109494</v>
      </c>
      <c r="K7156" s="304" t="s">
        <v>41205</v>
      </c>
      <c r="L7156" s="188">
        <v>52</v>
      </c>
      <c r="M7156" s="179" t="s">
        <v>151</v>
      </c>
    </row>
    <row r="7157" spans="1:13" ht="25.5">
      <c r="A7157" s="313" t="str">
        <f t="shared" si="111"/>
        <v>VesselTypeCode_launch</v>
      </c>
      <c r="B7157" s="330"/>
      <c r="C7157" s="334"/>
      <c r="D7157" s="188" t="s">
        <v>32553</v>
      </c>
      <c r="E7157" s="189" t="s">
        <v>32554</v>
      </c>
      <c r="F7157" s="162" t="s">
        <v>32555</v>
      </c>
      <c r="G7157" s="162" t="s">
        <v>32556</v>
      </c>
      <c r="H7157" s="219"/>
      <c r="I7157" s="169">
        <v>109527</v>
      </c>
      <c r="J7157" s="304" t="str">
        <f>CONCATENATE([2]Cover!$D$6,"fdd/view?i=",I7157)</f>
        <v>https://www.dgiwg.org/FAD/fdd/view?i=109527</v>
      </c>
      <c r="K7157" s="304" t="s">
        <v>41206</v>
      </c>
      <c r="L7157" s="188">
        <v>87</v>
      </c>
      <c r="M7157" s="179" t="s">
        <v>151</v>
      </c>
    </row>
    <row r="7158" spans="1:13" ht="25.5">
      <c r="A7158" s="313" t="str">
        <f t="shared" si="111"/>
        <v>VesselTypeCode_libertyShip</v>
      </c>
      <c r="B7158" s="330"/>
      <c r="C7158" s="334"/>
      <c r="D7158" s="188" t="s">
        <v>32557</v>
      </c>
      <c r="E7158" s="189" t="s">
        <v>32558</v>
      </c>
      <c r="F7158" s="162" t="s">
        <v>32559</v>
      </c>
      <c r="G7158" s="190"/>
      <c r="H7158" s="219"/>
      <c r="I7158" s="169">
        <v>109505</v>
      </c>
      <c r="J7158" s="304" t="str">
        <f>CONCATENATE([2]Cover!$D$6,"fdd/view?i=",I7158)</f>
        <v>https://www.dgiwg.org/FAD/fdd/view?i=109505</v>
      </c>
      <c r="K7158" s="304" t="s">
        <v>41207</v>
      </c>
      <c r="L7158" s="188">
        <v>65</v>
      </c>
      <c r="M7158" s="179" t="s">
        <v>151</v>
      </c>
    </row>
    <row r="7159" spans="1:13" ht="25.5">
      <c r="A7159" s="313" t="str">
        <f t="shared" si="111"/>
        <v>VesselTypeCode_lightCruiser</v>
      </c>
      <c r="B7159" s="330"/>
      <c r="C7159" s="334"/>
      <c r="D7159" s="188" t="s">
        <v>32560</v>
      </c>
      <c r="E7159" s="189" t="s">
        <v>32561</v>
      </c>
      <c r="F7159" s="162" t="s">
        <v>32562</v>
      </c>
      <c r="G7159" s="190"/>
      <c r="H7159" s="219"/>
      <c r="I7159" s="169">
        <v>109547</v>
      </c>
      <c r="J7159" s="304" t="str">
        <f>CONCATENATE([2]Cover!$D$6,"fdd/view?i=",I7159)</f>
        <v>https://www.dgiwg.org/FAD/fdd/view?i=109547</v>
      </c>
      <c r="K7159" s="304" t="s">
        <v>41208</v>
      </c>
      <c r="L7159" s="188">
        <v>108</v>
      </c>
      <c r="M7159" s="179" t="s">
        <v>151</v>
      </c>
    </row>
    <row r="7160" spans="1:13" ht="89.25">
      <c r="A7160" s="313" t="str">
        <f t="shared" si="111"/>
        <v>VesselTypeCode_lighterAboardShipVessel</v>
      </c>
      <c r="B7160" s="330"/>
      <c r="C7160" s="334"/>
      <c r="D7160" s="188" t="s">
        <v>32563</v>
      </c>
      <c r="E7160" s="189" t="s">
        <v>32564</v>
      </c>
      <c r="F7160" s="162" t="s">
        <v>32565</v>
      </c>
      <c r="G7160" s="162" t="s">
        <v>32551</v>
      </c>
      <c r="H7160" s="219"/>
      <c r="I7160" s="169">
        <v>109468</v>
      </c>
      <c r="J7160" s="304" t="str">
        <f>CONCATENATE([2]Cover!$D$6,"fdd/view?i=",I7160)</f>
        <v>https://www.dgiwg.org/FAD/fdd/view?i=109468</v>
      </c>
      <c r="K7160" s="304" t="s">
        <v>41209</v>
      </c>
      <c r="L7160" s="188">
        <v>26</v>
      </c>
      <c r="M7160" s="179" t="s">
        <v>151</v>
      </c>
    </row>
    <row r="7161" spans="1:13" ht="25.5">
      <c r="A7161" s="313" t="str">
        <f t="shared" si="111"/>
        <v>VesselTypeCode_lighterVessel</v>
      </c>
      <c r="B7161" s="330"/>
      <c r="C7161" s="334"/>
      <c r="D7161" s="188" t="s">
        <v>32566</v>
      </c>
      <c r="E7161" s="189" t="s">
        <v>32567</v>
      </c>
      <c r="F7161" s="162" t="s">
        <v>32568</v>
      </c>
      <c r="G7161" s="190"/>
      <c r="H7161" s="219"/>
      <c r="I7161" s="169">
        <v>109510</v>
      </c>
      <c r="J7161" s="304" t="str">
        <f>CONCATENATE([2]Cover!$D$6,"fdd/view?i=",I7161)</f>
        <v>https://www.dgiwg.org/FAD/fdd/view?i=109510</v>
      </c>
      <c r="K7161" s="304" t="s">
        <v>41210</v>
      </c>
      <c r="L7161" s="188">
        <v>70</v>
      </c>
      <c r="M7161" s="179" t="s">
        <v>151</v>
      </c>
    </row>
    <row r="7162" spans="1:13" ht="25.5">
      <c r="A7162" s="313" t="str">
        <f t="shared" si="111"/>
        <v>VesselTypeCode_lightship</v>
      </c>
      <c r="B7162" s="330"/>
      <c r="C7162" s="334"/>
      <c r="D7162" s="188" t="s">
        <v>32569</v>
      </c>
      <c r="E7162" s="189" t="s">
        <v>32570</v>
      </c>
      <c r="F7162" s="162" t="s">
        <v>3017</v>
      </c>
      <c r="G7162" s="190"/>
      <c r="H7162" s="219"/>
      <c r="I7162" s="169">
        <v>109473</v>
      </c>
      <c r="J7162" s="304" t="str">
        <f>CONCATENATE([2]Cover!$D$6,"fdd/view?i=",I7162)</f>
        <v>https://www.dgiwg.org/FAD/fdd/view?i=109473</v>
      </c>
      <c r="K7162" s="304" t="s">
        <v>41211</v>
      </c>
      <c r="L7162" s="188">
        <v>31</v>
      </c>
      <c r="M7162" s="179" t="s">
        <v>151</v>
      </c>
    </row>
    <row r="7163" spans="1:13">
      <c r="A7163" s="313" t="str">
        <f t="shared" si="111"/>
        <v>VesselTypeCode_liner</v>
      </c>
      <c r="B7163" s="330"/>
      <c r="C7163" s="334"/>
      <c r="D7163" s="188" t="s">
        <v>32571</v>
      </c>
      <c r="E7163" s="189" t="s">
        <v>32572</v>
      </c>
      <c r="F7163" s="162" t="s">
        <v>32573</v>
      </c>
      <c r="G7163" s="190"/>
      <c r="H7163" s="219"/>
      <c r="I7163" s="169">
        <v>110667</v>
      </c>
      <c r="J7163" s="304" t="str">
        <f>CONCATENATE([2]Cover!$D$6,"fdd/view?i=",I7163)</f>
        <v>https://www.dgiwg.org/FAD/fdd/view?i=110667</v>
      </c>
      <c r="K7163" s="304" t="s">
        <v>41212</v>
      </c>
      <c r="L7163" s="188">
        <v>130</v>
      </c>
      <c r="M7163" s="179" t="s">
        <v>151</v>
      </c>
    </row>
    <row r="7164" spans="1:13" ht="25.5">
      <c r="A7164" s="313" t="str">
        <f t="shared" si="111"/>
        <v>VesselTypeCode_liquefiedNaturalGasCarrier</v>
      </c>
      <c r="B7164" s="330"/>
      <c r="C7164" s="334"/>
      <c r="D7164" s="188" t="s">
        <v>32574</v>
      </c>
      <c r="E7164" s="189" t="s">
        <v>32575</v>
      </c>
      <c r="F7164" s="162" t="s">
        <v>32576</v>
      </c>
      <c r="G7164" s="190"/>
      <c r="H7164" s="219"/>
      <c r="I7164" s="169">
        <v>204060</v>
      </c>
      <c r="J7164" s="304" t="str">
        <f>CONCATENATE([2]Cover!$D$6,"fdd/view?i=",I7164)</f>
        <v>https://www.dgiwg.org/FAD/fdd/view?i=204060</v>
      </c>
      <c r="K7164" s="304" t="s">
        <v>41213</v>
      </c>
      <c r="L7164" s="188">
        <v>137</v>
      </c>
      <c r="M7164" s="179" t="s">
        <v>1295</v>
      </c>
    </row>
    <row r="7165" spans="1:13" ht="25.5">
      <c r="A7165" s="313" t="str">
        <f t="shared" si="111"/>
        <v>VesselTypeCode_liquefiedPetroGasCarrier</v>
      </c>
      <c r="B7165" s="330"/>
      <c r="C7165" s="334"/>
      <c r="D7165" s="188" t="s">
        <v>32577</v>
      </c>
      <c r="E7165" s="189" t="s">
        <v>32578</v>
      </c>
      <c r="F7165" s="162" t="s">
        <v>32579</v>
      </c>
      <c r="G7165" s="190"/>
      <c r="H7165" s="219"/>
      <c r="I7165" s="169">
        <v>109470</v>
      </c>
      <c r="J7165" s="304" t="str">
        <f>CONCATENATE([2]Cover!$D$6,"fdd/view?i=",I7165)</f>
        <v>https://www.dgiwg.org/FAD/fdd/view?i=109470</v>
      </c>
      <c r="K7165" s="304" t="s">
        <v>41214</v>
      </c>
      <c r="L7165" s="188">
        <v>28</v>
      </c>
      <c r="M7165" s="179" t="s">
        <v>151</v>
      </c>
    </row>
    <row r="7166" spans="1:13">
      <c r="A7166" s="313" t="str">
        <f t="shared" si="111"/>
        <v>VesselTypeCode_mailboat</v>
      </c>
      <c r="B7166" s="330"/>
      <c r="C7166" s="334"/>
      <c r="D7166" s="188" t="s">
        <v>32580</v>
      </c>
      <c r="E7166" s="189" t="s">
        <v>32581</v>
      </c>
      <c r="F7166" s="162" t="s">
        <v>32582</v>
      </c>
      <c r="G7166" s="190"/>
      <c r="H7166" s="219"/>
      <c r="I7166" s="169">
        <v>109522</v>
      </c>
      <c r="J7166" s="304" t="str">
        <f>CONCATENATE([2]Cover!$D$6,"fdd/view?i=",I7166)</f>
        <v>https://www.dgiwg.org/FAD/fdd/view?i=109522</v>
      </c>
      <c r="K7166" s="304" t="s">
        <v>41215</v>
      </c>
      <c r="L7166" s="188">
        <v>82</v>
      </c>
      <c r="M7166" s="179" t="s">
        <v>151</v>
      </c>
    </row>
    <row r="7167" spans="1:13" ht="25.5">
      <c r="A7167" s="313" t="str">
        <f t="shared" si="111"/>
        <v>VesselTypeCode_merchantShip</v>
      </c>
      <c r="B7167" s="330"/>
      <c r="C7167" s="334"/>
      <c r="D7167" s="188" t="s">
        <v>32583</v>
      </c>
      <c r="E7167" s="189" t="s">
        <v>32584</v>
      </c>
      <c r="F7167" s="162" t="s">
        <v>32585</v>
      </c>
      <c r="G7167" s="190"/>
      <c r="H7167" s="219"/>
      <c r="I7167" s="169">
        <v>109502</v>
      </c>
      <c r="J7167" s="304" t="str">
        <f>CONCATENATE([2]Cover!$D$6,"fdd/view?i=",I7167)</f>
        <v>https://www.dgiwg.org/FAD/fdd/view?i=109502</v>
      </c>
      <c r="K7167" s="304" t="s">
        <v>41216</v>
      </c>
      <c r="L7167" s="188">
        <v>60</v>
      </c>
      <c r="M7167" s="179" t="s">
        <v>151</v>
      </c>
    </row>
    <row r="7168" spans="1:13">
      <c r="A7168" s="313" t="str">
        <f t="shared" si="111"/>
        <v>VesselTypeCode_militaryCruiser</v>
      </c>
      <c r="B7168" s="330"/>
      <c r="C7168" s="334"/>
      <c r="D7168" s="188" t="s">
        <v>32448</v>
      </c>
      <c r="E7168" s="189" t="s">
        <v>32449</v>
      </c>
      <c r="F7168" s="162" t="s">
        <v>32447</v>
      </c>
      <c r="G7168" s="190"/>
      <c r="H7168" s="219"/>
      <c r="I7168" s="169">
        <v>109545</v>
      </c>
      <c r="J7168" s="304" t="str">
        <f>CONCATENATE([2]Cover!$D$6,"fdd/view?i=",I7168)</f>
        <v>https://www.dgiwg.org/FAD/fdd/view?i=109545</v>
      </c>
      <c r="K7168" s="304" t="s">
        <v>41217</v>
      </c>
      <c r="L7168" s="188">
        <v>106</v>
      </c>
      <c r="M7168" s="179" t="s">
        <v>151</v>
      </c>
    </row>
    <row r="7169" spans="1:13" ht="25.5">
      <c r="A7169" s="313" t="str">
        <f t="shared" si="111"/>
        <v>VesselTypeCode_militaryVessel</v>
      </c>
      <c r="B7169" s="330"/>
      <c r="C7169" s="334"/>
      <c r="D7169" s="188" t="s">
        <v>32586</v>
      </c>
      <c r="E7169" s="189" t="s">
        <v>32587</v>
      </c>
      <c r="F7169" s="162" t="s">
        <v>32588</v>
      </c>
      <c r="G7169" s="190"/>
      <c r="H7169" s="219"/>
      <c r="I7169" s="169">
        <v>109503</v>
      </c>
      <c r="J7169" s="304" t="str">
        <f>CONCATENATE([2]Cover!$D$6,"fdd/view?i=",I7169)</f>
        <v>https://www.dgiwg.org/FAD/fdd/view?i=109503</v>
      </c>
      <c r="K7169" s="304" t="s">
        <v>41218</v>
      </c>
      <c r="L7169" s="188">
        <v>62</v>
      </c>
      <c r="M7169" s="179" t="s">
        <v>151</v>
      </c>
    </row>
    <row r="7170" spans="1:13">
      <c r="A7170" s="313" t="str">
        <f t="shared" si="111"/>
        <v>VesselTypeCode_minelayer</v>
      </c>
      <c r="B7170" s="330"/>
      <c r="C7170" s="334"/>
      <c r="D7170" s="188" t="s">
        <v>32589</v>
      </c>
      <c r="E7170" s="189" t="s">
        <v>32590</v>
      </c>
      <c r="F7170" s="162" t="s">
        <v>32591</v>
      </c>
      <c r="G7170" s="190"/>
      <c r="H7170" s="219"/>
      <c r="I7170" s="169">
        <v>110668</v>
      </c>
      <c r="J7170" s="304" t="str">
        <f>CONCATENATE([2]Cover!$D$6,"fdd/view?i=",I7170)</f>
        <v>https://www.dgiwg.org/FAD/fdd/view?i=110668</v>
      </c>
      <c r="K7170" s="304" t="s">
        <v>41219</v>
      </c>
      <c r="L7170" s="188">
        <v>131</v>
      </c>
      <c r="M7170" s="179" t="s">
        <v>151</v>
      </c>
    </row>
    <row r="7171" spans="1:13" ht="25.5">
      <c r="A7171" s="313" t="str">
        <f t="shared" ref="A7171:A7234" si="112">HYPERLINK(J7171,K7171)</f>
        <v>VesselTypeCode_minelayerOrMinesweeper</v>
      </c>
      <c r="B7171" s="330"/>
      <c r="C7171" s="334"/>
      <c r="D7171" s="188" t="s">
        <v>32592</v>
      </c>
      <c r="E7171" s="189" t="s">
        <v>32593</v>
      </c>
      <c r="F7171" s="162" t="s">
        <v>32594</v>
      </c>
      <c r="G7171" s="190"/>
      <c r="H7171" s="219"/>
      <c r="I7171" s="169">
        <v>109474</v>
      </c>
      <c r="J7171" s="304" t="str">
        <f>CONCATENATE([2]Cover!$D$6,"fdd/view?i=",I7171)</f>
        <v>https://www.dgiwg.org/FAD/fdd/view?i=109474</v>
      </c>
      <c r="K7171" s="304" t="s">
        <v>41220</v>
      </c>
      <c r="L7171" s="188">
        <v>32</v>
      </c>
      <c r="M7171" s="179" t="s">
        <v>151</v>
      </c>
    </row>
    <row r="7172" spans="1:13">
      <c r="A7172" s="313" t="str">
        <f t="shared" si="112"/>
        <v>VesselTypeCode_minesweeper</v>
      </c>
      <c r="B7172" s="330"/>
      <c r="C7172" s="334"/>
      <c r="D7172" s="188" t="s">
        <v>27833</v>
      </c>
      <c r="E7172" s="189" t="s">
        <v>27834</v>
      </c>
      <c r="F7172" s="162" t="s">
        <v>32595</v>
      </c>
      <c r="G7172" s="190"/>
      <c r="H7172" s="219"/>
      <c r="I7172" s="169">
        <v>110669</v>
      </c>
      <c r="J7172" s="304" t="str">
        <f>CONCATENATE([2]Cover!$D$6,"fdd/view?i=",I7172)</f>
        <v>https://www.dgiwg.org/FAD/fdd/view?i=110669</v>
      </c>
      <c r="K7172" s="304" t="s">
        <v>41221</v>
      </c>
      <c r="L7172" s="188">
        <v>132</v>
      </c>
      <c r="M7172" s="179" t="s">
        <v>151</v>
      </c>
    </row>
    <row r="7173" spans="1:13" ht="25.5">
      <c r="A7173" s="313" t="str">
        <f t="shared" si="112"/>
        <v>VesselTypeCode_mobileCrane</v>
      </c>
      <c r="B7173" s="330"/>
      <c r="C7173" s="334"/>
      <c r="D7173" s="188" t="s">
        <v>32596</v>
      </c>
      <c r="E7173" s="189" t="s">
        <v>32597</v>
      </c>
      <c r="F7173" s="162" t="s">
        <v>32598</v>
      </c>
      <c r="G7173" s="190"/>
      <c r="H7173" s="219"/>
      <c r="I7173" s="169">
        <v>109514</v>
      </c>
      <c r="J7173" s="304" t="str">
        <f>CONCATENATE([2]Cover!$D$6,"fdd/view?i=",I7173)</f>
        <v>https://www.dgiwg.org/FAD/fdd/view?i=109514</v>
      </c>
      <c r="K7173" s="304" t="s">
        <v>41222</v>
      </c>
      <c r="L7173" s="188">
        <v>74</v>
      </c>
      <c r="M7173" s="179" t="s">
        <v>151</v>
      </c>
    </row>
    <row r="7174" spans="1:13">
      <c r="A7174" s="313" t="str">
        <f t="shared" si="112"/>
        <v>VesselTypeCode_motorVessel</v>
      </c>
      <c r="B7174" s="330"/>
      <c r="C7174" s="334"/>
      <c r="D7174" s="188" t="s">
        <v>32599</v>
      </c>
      <c r="E7174" s="189" t="s">
        <v>32600</v>
      </c>
      <c r="F7174" s="162" t="s">
        <v>32601</v>
      </c>
      <c r="G7174" s="190"/>
      <c r="H7174" s="219"/>
      <c r="I7174" s="169">
        <v>109498</v>
      </c>
      <c r="J7174" s="304" t="str">
        <f>CONCATENATE([2]Cover!$D$6,"fdd/view?i=",I7174)</f>
        <v>https://www.dgiwg.org/FAD/fdd/view?i=109498</v>
      </c>
      <c r="K7174" s="304" t="s">
        <v>41223</v>
      </c>
      <c r="L7174" s="188">
        <v>56</v>
      </c>
      <c r="M7174" s="179" t="s">
        <v>151</v>
      </c>
    </row>
    <row r="7175" spans="1:13">
      <c r="A7175" s="313" t="str">
        <f t="shared" si="112"/>
        <v>VesselTypeCode_mulberryUnit</v>
      </c>
      <c r="B7175" s="330"/>
      <c r="C7175" s="334"/>
      <c r="D7175" s="188" t="s">
        <v>32602</v>
      </c>
      <c r="E7175" s="189" t="s">
        <v>32603</v>
      </c>
      <c r="F7175" s="162" t="s">
        <v>32604</v>
      </c>
      <c r="G7175" s="190"/>
      <c r="H7175" s="219"/>
      <c r="I7175" s="169">
        <v>109555</v>
      </c>
      <c r="J7175" s="304" t="str">
        <f>CONCATENATE([2]Cover!$D$6,"fdd/view?i=",I7175)</f>
        <v>https://www.dgiwg.org/FAD/fdd/view?i=109555</v>
      </c>
      <c r="K7175" s="304" t="s">
        <v>41224</v>
      </c>
      <c r="L7175" s="188">
        <v>117</v>
      </c>
      <c r="M7175" s="179" t="s">
        <v>151</v>
      </c>
    </row>
    <row r="7176" spans="1:13" ht="25.5">
      <c r="A7176" s="313" t="str">
        <f t="shared" si="112"/>
        <v>VesselTypeCode_netTender</v>
      </c>
      <c r="B7176" s="330"/>
      <c r="C7176" s="334"/>
      <c r="D7176" s="188" t="s">
        <v>32605</v>
      </c>
      <c r="E7176" s="189" t="s">
        <v>32606</v>
      </c>
      <c r="F7176" s="162" t="s">
        <v>32607</v>
      </c>
      <c r="G7176" s="190"/>
      <c r="H7176" s="219"/>
      <c r="I7176" s="169">
        <v>109475</v>
      </c>
      <c r="J7176" s="304" t="str">
        <f>CONCATENATE([2]Cover!$D$6,"fdd/view?i=",I7176)</f>
        <v>https://www.dgiwg.org/FAD/fdd/view?i=109475</v>
      </c>
      <c r="K7176" s="304" t="s">
        <v>41225</v>
      </c>
      <c r="L7176" s="188">
        <v>33</v>
      </c>
      <c r="M7176" s="179" t="s">
        <v>151</v>
      </c>
    </row>
    <row r="7177" spans="1:13" ht="25.5">
      <c r="A7177" s="313" t="str">
        <f t="shared" si="112"/>
        <v>VesselTypeCode_nonPropelledRollOnRollOff</v>
      </c>
      <c r="B7177" s="330"/>
      <c r="C7177" s="334"/>
      <c r="D7177" s="188" t="s">
        <v>32608</v>
      </c>
      <c r="E7177" s="189" t="s">
        <v>32609</v>
      </c>
      <c r="F7177" s="162" t="s">
        <v>32610</v>
      </c>
      <c r="G7177" s="190"/>
      <c r="H7177" s="219"/>
      <c r="I7177" s="169">
        <v>109524</v>
      </c>
      <c r="J7177" s="304" t="str">
        <f>CONCATENATE([2]Cover!$D$6,"fdd/view?i=",I7177)</f>
        <v>https://www.dgiwg.org/FAD/fdd/view?i=109524</v>
      </c>
      <c r="K7177" s="304" t="s">
        <v>41226</v>
      </c>
      <c r="L7177" s="188">
        <v>84</v>
      </c>
      <c r="M7177" s="179" t="s">
        <v>151</v>
      </c>
    </row>
    <row r="7178" spans="1:13" ht="25.5">
      <c r="A7178" s="313" t="str">
        <f t="shared" si="112"/>
        <v>VesselTypeCode_oceanTug</v>
      </c>
      <c r="B7178" s="330"/>
      <c r="C7178" s="334"/>
      <c r="D7178" s="188" t="s">
        <v>32611</v>
      </c>
      <c r="E7178" s="189" t="s">
        <v>32612</v>
      </c>
      <c r="F7178" s="162" t="s">
        <v>32613</v>
      </c>
      <c r="G7178" s="190"/>
      <c r="H7178" s="219"/>
      <c r="I7178" s="169">
        <v>109508</v>
      </c>
      <c r="J7178" s="304" t="str">
        <f>CONCATENATE([2]Cover!$D$6,"fdd/view?i=",I7178)</f>
        <v>https://www.dgiwg.org/FAD/fdd/view?i=109508</v>
      </c>
      <c r="K7178" s="304" t="s">
        <v>41227</v>
      </c>
      <c r="L7178" s="188">
        <v>68</v>
      </c>
      <c r="M7178" s="179" t="s">
        <v>151</v>
      </c>
    </row>
    <row r="7179" spans="1:13" ht="25.5">
      <c r="A7179" s="313" t="str">
        <f t="shared" si="112"/>
        <v>VesselTypeCode_paddleBoat</v>
      </c>
      <c r="B7179" s="330"/>
      <c r="C7179" s="334"/>
      <c r="D7179" s="188" t="s">
        <v>32614</v>
      </c>
      <c r="E7179" s="189" t="s">
        <v>32615</v>
      </c>
      <c r="F7179" s="162" t="s">
        <v>32616</v>
      </c>
      <c r="G7179" s="190"/>
      <c r="H7179" s="219"/>
      <c r="I7179" s="169">
        <v>110745</v>
      </c>
      <c r="J7179" s="304" t="str">
        <f>CONCATENATE([2]Cover!$D$6,"fdd/view?i=",I7179)</f>
        <v>https://www.dgiwg.org/FAD/fdd/view?i=110745</v>
      </c>
      <c r="K7179" s="304" t="s">
        <v>41228</v>
      </c>
      <c r="L7179" s="188">
        <v>133</v>
      </c>
      <c r="M7179" s="179" t="s">
        <v>151</v>
      </c>
    </row>
    <row r="7180" spans="1:13" ht="51">
      <c r="A7180" s="313" t="str">
        <f t="shared" si="112"/>
        <v>VesselTypeCode_passengerCargo</v>
      </c>
      <c r="B7180" s="330"/>
      <c r="C7180" s="334"/>
      <c r="D7180" s="188" t="s">
        <v>32617</v>
      </c>
      <c r="E7180" s="189" t="s">
        <v>32618</v>
      </c>
      <c r="F7180" s="162" t="s">
        <v>32619</v>
      </c>
      <c r="G7180" s="162" t="s">
        <v>32620</v>
      </c>
      <c r="H7180" s="219"/>
      <c r="I7180" s="169">
        <v>109478</v>
      </c>
      <c r="J7180" s="304" t="str">
        <f>CONCATENATE([2]Cover!$D$6,"fdd/view?i=",I7180)</f>
        <v>https://www.dgiwg.org/FAD/fdd/view?i=109478</v>
      </c>
      <c r="K7180" s="304" t="s">
        <v>41229</v>
      </c>
      <c r="L7180" s="188">
        <v>36</v>
      </c>
      <c r="M7180" s="179" t="s">
        <v>151</v>
      </c>
    </row>
    <row r="7181" spans="1:13" ht="25.5">
      <c r="A7181" s="313" t="str">
        <f t="shared" si="112"/>
        <v>VesselTypeCode_patrolBoat</v>
      </c>
      <c r="B7181" s="330"/>
      <c r="C7181" s="334"/>
      <c r="D7181" s="188" t="s">
        <v>32621</v>
      </c>
      <c r="E7181" s="189" t="s">
        <v>32622</v>
      </c>
      <c r="F7181" s="162" t="s">
        <v>32623</v>
      </c>
      <c r="G7181" s="190"/>
      <c r="H7181" s="219"/>
      <c r="I7181" s="169">
        <v>109479</v>
      </c>
      <c r="J7181" s="304" t="str">
        <f>CONCATENATE([2]Cover!$D$6,"fdd/view?i=",I7181)</f>
        <v>https://www.dgiwg.org/FAD/fdd/view?i=109479</v>
      </c>
      <c r="K7181" s="304" t="s">
        <v>41230</v>
      </c>
      <c r="L7181" s="188">
        <v>37</v>
      </c>
      <c r="M7181" s="179" t="s">
        <v>151</v>
      </c>
    </row>
    <row r="7182" spans="1:13">
      <c r="A7182" s="313" t="str">
        <f t="shared" si="112"/>
        <v>VesselTypeCode_pilotBoat</v>
      </c>
      <c r="B7182" s="330"/>
      <c r="C7182" s="334"/>
      <c r="D7182" s="188" t="s">
        <v>32624</v>
      </c>
      <c r="E7182" s="189" t="s">
        <v>32625</v>
      </c>
      <c r="F7182" s="162" t="s">
        <v>32626</v>
      </c>
      <c r="G7182" s="190"/>
      <c r="H7182" s="219"/>
      <c r="I7182" s="169">
        <v>109533</v>
      </c>
      <c r="J7182" s="304" t="str">
        <f>CONCATENATE([2]Cover!$D$6,"fdd/view?i=",I7182)</f>
        <v>https://www.dgiwg.org/FAD/fdd/view?i=109533</v>
      </c>
      <c r="K7182" s="304" t="s">
        <v>41231</v>
      </c>
      <c r="L7182" s="188">
        <v>93</v>
      </c>
      <c r="M7182" s="179" t="s">
        <v>151</v>
      </c>
    </row>
    <row r="7183" spans="1:13">
      <c r="A7183" s="313" t="str">
        <f t="shared" si="112"/>
        <v>VesselTypeCode_pleasureCraft</v>
      </c>
      <c r="B7183" s="330"/>
      <c r="C7183" s="334"/>
      <c r="D7183" s="188" t="s">
        <v>32627</v>
      </c>
      <c r="E7183" s="189" t="s">
        <v>32628</v>
      </c>
      <c r="F7183" s="162" t="s">
        <v>32629</v>
      </c>
      <c r="G7183" s="190"/>
      <c r="H7183" s="219"/>
      <c r="I7183" s="169">
        <v>109528</v>
      </c>
      <c r="J7183" s="304" t="str">
        <f>CONCATENATE([2]Cover!$D$6,"fdd/view?i=",I7183)</f>
        <v>https://www.dgiwg.org/FAD/fdd/view?i=109528</v>
      </c>
      <c r="K7183" s="304" t="s">
        <v>41232</v>
      </c>
      <c r="L7183" s="188">
        <v>88</v>
      </c>
      <c r="M7183" s="179" t="s">
        <v>151</v>
      </c>
    </row>
    <row r="7184" spans="1:13">
      <c r="A7184" s="313" t="str">
        <f t="shared" si="112"/>
        <v>VesselTypeCode_rescueBoat</v>
      </c>
      <c r="B7184" s="330"/>
      <c r="C7184" s="334"/>
      <c r="D7184" s="188" t="s">
        <v>32630</v>
      </c>
      <c r="E7184" s="189" t="s">
        <v>32631</v>
      </c>
      <c r="F7184" s="162" t="s">
        <v>32632</v>
      </c>
      <c r="G7184" s="190"/>
      <c r="H7184" s="219"/>
      <c r="I7184" s="169">
        <v>109532</v>
      </c>
      <c r="J7184" s="304" t="str">
        <f>CONCATENATE([2]Cover!$D$6,"fdd/view?i=",I7184)</f>
        <v>https://www.dgiwg.org/FAD/fdd/view?i=109532</v>
      </c>
      <c r="K7184" s="304" t="s">
        <v>41233</v>
      </c>
      <c r="L7184" s="188">
        <v>92</v>
      </c>
      <c r="M7184" s="179" t="s">
        <v>151</v>
      </c>
    </row>
    <row r="7185" spans="1:13" ht="25.5">
      <c r="A7185" s="313" t="str">
        <f t="shared" si="112"/>
        <v>VesselTypeCode_researchVessel</v>
      </c>
      <c r="B7185" s="330"/>
      <c r="C7185" s="334"/>
      <c r="D7185" s="188" t="s">
        <v>32633</v>
      </c>
      <c r="E7185" s="189" t="s">
        <v>32634</v>
      </c>
      <c r="F7185" s="162" t="s">
        <v>32635</v>
      </c>
      <c r="G7185" s="190"/>
      <c r="H7185" s="219"/>
      <c r="I7185" s="169">
        <v>109538</v>
      </c>
      <c r="J7185" s="304" t="str">
        <f>CONCATENATE([2]Cover!$D$6,"fdd/view?i=",I7185)</f>
        <v>https://www.dgiwg.org/FAD/fdd/view?i=109538</v>
      </c>
      <c r="K7185" s="304" t="s">
        <v>41234</v>
      </c>
      <c r="L7185" s="188">
        <v>98</v>
      </c>
      <c r="M7185" s="179" t="s">
        <v>151</v>
      </c>
    </row>
    <row r="7186" spans="1:13">
      <c r="A7186" s="313" t="str">
        <f t="shared" si="112"/>
        <v>VesselTypeCode_riverboat</v>
      </c>
      <c r="B7186" s="330"/>
      <c r="C7186" s="334"/>
      <c r="D7186" s="188" t="s">
        <v>32636</v>
      </c>
      <c r="E7186" s="189" t="s">
        <v>32637</v>
      </c>
      <c r="F7186" s="162" t="s">
        <v>32638</v>
      </c>
      <c r="G7186" s="162" t="s">
        <v>32639</v>
      </c>
      <c r="H7186" s="219"/>
      <c r="I7186" s="169">
        <v>110746</v>
      </c>
      <c r="J7186" s="304" t="str">
        <f>CONCATENATE([2]Cover!$D$6,"fdd/view?i=",I7186)</f>
        <v>https://www.dgiwg.org/FAD/fdd/view?i=110746</v>
      </c>
      <c r="K7186" s="304" t="s">
        <v>41235</v>
      </c>
      <c r="L7186" s="188">
        <v>134</v>
      </c>
      <c r="M7186" s="179" t="s">
        <v>151</v>
      </c>
    </row>
    <row r="7187" spans="1:13" ht="25.5">
      <c r="A7187" s="313" t="str">
        <f t="shared" si="112"/>
        <v>VesselTypeCode_rollOnRollOff</v>
      </c>
      <c r="B7187" s="330"/>
      <c r="C7187" s="334"/>
      <c r="D7187" s="188" t="s">
        <v>32640</v>
      </c>
      <c r="E7187" s="189" t="s">
        <v>32641</v>
      </c>
      <c r="F7187" s="162" t="s">
        <v>32642</v>
      </c>
      <c r="G7187" s="190"/>
      <c r="H7187" s="219"/>
      <c r="I7187" s="169">
        <v>109481</v>
      </c>
      <c r="J7187" s="304" t="str">
        <f>CONCATENATE([2]Cover!$D$6,"fdd/view?i=",I7187)</f>
        <v>https://www.dgiwg.org/FAD/fdd/view?i=109481</v>
      </c>
      <c r="K7187" s="304" t="s">
        <v>41236</v>
      </c>
      <c r="L7187" s="188">
        <v>39</v>
      </c>
      <c r="M7187" s="179" t="s">
        <v>151</v>
      </c>
    </row>
    <row r="7188" spans="1:13" ht="25.5">
      <c r="A7188" s="313" t="str">
        <f t="shared" si="112"/>
        <v>VesselTypeCode_sailingShip</v>
      </c>
      <c r="B7188" s="330"/>
      <c r="C7188" s="334"/>
      <c r="D7188" s="188" t="s">
        <v>32643</v>
      </c>
      <c r="E7188" s="189" t="s">
        <v>32644</v>
      </c>
      <c r="F7188" s="162" t="s">
        <v>32645</v>
      </c>
      <c r="G7188" s="190"/>
      <c r="H7188" s="219"/>
      <c r="I7188" s="169">
        <v>109482</v>
      </c>
      <c r="J7188" s="304" t="str">
        <f>CONCATENATE([2]Cover!$D$6,"fdd/view?i=",I7188)</f>
        <v>https://www.dgiwg.org/FAD/fdd/view?i=109482</v>
      </c>
      <c r="K7188" s="304" t="s">
        <v>41237</v>
      </c>
      <c r="L7188" s="188">
        <v>40</v>
      </c>
      <c r="M7188" s="179" t="s">
        <v>151</v>
      </c>
    </row>
    <row r="7189" spans="1:13" ht="25.5">
      <c r="A7189" s="313" t="str">
        <f t="shared" si="112"/>
        <v>VesselTypeCode_salvageVessel</v>
      </c>
      <c r="B7189" s="330"/>
      <c r="C7189" s="334"/>
      <c r="D7189" s="188" t="s">
        <v>32646</v>
      </c>
      <c r="E7189" s="189" t="s">
        <v>32647</v>
      </c>
      <c r="F7189" s="162" t="s">
        <v>32648</v>
      </c>
      <c r="G7189" s="190"/>
      <c r="H7189" s="219"/>
      <c r="I7189" s="169">
        <v>109536</v>
      </c>
      <c r="J7189" s="304" t="str">
        <f>CONCATENATE([2]Cover!$D$6,"fdd/view?i=",I7189)</f>
        <v>https://www.dgiwg.org/FAD/fdd/view?i=109536</v>
      </c>
      <c r="K7189" s="304" t="s">
        <v>41238</v>
      </c>
      <c r="L7189" s="188">
        <v>96</v>
      </c>
      <c r="M7189" s="179" t="s">
        <v>151</v>
      </c>
    </row>
    <row r="7190" spans="1:13" ht="38.25">
      <c r="A7190" s="313" t="str">
        <f t="shared" si="112"/>
        <v>VesselTypeCode_schooner</v>
      </c>
      <c r="B7190" s="330"/>
      <c r="C7190" s="334"/>
      <c r="D7190" s="188" t="s">
        <v>32649</v>
      </c>
      <c r="E7190" s="189" t="s">
        <v>32650</v>
      </c>
      <c r="F7190" s="162" t="s">
        <v>32651</v>
      </c>
      <c r="G7190" s="190"/>
      <c r="H7190" s="219"/>
      <c r="I7190" s="169">
        <v>109520</v>
      </c>
      <c r="J7190" s="304" t="str">
        <f>CONCATENATE([2]Cover!$D$6,"fdd/view?i=",I7190)</f>
        <v>https://www.dgiwg.org/FAD/fdd/view?i=109520</v>
      </c>
      <c r="K7190" s="304" t="s">
        <v>41239</v>
      </c>
      <c r="L7190" s="188">
        <v>80</v>
      </c>
      <c r="M7190" s="179" t="s">
        <v>151</v>
      </c>
    </row>
    <row r="7191" spans="1:13" ht="89.25">
      <c r="A7191" s="313" t="str">
        <f t="shared" si="112"/>
        <v>VesselTypeCode_seaBeeLashBarge</v>
      </c>
      <c r="B7191" s="330"/>
      <c r="C7191" s="334"/>
      <c r="D7191" s="188" t="s">
        <v>32548</v>
      </c>
      <c r="E7191" s="189" t="s">
        <v>32549</v>
      </c>
      <c r="F7191" s="162" t="s">
        <v>32550</v>
      </c>
      <c r="G7191" s="162" t="s">
        <v>32551</v>
      </c>
      <c r="H7191" s="221" t="s">
        <v>32552</v>
      </c>
      <c r="I7191" s="169">
        <v>109483</v>
      </c>
      <c r="J7191" s="304" t="str">
        <f>CONCATENATE([2]Cover!$D$6,"fdd/view?i=",I7191)</f>
        <v>https://www.dgiwg.org/FAD/fdd/view?i=109483</v>
      </c>
      <c r="K7191" s="304" t="s">
        <v>41240</v>
      </c>
      <c r="L7191" s="188">
        <v>41</v>
      </c>
      <c r="M7191" s="179" t="s">
        <v>151</v>
      </c>
    </row>
    <row r="7192" spans="1:13" ht="25.5">
      <c r="A7192" s="313" t="str">
        <f t="shared" si="112"/>
        <v>VesselTypeCode_shipDebris</v>
      </c>
      <c r="B7192" s="330"/>
      <c r="C7192" s="334"/>
      <c r="D7192" s="188" t="s">
        <v>32652</v>
      </c>
      <c r="E7192" s="189" t="s">
        <v>32653</v>
      </c>
      <c r="F7192" s="162" t="s">
        <v>32654</v>
      </c>
      <c r="G7192" s="190"/>
      <c r="H7192" s="219"/>
      <c r="I7192" s="169">
        <v>109455</v>
      </c>
      <c r="J7192" s="304" t="str">
        <f>CONCATENATE([2]Cover!$D$6,"fdd/view?i=",I7192)</f>
        <v>https://www.dgiwg.org/FAD/fdd/view?i=109455</v>
      </c>
      <c r="K7192" s="304" t="s">
        <v>41241</v>
      </c>
      <c r="L7192" s="188">
        <v>13</v>
      </c>
      <c r="M7192" s="179" t="s">
        <v>151</v>
      </c>
    </row>
    <row r="7193" spans="1:13">
      <c r="A7193" s="313" t="str">
        <f t="shared" si="112"/>
        <v>VesselTypeCode_shipsLifeboat</v>
      </c>
      <c r="B7193" s="330"/>
      <c r="C7193" s="334"/>
      <c r="D7193" s="188" t="s">
        <v>32655</v>
      </c>
      <c r="E7193" s="189" t="s">
        <v>32656</v>
      </c>
      <c r="F7193" s="162" t="s">
        <v>32657</v>
      </c>
      <c r="G7193" s="190"/>
      <c r="H7193" s="219"/>
      <c r="I7193" s="169">
        <v>109531</v>
      </c>
      <c r="J7193" s="304" t="str">
        <f>CONCATENATE([2]Cover!$D$6,"fdd/view?i=",I7193)</f>
        <v>https://www.dgiwg.org/FAD/fdd/view?i=109531</v>
      </c>
      <c r="K7193" s="304" t="s">
        <v>41242</v>
      </c>
      <c r="L7193" s="188">
        <v>91</v>
      </c>
      <c r="M7193" s="179" t="s">
        <v>151</v>
      </c>
    </row>
    <row r="7194" spans="1:13">
      <c r="A7194" s="313" t="str">
        <f t="shared" si="112"/>
        <v>VesselTypeCode_sloop</v>
      </c>
      <c r="B7194" s="330"/>
      <c r="C7194" s="334"/>
      <c r="D7194" s="188" t="s">
        <v>32658</v>
      </c>
      <c r="E7194" s="189" t="s">
        <v>32659</v>
      </c>
      <c r="F7194" s="162" t="s">
        <v>32660</v>
      </c>
      <c r="G7194" s="190"/>
      <c r="H7194" s="219"/>
      <c r="I7194" s="169">
        <v>109516</v>
      </c>
      <c r="J7194" s="304" t="str">
        <f>CONCATENATE([2]Cover!$D$6,"fdd/view?i=",I7194)</f>
        <v>https://www.dgiwg.org/FAD/fdd/view?i=109516</v>
      </c>
      <c r="K7194" s="304" t="s">
        <v>41243</v>
      </c>
      <c r="L7194" s="188">
        <v>76</v>
      </c>
      <c r="M7194" s="179" t="s">
        <v>151</v>
      </c>
    </row>
    <row r="7195" spans="1:13" ht="25.5">
      <c r="A7195" s="313" t="str">
        <f t="shared" si="112"/>
        <v>VesselTypeCode_smack</v>
      </c>
      <c r="B7195" s="330"/>
      <c r="C7195" s="334"/>
      <c r="D7195" s="188" t="s">
        <v>32661</v>
      </c>
      <c r="E7195" s="189" t="s">
        <v>32662</v>
      </c>
      <c r="F7195" s="162" t="s">
        <v>32663</v>
      </c>
      <c r="G7195" s="190"/>
      <c r="H7195" s="219"/>
      <c r="I7195" s="169">
        <v>109507</v>
      </c>
      <c r="J7195" s="304" t="str">
        <f>CONCATENATE([2]Cover!$D$6,"fdd/view?i=",I7195)</f>
        <v>https://www.dgiwg.org/FAD/fdd/view?i=109507</v>
      </c>
      <c r="K7195" s="304" t="s">
        <v>41244</v>
      </c>
      <c r="L7195" s="188">
        <v>67</v>
      </c>
      <c r="M7195" s="179" t="s">
        <v>151</v>
      </c>
    </row>
    <row r="7196" spans="1:13" ht="25.5">
      <c r="A7196" s="313" t="str">
        <f t="shared" si="112"/>
        <v>VesselTypeCode_smallDefenceVessel</v>
      </c>
      <c r="B7196" s="330"/>
      <c r="C7196" s="334"/>
      <c r="D7196" s="188" t="s">
        <v>32664</v>
      </c>
      <c r="E7196" s="189" t="s">
        <v>32665</v>
      </c>
      <c r="F7196" s="162" t="s">
        <v>32666</v>
      </c>
      <c r="G7196" s="190"/>
      <c r="H7196" s="219"/>
      <c r="I7196" s="169">
        <v>109549</v>
      </c>
      <c r="J7196" s="304" t="str">
        <f>CONCATENATE([2]Cover!$D$6,"fdd/view?i=",I7196)</f>
        <v>https://www.dgiwg.org/FAD/fdd/view?i=109549</v>
      </c>
      <c r="K7196" s="304" t="s">
        <v>41245</v>
      </c>
      <c r="L7196" s="188">
        <v>110</v>
      </c>
      <c r="M7196" s="179" t="s">
        <v>151</v>
      </c>
    </row>
    <row r="7197" spans="1:13">
      <c r="A7197" s="313" t="str">
        <f t="shared" si="112"/>
        <v>VesselTypeCode_speedboat</v>
      </c>
      <c r="B7197" s="330"/>
      <c r="C7197" s="334"/>
      <c r="D7197" s="188" t="s">
        <v>25483</v>
      </c>
      <c r="E7197" s="189" t="s">
        <v>25484</v>
      </c>
      <c r="F7197" s="162" t="s">
        <v>32667</v>
      </c>
      <c r="G7197" s="190"/>
      <c r="H7197" s="219"/>
      <c r="I7197" s="169">
        <v>109529</v>
      </c>
      <c r="J7197" s="304" t="str">
        <f>CONCATENATE([2]Cover!$D$6,"fdd/view?i=",I7197)</f>
        <v>https://www.dgiwg.org/FAD/fdd/view?i=109529</v>
      </c>
      <c r="K7197" s="304" t="s">
        <v>41246</v>
      </c>
      <c r="L7197" s="188">
        <v>89</v>
      </c>
      <c r="M7197" s="179" t="s">
        <v>151</v>
      </c>
    </row>
    <row r="7198" spans="1:13">
      <c r="A7198" s="313" t="str">
        <f t="shared" si="112"/>
        <v>VesselTypeCode_steamShip</v>
      </c>
      <c r="B7198" s="330"/>
      <c r="C7198" s="334"/>
      <c r="D7198" s="188" t="s">
        <v>32668</v>
      </c>
      <c r="E7198" s="189" t="s">
        <v>32669</v>
      </c>
      <c r="F7198" s="162" t="s">
        <v>32670</v>
      </c>
      <c r="G7198" s="190"/>
      <c r="H7198" s="219"/>
      <c r="I7198" s="169">
        <v>109497</v>
      </c>
      <c r="J7198" s="304" t="str">
        <f>CONCATENATE([2]Cover!$D$6,"fdd/view?i=",I7198)</f>
        <v>https://www.dgiwg.org/FAD/fdd/view?i=109497</v>
      </c>
      <c r="K7198" s="304" t="s">
        <v>41247</v>
      </c>
      <c r="L7198" s="188">
        <v>55</v>
      </c>
      <c r="M7198" s="179" t="s">
        <v>151</v>
      </c>
    </row>
    <row r="7199" spans="1:13">
      <c r="A7199" s="313" t="str">
        <f t="shared" si="112"/>
        <v>VesselTypeCode_sternTrawler</v>
      </c>
      <c r="B7199" s="330"/>
      <c r="C7199" s="334"/>
      <c r="D7199" s="188" t="s">
        <v>32671</v>
      </c>
      <c r="E7199" s="189" t="s">
        <v>32672</v>
      </c>
      <c r="F7199" s="162" t="s">
        <v>32673</v>
      </c>
      <c r="G7199" s="190"/>
      <c r="H7199" s="219"/>
      <c r="I7199" s="169">
        <v>109512</v>
      </c>
      <c r="J7199" s="304" t="str">
        <f>CONCATENATE([2]Cover!$D$6,"fdd/view?i=",I7199)</f>
        <v>https://www.dgiwg.org/FAD/fdd/view?i=109512</v>
      </c>
      <c r="K7199" s="304" t="s">
        <v>41248</v>
      </c>
      <c r="L7199" s="188">
        <v>72</v>
      </c>
      <c r="M7199" s="179" t="s">
        <v>151</v>
      </c>
    </row>
    <row r="7200" spans="1:13">
      <c r="A7200" s="313" t="str">
        <f t="shared" si="112"/>
        <v>VesselTypeCode_subchaser</v>
      </c>
      <c r="B7200" s="330"/>
      <c r="C7200" s="334"/>
      <c r="D7200" s="188" t="s">
        <v>32674</v>
      </c>
      <c r="E7200" s="189" t="s">
        <v>32675</v>
      </c>
      <c r="F7200" s="162" t="s">
        <v>32676</v>
      </c>
      <c r="G7200" s="190"/>
      <c r="H7200" s="219"/>
      <c r="I7200" s="169">
        <v>109452</v>
      </c>
      <c r="J7200" s="304" t="str">
        <f>CONCATENATE([2]Cover!$D$6,"fdd/view?i=",I7200)</f>
        <v>https://www.dgiwg.org/FAD/fdd/view?i=109452</v>
      </c>
      <c r="K7200" s="304" t="s">
        <v>41249</v>
      </c>
      <c r="L7200" s="188">
        <v>10</v>
      </c>
      <c r="M7200" s="179" t="s">
        <v>151</v>
      </c>
    </row>
    <row r="7201" spans="1:13" ht="25.5">
      <c r="A7201" s="313" t="str">
        <f t="shared" si="112"/>
        <v>VesselTypeCode_submarine</v>
      </c>
      <c r="B7201" s="330"/>
      <c r="C7201" s="334"/>
      <c r="D7201" s="188" t="s">
        <v>30220</v>
      </c>
      <c r="E7201" s="189" t="s">
        <v>30221</v>
      </c>
      <c r="F7201" s="162" t="s">
        <v>32677</v>
      </c>
      <c r="G7201" s="190"/>
      <c r="H7201" s="219"/>
      <c r="I7201" s="169">
        <v>109485</v>
      </c>
      <c r="J7201" s="304" t="str">
        <f>CONCATENATE([2]Cover!$D$6,"fdd/view?i=",I7201)</f>
        <v>https://www.dgiwg.org/FAD/fdd/view?i=109485</v>
      </c>
      <c r="K7201" s="304" t="s">
        <v>41250</v>
      </c>
      <c r="L7201" s="188">
        <v>43</v>
      </c>
      <c r="M7201" s="179" t="s">
        <v>151</v>
      </c>
    </row>
    <row r="7202" spans="1:13">
      <c r="A7202" s="313" t="str">
        <f t="shared" si="112"/>
        <v>VesselTypeCode_supplyVessel</v>
      </c>
      <c r="B7202" s="330"/>
      <c r="C7202" s="334"/>
      <c r="D7202" s="188" t="s">
        <v>32678</v>
      </c>
      <c r="E7202" s="189" t="s">
        <v>32679</v>
      </c>
      <c r="F7202" s="162" t="s">
        <v>32680</v>
      </c>
      <c r="G7202" s="190"/>
      <c r="H7202" s="219"/>
      <c r="I7202" s="169">
        <v>109509</v>
      </c>
      <c r="J7202" s="304" t="str">
        <f>CONCATENATE([2]Cover!$D$6,"fdd/view?i=",I7202)</f>
        <v>https://www.dgiwg.org/FAD/fdd/view?i=109509</v>
      </c>
      <c r="K7202" s="304" t="s">
        <v>41251</v>
      </c>
      <c r="L7202" s="188">
        <v>69</v>
      </c>
      <c r="M7202" s="179" t="s">
        <v>151</v>
      </c>
    </row>
    <row r="7203" spans="1:13" ht="51">
      <c r="A7203" s="313" t="str">
        <f t="shared" si="112"/>
        <v>VesselTypeCode_surfaceWarshipDestSmall</v>
      </c>
      <c r="B7203" s="330"/>
      <c r="C7203" s="334"/>
      <c r="D7203" s="188" t="s">
        <v>32681</v>
      </c>
      <c r="E7203" s="189" t="s">
        <v>32682</v>
      </c>
      <c r="F7203" s="162" t="s">
        <v>32683</v>
      </c>
      <c r="G7203" s="162" t="s">
        <v>32684</v>
      </c>
      <c r="H7203" s="219"/>
      <c r="I7203" s="169">
        <v>110747</v>
      </c>
      <c r="J7203" s="304" t="str">
        <f>CONCATENATE([2]Cover!$D$6,"fdd/view?i=",I7203)</f>
        <v>https://www.dgiwg.org/FAD/fdd/view?i=110747</v>
      </c>
      <c r="K7203" s="304" t="s">
        <v>41252</v>
      </c>
      <c r="L7203" s="188">
        <v>135</v>
      </c>
      <c r="M7203" s="179" t="s">
        <v>151</v>
      </c>
    </row>
    <row r="7204" spans="1:13" ht="25.5">
      <c r="A7204" s="313" t="str">
        <f t="shared" si="112"/>
        <v>VesselTypeCode_surveyVessel</v>
      </c>
      <c r="B7204" s="330"/>
      <c r="C7204" s="334"/>
      <c r="D7204" s="188" t="s">
        <v>32685</v>
      </c>
      <c r="E7204" s="189" t="s">
        <v>32686</v>
      </c>
      <c r="F7204" s="162" t="s">
        <v>32687</v>
      </c>
      <c r="G7204" s="190"/>
      <c r="H7204" s="219"/>
      <c r="I7204" s="169">
        <v>109486</v>
      </c>
      <c r="J7204" s="304" t="str">
        <f>CONCATENATE([2]Cover!$D$6,"fdd/view?i=",I7204)</f>
        <v>https://www.dgiwg.org/FAD/fdd/view?i=109486</v>
      </c>
      <c r="K7204" s="304" t="s">
        <v>41253</v>
      </c>
      <c r="L7204" s="188">
        <v>44</v>
      </c>
      <c r="M7204" s="179" t="s">
        <v>151</v>
      </c>
    </row>
    <row r="7205" spans="1:13">
      <c r="A7205" s="313" t="str">
        <f t="shared" si="112"/>
        <v>VesselTypeCode_tanker</v>
      </c>
      <c r="B7205" s="330"/>
      <c r="C7205" s="334"/>
      <c r="D7205" s="188" t="s">
        <v>32688</v>
      </c>
      <c r="E7205" s="189" t="s">
        <v>32689</v>
      </c>
      <c r="F7205" s="162" t="s">
        <v>32690</v>
      </c>
      <c r="G7205" s="190"/>
      <c r="H7205" s="219"/>
      <c r="I7205" s="169">
        <v>109487</v>
      </c>
      <c r="J7205" s="304" t="str">
        <f>CONCATENATE([2]Cover!$D$6,"fdd/view?i=",I7205)</f>
        <v>https://www.dgiwg.org/FAD/fdd/view?i=109487</v>
      </c>
      <c r="K7205" s="304" t="s">
        <v>41254</v>
      </c>
      <c r="L7205" s="188">
        <v>45</v>
      </c>
      <c r="M7205" s="179" t="s">
        <v>151</v>
      </c>
    </row>
    <row r="7206" spans="1:13">
      <c r="A7206" s="313" t="str">
        <f t="shared" si="112"/>
        <v>VesselTypeCode_targetShip</v>
      </c>
      <c r="B7206" s="330"/>
      <c r="C7206" s="334"/>
      <c r="D7206" s="188" t="s">
        <v>32691</v>
      </c>
      <c r="E7206" s="189" t="s">
        <v>32692</v>
      </c>
      <c r="F7206" s="162" t="s">
        <v>32693</v>
      </c>
      <c r="G7206" s="190"/>
      <c r="H7206" s="219"/>
      <c r="I7206" s="169">
        <v>109489</v>
      </c>
      <c r="J7206" s="304" t="str">
        <f>CONCATENATE([2]Cover!$D$6,"fdd/view?i=",I7206)</f>
        <v>https://www.dgiwg.org/FAD/fdd/view?i=109489</v>
      </c>
      <c r="K7206" s="304" t="s">
        <v>41255</v>
      </c>
      <c r="L7206" s="188">
        <v>47</v>
      </c>
      <c r="M7206" s="179" t="s">
        <v>151</v>
      </c>
    </row>
    <row r="7207" spans="1:13" ht="38.25">
      <c r="A7207" s="313" t="str">
        <f t="shared" si="112"/>
        <v>VesselTypeCode_tenderVessel</v>
      </c>
      <c r="B7207" s="330"/>
      <c r="C7207" s="334"/>
      <c r="D7207" s="188" t="s">
        <v>32694</v>
      </c>
      <c r="E7207" s="189" t="s">
        <v>32695</v>
      </c>
      <c r="F7207" s="162" t="s">
        <v>32696</v>
      </c>
      <c r="G7207" s="190"/>
      <c r="H7207" s="219"/>
      <c r="I7207" s="169">
        <v>109511</v>
      </c>
      <c r="J7207" s="304" t="str">
        <f>CONCATENATE([2]Cover!$D$6,"fdd/view?i=",I7207)</f>
        <v>https://www.dgiwg.org/FAD/fdd/view?i=109511</v>
      </c>
      <c r="K7207" s="304" t="s">
        <v>41256</v>
      </c>
      <c r="L7207" s="188">
        <v>71</v>
      </c>
      <c r="M7207" s="179" t="s">
        <v>151</v>
      </c>
    </row>
    <row r="7208" spans="1:13" ht="25.5">
      <c r="A7208" s="313" t="str">
        <f t="shared" si="112"/>
        <v>VesselTypeCode_torpedoBoat</v>
      </c>
      <c r="B7208" s="330"/>
      <c r="C7208" s="334"/>
      <c r="D7208" s="188" t="s">
        <v>32697</v>
      </c>
      <c r="E7208" s="189" t="s">
        <v>32698</v>
      </c>
      <c r="F7208" s="162" t="s">
        <v>32699</v>
      </c>
      <c r="G7208" s="190"/>
      <c r="H7208" s="219"/>
      <c r="I7208" s="169">
        <v>109490</v>
      </c>
      <c r="J7208" s="304" t="str">
        <f>CONCATENATE([2]Cover!$D$6,"fdd/view?i=",I7208)</f>
        <v>https://www.dgiwg.org/FAD/fdd/view?i=109490</v>
      </c>
      <c r="K7208" s="304" t="s">
        <v>41257</v>
      </c>
      <c r="L7208" s="188">
        <v>48</v>
      </c>
      <c r="M7208" s="179" t="s">
        <v>151</v>
      </c>
    </row>
    <row r="7209" spans="1:13">
      <c r="A7209" s="313" t="str">
        <f t="shared" si="112"/>
        <v>VesselTypeCode_transportShip</v>
      </c>
      <c r="B7209" s="330"/>
      <c r="C7209" s="334"/>
      <c r="D7209" s="188" t="s">
        <v>32700</v>
      </c>
      <c r="E7209" s="189" t="s">
        <v>32701</v>
      </c>
      <c r="F7209" s="162" t="s">
        <v>32702</v>
      </c>
      <c r="G7209" s="190"/>
      <c r="H7209" s="219"/>
      <c r="I7209" s="169">
        <v>109491</v>
      </c>
      <c r="J7209" s="304" t="str">
        <f>CONCATENATE([2]Cover!$D$6,"fdd/view?i=",I7209)</f>
        <v>https://www.dgiwg.org/FAD/fdd/view?i=109491</v>
      </c>
      <c r="K7209" s="304" t="s">
        <v>41258</v>
      </c>
      <c r="L7209" s="188">
        <v>49</v>
      </c>
      <c r="M7209" s="179" t="s">
        <v>151</v>
      </c>
    </row>
    <row r="7210" spans="1:13" ht="25.5">
      <c r="A7210" s="313" t="str">
        <f t="shared" si="112"/>
        <v>VesselTypeCode_trawler</v>
      </c>
      <c r="B7210" s="330"/>
      <c r="C7210" s="334"/>
      <c r="D7210" s="188" t="s">
        <v>32703</v>
      </c>
      <c r="E7210" s="189" t="s">
        <v>32704</v>
      </c>
      <c r="F7210" s="162" t="s">
        <v>32705</v>
      </c>
      <c r="G7210" s="190"/>
      <c r="H7210" s="219"/>
      <c r="I7210" s="169">
        <v>109493</v>
      </c>
      <c r="J7210" s="304" t="str">
        <f>CONCATENATE([2]Cover!$D$6,"fdd/view?i=",I7210)</f>
        <v>https://www.dgiwg.org/FAD/fdd/view?i=109493</v>
      </c>
      <c r="K7210" s="304" t="s">
        <v>41259</v>
      </c>
      <c r="L7210" s="188">
        <v>51</v>
      </c>
      <c r="M7210" s="179" t="s">
        <v>151</v>
      </c>
    </row>
    <row r="7211" spans="1:13">
      <c r="A7211" s="313" t="str">
        <f t="shared" si="112"/>
        <v>VesselTypeCode_trimaran</v>
      </c>
      <c r="B7211" s="330"/>
      <c r="C7211" s="334"/>
      <c r="D7211" s="188" t="s">
        <v>32706</v>
      </c>
      <c r="E7211" s="189" t="s">
        <v>32707</v>
      </c>
      <c r="F7211" s="162" t="s">
        <v>32708</v>
      </c>
      <c r="G7211" s="190"/>
      <c r="H7211" s="219"/>
      <c r="I7211" s="169">
        <v>109558</v>
      </c>
      <c r="J7211" s="304" t="str">
        <f>CONCATENATE([2]Cover!$D$6,"fdd/view?i=",I7211)</f>
        <v>https://www.dgiwg.org/FAD/fdd/view?i=109558</v>
      </c>
      <c r="K7211" s="304" t="s">
        <v>41260</v>
      </c>
      <c r="L7211" s="188">
        <v>120</v>
      </c>
      <c r="M7211" s="179" t="s">
        <v>151</v>
      </c>
    </row>
    <row r="7212" spans="1:13">
      <c r="A7212" s="313" t="str">
        <f t="shared" si="112"/>
        <v>VesselTypeCode_tug</v>
      </c>
      <c r="B7212" s="330"/>
      <c r="C7212" s="334"/>
      <c r="D7212" s="188" t="s">
        <v>32709</v>
      </c>
      <c r="E7212" s="189" t="s">
        <v>32710</v>
      </c>
      <c r="F7212" s="162" t="s">
        <v>32711</v>
      </c>
      <c r="G7212" s="190"/>
      <c r="H7212" s="221" t="s">
        <v>32712</v>
      </c>
      <c r="I7212" s="169">
        <v>109492</v>
      </c>
      <c r="J7212" s="304" t="str">
        <f>CONCATENATE([2]Cover!$D$6,"fdd/view?i=",I7212)</f>
        <v>https://www.dgiwg.org/FAD/fdd/view?i=109492</v>
      </c>
      <c r="K7212" s="304" t="s">
        <v>41261</v>
      </c>
      <c r="L7212" s="188">
        <v>50</v>
      </c>
      <c r="M7212" s="179" t="s">
        <v>151</v>
      </c>
    </row>
    <row r="7213" spans="1:13" ht="25.5">
      <c r="A7213" s="313" t="str">
        <f t="shared" si="112"/>
        <v>VesselTypeCode_turboElectricVessel</v>
      </c>
      <c r="B7213" s="330"/>
      <c r="C7213" s="334"/>
      <c r="D7213" s="188" t="s">
        <v>32713</v>
      </c>
      <c r="E7213" s="189" t="s">
        <v>32714</v>
      </c>
      <c r="F7213" s="162" t="s">
        <v>32715</v>
      </c>
      <c r="G7213" s="190"/>
      <c r="H7213" s="219"/>
      <c r="I7213" s="169">
        <v>109500</v>
      </c>
      <c r="J7213" s="304" t="str">
        <f>CONCATENATE([2]Cover!$D$6,"fdd/view?i=",I7213)</f>
        <v>https://www.dgiwg.org/FAD/fdd/view?i=109500</v>
      </c>
      <c r="K7213" s="304" t="s">
        <v>41262</v>
      </c>
      <c r="L7213" s="188">
        <v>58</v>
      </c>
      <c r="M7213" s="179" t="s">
        <v>151</v>
      </c>
    </row>
    <row r="7214" spans="1:13">
      <c r="A7214" s="313" t="str">
        <f t="shared" si="112"/>
        <v>VesselTypeCode_twinMotorVessel</v>
      </c>
      <c r="B7214" s="330"/>
      <c r="C7214" s="334"/>
      <c r="D7214" s="188" t="s">
        <v>32716</v>
      </c>
      <c r="E7214" s="189" t="s">
        <v>32717</v>
      </c>
      <c r="F7214" s="162" t="s">
        <v>32718</v>
      </c>
      <c r="G7214" s="190"/>
      <c r="H7214" s="219"/>
      <c r="I7214" s="169">
        <v>109499</v>
      </c>
      <c r="J7214" s="304" t="str">
        <f>CONCATENATE([2]Cover!$D$6,"fdd/view?i=",I7214)</f>
        <v>https://www.dgiwg.org/FAD/fdd/view?i=109499</v>
      </c>
      <c r="K7214" s="304" t="s">
        <v>41263</v>
      </c>
      <c r="L7214" s="188">
        <v>57</v>
      </c>
      <c r="M7214" s="179" t="s">
        <v>151</v>
      </c>
    </row>
    <row r="7215" spans="1:13" ht="38.25">
      <c r="A7215" s="313" t="str">
        <f t="shared" si="112"/>
        <v>VesselTypeCode_victoryShip</v>
      </c>
      <c r="B7215" s="330"/>
      <c r="C7215" s="334"/>
      <c r="D7215" s="188" t="s">
        <v>32719</v>
      </c>
      <c r="E7215" s="189" t="s">
        <v>32720</v>
      </c>
      <c r="F7215" s="162" t="s">
        <v>32721</v>
      </c>
      <c r="G7215" s="190"/>
      <c r="H7215" s="219"/>
      <c r="I7215" s="169">
        <v>109557</v>
      </c>
      <c r="J7215" s="304" t="str">
        <f>CONCATENATE([2]Cover!$D$6,"fdd/view?i=",I7215)</f>
        <v>https://www.dgiwg.org/FAD/fdd/view?i=109557</v>
      </c>
      <c r="K7215" s="304" t="s">
        <v>41264</v>
      </c>
      <c r="L7215" s="188">
        <v>119</v>
      </c>
      <c r="M7215" s="179" t="s">
        <v>151</v>
      </c>
    </row>
    <row r="7216" spans="1:13" ht="25.5">
      <c r="A7216" s="313" t="str">
        <f t="shared" si="112"/>
        <v>VesselTypeCode_wreckLikeAnomaly</v>
      </c>
      <c r="B7216" s="330"/>
      <c r="C7216" s="334"/>
      <c r="D7216" s="188" t="s">
        <v>32722</v>
      </c>
      <c r="E7216" s="189" t="s">
        <v>32723</v>
      </c>
      <c r="F7216" s="162" t="s">
        <v>32724</v>
      </c>
      <c r="G7216" s="190"/>
      <c r="H7216" s="219"/>
      <c r="I7216" s="169">
        <v>109443</v>
      </c>
      <c r="J7216" s="304" t="str">
        <f>CONCATENATE([2]Cover!$D$6,"fdd/view?i=",I7216)</f>
        <v>https://www.dgiwg.org/FAD/fdd/view?i=109443</v>
      </c>
      <c r="K7216" s="304" t="s">
        <v>41265</v>
      </c>
      <c r="L7216" s="188">
        <v>1</v>
      </c>
      <c r="M7216" s="179" t="s">
        <v>151</v>
      </c>
    </row>
    <row r="7217" spans="1:13" ht="25.5">
      <c r="A7217" s="313" t="str">
        <f t="shared" si="112"/>
        <v>VesselTypeCode_yacht</v>
      </c>
      <c r="B7217" s="331"/>
      <c r="C7217" s="335"/>
      <c r="D7217" s="181" t="s">
        <v>25487</v>
      </c>
      <c r="E7217" s="192" t="s">
        <v>25488</v>
      </c>
      <c r="F7217" s="193" t="s">
        <v>32725</v>
      </c>
      <c r="G7217" s="194"/>
      <c r="H7217" s="220"/>
      <c r="I7217" s="169">
        <v>109496</v>
      </c>
      <c r="J7217" s="304" t="str">
        <f>CONCATENATE([2]Cover!$D$6,"fdd/view?i=",I7217)</f>
        <v>https://www.dgiwg.org/FAD/fdd/view?i=109496</v>
      </c>
      <c r="K7217" s="304" t="s">
        <v>41266</v>
      </c>
      <c r="L7217" s="181">
        <v>54</v>
      </c>
      <c r="M7217" s="179" t="s">
        <v>151</v>
      </c>
    </row>
    <row r="7218" spans="1:13" ht="38.25">
      <c r="A7218" s="313" t="str">
        <f t="shared" si="112"/>
        <v>VorBeaconTypeCode_conventionalVor</v>
      </c>
      <c r="B7218" s="332" t="str">
        <f>HYPERLINK("[#]Datatypes!A1526:L1526","VorBeaconTypeCode")</f>
        <v>VorBeaconTypeCode</v>
      </c>
      <c r="C7218" s="333" t="s">
        <v>13164</v>
      </c>
      <c r="D7218" s="202" t="s">
        <v>32726</v>
      </c>
      <c r="E7218" s="203" t="s">
        <v>32727</v>
      </c>
      <c r="F7218" s="204" t="s">
        <v>32728</v>
      </c>
      <c r="G7218" s="205"/>
      <c r="H7218" s="218"/>
      <c r="I7218" s="169">
        <v>115374</v>
      </c>
      <c r="J7218" s="304" t="str">
        <f>CONCATENATE([2]Cover!$D$6,"fdd/view?i=",I7218)</f>
        <v>https://www.dgiwg.org/FAD/fdd/view?i=115374</v>
      </c>
      <c r="K7218" s="304" t="s">
        <v>41267</v>
      </c>
      <c r="L7218" s="202">
        <v>1</v>
      </c>
      <c r="M7218" s="179" t="s">
        <v>151</v>
      </c>
    </row>
    <row r="7219" spans="1:13" ht="38.25">
      <c r="A7219" s="313" t="str">
        <f t="shared" si="112"/>
        <v>VorBeaconTypeCode_dopplerVor</v>
      </c>
      <c r="B7219" s="330"/>
      <c r="C7219" s="334"/>
      <c r="D7219" s="188" t="s">
        <v>32729</v>
      </c>
      <c r="E7219" s="189" t="s">
        <v>32730</v>
      </c>
      <c r="F7219" s="162" t="s">
        <v>32731</v>
      </c>
      <c r="G7219" s="190"/>
      <c r="H7219" s="219"/>
      <c r="I7219" s="169">
        <v>115375</v>
      </c>
      <c r="J7219" s="304" t="str">
        <f>CONCATENATE([2]Cover!$D$6,"fdd/view?i=",I7219)</f>
        <v>https://www.dgiwg.org/FAD/fdd/view?i=115375</v>
      </c>
      <c r="K7219" s="304" t="s">
        <v>41268</v>
      </c>
      <c r="L7219" s="188">
        <v>2</v>
      </c>
      <c r="M7219" s="179" t="s">
        <v>151</v>
      </c>
    </row>
    <row r="7220" spans="1:13" ht="51">
      <c r="A7220" s="313" t="str">
        <f t="shared" si="112"/>
        <v>VorBeaconTypeCode_vorTestFacility</v>
      </c>
      <c r="B7220" s="331"/>
      <c r="C7220" s="335"/>
      <c r="D7220" s="181" t="s">
        <v>32732</v>
      </c>
      <c r="E7220" s="192" t="s">
        <v>32733</v>
      </c>
      <c r="F7220" s="193" t="s">
        <v>32734</v>
      </c>
      <c r="G7220" s="194"/>
      <c r="H7220" s="220"/>
      <c r="I7220" s="169">
        <v>119643</v>
      </c>
      <c r="J7220" s="304" t="str">
        <f>CONCATENATE([2]Cover!$D$6,"fdd/view?i=",I7220)</f>
        <v>https://www.dgiwg.org/FAD/fdd/view?i=119643</v>
      </c>
      <c r="K7220" s="304" t="s">
        <v>41269</v>
      </c>
      <c r="L7220" s="181">
        <v>3</v>
      </c>
      <c r="M7220" s="179" t="s">
        <v>151</v>
      </c>
    </row>
    <row r="7221" spans="1:13" ht="38.25">
      <c r="A7221" s="313" t="str">
        <f t="shared" si="112"/>
        <v>VictimVesselOutcomeCode_commEquipmentDestroyed</v>
      </c>
      <c r="B7221" s="332" t="str">
        <f>HYPERLINK("[#]Datatypes!A1528:L1528","VictimVesselOutcomeCode")</f>
        <v>VictimVesselOutcomeCode</v>
      </c>
      <c r="C7221" s="333" t="s">
        <v>13166</v>
      </c>
      <c r="D7221" s="202" t="s">
        <v>32735</v>
      </c>
      <c r="E7221" s="203" t="s">
        <v>32736</v>
      </c>
      <c r="F7221" s="204" t="s">
        <v>32737</v>
      </c>
      <c r="G7221" s="204" t="s">
        <v>32738</v>
      </c>
      <c r="H7221" s="218"/>
      <c r="I7221" s="169">
        <v>112660</v>
      </c>
      <c r="J7221" s="304" t="str">
        <f>CONCATENATE([2]Cover!$D$6,"fdd/view?i=",I7221)</f>
        <v>https://www.dgiwg.org/FAD/fdd/view?i=112660</v>
      </c>
      <c r="K7221" s="304" t="s">
        <v>41270</v>
      </c>
      <c r="L7221" s="202">
        <v>1</v>
      </c>
      <c r="M7221" s="179" t="s">
        <v>151</v>
      </c>
    </row>
    <row r="7222" spans="1:13" ht="25.5">
      <c r="A7222" s="313" t="str">
        <f t="shared" si="112"/>
        <v>VictimVesselOutcomeCode_damaged</v>
      </c>
      <c r="B7222" s="330"/>
      <c r="C7222" s="334"/>
      <c r="D7222" s="188" t="s">
        <v>15036</v>
      </c>
      <c r="E7222" s="189" t="s">
        <v>15037</v>
      </c>
      <c r="F7222" s="162" t="s">
        <v>32739</v>
      </c>
      <c r="G7222" s="190"/>
      <c r="H7222" s="219"/>
      <c r="I7222" s="169">
        <v>112664</v>
      </c>
      <c r="J7222" s="304" t="str">
        <f>CONCATENATE([2]Cover!$D$6,"fdd/view?i=",I7222)</f>
        <v>https://www.dgiwg.org/FAD/fdd/view?i=112664</v>
      </c>
      <c r="K7222" s="304" t="s">
        <v>41271</v>
      </c>
      <c r="L7222" s="188">
        <v>3</v>
      </c>
      <c r="M7222" s="179" t="s">
        <v>151</v>
      </c>
    </row>
    <row r="7223" spans="1:13" ht="25.5">
      <c r="A7223" s="313" t="str">
        <f t="shared" si="112"/>
        <v>VictimVesselOutcomeCode_destroyed</v>
      </c>
      <c r="B7223" s="330"/>
      <c r="C7223" s="334"/>
      <c r="D7223" s="188" t="s">
        <v>15039</v>
      </c>
      <c r="E7223" s="189" t="s">
        <v>15040</v>
      </c>
      <c r="F7223" s="162" t="s">
        <v>32740</v>
      </c>
      <c r="G7223" s="190"/>
      <c r="H7223" s="219"/>
      <c r="I7223" s="169">
        <v>112668</v>
      </c>
      <c r="J7223" s="304" t="str">
        <f>CONCATENATE([2]Cover!$D$6,"fdd/view?i=",I7223)</f>
        <v>https://www.dgiwg.org/FAD/fdd/view?i=112668</v>
      </c>
      <c r="K7223" s="304" t="s">
        <v>41272</v>
      </c>
      <c r="L7223" s="188">
        <v>5</v>
      </c>
      <c r="M7223" s="179" t="s">
        <v>151</v>
      </c>
    </row>
    <row r="7224" spans="1:13" ht="25.5">
      <c r="A7224" s="313" t="str">
        <f t="shared" si="112"/>
        <v>VictimVesselOutcomeCode_disabled</v>
      </c>
      <c r="B7224" s="330"/>
      <c r="C7224" s="334"/>
      <c r="D7224" s="188" t="s">
        <v>32741</v>
      </c>
      <c r="E7224" s="189" t="s">
        <v>32742</v>
      </c>
      <c r="F7224" s="162" t="s">
        <v>32743</v>
      </c>
      <c r="G7224" s="190"/>
      <c r="H7224" s="219"/>
      <c r="I7224" s="169">
        <v>112666</v>
      </c>
      <c r="J7224" s="304" t="str">
        <f>CONCATENATE([2]Cover!$D$6,"fdd/view?i=",I7224)</f>
        <v>https://www.dgiwg.org/FAD/fdd/view?i=112666</v>
      </c>
      <c r="K7224" s="304" t="s">
        <v>41273</v>
      </c>
      <c r="L7224" s="188">
        <v>4</v>
      </c>
      <c r="M7224" s="179" t="s">
        <v>151</v>
      </c>
    </row>
    <row r="7225" spans="1:13">
      <c r="A7225" s="313" t="str">
        <f t="shared" si="112"/>
        <v>VictimVesselOutcomeCode_stolen</v>
      </c>
      <c r="B7225" s="330"/>
      <c r="C7225" s="334"/>
      <c r="D7225" s="188" t="s">
        <v>32744</v>
      </c>
      <c r="E7225" s="189" t="s">
        <v>32745</v>
      </c>
      <c r="F7225" s="162" t="s">
        <v>32746</v>
      </c>
      <c r="G7225" s="190"/>
      <c r="H7225" s="219"/>
      <c r="I7225" s="169">
        <v>112662</v>
      </c>
      <c r="J7225" s="304" t="str">
        <f>CONCATENATE([2]Cover!$D$6,"fdd/view?i=",I7225)</f>
        <v>https://www.dgiwg.org/FAD/fdd/view?i=112662</v>
      </c>
      <c r="K7225" s="304" t="s">
        <v>41274</v>
      </c>
      <c r="L7225" s="188">
        <v>2</v>
      </c>
      <c r="M7225" s="179" t="s">
        <v>151</v>
      </c>
    </row>
    <row r="7226" spans="1:13">
      <c r="A7226" s="313" t="str">
        <f t="shared" si="112"/>
        <v>VictimVesselOutcomeCode_sunk</v>
      </c>
      <c r="B7226" s="330"/>
      <c r="C7226" s="334"/>
      <c r="D7226" s="188" t="s">
        <v>31024</v>
      </c>
      <c r="E7226" s="189" t="s">
        <v>31025</v>
      </c>
      <c r="F7226" s="162" t="s">
        <v>32747</v>
      </c>
      <c r="G7226" s="190"/>
      <c r="H7226" s="219"/>
      <c r="I7226" s="169">
        <v>112670</v>
      </c>
      <c r="J7226" s="304" t="str">
        <f>CONCATENATE([2]Cover!$D$6,"fdd/view?i=",I7226)</f>
        <v>https://www.dgiwg.org/FAD/fdd/view?i=112670</v>
      </c>
      <c r="K7226" s="304" t="s">
        <v>41275</v>
      </c>
      <c r="L7226" s="188">
        <v>6</v>
      </c>
      <c r="M7226" s="179" t="s">
        <v>151</v>
      </c>
    </row>
    <row r="7227" spans="1:13" ht="25.5">
      <c r="A7227" s="313" t="str">
        <f t="shared" si="112"/>
        <v>VictimVesselOutcomeCode_unharmed</v>
      </c>
      <c r="B7227" s="331"/>
      <c r="C7227" s="335"/>
      <c r="D7227" s="181" t="s">
        <v>19429</v>
      </c>
      <c r="E7227" s="192" t="s">
        <v>19430</v>
      </c>
      <c r="F7227" s="193" t="s">
        <v>32748</v>
      </c>
      <c r="G7227" s="194"/>
      <c r="H7227" s="220"/>
      <c r="I7227" s="169">
        <v>112672</v>
      </c>
      <c r="J7227" s="304" t="str">
        <f>CONCATENATE([2]Cover!$D$6,"fdd/view?i=",I7227)</f>
        <v>https://www.dgiwg.org/FAD/fdd/view?i=112672</v>
      </c>
      <c r="K7227" s="304" t="s">
        <v>41276</v>
      </c>
      <c r="L7227" s="181">
        <v>7</v>
      </c>
      <c r="M7227" s="179" t="s">
        <v>151</v>
      </c>
    </row>
    <row r="7228" spans="1:13">
      <c r="A7228" s="313" t="str">
        <f t="shared" si="112"/>
        <v>VictimVesselStatusCode_anchored</v>
      </c>
      <c r="B7228" s="332" t="str">
        <f>HYPERLINK("[#]Datatypes!A1530:L1530","VictimVesselStatusCode")</f>
        <v>VictimVesselStatusCode</v>
      </c>
      <c r="C7228" s="333" t="s">
        <v>13168</v>
      </c>
      <c r="D7228" s="202" t="s">
        <v>32749</v>
      </c>
      <c r="E7228" s="203" t="s">
        <v>32750</v>
      </c>
      <c r="F7228" s="204" t="s">
        <v>32751</v>
      </c>
      <c r="G7228" s="205"/>
      <c r="H7228" s="218"/>
      <c r="I7228" s="169">
        <v>112674</v>
      </c>
      <c r="J7228" s="304" t="str">
        <f>CONCATENATE([2]Cover!$D$6,"fdd/view?i=",I7228)</f>
        <v>https://www.dgiwg.org/FAD/fdd/view?i=112674</v>
      </c>
      <c r="K7228" s="304" t="s">
        <v>41277</v>
      </c>
      <c r="L7228" s="202">
        <v>1</v>
      </c>
      <c r="M7228" s="179" t="s">
        <v>151</v>
      </c>
    </row>
    <row r="7229" spans="1:13">
      <c r="A7229" s="313" t="str">
        <f t="shared" si="112"/>
        <v>VictimVesselStatusCode_docked</v>
      </c>
      <c r="B7229" s="330"/>
      <c r="C7229" s="334"/>
      <c r="D7229" s="188" t="s">
        <v>32752</v>
      </c>
      <c r="E7229" s="189" t="s">
        <v>32753</v>
      </c>
      <c r="F7229" s="162" t="s">
        <v>32754</v>
      </c>
      <c r="G7229" s="190"/>
      <c r="H7229" s="219"/>
      <c r="I7229" s="169">
        <v>112676</v>
      </c>
      <c r="J7229" s="304" t="str">
        <f>CONCATENATE([2]Cover!$D$6,"fdd/view?i=",I7229)</f>
        <v>https://www.dgiwg.org/FAD/fdd/view?i=112676</v>
      </c>
      <c r="K7229" s="304" t="s">
        <v>41278</v>
      </c>
      <c r="L7229" s="188">
        <v>2</v>
      </c>
      <c r="M7229" s="179" t="s">
        <v>151</v>
      </c>
    </row>
    <row r="7230" spans="1:13" ht="25.5">
      <c r="A7230" s="313" t="str">
        <f t="shared" si="112"/>
        <v>VictimVesselStatusCode_underway</v>
      </c>
      <c r="B7230" s="331"/>
      <c r="C7230" s="335"/>
      <c r="D7230" s="181" t="s">
        <v>32755</v>
      </c>
      <c r="E7230" s="192" t="s">
        <v>32756</v>
      </c>
      <c r="F7230" s="193" t="s">
        <v>32757</v>
      </c>
      <c r="G7230" s="194"/>
      <c r="H7230" s="220"/>
      <c r="I7230" s="169">
        <v>112678</v>
      </c>
      <c r="J7230" s="304" t="str">
        <f>CONCATENATE([2]Cover!$D$6,"fdd/view?i=",I7230)</f>
        <v>https://www.dgiwg.org/FAD/fdd/view?i=112678</v>
      </c>
      <c r="K7230" s="304" t="s">
        <v>41279</v>
      </c>
      <c r="L7230" s="181">
        <v>3</v>
      </c>
      <c r="M7230" s="179" t="s">
        <v>151</v>
      </c>
    </row>
    <row r="7231" spans="1:13" ht="38.25">
      <c r="A7231" s="313" t="str">
        <f t="shared" si="112"/>
        <v>VictimVesselTypeCode_barge</v>
      </c>
      <c r="B7231" s="332" t="str">
        <f>HYPERLINK("[#]Datatypes!A1532:L1532","VictimVesselTypeCode")</f>
        <v>VictimVesselTypeCode</v>
      </c>
      <c r="C7231" s="333" t="s">
        <v>13170</v>
      </c>
      <c r="D7231" s="202" t="s">
        <v>18559</v>
      </c>
      <c r="E7231" s="203" t="s">
        <v>18560</v>
      </c>
      <c r="F7231" s="204" t="s">
        <v>32386</v>
      </c>
      <c r="G7231" s="205"/>
      <c r="H7231" s="218"/>
      <c r="I7231" s="169">
        <v>119249</v>
      </c>
      <c r="J7231" s="304" t="str">
        <f>CONCATENATE([2]Cover!$D$6,"fdd/view?i=",I7231)</f>
        <v>https://www.dgiwg.org/FAD/fdd/view?i=119249</v>
      </c>
      <c r="K7231" s="304" t="s">
        <v>41280</v>
      </c>
      <c r="L7231" s="202">
        <v>1</v>
      </c>
      <c r="M7231" s="179" t="s">
        <v>151</v>
      </c>
    </row>
    <row r="7232" spans="1:13" ht="25.5">
      <c r="A7232" s="313" t="str">
        <f t="shared" si="112"/>
        <v>VictimVesselTypeCode_bulkCarrier</v>
      </c>
      <c r="B7232" s="330"/>
      <c r="C7232" s="334"/>
      <c r="D7232" s="188" t="s">
        <v>32414</v>
      </c>
      <c r="E7232" s="189" t="s">
        <v>32415</v>
      </c>
      <c r="F7232" s="162" t="s">
        <v>32416</v>
      </c>
      <c r="G7232" s="190"/>
      <c r="H7232" s="219"/>
      <c r="I7232" s="169">
        <v>119250</v>
      </c>
      <c r="J7232" s="304" t="str">
        <f>CONCATENATE([2]Cover!$D$6,"fdd/view?i=",I7232)</f>
        <v>https://www.dgiwg.org/FAD/fdd/view?i=119250</v>
      </c>
      <c r="K7232" s="304" t="s">
        <v>41281</v>
      </c>
      <c r="L7232" s="188">
        <v>2</v>
      </c>
      <c r="M7232" s="179" t="s">
        <v>151</v>
      </c>
    </row>
    <row r="7233" spans="1:13" ht="51">
      <c r="A7233" s="313" t="str">
        <f t="shared" si="112"/>
        <v>VictimVesselTypeCode_containerShip</v>
      </c>
      <c r="B7233" s="330"/>
      <c r="C7233" s="334"/>
      <c r="D7233" s="188" t="s">
        <v>32439</v>
      </c>
      <c r="E7233" s="189" t="s">
        <v>32758</v>
      </c>
      <c r="F7233" s="162" t="s">
        <v>32759</v>
      </c>
      <c r="G7233" s="162" t="s">
        <v>32760</v>
      </c>
      <c r="H7233" s="219"/>
      <c r="I7233" s="169">
        <v>119251</v>
      </c>
      <c r="J7233" s="304" t="str">
        <f>CONCATENATE([2]Cover!$D$6,"fdd/view?i=",I7233)</f>
        <v>https://www.dgiwg.org/FAD/fdd/view?i=119251</v>
      </c>
      <c r="K7233" s="304" t="s">
        <v>41282</v>
      </c>
      <c r="L7233" s="188">
        <v>3</v>
      </c>
      <c r="M7233" s="179" t="s">
        <v>151</v>
      </c>
    </row>
    <row r="7234" spans="1:13" ht="25.5">
      <c r="A7234" s="313" t="str">
        <f t="shared" si="112"/>
        <v>VictimVesselTypeCode_fishingBoat</v>
      </c>
      <c r="B7234" s="330"/>
      <c r="C7234" s="334"/>
      <c r="D7234" s="188" t="s">
        <v>25471</v>
      </c>
      <c r="E7234" s="189" t="s">
        <v>25472</v>
      </c>
      <c r="F7234" s="162" t="s">
        <v>32761</v>
      </c>
      <c r="G7234" s="190"/>
      <c r="H7234" s="219"/>
      <c r="I7234" s="169">
        <v>119252</v>
      </c>
      <c r="J7234" s="304" t="str">
        <f>CONCATENATE([2]Cover!$D$6,"fdd/view?i=",I7234)</f>
        <v>https://www.dgiwg.org/FAD/fdd/view?i=119252</v>
      </c>
      <c r="K7234" s="304" t="s">
        <v>41283</v>
      </c>
      <c r="L7234" s="188">
        <v>4</v>
      </c>
      <c r="M7234" s="179" t="s">
        <v>151</v>
      </c>
    </row>
    <row r="7235" spans="1:13" ht="25.5">
      <c r="A7235" s="313" t="str">
        <f t="shared" ref="A7235:A7298" si="113">HYPERLINK(J7235,K7235)</f>
        <v>VictimVesselTypeCode_generalCargo</v>
      </c>
      <c r="B7235" s="330"/>
      <c r="C7235" s="334"/>
      <c r="D7235" s="188" t="s">
        <v>30678</v>
      </c>
      <c r="E7235" s="189" t="s">
        <v>30679</v>
      </c>
      <c r="F7235" s="162" t="s">
        <v>32762</v>
      </c>
      <c r="G7235" s="190"/>
      <c r="H7235" s="219"/>
      <c r="I7235" s="169">
        <v>119253</v>
      </c>
      <c r="J7235" s="304" t="str">
        <f>CONCATENATE([2]Cover!$D$6,"fdd/view?i=",I7235)</f>
        <v>https://www.dgiwg.org/FAD/fdd/view?i=119253</v>
      </c>
      <c r="K7235" s="304" t="s">
        <v>41284</v>
      </c>
      <c r="L7235" s="188">
        <v>5</v>
      </c>
      <c r="M7235" s="179" t="s">
        <v>151</v>
      </c>
    </row>
    <row r="7236" spans="1:13" ht="25.5">
      <c r="A7236" s="313" t="str">
        <f t="shared" si="113"/>
        <v>VictimVesselTypeCode_merchantShip</v>
      </c>
      <c r="B7236" s="330"/>
      <c r="C7236" s="334"/>
      <c r="D7236" s="188" t="s">
        <v>32583</v>
      </c>
      <c r="E7236" s="189" t="s">
        <v>32584</v>
      </c>
      <c r="F7236" s="162" t="s">
        <v>32585</v>
      </c>
      <c r="G7236" s="190"/>
      <c r="H7236" s="219"/>
      <c r="I7236" s="169">
        <v>119254</v>
      </c>
      <c r="J7236" s="304" t="str">
        <f>CONCATENATE([2]Cover!$D$6,"fdd/view?i=",I7236)</f>
        <v>https://www.dgiwg.org/FAD/fdd/view?i=119254</v>
      </c>
      <c r="K7236" s="304" t="s">
        <v>41285</v>
      </c>
      <c r="L7236" s="188">
        <v>6</v>
      </c>
      <c r="M7236" s="179" t="s">
        <v>151</v>
      </c>
    </row>
    <row r="7237" spans="1:13" ht="25.5">
      <c r="A7237" s="313" t="str">
        <f t="shared" si="113"/>
        <v>VictimVesselTypeCode_rollOnRollOff</v>
      </c>
      <c r="B7237" s="330"/>
      <c r="C7237" s="334"/>
      <c r="D7237" s="188" t="s">
        <v>32640</v>
      </c>
      <c r="E7237" s="189" t="s">
        <v>32641</v>
      </c>
      <c r="F7237" s="162" t="s">
        <v>32642</v>
      </c>
      <c r="G7237" s="190"/>
      <c r="H7237" s="219"/>
      <c r="I7237" s="169">
        <v>119255</v>
      </c>
      <c r="J7237" s="304" t="str">
        <f>CONCATENATE([2]Cover!$D$6,"fdd/view?i=",I7237)</f>
        <v>https://www.dgiwg.org/FAD/fdd/view?i=119255</v>
      </c>
      <c r="K7237" s="304" t="s">
        <v>41286</v>
      </c>
      <c r="L7237" s="188">
        <v>7</v>
      </c>
      <c r="M7237" s="179" t="s">
        <v>151</v>
      </c>
    </row>
    <row r="7238" spans="1:13" ht="25.5">
      <c r="A7238" s="313" t="str">
        <f t="shared" si="113"/>
        <v>VictimVesselTypeCode_supplyVessel</v>
      </c>
      <c r="B7238" s="330"/>
      <c r="C7238" s="334"/>
      <c r="D7238" s="188" t="s">
        <v>32678</v>
      </c>
      <c r="E7238" s="189" t="s">
        <v>32679</v>
      </c>
      <c r="F7238" s="162" t="s">
        <v>32680</v>
      </c>
      <c r="G7238" s="190"/>
      <c r="H7238" s="219"/>
      <c r="I7238" s="169">
        <v>119256</v>
      </c>
      <c r="J7238" s="304" t="str">
        <f>CONCATENATE([2]Cover!$D$6,"fdd/view?i=",I7238)</f>
        <v>https://www.dgiwg.org/FAD/fdd/view?i=119256</v>
      </c>
      <c r="K7238" s="304" t="s">
        <v>41287</v>
      </c>
      <c r="L7238" s="188">
        <v>8</v>
      </c>
      <c r="M7238" s="179" t="s">
        <v>151</v>
      </c>
    </row>
    <row r="7239" spans="1:13">
      <c r="A7239" s="313" t="str">
        <f t="shared" si="113"/>
        <v>VictimVesselTypeCode_tanker</v>
      </c>
      <c r="B7239" s="330"/>
      <c r="C7239" s="334"/>
      <c r="D7239" s="188" t="s">
        <v>32688</v>
      </c>
      <c r="E7239" s="189" t="s">
        <v>32689</v>
      </c>
      <c r="F7239" s="162" t="s">
        <v>32690</v>
      </c>
      <c r="G7239" s="190"/>
      <c r="H7239" s="219"/>
      <c r="I7239" s="169">
        <v>119257</v>
      </c>
      <c r="J7239" s="304" t="str">
        <f>CONCATENATE([2]Cover!$D$6,"fdd/view?i=",I7239)</f>
        <v>https://www.dgiwg.org/FAD/fdd/view?i=119257</v>
      </c>
      <c r="K7239" s="304" t="s">
        <v>41288</v>
      </c>
      <c r="L7239" s="188">
        <v>9</v>
      </c>
      <c r="M7239" s="179" t="s">
        <v>151</v>
      </c>
    </row>
    <row r="7240" spans="1:13">
      <c r="A7240" s="313" t="str">
        <f t="shared" si="113"/>
        <v>VictimVesselTypeCode_tug</v>
      </c>
      <c r="B7240" s="330"/>
      <c r="C7240" s="334"/>
      <c r="D7240" s="188" t="s">
        <v>32709</v>
      </c>
      <c r="E7240" s="189" t="s">
        <v>32710</v>
      </c>
      <c r="F7240" s="162" t="s">
        <v>32711</v>
      </c>
      <c r="G7240" s="190"/>
      <c r="H7240" s="221" t="s">
        <v>32712</v>
      </c>
      <c r="I7240" s="169">
        <v>119258</v>
      </c>
      <c r="J7240" s="304" t="str">
        <f>CONCATENATE([2]Cover!$D$6,"fdd/view?i=",I7240)</f>
        <v>https://www.dgiwg.org/FAD/fdd/view?i=119258</v>
      </c>
      <c r="K7240" s="304" t="s">
        <v>41289</v>
      </c>
      <c r="L7240" s="188">
        <v>10</v>
      </c>
      <c r="M7240" s="179" t="s">
        <v>151</v>
      </c>
    </row>
    <row r="7241" spans="1:13" ht="25.5">
      <c r="A7241" s="313" t="str">
        <f t="shared" si="113"/>
        <v>VictimVesselTypeCode_yacht</v>
      </c>
      <c r="B7241" s="331"/>
      <c r="C7241" s="335"/>
      <c r="D7241" s="181" t="s">
        <v>25487</v>
      </c>
      <c r="E7241" s="192" t="s">
        <v>25488</v>
      </c>
      <c r="F7241" s="193" t="s">
        <v>32725</v>
      </c>
      <c r="G7241" s="194"/>
      <c r="H7241" s="220"/>
      <c r="I7241" s="169">
        <v>119259</v>
      </c>
      <c r="J7241" s="304" t="str">
        <f>CONCATENATE([2]Cover!$D$6,"fdd/view?i=",I7241)</f>
        <v>https://www.dgiwg.org/FAD/fdd/view?i=119259</v>
      </c>
      <c r="K7241" s="304" t="s">
        <v>41290</v>
      </c>
      <c r="L7241" s="181">
        <v>11</v>
      </c>
      <c r="M7241" s="179" t="s">
        <v>151</v>
      </c>
    </row>
    <row r="7242" spans="1:13" ht="38.25">
      <c r="A7242" s="313" t="str">
        <f t="shared" si="113"/>
        <v>VasisTypeCode_abbreviatedPapi</v>
      </c>
      <c r="B7242" s="332" t="str">
        <f>HYPERLINK("[#]Datatypes!A1534:L1534","VasisTypeCode")</f>
        <v>VasisTypeCode</v>
      </c>
      <c r="C7242" s="333" t="s">
        <v>13172</v>
      </c>
      <c r="D7242" s="202" t="s">
        <v>32777</v>
      </c>
      <c r="E7242" s="203" t="s">
        <v>32778</v>
      </c>
      <c r="F7242" s="204" t="s">
        <v>32779</v>
      </c>
      <c r="G7242" s="204" t="s">
        <v>32780</v>
      </c>
      <c r="H7242" s="222" t="s">
        <v>32781</v>
      </c>
      <c r="I7242" s="169">
        <v>115625</v>
      </c>
      <c r="J7242" s="304" t="str">
        <f>CONCATENATE([2]Cover!$D$6,"fdd/view?i=",I7242)</f>
        <v>https://www.dgiwg.org/FAD/fdd/view?i=115625</v>
      </c>
      <c r="K7242" s="304" t="s">
        <v>41291</v>
      </c>
      <c r="L7242" s="202">
        <v>5</v>
      </c>
      <c r="M7242" s="179" t="s">
        <v>151</v>
      </c>
    </row>
    <row r="7243" spans="1:13" ht="38.25">
      <c r="A7243" s="313" t="str">
        <f t="shared" si="113"/>
        <v>VasisTypeCode_abbreviatedTeeVasis</v>
      </c>
      <c r="B7243" s="330"/>
      <c r="C7243" s="334"/>
      <c r="D7243" s="188" t="s">
        <v>32782</v>
      </c>
      <c r="E7243" s="189" t="s">
        <v>32783</v>
      </c>
      <c r="F7243" s="162" t="s">
        <v>32784</v>
      </c>
      <c r="G7243" s="162" t="s">
        <v>32770</v>
      </c>
      <c r="H7243" s="221" t="s">
        <v>32785</v>
      </c>
      <c r="I7243" s="169">
        <v>115626</v>
      </c>
      <c r="J7243" s="304" t="str">
        <f>CONCATENATE([2]Cover!$D$6,"fdd/view?i=",I7243)</f>
        <v>https://www.dgiwg.org/FAD/fdd/view?i=115626</v>
      </c>
      <c r="K7243" s="304" t="s">
        <v>41292</v>
      </c>
      <c r="L7243" s="188">
        <v>6</v>
      </c>
      <c r="M7243" s="179" t="s">
        <v>151</v>
      </c>
    </row>
    <row r="7244" spans="1:13" ht="38.25">
      <c r="A7244" s="313" t="str">
        <f t="shared" si="113"/>
        <v>VasisTypeCode_abbreviatedTeeVasis3Bar</v>
      </c>
      <c r="B7244" s="330"/>
      <c r="C7244" s="334"/>
      <c r="D7244" s="188" t="s">
        <v>32767</v>
      </c>
      <c r="E7244" s="189" t="s">
        <v>32768</v>
      </c>
      <c r="F7244" s="162" t="s">
        <v>32769</v>
      </c>
      <c r="G7244" s="162" t="s">
        <v>32770</v>
      </c>
      <c r="H7244" s="219"/>
      <c r="I7244" s="169">
        <v>115621</v>
      </c>
      <c r="J7244" s="304" t="str">
        <f>CONCATENATE([2]Cover!$D$6,"fdd/view?i=",I7244)</f>
        <v>https://www.dgiwg.org/FAD/fdd/view?i=115621</v>
      </c>
      <c r="K7244" s="304" t="s">
        <v>41293</v>
      </c>
      <c r="L7244" s="188">
        <v>1</v>
      </c>
      <c r="M7244" s="179" t="s">
        <v>151</v>
      </c>
    </row>
    <row r="7245" spans="1:13" ht="25.5">
      <c r="A7245" s="313" t="str">
        <f t="shared" si="113"/>
        <v>VasisTypeCode_abbreviatedVasis</v>
      </c>
      <c r="B7245" s="330"/>
      <c r="C7245" s="334"/>
      <c r="D7245" s="188" t="s">
        <v>32786</v>
      </c>
      <c r="E7245" s="189" t="s">
        <v>32787</v>
      </c>
      <c r="F7245" s="162" t="s">
        <v>32788</v>
      </c>
      <c r="G7245" s="162" t="s">
        <v>32770</v>
      </c>
      <c r="H7245" s="221" t="s">
        <v>32789</v>
      </c>
      <c r="I7245" s="169">
        <v>115627</v>
      </c>
      <c r="J7245" s="304" t="str">
        <f>CONCATENATE([2]Cover!$D$6,"fdd/view?i=",I7245)</f>
        <v>https://www.dgiwg.org/FAD/fdd/view?i=115627</v>
      </c>
      <c r="K7245" s="304" t="s">
        <v>41294</v>
      </c>
      <c r="L7245" s="188">
        <v>7</v>
      </c>
      <c r="M7245" s="179" t="s">
        <v>151</v>
      </c>
    </row>
    <row r="7246" spans="1:13" ht="25.5">
      <c r="A7246" s="313" t="str">
        <f t="shared" si="113"/>
        <v>VasisTypeCode_abbreviatedVasis3Bar</v>
      </c>
      <c r="B7246" s="330"/>
      <c r="C7246" s="334"/>
      <c r="D7246" s="188" t="s">
        <v>32771</v>
      </c>
      <c r="E7246" s="189" t="s">
        <v>32772</v>
      </c>
      <c r="F7246" s="162" t="s">
        <v>32773</v>
      </c>
      <c r="G7246" s="162" t="s">
        <v>32770</v>
      </c>
      <c r="H7246" s="219"/>
      <c r="I7246" s="169">
        <v>115622</v>
      </c>
      <c r="J7246" s="304" t="str">
        <f>CONCATENATE([2]Cover!$D$6,"fdd/view?i=",I7246)</f>
        <v>https://www.dgiwg.org/FAD/fdd/view?i=115622</v>
      </c>
      <c r="K7246" s="304" t="s">
        <v>41295</v>
      </c>
      <c r="L7246" s="188">
        <v>2</v>
      </c>
      <c r="M7246" s="179" t="s">
        <v>151</v>
      </c>
    </row>
    <row r="7247" spans="1:13" ht="38.25">
      <c r="A7247" s="313" t="str">
        <f t="shared" si="113"/>
        <v>VasisTypeCode_heliApproachPathIndicator</v>
      </c>
      <c r="B7247" s="330"/>
      <c r="C7247" s="334"/>
      <c r="D7247" s="188" t="s">
        <v>32790</v>
      </c>
      <c r="E7247" s="189" t="s">
        <v>32791</v>
      </c>
      <c r="F7247" s="162" t="s">
        <v>32792</v>
      </c>
      <c r="G7247" s="162" t="s">
        <v>32793</v>
      </c>
      <c r="H7247" s="221" t="s">
        <v>32794</v>
      </c>
      <c r="I7247" s="169">
        <v>115628</v>
      </c>
      <c r="J7247" s="304" t="str">
        <f>CONCATENATE([2]Cover!$D$6,"fdd/view?i=",I7247)</f>
        <v>https://www.dgiwg.org/FAD/fdd/view?i=115628</v>
      </c>
      <c r="K7247" s="304" t="s">
        <v>41296</v>
      </c>
      <c r="L7247" s="188">
        <v>8</v>
      </c>
      <c r="M7247" s="179" t="s">
        <v>151</v>
      </c>
    </row>
    <row r="7248" spans="1:13" ht="38.25">
      <c r="A7248" s="313" t="str">
        <f t="shared" si="113"/>
        <v>VasisTypeCode_lowCostVasi</v>
      </c>
      <c r="B7248" s="330"/>
      <c r="C7248" s="334"/>
      <c r="D7248" s="188" t="s">
        <v>32795</v>
      </c>
      <c r="E7248" s="189" t="s">
        <v>32796</v>
      </c>
      <c r="F7248" s="162" t="s">
        <v>32797</v>
      </c>
      <c r="G7248" s="162" t="s">
        <v>32770</v>
      </c>
      <c r="H7248" s="221" t="s">
        <v>32798</v>
      </c>
      <c r="I7248" s="169">
        <v>115629</v>
      </c>
      <c r="J7248" s="304" t="str">
        <f>CONCATENATE([2]Cover!$D$6,"fdd/view?i=",I7248)</f>
        <v>https://www.dgiwg.org/FAD/fdd/view?i=115629</v>
      </c>
      <c r="K7248" s="304" t="s">
        <v>41297</v>
      </c>
      <c r="L7248" s="188">
        <v>9</v>
      </c>
      <c r="M7248" s="179" t="s">
        <v>151</v>
      </c>
    </row>
    <row r="7249" spans="1:13" ht="25.5">
      <c r="A7249" s="313" t="str">
        <f t="shared" si="113"/>
        <v>VasisTypeCode_multipleIdenticalLightUnits</v>
      </c>
      <c r="B7249" s="330"/>
      <c r="C7249" s="334"/>
      <c r="D7249" s="188" t="s">
        <v>32799</v>
      </c>
      <c r="E7249" s="189" t="s">
        <v>32800</v>
      </c>
      <c r="F7249" s="162" t="s">
        <v>32801</v>
      </c>
      <c r="G7249" s="190"/>
      <c r="H7249" s="219"/>
      <c r="I7249" s="169">
        <v>115630</v>
      </c>
      <c r="J7249" s="304" t="str">
        <f>CONCATENATE([2]Cover!$D$6,"fdd/view?i=",I7249)</f>
        <v>https://www.dgiwg.org/FAD/fdd/view?i=115630</v>
      </c>
      <c r="K7249" s="304" t="s">
        <v>41298</v>
      </c>
      <c r="L7249" s="188">
        <v>10</v>
      </c>
      <c r="M7249" s="179" t="s">
        <v>151</v>
      </c>
    </row>
    <row r="7250" spans="1:13" ht="25.5">
      <c r="A7250" s="313" t="str">
        <f t="shared" si="113"/>
        <v>VasisTypeCode_opticalLandingSystem</v>
      </c>
      <c r="B7250" s="330"/>
      <c r="C7250" s="334"/>
      <c r="D7250" s="188" t="s">
        <v>32802</v>
      </c>
      <c r="E7250" s="189" t="s">
        <v>32803</v>
      </c>
      <c r="F7250" s="162" t="s">
        <v>32804</v>
      </c>
      <c r="G7250" s="190"/>
      <c r="H7250" s="219"/>
      <c r="I7250" s="169">
        <v>115631</v>
      </c>
      <c r="J7250" s="304" t="str">
        <f>CONCATENATE([2]Cover!$D$6,"fdd/view?i=",I7250)</f>
        <v>https://www.dgiwg.org/FAD/fdd/view?i=115631</v>
      </c>
      <c r="K7250" s="304" t="s">
        <v>41299</v>
      </c>
      <c r="L7250" s="188">
        <v>11</v>
      </c>
      <c r="M7250" s="179" t="s">
        <v>151</v>
      </c>
    </row>
    <row r="7251" spans="1:13" ht="89.25">
      <c r="A7251" s="313" t="str">
        <f t="shared" si="113"/>
        <v>VasisTypeCode_precApproachPathIndicator</v>
      </c>
      <c r="B7251" s="330"/>
      <c r="C7251" s="334"/>
      <c r="D7251" s="188" t="s">
        <v>32805</v>
      </c>
      <c r="E7251" s="189" t="s">
        <v>32806</v>
      </c>
      <c r="F7251" s="162" t="s">
        <v>32807</v>
      </c>
      <c r="G7251" s="162" t="s">
        <v>32808</v>
      </c>
      <c r="H7251" s="219"/>
      <c r="I7251" s="169">
        <v>115632</v>
      </c>
      <c r="J7251" s="304" t="str">
        <f>CONCATENATE([2]Cover!$D$6,"fdd/view?i=",I7251)</f>
        <v>https://www.dgiwg.org/FAD/fdd/view?i=115632</v>
      </c>
      <c r="K7251" s="304" t="s">
        <v>41300</v>
      </c>
      <c r="L7251" s="188">
        <v>12</v>
      </c>
      <c r="M7251" s="179" t="s">
        <v>151</v>
      </c>
    </row>
    <row r="7252" spans="1:13" ht="25.5">
      <c r="A7252" s="313" t="str">
        <f t="shared" si="113"/>
        <v>VasisTypeCode_pulsatingVasi</v>
      </c>
      <c r="B7252" s="330"/>
      <c r="C7252" s="334"/>
      <c r="D7252" s="188" t="s">
        <v>32809</v>
      </c>
      <c r="E7252" s="189" t="s">
        <v>32810</v>
      </c>
      <c r="F7252" s="162" t="s">
        <v>32811</v>
      </c>
      <c r="G7252" s="162" t="s">
        <v>32812</v>
      </c>
      <c r="H7252" s="219"/>
      <c r="I7252" s="169">
        <v>115633</v>
      </c>
      <c r="J7252" s="304" t="str">
        <f>CONCATENATE([2]Cover!$D$6,"fdd/view?i=",I7252)</f>
        <v>https://www.dgiwg.org/FAD/fdd/view?i=115633</v>
      </c>
      <c r="K7252" s="304" t="s">
        <v>41301</v>
      </c>
      <c r="L7252" s="188">
        <v>13</v>
      </c>
      <c r="M7252" s="179" t="s">
        <v>151</v>
      </c>
    </row>
    <row r="7253" spans="1:13" ht="51">
      <c r="A7253" s="313" t="str">
        <f t="shared" si="113"/>
        <v>VasisTypeCode_teeVasis</v>
      </c>
      <c r="B7253" s="330"/>
      <c r="C7253" s="334"/>
      <c r="D7253" s="188" t="s">
        <v>32817</v>
      </c>
      <c r="E7253" s="226" t="s">
        <v>32818</v>
      </c>
      <c r="F7253" s="162" t="s">
        <v>32819</v>
      </c>
      <c r="G7253" s="162" t="s">
        <v>32770</v>
      </c>
      <c r="H7253" s="221" t="s">
        <v>32820</v>
      </c>
      <c r="I7253" s="169">
        <v>115634</v>
      </c>
      <c r="J7253" s="304" t="str">
        <f>CONCATENATE([2]Cover!$D$6,"fdd/view?i=",I7253)</f>
        <v>https://www.dgiwg.org/FAD/fdd/view?i=115634</v>
      </c>
      <c r="K7253" s="304" t="s">
        <v>41302</v>
      </c>
      <c r="L7253" s="188">
        <v>14</v>
      </c>
      <c r="M7253" s="179" t="s">
        <v>151</v>
      </c>
    </row>
    <row r="7254" spans="1:13" ht="25.5">
      <c r="A7254" s="313" t="str">
        <f t="shared" si="113"/>
        <v>VasisTypeCode_triColourVasi</v>
      </c>
      <c r="B7254" s="330"/>
      <c r="C7254" s="334"/>
      <c r="D7254" s="188" t="s">
        <v>32813</v>
      </c>
      <c r="E7254" s="189" t="s">
        <v>32814</v>
      </c>
      <c r="F7254" s="162" t="s">
        <v>32815</v>
      </c>
      <c r="G7254" s="162" t="s">
        <v>32816</v>
      </c>
      <c r="H7254" s="219"/>
      <c r="I7254" s="169">
        <v>115635</v>
      </c>
      <c r="J7254" s="304" t="str">
        <f>CONCATENATE([2]Cover!$D$6,"fdd/view?i=",I7254)</f>
        <v>https://www.dgiwg.org/FAD/fdd/view?i=115635</v>
      </c>
      <c r="K7254" s="304" t="s">
        <v>41303</v>
      </c>
      <c r="L7254" s="188">
        <v>15</v>
      </c>
      <c r="M7254" s="179" t="s">
        <v>151</v>
      </c>
    </row>
    <row r="7255" spans="1:13" ht="51">
      <c r="A7255" s="313" t="str">
        <f t="shared" si="113"/>
        <v>VasisTypeCode_vasis2Bar</v>
      </c>
      <c r="B7255" s="330"/>
      <c r="C7255" s="334"/>
      <c r="D7255" s="188" t="s">
        <v>32763</v>
      </c>
      <c r="E7255" s="189" t="s">
        <v>32764</v>
      </c>
      <c r="F7255" s="162" t="s">
        <v>32765</v>
      </c>
      <c r="G7255" s="162" t="s">
        <v>32766</v>
      </c>
      <c r="H7255" s="219"/>
      <c r="I7255" s="169">
        <v>115624</v>
      </c>
      <c r="J7255" s="304" t="str">
        <f>CONCATENATE([2]Cover!$D$6,"fdd/view?i=",I7255)</f>
        <v>https://www.dgiwg.org/FAD/fdd/view?i=115624</v>
      </c>
      <c r="K7255" s="304" t="s">
        <v>41304</v>
      </c>
      <c r="L7255" s="188">
        <v>4</v>
      </c>
      <c r="M7255" s="179" t="s">
        <v>151</v>
      </c>
    </row>
    <row r="7256" spans="1:13" ht="25.5">
      <c r="A7256" s="313" t="str">
        <f t="shared" si="113"/>
        <v>VasisTypeCode_vasis3Bar</v>
      </c>
      <c r="B7256" s="331"/>
      <c r="C7256" s="335"/>
      <c r="D7256" s="181" t="s">
        <v>32774</v>
      </c>
      <c r="E7256" s="192" t="s">
        <v>32775</v>
      </c>
      <c r="F7256" s="193" t="s">
        <v>32776</v>
      </c>
      <c r="G7256" s="193" t="s">
        <v>32770</v>
      </c>
      <c r="H7256" s="220"/>
      <c r="I7256" s="169">
        <v>115623</v>
      </c>
      <c r="J7256" s="304" t="str">
        <f>CONCATENATE([2]Cover!$D$6,"fdd/view?i=",I7256)</f>
        <v>https://www.dgiwg.org/FAD/fdd/view?i=115623</v>
      </c>
      <c r="K7256" s="304" t="s">
        <v>41305</v>
      </c>
      <c r="L7256" s="181">
        <v>3</v>
      </c>
      <c r="M7256" s="179" t="s">
        <v>151</v>
      </c>
    </row>
    <row r="7257" spans="1:13" ht="25.5">
      <c r="A7257" s="313" t="str">
        <f t="shared" si="113"/>
        <v>VoidCollectionReasonCode_cloudCover</v>
      </c>
      <c r="B7257" s="332" t="str">
        <f>HYPERLINK("[#]Datatypes!A1536:L1536","VoidCollectionReasonCode")</f>
        <v>VoidCollectionReasonCode</v>
      </c>
      <c r="C7257" s="333" t="s">
        <v>13174</v>
      </c>
      <c r="D7257" s="202" t="s">
        <v>32821</v>
      </c>
      <c r="E7257" s="203" t="s">
        <v>32822</v>
      </c>
      <c r="F7257" s="204" t="s">
        <v>32823</v>
      </c>
      <c r="G7257" s="205"/>
      <c r="H7257" s="218"/>
      <c r="I7257" s="169">
        <v>110913</v>
      </c>
      <c r="J7257" s="304" t="str">
        <f>CONCATENATE([2]Cover!$D$6,"fdd/view?i=",I7257)</f>
        <v>https://www.dgiwg.org/FAD/fdd/view?i=110913</v>
      </c>
      <c r="K7257" s="304" t="s">
        <v>41306</v>
      </c>
      <c r="L7257" s="202">
        <v>9</v>
      </c>
      <c r="M7257" s="179" t="s">
        <v>151</v>
      </c>
    </row>
    <row r="7258" spans="1:13" ht="25.5">
      <c r="A7258" s="313" t="str">
        <f t="shared" si="113"/>
        <v>VoidCollectionReasonCode_darkShade</v>
      </c>
      <c r="B7258" s="330"/>
      <c r="C7258" s="334"/>
      <c r="D7258" s="188" t="s">
        <v>32824</v>
      </c>
      <c r="E7258" s="189" t="s">
        <v>32825</v>
      </c>
      <c r="F7258" s="162" t="s">
        <v>32826</v>
      </c>
      <c r="G7258" s="190"/>
      <c r="H7258" s="219"/>
      <c r="I7258" s="169">
        <v>110915</v>
      </c>
      <c r="J7258" s="304" t="str">
        <f>CONCATENATE([2]Cover!$D$6,"fdd/view?i=",I7258)</f>
        <v>https://www.dgiwg.org/FAD/fdd/view?i=110915</v>
      </c>
      <c r="K7258" s="304" t="s">
        <v>41307</v>
      </c>
      <c r="L7258" s="188">
        <v>11</v>
      </c>
      <c r="M7258" s="179" t="s">
        <v>151</v>
      </c>
    </row>
    <row r="7259" spans="1:13" ht="25.5">
      <c r="A7259" s="313" t="str">
        <f t="shared" si="113"/>
        <v>VoidCollectionReasonCode_flooded</v>
      </c>
      <c r="B7259" s="330"/>
      <c r="C7259" s="334"/>
      <c r="D7259" s="188" t="s">
        <v>32827</v>
      </c>
      <c r="E7259" s="189" t="s">
        <v>32828</v>
      </c>
      <c r="F7259" s="162" t="s">
        <v>32829</v>
      </c>
      <c r="G7259" s="190"/>
      <c r="H7259" s="219"/>
      <c r="I7259" s="169">
        <v>110917</v>
      </c>
      <c r="J7259" s="304" t="str">
        <f>CONCATENATE([2]Cover!$D$6,"fdd/view?i=",I7259)</f>
        <v>https://www.dgiwg.org/FAD/fdd/view?i=110917</v>
      </c>
      <c r="K7259" s="304" t="s">
        <v>41308</v>
      </c>
      <c r="L7259" s="188">
        <v>13</v>
      </c>
      <c r="M7259" s="179" t="s">
        <v>151</v>
      </c>
    </row>
    <row r="7260" spans="1:13" ht="25.5">
      <c r="A7260" s="313" t="str">
        <f t="shared" si="113"/>
        <v>VoidCollectionReasonCode_inaccessible</v>
      </c>
      <c r="B7260" s="330"/>
      <c r="C7260" s="334"/>
      <c r="D7260" s="188" t="s">
        <v>32830</v>
      </c>
      <c r="E7260" s="189" t="s">
        <v>32831</v>
      </c>
      <c r="F7260" s="162" t="s">
        <v>32832</v>
      </c>
      <c r="G7260" s="190"/>
      <c r="H7260" s="219"/>
      <c r="I7260" s="169">
        <v>109104</v>
      </c>
      <c r="J7260" s="304" t="str">
        <f>CONCATENATE([2]Cover!$D$6,"fdd/view?i=",I7260)</f>
        <v>https://www.dgiwg.org/FAD/fdd/view?i=109104</v>
      </c>
      <c r="K7260" s="304" t="s">
        <v>41309</v>
      </c>
      <c r="L7260" s="188">
        <v>2</v>
      </c>
      <c r="M7260" s="179" t="s">
        <v>151</v>
      </c>
    </row>
    <row r="7261" spans="1:13" ht="25.5">
      <c r="A7261" s="313" t="str">
        <f t="shared" si="113"/>
        <v>VoidCollectionReasonCode_noAvailableImagery</v>
      </c>
      <c r="B7261" s="330"/>
      <c r="C7261" s="334"/>
      <c r="D7261" s="188" t="s">
        <v>32833</v>
      </c>
      <c r="E7261" s="189" t="s">
        <v>32834</v>
      </c>
      <c r="F7261" s="162" t="s">
        <v>32835</v>
      </c>
      <c r="G7261" s="190"/>
      <c r="H7261" s="219"/>
      <c r="I7261" s="169">
        <v>109105</v>
      </c>
      <c r="J7261" s="304" t="str">
        <f>CONCATENATE([2]Cover!$D$6,"fdd/view?i=",I7261)</f>
        <v>https://www.dgiwg.org/FAD/fdd/view?i=109105</v>
      </c>
      <c r="K7261" s="304" t="s">
        <v>41310</v>
      </c>
      <c r="L7261" s="188">
        <v>3</v>
      </c>
      <c r="M7261" s="179" t="s">
        <v>151</v>
      </c>
    </row>
    <row r="7262" spans="1:13" ht="25.5">
      <c r="A7262" s="313" t="str">
        <f t="shared" si="113"/>
        <v>VoidCollectionReasonCode_noAvailableMapSource</v>
      </c>
      <c r="B7262" s="330"/>
      <c r="C7262" s="334"/>
      <c r="D7262" s="188" t="s">
        <v>32836</v>
      </c>
      <c r="E7262" s="189" t="s">
        <v>32837</v>
      </c>
      <c r="F7262" s="162" t="s">
        <v>32838</v>
      </c>
      <c r="G7262" s="190"/>
      <c r="H7262" s="219"/>
      <c r="I7262" s="169">
        <v>109108</v>
      </c>
      <c r="J7262" s="304" t="str">
        <f>CONCATENATE([2]Cover!$D$6,"fdd/view?i=",I7262)</f>
        <v>https://www.dgiwg.org/FAD/fdd/view?i=109108</v>
      </c>
      <c r="K7262" s="304" t="s">
        <v>41311</v>
      </c>
      <c r="L7262" s="188">
        <v>6</v>
      </c>
      <c r="M7262" s="179" t="s">
        <v>151</v>
      </c>
    </row>
    <row r="7263" spans="1:13" ht="25.5">
      <c r="A7263" s="313" t="str">
        <f t="shared" si="113"/>
        <v>VoidCollectionReasonCode_noAvailableSurvey</v>
      </c>
      <c r="B7263" s="330"/>
      <c r="C7263" s="334"/>
      <c r="D7263" s="188" t="s">
        <v>32839</v>
      </c>
      <c r="E7263" s="189" t="s">
        <v>32840</v>
      </c>
      <c r="F7263" s="162" t="s">
        <v>32841</v>
      </c>
      <c r="G7263" s="190"/>
      <c r="H7263" s="219"/>
      <c r="I7263" s="169">
        <v>111323</v>
      </c>
      <c r="J7263" s="304" t="str">
        <f>CONCATENATE([2]Cover!$D$6,"fdd/view?i=",I7263)</f>
        <v>https://www.dgiwg.org/FAD/fdd/view?i=111323</v>
      </c>
      <c r="K7263" s="304" t="s">
        <v>41312</v>
      </c>
      <c r="L7263" s="188">
        <v>16</v>
      </c>
      <c r="M7263" s="179" t="s">
        <v>151</v>
      </c>
    </row>
    <row r="7264" spans="1:13" ht="25.5">
      <c r="A7264" s="313" t="str">
        <f t="shared" si="113"/>
        <v>VoidCollectionReasonCode_noSuitableImagery</v>
      </c>
      <c r="B7264" s="330"/>
      <c r="C7264" s="334"/>
      <c r="D7264" s="188" t="s">
        <v>32842</v>
      </c>
      <c r="E7264" s="189" t="s">
        <v>32843</v>
      </c>
      <c r="F7264" s="162" t="s">
        <v>32844</v>
      </c>
      <c r="G7264" s="190"/>
      <c r="H7264" s="219"/>
      <c r="I7264" s="169">
        <v>109109</v>
      </c>
      <c r="J7264" s="304" t="str">
        <f>CONCATENATE([2]Cover!$D$6,"fdd/view?i=",I7264)</f>
        <v>https://www.dgiwg.org/FAD/fdd/view?i=109109</v>
      </c>
      <c r="K7264" s="304" t="s">
        <v>41313</v>
      </c>
      <c r="L7264" s="188">
        <v>7</v>
      </c>
      <c r="M7264" s="179" t="s">
        <v>151</v>
      </c>
    </row>
    <row r="7265" spans="1:13" ht="25.5">
      <c r="A7265" s="313" t="str">
        <f t="shared" si="113"/>
        <v>VoidCollectionReasonCode_notRequested</v>
      </c>
      <c r="B7265" s="330"/>
      <c r="C7265" s="334"/>
      <c r="D7265" s="188" t="s">
        <v>32845</v>
      </c>
      <c r="E7265" s="189" t="s">
        <v>32846</v>
      </c>
      <c r="F7265" s="162" t="s">
        <v>32847</v>
      </c>
      <c r="G7265" s="190"/>
      <c r="H7265" s="219"/>
      <c r="I7265" s="169">
        <v>109103</v>
      </c>
      <c r="J7265" s="304" t="str">
        <f>CONCATENATE([2]Cover!$D$6,"fdd/view?i=",I7265)</f>
        <v>https://www.dgiwg.org/FAD/fdd/view?i=109103</v>
      </c>
      <c r="K7265" s="304" t="s">
        <v>41314</v>
      </c>
      <c r="L7265" s="188">
        <v>1</v>
      </c>
      <c r="M7265" s="179" t="s">
        <v>151</v>
      </c>
    </row>
    <row r="7266" spans="1:13" ht="25.5">
      <c r="A7266" s="313" t="str">
        <f t="shared" si="113"/>
        <v>VoidCollectionReasonCode_notRequired</v>
      </c>
      <c r="B7266" s="330"/>
      <c r="C7266" s="334"/>
      <c r="D7266" s="188" t="s">
        <v>32848</v>
      </c>
      <c r="E7266" s="189" t="s">
        <v>32849</v>
      </c>
      <c r="F7266" s="162" t="s">
        <v>32850</v>
      </c>
      <c r="G7266" s="190"/>
      <c r="H7266" s="219"/>
      <c r="I7266" s="169">
        <v>109110</v>
      </c>
      <c r="J7266" s="304" t="str">
        <f>CONCATENATE([2]Cover!$D$6,"fdd/view?i=",I7266)</f>
        <v>https://www.dgiwg.org/FAD/fdd/view?i=109110</v>
      </c>
      <c r="K7266" s="304" t="s">
        <v>41315</v>
      </c>
      <c r="L7266" s="188">
        <v>8</v>
      </c>
      <c r="M7266" s="179" t="s">
        <v>151</v>
      </c>
    </row>
    <row r="7267" spans="1:13" ht="25.5">
      <c r="A7267" s="313" t="str">
        <f t="shared" si="113"/>
        <v>VoidCollectionReasonCode_snowCover</v>
      </c>
      <c r="B7267" s="330"/>
      <c r="C7267" s="334"/>
      <c r="D7267" s="188" t="s">
        <v>32851</v>
      </c>
      <c r="E7267" s="189" t="s">
        <v>32852</v>
      </c>
      <c r="F7267" s="162" t="s">
        <v>32853</v>
      </c>
      <c r="G7267" s="190"/>
      <c r="H7267" s="219"/>
      <c r="I7267" s="169">
        <v>110914</v>
      </c>
      <c r="J7267" s="304" t="str">
        <f>CONCATENATE([2]Cover!$D$6,"fdd/view?i=",I7267)</f>
        <v>https://www.dgiwg.org/FAD/fdd/view?i=110914</v>
      </c>
      <c r="K7267" s="304" t="s">
        <v>41316</v>
      </c>
      <c r="L7267" s="188">
        <v>10</v>
      </c>
      <c r="M7267" s="179" t="s">
        <v>151</v>
      </c>
    </row>
    <row r="7268" spans="1:13" ht="25.5">
      <c r="A7268" s="313" t="str">
        <f t="shared" si="113"/>
        <v>VoidCollectionReasonCode_vegetationCover</v>
      </c>
      <c r="B7268" s="331"/>
      <c r="C7268" s="335"/>
      <c r="D7268" s="181" t="s">
        <v>32854</v>
      </c>
      <c r="E7268" s="192" t="s">
        <v>32855</v>
      </c>
      <c r="F7268" s="193" t="s">
        <v>32856</v>
      </c>
      <c r="G7268" s="194"/>
      <c r="H7268" s="220"/>
      <c r="I7268" s="169">
        <v>110916</v>
      </c>
      <c r="J7268" s="304" t="str">
        <f>CONCATENATE([2]Cover!$D$6,"fdd/view?i=",I7268)</f>
        <v>https://www.dgiwg.org/FAD/fdd/view?i=110916</v>
      </c>
      <c r="K7268" s="304" t="s">
        <v>41317</v>
      </c>
      <c r="L7268" s="181">
        <v>12</v>
      </c>
      <c r="M7268" s="179" t="s">
        <v>151</v>
      </c>
    </row>
    <row r="7269" spans="1:13" ht="25.5">
      <c r="A7269" s="313" t="str">
        <f t="shared" si="113"/>
        <v>VoidCollectionTypeCode_bathymetry</v>
      </c>
      <c r="B7269" s="332" t="str">
        <f>HYPERLINK("[#]Datatypes!A1538:L1538","VoidCollectionTypeCode")</f>
        <v>VoidCollectionTypeCode</v>
      </c>
      <c r="C7269" s="333" t="s">
        <v>13176</v>
      </c>
      <c r="D7269" s="202" t="s">
        <v>32857</v>
      </c>
      <c r="E7269" s="203" t="s">
        <v>32858</v>
      </c>
      <c r="F7269" s="204" t="s">
        <v>32859</v>
      </c>
      <c r="G7269" s="205"/>
      <c r="H7269" s="218"/>
      <c r="I7269" s="169">
        <v>103662</v>
      </c>
      <c r="J7269" s="304" t="str">
        <f>CONCATENATE([2]Cover!$D$6,"fdd/view?i=",I7269)</f>
        <v>https://www.dgiwg.org/FAD/fdd/view?i=103662</v>
      </c>
      <c r="K7269" s="304" t="s">
        <v>41318</v>
      </c>
      <c r="L7269" s="202">
        <v>3</v>
      </c>
      <c r="M7269" s="179" t="s">
        <v>151</v>
      </c>
    </row>
    <row r="7270" spans="1:13" ht="25.5">
      <c r="A7270" s="313" t="str">
        <f t="shared" si="113"/>
        <v>VoidCollectionTypeCode_hypsography</v>
      </c>
      <c r="B7270" s="330"/>
      <c r="C7270" s="334"/>
      <c r="D7270" s="188" t="s">
        <v>32860</v>
      </c>
      <c r="E7270" s="189" t="s">
        <v>32861</v>
      </c>
      <c r="F7270" s="162" t="s">
        <v>32862</v>
      </c>
      <c r="G7270" s="190"/>
      <c r="H7270" s="219"/>
      <c r="I7270" s="169">
        <v>109127</v>
      </c>
      <c r="J7270" s="304" t="str">
        <f>CONCATENATE([2]Cover!$D$6,"fdd/view?i=",I7270)</f>
        <v>https://www.dgiwg.org/FAD/fdd/view?i=109127</v>
      </c>
      <c r="K7270" s="304" t="s">
        <v>41319</v>
      </c>
      <c r="L7270" s="188">
        <v>1</v>
      </c>
      <c r="M7270" s="179" t="s">
        <v>151</v>
      </c>
    </row>
    <row r="7271" spans="1:13" ht="25.5">
      <c r="A7271" s="313" t="str">
        <f t="shared" si="113"/>
        <v>VoidCollectionTypeCode_waterbodyBottomComposition</v>
      </c>
      <c r="B7271" s="331"/>
      <c r="C7271" s="335"/>
      <c r="D7271" s="181" t="s">
        <v>32863</v>
      </c>
      <c r="E7271" s="192" t="s">
        <v>32864</v>
      </c>
      <c r="F7271" s="193" t="s">
        <v>32865</v>
      </c>
      <c r="G7271" s="194"/>
      <c r="H7271" s="223" t="s">
        <v>1715</v>
      </c>
      <c r="I7271" s="169">
        <v>103663</v>
      </c>
      <c r="J7271" s="304" t="str">
        <f>CONCATENATE([2]Cover!$D$6,"fdd/view?i=",I7271)</f>
        <v>https://www.dgiwg.org/FAD/fdd/view?i=103663</v>
      </c>
      <c r="K7271" s="304" t="s">
        <v>41320</v>
      </c>
      <c r="L7271" s="181">
        <v>4</v>
      </c>
      <c r="M7271" s="179" t="s">
        <v>151</v>
      </c>
    </row>
    <row r="7272" spans="1:13" ht="216.75">
      <c r="A7272" s="313" t="str">
        <f t="shared" si="113"/>
        <v>VoidNumValueReasonCode_noInformation</v>
      </c>
      <c r="B7272" s="332" t="str">
        <f>HYPERLINK("[#]Datatypes!A1540:L1540","VoidNumValueReasonCode")</f>
        <v>VoidNumValueReasonCode</v>
      </c>
      <c r="C7272" s="333" t="s">
        <v>13179</v>
      </c>
      <c r="D7272" s="202" t="s">
        <v>32866</v>
      </c>
      <c r="E7272" s="203" t="s">
        <v>32867</v>
      </c>
      <c r="F7272" s="204" t="s">
        <v>32868</v>
      </c>
      <c r="G7272" s="204" t="s">
        <v>32869</v>
      </c>
      <c r="H7272" s="218"/>
      <c r="I7272" s="169">
        <v>203769</v>
      </c>
      <c r="J7272" s="304" t="str">
        <f>CONCATENATE([2]Cover!$D$6,"fdd/view?i=",I7272)</f>
        <v>https://www.dgiwg.org/FAD/fdd/view?i=203769</v>
      </c>
      <c r="K7272" s="304" t="s">
        <v>41321</v>
      </c>
      <c r="L7272" s="202">
        <v>-999999</v>
      </c>
      <c r="M7272" s="179" t="s">
        <v>1295</v>
      </c>
    </row>
    <row r="7273" spans="1:13" ht="38.25">
      <c r="A7273" s="313" t="str">
        <f t="shared" si="113"/>
        <v>VoidNumValueReasonCode_notApplicable</v>
      </c>
      <c r="B7273" s="330"/>
      <c r="C7273" s="334"/>
      <c r="D7273" s="188" t="s">
        <v>32870</v>
      </c>
      <c r="E7273" s="189" t="s">
        <v>32871</v>
      </c>
      <c r="F7273" s="162" t="s">
        <v>32872</v>
      </c>
      <c r="G7273" s="162" t="s">
        <v>32873</v>
      </c>
      <c r="H7273" s="219"/>
      <c r="I7273" s="169">
        <v>203479</v>
      </c>
      <c r="J7273" s="304" t="str">
        <f>CONCATENATE([2]Cover!$D$6,"fdd/view?i=",I7273)</f>
        <v>https://www.dgiwg.org/FAD/fdd/view?i=203479</v>
      </c>
      <c r="K7273" s="304" t="s">
        <v>41322</v>
      </c>
      <c r="L7273" s="188">
        <v>998</v>
      </c>
      <c r="M7273" s="179" t="s">
        <v>1295</v>
      </c>
    </row>
    <row r="7274" spans="1:13" ht="25.5">
      <c r="A7274" s="313" t="str">
        <f t="shared" si="113"/>
        <v>VoidNumValueReasonCode_unknown</v>
      </c>
      <c r="B7274" s="330"/>
      <c r="C7274" s="334"/>
      <c r="D7274" s="188" t="s">
        <v>32874</v>
      </c>
      <c r="E7274" s="189" t="s">
        <v>32875</v>
      </c>
      <c r="F7274" s="162" t="s">
        <v>32876</v>
      </c>
      <c r="G7274" s="190"/>
      <c r="H7274" s="219"/>
      <c r="I7274" s="169">
        <v>203476</v>
      </c>
      <c r="J7274" s="304" t="str">
        <f>CONCATENATE([2]Cover!$D$6,"fdd/view?i=",I7274)</f>
        <v>https://www.dgiwg.org/FAD/fdd/view?i=203476</v>
      </c>
      <c r="K7274" s="304" t="s">
        <v>41323</v>
      </c>
      <c r="L7274" s="188">
        <v>0</v>
      </c>
      <c r="M7274" s="179" t="s">
        <v>1295</v>
      </c>
    </row>
    <row r="7275" spans="1:13" ht="25.5">
      <c r="A7275" s="313" t="str">
        <f t="shared" si="113"/>
        <v>VoidNumValueReasonCode_unpopulated</v>
      </c>
      <c r="B7275" s="330"/>
      <c r="C7275" s="334"/>
      <c r="D7275" s="188" t="s">
        <v>32877</v>
      </c>
      <c r="E7275" s="189" t="s">
        <v>32878</v>
      </c>
      <c r="F7275" s="162" t="s">
        <v>32879</v>
      </c>
      <c r="G7275" s="190"/>
      <c r="H7275" s="219"/>
      <c r="I7275" s="169">
        <v>203478</v>
      </c>
      <c r="J7275" s="304" t="str">
        <f>CONCATENATE([2]Cover!$D$6,"fdd/view?i=",I7275)</f>
        <v>https://www.dgiwg.org/FAD/fdd/view?i=203478</v>
      </c>
      <c r="K7275" s="304" t="s">
        <v>41324</v>
      </c>
      <c r="L7275" s="188">
        <v>997</v>
      </c>
      <c r="M7275" s="179" t="s">
        <v>1295</v>
      </c>
    </row>
    <row r="7276" spans="1:13" ht="25.5">
      <c r="A7276" s="313" t="str">
        <f t="shared" si="113"/>
        <v>VoidNumValueReasonCode_valueSpecified</v>
      </c>
      <c r="B7276" s="331"/>
      <c r="C7276" s="335"/>
      <c r="D7276" s="181" t="s">
        <v>32880</v>
      </c>
      <c r="E7276" s="192" t="s">
        <v>32881</v>
      </c>
      <c r="F7276" s="193" t="s">
        <v>32882</v>
      </c>
      <c r="G7276" s="194"/>
      <c r="H7276" s="220"/>
      <c r="I7276" s="169">
        <v>203477</v>
      </c>
      <c r="J7276" s="304" t="str">
        <f>CONCATENATE([2]Cover!$D$6,"fdd/view?i=",I7276)</f>
        <v>https://www.dgiwg.org/FAD/fdd/view?i=203477</v>
      </c>
      <c r="K7276" s="304" t="s">
        <v>41325</v>
      </c>
      <c r="L7276" s="181">
        <v>995</v>
      </c>
      <c r="M7276" s="179" t="s">
        <v>1295</v>
      </c>
    </row>
    <row r="7277" spans="1:13" ht="216.75">
      <c r="A7277" s="313" t="str">
        <f t="shared" si="113"/>
        <v>VoidValueReasonCode_noInformation</v>
      </c>
      <c r="B7277" s="332" t="str">
        <f>HYPERLINK("[#]Datatypes!A1544:L1544","VoidValueReasonCode")</f>
        <v>VoidValueReasonCode</v>
      </c>
      <c r="C7277" s="333" t="s">
        <v>11687</v>
      </c>
      <c r="D7277" s="202" t="s">
        <v>32866</v>
      </c>
      <c r="E7277" s="203" t="s">
        <v>32867</v>
      </c>
      <c r="F7277" s="204" t="s">
        <v>32868</v>
      </c>
      <c r="G7277" s="204" t="s">
        <v>32869</v>
      </c>
      <c r="H7277" s="218"/>
      <c r="I7277" s="169">
        <v>203763</v>
      </c>
      <c r="J7277" s="304" t="str">
        <f>CONCATENATE([2]Cover!$D$6,"fdd/view?i=",I7277)</f>
        <v>https://www.dgiwg.org/FAD/fdd/view?i=203763</v>
      </c>
      <c r="K7277" s="304" t="s">
        <v>41326</v>
      </c>
      <c r="L7277" s="202">
        <v>-999999</v>
      </c>
      <c r="M7277" s="179" t="s">
        <v>1295</v>
      </c>
    </row>
    <row r="7278" spans="1:13" ht="38.25">
      <c r="A7278" s="313" t="str">
        <f t="shared" si="113"/>
        <v>VoidValueReasonCode_notApplicable</v>
      </c>
      <c r="B7278" s="330"/>
      <c r="C7278" s="334"/>
      <c r="D7278" s="188" t="s">
        <v>32870</v>
      </c>
      <c r="E7278" s="189" t="s">
        <v>32871</v>
      </c>
      <c r="F7278" s="162" t="s">
        <v>32872</v>
      </c>
      <c r="G7278" s="162" t="s">
        <v>32873</v>
      </c>
      <c r="H7278" s="219"/>
      <c r="I7278" s="169">
        <v>202222</v>
      </c>
      <c r="J7278" s="304" t="str">
        <f>CONCATENATE([2]Cover!$D$6,"fdd/view?i=",I7278)</f>
        <v>https://www.dgiwg.org/FAD/fdd/view?i=202222</v>
      </c>
      <c r="K7278" s="304" t="s">
        <v>41327</v>
      </c>
      <c r="L7278" s="188">
        <v>998</v>
      </c>
      <c r="M7278" s="179" t="s">
        <v>1295</v>
      </c>
    </row>
    <row r="7279" spans="1:13" ht="38.25">
      <c r="A7279" s="313" t="str">
        <f t="shared" si="113"/>
        <v>VoidValueReasonCode_other</v>
      </c>
      <c r="B7279" s="330"/>
      <c r="C7279" s="334"/>
      <c r="D7279" s="188" t="s">
        <v>32883</v>
      </c>
      <c r="E7279" s="189" t="s">
        <v>32884</v>
      </c>
      <c r="F7279" s="162" t="s">
        <v>32885</v>
      </c>
      <c r="G7279" s="162" t="s">
        <v>32886</v>
      </c>
      <c r="H7279" s="219"/>
      <c r="I7279" s="169">
        <v>202223</v>
      </c>
      <c r="J7279" s="304" t="str">
        <f>CONCATENATE([2]Cover!$D$6,"fdd/view?i=",I7279)</f>
        <v>https://www.dgiwg.org/FAD/fdd/view?i=202223</v>
      </c>
      <c r="K7279" s="304" t="s">
        <v>41328</v>
      </c>
      <c r="L7279" s="188">
        <v>999</v>
      </c>
      <c r="M7279" s="179" t="s">
        <v>1295</v>
      </c>
    </row>
    <row r="7280" spans="1:13">
      <c r="A7280" s="313" t="str">
        <f t="shared" si="113"/>
        <v>VoidValueReasonCode_unknown</v>
      </c>
      <c r="B7280" s="330"/>
      <c r="C7280" s="334"/>
      <c r="D7280" s="188" t="s">
        <v>32874</v>
      </c>
      <c r="E7280" s="189" t="s">
        <v>32875</v>
      </c>
      <c r="F7280" s="162" t="s">
        <v>32876</v>
      </c>
      <c r="G7280" s="190"/>
      <c r="H7280" s="219"/>
      <c r="I7280" s="169">
        <v>202219</v>
      </c>
      <c r="J7280" s="304" t="str">
        <f>CONCATENATE([2]Cover!$D$6,"fdd/view?i=",I7280)</f>
        <v>https://www.dgiwg.org/FAD/fdd/view?i=202219</v>
      </c>
      <c r="K7280" s="304" t="s">
        <v>41329</v>
      </c>
      <c r="L7280" s="188">
        <v>0</v>
      </c>
      <c r="M7280" s="179" t="s">
        <v>1295</v>
      </c>
    </row>
    <row r="7281" spans="1:13" ht="25.5">
      <c r="A7281" s="313" t="str">
        <f t="shared" si="113"/>
        <v>VoidValueReasonCode_unpopulated</v>
      </c>
      <c r="B7281" s="330"/>
      <c r="C7281" s="334"/>
      <c r="D7281" s="188" t="s">
        <v>32877</v>
      </c>
      <c r="E7281" s="189" t="s">
        <v>32878</v>
      </c>
      <c r="F7281" s="162" t="s">
        <v>32879</v>
      </c>
      <c r="G7281" s="190"/>
      <c r="H7281" s="219"/>
      <c r="I7281" s="169">
        <v>202221</v>
      </c>
      <c r="J7281" s="304" t="str">
        <f>CONCATENATE([2]Cover!$D$6,"fdd/view?i=",I7281)</f>
        <v>https://www.dgiwg.org/FAD/fdd/view?i=202221</v>
      </c>
      <c r="K7281" s="304" t="s">
        <v>41330</v>
      </c>
      <c r="L7281" s="188">
        <v>997</v>
      </c>
      <c r="M7281" s="179" t="s">
        <v>1295</v>
      </c>
    </row>
    <row r="7282" spans="1:13" ht="25.5">
      <c r="A7282" s="313" t="str">
        <f t="shared" si="113"/>
        <v>VoidValueReasonCode_valueSpecified</v>
      </c>
      <c r="B7282" s="331"/>
      <c r="C7282" s="335"/>
      <c r="D7282" s="181" t="s">
        <v>32880</v>
      </c>
      <c r="E7282" s="192" t="s">
        <v>32881</v>
      </c>
      <c r="F7282" s="193" t="s">
        <v>32882</v>
      </c>
      <c r="G7282" s="194"/>
      <c r="H7282" s="220"/>
      <c r="I7282" s="169">
        <v>202220</v>
      </c>
      <c r="J7282" s="304" t="str">
        <f>CONCATENATE([2]Cover!$D$6,"fdd/view?i=",I7282)</f>
        <v>https://www.dgiwg.org/FAD/fdd/view?i=202220</v>
      </c>
      <c r="K7282" s="304" t="s">
        <v>41331</v>
      </c>
      <c r="L7282" s="181">
        <v>995</v>
      </c>
      <c r="M7282" s="179" t="s">
        <v>1295</v>
      </c>
    </row>
    <row r="7283" spans="1:13" ht="38.25">
      <c r="A7283" s="313" t="str">
        <f t="shared" si="113"/>
        <v>VolcanicActivityCode_active</v>
      </c>
      <c r="B7283" s="332" t="str">
        <f>HYPERLINK("[#]Datatypes!A1548:L1548","VolcanicActivityCode")</f>
        <v>VolcanicActivityCode</v>
      </c>
      <c r="C7283" s="333" t="s">
        <v>13188</v>
      </c>
      <c r="D7283" s="202" t="s">
        <v>32887</v>
      </c>
      <c r="E7283" s="203" t="s">
        <v>32888</v>
      </c>
      <c r="F7283" s="204" t="s">
        <v>32889</v>
      </c>
      <c r="G7283" s="204" t="s">
        <v>32890</v>
      </c>
      <c r="H7283" s="218"/>
      <c r="I7283" s="169">
        <v>112548</v>
      </c>
      <c r="J7283" s="304" t="str">
        <f>CONCATENATE([2]Cover!$D$6,"fdd/view?i=",I7283)</f>
        <v>https://www.dgiwg.org/FAD/fdd/view?i=112548</v>
      </c>
      <c r="K7283" s="304" t="s">
        <v>41332</v>
      </c>
      <c r="L7283" s="202">
        <v>1</v>
      </c>
      <c r="M7283" s="179" t="s">
        <v>151</v>
      </c>
    </row>
    <row r="7284" spans="1:13" ht="25.5">
      <c r="A7284" s="313" t="str">
        <f t="shared" si="113"/>
        <v>VolcanicActivityCode_dormant</v>
      </c>
      <c r="B7284" s="330"/>
      <c r="C7284" s="334"/>
      <c r="D7284" s="188" t="s">
        <v>32891</v>
      </c>
      <c r="E7284" s="189" t="s">
        <v>32892</v>
      </c>
      <c r="F7284" s="162" t="s">
        <v>32893</v>
      </c>
      <c r="G7284" s="162" t="s">
        <v>32894</v>
      </c>
      <c r="H7284" s="219"/>
      <c r="I7284" s="169">
        <v>112550</v>
      </c>
      <c r="J7284" s="304" t="str">
        <f>CONCATENATE([2]Cover!$D$6,"fdd/view?i=",I7284)</f>
        <v>https://www.dgiwg.org/FAD/fdd/view?i=112550</v>
      </c>
      <c r="K7284" s="304" t="s">
        <v>41333</v>
      </c>
      <c r="L7284" s="188">
        <v>2</v>
      </c>
      <c r="M7284" s="179" t="s">
        <v>151</v>
      </c>
    </row>
    <row r="7285" spans="1:13" ht="25.5">
      <c r="A7285" s="313" t="str">
        <f t="shared" si="113"/>
        <v>VolcanicActivityCode_inactiveOrExtinct</v>
      </c>
      <c r="B7285" s="331"/>
      <c r="C7285" s="335"/>
      <c r="D7285" s="181" t="s">
        <v>32895</v>
      </c>
      <c r="E7285" s="192" t="s">
        <v>32896</v>
      </c>
      <c r="F7285" s="193" t="s">
        <v>32897</v>
      </c>
      <c r="G7285" s="194"/>
      <c r="H7285" s="220"/>
      <c r="I7285" s="169">
        <v>112552</v>
      </c>
      <c r="J7285" s="304" t="str">
        <f>CONCATENATE([2]Cover!$D$6,"fdd/view?i=",I7285)</f>
        <v>https://www.dgiwg.org/FAD/fdd/view?i=112552</v>
      </c>
      <c r="K7285" s="304" t="s">
        <v>41334</v>
      </c>
      <c r="L7285" s="181">
        <v>3</v>
      </c>
      <c r="M7285" s="179" t="s">
        <v>151</v>
      </c>
    </row>
    <row r="7286" spans="1:13" ht="165.75">
      <c r="A7286" s="313" t="str">
        <f t="shared" si="113"/>
        <v>VolcanicExplosivityIndexCode_extremelyLarge_6</v>
      </c>
      <c r="B7286" s="332" t="str">
        <f>HYPERLINK("[#]Datatypes!A1550:L1550","VolcanicExplosivityIndexCode")</f>
        <v>VolcanicExplosivityIndexCode</v>
      </c>
      <c r="C7286" s="333" t="s">
        <v>13190</v>
      </c>
      <c r="D7286" s="202" t="s">
        <v>32898</v>
      </c>
      <c r="E7286" s="203" t="s">
        <v>32899</v>
      </c>
      <c r="F7286" s="204" t="s">
        <v>32900</v>
      </c>
      <c r="G7286" s="204" t="s">
        <v>32901</v>
      </c>
      <c r="H7286" s="218"/>
      <c r="I7286" s="169">
        <v>119282</v>
      </c>
      <c r="J7286" s="304" t="str">
        <f>CONCATENATE([2]Cover!$D$6,"fdd/view?i=",I7286)</f>
        <v>https://www.dgiwg.org/FAD/fdd/view?i=119282</v>
      </c>
      <c r="K7286" s="304" t="s">
        <v>41335</v>
      </c>
      <c r="L7286" s="202">
        <v>7</v>
      </c>
      <c r="M7286" s="179" t="s">
        <v>151</v>
      </c>
    </row>
    <row r="7287" spans="1:13" ht="293.25">
      <c r="A7287" s="313" t="str">
        <f t="shared" si="113"/>
        <v>VolcanicExplosivityIndexCode_large_4</v>
      </c>
      <c r="B7287" s="330"/>
      <c r="C7287" s="334"/>
      <c r="D7287" s="188" t="s">
        <v>32902</v>
      </c>
      <c r="E7287" s="189" t="s">
        <v>32903</v>
      </c>
      <c r="F7287" s="162" t="s">
        <v>32904</v>
      </c>
      <c r="G7287" s="162" t="s">
        <v>32905</v>
      </c>
      <c r="H7287" s="219"/>
      <c r="I7287" s="169">
        <v>119280</v>
      </c>
      <c r="J7287" s="304" t="str">
        <f>CONCATENATE([2]Cover!$D$6,"fdd/view?i=",I7287)</f>
        <v>https://www.dgiwg.org/FAD/fdd/view?i=119280</v>
      </c>
      <c r="K7287" s="304" t="s">
        <v>41336</v>
      </c>
      <c r="L7287" s="188">
        <v>5</v>
      </c>
      <c r="M7287" s="179" t="s">
        <v>151</v>
      </c>
    </row>
    <row r="7288" spans="1:13" ht="178.5">
      <c r="A7288" s="313" t="str">
        <f t="shared" si="113"/>
        <v>VolcanicExplosivityIndexCode_megaLarge_8</v>
      </c>
      <c r="B7288" s="330"/>
      <c r="C7288" s="334"/>
      <c r="D7288" s="188" t="s">
        <v>32906</v>
      </c>
      <c r="E7288" s="189" t="s">
        <v>32907</v>
      </c>
      <c r="F7288" s="162" t="s">
        <v>32908</v>
      </c>
      <c r="G7288" s="162" t="s">
        <v>32909</v>
      </c>
      <c r="H7288" s="219"/>
      <c r="I7288" s="169">
        <v>119284</v>
      </c>
      <c r="J7288" s="304" t="str">
        <f>CONCATENATE([2]Cover!$D$6,"fdd/view?i=",I7288)</f>
        <v>https://www.dgiwg.org/FAD/fdd/view?i=119284</v>
      </c>
      <c r="K7288" s="304" t="s">
        <v>41337</v>
      </c>
      <c r="L7288" s="188">
        <v>9</v>
      </c>
      <c r="M7288" s="179" t="s">
        <v>151</v>
      </c>
    </row>
    <row r="7289" spans="1:13" ht="216.75">
      <c r="A7289" s="313" t="str">
        <f t="shared" si="113"/>
        <v>VolcanicExplosivityIndexCode_moderate_2</v>
      </c>
      <c r="B7289" s="330"/>
      <c r="C7289" s="334"/>
      <c r="D7289" s="188" t="s">
        <v>32910</v>
      </c>
      <c r="E7289" s="189" t="s">
        <v>32911</v>
      </c>
      <c r="F7289" s="162" t="s">
        <v>32912</v>
      </c>
      <c r="G7289" s="162" t="s">
        <v>32913</v>
      </c>
      <c r="H7289" s="219"/>
      <c r="I7289" s="169">
        <v>119278</v>
      </c>
      <c r="J7289" s="304" t="str">
        <f>CONCATENATE([2]Cover!$D$6,"fdd/view?i=",I7289)</f>
        <v>https://www.dgiwg.org/FAD/fdd/view?i=119278</v>
      </c>
      <c r="K7289" s="304" t="s">
        <v>41338</v>
      </c>
      <c r="L7289" s="188">
        <v>3</v>
      </c>
      <c r="M7289" s="179" t="s">
        <v>151</v>
      </c>
    </row>
    <row r="7290" spans="1:13" ht="267.75">
      <c r="A7290" s="313" t="str">
        <f t="shared" si="113"/>
        <v>VolcanicExplosivityIndexCode_moderateLarge_3</v>
      </c>
      <c r="B7290" s="330"/>
      <c r="C7290" s="334"/>
      <c r="D7290" s="188" t="s">
        <v>32914</v>
      </c>
      <c r="E7290" s="189" t="s">
        <v>32915</v>
      </c>
      <c r="F7290" s="162" t="s">
        <v>32916</v>
      </c>
      <c r="G7290" s="162" t="s">
        <v>32917</v>
      </c>
      <c r="H7290" s="219"/>
      <c r="I7290" s="169">
        <v>119279</v>
      </c>
      <c r="J7290" s="304" t="str">
        <f>CONCATENATE([2]Cover!$D$6,"fdd/view?i=",I7290)</f>
        <v>https://www.dgiwg.org/FAD/fdd/view?i=119279</v>
      </c>
      <c r="K7290" s="304" t="s">
        <v>41339</v>
      </c>
      <c r="L7290" s="188">
        <v>4</v>
      </c>
      <c r="M7290" s="179" t="s">
        <v>151</v>
      </c>
    </row>
    <row r="7291" spans="1:13" ht="204">
      <c r="A7291" s="313" t="str">
        <f t="shared" si="113"/>
        <v>VolcanicExplosivityIndexCode_nonExplosive_0</v>
      </c>
      <c r="B7291" s="330"/>
      <c r="C7291" s="334"/>
      <c r="D7291" s="188" t="s">
        <v>32918</v>
      </c>
      <c r="E7291" s="189" t="s">
        <v>32919</v>
      </c>
      <c r="F7291" s="162" t="s">
        <v>32920</v>
      </c>
      <c r="G7291" s="162" t="s">
        <v>32921</v>
      </c>
      <c r="H7291" s="219"/>
      <c r="I7291" s="169">
        <v>119276</v>
      </c>
      <c r="J7291" s="304" t="str">
        <f>CONCATENATE([2]Cover!$D$6,"fdd/view?i=",I7291)</f>
        <v>https://www.dgiwg.org/FAD/fdd/view?i=119276</v>
      </c>
      <c r="K7291" s="304" t="s">
        <v>41340</v>
      </c>
      <c r="L7291" s="188">
        <v>1</v>
      </c>
      <c r="M7291" s="179" t="s">
        <v>151</v>
      </c>
    </row>
    <row r="7292" spans="1:13" ht="306">
      <c r="A7292" s="313" t="str">
        <f t="shared" si="113"/>
        <v>VolcanicExplosivityIndexCode_small_1</v>
      </c>
      <c r="B7292" s="330"/>
      <c r="C7292" s="334"/>
      <c r="D7292" s="188" t="s">
        <v>32922</v>
      </c>
      <c r="E7292" s="189" t="s">
        <v>32923</v>
      </c>
      <c r="F7292" s="162" t="s">
        <v>32924</v>
      </c>
      <c r="G7292" s="162" t="s">
        <v>32925</v>
      </c>
      <c r="H7292" s="219"/>
      <c r="I7292" s="169">
        <v>119277</v>
      </c>
      <c r="J7292" s="304" t="str">
        <f>CONCATENATE([2]Cover!$D$6,"fdd/view?i=",I7292)</f>
        <v>https://www.dgiwg.org/FAD/fdd/view?i=119277</v>
      </c>
      <c r="K7292" s="304" t="s">
        <v>41341</v>
      </c>
      <c r="L7292" s="188">
        <v>2</v>
      </c>
      <c r="M7292" s="179" t="s">
        <v>151</v>
      </c>
    </row>
    <row r="7293" spans="1:13" ht="165.75">
      <c r="A7293" s="313" t="str">
        <f t="shared" si="113"/>
        <v>VolcanicExplosivityIndexCode_superLarge_7</v>
      </c>
      <c r="B7293" s="330"/>
      <c r="C7293" s="334"/>
      <c r="D7293" s="188" t="s">
        <v>32926</v>
      </c>
      <c r="E7293" s="189" t="s">
        <v>32927</v>
      </c>
      <c r="F7293" s="162" t="s">
        <v>32928</v>
      </c>
      <c r="G7293" s="162" t="s">
        <v>32929</v>
      </c>
      <c r="H7293" s="219"/>
      <c r="I7293" s="169">
        <v>119283</v>
      </c>
      <c r="J7293" s="304" t="str">
        <f>CONCATENATE([2]Cover!$D$6,"fdd/view?i=",I7293)</f>
        <v>https://www.dgiwg.org/FAD/fdd/view?i=119283</v>
      </c>
      <c r="K7293" s="304" t="s">
        <v>41342</v>
      </c>
      <c r="L7293" s="188">
        <v>8</v>
      </c>
      <c r="M7293" s="179" t="s">
        <v>151</v>
      </c>
    </row>
    <row r="7294" spans="1:13" ht="165.75">
      <c r="A7294" s="313" t="str">
        <f t="shared" si="113"/>
        <v>VolcanicExplosivityIndexCode_veryLarge_5</v>
      </c>
      <c r="B7294" s="331"/>
      <c r="C7294" s="335"/>
      <c r="D7294" s="181" t="s">
        <v>32930</v>
      </c>
      <c r="E7294" s="192" t="s">
        <v>32931</v>
      </c>
      <c r="F7294" s="193" t="s">
        <v>32932</v>
      </c>
      <c r="G7294" s="193" t="s">
        <v>32933</v>
      </c>
      <c r="H7294" s="220"/>
      <c r="I7294" s="169">
        <v>119281</v>
      </c>
      <c r="J7294" s="304" t="str">
        <f>CONCATENATE([2]Cover!$D$6,"fdd/view?i=",I7294)</f>
        <v>https://www.dgiwg.org/FAD/fdd/view?i=119281</v>
      </c>
      <c r="K7294" s="304" t="s">
        <v>41343</v>
      </c>
      <c r="L7294" s="181">
        <v>6</v>
      </c>
      <c r="M7294" s="179" t="s">
        <v>151</v>
      </c>
    </row>
    <row r="7295" spans="1:13" ht="25.5">
      <c r="A7295" s="313" t="str">
        <f t="shared" si="113"/>
        <v>VolcanoShapeCode_caldera</v>
      </c>
      <c r="B7295" s="332" t="str">
        <f>HYPERLINK("[#]Datatypes!A1552:L1552","VolcanoShapeCode")</f>
        <v>VolcanoShapeCode</v>
      </c>
      <c r="C7295" s="333" t="s">
        <v>13192</v>
      </c>
      <c r="D7295" s="202" t="s">
        <v>32934</v>
      </c>
      <c r="E7295" s="203" t="s">
        <v>32935</v>
      </c>
      <c r="F7295" s="204" t="s">
        <v>32936</v>
      </c>
      <c r="G7295" s="205"/>
      <c r="H7295" s="218"/>
      <c r="I7295" s="169">
        <v>109263</v>
      </c>
      <c r="J7295" s="304" t="str">
        <f>CONCATENATE([2]Cover!$D$6,"fdd/view?i=",I7295)</f>
        <v>https://www.dgiwg.org/FAD/fdd/view?i=109263</v>
      </c>
      <c r="K7295" s="304" t="s">
        <v>41344</v>
      </c>
      <c r="L7295" s="202">
        <v>4</v>
      </c>
      <c r="M7295" s="179" t="s">
        <v>151</v>
      </c>
    </row>
    <row r="7296" spans="1:13" ht="25.5">
      <c r="A7296" s="313" t="str">
        <f t="shared" si="113"/>
        <v>VolcanoShapeCode_cinderCone</v>
      </c>
      <c r="B7296" s="330"/>
      <c r="C7296" s="334"/>
      <c r="D7296" s="188" t="s">
        <v>32937</v>
      </c>
      <c r="E7296" s="189" t="s">
        <v>32938</v>
      </c>
      <c r="F7296" s="162" t="s">
        <v>32939</v>
      </c>
      <c r="G7296" s="190"/>
      <c r="H7296" s="219"/>
      <c r="I7296" s="169">
        <v>109261</v>
      </c>
      <c r="J7296" s="304" t="str">
        <f>CONCATENATE([2]Cover!$D$6,"fdd/view?i=",I7296)</f>
        <v>https://www.dgiwg.org/FAD/fdd/view?i=109261</v>
      </c>
      <c r="K7296" s="304" t="s">
        <v>41345</v>
      </c>
      <c r="L7296" s="188">
        <v>2</v>
      </c>
      <c r="M7296" s="179" t="s">
        <v>151</v>
      </c>
    </row>
    <row r="7297" spans="1:13" ht="25.5">
      <c r="A7297" s="313" t="str">
        <f t="shared" si="113"/>
        <v>VolcanoShapeCode_composite</v>
      </c>
      <c r="B7297" s="330"/>
      <c r="C7297" s="334"/>
      <c r="D7297" s="188" t="s">
        <v>32940</v>
      </c>
      <c r="E7297" s="189" t="s">
        <v>32941</v>
      </c>
      <c r="F7297" s="162" t="s">
        <v>32942</v>
      </c>
      <c r="G7297" s="190"/>
      <c r="H7297" s="219"/>
      <c r="I7297" s="169">
        <v>109264</v>
      </c>
      <c r="J7297" s="304" t="str">
        <f>CONCATENATE([2]Cover!$D$6,"fdd/view?i=",I7297)</f>
        <v>https://www.dgiwg.org/FAD/fdd/view?i=109264</v>
      </c>
      <c r="K7297" s="304" t="s">
        <v>41346</v>
      </c>
      <c r="L7297" s="188">
        <v>5</v>
      </c>
      <c r="M7297" s="179" t="s">
        <v>151</v>
      </c>
    </row>
    <row r="7298" spans="1:13">
      <c r="A7298" s="313" t="str">
        <f t="shared" si="113"/>
        <v>VolcanoShapeCode_cone</v>
      </c>
      <c r="B7298" s="330"/>
      <c r="C7298" s="334"/>
      <c r="D7298" s="188" t="s">
        <v>32943</v>
      </c>
      <c r="E7298" s="189" t="s">
        <v>32944</v>
      </c>
      <c r="F7298" s="162" t="s">
        <v>32945</v>
      </c>
      <c r="G7298" s="190"/>
      <c r="H7298" s="219"/>
      <c r="I7298" s="169">
        <v>109260</v>
      </c>
      <c r="J7298" s="304" t="str">
        <f>CONCATENATE([2]Cover!$D$6,"fdd/view?i=",I7298)</f>
        <v>https://www.dgiwg.org/FAD/fdd/view?i=109260</v>
      </c>
      <c r="K7298" s="304" t="s">
        <v>41347</v>
      </c>
      <c r="L7298" s="188">
        <v>1</v>
      </c>
      <c r="M7298" s="179" t="s">
        <v>151</v>
      </c>
    </row>
    <row r="7299" spans="1:13" ht="25.5">
      <c r="A7299" s="313" t="str">
        <f t="shared" ref="A7299:A7362" si="114">HYPERLINK(J7299,K7299)</f>
        <v>VolcanoShapeCode_shield</v>
      </c>
      <c r="B7299" s="331"/>
      <c r="C7299" s="335"/>
      <c r="D7299" s="181" t="s">
        <v>32946</v>
      </c>
      <c r="E7299" s="192" t="s">
        <v>32947</v>
      </c>
      <c r="F7299" s="193" t="s">
        <v>32948</v>
      </c>
      <c r="G7299" s="194"/>
      <c r="H7299" s="220"/>
      <c r="I7299" s="169">
        <v>109262</v>
      </c>
      <c r="J7299" s="304" t="str">
        <f>CONCATENATE([2]Cover!$D$6,"fdd/view?i=",I7299)</f>
        <v>https://www.dgiwg.org/FAD/fdd/view?i=109262</v>
      </c>
      <c r="K7299" s="304" t="s">
        <v>41348</v>
      </c>
      <c r="L7299" s="181">
        <v>3</v>
      </c>
      <c r="M7299" s="179" t="s">
        <v>151</v>
      </c>
    </row>
    <row r="7300" spans="1:13" ht="25.5">
      <c r="A7300" s="313" t="str">
        <f t="shared" si="114"/>
        <v>WallTypeCode_freeStanding</v>
      </c>
      <c r="B7300" s="332" t="str">
        <f>HYPERLINK("[#]Datatypes!A1554:L1554","WallTypeCode")</f>
        <v>WallTypeCode</v>
      </c>
      <c r="C7300" s="333" t="s">
        <v>13194</v>
      </c>
      <c r="D7300" s="202" t="s">
        <v>32949</v>
      </c>
      <c r="E7300" s="203" t="s">
        <v>32950</v>
      </c>
      <c r="F7300" s="204" t="s">
        <v>32951</v>
      </c>
      <c r="G7300" s="205"/>
      <c r="H7300" s="218"/>
      <c r="I7300" s="169">
        <v>109709</v>
      </c>
      <c r="J7300" s="304" t="str">
        <f>CONCATENATE([2]Cover!$D$6,"fdd/view?i=",I7300)</f>
        <v>https://www.dgiwg.org/FAD/fdd/view?i=109709</v>
      </c>
      <c r="K7300" s="304" t="s">
        <v>41349</v>
      </c>
      <c r="L7300" s="202">
        <v>1</v>
      </c>
      <c r="M7300" s="179" t="s">
        <v>151</v>
      </c>
    </row>
    <row r="7301" spans="1:13" ht="25.5">
      <c r="A7301" s="313" t="str">
        <f t="shared" si="114"/>
        <v>WallTypeCode_retaining</v>
      </c>
      <c r="B7301" s="331"/>
      <c r="C7301" s="335"/>
      <c r="D7301" s="181" t="s">
        <v>32952</v>
      </c>
      <c r="E7301" s="192" t="s">
        <v>32953</v>
      </c>
      <c r="F7301" s="193" t="s">
        <v>32954</v>
      </c>
      <c r="G7301" s="193" t="s">
        <v>32955</v>
      </c>
      <c r="H7301" s="220"/>
      <c r="I7301" s="169">
        <v>109710</v>
      </c>
      <c r="J7301" s="304" t="str">
        <f>CONCATENATE([2]Cover!$D$6,"fdd/view?i=",I7301)</f>
        <v>https://www.dgiwg.org/FAD/fdd/view?i=109710</v>
      </c>
      <c r="K7301" s="304" t="s">
        <v>41350</v>
      </c>
      <c r="L7301" s="181">
        <v>2</v>
      </c>
      <c r="M7301" s="179" t="s">
        <v>151</v>
      </c>
    </row>
    <row r="7302" spans="1:13">
      <c r="A7302" s="313" t="str">
        <f t="shared" si="114"/>
        <v>WaterLevelEffectCode_alwaysDry</v>
      </c>
      <c r="B7302" s="332" t="str">
        <f>HYPERLINK("[#]Datatypes!A1556:L1556","WaterLevelEffectCode")</f>
        <v>WaterLevelEffectCode</v>
      </c>
      <c r="C7302" s="333" t="s">
        <v>13196</v>
      </c>
      <c r="D7302" s="202" t="s">
        <v>32956</v>
      </c>
      <c r="E7302" s="203" t="s">
        <v>32957</v>
      </c>
      <c r="F7302" s="204" t="s">
        <v>32958</v>
      </c>
      <c r="G7302" s="205"/>
      <c r="H7302" s="218"/>
      <c r="I7302" s="169">
        <v>109564</v>
      </c>
      <c r="J7302" s="304" t="str">
        <f>CONCATENATE([2]Cover!$D$6,"fdd/view?i=",I7302)</f>
        <v>https://www.dgiwg.org/FAD/fdd/view?i=109564</v>
      </c>
      <c r="K7302" s="304" t="s">
        <v>41351</v>
      </c>
      <c r="L7302" s="202">
        <v>2</v>
      </c>
      <c r="M7302" s="179" t="s">
        <v>151</v>
      </c>
    </row>
    <row r="7303" spans="1:13" ht="25.5">
      <c r="A7303" s="313" t="str">
        <f t="shared" si="114"/>
        <v>WaterLevelEffectCode_alwaysSubmerged</v>
      </c>
      <c r="B7303" s="330"/>
      <c r="C7303" s="334"/>
      <c r="D7303" s="188" t="s">
        <v>32959</v>
      </c>
      <c r="E7303" s="189" t="s">
        <v>32960</v>
      </c>
      <c r="F7303" s="162" t="s">
        <v>32961</v>
      </c>
      <c r="G7303" s="190"/>
      <c r="H7303" s="219"/>
      <c r="I7303" s="169">
        <v>109565</v>
      </c>
      <c r="J7303" s="304" t="str">
        <f>CONCATENATE([2]Cover!$D$6,"fdd/view?i=",I7303)</f>
        <v>https://www.dgiwg.org/FAD/fdd/view?i=109565</v>
      </c>
      <c r="K7303" s="304" t="s">
        <v>41352</v>
      </c>
      <c r="L7303" s="188">
        <v>3</v>
      </c>
      <c r="M7303" s="179" t="s">
        <v>151</v>
      </c>
    </row>
    <row r="7304" spans="1:13" ht="25.5">
      <c r="A7304" s="313" t="str">
        <f t="shared" si="114"/>
        <v>WaterLevelEffectCode_awashAtChartDatum</v>
      </c>
      <c r="B7304" s="330"/>
      <c r="C7304" s="334"/>
      <c r="D7304" s="188" t="s">
        <v>32962</v>
      </c>
      <c r="E7304" s="189" t="s">
        <v>32963</v>
      </c>
      <c r="F7304" s="162" t="s">
        <v>32964</v>
      </c>
      <c r="G7304" s="190"/>
      <c r="H7304" s="219"/>
      <c r="I7304" s="169">
        <v>110644</v>
      </c>
      <c r="J7304" s="304" t="str">
        <f>CONCATENATE([2]Cover!$D$6,"fdd/view?i=",I7304)</f>
        <v>https://www.dgiwg.org/FAD/fdd/view?i=110644</v>
      </c>
      <c r="K7304" s="304" t="s">
        <v>41353</v>
      </c>
      <c r="L7304" s="188">
        <v>9</v>
      </c>
      <c r="M7304" s="179" t="s">
        <v>151</v>
      </c>
    </row>
    <row r="7305" spans="1:13" ht="25.5">
      <c r="A7305" s="313" t="str">
        <f t="shared" si="114"/>
        <v>WaterLevelEffectCode_awashAtLowWater</v>
      </c>
      <c r="B7305" s="330"/>
      <c r="C7305" s="334"/>
      <c r="D7305" s="188" t="s">
        <v>32965</v>
      </c>
      <c r="E7305" s="189" t="s">
        <v>32966</v>
      </c>
      <c r="F7305" s="162" t="s">
        <v>32967</v>
      </c>
      <c r="G7305" s="190"/>
      <c r="H7305" s="219"/>
      <c r="I7305" s="169">
        <v>109567</v>
      </c>
      <c r="J7305" s="304" t="str">
        <f>CONCATENATE([2]Cover!$D$6,"fdd/view?i=",I7305)</f>
        <v>https://www.dgiwg.org/FAD/fdd/view?i=109567</v>
      </c>
      <c r="K7305" s="304" t="s">
        <v>41354</v>
      </c>
      <c r="L7305" s="188">
        <v>5</v>
      </c>
      <c r="M7305" s="179" t="s">
        <v>151</v>
      </c>
    </row>
    <row r="7306" spans="1:13" ht="38.25">
      <c r="A7306" s="313" t="str">
        <f t="shared" si="114"/>
        <v>WaterLevelEffectCode_coversAndUncovers</v>
      </c>
      <c r="B7306" s="330"/>
      <c r="C7306" s="334"/>
      <c r="D7306" s="188" t="s">
        <v>32968</v>
      </c>
      <c r="E7306" s="189" t="s">
        <v>32969</v>
      </c>
      <c r="F7306" s="162" t="s">
        <v>32970</v>
      </c>
      <c r="G7306" s="190"/>
      <c r="H7306" s="219"/>
      <c r="I7306" s="169">
        <v>109566</v>
      </c>
      <c r="J7306" s="304" t="str">
        <f>CONCATENATE([2]Cover!$D$6,"fdd/view?i=",I7306)</f>
        <v>https://www.dgiwg.org/FAD/fdd/view?i=109566</v>
      </c>
      <c r="K7306" s="304" t="s">
        <v>41355</v>
      </c>
      <c r="L7306" s="188">
        <v>4</v>
      </c>
      <c r="M7306" s="179" t="s">
        <v>151</v>
      </c>
    </row>
    <row r="7307" spans="1:13" ht="25.5">
      <c r="A7307" s="313" t="str">
        <f t="shared" si="114"/>
        <v>WaterLevelEffectCode_partlySubmerged</v>
      </c>
      <c r="B7307" s="331"/>
      <c r="C7307" s="335"/>
      <c r="D7307" s="181" t="s">
        <v>32971</v>
      </c>
      <c r="E7307" s="192" t="s">
        <v>32972</v>
      </c>
      <c r="F7307" s="193" t="s">
        <v>32973</v>
      </c>
      <c r="G7307" s="194"/>
      <c r="H7307" s="220"/>
      <c r="I7307" s="169">
        <v>109563</v>
      </c>
      <c r="J7307" s="304" t="str">
        <f>CONCATENATE([2]Cover!$D$6,"fdd/view?i=",I7307)</f>
        <v>https://www.dgiwg.org/FAD/fdd/view?i=109563</v>
      </c>
      <c r="K7307" s="304" t="s">
        <v>41356</v>
      </c>
      <c r="L7307" s="181">
        <v>1</v>
      </c>
      <c r="M7307" s="179" t="s">
        <v>151</v>
      </c>
    </row>
    <row r="7308" spans="1:13" ht="25.5">
      <c r="A7308" s="313" t="str">
        <f t="shared" si="114"/>
        <v>WaterPotabilityCode_contaminated</v>
      </c>
      <c r="B7308" s="332" t="str">
        <f>HYPERLINK("[#]Datatypes!A1558:L1558","WaterPotabilityCode")</f>
        <v>WaterPotabilityCode</v>
      </c>
      <c r="C7308" s="333" t="s">
        <v>13198</v>
      </c>
      <c r="D7308" s="202" t="s">
        <v>32974</v>
      </c>
      <c r="E7308" s="203" t="s">
        <v>32975</v>
      </c>
      <c r="F7308" s="204" t="s">
        <v>32976</v>
      </c>
      <c r="G7308" s="204" t="s">
        <v>32977</v>
      </c>
      <c r="H7308" s="218"/>
      <c r="I7308" s="169">
        <v>109798</v>
      </c>
      <c r="J7308" s="304" t="str">
        <f>CONCATENATE([2]Cover!$D$6,"fdd/view?i=",I7308)</f>
        <v>https://www.dgiwg.org/FAD/fdd/view?i=109798</v>
      </c>
      <c r="K7308" s="304" t="s">
        <v>41357</v>
      </c>
      <c r="L7308" s="202">
        <v>3</v>
      </c>
      <c r="M7308" s="179" t="s">
        <v>151</v>
      </c>
    </row>
    <row r="7309" spans="1:13">
      <c r="A7309" s="313" t="str">
        <f t="shared" si="114"/>
        <v>WaterPotabilityCode_nonpotable</v>
      </c>
      <c r="B7309" s="330"/>
      <c r="C7309" s="334"/>
      <c r="D7309" s="188" t="s">
        <v>32978</v>
      </c>
      <c r="E7309" s="189" t="s">
        <v>32979</v>
      </c>
      <c r="F7309" s="162" t="s">
        <v>32980</v>
      </c>
      <c r="G7309" s="190"/>
      <c r="H7309" s="219"/>
      <c r="I7309" s="169">
        <v>109799</v>
      </c>
      <c r="J7309" s="304" t="str">
        <f>CONCATENATE([2]Cover!$D$6,"fdd/view?i=",I7309)</f>
        <v>https://www.dgiwg.org/FAD/fdd/view?i=109799</v>
      </c>
      <c r="K7309" s="304" t="s">
        <v>41358</v>
      </c>
      <c r="L7309" s="188">
        <v>4</v>
      </c>
      <c r="M7309" s="179" t="s">
        <v>151</v>
      </c>
    </row>
    <row r="7310" spans="1:13">
      <c r="A7310" s="313" t="str">
        <f t="shared" si="114"/>
        <v>WaterPotabilityCode_potable</v>
      </c>
      <c r="B7310" s="330"/>
      <c r="C7310" s="334"/>
      <c r="D7310" s="188" t="s">
        <v>32981</v>
      </c>
      <c r="E7310" s="189" t="s">
        <v>32982</v>
      </c>
      <c r="F7310" s="162" t="s">
        <v>32983</v>
      </c>
      <c r="G7310" s="190"/>
      <c r="H7310" s="219"/>
      <c r="I7310" s="169">
        <v>109796</v>
      </c>
      <c r="J7310" s="304" t="str">
        <f>CONCATENATE([2]Cover!$D$6,"fdd/view?i=",I7310)</f>
        <v>https://www.dgiwg.org/FAD/fdd/view?i=109796</v>
      </c>
      <c r="K7310" s="304" t="s">
        <v>41359</v>
      </c>
      <c r="L7310" s="188">
        <v>1</v>
      </c>
      <c r="M7310" s="179" t="s">
        <v>151</v>
      </c>
    </row>
    <row r="7311" spans="1:13" ht="25.5">
      <c r="A7311" s="313" t="str">
        <f t="shared" si="114"/>
        <v>WaterPotabilityCode_treatable</v>
      </c>
      <c r="B7311" s="331"/>
      <c r="C7311" s="335"/>
      <c r="D7311" s="181" t="s">
        <v>32984</v>
      </c>
      <c r="E7311" s="192" t="s">
        <v>32985</v>
      </c>
      <c r="F7311" s="193" t="s">
        <v>32986</v>
      </c>
      <c r="G7311" s="193" t="s">
        <v>32987</v>
      </c>
      <c r="H7311" s="220"/>
      <c r="I7311" s="169">
        <v>109797</v>
      </c>
      <c r="J7311" s="304" t="str">
        <f>CONCATENATE([2]Cover!$D$6,"fdd/view?i=",I7311)</f>
        <v>https://www.dgiwg.org/FAD/fdd/view?i=109797</v>
      </c>
      <c r="K7311" s="304" t="s">
        <v>41360</v>
      </c>
      <c r="L7311" s="181">
        <v>2</v>
      </c>
      <c r="M7311" s="179" t="s">
        <v>151</v>
      </c>
    </row>
    <row r="7312" spans="1:13" ht="63.75">
      <c r="A7312" s="313" t="str">
        <f t="shared" si="114"/>
        <v>WaterRaceTypeCode_flume</v>
      </c>
      <c r="B7312" s="332" t="str">
        <f>HYPERLINK("[#]Datatypes!A1560:L1560","WaterRaceTypeCode")</f>
        <v>WaterRaceTypeCode</v>
      </c>
      <c r="C7312" s="333" t="s">
        <v>13200</v>
      </c>
      <c r="D7312" s="202" t="s">
        <v>32988</v>
      </c>
      <c r="E7312" s="203" t="s">
        <v>32989</v>
      </c>
      <c r="F7312" s="204" t="s">
        <v>32990</v>
      </c>
      <c r="G7312" s="204" t="s">
        <v>32991</v>
      </c>
      <c r="H7312" s="218"/>
      <c r="I7312" s="169">
        <v>117977</v>
      </c>
      <c r="J7312" s="304" t="str">
        <f>CONCATENATE([2]Cover!$D$6,"fdd/view?i=",I7312)</f>
        <v>https://www.dgiwg.org/FAD/fdd/view?i=117977</v>
      </c>
      <c r="K7312" s="304" t="s">
        <v>41361</v>
      </c>
      <c r="L7312" s="202">
        <v>2</v>
      </c>
      <c r="M7312" s="179" t="s">
        <v>151</v>
      </c>
    </row>
    <row r="7313" spans="1:13" ht="25.5">
      <c r="A7313" s="313" t="str">
        <f t="shared" si="114"/>
        <v>WaterRaceTypeCode_headrace</v>
      </c>
      <c r="B7313" s="330"/>
      <c r="C7313" s="334"/>
      <c r="D7313" s="188" t="s">
        <v>32992</v>
      </c>
      <c r="E7313" s="189" t="s">
        <v>32993</v>
      </c>
      <c r="F7313" s="162" t="s">
        <v>32994</v>
      </c>
      <c r="G7313" s="190"/>
      <c r="H7313" s="221" t="s">
        <v>32995</v>
      </c>
      <c r="I7313" s="169">
        <v>117978</v>
      </c>
      <c r="J7313" s="304" t="str">
        <f>CONCATENATE([2]Cover!$D$6,"fdd/view?i=",I7313)</f>
        <v>https://www.dgiwg.org/FAD/fdd/view?i=117978</v>
      </c>
      <c r="K7313" s="304" t="s">
        <v>41362</v>
      </c>
      <c r="L7313" s="188">
        <v>3</v>
      </c>
      <c r="M7313" s="179" t="s">
        <v>151</v>
      </c>
    </row>
    <row r="7314" spans="1:13" ht="38.25">
      <c r="A7314" s="313" t="str">
        <f t="shared" si="114"/>
        <v>WaterRaceTypeCode_sluice</v>
      </c>
      <c r="B7314" s="330"/>
      <c r="C7314" s="334"/>
      <c r="D7314" s="188" t="s">
        <v>32996</v>
      </c>
      <c r="E7314" s="189" t="s">
        <v>32997</v>
      </c>
      <c r="F7314" s="162" t="s">
        <v>32998</v>
      </c>
      <c r="G7314" s="162" t="s">
        <v>32999</v>
      </c>
      <c r="H7314" s="219"/>
      <c r="I7314" s="169">
        <v>117976</v>
      </c>
      <c r="J7314" s="304" t="str">
        <f>CONCATENATE([2]Cover!$D$6,"fdd/view?i=",I7314)</f>
        <v>https://www.dgiwg.org/FAD/fdd/view?i=117976</v>
      </c>
      <c r="K7314" s="304" t="s">
        <v>41363</v>
      </c>
      <c r="L7314" s="188">
        <v>1</v>
      </c>
      <c r="M7314" s="179" t="s">
        <v>151</v>
      </c>
    </row>
    <row r="7315" spans="1:13" ht="25.5">
      <c r="A7315" s="313" t="str">
        <f t="shared" si="114"/>
        <v>WaterRaceTypeCode_tailrace</v>
      </c>
      <c r="B7315" s="331"/>
      <c r="C7315" s="335"/>
      <c r="D7315" s="181" t="s">
        <v>33000</v>
      </c>
      <c r="E7315" s="192" t="s">
        <v>33001</v>
      </c>
      <c r="F7315" s="193" t="s">
        <v>33002</v>
      </c>
      <c r="G7315" s="194"/>
      <c r="H7315" s="220"/>
      <c r="I7315" s="169">
        <v>117979</v>
      </c>
      <c r="J7315" s="304" t="str">
        <f>CONCATENATE([2]Cover!$D$6,"fdd/view?i=",I7315)</f>
        <v>https://www.dgiwg.org/FAD/fdd/view?i=117979</v>
      </c>
      <c r="K7315" s="304" t="s">
        <v>41364</v>
      </c>
      <c r="L7315" s="181">
        <v>4</v>
      </c>
      <c r="M7315" s="179" t="s">
        <v>151</v>
      </c>
    </row>
    <row r="7316" spans="1:13" ht="51">
      <c r="A7316" s="313" t="str">
        <f t="shared" si="114"/>
        <v>WaterTurbulenceTypeCode_breakers</v>
      </c>
      <c r="B7316" s="332" t="str">
        <f>HYPERLINK("[#]Datatypes!A1562:L1562","WaterTurbulenceTypeCode")</f>
        <v>WaterTurbulenceTypeCode</v>
      </c>
      <c r="C7316" s="333" t="s">
        <v>13202</v>
      </c>
      <c r="D7316" s="202" t="s">
        <v>33003</v>
      </c>
      <c r="E7316" s="203" t="s">
        <v>33004</v>
      </c>
      <c r="F7316" s="204" t="s">
        <v>33005</v>
      </c>
      <c r="G7316" s="204" t="s">
        <v>33006</v>
      </c>
      <c r="H7316" s="218"/>
      <c r="I7316" s="169">
        <v>112731</v>
      </c>
      <c r="J7316" s="304" t="str">
        <f>CONCATENATE([2]Cover!$D$6,"fdd/view?i=",I7316)</f>
        <v>https://www.dgiwg.org/FAD/fdd/view?i=112731</v>
      </c>
      <c r="K7316" s="304" t="s">
        <v>41365</v>
      </c>
      <c r="L7316" s="202">
        <v>8</v>
      </c>
      <c r="M7316" s="179" t="s">
        <v>151</v>
      </c>
    </row>
    <row r="7317" spans="1:13" ht="51">
      <c r="A7317" s="313" t="str">
        <f t="shared" si="114"/>
        <v>WaterTurbulenceTypeCode_confusedSeas</v>
      </c>
      <c r="B7317" s="330"/>
      <c r="C7317" s="334"/>
      <c r="D7317" s="188" t="s">
        <v>33007</v>
      </c>
      <c r="E7317" s="189" t="s">
        <v>33008</v>
      </c>
      <c r="F7317" s="162" t="s">
        <v>33009</v>
      </c>
      <c r="G7317" s="162" t="s">
        <v>33010</v>
      </c>
      <c r="H7317" s="219"/>
      <c r="I7317" s="169">
        <v>112847</v>
      </c>
      <c r="J7317" s="304" t="str">
        <f>CONCATENATE([2]Cover!$D$6,"fdd/view?i=",I7317)</f>
        <v>https://www.dgiwg.org/FAD/fdd/view?i=112847</v>
      </c>
      <c r="K7317" s="304" t="s">
        <v>41366</v>
      </c>
      <c r="L7317" s="188">
        <v>9</v>
      </c>
      <c r="M7317" s="179" t="s">
        <v>151</v>
      </c>
    </row>
    <row r="7318" spans="1:13" ht="38.25">
      <c r="A7318" s="313" t="str">
        <f t="shared" si="114"/>
        <v>WaterTurbulenceTypeCode_eddies</v>
      </c>
      <c r="B7318" s="330"/>
      <c r="C7318" s="334"/>
      <c r="D7318" s="188" t="s">
        <v>33011</v>
      </c>
      <c r="E7318" s="189" t="s">
        <v>33012</v>
      </c>
      <c r="F7318" s="162" t="s">
        <v>33013</v>
      </c>
      <c r="G7318" s="190"/>
      <c r="H7318" s="219"/>
      <c r="I7318" s="169">
        <v>109894</v>
      </c>
      <c r="J7318" s="304" t="str">
        <f>CONCATENATE([2]Cover!$D$6,"fdd/view?i=",I7318)</f>
        <v>https://www.dgiwg.org/FAD/fdd/view?i=109894</v>
      </c>
      <c r="K7318" s="304" t="s">
        <v>41367</v>
      </c>
      <c r="L7318" s="188">
        <v>4</v>
      </c>
      <c r="M7318" s="179" t="s">
        <v>151</v>
      </c>
    </row>
    <row r="7319" spans="1:13" ht="38.25">
      <c r="A7319" s="313" t="str">
        <f t="shared" si="114"/>
        <v>WaterTurbulenceTypeCode_overfalls</v>
      </c>
      <c r="B7319" s="330"/>
      <c r="C7319" s="334"/>
      <c r="D7319" s="188" t="s">
        <v>33014</v>
      </c>
      <c r="E7319" s="189" t="s">
        <v>33015</v>
      </c>
      <c r="F7319" s="162" t="s">
        <v>33016</v>
      </c>
      <c r="G7319" s="190"/>
      <c r="H7319" s="219"/>
      <c r="I7319" s="169">
        <v>109895</v>
      </c>
      <c r="J7319" s="304" t="str">
        <f>CONCATENATE([2]Cover!$D$6,"fdd/view?i=",I7319)</f>
        <v>https://www.dgiwg.org/FAD/fdd/view?i=109895</v>
      </c>
      <c r="K7319" s="304" t="s">
        <v>41368</v>
      </c>
      <c r="L7319" s="188">
        <v>5</v>
      </c>
      <c r="M7319" s="179" t="s">
        <v>151</v>
      </c>
    </row>
    <row r="7320" spans="1:13" ht="25.5">
      <c r="A7320" s="313" t="str">
        <f t="shared" si="114"/>
        <v>WaterTurbulenceTypeCode_plungingBreakers</v>
      </c>
      <c r="B7320" s="330"/>
      <c r="C7320" s="334"/>
      <c r="D7320" s="188" t="s">
        <v>33017</v>
      </c>
      <c r="E7320" s="189" t="s">
        <v>33018</v>
      </c>
      <c r="F7320" s="162" t="s">
        <v>33019</v>
      </c>
      <c r="G7320" s="190"/>
      <c r="H7320" s="219"/>
      <c r="I7320" s="169">
        <v>109892</v>
      </c>
      <c r="J7320" s="304" t="str">
        <f>CONCATENATE([2]Cover!$D$6,"fdd/view?i=",I7320)</f>
        <v>https://www.dgiwg.org/FAD/fdd/view?i=109892</v>
      </c>
      <c r="K7320" s="304" t="s">
        <v>41369</v>
      </c>
      <c r="L7320" s="188">
        <v>2</v>
      </c>
      <c r="M7320" s="179" t="s">
        <v>151</v>
      </c>
    </row>
    <row r="7321" spans="1:13" ht="25.5">
      <c r="A7321" s="313" t="str">
        <f t="shared" si="114"/>
        <v>WaterTurbulenceTypeCode_spillingBreakers</v>
      </c>
      <c r="B7321" s="330"/>
      <c r="C7321" s="334"/>
      <c r="D7321" s="188" t="s">
        <v>33020</v>
      </c>
      <c r="E7321" s="189" t="s">
        <v>33021</v>
      </c>
      <c r="F7321" s="162" t="s">
        <v>33022</v>
      </c>
      <c r="G7321" s="190"/>
      <c r="H7321" s="219"/>
      <c r="I7321" s="169">
        <v>109891</v>
      </c>
      <c r="J7321" s="304" t="str">
        <f>CONCATENATE([2]Cover!$D$6,"fdd/view?i=",I7321)</f>
        <v>https://www.dgiwg.org/FAD/fdd/view?i=109891</v>
      </c>
      <c r="K7321" s="304" t="s">
        <v>41370</v>
      </c>
      <c r="L7321" s="188">
        <v>1</v>
      </c>
      <c r="M7321" s="179" t="s">
        <v>151</v>
      </c>
    </row>
    <row r="7322" spans="1:13" ht="25.5">
      <c r="A7322" s="313" t="str">
        <f t="shared" si="114"/>
        <v>WaterTurbulenceTypeCode_surgingBreakers</v>
      </c>
      <c r="B7322" s="330"/>
      <c r="C7322" s="334"/>
      <c r="D7322" s="188" t="s">
        <v>33023</v>
      </c>
      <c r="E7322" s="189" t="s">
        <v>33024</v>
      </c>
      <c r="F7322" s="162" t="s">
        <v>33025</v>
      </c>
      <c r="G7322" s="190"/>
      <c r="H7322" s="219"/>
      <c r="I7322" s="169">
        <v>109893</v>
      </c>
      <c r="J7322" s="304" t="str">
        <f>CONCATENATE([2]Cover!$D$6,"fdd/view?i=",I7322)</f>
        <v>https://www.dgiwg.org/FAD/fdd/view?i=109893</v>
      </c>
      <c r="K7322" s="304" t="s">
        <v>41371</v>
      </c>
      <c r="L7322" s="188">
        <v>3</v>
      </c>
      <c r="M7322" s="179" t="s">
        <v>151</v>
      </c>
    </row>
    <row r="7323" spans="1:13" ht="25.5">
      <c r="A7323" s="313" t="str">
        <f t="shared" si="114"/>
        <v>WaterTurbulenceTypeCode_tideRips</v>
      </c>
      <c r="B7323" s="330"/>
      <c r="C7323" s="334"/>
      <c r="D7323" s="188" t="s">
        <v>33026</v>
      </c>
      <c r="E7323" s="189" t="s">
        <v>33027</v>
      </c>
      <c r="F7323" s="162" t="s">
        <v>33028</v>
      </c>
      <c r="G7323" s="190"/>
      <c r="H7323" s="219"/>
      <c r="I7323" s="169">
        <v>109896</v>
      </c>
      <c r="J7323" s="304" t="str">
        <f>CONCATENATE([2]Cover!$D$6,"fdd/view?i=",I7323)</f>
        <v>https://www.dgiwg.org/FAD/fdd/view?i=109896</v>
      </c>
      <c r="K7323" s="304" t="s">
        <v>41372</v>
      </c>
      <c r="L7323" s="188">
        <v>6</v>
      </c>
      <c r="M7323" s="179" t="s">
        <v>151</v>
      </c>
    </row>
    <row r="7324" spans="1:13" ht="25.5">
      <c r="A7324" s="313" t="str">
        <f t="shared" si="114"/>
        <v>WaterTurbulenceTypeCode_whirlpool</v>
      </c>
      <c r="B7324" s="331"/>
      <c r="C7324" s="335"/>
      <c r="D7324" s="181" t="s">
        <v>33029</v>
      </c>
      <c r="E7324" s="192" t="s">
        <v>33030</v>
      </c>
      <c r="F7324" s="193" t="s">
        <v>33031</v>
      </c>
      <c r="G7324" s="193" t="s">
        <v>33032</v>
      </c>
      <c r="H7324" s="220"/>
      <c r="I7324" s="169">
        <v>112725</v>
      </c>
      <c r="J7324" s="304" t="str">
        <f>CONCATENATE([2]Cover!$D$6,"fdd/view?i=",I7324)</f>
        <v>https://www.dgiwg.org/FAD/fdd/view?i=112725</v>
      </c>
      <c r="K7324" s="304" t="s">
        <v>41373</v>
      </c>
      <c r="L7324" s="181">
        <v>7</v>
      </c>
      <c r="M7324" s="179" t="s">
        <v>151</v>
      </c>
    </row>
    <row r="7325" spans="1:13">
      <c r="A7325" s="313" t="str">
        <f t="shared" si="114"/>
        <v>WaterTypeCode_alkaline</v>
      </c>
      <c r="B7325" s="332" t="str">
        <f>HYPERLINK("[#]Datatypes!A1564:L1564","WaterTypeCode")</f>
        <v>WaterTypeCode</v>
      </c>
      <c r="C7325" s="333" t="s">
        <v>13204</v>
      </c>
      <c r="D7325" s="202" t="s">
        <v>33033</v>
      </c>
      <c r="E7325" s="203" t="s">
        <v>33034</v>
      </c>
      <c r="F7325" s="204" t="s">
        <v>33035</v>
      </c>
      <c r="G7325" s="205"/>
      <c r="H7325" s="218"/>
      <c r="I7325" s="169">
        <v>107446</v>
      </c>
      <c r="J7325" s="304" t="str">
        <f>CONCATENATE([2]Cover!$D$6,"fdd/view?i=",I7325)</f>
        <v>https://www.dgiwg.org/FAD/fdd/view?i=107446</v>
      </c>
      <c r="K7325" s="304" t="s">
        <v>41374</v>
      </c>
      <c r="L7325" s="202">
        <v>1</v>
      </c>
      <c r="M7325" s="179" t="s">
        <v>151</v>
      </c>
    </row>
    <row r="7326" spans="1:13" ht="51">
      <c r="A7326" s="313" t="str">
        <f t="shared" si="114"/>
        <v>WaterTypeCode_brackish</v>
      </c>
      <c r="B7326" s="330"/>
      <c r="C7326" s="334"/>
      <c r="D7326" s="188" t="s">
        <v>33036</v>
      </c>
      <c r="E7326" s="189" t="s">
        <v>33037</v>
      </c>
      <c r="F7326" s="162" t="s">
        <v>33038</v>
      </c>
      <c r="G7326" s="162" t="s">
        <v>33039</v>
      </c>
      <c r="H7326" s="219"/>
      <c r="I7326" s="169">
        <v>110404</v>
      </c>
      <c r="J7326" s="304" t="str">
        <f>CONCATENATE([2]Cover!$D$6,"fdd/view?i=",I7326)</f>
        <v>https://www.dgiwg.org/FAD/fdd/view?i=110404</v>
      </c>
      <c r="K7326" s="304" t="s">
        <v>41375</v>
      </c>
      <c r="L7326" s="188">
        <v>12</v>
      </c>
      <c r="M7326" s="179" t="s">
        <v>151</v>
      </c>
    </row>
    <row r="7327" spans="1:13" ht="25.5">
      <c r="A7327" s="313" t="str">
        <f t="shared" si="114"/>
        <v>WaterTypeCode_brine</v>
      </c>
      <c r="B7327" s="330"/>
      <c r="C7327" s="334"/>
      <c r="D7327" s="188" t="s">
        <v>28577</v>
      </c>
      <c r="E7327" s="189" t="s">
        <v>28578</v>
      </c>
      <c r="F7327" s="162" t="s">
        <v>33040</v>
      </c>
      <c r="G7327" s="162" t="s">
        <v>33041</v>
      </c>
      <c r="H7327" s="219"/>
      <c r="I7327" s="169">
        <v>112796</v>
      </c>
      <c r="J7327" s="304" t="str">
        <f>CONCATENATE([2]Cover!$D$6,"fdd/view?i=",I7327)</f>
        <v>https://www.dgiwg.org/FAD/fdd/view?i=112796</v>
      </c>
      <c r="K7327" s="304" t="s">
        <v>41376</v>
      </c>
      <c r="L7327" s="188">
        <v>14</v>
      </c>
      <c r="M7327" s="179" t="s">
        <v>151</v>
      </c>
    </row>
    <row r="7328" spans="1:13" ht="38.25">
      <c r="A7328" s="313" t="str">
        <f t="shared" si="114"/>
        <v>WaterTypeCode_fresh</v>
      </c>
      <c r="B7328" s="330"/>
      <c r="C7328" s="334"/>
      <c r="D7328" s="188" t="s">
        <v>33042</v>
      </c>
      <c r="E7328" s="189" t="s">
        <v>33043</v>
      </c>
      <c r="F7328" s="162" t="s">
        <v>33044</v>
      </c>
      <c r="G7328" s="162" t="s">
        <v>33045</v>
      </c>
      <c r="H7328" s="219"/>
      <c r="I7328" s="169">
        <v>107454</v>
      </c>
      <c r="J7328" s="304" t="str">
        <f>CONCATENATE([2]Cover!$D$6,"fdd/view?i=",I7328)</f>
        <v>https://www.dgiwg.org/FAD/fdd/view?i=107454</v>
      </c>
      <c r="K7328" s="304" t="s">
        <v>41377</v>
      </c>
      <c r="L7328" s="188">
        <v>11</v>
      </c>
      <c r="M7328" s="179" t="s">
        <v>151</v>
      </c>
    </row>
    <row r="7329" spans="1:13" ht="38.25">
      <c r="A7329" s="313" t="str">
        <f t="shared" si="114"/>
        <v>WaterTypeCode_mineral</v>
      </c>
      <c r="B7329" s="330"/>
      <c r="C7329" s="334"/>
      <c r="D7329" s="188" t="s">
        <v>33046</v>
      </c>
      <c r="E7329" s="189" t="s">
        <v>33047</v>
      </c>
      <c r="F7329" s="162" t="s">
        <v>33048</v>
      </c>
      <c r="G7329" s="190"/>
      <c r="H7329" s="219"/>
      <c r="I7329" s="169">
        <v>107449</v>
      </c>
      <c r="J7329" s="304" t="str">
        <f>CONCATENATE([2]Cover!$D$6,"fdd/view?i=",I7329)</f>
        <v>https://www.dgiwg.org/FAD/fdd/view?i=107449</v>
      </c>
      <c r="K7329" s="304" t="s">
        <v>41378</v>
      </c>
      <c r="L7329" s="188">
        <v>4</v>
      </c>
      <c r="M7329" s="179" t="s">
        <v>151</v>
      </c>
    </row>
    <row r="7330" spans="1:13" ht="25.5">
      <c r="A7330" s="313" t="str">
        <f t="shared" si="114"/>
        <v>WaterTypeCode_saline</v>
      </c>
      <c r="B7330" s="330"/>
      <c r="C7330" s="334"/>
      <c r="D7330" s="188" t="s">
        <v>33049</v>
      </c>
      <c r="E7330" s="189" t="s">
        <v>33050</v>
      </c>
      <c r="F7330" s="162" t="s">
        <v>33051</v>
      </c>
      <c r="G7330" s="190"/>
      <c r="H7330" s="219"/>
      <c r="I7330" s="169">
        <v>107453</v>
      </c>
      <c r="J7330" s="304" t="str">
        <f>CONCATENATE([2]Cover!$D$6,"fdd/view?i=",I7330)</f>
        <v>https://www.dgiwg.org/FAD/fdd/view?i=107453</v>
      </c>
      <c r="K7330" s="304" t="s">
        <v>41379</v>
      </c>
      <c r="L7330" s="188">
        <v>10</v>
      </c>
      <c r="M7330" s="179" t="s">
        <v>151</v>
      </c>
    </row>
    <row r="7331" spans="1:13" ht="25.5">
      <c r="A7331" s="313" t="str">
        <f t="shared" si="114"/>
        <v>WaterTypeCode_seawater</v>
      </c>
      <c r="B7331" s="331"/>
      <c r="C7331" s="335"/>
      <c r="D7331" s="181" t="s">
        <v>33052</v>
      </c>
      <c r="E7331" s="192" t="s">
        <v>33053</v>
      </c>
      <c r="F7331" s="193" t="s">
        <v>33054</v>
      </c>
      <c r="G7331" s="194"/>
      <c r="H7331" s="220"/>
      <c r="I7331" s="169">
        <v>110405</v>
      </c>
      <c r="J7331" s="304" t="str">
        <f>CONCATENATE([2]Cover!$D$6,"fdd/view?i=",I7331)</f>
        <v>https://www.dgiwg.org/FAD/fdd/view?i=110405</v>
      </c>
      <c r="K7331" s="304" t="s">
        <v>41380</v>
      </c>
      <c r="L7331" s="181">
        <v>13</v>
      </c>
      <c r="M7331" s="179" t="s">
        <v>151</v>
      </c>
    </row>
    <row r="7332" spans="1:13" ht="25.5">
      <c r="A7332" s="313" t="str">
        <f t="shared" si="114"/>
        <v>WaterUseCode_agriculturalIrrigation</v>
      </c>
      <c r="B7332" s="332" t="str">
        <f>HYPERLINK("[#]Datatypes!A1566:L1566","WaterUseCode")</f>
        <v>WaterUseCode</v>
      </c>
      <c r="C7332" s="333" t="s">
        <v>13206</v>
      </c>
      <c r="D7332" s="202" t="s">
        <v>33055</v>
      </c>
      <c r="E7332" s="203" t="s">
        <v>33056</v>
      </c>
      <c r="F7332" s="204" t="s">
        <v>33057</v>
      </c>
      <c r="G7332" s="205"/>
      <c r="H7332" s="218"/>
      <c r="I7332" s="169">
        <v>119414</v>
      </c>
      <c r="J7332" s="304" t="str">
        <f>CONCATENATE([2]Cover!$D$6,"fdd/view?i=",I7332)</f>
        <v>https://www.dgiwg.org/FAD/fdd/view?i=119414</v>
      </c>
      <c r="K7332" s="304" t="s">
        <v>41381</v>
      </c>
      <c r="L7332" s="202">
        <v>1</v>
      </c>
      <c r="M7332" s="179" t="s">
        <v>151</v>
      </c>
    </row>
    <row r="7333" spans="1:13" ht="25.5">
      <c r="A7333" s="313" t="str">
        <f t="shared" si="114"/>
        <v>WaterUseCode_commercial</v>
      </c>
      <c r="B7333" s="330"/>
      <c r="C7333" s="334"/>
      <c r="D7333" s="188" t="s">
        <v>33058</v>
      </c>
      <c r="E7333" s="189" t="s">
        <v>33059</v>
      </c>
      <c r="F7333" s="162" t="s">
        <v>33060</v>
      </c>
      <c r="G7333" s="162" t="s">
        <v>33061</v>
      </c>
      <c r="H7333" s="219"/>
      <c r="I7333" s="169">
        <v>119415</v>
      </c>
      <c r="J7333" s="304" t="str">
        <f>CONCATENATE([2]Cover!$D$6,"fdd/view?i=",I7333)</f>
        <v>https://www.dgiwg.org/FAD/fdd/view?i=119415</v>
      </c>
      <c r="K7333" s="304" t="s">
        <v>41382</v>
      </c>
      <c r="L7333" s="188">
        <v>2</v>
      </c>
      <c r="M7333" s="179" t="s">
        <v>151</v>
      </c>
    </row>
    <row r="7334" spans="1:13" ht="25.5">
      <c r="A7334" s="313" t="str">
        <f t="shared" si="114"/>
        <v>WaterUseCode_domesticIrrigation</v>
      </c>
      <c r="B7334" s="330"/>
      <c r="C7334" s="334"/>
      <c r="D7334" s="188" t="s">
        <v>33062</v>
      </c>
      <c r="E7334" s="189" t="s">
        <v>33063</v>
      </c>
      <c r="F7334" s="162" t="s">
        <v>33064</v>
      </c>
      <c r="G7334" s="162" t="s">
        <v>33065</v>
      </c>
      <c r="H7334" s="219"/>
      <c r="I7334" s="169">
        <v>119416</v>
      </c>
      <c r="J7334" s="304" t="str">
        <f>CONCATENATE([2]Cover!$D$6,"fdd/view?i=",I7334)</f>
        <v>https://www.dgiwg.org/FAD/fdd/view?i=119416</v>
      </c>
      <c r="K7334" s="304" t="s">
        <v>41383</v>
      </c>
      <c r="L7334" s="188">
        <v>3</v>
      </c>
      <c r="M7334" s="179" t="s">
        <v>151</v>
      </c>
    </row>
    <row r="7335" spans="1:13" ht="38.25">
      <c r="A7335" s="313" t="str">
        <f t="shared" si="114"/>
        <v>WaterUseCode_industrial</v>
      </c>
      <c r="B7335" s="330"/>
      <c r="C7335" s="334"/>
      <c r="D7335" s="188" t="s">
        <v>33066</v>
      </c>
      <c r="E7335" s="189" t="s">
        <v>33067</v>
      </c>
      <c r="F7335" s="162" t="s">
        <v>33068</v>
      </c>
      <c r="G7335" s="162" t="s">
        <v>33069</v>
      </c>
      <c r="H7335" s="219"/>
      <c r="I7335" s="169">
        <v>119417</v>
      </c>
      <c r="J7335" s="304" t="str">
        <f>CONCATENATE([2]Cover!$D$6,"fdd/view?i=",I7335)</f>
        <v>https://www.dgiwg.org/FAD/fdd/view?i=119417</v>
      </c>
      <c r="K7335" s="304" t="s">
        <v>41384</v>
      </c>
      <c r="L7335" s="188">
        <v>4</v>
      </c>
      <c r="M7335" s="179" t="s">
        <v>151</v>
      </c>
    </row>
    <row r="7336" spans="1:13" ht="38.25">
      <c r="A7336" s="313" t="str">
        <f t="shared" si="114"/>
        <v>WaterUseCode_institutional</v>
      </c>
      <c r="B7336" s="330"/>
      <c r="C7336" s="334"/>
      <c r="D7336" s="188" t="s">
        <v>33070</v>
      </c>
      <c r="E7336" s="189" t="s">
        <v>33071</v>
      </c>
      <c r="F7336" s="162" t="s">
        <v>33072</v>
      </c>
      <c r="G7336" s="190"/>
      <c r="H7336" s="219"/>
      <c r="I7336" s="169">
        <v>119418</v>
      </c>
      <c r="J7336" s="304" t="str">
        <f>CONCATENATE([2]Cover!$D$6,"fdd/view?i=",I7336)</f>
        <v>https://www.dgiwg.org/FAD/fdd/view?i=119418</v>
      </c>
      <c r="K7336" s="304" t="s">
        <v>41385</v>
      </c>
      <c r="L7336" s="188">
        <v>5</v>
      </c>
      <c r="M7336" s="179" t="s">
        <v>151</v>
      </c>
    </row>
    <row r="7337" spans="1:13" ht="25.5">
      <c r="A7337" s="313" t="str">
        <f t="shared" si="114"/>
        <v>WaterUseCode_livestock</v>
      </c>
      <c r="B7337" s="330"/>
      <c r="C7337" s="334"/>
      <c r="D7337" s="188" t="s">
        <v>33073</v>
      </c>
      <c r="E7337" s="189" t="s">
        <v>33074</v>
      </c>
      <c r="F7337" s="162" t="s">
        <v>33075</v>
      </c>
      <c r="G7337" s="190"/>
      <c r="H7337" s="219"/>
      <c r="I7337" s="169">
        <v>119419</v>
      </c>
      <c r="J7337" s="304" t="str">
        <f>CONCATENATE([2]Cover!$D$6,"fdd/view?i=",I7337)</f>
        <v>https://www.dgiwg.org/FAD/fdd/view?i=119419</v>
      </c>
      <c r="K7337" s="304" t="s">
        <v>41386</v>
      </c>
      <c r="L7337" s="188">
        <v>6</v>
      </c>
      <c r="M7337" s="179" t="s">
        <v>151</v>
      </c>
    </row>
    <row r="7338" spans="1:13" ht="25.5">
      <c r="A7338" s="313" t="str">
        <f t="shared" si="114"/>
        <v>WaterUseCode_municipal</v>
      </c>
      <c r="B7338" s="330"/>
      <c r="C7338" s="334"/>
      <c r="D7338" s="188" t="s">
        <v>13394</v>
      </c>
      <c r="E7338" s="189" t="s">
        <v>13395</v>
      </c>
      <c r="F7338" s="162" t="s">
        <v>33076</v>
      </c>
      <c r="G7338" s="162" t="s">
        <v>33077</v>
      </c>
      <c r="H7338" s="219"/>
      <c r="I7338" s="169">
        <v>119420</v>
      </c>
      <c r="J7338" s="304" t="str">
        <f>CONCATENATE([2]Cover!$D$6,"fdd/view?i=",I7338)</f>
        <v>https://www.dgiwg.org/FAD/fdd/view?i=119420</v>
      </c>
      <c r="K7338" s="304" t="s">
        <v>41387</v>
      </c>
      <c r="L7338" s="188">
        <v>7</v>
      </c>
      <c r="M7338" s="179" t="s">
        <v>151</v>
      </c>
    </row>
    <row r="7339" spans="1:13" ht="38.25">
      <c r="A7339" s="313" t="str">
        <f t="shared" si="114"/>
        <v>WaterUseCode_powerGeneration</v>
      </c>
      <c r="B7339" s="330"/>
      <c r="C7339" s="334"/>
      <c r="D7339" s="188" t="s">
        <v>21989</v>
      </c>
      <c r="E7339" s="189" t="s">
        <v>21990</v>
      </c>
      <c r="F7339" s="162" t="s">
        <v>33078</v>
      </c>
      <c r="G7339" s="190"/>
      <c r="H7339" s="219"/>
      <c r="I7339" s="169">
        <v>119421</v>
      </c>
      <c r="J7339" s="304" t="str">
        <f>CONCATENATE([2]Cover!$D$6,"fdd/view?i=",I7339)</f>
        <v>https://www.dgiwg.org/FAD/fdd/view?i=119421</v>
      </c>
      <c r="K7339" s="304" t="s">
        <v>41388</v>
      </c>
      <c r="L7339" s="188">
        <v>8</v>
      </c>
      <c r="M7339" s="179" t="s">
        <v>151</v>
      </c>
    </row>
    <row r="7340" spans="1:13" ht="38.25">
      <c r="A7340" s="313" t="str">
        <f t="shared" si="114"/>
        <v>WaterUseCode_recreational</v>
      </c>
      <c r="B7340" s="330"/>
      <c r="C7340" s="334"/>
      <c r="D7340" s="188" t="s">
        <v>33079</v>
      </c>
      <c r="E7340" s="189" t="s">
        <v>33080</v>
      </c>
      <c r="F7340" s="162" t="s">
        <v>33081</v>
      </c>
      <c r="G7340" s="190"/>
      <c r="H7340" s="219"/>
      <c r="I7340" s="169">
        <v>119422</v>
      </c>
      <c r="J7340" s="304" t="str">
        <f>CONCATENATE([2]Cover!$D$6,"fdd/view?i=",I7340)</f>
        <v>https://www.dgiwg.org/FAD/fdd/view?i=119422</v>
      </c>
      <c r="K7340" s="304" t="s">
        <v>41389</v>
      </c>
      <c r="L7340" s="188">
        <v>9</v>
      </c>
      <c r="M7340" s="179" t="s">
        <v>151</v>
      </c>
    </row>
    <row r="7341" spans="1:13" ht="25.5">
      <c r="A7341" s="313" t="str">
        <f t="shared" si="114"/>
        <v>WaterUseCode_sanitaryDomestic</v>
      </c>
      <c r="B7341" s="331"/>
      <c r="C7341" s="335"/>
      <c r="D7341" s="181" t="s">
        <v>33082</v>
      </c>
      <c r="E7341" s="192" t="s">
        <v>33083</v>
      </c>
      <c r="F7341" s="193" t="s">
        <v>33084</v>
      </c>
      <c r="G7341" s="194"/>
      <c r="H7341" s="223" t="s">
        <v>33085</v>
      </c>
      <c r="I7341" s="169">
        <v>119423</v>
      </c>
      <c r="J7341" s="304" t="str">
        <f>CONCATENATE([2]Cover!$D$6,"fdd/view?i=",I7341)</f>
        <v>https://www.dgiwg.org/FAD/fdd/view?i=119423</v>
      </c>
      <c r="K7341" s="304" t="s">
        <v>41390</v>
      </c>
      <c r="L7341" s="181">
        <v>10</v>
      </c>
      <c r="M7341" s="179" t="s">
        <v>151</v>
      </c>
    </row>
    <row r="7342" spans="1:13" ht="25.5">
      <c r="A7342" s="313" t="str">
        <f t="shared" si="114"/>
        <v>WaterbodyBottomCharacterCode_cable</v>
      </c>
      <c r="B7342" s="332" t="str">
        <f>HYPERLINK("[#]Datatypes!A1568:L1568","WaterbodyBottomCharacterCode")</f>
        <v>WaterbodyBottomCharacterCode</v>
      </c>
      <c r="C7342" s="333" t="s">
        <v>13208</v>
      </c>
      <c r="D7342" s="202" t="s">
        <v>18136</v>
      </c>
      <c r="E7342" s="203" t="s">
        <v>1774</v>
      </c>
      <c r="F7342" s="205"/>
      <c r="G7342" s="205"/>
      <c r="H7342" s="218"/>
      <c r="I7342" s="169">
        <v>200846</v>
      </c>
      <c r="J7342" s="304" t="str">
        <f>CONCATENATE([2]Cover!$D$6,"fdd/view?i=",I7342)</f>
        <v>https://www.dgiwg.org/FAD/fdd/view?i=200846</v>
      </c>
      <c r="K7342" s="304" t="s">
        <v>41391</v>
      </c>
      <c r="L7342" s="202">
        <v>509</v>
      </c>
      <c r="M7342" s="179" t="s">
        <v>1295</v>
      </c>
    </row>
    <row r="7343" spans="1:13" ht="25.5">
      <c r="A7343" s="313" t="str">
        <f t="shared" si="114"/>
        <v>WaterbodyBottomCharacterCode_featureGte0r6MetreHgt</v>
      </c>
      <c r="B7343" s="330"/>
      <c r="C7343" s="334"/>
      <c r="D7343" s="188" t="s">
        <v>33090</v>
      </c>
      <c r="E7343" s="189" t="s">
        <v>33091</v>
      </c>
      <c r="F7343" s="190"/>
      <c r="G7343" s="190"/>
      <c r="H7343" s="219"/>
      <c r="I7343" s="169">
        <v>200842</v>
      </c>
      <c r="J7343" s="304" t="str">
        <f>CONCATENATE([2]Cover!$D$6,"fdd/view?i=",I7343)</f>
        <v>https://www.dgiwg.org/FAD/fdd/view?i=200842</v>
      </c>
      <c r="K7343" s="304" t="s">
        <v>41392</v>
      </c>
      <c r="L7343" s="188">
        <v>505</v>
      </c>
      <c r="M7343" s="179" t="s">
        <v>1295</v>
      </c>
    </row>
    <row r="7344" spans="1:13" ht="38.25">
      <c r="A7344" s="313" t="str">
        <f t="shared" si="114"/>
        <v>WaterbodyBottomCharacterCode_rockAndLedgesGt2MetreHgt</v>
      </c>
      <c r="B7344" s="330"/>
      <c r="C7344" s="334"/>
      <c r="D7344" s="188" t="s">
        <v>33092</v>
      </c>
      <c r="E7344" s="189" t="s">
        <v>33093</v>
      </c>
      <c r="F7344" s="190"/>
      <c r="G7344" s="190"/>
      <c r="H7344" s="219"/>
      <c r="I7344" s="169">
        <v>200840</v>
      </c>
      <c r="J7344" s="304" t="str">
        <f>CONCATENATE([2]Cover!$D$6,"fdd/view?i=",I7344)</f>
        <v>https://www.dgiwg.org/FAD/fdd/view?i=200840</v>
      </c>
      <c r="K7344" s="304" t="s">
        <v>41393</v>
      </c>
      <c r="L7344" s="188">
        <v>503</v>
      </c>
      <c r="M7344" s="179" t="s">
        <v>1295</v>
      </c>
    </row>
    <row r="7345" spans="1:13" ht="38.25">
      <c r="A7345" s="313" t="str">
        <f t="shared" si="114"/>
        <v>WaterbodyBottomCharacterCode_rockAndLedgesLte2MetreHgt</v>
      </c>
      <c r="B7345" s="330"/>
      <c r="C7345" s="334"/>
      <c r="D7345" s="188" t="s">
        <v>33094</v>
      </c>
      <c r="E7345" s="189" t="s">
        <v>33095</v>
      </c>
      <c r="F7345" s="190"/>
      <c r="G7345" s="190"/>
      <c r="H7345" s="219"/>
      <c r="I7345" s="169">
        <v>200841</v>
      </c>
      <c r="J7345" s="304" t="str">
        <f>CONCATENATE([2]Cover!$D$6,"fdd/view?i=",I7345)</f>
        <v>https://www.dgiwg.org/FAD/fdd/view?i=200841</v>
      </c>
      <c r="K7345" s="304" t="s">
        <v>41394</v>
      </c>
      <c r="L7345" s="188">
        <v>504</v>
      </c>
      <c r="M7345" s="179" t="s">
        <v>1295</v>
      </c>
    </row>
    <row r="7346" spans="1:13" ht="25.5">
      <c r="A7346" s="313" t="str">
        <f t="shared" si="114"/>
        <v>WaterbodyBottomCharacterCode_roughHardBottom</v>
      </c>
      <c r="B7346" s="330"/>
      <c r="C7346" s="334"/>
      <c r="D7346" s="188" t="s">
        <v>33096</v>
      </c>
      <c r="E7346" s="189" t="s">
        <v>33097</v>
      </c>
      <c r="F7346" s="190"/>
      <c r="G7346" s="190"/>
      <c r="H7346" s="219"/>
      <c r="I7346" s="169">
        <v>200839</v>
      </c>
      <c r="J7346" s="304" t="str">
        <f>CONCATENATE([2]Cover!$D$6,"fdd/view?i=",I7346)</f>
        <v>https://www.dgiwg.org/FAD/fdd/view?i=200839</v>
      </c>
      <c r="K7346" s="304" t="s">
        <v>41395</v>
      </c>
      <c r="L7346" s="188">
        <v>502</v>
      </c>
      <c r="M7346" s="179" t="s">
        <v>1295</v>
      </c>
    </row>
    <row r="7347" spans="1:13" ht="38.25">
      <c r="A7347" s="313" t="str">
        <f t="shared" si="114"/>
        <v>WaterbodyBottomCharacterCode_scourChanSlopeMayExceed</v>
      </c>
      <c r="B7347" s="330"/>
      <c r="C7347" s="334"/>
      <c r="D7347" s="188" t="s">
        <v>33098</v>
      </c>
      <c r="E7347" s="189" t="s">
        <v>33099</v>
      </c>
      <c r="F7347" s="190"/>
      <c r="G7347" s="190"/>
      <c r="H7347" s="219"/>
      <c r="I7347" s="169">
        <v>200843</v>
      </c>
      <c r="J7347" s="304" t="str">
        <f>CONCATENATE([2]Cover!$D$6,"fdd/view?i=",I7347)</f>
        <v>https://www.dgiwg.org/FAD/fdd/view?i=200843</v>
      </c>
      <c r="K7347" s="304" t="s">
        <v>41396</v>
      </c>
      <c r="L7347" s="188">
        <v>506</v>
      </c>
      <c r="M7347" s="179" t="s">
        <v>1295</v>
      </c>
    </row>
    <row r="7348" spans="1:13" ht="25.5">
      <c r="A7348" s="313" t="str">
        <f t="shared" si="114"/>
        <v>WaterbodyBottomCharacterCode_slopeGt10ArcDegrees</v>
      </c>
      <c r="B7348" s="330"/>
      <c r="C7348" s="334"/>
      <c r="D7348" s="188" t="s">
        <v>33100</v>
      </c>
      <c r="E7348" s="189" t="s">
        <v>33101</v>
      </c>
      <c r="F7348" s="190"/>
      <c r="G7348" s="190"/>
      <c r="H7348" s="219"/>
      <c r="I7348" s="169">
        <v>200844</v>
      </c>
      <c r="J7348" s="304" t="str">
        <f>CONCATENATE([2]Cover!$D$6,"fdd/view?i=",I7348)</f>
        <v>https://www.dgiwg.org/FAD/fdd/view?i=200844</v>
      </c>
      <c r="K7348" s="304" t="s">
        <v>41397</v>
      </c>
      <c r="L7348" s="188">
        <v>507</v>
      </c>
      <c r="M7348" s="179" t="s">
        <v>1295</v>
      </c>
    </row>
    <row r="7349" spans="1:13" ht="38.25">
      <c r="A7349" s="313" t="str">
        <f t="shared" si="114"/>
        <v>WaterbodyBottomCharacterCode_slumpLocalSlopeMayExceed</v>
      </c>
      <c r="B7349" s="330"/>
      <c r="C7349" s="334"/>
      <c r="D7349" s="188" t="s">
        <v>33102</v>
      </c>
      <c r="E7349" s="189" t="s">
        <v>33103</v>
      </c>
      <c r="F7349" s="190"/>
      <c r="G7349" s="190"/>
      <c r="H7349" s="219"/>
      <c r="I7349" s="169">
        <v>200845</v>
      </c>
      <c r="J7349" s="304" t="str">
        <f>CONCATENATE([2]Cover!$D$6,"fdd/view?i=",I7349)</f>
        <v>https://www.dgiwg.org/FAD/fdd/view?i=200845</v>
      </c>
      <c r="K7349" s="304" t="s">
        <v>41398</v>
      </c>
      <c r="L7349" s="188">
        <v>508</v>
      </c>
      <c r="M7349" s="179" t="s">
        <v>1295</v>
      </c>
    </row>
    <row r="7350" spans="1:13" ht="25.5">
      <c r="A7350" s="313" t="str">
        <f t="shared" si="114"/>
        <v>WaterbodyBottomCharacterCode_smoothHardBottom</v>
      </c>
      <c r="B7350" s="330"/>
      <c r="C7350" s="334"/>
      <c r="D7350" s="188" t="s">
        <v>33104</v>
      </c>
      <c r="E7350" s="189" t="s">
        <v>33105</v>
      </c>
      <c r="F7350" s="190"/>
      <c r="G7350" s="190"/>
      <c r="H7350" s="219"/>
      <c r="I7350" s="169">
        <v>200838</v>
      </c>
      <c r="J7350" s="304" t="str">
        <f>CONCATENATE([2]Cover!$D$6,"fdd/view?i=",I7350)</f>
        <v>https://www.dgiwg.org/FAD/fdd/view?i=200838</v>
      </c>
      <c r="K7350" s="304" t="s">
        <v>41399</v>
      </c>
      <c r="L7350" s="188">
        <v>501</v>
      </c>
      <c r="M7350" s="179" t="s">
        <v>1295</v>
      </c>
    </row>
    <row r="7351" spans="1:13" ht="38.25">
      <c r="A7351" s="313" t="str">
        <f t="shared" si="114"/>
        <v>WaterbodyBottomCharacterCode_testDepthsGtZoneLimit</v>
      </c>
      <c r="B7351" s="330"/>
      <c r="C7351" s="334"/>
      <c r="D7351" s="188" t="s">
        <v>33086</v>
      </c>
      <c r="E7351" s="189" t="s">
        <v>33087</v>
      </c>
      <c r="F7351" s="190"/>
      <c r="G7351" s="190"/>
      <c r="H7351" s="219"/>
      <c r="I7351" s="169">
        <v>200848</v>
      </c>
      <c r="J7351" s="304" t="str">
        <f>CONCATENATE([2]Cover!$D$6,"fdd/view?i=",I7351)</f>
        <v>https://www.dgiwg.org/FAD/fdd/view?i=200848</v>
      </c>
      <c r="K7351" s="304" t="s">
        <v>41400</v>
      </c>
      <c r="L7351" s="188">
        <v>511</v>
      </c>
      <c r="M7351" s="179" t="s">
        <v>1295</v>
      </c>
    </row>
    <row r="7352" spans="1:13" ht="38.25">
      <c r="A7352" s="313" t="str">
        <f t="shared" si="114"/>
        <v>WaterbodyBottomCharacterCode_testDepthsLtZoneLimit</v>
      </c>
      <c r="B7352" s="331"/>
      <c r="C7352" s="335"/>
      <c r="D7352" s="181" t="s">
        <v>33088</v>
      </c>
      <c r="E7352" s="192" t="s">
        <v>33089</v>
      </c>
      <c r="F7352" s="194"/>
      <c r="G7352" s="194"/>
      <c r="H7352" s="220"/>
      <c r="I7352" s="169">
        <v>200847</v>
      </c>
      <c r="J7352" s="304" t="str">
        <f>CONCATENATE([2]Cover!$D$6,"fdd/view?i=",I7352)</f>
        <v>https://www.dgiwg.org/FAD/fdd/view?i=200847</v>
      </c>
      <c r="K7352" s="304" t="s">
        <v>41401</v>
      </c>
      <c r="L7352" s="181">
        <v>510</v>
      </c>
      <c r="M7352" s="179" t="s">
        <v>1295</v>
      </c>
    </row>
    <row r="7353" spans="1:13" ht="25.5">
      <c r="A7353" s="313" t="str">
        <f t="shared" si="114"/>
        <v>WaterbodyMorphologyCode_abyssalHills</v>
      </c>
      <c r="B7353" s="332" t="str">
        <f>HYPERLINK("[#]Datatypes!A1570:L1570","WaterbodyMorphologyCode")</f>
        <v>WaterbodyMorphologyCode</v>
      </c>
      <c r="C7353" s="333" t="s">
        <v>13210</v>
      </c>
      <c r="D7353" s="202" t="s">
        <v>33106</v>
      </c>
      <c r="E7353" s="203" t="s">
        <v>33107</v>
      </c>
      <c r="F7353" s="204" t="s">
        <v>33108</v>
      </c>
      <c r="G7353" s="205"/>
      <c r="H7353" s="218"/>
      <c r="I7353" s="169">
        <v>107520</v>
      </c>
      <c r="J7353" s="304" t="str">
        <f>CONCATENATE([2]Cover!$D$6,"fdd/view?i=",I7353)</f>
        <v>https://www.dgiwg.org/FAD/fdd/view?i=107520</v>
      </c>
      <c r="K7353" s="304" t="s">
        <v>41402</v>
      </c>
      <c r="L7353" s="202">
        <v>26</v>
      </c>
      <c r="M7353" s="179" t="s">
        <v>151</v>
      </c>
    </row>
    <row r="7354" spans="1:13" ht="25.5">
      <c r="A7354" s="313" t="str">
        <f t="shared" si="114"/>
        <v>WaterbodyMorphologyCode_abyssalPlain</v>
      </c>
      <c r="B7354" s="330"/>
      <c r="C7354" s="334"/>
      <c r="D7354" s="188" t="s">
        <v>33109</v>
      </c>
      <c r="E7354" s="189" t="s">
        <v>33110</v>
      </c>
      <c r="F7354" s="162" t="s">
        <v>33111</v>
      </c>
      <c r="G7354" s="190"/>
      <c r="H7354" s="219"/>
      <c r="I7354" s="169">
        <v>107514</v>
      </c>
      <c r="J7354" s="304" t="str">
        <f>CONCATENATE([2]Cover!$D$6,"fdd/view?i=",I7354)</f>
        <v>https://www.dgiwg.org/FAD/fdd/view?i=107514</v>
      </c>
      <c r="K7354" s="304" t="s">
        <v>41403</v>
      </c>
      <c r="L7354" s="188">
        <v>20</v>
      </c>
      <c r="M7354" s="179" t="s">
        <v>151</v>
      </c>
    </row>
    <row r="7355" spans="1:13" ht="25.5">
      <c r="A7355" s="313" t="str">
        <f t="shared" si="114"/>
        <v>WaterbodyMorphologyCode_apron</v>
      </c>
      <c r="B7355" s="330"/>
      <c r="C7355" s="334"/>
      <c r="D7355" s="188" t="s">
        <v>15181</v>
      </c>
      <c r="E7355" s="189" t="s">
        <v>1554</v>
      </c>
      <c r="F7355" s="162" t="s">
        <v>33112</v>
      </c>
      <c r="G7355" s="190"/>
      <c r="H7355" s="219"/>
      <c r="I7355" s="169">
        <v>107521</v>
      </c>
      <c r="J7355" s="304" t="str">
        <f>CONCATENATE([2]Cover!$D$6,"fdd/view?i=",I7355)</f>
        <v>https://www.dgiwg.org/FAD/fdd/view?i=107521</v>
      </c>
      <c r="K7355" s="304" t="s">
        <v>41404</v>
      </c>
      <c r="L7355" s="188">
        <v>27</v>
      </c>
      <c r="M7355" s="179" t="s">
        <v>151</v>
      </c>
    </row>
    <row r="7356" spans="1:13">
      <c r="A7356" s="313" t="str">
        <f t="shared" si="114"/>
        <v>WaterbodyMorphologyCode_arch</v>
      </c>
      <c r="B7356" s="330"/>
      <c r="C7356" s="334"/>
      <c r="D7356" s="188" t="s">
        <v>18335</v>
      </c>
      <c r="E7356" s="189" t="s">
        <v>18336</v>
      </c>
      <c r="F7356" s="162" t="s">
        <v>33113</v>
      </c>
      <c r="G7356" s="190"/>
      <c r="H7356" s="219"/>
      <c r="I7356" s="169">
        <v>112801</v>
      </c>
      <c r="J7356" s="304" t="str">
        <f>CONCATENATE([2]Cover!$D$6,"fdd/view?i=",I7356)</f>
        <v>https://www.dgiwg.org/FAD/fdd/view?i=112801</v>
      </c>
      <c r="K7356" s="304" t="s">
        <v>41405</v>
      </c>
      <c r="L7356" s="188">
        <v>75</v>
      </c>
      <c r="M7356" s="179" t="s">
        <v>151</v>
      </c>
    </row>
    <row r="7357" spans="1:13" ht="25.5">
      <c r="A7357" s="313" t="str">
        <f t="shared" si="114"/>
        <v>WaterbodyMorphologyCode_archipelagicApron</v>
      </c>
      <c r="B7357" s="330"/>
      <c r="C7357" s="334"/>
      <c r="D7357" s="188" t="s">
        <v>33114</v>
      </c>
      <c r="E7357" s="189" t="s">
        <v>33115</v>
      </c>
      <c r="F7357" s="162" t="s">
        <v>33116</v>
      </c>
      <c r="G7357" s="190"/>
      <c r="H7357" s="219"/>
      <c r="I7357" s="169">
        <v>107522</v>
      </c>
      <c r="J7357" s="304" t="str">
        <f>CONCATENATE([2]Cover!$D$6,"fdd/view?i=",I7357)</f>
        <v>https://www.dgiwg.org/FAD/fdd/view?i=107522</v>
      </c>
      <c r="K7357" s="304" t="s">
        <v>41406</v>
      </c>
      <c r="L7357" s="188">
        <v>28</v>
      </c>
      <c r="M7357" s="179" t="s">
        <v>151</v>
      </c>
    </row>
    <row r="7358" spans="1:13" ht="25.5">
      <c r="A7358" s="313" t="str">
        <f t="shared" si="114"/>
        <v>WaterbodyMorphologyCode_arrugado</v>
      </c>
      <c r="B7358" s="330"/>
      <c r="C7358" s="334"/>
      <c r="D7358" s="188" t="s">
        <v>33117</v>
      </c>
      <c r="E7358" s="189" t="s">
        <v>33118</v>
      </c>
      <c r="F7358" s="162" t="s">
        <v>33119</v>
      </c>
      <c r="G7358" s="190"/>
      <c r="H7358" s="219"/>
      <c r="I7358" s="169">
        <v>112802</v>
      </c>
      <c r="J7358" s="304" t="str">
        <f>CONCATENATE([2]Cover!$D$6,"fdd/view?i=",I7358)</f>
        <v>https://www.dgiwg.org/FAD/fdd/view?i=112802</v>
      </c>
      <c r="K7358" s="304" t="s">
        <v>41407</v>
      </c>
      <c r="L7358" s="188">
        <v>76</v>
      </c>
      <c r="M7358" s="179" t="s">
        <v>151</v>
      </c>
    </row>
    <row r="7359" spans="1:13" ht="25.5">
      <c r="A7359" s="313" t="str">
        <f t="shared" si="114"/>
        <v>WaterbodyMorphologyCode_bank</v>
      </c>
      <c r="B7359" s="330"/>
      <c r="C7359" s="334"/>
      <c r="D7359" s="188" t="s">
        <v>33120</v>
      </c>
      <c r="E7359" s="189" t="s">
        <v>33121</v>
      </c>
      <c r="F7359" s="162" t="s">
        <v>33122</v>
      </c>
      <c r="G7359" s="162" t="s">
        <v>33123</v>
      </c>
      <c r="H7359" s="219"/>
      <c r="I7359" s="169">
        <v>107497</v>
      </c>
      <c r="J7359" s="304" t="str">
        <f>CONCATENATE([2]Cover!$D$6,"fdd/view?i=",I7359)</f>
        <v>https://www.dgiwg.org/FAD/fdd/view?i=107497</v>
      </c>
      <c r="K7359" s="304" t="s">
        <v>41408</v>
      </c>
      <c r="L7359" s="188">
        <v>3</v>
      </c>
      <c r="M7359" s="179" t="s">
        <v>151</v>
      </c>
    </row>
    <row r="7360" spans="1:13">
      <c r="A7360" s="313" t="str">
        <f t="shared" si="114"/>
        <v>WaterbodyMorphologyCode_basin</v>
      </c>
      <c r="B7360" s="330"/>
      <c r="C7360" s="334"/>
      <c r="D7360" s="188" t="s">
        <v>23812</v>
      </c>
      <c r="E7360" s="189" t="s">
        <v>23813</v>
      </c>
      <c r="F7360" s="162" t="s">
        <v>33124</v>
      </c>
      <c r="G7360" s="190"/>
      <c r="H7360" s="219"/>
      <c r="I7360" s="169">
        <v>107501</v>
      </c>
      <c r="J7360" s="304" t="str">
        <f>CONCATENATE([2]Cover!$D$6,"fdd/view?i=",I7360)</f>
        <v>https://www.dgiwg.org/FAD/fdd/view?i=107501</v>
      </c>
      <c r="K7360" s="304" t="s">
        <v>41409</v>
      </c>
      <c r="L7360" s="188">
        <v>7</v>
      </c>
      <c r="M7360" s="179" t="s">
        <v>151</v>
      </c>
    </row>
    <row r="7361" spans="1:13" ht="25.5">
      <c r="A7361" s="313" t="str">
        <f t="shared" si="114"/>
        <v>WaterbodyMorphologyCode_basinRangeProvince</v>
      </c>
      <c r="B7361" s="330"/>
      <c r="C7361" s="334"/>
      <c r="D7361" s="188" t="s">
        <v>33125</v>
      </c>
      <c r="E7361" s="189" t="s">
        <v>33126</v>
      </c>
      <c r="F7361" s="162" t="s">
        <v>33127</v>
      </c>
      <c r="G7361" s="190"/>
      <c r="H7361" s="219"/>
      <c r="I7361" s="169">
        <v>119329</v>
      </c>
      <c r="J7361" s="304" t="str">
        <f>CONCATENATE([2]Cover!$D$6,"fdd/view?i=",I7361)</f>
        <v>https://www.dgiwg.org/FAD/fdd/view?i=119329</v>
      </c>
      <c r="K7361" s="304" t="s">
        <v>41410</v>
      </c>
      <c r="L7361" s="188">
        <v>106</v>
      </c>
      <c r="M7361" s="179" t="s">
        <v>151</v>
      </c>
    </row>
    <row r="7362" spans="1:13">
      <c r="A7362" s="313" t="str">
        <f t="shared" si="114"/>
        <v>WaterbodyMorphologyCode_bay</v>
      </c>
      <c r="B7362" s="330"/>
      <c r="C7362" s="334"/>
      <c r="D7362" s="188" t="s">
        <v>33128</v>
      </c>
      <c r="E7362" s="189" t="s">
        <v>33129</v>
      </c>
      <c r="F7362" s="162" t="s">
        <v>33130</v>
      </c>
      <c r="G7362" s="190"/>
      <c r="H7362" s="221" t="s">
        <v>33131</v>
      </c>
      <c r="I7362" s="169">
        <v>107499</v>
      </c>
      <c r="J7362" s="304" t="str">
        <f>CONCATENATE([2]Cover!$D$6,"fdd/view?i=",I7362)</f>
        <v>https://www.dgiwg.org/FAD/fdd/view?i=107499</v>
      </c>
      <c r="K7362" s="304" t="s">
        <v>41411</v>
      </c>
      <c r="L7362" s="188">
        <v>5</v>
      </c>
      <c r="M7362" s="179" t="s">
        <v>151</v>
      </c>
    </row>
    <row r="7363" spans="1:13">
      <c r="A7363" s="313" t="str">
        <f t="shared" ref="A7363:A7426" si="115">HYPERLINK(J7363,K7363)</f>
        <v>WaterbodyMorphologyCode_bench</v>
      </c>
      <c r="B7363" s="330"/>
      <c r="C7363" s="334"/>
      <c r="D7363" s="188" t="s">
        <v>24518</v>
      </c>
      <c r="E7363" s="189" t="s">
        <v>1663</v>
      </c>
      <c r="F7363" s="162" t="s">
        <v>33132</v>
      </c>
      <c r="G7363" s="190"/>
      <c r="H7363" s="219"/>
      <c r="I7363" s="169">
        <v>112804</v>
      </c>
      <c r="J7363" s="304" t="str">
        <f>CONCATENATE([2]Cover!$D$6,"fdd/view?i=",I7363)</f>
        <v>https://www.dgiwg.org/FAD/fdd/view?i=112804</v>
      </c>
      <c r="K7363" s="304" t="s">
        <v>41412</v>
      </c>
      <c r="L7363" s="188">
        <v>78</v>
      </c>
      <c r="M7363" s="179" t="s">
        <v>151</v>
      </c>
    </row>
    <row r="7364" spans="1:13">
      <c r="A7364" s="313" t="str">
        <f t="shared" si="115"/>
        <v>WaterbodyMorphologyCode_bight</v>
      </c>
      <c r="B7364" s="330"/>
      <c r="C7364" s="334"/>
      <c r="D7364" s="188" t="s">
        <v>33133</v>
      </c>
      <c r="E7364" s="189" t="s">
        <v>33134</v>
      </c>
      <c r="F7364" s="162" t="s">
        <v>33135</v>
      </c>
      <c r="G7364" s="190"/>
      <c r="H7364" s="219"/>
      <c r="I7364" s="169">
        <v>112803</v>
      </c>
      <c r="J7364" s="304" t="str">
        <f>CONCATENATE([2]Cover!$D$6,"fdd/view?i=",I7364)</f>
        <v>https://www.dgiwg.org/FAD/fdd/view?i=112803</v>
      </c>
      <c r="K7364" s="304" t="s">
        <v>41413</v>
      </c>
      <c r="L7364" s="188">
        <v>77</v>
      </c>
      <c r="M7364" s="179" t="s">
        <v>151</v>
      </c>
    </row>
    <row r="7365" spans="1:13" ht="38.25">
      <c r="A7365" s="313" t="str">
        <f t="shared" si="115"/>
        <v>WaterbodyMorphologyCode_borderland</v>
      </c>
      <c r="B7365" s="330"/>
      <c r="C7365" s="334"/>
      <c r="D7365" s="188" t="s">
        <v>33136</v>
      </c>
      <c r="E7365" s="189" t="s">
        <v>33137</v>
      </c>
      <c r="F7365" s="162" t="s">
        <v>33138</v>
      </c>
      <c r="G7365" s="190"/>
      <c r="H7365" s="219"/>
      <c r="I7365" s="169">
        <v>107523</v>
      </c>
      <c r="J7365" s="304" t="str">
        <f>CONCATENATE([2]Cover!$D$6,"fdd/view?i=",I7365)</f>
        <v>https://www.dgiwg.org/FAD/fdd/view?i=107523</v>
      </c>
      <c r="K7365" s="304" t="s">
        <v>41414</v>
      </c>
      <c r="L7365" s="188">
        <v>29</v>
      </c>
      <c r="M7365" s="179" t="s">
        <v>151</v>
      </c>
    </row>
    <row r="7366" spans="1:13" ht="25.5">
      <c r="A7366" s="313" t="str">
        <f t="shared" si="115"/>
        <v>WaterbodyMorphologyCode_caldera</v>
      </c>
      <c r="B7366" s="330"/>
      <c r="C7366" s="334"/>
      <c r="D7366" s="188" t="s">
        <v>32934</v>
      </c>
      <c r="E7366" s="189" t="s">
        <v>32935</v>
      </c>
      <c r="F7366" s="162" t="s">
        <v>33139</v>
      </c>
      <c r="G7366" s="190"/>
      <c r="H7366" s="219"/>
      <c r="I7366" s="169">
        <v>112799</v>
      </c>
      <c r="J7366" s="304" t="str">
        <f>CONCATENATE([2]Cover!$D$6,"fdd/view?i=",I7366)</f>
        <v>https://www.dgiwg.org/FAD/fdd/view?i=112799</v>
      </c>
      <c r="K7366" s="304" t="s">
        <v>41415</v>
      </c>
      <c r="L7366" s="188">
        <v>102</v>
      </c>
      <c r="M7366" s="179" t="s">
        <v>151</v>
      </c>
    </row>
    <row r="7367" spans="1:13" ht="25.5">
      <c r="A7367" s="313" t="str">
        <f t="shared" si="115"/>
        <v>WaterbodyMorphologyCode_canyon</v>
      </c>
      <c r="B7367" s="330"/>
      <c r="C7367" s="334"/>
      <c r="D7367" s="188" t="s">
        <v>24529</v>
      </c>
      <c r="E7367" s="189" t="s">
        <v>24530</v>
      </c>
      <c r="F7367" s="162" t="s">
        <v>33140</v>
      </c>
      <c r="G7367" s="162" t="s">
        <v>33141</v>
      </c>
      <c r="H7367" s="219"/>
      <c r="I7367" s="169">
        <v>107507</v>
      </c>
      <c r="J7367" s="304" t="str">
        <f>CONCATENATE([2]Cover!$D$6,"fdd/view?i=",I7367)</f>
        <v>https://www.dgiwg.org/FAD/fdd/view?i=107507</v>
      </c>
      <c r="K7367" s="304" t="s">
        <v>41416</v>
      </c>
      <c r="L7367" s="188">
        <v>13</v>
      </c>
      <c r="M7367" s="179" t="s">
        <v>151</v>
      </c>
    </row>
    <row r="7368" spans="1:13" ht="25.5">
      <c r="A7368" s="313" t="str">
        <f t="shared" si="115"/>
        <v>WaterbodyMorphologyCode_channel</v>
      </c>
      <c r="B7368" s="330"/>
      <c r="C7368" s="334"/>
      <c r="D7368" s="188" t="s">
        <v>33142</v>
      </c>
      <c r="E7368" s="189" t="s">
        <v>1861</v>
      </c>
      <c r="F7368" s="162" t="s">
        <v>33143</v>
      </c>
      <c r="G7368" s="190"/>
      <c r="H7368" s="219"/>
      <c r="I7368" s="169">
        <v>112806</v>
      </c>
      <c r="J7368" s="304" t="str">
        <f>CONCATENATE([2]Cover!$D$6,"fdd/view?i=",I7368)</f>
        <v>https://www.dgiwg.org/FAD/fdd/view?i=112806</v>
      </c>
      <c r="K7368" s="304" t="s">
        <v>41417</v>
      </c>
      <c r="L7368" s="188">
        <v>80</v>
      </c>
      <c r="M7368" s="179" t="s">
        <v>151</v>
      </c>
    </row>
    <row r="7369" spans="1:13" ht="25.5">
      <c r="A7369" s="313" t="str">
        <f t="shared" si="115"/>
        <v>WaterbodyMorphologyCode_continentalMargin</v>
      </c>
      <c r="B7369" s="330"/>
      <c r="C7369" s="334"/>
      <c r="D7369" s="188" t="s">
        <v>33144</v>
      </c>
      <c r="E7369" s="189" t="s">
        <v>33145</v>
      </c>
      <c r="F7369" s="162" t="s">
        <v>33146</v>
      </c>
      <c r="G7369" s="190"/>
      <c r="H7369" s="219"/>
      <c r="I7369" s="169">
        <v>107524</v>
      </c>
      <c r="J7369" s="304" t="str">
        <f>CONCATENATE([2]Cover!$D$6,"fdd/view?i=",I7369)</f>
        <v>https://www.dgiwg.org/FAD/fdd/view?i=107524</v>
      </c>
      <c r="K7369" s="304" t="s">
        <v>41418</v>
      </c>
      <c r="L7369" s="188">
        <v>30</v>
      </c>
      <c r="M7369" s="179" t="s">
        <v>151</v>
      </c>
    </row>
    <row r="7370" spans="1:13" ht="25.5">
      <c r="A7370" s="313" t="str">
        <f t="shared" si="115"/>
        <v>WaterbodyMorphologyCode_continentalRise</v>
      </c>
      <c r="B7370" s="330"/>
      <c r="C7370" s="334"/>
      <c r="D7370" s="188" t="s">
        <v>33147</v>
      </c>
      <c r="E7370" s="189" t="s">
        <v>33148</v>
      </c>
      <c r="F7370" s="162" t="s">
        <v>33149</v>
      </c>
      <c r="G7370" s="190"/>
      <c r="H7370" s="219"/>
      <c r="I7370" s="169">
        <v>107525</v>
      </c>
      <c r="J7370" s="304" t="str">
        <f>CONCATENATE([2]Cover!$D$6,"fdd/view?i=",I7370)</f>
        <v>https://www.dgiwg.org/FAD/fdd/view?i=107525</v>
      </c>
      <c r="K7370" s="304" t="s">
        <v>41419</v>
      </c>
      <c r="L7370" s="188">
        <v>31</v>
      </c>
      <c r="M7370" s="179" t="s">
        <v>151</v>
      </c>
    </row>
    <row r="7371" spans="1:13" ht="25.5">
      <c r="A7371" s="313" t="str">
        <f t="shared" si="115"/>
        <v>WaterbodyMorphologyCode_cordillera</v>
      </c>
      <c r="B7371" s="330"/>
      <c r="C7371" s="334"/>
      <c r="D7371" s="188" t="s">
        <v>33150</v>
      </c>
      <c r="E7371" s="189" t="s">
        <v>33151</v>
      </c>
      <c r="F7371" s="162" t="s">
        <v>33152</v>
      </c>
      <c r="G7371" s="190"/>
      <c r="H7371" s="219"/>
      <c r="I7371" s="169">
        <v>112805</v>
      </c>
      <c r="J7371" s="304" t="str">
        <f>CONCATENATE([2]Cover!$D$6,"fdd/view?i=",I7371)</f>
        <v>https://www.dgiwg.org/FAD/fdd/view?i=112805</v>
      </c>
      <c r="K7371" s="304" t="s">
        <v>41420</v>
      </c>
      <c r="L7371" s="188">
        <v>79</v>
      </c>
      <c r="M7371" s="179" t="s">
        <v>151</v>
      </c>
    </row>
    <row r="7372" spans="1:13">
      <c r="A7372" s="313" t="str">
        <f t="shared" si="115"/>
        <v>WaterbodyMorphologyCode_cove</v>
      </c>
      <c r="B7372" s="330"/>
      <c r="C7372" s="334"/>
      <c r="D7372" s="188" t="s">
        <v>33153</v>
      </c>
      <c r="E7372" s="189" t="s">
        <v>33154</v>
      </c>
      <c r="F7372" s="162" t="s">
        <v>33155</v>
      </c>
      <c r="G7372" s="190"/>
      <c r="H7372" s="219"/>
      <c r="I7372" s="169">
        <v>112807</v>
      </c>
      <c r="J7372" s="304" t="str">
        <f>CONCATENATE([2]Cover!$D$6,"fdd/view?i=",I7372)</f>
        <v>https://www.dgiwg.org/FAD/fdd/view?i=112807</v>
      </c>
      <c r="K7372" s="304" t="s">
        <v>41421</v>
      </c>
      <c r="L7372" s="188">
        <v>81</v>
      </c>
      <c r="M7372" s="179" t="s">
        <v>151</v>
      </c>
    </row>
    <row r="7373" spans="1:13" ht="25.5">
      <c r="A7373" s="313" t="str">
        <f t="shared" si="115"/>
        <v>WaterbodyMorphologyCode_deep</v>
      </c>
      <c r="B7373" s="330"/>
      <c r="C7373" s="334"/>
      <c r="D7373" s="188" t="s">
        <v>33156</v>
      </c>
      <c r="E7373" s="189" t="s">
        <v>33157</v>
      </c>
      <c r="F7373" s="162" t="s">
        <v>33158</v>
      </c>
      <c r="G7373" s="190"/>
      <c r="H7373" s="219"/>
      <c r="I7373" s="169">
        <v>107498</v>
      </c>
      <c r="J7373" s="304" t="str">
        <f>CONCATENATE([2]Cover!$D$6,"fdd/view?i=",I7373)</f>
        <v>https://www.dgiwg.org/FAD/fdd/view?i=107498</v>
      </c>
      <c r="K7373" s="304" t="s">
        <v>41422</v>
      </c>
      <c r="L7373" s="188">
        <v>4</v>
      </c>
      <c r="M7373" s="179" t="s">
        <v>151</v>
      </c>
    </row>
    <row r="7374" spans="1:13" ht="38.25">
      <c r="A7374" s="313" t="str">
        <f t="shared" si="115"/>
        <v>WaterbodyMorphologyCode_deeperLandwardTrenchWall</v>
      </c>
      <c r="B7374" s="330"/>
      <c r="C7374" s="334"/>
      <c r="D7374" s="188" t="s">
        <v>33159</v>
      </c>
      <c r="E7374" s="189" t="s">
        <v>33160</v>
      </c>
      <c r="F7374" s="162" t="s">
        <v>33161</v>
      </c>
      <c r="G7374" s="190"/>
      <c r="H7374" s="219"/>
      <c r="I7374" s="169">
        <v>119330</v>
      </c>
      <c r="J7374" s="304" t="str">
        <f>CONCATENATE([2]Cover!$D$6,"fdd/view?i=",I7374)</f>
        <v>https://www.dgiwg.org/FAD/fdd/view?i=119330</v>
      </c>
      <c r="K7374" s="304" t="s">
        <v>41423</v>
      </c>
      <c r="L7374" s="188">
        <v>107</v>
      </c>
      <c r="M7374" s="179" t="s">
        <v>151</v>
      </c>
    </row>
    <row r="7375" spans="1:13" ht="25.5">
      <c r="A7375" s="313" t="str">
        <f t="shared" si="115"/>
        <v>WaterbodyMorphologyCode_deepSeaTrench</v>
      </c>
      <c r="B7375" s="330"/>
      <c r="C7375" s="334"/>
      <c r="D7375" s="188" t="s">
        <v>33162</v>
      </c>
      <c r="E7375" s="189" t="s">
        <v>33163</v>
      </c>
      <c r="F7375" s="162" t="s">
        <v>33164</v>
      </c>
      <c r="G7375" s="190"/>
      <c r="H7375" s="219"/>
      <c r="I7375" s="169">
        <v>206205</v>
      </c>
      <c r="J7375" s="304" t="str">
        <f>CONCATENATE([2]Cover!$D$6,"fdd/view?i=",I7375)</f>
        <v>https://www.dgiwg.org/FAD/fdd/view?i=206205</v>
      </c>
      <c r="K7375" s="304" t="s">
        <v>41424</v>
      </c>
      <c r="L7375" s="188">
        <v>108</v>
      </c>
      <c r="M7375" s="179" t="s">
        <v>1295</v>
      </c>
    </row>
    <row r="7376" spans="1:13" ht="25.5">
      <c r="A7376" s="313" t="str">
        <f t="shared" si="115"/>
        <v>WaterbodyMorphologyCode_deformationZone</v>
      </c>
      <c r="B7376" s="330"/>
      <c r="C7376" s="334"/>
      <c r="D7376" s="188" t="s">
        <v>33165</v>
      </c>
      <c r="E7376" s="189" t="s">
        <v>33166</v>
      </c>
      <c r="F7376" s="162" t="s">
        <v>33167</v>
      </c>
      <c r="G7376" s="190"/>
      <c r="H7376" s="219"/>
      <c r="I7376" s="169">
        <v>119331</v>
      </c>
      <c r="J7376" s="304" t="str">
        <f>CONCATENATE([2]Cover!$D$6,"fdd/view?i=",I7376)</f>
        <v>https://www.dgiwg.org/FAD/fdd/view?i=119331</v>
      </c>
      <c r="K7376" s="304" t="s">
        <v>41425</v>
      </c>
      <c r="L7376" s="188">
        <v>109</v>
      </c>
      <c r="M7376" s="179" t="s">
        <v>151</v>
      </c>
    </row>
    <row r="7377" spans="1:13" ht="25.5">
      <c r="A7377" s="313" t="str">
        <f t="shared" si="115"/>
        <v>WaterbodyMorphologyCode_escarpment</v>
      </c>
      <c r="B7377" s="330"/>
      <c r="C7377" s="334"/>
      <c r="D7377" s="188" t="s">
        <v>31461</v>
      </c>
      <c r="E7377" s="189" t="s">
        <v>31462</v>
      </c>
      <c r="F7377" s="162" t="s">
        <v>33168</v>
      </c>
      <c r="G7377" s="190"/>
      <c r="H7377" s="219"/>
      <c r="I7377" s="169">
        <v>107526</v>
      </c>
      <c r="J7377" s="304" t="str">
        <f>CONCATENATE([2]Cover!$D$6,"fdd/view?i=",I7377)</f>
        <v>https://www.dgiwg.org/FAD/fdd/view?i=107526</v>
      </c>
      <c r="K7377" s="304" t="s">
        <v>41426</v>
      </c>
      <c r="L7377" s="188">
        <v>32</v>
      </c>
      <c r="M7377" s="179" t="s">
        <v>151</v>
      </c>
    </row>
    <row r="7378" spans="1:13" ht="25.5">
      <c r="A7378" s="313" t="str">
        <f t="shared" si="115"/>
        <v>WaterbodyMorphologyCode_estuary</v>
      </c>
      <c r="B7378" s="330"/>
      <c r="C7378" s="334"/>
      <c r="D7378" s="188" t="s">
        <v>33169</v>
      </c>
      <c r="E7378" s="189" t="s">
        <v>33170</v>
      </c>
      <c r="F7378" s="162" t="s">
        <v>33171</v>
      </c>
      <c r="G7378" s="190"/>
      <c r="H7378" s="219"/>
      <c r="I7378" s="169">
        <v>107554</v>
      </c>
      <c r="J7378" s="304" t="str">
        <f>CONCATENATE([2]Cover!$D$6,"fdd/view?i=",I7378)</f>
        <v>https://www.dgiwg.org/FAD/fdd/view?i=107554</v>
      </c>
      <c r="K7378" s="304" t="s">
        <v>41427</v>
      </c>
      <c r="L7378" s="188">
        <v>60</v>
      </c>
      <c r="M7378" s="179" t="s">
        <v>151</v>
      </c>
    </row>
    <row r="7379" spans="1:13" ht="25.5">
      <c r="A7379" s="313" t="str">
        <f t="shared" si="115"/>
        <v>WaterbodyMorphologyCode_fan</v>
      </c>
      <c r="B7379" s="330"/>
      <c r="C7379" s="334"/>
      <c r="D7379" s="188" t="s">
        <v>33172</v>
      </c>
      <c r="E7379" s="189" t="s">
        <v>33173</v>
      </c>
      <c r="F7379" s="162" t="s">
        <v>33174</v>
      </c>
      <c r="G7379" s="190"/>
      <c r="H7379" s="221" t="s">
        <v>32944</v>
      </c>
      <c r="I7379" s="169">
        <v>107527</v>
      </c>
      <c r="J7379" s="304" t="str">
        <f>CONCATENATE([2]Cover!$D$6,"fdd/view?i=",I7379)</f>
        <v>https://www.dgiwg.org/FAD/fdd/view?i=107527</v>
      </c>
      <c r="K7379" s="304" t="s">
        <v>41428</v>
      </c>
      <c r="L7379" s="188">
        <v>33</v>
      </c>
      <c r="M7379" s="179" t="s">
        <v>151</v>
      </c>
    </row>
    <row r="7380" spans="1:13" ht="38.25">
      <c r="A7380" s="313" t="str">
        <f t="shared" si="115"/>
        <v>WaterbodyMorphologyCode_faultLine</v>
      </c>
      <c r="B7380" s="330"/>
      <c r="C7380" s="334"/>
      <c r="D7380" s="188" t="s">
        <v>33175</v>
      </c>
      <c r="E7380" s="189" t="s">
        <v>33176</v>
      </c>
      <c r="F7380" s="162" t="s">
        <v>33177</v>
      </c>
      <c r="G7380" s="190"/>
      <c r="H7380" s="219"/>
      <c r="I7380" s="169">
        <v>107557</v>
      </c>
      <c r="J7380" s="304" t="str">
        <f>CONCATENATE([2]Cover!$D$6,"fdd/view?i=",I7380)</f>
        <v>https://www.dgiwg.org/FAD/fdd/view?i=107557</v>
      </c>
      <c r="K7380" s="304" t="s">
        <v>41429</v>
      </c>
      <c r="L7380" s="188">
        <v>63</v>
      </c>
      <c r="M7380" s="179" t="s">
        <v>151</v>
      </c>
    </row>
    <row r="7381" spans="1:13" ht="25.5">
      <c r="A7381" s="313" t="str">
        <f t="shared" si="115"/>
        <v>WaterbodyMorphologyCode_fjord</v>
      </c>
      <c r="B7381" s="330"/>
      <c r="C7381" s="334"/>
      <c r="D7381" s="188" t="s">
        <v>24563</v>
      </c>
      <c r="E7381" s="189" t="s">
        <v>33178</v>
      </c>
      <c r="F7381" s="162" t="s">
        <v>33179</v>
      </c>
      <c r="G7381" s="190"/>
      <c r="H7381" s="219"/>
      <c r="I7381" s="169">
        <v>112808</v>
      </c>
      <c r="J7381" s="304" t="str">
        <f>CONCATENATE([2]Cover!$D$6,"fdd/view?i=",I7381)</f>
        <v>https://www.dgiwg.org/FAD/fdd/view?i=112808</v>
      </c>
      <c r="K7381" s="304" t="s">
        <v>41430</v>
      </c>
      <c r="L7381" s="188">
        <v>82</v>
      </c>
      <c r="M7381" s="179" t="s">
        <v>151</v>
      </c>
    </row>
    <row r="7382" spans="1:13">
      <c r="A7382" s="313" t="str">
        <f t="shared" si="115"/>
        <v>WaterbodyMorphologyCode_flat</v>
      </c>
      <c r="B7382" s="330"/>
      <c r="C7382" s="334"/>
      <c r="D7382" s="188" t="s">
        <v>29592</v>
      </c>
      <c r="E7382" s="189" t="s">
        <v>29593</v>
      </c>
      <c r="F7382" s="162" t="s">
        <v>33180</v>
      </c>
      <c r="G7382" s="190"/>
      <c r="H7382" s="219"/>
      <c r="I7382" s="169">
        <v>112809</v>
      </c>
      <c r="J7382" s="304" t="str">
        <f>CONCATENATE([2]Cover!$D$6,"fdd/view?i=",I7382)</f>
        <v>https://www.dgiwg.org/FAD/fdd/view?i=112809</v>
      </c>
      <c r="K7382" s="304" t="s">
        <v>41431</v>
      </c>
      <c r="L7382" s="188">
        <v>83</v>
      </c>
      <c r="M7382" s="179" t="s">
        <v>151</v>
      </c>
    </row>
    <row r="7383" spans="1:13">
      <c r="A7383" s="313" t="str">
        <f t="shared" si="115"/>
        <v>WaterbodyMorphologyCode_fork</v>
      </c>
      <c r="B7383" s="330"/>
      <c r="C7383" s="334"/>
      <c r="D7383" s="188" t="s">
        <v>29514</v>
      </c>
      <c r="E7383" s="189" t="s">
        <v>29515</v>
      </c>
      <c r="F7383" s="162" t="s">
        <v>33181</v>
      </c>
      <c r="G7383" s="190"/>
      <c r="H7383" s="219"/>
      <c r="I7383" s="169">
        <v>112810</v>
      </c>
      <c r="J7383" s="304" t="str">
        <f>CONCATENATE([2]Cover!$D$6,"fdd/view?i=",I7383)</f>
        <v>https://www.dgiwg.org/FAD/fdd/view?i=112810</v>
      </c>
      <c r="K7383" s="304" t="s">
        <v>41432</v>
      </c>
      <c r="L7383" s="188">
        <v>84</v>
      </c>
      <c r="M7383" s="179" t="s">
        <v>151</v>
      </c>
    </row>
    <row r="7384" spans="1:13" ht="38.25">
      <c r="A7384" s="313" t="str">
        <f t="shared" si="115"/>
        <v>WaterbodyMorphologyCode_fractureZone</v>
      </c>
      <c r="B7384" s="330"/>
      <c r="C7384" s="334"/>
      <c r="D7384" s="188" t="s">
        <v>33182</v>
      </c>
      <c r="E7384" s="189" t="s">
        <v>33183</v>
      </c>
      <c r="F7384" s="162" t="s">
        <v>33184</v>
      </c>
      <c r="G7384" s="190"/>
      <c r="H7384" s="219"/>
      <c r="I7384" s="169">
        <v>107528</v>
      </c>
      <c r="J7384" s="304" t="str">
        <f>CONCATENATE([2]Cover!$D$6,"fdd/view?i=",I7384)</f>
        <v>https://www.dgiwg.org/FAD/fdd/view?i=107528</v>
      </c>
      <c r="K7384" s="304" t="s">
        <v>41433</v>
      </c>
      <c r="L7384" s="188">
        <v>34</v>
      </c>
      <c r="M7384" s="179" t="s">
        <v>151</v>
      </c>
    </row>
    <row r="7385" spans="1:13">
      <c r="A7385" s="313" t="str">
        <f t="shared" si="115"/>
        <v>WaterbodyMorphologyCode_furrow</v>
      </c>
      <c r="B7385" s="330"/>
      <c r="C7385" s="334"/>
      <c r="D7385" s="188" t="s">
        <v>23973</v>
      </c>
      <c r="E7385" s="189" t="s">
        <v>23974</v>
      </c>
      <c r="F7385" s="162" t="s">
        <v>33185</v>
      </c>
      <c r="G7385" s="190"/>
      <c r="H7385" s="219"/>
      <c r="I7385" s="169">
        <v>112811</v>
      </c>
      <c r="J7385" s="304" t="str">
        <f>CONCATENATE([2]Cover!$D$6,"fdd/view?i=",I7385)</f>
        <v>https://www.dgiwg.org/FAD/fdd/view?i=112811</v>
      </c>
      <c r="K7385" s="304" t="s">
        <v>41434</v>
      </c>
      <c r="L7385" s="188">
        <v>85</v>
      </c>
      <c r="M7385" s="179" t="s">
        <v>151</v>
      </c>
    </row>
    <row r="7386" spans="1:13">
      <c r="A7386" s="313" t="str">
        <f t="shared" si="115"/>
        <v>WaterbodyMorphologyCode_gap</v>
      </c>
      <c r="B7386" s="330"/>
      <c r="C7386" s="334"/>
      <c r="D7386" s="188" t="s">
        <v>24570</v>
      </c>
      <c r="E7386" s="189" t="s">
        <v>24571</v>
      </c>
      <c r="F7386" s="162" t="s">
        <v>33186</v>
      </c>
      <c r="G7386" s="190"/>
      <c r="H7386" s="219"/>
      <c r="I7386" s="169">
        <v>107529</v>
      </c>
      <c r="J7386" s="304" t="str">
        <f>CONCATENATE([2]Cover!$D$6,"fdd/view?i=",I7386)</f>
        <v>https://www.dgiwg.org/FAD/fdd/view?i=107529</v>
      </c>
      <c r="K7386" s="304" t="s">
        <v>41435</v>
      </c>
      <c r="L7386" s="188">
        <v>35</v>
      </c>
      <c r="M7386" s="179" t="s">
        <v>151</v>
      </c>
    </row>
    <row r="7387" spans="1:13" ht="25.5">
      <c r="A7387" s="313" t="str">
        <f t="shared" si="115"/>
        <v>WaterbodyMorphologyCode_gat</v>
      </c>
      <c r="B7387" s="330"/>
      <c r="C7387" s="334"/>
      <c r="D7387" s="188" t="s">
        <v>33187</v>
      </c>
      <c r="E7387" s="189" t="s">
        <v>33188</v>
      </c>
      <c r="F7387" s="162" t="s">
        <v>33189</v>
      </c>
      <c r="G7387" s="190"/>
      <c r="H7387" s="219"/>
      <c r="I7387" s="169">
        <v>107496</v>
      </c>
      <c r="J7387" s="304" t="str">
        <f>CONCATENATE([2]Cover!$D$6,"fdd/view?i=",I7387)</f>
        <v>https://www.dgiwg.org/FAD/fdd/view?i=107496</v>
      </c>
      <c r="K7387" s="304" t="s">
        <v>41436</v>
      </c>
      <c r="L7387" s="188">
        <v>2</v>
      </c>
      <c r="M7387" s="179" t="s">
        <v>151</v>
      </c>
    </row>
    <row r="7388" spans="1:13">
      <c r="A7388" s="313" t="str">
        <f t="shared" si="115"/>
        <v>WaterbodyMorphologyCode_gulf</v>
      </c>
      <c r="B7388" s="330"/>
      <c r="C7388" s="334"/>
      <c r="D7388" s="188" t="s">
        <v>33190</v>
      </c>
      <c r="E7388" s="189" t="s">
        <v>33191</v>
      </c>
      <c r="F7388" s="162" t="s">
        <v>33192</v>
      </c>
      <c r="G7388" s="190"/>
      <c r="H7388" s="219"/>
      <c r="I7388" s="169">
        <v>112813</v>
      </c>
      <c r="J7388" s="304" t="str">
        <f>CONCATENATE([2]Cover!$D$6,"fdd/view?i=",I7388)</f>
        <v>https://www.dgiwg.org/FAD/fdd/view?i=112813</v>
      </c>
      <c r="K7388" s="304" t="s">
        <v>41437</v>
      </c>
      <c r="L7388" s="188">
        <v>87</v>
      </c>
      <c r="M7388" s="179" t="s">
        <v>151</v>
      </c>
    </row>
    <row r="7389" spans="1:13">
      <c r="A7389" s="313" t="str">
        <f t="shared" si="115"/>
        <v>WaterbodyMorphologyCode_gully</v>
      </c>
      <c r="B7389" s="330"/>
      <c r="C7389" s="334"/>
      <c r="D7389" s="188" t="s">
        <v>33193</v>
      </c>
      <c r="E7389" s="189" t="s">
        <v>33194</v>
      </c>
      <c r="F7389" s="162" t="s">
        <v>33195</v>
      </c>
      <c r="G7389" s="190"/>
      <c r="H7389" s="219"/>
      <c r="I7389" s="169">
        <v>112812</v>
      </c>
      <c r="J7389" s="304" t="str">
        <f>CONCATENATE([2]Cover!$D$6,"fdd/view?i=",I7389)</f>
        <v>https://www.dgiwg.org/FAD/fdd/view?i=112812</v>
      </c>
      <c r="K7389" s="304" t="s">
        <v>41438</v>
      </c>
      <c r="L7389" s="188">
        <v>86</v>
      </c>
      <c r="M7389" s="179" t="s">
        <v>151</v>
      </c>
    </row>
    <row r="7390" spans="1:13">
      <c r="A7390" s="313" t="str">
        <f t="shared" si="115"/>
        <v>WaterbodyMorphologyCode_guyot</v>
      </c>
      <c r="B7390" s="330"/>
      <c r="C7390" s="334"/>
      <c r="D7390" s="188" t="s">
        <v>33196</v>
      </c>
      <c r="E7390" s="189" t="s">
        <v>33197</v>
      </c>
      <c r="F7390" s="162" t="s">
        <v>33198</v>
      </c>
      <c r="G7390" s="190"/>
      <c r="H7390" s="221" t="s">
        <v>33199</v>
      </c>
      <c r="I7390" s="169">
        <v>107530</v>
      </c>
      <c r="J7390" s="304" t="str">
        <f>CONCATENATE([2]Cover!$D$6,"fdd/view?i=",I7390)</f>
        <v>https://www.dgiwg.org/FAD/fdd/view?i=107530</v>
      </c>
      <c r="K7390" s="304" t="s">
        <v>41439</v>
      </c>
      <c r="L7390" s="188">
        <v>36</v>
      </c>
      <c r="M7390" s="179" t="s">
        <v>151</v>
      </c>
    </row>
    <row r="7391" spans="1:13">
      <c r="A7391" s="313" t="str">
        <f t="shared" si="115"/>
        <v>WaterbodyMorphologyCode_hill</v>
      </c>
      <c r="B7391" s="330"/>
      <c r="C7391" s="334"/>
      <c r="D7391" s="188" t="s">
        <v>33200</v>
      </c>
      <c r="E7391" s="189" t="s">
        <v>2698</v>
      </c>
      <c r="F7391" s="162" t="s">
        <v>33201</v>
      </c>
      <c r="G7391" s="190"/>
      <c r="H7391" s="219"/>
      <c r="I7391" s="169">
        <v>107531</v>
      </c>
      <c r="J7391" s="304" t="str">
        <f>CONCATENATE([2]Cover!$D$6,"fdd/view?i=",I7391)</f>
        <v>https://www.dgiwg.org/FAD/fdd/view?i=107531</v>
      </c>
      <c r="K7391" s="304" t="s">
        <v>41440</v>
      </c>
      <c r="L7391" s="188">
        <v>37</v>
      </c>
      <c r="M7391" s="179" t="s">
        <v>151</v>
      </c>
    </row>
    <row r="7392" spans="1:13">
      <c r="A7392" s="313" t="str">
        <f t="shared" si="115"/>
        <v>WaterbodyMorphologyCode_hole</v>
      </c>
      <c r="B7392" s="330"/>
      <c r="C7392" s="334"/>
      <c r="D7392" s="188" t="s">
        <v>33202</v>
      </c>
      <c r="E7392" s="189" t="s">
        <v>33203</v>
      </c>
      <c r="F7392" s="162" t="s">
        <v>33204</v>
      </c>
      <c r="G7392" s="190"/>
      <c r="H7392" s="219"/>
      <c r="I7392" s="169">
        <v>107532</v>
      </c>
      <c r="J7392" s="304" t="str">
        <f>CONCATENATE([2]Cover!$D$6,"fdd/view?i=",I7392)</f>
        <v>https://www.dgiwg.org/FAD/fdd/view?i=107532</v>
      </c>
      <c r="K7392" s="304" t="s">
        <v>41441</v>
      </c>
      <c r="L7392" s="188">
        <v>38</v>
      </c>
      <c r="M7392" s="179" t="s">
        <v>151</v>
      </c>
    </row>
    <row r="7393" spans="1:13" ht="25.5">
      <c r="A7393" s="313" t="str">
        <f t="shared" si="115"/>
        <v>WaterbodyMorphologyCode_inlet</v>
      </c>
      <c r="B7393" s="330"/>
      <c r="C7393" s="334"/>
      <c r="D7393" s="188" t="s">
        <v>33205</v>
      </c>
      <c r="E7393" s="189" t="s">
        <v>33206</v>
      </c>
      <c r="F7393" s="162" t="s">
        <v>33207</v>
      </c>
      <c r="G7393" s="190"/>
      <c r="H7393" s="219"/>
      <c r="I7393" s="169">
        <v>112814</v>
      </c>
      <c r="J7393" s="304" t="str">
        <f>CONCATENATE([2]Cover!$D$6,"fdd/view?i=",I7393)</f>
        <v>https://www.dgiwg.org/FAD/fdd/view?i=112814</v>
      </c>
      <c r="K7393" s="304" t="s">
        <v>41442</v>
      </c>
      <c r="L7393" s="188">
        <v>88</v>
      </c>
      <c r="M7393" s="179" t="s">
        <v>151</v>
      </c>
    </row>
    <row r="7394" spans="1:13" ht="25.5">
      <c r="A7394" s="313" t="str">
        <f t="shared" si="115"/>
        <v>WaterbodyMorphologyCode_insularPlatform</v>
      </c>
      <c r="B7394" s="330"/>
      <c r="C7394" s="334"/>
      <c r="D7394" s="188" t="s">
        <v>33208</v>
      </c>
      <c r="E7394" s="189" t="s">
        <v>33209</v>
      </c>
      <c r="F7394" s="162" t="s">
        <v>33210</v>
      </c>
      <c r="G7394" s="190"/>
      <c r="H7394" s="219"/>
      <c r="I7394" s="169">
        <v>119332</v>
      </c>
      <c r="J7394" s="304" t="str">
        <f>CONCATENATE([2]Cover!$D$6,"fdd/view?i=",I7394)</f>
        <v>https://www.dgiwg.org/FAD/fdd/view?i=119332</v>
      </c>
      <c r="K7394" s="304" t="s">
        <v>41443</v>
      </c>
      <c r="L7394" s="188">
        <v>110</v>
      </c>
      <c r="M7394" s="179" t="s">
        <v>151</v>
      </c>
    </row>
    <row r="7395" spans="1:13">
      <c r="A7395" s="313" t="str">
        <f t="shared" si="115"/>
        <v>WaterbodyMorphologyCode_knoll</v>
      </c>
      <c r="B7395" s="330"/>
      <c r="C7395" s="334"/>
      <c r="D7395" s="188" t="s">
        <v>33211</v>
      </c>
      <c r="E7395" s="189" t="s">
        <v>33212</v>
      </c>
      <c r="F7395" s="162" t="s">
        <v>33213</v>
      </c>
      <c r="G7395" s="190"/>
      <c r="H7395" s="219"/>
      <c r="I7395" s="169">
        <v>107510</v>
      </c>
      <c r="J7395" s="304" t="str">
        <f>CONCATENATE([2]Cover!$D$6,"fdd/view?i=",I7395)</f>
        <v>https://www.dgiwg.org/FAD/fdd/view?i=107510</v>
      </c>
      <c r="K7395" s="304" t="s">
        <v>41444</v>
      </c>
      <c r="L7395" s="188">
        <v>16</v>
      </c>
      <c r="M7395" s="179" t="s">
        <v>151</v>
      </c>
    </row>
    <row r="7396" spans="1:13" ht="25.5">
      <c r="A7396" s="313" t="str">
        <f t="shared" si="115"/>
        <v>WaterbodyMorphologyCode_landwardSlopeApron</v>
      </c>
      <c r="B7396" s="330"/>
      <c r="C7396" s="334"/>
      <c r="D7396" s="188" t="s">
        <v>33214</v>
      </c>
      <c r="E7396" s="189" t="s">
        <v>33215</v>
      </c>
      <c r="F7396" s="162" t="s">
        <v>33216</v>
      </c>
      <c r="G7396" s="190"/>
      <c r="H7396" s="219"/>
      <c r="I7396" s="169">
        <v>119333</v>
      </c>
      <c r="J7396" s="304" t="str">
        <f>CONCATENATE([2]Cover!$D$6,"fdd/view?i=",I7396)</f>
        <v>https://www.dgiwg.org/FAD/fdd/view?i=119333</v>
      </c>
      <c r="K7396" s="304" t="s">
        <v>41445</v>
      </c>
      <c r="L7396" s="188">
        <v>111</v>
      </c>
      <c r="M7396" s="179" t="s">
        <v>151</v>
      </c>
    </row>
    <row r="7397" spans="1:13" ht="25.5">
      <c r="A7397" s="313" t="str">
        <f t="shared" si="115"/>
        <v>WaterbodyMorphologyCode_landwardSlopeCanyon</v>
      </c>
      <c r="B7397" s="330"/>
      <c r="C7397" s="334"/>
      <c r="D7397" s="188" t="s">
        <v>33217</v>
      </c>
      <c r="E7397" s="189" t="s">
        <v>33218</v>
      </c>
      <c r="F7397" s="162" t="s">
        <v>33219</v>
      </c>
      <c r="G7397" s="190"/>
      <c r="H7397" s="221" t="s">
        <v>33220</v>
      </c>
      <c r="I7397" s="169">
        <v>119334</v>
      </c>
      <c r="J7397" s="304" t="str">
        <f>CONCATENATE([2]Cover!$D$6,"fdd/view?i=",I7397)</f>
        <v>https://www.dgiwg.org/FAD/fdd/view?i=119334</v>
      </c>
      <c r="K7397" s="304" t="s">
        <v>41446</v>
      </c>
      <c r="L7397" s="188">
        <v>112</v>
      </c>
      <c r="M7397" s="179" t="s">
        <v>151</v>
      </c>
    </row>
    <row r="7398" spans="1:13" ht="25.5">
      <c r="A7398" s="313" t="str">
        <f t="shared" si="115"/>
        <v>WaterbodyMorphologyCode_landwardUpperSlope</v>
      </c>
      <c r="B7398" s="330"/>
      <c r="C7398" s="334"/>
      <c r="D7398" s="188" t="s">
        <v>33221</v>
      </c>
      <c r="E7398" s="189" t="s">
        <v>33222</v>
      </c>
      <c r="F7398" s="162" t="s">
        <v>33223</v>
      </c>
      <c r="G7398" s="190"/>
      <c r="H7398" s="219"/>
      <c r="I7398" s="169">
        <v>119335</v>
      </c>
      <c r="J7398" s="304" t="str">
        <f>CONCATENATE([2]Cover!$D$6,"fdd/view?i=",I7398)</f>
        <v>https://www.dgiwg.org/FAD/fdd/view?i=119335</v>
      </c>
      <c r="K7398" s="304" t="s">
        <v>41447</v>
      </c>
      <c r="L7398" s="188">
        <v>113</v>
      </c>
      <c r="M7398" s="179" t="s">
        <v>151</v>
      </c>
    </row>
    <row r="7399" spans="1:13">
      <c r="A7399" s="313" t="str">
        <f t="shared" si="115"/>
        <v>WaterbodyMorphologyCode_ledge</v>
      </c>
      <c r="B7399" s="330"/>
      <c r="C7399" s="334"/>
      <c r="D7399" s="188" t="s">
        <v>33224</v>
      </c>
      <c r="E7399" s="189" t="s">
        <v>33225</v>
      </c>
      <c r="F7399" s="162" t="s">
        <v>33226</v>
      </c>
      <c r="G7399" s="190"/>
      <c r="H7399" s="219"/>
      <c r="I7399" s="169">
        <v>107506</v>
      </c>
      <c r="J7399" s="304" t="str">
        <f>CONCATENATE([2]Cover!$D$6,"fdd/view?i=",I7399)</f>
        <v>https://www.dgiwg.org/FAD/fdd/view?i=107506</v>
      </c>
      <c r="K7399" s="304" t="s">
        <v>41448</v>
      </c>
      <c r="L7399" s="188">
        <v>12</v>
      </c>
      <c r="M7399" s="179" t="s">
        <v>151</v>
      </c>
    </row>
    <row r="7400" spans="1:13" ht="25.5">
      <c r="A7400" s="313" t="str">
        <f t="shared" si="115"/>
        <v>WaterbodyMorphologyCode_levee</v>
      </c>
      <c r="B7400" s="330"/>
      <c r="C7400" s="334"/>
      <c r="D7400" s="188" t="s">
        <v>20869</v>
      </c>
      <c r="E7400" s="189" t="s">
        <v>20870</v>
      </c>
      <c r="F7400" s="162" t="s">
        <v>33227</v>
      </c>
      <c r="G7400" s="190"/>
      <c r="H7400" s="219"/>
      <c r="I7400" s="169">
        <v>107533</v>
      </c>
      <c r="J7400" s="304" t="str">
        <f>CONCATENATE([2]Cover!$D$6,"fdd/view?i=",I7400)</f>
        <v>https://www.dgiwg.org/FAD/fdd/view?i=107533</v>
      </c>
      <c r="K7400" s="304" t="s">
        <v>41449</v>
      </c>
      <c r="L7400" s="188">
        <v>39</v>
      </c>
      <c r="M7400" s="179" t="s">
        <v>151</v>
      </c>
    </row>
    <row r="7401" spans="1:13" ht="25.5">
      <c r="A7401" s="313" t="str">
        <f t="shared" si="115"/>
        <v>WaterbodyMorphologyCode_marginalEscarpment</v>
      </c>
      <c r="B7401" s="330"/>
      <c r="C7401" s="334"/>
      <c r="D7401" s="188" t="s">
        <v>33228</v>
      </c>
      <c r="E7401" s="189" t="s">
        <v>33229</v>
      </c>
      <c r="F7401" s="162" t="s">
        <v>33230</v>
      </c>
      <c r="G7401" s="190"/>
      <c r="H7401" s="219"/>
      <c r="I7401" s="169">
        <v>119336</v>
      </c>
      <c r="J7401" s="304" t="str">
        <f>CONCATENATE([2]Cover!$D$6,"fdd/view?i=",I7401)</f>
        <v>https://www.dgiwg.org/FAD/fdd/view?i=119336</v>
      </c>
      <c r="K7401" s="304" t="s">
        <v>41450</v>
      </c>
      <c r="L7401" s="188">
        <v>114</v>
      </c>
      <c r="M7401" s="179" t="s">
        <v>151</v>
      </c>
    </row>
    <row r="7402" spans="1:13" ht="25.5">
      <c r="A7402" s="313" t="str">
        <f t="shared" si="115"/>
        <v>WaterbodyMorphologyCode_marginalPlateau</v>
      </c>
      <c r="B7402" s="330"/>
      <c r="C7402" s="334"/>
      <c r="D7402" s="188" t="s">
        <v>33231</v>
      </c>
      <c r="E7402" s="189" t="s">
        <v>33232</v>
      </c>
      <c r="F7402" s="162" t="s">
        <v>33233</v>
      </c>
      <c r="G7402" s="190"/>
      <c r="H7402" s="219"/>
      <c r="I7402" s="169">
        <v>119337</v>
      </c>
      <c r="J7402" s="304" t="str">
        <f>CONCATENATE([2]Cover!$D$6,"fdd/view?i=",I7402)</f>
        <v>https://www.dgiwg.org/FAD/fdd/view?i=119337</v>
      </c>
      <c r="K7402" s="304" t="s">
        <v>41451</v>
      </c>
      <c r="L7402" s="188">
        <v>115</v>
      </c>
      <c r="M7402" s="179" t="s">
        <v>151</v>
      </c>
    </row>
    <row r="7403" spans="1:13" ht="38.25">
      <c r="A7403" s="313" t="str">
        <f t="shared" si="115"/>
        <v>WaterbodyMorphologyCode_marginalTrench</v>
      </c>
      <c r="B7403" s="330"/>
      <c r="C7403" s="334"/>
      <c r="D7403" s="188" t="s">
        <v>33234</v>
      </c>
      <c r="E7403" s="189" t="s">
        <v>33235</v>
      </c>
      <c r="F7403" s="162" t="s">
        <v>33236</v>
      </c>
      <c r="G7403" s="190"/>
      <c r="H7403" s="219"/>
      <c r="I7403" s="169">
        <v>206213</v>
      </c>
      <c r="J7403" s="304" t="str">
        <f>CONCATENATE([2]Cover!$D$6,"fdd/view?i=",I7403)</f>
        <v>https://www.dgiwg.org/FAD/fdd/view?i=206213</v>
      </c>
      <c r="K7403" s="304" t="s">
        <v>41452</v>
      </c>
      <c r="L7403" s="188">
        <v>116</v>
      </c>
      <c r="M7403" s="179" t="s">
        <v>1295</v>
      </c>
    </row>
    <row r="7404" spans="1:13" ht="25.5">
      <c r="A7404" s="313" t="str">
        <f t="shared" si="115"/>
        <v>WaterbodyMorphologyCode_medianValley</v>
      </c>
      <c r="B7404" s="330"/>
      <c r="C7404" s="334"/>
      <c r="D7404" s="188" t="s">
        <v>33237</v>
      </c>
      <c r="E7404" s="189" t="s">
        <v>33238</v>
      </c>
      <c r="F7404" s="162" t="s">
        <v>33239</v>
      </c>
      <c r="G7404" s="190"/>
      <c r="H7404" s="219"/>
      <c r="I7404" s="169">
        <v>107534</v>
      </c>
      <c r="J7404" s="304" t="str">
        <f>CONCATENATE([2]Cover!$D$6,"fdd/view?i=",I7404)</f>
        <v>https://www.dgiwg.org/FAD/fdd/view?i=107534</v>
      </c>
      <c r="K7404" s="304" t="s">
        <v>41453</v>
      </c>
      <c r="L7404" s="188">
        <v>40</v>
      </c>
      <c r="M7404" s="179" t="s">
        <v>151</v>
      </c>
    </row>
    <row r="7405" spans="1:13" ht="25.5">
      <c r="A7405" s="313" t="str">
        <f t="shared" si="115"/>
        <v>WaterbodyMorphologyCode_mesa</v>
      </c>
      <c r="B7405" s="330"/>
      <c r="C7405" s="334"/>
      <c r="D7405" s="188" t="s">
        <v>24605</v>
      </c>
      <c r="E7405" s="189" t="s">
        <v>24606</v>
      </c>
      <c r="F7405" s="162" t="s">
        <v>33240</v>
      </c>
      <c r="G7405" s="190"/>
      <c r="H7405" s="219"/>
      <c r="I7405" s="169">
        <v>112815</v>
      </c>
      <c r="J7405" s="304" t="str">
        <f>CONCATENATE([2]Cover!$D$6,"fdd/view?i=",I7405)</f>
        <v>https://www.dgiwg.org/FAD/fdd/view?i=112815</v>
      </c>
      <c r="K7405" s="304" t="s">
        <v>41454</v>
      </c>
      <c r="L7405" s="188">
        <v>89</v>
      </c>
      <c r="M7405" s="179" t="s">
        <v>151</v>
      </c>
    </row>
    <row r="7406" spans="1:13" ht="89.25">
      <c r="A7406" s="313" t="str">
        <f t="shared" si="115"/>
        <v>WaterbodyMorphologyCode_midOceanRidge</v>
      </c>
      <c r="B7406" s="330"/>
      <c r="C7406" s="334"/>
      <c r="D7406" s="188" t="s">
        <v>33241</v>
      </c>
      <c r="E7406" s="189" t="s">
        <v>33242</v>
      </c>
      <c r="F7406" s="162" t="s">
        <v>33243</v>
      </c>
      <c r="G7406" s="162" t="s">
        <v>33244</v>
      </c>
      <c r="H7406" s="219"/>
      <c r="I7406" s="169">
        <v>119338</v>
      </c>
      <c r="J7406" s="304" t="str">
        <f>CONCATENATE([2]Cover!$D$6,"fdd/view?i=",I7406)</f>
        <v>https://www.dgiwg.org/FAD/fdd/view?i=119338</v>
      </c>
      <c r="K7406" s="304" t="s">
        <v>41455</v>
      </c>
      <c r="L7406" s="188">
        <v>117</v>
      </c>
      <c r="M7406" s="179" t="s">
        <v>151</v>
      </c>
    </row>
    <row r="7407" spans="1:13" ht="25.5">
      <c r="A7407" s="313" t="str">
        <f t="shared" si="115"/>
        <v>WaterbodyMorphologyCode_midSlopeTerrace</v>
      </c>
      <c r="B7407" s="330"/>
      <c r="C7407" s="334"/>
      <c r="D7407" s="188" t="s">
        <v>33245</v>
      </c>
      <c r="E7407" s="189" t="s">
        <v>33246</v>
      </c>
      <c r="F7407" s="162" t="s">
        <v>33247</v>
      </c>
      <c r="G7407" s="190"/>
      <c r="H7407" s="219"/>
      <c r="I7407" s="169">
        <v>119339</v>
      </c>
      <c r="J7407" s="304" t="str">
        <f>CONCATENATE([2]Cover!$D$6,"fdd/view?i=",I7407)</f>
        <v>https://www.dgiwg.org/FAD/fdd/view?i=119339</v>
      </c>
      <c r="K7407" s="304" t="s">
        <v>41456</v>
      </c>
      <c r="L7407" s="188">
        <v>118</v>
      </c>
      <c r="M7407" s="179" t="s">
        <v>151</v>
      </c>
    </row>
    <row r="7408" spans="1:13" ht="25.5">
      <c r="A7408" s="313" t="str">
        <f t="shared" si="115"/>
        <v>WaterbodyMorphologyCode_moat</v>
      </c>
      <c r="B7408" s="330"/>
      <c r="C7408" s="334"/>
      <c r="D7408" s="188" t="s">
        <v>33248</v>
      </c>
      <c r="E7408" s="189" t="s">
        <v>3220</v>
      </c>
      <c r="F7408" s="162" t="s">
        <v>33249</v>
      </c>
      <c r="G7408" s="190"/>
      <c r="H7408" s="219"/>
      <c r="I7408" s="169">
        <v>107535</v>
      </c>
      <c r="J7408" s="304" t="str">
        <f>CONCATENATE([2]Cover!$D$6,"fdd/view?i=",I7408)</f>
        <v>https://www.dgiwg.org/FAD/fdd/view?i=107535</v>
      </c>
      <c r="K7408" s="304" t="s">
        <v>41457</v>
      </c>
      <c r="L7408" s="188">
        <v>41</v>
      </c>
      <c r="M7408" s="179" t="s">
        <v>151</v>
      </c>
    </row>
    <row r="7409" spans="1:13" ht="25.5">
      <c r="A7409" s="313" t="str">
        <f t="shared" si="115"/>
        <v>WaterbodyMorphologyCode_mound</v>
      </c>
      <c r="B7409" s="330"/>
      <c r="C7409" s="334"/>
      <c r="D7409" s="188" t="s">
        <v>20872</v>
      </c>
      <c r="E7409" s="189" t="s">
        <v>20873</v>
      </c>
      <c r="F7409" s="162" t="s">
        <v>33250</v>
      </c>
      <c r="G7409" s="190"/>
      <c r="H7409" s="219"/>
      <c r="I7409" s="169">
        <v>112816</v>
      </c>
      <c r="J7409" s="304" t="str">
        <f>CONCATENATE([2]Cover!$D$6,"fdd/view?i=",I7409)</f>
        <v>https://www.dgiwg.org/FAD/fdd/view?i=112816</v>
      </c>
      <c r="K7409" s="304" t="s">
        <v>41458</v>
      </c>
      <c r="L7409" s="188">
        <v>90</v>
      </c>
      <c r="M7409" s="179" t="s">
        <v>151</v>
      </c>
    </row>
    <row r="7410" spans="1:13" ht="25.5">
      <c r="A7410" s="313" t="str">
        <f t="shared" si="115"/>
        <v>WaterbodyMorphologyCode_mountains</v>
      </c>
      <c r="B7410" s="330"/>
      <c r="C7410" s="334"/>
      <c r="D7410" s="188" t="s">
        <v>33251</v>
      </c>
      <c r="E7410" s="189" t="s">
        <v>33252</v>
      </c>
      <c r="F7410" s="162" t="s">
        <v>33253</v>
      </c>
      <c r="G7410" s="190"/>
      <c r="H7410" s="219"/>
      <c r="I7410" s="169">
        <v>107536</v>
      </c>
      <c r="J7410" s="304" t="str">
        <f>CONCATENATE([2]Cover!$D$6,"fdd/view?i=",I7410)</f>
        <v>https://www.dgiwg.org/FAD/fdd/view?i=107536</v>
      </c>
      <c r="K7410" s="304" t="s">
        <v>41459</v>
      </c>
      <c r="L7410" s="188">
        <v>42</v>
      </c>
      <c r="M7410" s="179" t="s">
        <v>151</v>
      </c>
    </row>
    <row r="7411" spans="1:13" ht="25.5">
      <c r="A7411" s="313" t="str">
        <f t="shared" si="115"/>
        <v>WaterbodyMorphologyCode_mudFlats</v>
      </c>
      <c r="B7411" s="330"/>
      <c r="C7411" s="334"/>
      <c r="D7411" s="188" t="s">
        <v>33254</v>
      </c>
      <c r="E7411" s="189" t="s">
        <v>33255</v>
      </c>
      <c r="F7411" s="162" t="s">
        <v>33256</v>
      </c>
      <c r="G7411" s="190"/>
      <c r="H7411" s="221" t="s">
        <v>33257</v>
      </c>
      <c r="I7411" s="169">
        <v>107504</v>
      </c>
      <c r="J7411" s="304" t="str">
        <f>CONCATENATE([2]Cover!$D$6,"fdd/view?i=",I7411)</f>
        <v>https://www.dgiwg.org/FAD/fdd/view?i=107504</v>
      </c>
      <c r="K7411" s="304" t="s">
        <v>41460</v>
      </c>
      <c r="L7411" s="188">
        <v>10</v>
      </c>
      <c r="M7411" s="179" t="s">
        <v>151</v>
      </c>
    </row>
    <row r="7412" spans="1:13" ht="25.5">
      <c r="A7412" s="313" t="str">
        <f t="shared" si="115"/>
        <v>WaterbodyMorphologyCode_narrows</v>
      </c>
      <c r="B7412" s="330"/>
      <c r="C7412" s="334"/>
      <c r="D7412" s="188" t="s">
        <v>33258</v>
      </c>
      <c r="E7412" s="189" t="s">
        <v>33259</v>
      </c>
      <c r="F7412" s="162" t="s">
        <v>33260</v>
      </c>
      <c r="G7412" s="190"/>
      <c r="H7412" s="219"/>
      <c r="I7412" s="169">
        <v>107508</v>
      </c>
      <c r="J7412" s="304" t="str">
        <f>CONCATENATE([2]Cover!$D$6,"fdd/view?i=",I7412)</f>
        <v>https://www.dgiwg.org/FAD/fdd/view?i=107508</v>
      </c>
      <c r="K7412" s="304" t="s">
        <v>41461</v>
      </c>
      <c r="L7412" s="188">
        <v>14</v>
      </c>
      <c r="M7412" s="179" t="s">
        <v>151</v>
      </c>
    </row>
    <row r="7413" spans="1:13" ht="25.5">
      <c r="A7413" s="313" t="str">
        <f t="shared" si="115"/>
        <v>WaterbodyMorphologyCode_ocean</v>
      </c>
      <c r="B7413" s="330"/>
      <c r="C7413" s="334"/>
      <c r="D7413" s="188" t="s">
        <v>33261</v>
      </c>
      <c r="E7413" s="189" t="s">
        <v>33262</v>
      </c>
      <c r="F7413" s="162" t="s">
        <v>33263</v>
      </c>
      <c r="G7413" s="190"/>
      <c r="H7413" s="219"/>
      <c r="I7413" s="169">
        <v>112817</v>
      </c>
      <c r="J7413" s="304" t="str">
        <f>CONCATENATE([2]Cover!$D$6,"fdd/view?i=",I7413)</f>
        <v>https://www.dgiwg.org/FAD/fdd/view?i=112817</v>
      </c>
      <c r="K7413" s="304" t="s">
        <v>41462</v>
      </c>
      <c r="L7413" s="188">
        <v>91</v>
      </c>
      <c r="M7413" s="179" t="s">
        <v>151</v>
      </c>
    </row>
    <row r="7414" spans="1:13" ht="51">
      <c r="A7414" s="313" t="str">
        <f t="shared" si="115"/>
        <v>WaterbodyMorphologyCode_oceanBasinHills</v>
      </c>
      <c r="B7414" s="330"/>
      <c r="C7414" s="334"/>
      <c r="D7414" s="188" t="s">
        <v>33267</v>
      </c>
      <c r="E7414" s="189" t="s">
        <v>33268</v>
      </c>
      <c r="F7414" s="162" t="s">
        <v>33269</v>
      </c>
      <c r="G7414" s="190"/>
      <c r="H7414" s="219"/>
      <c r="I7414" s="169">
        <v>119340</v>
      </c>
      <c r="J7414" s="304" t="str">
        <f>CONCATENATE([2]Cover!$D$6,"fdd/view?i=",I7414)</f>
        <v>https://www.dgiwg.org/FAD/fdd/view?i=119340</v>
      </c>
      <c r="K7414" s="304" t="s">
        <v>41463</v>
      </c>
      <c r="L7414" s="188">
        <v>120</v>
      </c>
      <c r="M7414" s="179" t="s">
        <v>151</v>
      </c>
    </row>
    <row r="7415" spans="1:13" ht="25.5">
      <c r="A7415" s="313" t="str">
        <f t="shared" si="115"/>
        <v>WaterbodyMorphologyCode_oceanTrench</v>
      </c>
      <c r="B7415" s="330"/>
      <c r="C7415" s="334"/>
      <c r="D7415" s="188" t="s">
        <v>33264</v>
      </c>
      <c r="E7415" s="189" t="s">
        <v>33265</v>
      </c>
      <c r="F7415" s="162" t="s">
        <v>33266</v>
      </c>
      <c r="G7415" s="190"/>
      <c r="H7415" s="219"/>
      <c r="I7415" s="169">
        <v>206216</v>
      </c>
      <c r="J7415" s="304" t="str">
        <f>CONCATENATE([2]Cover!$D$6,"fdd/view?i=",I7415)</f>
        <v>https://www.dgiwg.org/FAD/fdd/view?i=206216</v>
      </c>
      <c r="K7415" s="304" t="s">
        <v>41464</v>
      </c>
      <c r="L7415" s="188">
        <v>119</v>
      </c>
      <c r="M7415" s="179" t="s">
        <v>1295</v>
      </c>
    </row>
    <row r="7416" spans="1:13" ht="25.5">
      <c r="A7416" s="313" t="str">
        <f t="shared" si="115"/>
        <v>WaterbodyMorphologyCode_peak</v>
      </c>
      <c r="B7416" s="330"/>
      <c r="C7416" s="334"/>
      <c r="D7416" s="188" t="s">
        <v>23043</v>
      </c>
      <c r="E7416" s="189" t="s">
        <v>23044</v>
      </c>
      <c r="F7416" s="162" t="s">
        <v>33270</v>
      </c>
      <c r="G7416" s="190"/>
      <c r="H7416" s="219"/>
      <c r="I7416" s="169">
        <v>107537</v>
      </c>
      <c r="J7416" s="304" t="str">
        <f>CONCATENATE([2]Cover!$D$6,"fdd/view?i=",I7416)</f>
        <v>https://www.dgiwg.org/FAD/fdd/view?i=107537</v>
      </c>
      <c r="K7416" s="304" t="s">
        <v>41465</v>
      </c>
      <c r="L7416" s="188">
        <v>43</v>
      </c>
      <c r="M7416" s="179" t="s">
        <v>151</v>
      </c>
    </row>
    <row r="7417" spans="1:13" ht="38.25">
      <c r="A7417" s="313" t="str">
        <f t="shared" si="115"/>
        <v>WaterbodyMorphologyCode_pinnacle</v>
      </c>
      <c r="B7417" s="330"/>
      <c r="C7417" s="334"/>
      <c r="D7417" s="188" t="s">
        <v>29583</v>
      </c>
      <c r="E7417" s="189" t="s">
        <v>29584</v>
      </c>
      <c r="F7417" s="162" t="s">
        <v>33271</v>
      </c>
      <c r="G7417" s="162" t="s">
        <v>33272</v>
      </c>
      <c r="H7417" s="219"/>
      <c r="I7417" s="169">
        <v>107513</v>
      </c>
      <c r="J7417" s="304" t="str">
        <f>CONCATENATE([2]Cover!$D$6,"fdd/view?i=",I7417)</f>
        <v>https://www.dgiwg.org/FAD/fdd/view?i=107513</v>
      </c>
      <c r="K7417" s="304" t="s">
        <v>41466</v>
      </c>
      <c r="L7417" s="188">
        <v>19</v>
      </c>
      <c r="M7417" s="179" t="s">
        <v>151</v>
      </c>
    </row>
    <row r="7418" spans="1:13">
      <c r="A7418" s="313" t="str">
        <f t="shared" si="115"/>
        <v>WaterbodyMorphologyCode_plain</v>
      </c>
      <c r="B7418" s="330"/>
      <c r="C7418" s="334"/>
      <c r="D7418" s="188" t="s">
        <v>24635</v>
      </c>
      <c r="E7418" s="189" t="s">
        <v>24636</v>
      </c>
      <c r="F7418" s="162" t="s">
        <v>33273</v>
      </c>
      <c r="G7418" s="190"/>
      <c r="H7418" s="219"/>
      <c r="I7418" s="169">
        <v>112819</v>
      </c>
      <c r="J7418" s="304" t="str">
        <f>CONCATENATE([2]Cover!$D$6,"fdd/view?i=",I7418)</f>
        <v>https://www.dgiwg.org/FAD/fdd/view?i=112819</v>
      </c>
      <c r="K7418" s="304" t="s">
        <v>41467</v>
      </c>
      <c r="L7418" s="188">
        <v>93</v>
      </c>
      <c r="M7418" s="179" t="s">
        <v>151</v>
      </c>
    </row>
    <row r="7419" spans="1:13" ht="25.5">
      <c r="A7419" s="313" t="str">
        <f t="shared" si="115"/>
        <v>WaterbodyMorphologyCode_plateau</v>
      </c>
      <c r="B7419" s="330"/>
      <c r="C7419" s="334"/>
      <c r="D7419" s="188" t="s">
        <v>24638</v>
      </c>
      <c r="E7419" s="189" t="s">
        <v>24639</v>
      </c>
      <c r="F7419" s="162" t="s">
        <v>33274</v>
      </c>
      <c r="G7419" s="190"/>
      <c r="H7419" s="219"/>
      <c r="I7419" s="169">
        <v>107515</v>
      </c>
      <c r="J7419" s="304" t="str">
        <f>CONCATENATE([2]Cover!$D$6,"fdd/view?i=",I7419)</f>
        <v>https://www.dgiwg.org/FAD/fdd/view?i=107515</v>
      </c>
      <c r="K7419" s="304" t="s">
        <v>41468</v>
      </c>
      <c r="L7419" s="188">
        <v>21</v>
      </c>
      <c r="M7419" s="179" t="s">
        <v>151</v>
      </c>
    </row>
    <row r="7420" spans="1:13" ht="25.5">
      <c r="A7420" s="313" t="str">
        <f t="shared" si="115"/>
        <v>WaterbodyMorphologyCode_platform</v>
      </c>
      <c r="B7420" s="330"/>
      <c r="C7420" s="334"/>
      <c r="D7420" s="188" t="s">
        <v>27909</v>
      </c>
      <c r="E7420" s="189" t="s">
        <v>27910</v>
      </c>
      <c r="F7420" s="162" t="s">
        <v>33275</v>
      </c>
      <c r="G7420" s="190"/>
      <c r="H7420" s="219"/>
      <c r="I7420" s="169">
        <v>112818</v>
      </c>
      <c r="J7420" s="304" t="str">
        <f>CONCATENATE([2]Cover!$D$6,"fdd/view?i=",I7420)</f>
        <v>https://www.dgiwg.org/FAD/fdd/view?i=112818</v>
      </c>
      <c r="K7420" s="304" t="s">
        <v>41469</v>
      </c>
      <c r="L7420" s="188">
        <v>92</v>
      </c>
      <c r="M7420" s="179" t="s">
        <v>151</v>
      </c>
    </row>
    <row r="7421" spans="1:13" ht="25.5">
      <c r="A7421" s="313" t="str">
        <f t="shared" si="115"/>
        <v>WaterbodyMorphologyCode_platformUpperSlope</v>
      </c>
      <c r="B7421" s="330"/>
      <c r="C7421" s="334"/>
      <c r="D7421" s="188" t="s">
        <v>33276</v>
      </c>
      <c r="E7421" s="189" t="s">
        <v>33277</v>
      </c>
      <c r="F7421" s="162" t="s">
        <v>33278</v>
      </c>
      <c r="G7421" s="190"/>
      <c r="H7421" s="219"/>
      <c r="I7421" s="169">
        <v>119341</v>
      </c>
      <c r="J7421" s="304" t="str">
        <f>CONCATENATE([2]Cover!$D$6,"fdd/view?i=",I7421)</f>
        <v>https://www.dgiwg.org/FAD/fdd/view?i=119341</v>
      </c>
      <c r="K7421" s="304" t="s">
        <v>41470</v>
      </c>
      <c r="L7421" s="188">
        <v>121</v>
      </c>
      <c r="M7421" s="179" t="s">
        <v>151</v>
      </c>
    </row>
    <row r="7422" spans="1:13" ht="25.5">
      <c r="A7422" s="313" t="str">
        <f t="shared" si="115"/>
        <v>WaterbodyMorphologyCode_province</v>
      </c>
      <c r="B7422" s="330"/>
      <c r="C7422" s="334"/>
      <c r="D7422" s="188" t="s">
        <v>19356</v>
      </c>
      <c r="E7422" s="189" t="s">
        <v>19357</v>
      </c>
      <c r="F7422" s="162" t="s">
        <v>33279</v>
      </c>
      <c r="G7422" s="190"/>
      <c r="H7422" s="219"/>
      <c r="I7422" s="169">
        <v>107538</v>
      </c>
      <c r="J7422" s="304" t="str">
        <f>CONCATENATE([2]Cover!$D$6,"fdd/view?i=",I7422)</f>
        <v>https://www.dgiwg.org/FAD/fdd/view?i=107538</v>
      </c>
      <c r="K7422" s="304" t="s">
        <v>41471</v>
      </c>
      <c r="L7422" s="188">
        <v>44</v>
      </c>
      <c r="M7422" s="179" t="s">
        <v>151</v>
      </c>
    </row>
    <row r="7423" spans="1:13">
      <c r="A7423" s="313" t="str">
        <f t="shared" si="115"/>
        <v>WaterbodyMorphologyCode_ramp</v>
      </c>
      <c r="B7423" s="330"/>
      <c r="C7423" s="334"/>
      <c r="D7423" s="188" t="s">
        <v>29678</v>
      </c>
      <c r="E7423" s="189" t="s">
        <v>3582</v>
      </c>
      <c r="F7423" s="162" t="s">
        <v>33280</v>
      </c>
      <c r="G7423" s="190"/>
      <c r="H7423" s="219"/>
      <c r="I7423" s="169">
        <v>112821</v>
      </c>
      <c r="J7423" s="304" t="str">
        <f>CONCATENATE([2]Cover!$D$6,"fdd/view?i=",I7423)</f>
        <v>https://www.dgiwg.org/FAD/fdd/view?i=112821</v>
      </c>
      <c r="K7423" s="304" t="s">
        <v>41472</v>
      </c>
      <c r="L7423" s="188">
        <v>95</v>
      </c>
      <c r="M7423" s="179" t="s">
        <v>151</v>
      </c>
    </row>
    <row r="7424" spans="1:13">
      <c r="A7424" s="313" t="str">
        <f t="shared" si="115"/>
        <v>WaterbodyMorphologyCode_range</v>
      </c>
      <c r="B7424" s="330"/>
      <c r="C7424" s="334"/>
      <c r="D7424" s="188" t="s">
        <v>33281</v>
      </c>
      <c r="E7424" s="189" t="s">
        <v>24784</v>
      </c>
      <c r="F7424" s="162" t="s">
        <v>33282</v>
      </c>
      <c r="G7424" s="190"/>
      <c r="H7424" s="219"/>
      <c r="I7424" s="169">
        <v>112822</v>
      </c>
      <c r="J7424" s="304" t="str">
        <f>CONCATENATE([2]Cover!$D$6,"fdd/view?i=",I7424)</f>
        <v>https://www.dgiwg.org/FAD/fdd/view?i=112822</v>
      </c>
      <c r="K7424" s="304" t="s">
        <v>41473</v>
      </c>
      <c r="L7424" s="188">
        <v>96</v>
      </c>
      <c r="M7424" s="179" t="s">
        <v>151</v>
      </c>
    </row>
    <row r="7425" spans="1:13">
      <c r="A7425" s="313" t="str">
        <f t="shared" si="115"/>
        <v>WaterbodyMorphologyCode_ravine</v>
      </c>
      <c r="B7425" s="330"/>
      <c r="C7425" s="334"/>
      <c r="D7425" s="188" t="s">
        <v>33283</v>
      </c>
      <c r="E7425" s="189" t="s">
        <v>33284</v>
      </c>
      <c r="F7425" s="162" t="s">
        <v>33285</v>
      </c>
      <c r="G7425" s="190"/>
      <c r="H7425" s="221" t="s">
        <v>24530</v>
      </c>
      <c r="I7425" s="169">
        <v>112820</v>
      </c>
      <c r="J7425" s="304" t="str">
        <f>CONCATENATE([2]Cover!$D$6,"fdd/view?i=",I7425)</f>
        <v>https://www.dgiwg.org/FAD/fdd/view?i=112820</v>
      </c>
      <c r="K7425" s="304" t="s">
        <v>41474</v>
      </c>
      <c r="L7425" s="188">
        <v>94</v>
      </c>
      <c r="M7425" s="179" t="s">
        <v>151</v>
      </c>
    </row>
    <row r="7426" spans="1:13" ht="25.5">
      <c r="A7426" s="313" t="str">
        <f t="shared" si="115"/>
        <v>WaterbodyMorphologyCode_reef</v>
      </c>
      <c r="B7426" s="330"/>
      <c r="C7426" s="334"/>
      <c r="D7426" s="188" t="s">
        <v>33286</v>
      </c>
      <c r="E7426" s="189" t="s">
        <v>3598</v>
      </c>
      <c r="F7426" s="162" t="s">
        <v>33287</v>
      </c>
      <c r="G7426" s="190"/>
      <c r="H7426" s="219"/>
      <c r="I7426" s="169">
        <v>107505</v>
      </c>
      <c r="J7426" s="304" t="str">
        <f>CONCATENATE([2]Cover!$D$6,"fdd/view?i=",I7426)</f>
        <v>https://www.dgiwg.org/FAD/fdd/view?i=107505</v>
      </c>
      <c r="K7426" s="304" t="s">
        <v>41475</v>
      </c>
      <c r="L7426" s="188">
        <v>11</v>
      </c>
      <c r="M7426" s="179" t="s">
        <v>151</v>
      </c>
    </row>
    <row r="7427" spans="1:13" ht="25.5">
      <c r="A7427" s="313" t="str">
        <f t="shared" ref="A7427:A7490" si="116">HYPERLINK(J7427,K7427)</f>
        <v>WaterbodyMorphologyCode_ridge</v>
      </c>
      <c r="B7427" s="330"/>
      <c r="C7427" s="334"/>
      <c r="D7427" s="188" t="s">
        <v>24652</v>
      </c>
      <c r="E7427" s="189" t="s">
        <v>24653</v>
      </c>
      <c r="F7427" s="162" t="s">
        <v>33288</v>
      </c>
      <c r="G7427" s="190"/>
      <c r="H7427" s="221" t="s">
        <v>33289</v>
      </c>
      <c r="I7427" s="169">
        <v>107511</v>
      </c>
      <c r="J7427" s="304" t="str">
        <f>CONCATENATE([2]Cover!$D$6,"fdd/view?i=",I7427)</f>
        <v>https://www.dgiwg.org/FAD/fdd/view?i=107511</v>
      </c>
      <c r="K7427" s="304" t="s">
        <v>41476</v>
      </c>
      <c r="L7427" s="188">
        <v>17</v>
      </c>
      <c r="M7427" s="179" t="s">
        <v>151</v>
      </c>
    </row>
    <row r="7428" spans="1:13" ht="38.25">
      <c r="A7428" s="313" t="str">
        <f t="shared" si="116"/>
        <v>WaterbodyMorphologyCode_ridgesValleys</v>
      </c>
      <c r="B7428" s="330"/>
      <c r="C7428" s="334"/>
      <c r="D7428" s="188" t="s">
        <v>33290</v>
      </c>
      <c r="E7428" s="189" t="s">
        <v>33291</v>
      </c>
      <c r="F7428" s="162" t="s">
        <v>33292</v>
      </c>
      <c r="G7428" s="190"/>
      <c r="H7428" s="219"/>
      <c r="I7428" s="169">
        <v>119342</v>
      </c>
      <c r="J7428" s="304" t="str">
        <f>CONCATENATE([2]Cover!$D$6,"fdd/view?i=",I7428)</f>
        <v>https://www.dgiwg.org/FAD/fdd/view?i=119342</v>
      </c>
      <c r="K7428" s="304" t="s">
        <v>41477</v>
      </c>
      <c r="L7428" s="188">
        <v>122</v>
      </c>
      <c r="M7428" s="179" t="s">
        <v>151</v>
      </c>
    </row>
    <row r="7429" spans="1:13" ht="38.25">
      <c r="A7429" s="313" t="str">
        <f t="shared" si="116"/>
        <v>WaterbodyMorphologyCode_ridgeValleyComplex</v>
      </c>
      <c r="B7429" s="330"/>
      <c r="C7429" s="334"/>
      <c r="D7429" s="188" t="s">
        <v>33293</v>
      </c>
      <c r="E7429" s="189" t="s">
        <v>33294</v>
      </c>
      <c r="F7429" s="162" t="s">
        <v>33295</v>
      </c>
      <c r="G7429" s="162" t="s">
        <v>33296</v>
      </c>
      <c r="H7429" s="219"/>
      <c r="I7429" s="169">
        <v>119343</v>
      </c>
      <c r="J7429" s="304" t="str">
        <f>CONCATENATE([2]Cover!$D$6,"fdd/view?i=",I7429)</f>
        <v>https://www.dgiwg.org/FAD/fdd/view?i=119343</v>
      </c>
      <c r="K7429" s="304" t="s">
        <v>41478</v>
      </c>
      <c r="L7429" s="188">
        <v>123</v>
      </c>
      <c r="M7429" s="179" t="s">
        <v>151</v>
      </c>
    </row>
    <row r="7430" spans="1:13" ht="38.25">
      <c r="A7430" s="313" t="str">
        <f t="shared" si="116"/>
        <v>WaterbodyMorphologyCode_riftValley</v>
      </c>
      <c r="B7430" s="330"/>
      <c r="C7430" s="334"/>
      <c r="D7430" s="188" t="s">
        <v>33297</v>
      </c>
      <c r="E7430" s="189" t="s">
        <v>33298</v>
      </c>
      <c r="F7430" s="162" t="s">
        <v>33299</v>
      </c>
      <c r="G7430" s="162" t="s">
        <v>33300</v>
      </c>
      <c r="H7430" s="219"/>
      <c r="I7430" s="169">
        <v>119344</v>
      </c>
      <c r="J7430" s="304" t="str">
        <f>CONCATENATE([2]Cover!$D$6,"fdd/view?i=",I7430)</f>
        <v>https://www.dgiwg.org/FAD/fdd/view?i=119344</v>
      </c>
      <c r="K7430" s="304" t="s">
        <v>41479</v>
      </c>
      <c r="L7430" s="188">
        <v>124</v>
      </c>
      <c r="M7430" s="179" t="s">
        <v>151</v>
      </c>
    </row>
    <row r="7431" spans="1:13" ht="38.25">
      <c r="A7431" s="313" t="str">
        <f t="shared" si="116"/>
        <v>WaterbodyMorphologyCode_rise</v>
      </c>
      <c r="B7431" s="330"/>
      <c r="C7431" s="334"/>
      <c r="D7431" s="188" t="s">
        <v>33301</v>
      </c>
      <c r="E7431" s="189" t="s">
        <v>33302</v>
      </c>
      <c r="F7431" s="162" t="s">
        <v>33303</v>
      </c>
      <c r="G7431" s="162" t="s">
        <v>33304</v>
      </c>
      <c r="H7431" s="219"/>
      <c r="I7431" s="169">
        <v>107539</v>
      </c>
      <c r="J7431" s="304" t="str">
        <f>CONCATENATE([2]Cover!$D$6,"fdd/view?i=",I7431)</f>
        <v>https://www.dgiwg.org/FAD/fdd/view?i=107539</v>
      </c>
      <c r="K7431" s="304" t="s">
        <v>41480</v>
      </c>
      <c r="L7431" s="188">
        <v>45</v>
      </c>
      <c r="M7431" s="179" t="s">
        <v>151</v>
      </c>
    </row>
    <row r="7432" spans="1:13" ht="25.5">
      <c r="A7432" s="313" t="str">
        <f t="shared" si="116"/>
        <v>WaterbodyMorphologyCode_saddle</v>
      </c>
      <c r="B7432" s="330"/>
      <c r="C7432" s="334"/>
      <c r="D7432" s="188" t="s">
        <v>24655</v>
      </c>
      <c r="E7432" s="189" t="s">
        <v>24656</v>
      </c>
      <c r="F7432" s="162" t="s">
        <v>33305</v>
      </c>
      <c r="G7432" s="190"/>
      <c r="H7432" s="219"/>
      <c r="I7432" s="169">
        <v>107519</v>
      </c>
      <c r="J7432" s="304" t="str">
        <f>CONCATENATE([2]Cover!$D$6,"fdd/view?i=",I7432)</f>
        <v>https://www.dgiwg.org/FAD/fdd/view?i=107519</v>
      </c>
      <c r="K7432" s="304" t="s">
        <v>41481</v>
      </c>
      <c r="L7432" s="188">
        <v>25</v>
      </c>
      <c r="M7432" s="179" t="s">
        <v>151</v>
      </c>
    </row>
    <row r="7433" spans="1:13" ht="25.5">
      <c r="A7433" s="313" t="str">
        <f t="shared" si="116"/>
        <v>WaterbodyMorphologyCode_sea</v>
      </c>
      <c r="B7433" s="330"/>
      <c r="C7433" s="334"/>
      <c r="D7433" s="188" t="s">
        <v>33306</v>
      </c>
      <c r="E7433" s="189" t="s">
        <v>33307</v>
      </c>
      <c r="F7433" s="162" t="s">
        <v>33308</v>
      </c>
      <c r="G7433" s="190"/>
      <c r="H7433" s="219"/>
      <c r="I7433" s="169">
        <v>112824</v>
      </c>
      <c r="J7433" s="304" t="str">
        <f>CONCATENATE([2]Cover!$D$6,"fdd/view?i=",I7433)</f>
        <v>https://www.dgiwg.org/FAD/fdd/view?i=112824</v>
      </c>
      <c r="K7433" s="304" t="s">
        <v>41482</v>
      </c>
      <c r="L7433" s="188">
        <v>98</v>
      </c>
      <c r="M7433" s="179" t="s">
        <v>151</v>
      </c>
    </row>
    <row r="7434" spans="1:13" ht="38.25">
      <c r="A7434" s="313" t="str">
        <f t="shared" si="116"/>
        <v>WaterbodyMorphologyCode_seaChannel</v>
      </c>
      <c r="B7434" s="330"/>
      <c r="C7434" s="334"/>
      <c r="D7434" s="188" t="s">
        <v>33309</v>
      </c>
      <c r="E7434" s="189" t="s">
        <v>33310</v>
      </c>
      <c r="F7434" s="162" t="s">
        <v>33311</v>
      </c>
      <c r="G7434" s="190"/>
      <c r="H7434" s="219"/>
      <c r="I7434" s="169">
        <v>107540</v>
      </c>
      <c r="J7434" s="304" t="str">
        <f>CONCATENATE([2]Cover!$D$6,"fdd/view?i=",I7434)</f>
        <v>https://www.dgiwg.org/FAD/fdd/view?i=107540</v>
      </c>
      <c r="K7434" s="304" t="s">
        <v>41483</v>
      </c>
      <c r="L7434" s="188">
        <v>46</v>
      </c>
      <c r="M7434" s="179" t="s">
        <v>151</v>
      </c>
    </row>
    <row r="7435" spans="1:13" ht="25.5">
      <c r="A7435" s="313" t="str">
        <f t="shared" si="116"/>
        <v>WaterbodyMorphologyCode_seamount</v>
      </c>
      <c r="B7435" s="330"/>
      <c r="C7435" s="334"/>
      <c r="D7435" s="188" t="s">
        <v>33312</v>
      </c>
      <c r="E7435" s="189" t="s">
        <v>33313</v>
      </c>
      <c r="F7435" s="162" t="s">
        <v>33314</v>
      </c>
      <c r="G7435" s="190"/>
      <c r="H7435" s="219"/>
      <c r="I7435" s="169">
        <v>107512</v>
      </c>
      <c r="J7435" s="304" t="str">
        <f>CONCATENATE([2]Cover!$D$6,"fdd/view?i=",I7435)</f>
        <v>https://www.dgiwg.org/FAD/fdd/view?i=107512</v>
      </c>
      <c r="K7435" s="304" t="s">
        <v>41484</v>
      </c>
      <c r="L7435" s="188">
        <v>18</v>
      </c>
      <c r="M7435" s="179" t="s">
        <v>151</v>
      </c>
    </row>
    <row r="7436" spans="1:13" ht="25.5">
      <c r="A7436" s="313" t="str">
        <f t="shared" si="116"/>
        <v>WaterbodyMorphologyCode_seamountChain</v>
      </c>
      <c r="B7436" s="330"/>
      <c r="C7436" s="334"/>
      <c r="D7436" s="188" t="s">
        <v>33315</v>
      </c>
      <c r="E7436" s="189" t="s">
        <v>33316</v>
      </c>
      <c r="F7436" s="162" t="s">
        <v>33317</v>
      </c>
      <c r="G7436" s="190"/>
      <c r="H7436" s="221" t="s">
        <v>33318</v>
      </c>
      <c r="I7436" s="169">
        <v>107541</v>
      </c>
      <c r="J7436" s="304" t="str">
        <f>CONCATENATE([2]Cover!$D$6,"fdd/view?i=",I7436)</f>
        <v>https://www.dgiwg.org/FAD/fdd/view?i=107541</v>
      </c>
      <c r="K7436" s="304" t="s">
        <v>41485</v>
      </c>
      <c r="L7436" s="188">
        <v>47</v>
      </c>
      <c r="M7436" s="179" t="s">
        <v>151</v>
      </c>
    </row>
    <row r="7437" spans="1:13" ht="38.25">
      <c r="A7437" s="313" t="str">
        <f t="shared" si="116"/>
        <v>WaterbodyMorphologyCode_shelf</v>
      </c>
      <c r="B7437" s="330"/>
      <c r="C7437" s="334"/>
      <c r="D7437" s="188" t="s">
        <v>33319</v>
      </c>
      <c r="E7437" s="189" t="s">
        <v>33320</v>
      </c>
      <c r="F7437" s="162" t="s">
        <v>33321</v>
      </c>
      <c r="G7437" s="190"/>
      <c r="H7437" s="219"/>
      <c r="I7437" s="169">
        <v>107517</v>
      </c>
      <c r="J7437" s="304" t="str">
        <f>CONCATENATE([2]Cover!$D$6,"fdd/view?i=",I7437)</f>
        <v>https://www.dgiwg.org/FAD/fdd/view?i=107517</v>
      </c>
      <c r="K7437" s="304" t="s">
        <v>41486</v>
      </c>
      <c r="L7437" s="188">
        <v>23</v>
      </c>
      <c r="M7437" s="179" t="s">
        <v>151</v>
      </c>
    </row>
    <row r="7438" spans="1:13" ht="25.5">
      <c r="A7438" s="313" t="str">
        <f t="shared" si="116"/>
        <v>WaterbodyMorphologyCode_shelfEdge</v>
      </c>
      <c r="B7438" s="330"/>
      <c r="C7438" s="334"/>
      <c r="D7438" s="188" t="s">
        <v>33325</v>
      </c>
      <c r="E7438" s="189" t="s">
        <v>33326</v>
      </c>
      <c r="F7438" s="162" t="s">
        <v>33327</v>
      </c>
      <c r="G7438" s="190"/>
      <c r="H7438" s="221" t="s">
        <v>33328</v>
      </c>
      <c r="I7438" s="169">
        <v>107542</v>
      </c>
      <c r="J7438" s="304" t="str">
        <f>CONCATENATE([2]Cover!$D$6,"fdd/view?i=",I7438)</f>
        <v>https://www.dgiwg.org/FAD/fdd/view?i=107542</v>
      </c>
      <c r="K7438" s="304" t="s">
        <v>41487</v>
      </c>
      <c r="L7438" s="188">
        <v>48</v>
      </c>
      <c r="M7438" s="179" t="s">
        <v>151</v>
      </c>
    </row>
    <row r="7439" spans="1:13" ht="25.5">
      <c r="A7439" s="313" t="str">
        <f t="shared" si="116"/>
        <v>WaterbodyMorphologyCode_shelfValley</v>
      </c>
      <c r="B7439" s="330"/>
      <c r="C7439" s="334"/>
      <c r="D7439" s="188" t="s">
        <v>33322</v>
      </c>
      <c r="E7439" s="189" t="s">
        <v>33323</v>
      </c>
      <c r="F7439" s="162" t="s">
        <v>33324</v>
      </c>
      <c r="G7439" s="190"/>
      <c r="H7439" s="219"/>
      <c r="I7439" s="169">
        <v>112825</v>
      </c>
      <c r="J7439" s="304" t="str">
        <f>CONCATENATE([2]Cover!$D$6,"fdd/view?i=",I7439)</f>
        <v>https://www.dgiwg.org/FAD/fdd/view?i=112825</v>
      </c>
      <c r="K7439" s="304" t="s">
        <v>41488</v>
      </c>
      <c r="L7439" s="188">
        <v>99</v>
      </c>
      <c r="M7439" s="179" t="s">
        <v>151</v>
      </c>
    </row>
    <row r="7440" spans="1:13" ht="25.5">
      <c r="A7440" s="313" t="str">
        <f t="shared" si="116"/>
        <v>WaterbodyMorphologyCode_shoal</v>
      </c>
      <c r="B7440" s="330"/>
      <c r="C7440" s="334"/>
      <c r="D7440" s="188" t="s">
        <v>33329</v>
      </c>
      <c r="E7440" s="189" t="s">
        <v>33330</v>
      </c>
      <c r="F7440" s="162" t="s">
        <v>33331</v>
      </c>
      <c r="G7440" s="190"/>
      <c r="H7440" s="219"/>
      <c r="I7440" s="169">
        <v>107509</v>
      </c>
      <c r="J7440" s="304" t="str">
        <f>CONCATENATE([2]Cover!$D$6,"fdd/view?i=",I7440)</f>
        <v>https://www.dgiwg.org/FAD/fdd/view?i=107509</v>
      </c>
      <c r="K7440" s="304" t="s">
        <v>41489</v>
      </c>
      <c r="L7440" s="188">
        <v>15</v>
      </c>
      <c r="M7440" s="179" t="s">
        <v>151</v>
      </c>
    </row>
    <row r="7441" spans="1:13" ht="25.5">
      <c r="A7441" s="313" t="str">
        <f t="shared" si="116"/>
        <v>WaterbodyMorphologyCode_sill</v>
      </c>
      <c r="B7441" s="330"/>
      <c r="C7441" s="334"/>
      <c r="D7441" s="188" t="s">
        <v>33332</v>
      </c>
      <c r="E7441" s="189" t="s">
        <v>33333</v>
      </c>
      <c r="F7441" s="162" t="s">
        <v>33334</v>
      </c>
      <c r="G7441" s="190"/>
      <c r="H7441" s="219"/>
      <c r="I7441" s="169">
        <v>107543</v>
      </c>
      <c r="J7441" s="304" t="str">
        <f>CONCATENATE([2]Cover!$D$6,"fdd/view?i=",I7441)</f>
        <v>https://www.dgiwg.org/FAD/fdd/view?i=107543</v>
      </c>
      <c r="K7441" s="304" t="s">
        <v>41490</v>
      </c>
      <c r="L7441" s="188">
        <v>49</v>
      </c>
      <c r="M7441" s="179" t="s">
        <v>151</v>
      </c>
    </row>
    <row r="7442" spans="1:13" ht="25.5">
      <c r="A7442" s="313" t="str">
        <f t="shared" si="116"/>
        <v>WaterbodyMorphologyCode_slope</v>
      </c>
      <c r="B7442" s="330"/>
      <c r="C7442" s="334"/>
      <c r="D7442" s="188" t="s">
        <v>19740</v>
      </c>
      <c r="E7442" s="189" t="s">
        <v>19741</v>
      </c>
      <c r="F7442" s="162" t="s">
        <v>33335</v>
      </c>
      <c r="G7442" s="190"/>
      <c r="H7442" s="219"/>
      <c r="I7442" s="169">
        <v>107544</v>
      </c>
      <c r="J7442" s="304" t="str">
        <f>CONCATENATE([2]Cover!$D$6,"fdd/view?i=",I7442)</f>
        <v>https://www.dgiwg.org/FAD/fdd/view?i=107544</v>
      </c>
      <c r="K7442" s="304" t="s">
        <v>41491</v>
      </c>
      <c r="L7442" s="188">
        <v>50</v>
      </c>
      <c r="M7442" s="179" t="s">
        <v>151</v>
      </c>
    </row>
    <row r="7443" spans="1:13" ht="25.5">
      <c r="A7443" s="313" t="str">
        <f t="shared" si="116"/>
        <v>WaterbodyMorphologyCode_slopeBasin</v>
      </c>
      <c r="B7443" s="330"/>
      <c r="C7443" s="334"/>
      <c r="D7443" s="188" t="s">
        <v>33336</v>
      </c>
      <c r="E7443" s="189" t="s">
        <v>33337</v>
      </c>
      <c r="F7443" s="162" t="s">
        <v>33338</v>
      </c>
      <c r="G7443" s="190"/>
      <c r="H7443" s="219"/>
      <c r="I7443" s="169">
        <v>119345</v>
      </c>
      <c r="J7443" s="304" t="str">
        <f>CONCATENATE([2]Cover!$D$6,"fdd/view?i=",I7443)</f>
        <v>https://www.dgiwg.org/FAD/fdd/view?i=119345</v>
      </c>
      <c r="K7443" s="304" t="s">
        <v>41492</v>
      </c>
      <c r="L7443" s="188">
        <v>125</v>
      </c>
      <c r="M7443" s="179" t="s">
        <v>151</v>
      </c>
    </row>
    <row r="7444" spans="1:13" ht="38.25">
      <c r="A7444" s="313" t="str">
        <f t="shared" si="116"/>
        <v>WaterbodyMorphologyCode_slump</v>
      </c>
      <c r="B7444" s="330"/>
      <c r="C7444" s="334"/>
      <c r="D7444" s="188" t="s">
        <v>33339</v>
      </c>
      <c r="E7444" s="189" t="s">
        <v>33340</v>
      </c>
      <c r="F7444" s="162" t="s">
        <v>33341</v>
      </c>
      <c r="G7444" s="190"/>
      <c r="H7444" s="219"/>
      <c r="I7444" s="169">
        <v>119346</v>
      </c>
      <c r="J7444" s="304" t="str">
        <f>CONCATENATE([2]Cover!$D$6,"fdd/view?i=",I7444)</f>
        <v>https://www.dgiwg.org/FAD/fdd/view?i=119346</v>
      </c>
      <c r="K7444" s="304" t="s">
        <v>41493</v>
      </c>
      <c r="L7444" s="188">
        <v>126</v>
      </c>
      <c r="M7444" s="179" t="s">
        <v>151</v>
      </c>
    </row>
    <row r="7445" spans="1:13" ht="25.5">
      <c r="A7445" s="313" t="str">
        <f t="shared" si="116"/>
        <v>WaterbodyMorphologyCode_sound</v>
      </c>
      <c r="B7445" s="330"/>
      <c r="C7445" s="334"/>
      <c r="D7445" s="188" t="s">
        <v>33342</v>
      </c>
      <c r="E7445" s="189" t="s">
        <v>33343</v>
      </c>
      <c r="F7445" s="162" t="s">
        <v>33344</v>
      </c>
      <c r="G7445" s="190"/>
      <c r="H7445" s="219"/>
      <c r="I7445" s="169">
        <v>112823</v>
      </c>
      <c r="J7445" s="304" t="str">
        <f>CONCATENATE([2]Cover!$D$6,"fdd/view?i=",I7445)</f>
        <v>https://www.dgiwg.org/FAD/fdd/view?i=112823</v>
      </c>
      <c r="K7445" s="304" t="s">
        <v>41494</v>
      </c>
      <c r="L7445" s="188">
        <v>97</v>
      </c>
      <c r="M7445" s="179" t="s">
        <v>151</v>
      </c>
    </row>
    <row r="7446" spans="1:13" ht="25.5">
      <c r="A7446" s="313" t="str">
        <f t="shared" si="116"/>
        <v>WaterbodyMorphologyCode_springs</v>
      </c>
      <c r="B7446" s="330"/>
      <c r="C7446" s="334"/>
      <c r="D7446" s="188" t="s">
        <v>33345</v>
      </c>
      <c r="E7446" s="189" t="s">
        <v>33346</v>
      </c>
      <c r="F7446" s="162" t="s">
        <v>33347</v>
      </c>
      <c r="G7446" s="162" t="s">
        <v>33348</v>
      </c>
      <c r="H7446" s="219"/>
      <c r="I7446" s="169">
        <v>107564</v>
      </c>
      <c r="J7446" s="304" t="str">
        <f>CONCATENATE([2]Cover!$D$6,"fdd/view?i=",I7446)</f>
        <v>https://www.dgiwg.org/FAD/fdd/view?i=107564</v>
      </c>
      <c r="K7446" s="304" t="s">
        <v>41495</v>
      </c>
      <c r="L7446" s="188">
        <v>70</v>
      </c>
      <c r="M7446" s="179" t="s">
        <v>151</v>
      </c>
    </row>
    <row r="7447" spans="1:13" ht="25.5">
      <c r="A7447" s="313" t="str">
        <f t="shared" si="116"/>
        <v>WaterbodyMorphologyCode_spur</v>
      </c>
      <c r="B7447" s="330"/>
      <c r="C7447" s="334"/>
      <c r="D7447" s="188" t="s">
        <v>18295</v>
      </c>
      <c r="E7447" s="189" t="s">
        <v>18296</v>
      </c>
      <c r="F7447" s="162" t="s">
        <v>33349</v>
      </c>
      <c r="G7447" s="190"/>
      <c r="H7447" s="219"/>
      <c r="I7447" s="169">
        <v>107516</v>
      </c>
      <c r="J7447" s="304" t="str">
        <f>CONCATENATE([2]Cover!$D$6,"fdd/view?i=",I7447)</f>
        <v>https://www.dgiwg.org/FAD/fdd/view?i=107516</v>
      </c>
      <c r="K7447" s="304" t="s">
        <v>41496</v>
      </c>
      <c r="L7447" s="188">
        <v>22</v>
      </c>
      <c r="M7447" s="179" t="s">
        <v>151</v>
      </c>
    </row>
    <row r="7448" spans="1:13" ht="25.5">
      <c r="A7448" s="313" t="str">
        <f t="shared" si="116"/>
        <v>WaterbodyMorphologyCode_strait</v>
      </c>
      <c r="B7448" s="330"/>
      <c r="C7448" s="334"/>
      <c r="D7448" s="188" t="s">
        <v>33350</v>
      </c>
      <c r="E7448" s="189" t="s">
        <v>33351</v>
      </c>
      <c r="F7448" s="162" t="s">
        <v>33352</v>
      </c>
      <c r="G7448" s="190"/>
      <c r="H7448" s="219"/>
      <c r="I7448" s="169">
        <v>112797</v>
      </c>
      <c r="J7448" s="304" t="str">
        <f>CONCATENATE([2]Cover!$D$6,"fdd/view?i=",I7448)</f>
        <v>https://www.dgiwg.org/FAD/fdd/view?i=112797</v>
      </c>
      <c r="K7448" s="304" t="s">
        <v>41497</v>
      </c>
      <c r="L7448" s="188">
        <v>100</v>
      </c>
      <c r="M7448" s="179" t="s">
        <v>151</v>
      </c>
    </row>
    <row r="7449" spans="1:13" ht="38.25">
      <c r="A7449" s="313" t="str">
        <f t="shared" si="116"/>
        <v>WaterbodyMorphologyCode_terrace</v>
      </c>
      <c r="B7449" s="330"/>
      <c r="C7449" s="334"/>
      <c r="D7449" s="188" t="s">
        <v>23994</v>
      </c>
      <c r="E7449" s="189" t="s">
        <v>23995</v>
      </c>
      <c r="F7449" s="162" t="s">
        <v>33353</v>
      </c>
      <c r="G7449" s="190"/>
      <c r="H7449" s="219"/>
      <c r="I7449" s="169">
        <v>107545</v>
      </c>
      <c r="J7449" s="304" t="str">
        <f>CONCATENATE([2]Cover!$D$6,"fdd/view?i=",I7449)</f>
        <v>https://www.dgiwg.org/FAD/fdd/view?i=107545</v>
      </c>
      <c r="K7449" s="304" t="s">
        <v>41498</v>
      </c>
      <c r="L7449" s="188">
        <v>51</v>
      </c>
      <c r="M7449" s="179" t="s">
        <v>151</v>
      </c>
    </row>
    <row r="7450" spans="1:13" ht="25.5">
      <c r="A7450" s="313" t="str">
        <f t="shared" si="116"/>
        <v>WaterbodyMorphologyCode_tidalFlat</v>
      </c>
      <c r="B7450" s="330"/>
      <c r="C7450" s="334"/>
      <c r="D7450" s="188" t="s">
        <v>33354</v>
      </c>
      <c r="E7450" s="189" t="s">
        <v>33355</v>
      </c>
      <c r="F7450" s="162" t="s">
        <v>33356</v>
      </c>
      <c r="G7450" s="190"/>
      <c r="H7450" s="219"/>
      <c r="I7450" s="169">
        <v>107502</v>
      </c>
      <c r="J7450" s="304" t="str">
        <f>CONCATENATE([2]Cover!$D$6,"fdd/view?i=",I7450)</f>
        <v>https://www.dgiwg.org/FAD/fdd/view?i=107502</v>
      </c>
      <c r="K7450" s="304" t="s">
        <v>41499</v>
      </c>
      <c r="L7450" s="188">
        <v>8</v>
      </c>
      <c r="M7450" s="179" t="s">
        <v>151</v>
      </c>
    </row>
    <row r="7451" spans="1:13" ht="25.5">
      <c r="A7451" s="313" t="str">
        <f t="shared" si="116"/>
        <v>WaterbodyMorphologyCode_tongue</v>
      </c>
      <c r="B7451" s="330"/>
      <c r="C7451" s="334"/>
      <c r="D7451" s="188" t="s">
        <v>33357</v>
      </c>
      <c r="E7451" s="189" t="s">
        <v>33358</v>
      </c>
      <c r="F7451" s="162" t="s">
        <v>33359</v>
      </c>
      <c r="G7451" s="190"/>
      <c r="H7451" s="219"/>
      <c r="I7451" s="169">
        <v>112798</v>
      </c>
      <c r="J7451" s="304" t="str">
        <f>CONCATENATE([2]Cover!$D$6,"fdd/view?i=",I7451)</f>
        <v>https://www.dgiwg.org/FAD/fdd/view?i=112798</v>
      </c>
      <c r="K7451" s="304" t="s">
        <v>41500</v>
      </c>
      <c r="L7451" s="188">
        <v>101</v>
      </c>
      <c r="M7451" s="179" t="s">
        <v>151</v>
      </c>
    </row>
    <row r="7452" spans="1:13" ht="38.25">
      <c r="A7452" s="313" t="str">
        <f t="shared" si="116"/>
        <v>WaterbodyMorphologyCode_trench</v>
      </c>
      <c r="B7452" s="330"/>
      <c r="C7452" s="334"/>
      <c r="D7452" s="188" t="s">
        <v>33360</v>
      </c>
      <c r="E7452" s="189" t="s">
        <v>33361</v>
      </c>
      <c r="F7452" s="162" t="s">
        <v>33362</v>
      </c>
      <c r="G7452" s="162" t="s">
        <v>33363</v>
      </c>
      <c r="H7452" s="219"/>
      <c r="I7452" s="169">
        <v>107503</v>
      </c>
      <c r="J7452" s="304" t="str">
        <f>CONCATENATE([2]Cover!$D$6,"fdd/view?i=",I7452)</f>
        <v>https://www.dgiwg.org/FAD/fdd/view?i=107503</v>
      </c>
      <c r="K7452" s="304" t="s">
        <v>41501</v>
      </c>
      <c r="L7452" s="188">
        <v>9</v>
      </c>
      <c r="M7452" s="179" t="s">
        <v>151</v>
      </c>
    </row>
    <row r="7453" spans="1:13" ht="25.5">
      <c r="A7453" s="313" t="str">
        <f t="shared" si="116"/>
        <v>WaterbodyMorphologyCode_trenchFloor</v>
      </c>
      <c r="B7453" s="330"/>
      <c r="C7453" s="334"/>
      <c r="D7453" s="188" t="s">
        <v>33364</v>
      </c>
      <c r="E7453" s="189" t="s">
        <v>33365</v>
      </c>
      <c r="F7453" s="162" t="s">
        <v>33366</v>
      </c>
      <c r="G7453" s="190"/>
      <c r="H7453" s="219"/>
      <c r="I7453" s="169">
        <v>119347</v>
      </c>
      <c r="J7453" s="304" t="str">
        <f>CONCATENATE([2]Cover!$D$6,"fdd/view?i=",I7453)</f>
        <v>https://www.dgiwg.org/FAD/fdd/view?i=119347</v>
      </c>
      <c r="K7453" s="304" t="s">
        <v>41502</v>
      </c>
      <c r="L7453" s="188">
        <v>127</v>
      </c>
      <c r="M7453" s="179" t="s">
        <v>151</v>
      </c>
    </row>
    <row r="7454" spans="1:13" ht="25.5">
      <c r="A7454" s="313" t="str">
        <f t="shared" si="116"/>
        <v>WaterbodyMorphologyCode_trough</v>
      </c>
      <c r="B7454" s="330"/>
      <c r="C7454" s="334"/>
      <c r="D7454" s="188" t="s">
        <v>33367</v>
      </c>
      <c r="E7454" s="189" t="s">
        <v>33368</v>
      </c>
      <c r="F7454" s="162" t="s">
        <v>33369</v>
      </c>
      <c r="G7454" s="190"/>
      <c r="H7454" s="219"/>
      <c r="I7454" s="169">
        <v>107518</v>
      </c>
      <c r="J7454" s="304" t="str">
        <f>CONCATENATE([2]Cover!$D$6,"fdd/view?i=",I7454)</f>
        <v>https://www.dgiwg.org/FAD/fdd/view?i=107518</v>
      </c>
      <c r="K7454" s="304" t="s">
        <v>41503</v>
      </c>
      <c r="L7454" s="188">
        <v>24</v>
      </c>
      <c r="M7454" s="179" t="s">
        <v>151</v>
      </c>
    </row>
    <row r="7455" spans="1:13" ht="25.5">
      <c r="A7455" s="313" t="str">
        <f t="shared" si="116"/>
        <v>WaterbodyMorphologyCode_upperTrenchSlope</v>
      </c>
      <c r="B7455" s="330"/>
      <c r="C7455" s="334"/>
      <c r="D7455" s="188" t="s">
        <v>33370</v>
      </c>
      <c r="E7455" s="189" t="s">
        <v>33371</v>
      </c>
      <c r="F7455" s="162" t="s">
        <v>33372</v>
      </c>
      <c r="G7455" s="190"/>
      <c r="H7455" s="219"/>
      <c r="I7455" s="169">
        <v>119348</v>
      </c>
      <c r="J7455" s="304" t="str">
        <f>CONCATENATE([2]Cover!$D$6,"fdd/view?i=",I7455)</f>
        <v>https://www.dgiwg.org/FAD/fdd/view?i=119348</v>
      </c>
      <c r="K7455" s="304" t="s">
        <v>41504</v>
      </c>
      <c r="L7455" s="188">
        <v>128</v>
      </c>
      <c r="M7455" s="179" t="s">
        <v>151</v>
      </c>
    </row>
    <row r="7456" spans="1:13" ht="38.25">
      <c r="A7456" s="313" t="str">
        <f t="shared" si="116"/>
        <v>WaterbodyMorphologyCode_valley</v>
      </c>
      <c r="B7456" s="331"/>
      <c r="C7456" s="335"/>
      <c r="D7456" s="181" t="s">
        <v>24673</v>
      </c>
      <c r="E7456" s="192" t="s">
        <v>24674</v>
      </c>
      <c r="F7456" s="193" t="s">
        <v>33373</v>
      </c>
      <c r="G7456" s="193" t="s">
        <v>33374</v>
      </c>
      <c r="H7456" s="223" t="s">
        <v>33375</v>
      </c>
      <c r="I7456" s="169">
        <v>107546</v>
      </c>
      <c r="J7456" s="304" t="str">
        <f>CONCATENATE([2]Cover!$D$6,"fdd/view?i=",I7456)</f>
        <v>https://www.dgiwg.org/FAD/fdd/view?i=107546</v>
      </c>
      <c r="K7456" s="304" t="s">
        <v>41505</v>
      </c>
      <c r="L7456" s="181">
        <v>52</v>
      </c>
      <c r="M7456" s="179" t="s">
        <v>151</v>
      </c>
    </row>
    <row r="7457" spans="1:13" ht="38.25">
      <c r="A7457" s="313" t="str">
        <f t="shared" si="116"/>
        <v>WatercourseChannelTypeCode_braidedStream</v>
      </c>
      <c r="B7457" s="332" t="str">
        <f>HYPERLINK("[#]Datatypes!A1572:L1572","WatercourseChannelTypeCode")</f>
        <v>WatercourseChannelTypeCode</v>
      </c>
      <c r="C7457" s="333" t="s">
        <v>13212</v>
      </c>
      <c r="D7457" s="202" t="s">
        <v>33376</v>
      </c>
      <c r="E7457" s="203" t="s">
        <v>33377</v>
      </c>
      <c r="F7457" s="204" t="s">
        <v>33378</v>
      </c>
      <c r="G7457" s="204" t="s">
        <v>33379</v>
      </c>
      <c r="H7457" s="218"/>
      <c r="I7457" s="169">
        <v>109390</v>
      </c>
      <c r="J7457" s="304" t="str">
        <f>CONCATENATE([2]Cover!$D$6,"fdd/view?i=",I7457)</f>
        <v>https://www.dgiwg.org/FAD/fdd/view?i=109390</v>
      </c>
      <c r="K7457" s="304" t="s">
        <v>41506</v>
      </c>
      <c r="L7457" s="202">
        <v>2</v>
      </c>
      <c r="M7457" s="179" t="s">
        <v>151</v>
      </c>
    </row>
    <row r="7458" spans="1:13" ht="25.5">
      <c r="A7458" s="313" t="str">
        <f t="shared" si="116"/>
        <v>WatercourseChannelTypeCode_channelizedStream</v>
      </c>
      <c r="B7458" s="330"/>
      <c r="C7458" s="334"/>
      <c r="D7458" s="188" t="s">
        <v>33380</v>
      </c>
      <c r="E7458" s="189" t="s">
        <v>33381</v>
      </c>
      <c r="F7458" s="162" t="s">
        <v>33382</v>
      </c>
      <c r="G7458" s="190"/>
      <c r="H7458" s="219"/>
      <c r="I7458" s="169">
        <v>109389</v>
      </c>
      <c r="J7458" s="304" t="str">
        <f>CONCATENATE([2]Cover!$D$6,"fdd/view?i=",I7458)</f>
        <v>https://www.dgiwg.org/FAD/fdd/view?i=109389</v>
      </c>
      <c r="K7458" s="304" t="s">
        <v>41507</v>
      </c>
      <c r="L7458" s="188">
        <v>1</v>
      </c>
      <c r="M7458" s="179" t="s">
        <v>151</v>
      </c>
    </row>
    <row r="7459" spans="1:13" ht="25.5">
      <c r="A7459" s="313" t="str">
        <f t="shared" si="116"/>
        <v>WatercourseChannelTypeCode_gorge</v>
      </c>
      <c r="B7459" s="330"/>
      <c r="C7459" s="334"/>
      <c r="D7459" s="188" t="s">
        <v>24573</v>
      </c>
      <c r="E7459" s="189" t="s">
        <v>24574</v>
      </c>
      <c r="F7459" s="162" t="s">
        <v>33383</v>
      </c>
      <c r="G7459" s="190"/>
      <c r="H7459" s="221" t="s">
        <v>33284</v>
      </c>
      <c r="I7459" s="169">
        <v>109391</v>
      </c>
      <c r="J7459" s="304" t="str">
        <f>CONCATENATE([2]Cover!$D$6,"fdd/view?i=",I7459)</f>
        <v>https://www.dgiwg.org/FAD/fdd/view?i=109391</v>
      </c>
      <c r="K7459" s="304" t="s">
        <v>41508</v>
      </c>
      <c r="L7459" s="188">
        <v>3</v>
      </c>
      <c r="M7459" s="179" t="s">
        <v>151</v>
      </c>
    </row>
    <row r="7460" spans="1:13" ht="25.5">
      <c r="A7460" s="313" t="str">
        <f t="shared" si="116"/>
        <v>WatercourseChannelTypeCode_normalChannel</v>
      </c>
      <c r="B7460" s="330"/>
      <c r="C7460" s="334"/>
      <c r="D7460" s="188" t="s">
        <v>33384</v>
      </c>
      <c r="E7460" s="189" t="s">
        <v>33385</v>
      </c>
      <c r="F7460" s="162" t="s">
        <v>33386</v>
      </c>
      <c r="G7460" s="162" t="s">
        <v>33387</v>
      </c>
      <c r="H7460" s="219"/>
      <c r="I7460" s="169">
        <v>109395</v>
      </c>
      <c r="J7460" s="304" t="str">
        <f>CONCATENATE([2]Cover!$D$6,"fdd/view?i=",I7460)</f>
        <v>https://www.dgiwg.org/FAD/fdd/view?i=109395</v>
      </c>
      <c r="K7460" s="304" t="s">
        <v>41509</v>
      </c>
      <c r="L7460" s="188">
        <v>7</v>
      </c>
      <c r="M7460" s="179" t="s">
        <v>151</v>
      </c>
    </row>
    <row r="7461" spans="1:13" ht="51">
      <c r="A7461" s="313" t="str">
        <f t="shared" si="116"/>
        <v>WatercourseChannelTypeCode_wadi</v>
      </c>
      <c r="B7461" s="331"/>
      <c r="C7461" s="335"/>
      <c r="D7461" s="181" t="s">
        <v>33388</v>
      </c>
      <c r="E7461" s="192" t="s">
        <v>33389</v>
      </c>
      <c r="F7461" s="193" t="s">
        <v>33390</v>
      </c>
      <c r="G7461" s="193" t="s">
        <v>33391</v>
      </c>
      <c r="H7461" s="223" t="s">
        <v>33392</v>
      </c>
      <c r="I7461" s="169">
        <v>109392</v>
      </c>
      <c r="J7461" s="304" t="str">
        <f>CONCATENATE([2]Cover!$D$6,"fdd/view?i=",I7461)</f>
        <v>https://www.dgiwg.org/FAD/fdd/view?i=109392</v>
      </c>
      <c r="K7461" s="304" t="s">
        <v>41510</v>
      </c>
      <c r="L7461" s="181">
        <v>4</v>
      </c>
      <c r="M7461" s="179" t="s">
        <v>151</v>
      </c>
    </row>
    <row r="7462" spans="1:13" ht="38.25">
      <c r="A7462" s="313" t="str">
        <f t="shared" si="116"/>
        <v>WatercourseMorphologyCode_abandoned</v>
      </c>
      <c r="B7462" s="332" t="str">
        <f>HYPERLINK("[#]Datatypes!A1574:L1574","WatercourseMorphologyCode")</f>
        <v>WatercourseMorphologyCode</v>
      </c>
      <c r="C7462" s="333" t="s">
        <v>13214</v>
      </c>
      <c r="D7462" s="202" t="s">
        <v>33393</v>
      </c>
      <c r="E7462" s="203" t="s">
        <v>33394</v>
      </c>
      <c r="F7462" s="204" t="s">
        <v>33395</v>
      </c>
      <c r="G7462" s="205"/>
      <c r="H7462" s="218"/>
      <c r="I7462" s="169">
        <v>112594</v>
      </c>
      <c r="J7462" s="304" t="str">
        <f>CONCATENATE([2]Cover!$D$6,"fdd/view?i=",I7462)</f>
        <v>https://www.dgiwg.org/FAD/fdd/view?i=112594</v>
      </c>
      <c r="K7462" s="304" t="s">
        <v>41511</v>
      </c>
      <c r="L7462" s="202">
        <v>11</v>
      </c>
      <c r="M7462" s="179" t="s">
        <v>151</v>
      </c>
    </row>
    <row r="7463" spans="1:13" ht="25.5">
      <c r="A7463" s="313" t="str">
        <f t="shared" si="116"/>
        <v>WatercourseMorphologyCode_anabranch</v>
      </c>
      <c r="B7463" s="330"/>
      <c r="C7463" s="334"/>
      <c r="D7463" s="188" t="s">
        <v>33396</v>
      </c>
      <c r="E7463" s="189" t="s">
        <v>33397</v>
      </c>
      <c r="F7463" s="162" t="s">
        <v>33398</v>
      </c>
      <c r="G7463" s="190"/>
      <c r="H7463" s="219"/>
      <c r="I7463" s="169">
        <v>112586</v>
      </c>
      <c r="J7463" s="304" t="str">
        <f>CONCATENATE([2]Cover!$D$6,"fdd/view?i=",I7463)</f>
        <v>https://www.dgiwg.org/FAD/fdd/view?i=112586</v>
      </c>
      <c r="K7463" s="304" t="s">
        <v>41512</v>
      </c>
      <c r="L7463" s="188">
        <v>7</v>
      </c>
      <c r="M7463" s="179" t="s">
        <v>151</v>
      </c>
    </row>
    <row r="7464" spans="1:13" ht="25.5">
      <c r="A7464" s="313" t="str">
        <f t="shared" si="116"/>
        <v>WatercourseMorphologyCode_bend</v>
      </c>
      <c r="B7464" s="330"/>
      <c r="C7464" s="334"/>
      <c r="D7464" s="188" t="s">
        <v>33399</v>
      </c>
      <c r="E7464" s="189" t="s">
        <v>33400</v>
      </c>
      <c r="F7464" s="162" t="s">
        <v>33401</v>
      </c>
      <c r="G7464" s="190"/>
      <c r="H7464" s="219"/>
      <c r="I7464" s="169">
        <v>112578</v>
      </c>
      <c r="J7464" s="304" t="str">
        <f>CONCATENATE([2]Cover!$D$6,"fdd/view?i=",I7464)</f>
        <v>https://www.dgiwg.org/FAD/fdd/view?i=112578</v>
      </c>
      <c r="K7464" s="304" t="s">
        <v>41513</v>
      </c>
      <c r="L7464" s="188">
        <v>3</v>
      </c>
      <c r="M7464" s="179" t="s">
        <v>151</v>
      </c>
    </row>
    <row r="7465" spans="1:13" ht="25.5">
      <c r="A7465" s="313" t="str">
        <f t="shared" si="116"/>
        <v>WatercourseMorphologyCode_canalized</v>
      </c>
      <c r="B7465" s="330"/>
      <c r="C7465" s="334"/>
      <c r="D7465" s="188" t="s">
        <v>33402</v>
      </c>
      <c r="E7465" s="189" t="s">
        <v>33403</v>
      </c>
      <c r="F7465" s="162" t="s">
        <v>33404</v>
      </c>
      <c r="G7465" s="190"/>
      <c r="H7465" s="219"/>
      <c r="I7465" s="169">
        <v>112588</v>
      </c>
      <c r="J7465" s="304" t="str">
        <f>CONCATENATE([2]Cover!$D$6,"fdd/view?i=",I7465)</f>
        <v>https://www.dgiwg.org/FAD/fdd/view?i=112588</v>
      </c>
      <c r="K7465" s="304" t="s">
        <v>41514</v>
      </c>
      <c r="L7465" s="188">
        <v>8</v>
      </c>
      <c r="M7465" s="179" t="s">
        <v>151</v>
      </c>
    </row>
    <row r="7466" spans="1:13" ht="25.5">
      <c r="A7466" s="313" t="str">
        <f t="shared" si="116"/>
        <v>WatercourseMorphologyCode_confluence</v>
      </c>
      <c r="B7466" s="330"/>
      <c r="C7466" s="334"/>
      <c r="D7466" s="188" t="s">
        <v>33405</v>
      </c>
      <c r="E7466" s="189" t="s">
        <v>33406</v>
      </c>
      <c r="F7466" s="162" t="s">
        <v>33407</v>
      </c>
      <c r="G7466" s="190"/>
      <c r="H7466" s="219"/>
      <c r="I7466" s="169">
        <v>112580</v>
      </c>
      <c r="J7466" s="304" t="str">
        <f>CONCATENATE([2]Cover!$D$6,"fdd/view?i=",I7466)</f>
        <v>https://www.dgiwg.org/FAD/fdd/view?i=112580</v>
      </c>
      <c r="K7466" s="304" t="s">
        <v>41515</v>
      </c>
      <c r="L7466" s="188">
        <v>4</v>
      </c>
      <c r="M7466" s="179" t="s">
        <v>151</v>
      </c>
    </row>
    <row r="7467" spans="1:13" ht="25.5">
      <c r="A7467" s="313" t="str">
        <f t="shared" si="116"/>
        <v>WatercourseMorphologyCode_craterLake</v>
      </c>
      <c r="B7467" s="330"/>
      <c r="C7467" s="334"/>
      <c r="D7467" s="188" t="s">
        <v>33408</v>
      </c>
      <c r="E7467" s="189" t="s">
        <v>33409</v>
      </c>
      <c r="F7467" s="162" t="s">
        <v>33410</v>
      </c>
      <c r="G7467" s="190"/>
      <c r="H7467" s="219"/>
      <c r="I7467" s="169">
        <v>112600</v>
      </c>
      <c r="J7467" s="304" t="str">
        <f>CONCATENATE([2]Cover!$D$6,"fdd/view?i=",I7467)</f>
        <v>https://www.dgiwg.org/FAD/fdd/view?i=112600</v>
      </c>
      <c r="K7467" s="304" t="s">
        <v>41516</v>
      </c>
      <c r="L7467" s="188">
        <v>14</v>
      </c>
      <c r="M7467" s="179" t="s">
        <v>151</v>
      </c>
    </row>
    <row r="7468" spans="1:13" ht="25.5">
      <c r="A7468" s="313" t="str">
        <f t="shared" si="116"/>
        <v>WatercourseMorphologyCode_cutOff</v>
      </c>
      <c r="B7468" s="330"/>
      <c r="C7468" s="334"/>
      <c r="D7468" s="188" t="s">
        <v>33411</v>
      </c>
      <c r="E7468" s="189" t="s">
        <v>33412</v>
      </c>
      <c r="F7468" s="162" t="s">
        <v>33413</v>
      </c>
      <c r="G7468" s="190"/>
      <c r="H7468" s="219"/>
      <c r="I7468" s="169">
        <v>112582</v>
      </c>
      <c r="J7468" s="304" t="str">
        <f>CONCATENATE([2]Cover!$D$6,"fdd/view?i=",I7468)</f>
        <v>https://www.dgiwg.org/FAD/fdd/view?i=112582</v>
      </c>
      <c r="K7468" s="304" t="s">
        <v>41517</v>
      </c>
      <c r="L7468" s="188">
        <v>5</v>
      </c>
      <c r="M7468" s="179" t="s">
        <v>151</v>
      </c>
    </row>
    <row r="7469" spans="1:13" ht="25.5">
      <c r="A7469" s="313" t="str">
        <f t="shared" si="116"/>
        <v>WatercourseMorphologyCode_distributary</v>
      </c>
      <c r="B7469" s="330"/>
      <c r="C7469" s="334"/>
      <c r="D7469" s="188" t="s">
        <v>33414</v>
      </c>
      <c r="E7469" s="189" t="s">
        <v>33415</v>
      </c>
      <c r="F7469" s="162" t="s">
        <v>33416</v>
      </c>
      <c r="G7469" s="190"/>
      <c r="H7469" s="219"/>
      <c r="I7469" s="169">
        <v>112590</v>
      </c>
      <c r="J7469" s="304" t="str">
        <f>CONCATENATE([2]Cover!$D$6,"fdd/view?i=",I7469)</f>
        <v>https://www.dgiwg.org/FAD/fdd/view?i=112590</v>
      </c>
      <c r="K7469" s="304" t="s">
        <v>41518</v>
      </c>
      <c r="L7469" s="188">
        <v>9</v>
      </c>
      <c r="M7469" s="179" t="s">
        <v>151</v>
      </c>
    </row>
    <row r="7470" spans="1:13" ht="25.5">
      <c r="A7470" s="313" t="str">
        <f t="shared" si="116"/>
        <v>WatercourseMorphologyCode_headwaters</v>
      </c>
      <c r="B7470" s="330"/>
      <c r="C7470" s="334"/>
      <c r="D7470" s="188" t="s">
        <v>33417</v>
      </c>
      <c r="E7470" s="189" t="s">
        <v>33418</v>
      </c>
      <c r="F7470" s="162" t="s">
        <v>33419</v>
      </c>
      <c r="G7470" s="190"/>
      <c r="H7470" s="219"/>
      <c r="I7470" s="169">
        <v>112592</v>
      </c>
      <c r="J7470" s="304" t="str">
        <f>CONCATENATE([2]Cover!$D$6,"fdd/view?i=",I7470)</f>
        <v>https://www.dgiwg.org/FAD/fdd/view?i=112592</v>
      </c>
      <c r="K7470" s="304" t="s">
        <v>41519</v>
      </c>
      <c r="L7470" s="188">
        <v>10</v>
      </c>
      <c r="M7470" s="179" t="s">
        <v>151</v>
      </c>
    </row>
    <row r="7471" spans="1:13" ht="25.5">
      <c r="A7471" s="313" t="str">
        <f t="shared" si="116"/>
        <v>WatercourseMorphologyCode_meander</v>
      </c>
      <c r="B7471" s="330"/>
      <c r="C7471" s="334"/>
      <c r="D7471" s="188" t="s">
        <v>33420</v>
      </c>
      <c r="E7471" s="189" t="s">
        <v>33421</v>
      </c>
      <c r="F7471" s="162" t="s">
        <v>33422</v>
      </c>
      <c r="G7471" s="190"/>
      <c r="H7471" s="219"/>
      <c r="I7471" s="169">
        <v>112596</v>
      </c>
      <c r="J7471" s="304" t="str">
        <f>CONCATENATE([2]Cover!$D$6,"fdd/view?i=",I7471)</f>
        <v>https://www.dgiwg.org/FAD/fdd/view?i=112596</v>
      </c>
      <c r="K7471" s="304" t="s">
        <v>41520</v>
      </c>
      <c r="L7471" s="188">
        <v>12</v>
      </c>
      <c r="M7471" s="179" t="s">
        <v>151</v>
      </c>
    </row>
    <row r="7472" spans="1:13" ht="25.5">
      <c r="A7472" s="313" t="str">
        <f t="shared" si="116"/>
        <v>WatercourseMorphologyCode_mouth</v>
      </c>
      <c r="B7472" s="330"/>
      <c r="C7472" s="334"/>
      <c r="D7472" s="188" t="s">
        <v>33423</v>
      </c>
      <c r="E7472" s="189" t="s">
        <v>33424</v>
      </c>
      <c r="F7472" s="162" t="s">
        <v>33425</v>
      </c>
      <c r="G7472" s="190"/>
      <c r="H7472" s="219"/>
      <c r="I7472" s="169">
        <v>112574</v>
      </c>
      <c r="J7472" s="304" t="str">
        <f>CONCATENATE([2]Cover!$D$6,"fdd/view?i=",I7472)</f>
        <v>https://www.dgiwg.org/FAD/fdd/view?i=112574</v>
      </c>
      <c r="K7472" s="304" t="s">
        <v>41521</v>
      </c>
      <c r="L7472" s="188">
        <v>1</v>
      </c>
      <c r="M7472" s="179" t="s">
        <v>151</v>
      </c>
    </row>
    <row r="7473" spans="1:13" ht="25.5">
      <c r="A7473" s="313" t="str">
        <f t="shared" si="116"/>
        <v>WatercourseMorphologyCode_oxbowLake</v>
      </c>
      <c r="B7473" s="330"/>
      <c r="C7473" s="334"/>
      <c r="D7473" s="188" t="s">
        <v>33426</v>
      </c>
      <c r="E7473" s="189" t="s">
        <v>33427</v>
      </c>
      <c r="F7473" s="162" t="s">
        <v>33428</v>
      </c>
      <c r="G7473" s="190"/>
      <c r="H7473" s="219"/>
      <c r="I7473" s="169">
        <v>112598</v>
      </c>
      <c r="J7473" s="304" t="str">
        <f>CONCATENATE([2]Cover!$D$6,"fdd/view?i=",I7473)</f>
        <v>https://www.dgiwg.org/FAD/fdd/view?i=112598</v>
      </c>
      <c r="K7473" s="304" t="s">
        <v>41522</v>
      </c>
      <c r="L7473" s="188">
        <v>13</v>
      </c>
      <c r="M7473" s="179" t="s">
        <v>151</v>
      </c>
    </row>
    <row r="7474" spans="1:13" ht="25.5">
      <c r="A7474" s="313" t="str">
        <f t="shared" si="116"/>
        <v>WatercourseMorphologyCode_pool</v>
      </c>
      <c r="B7474" s="330"/>
      <c r="C7474" s="334"/>
      <c r="D7474" s="188" t="s">
        <v>33429</v>
      </c>
      <c r="E7474" s="189" t="s">
        <v>33430</v>
      </c>
      <c r="F7474" s="162" t="s">
        <v>33431</v>
      </c>
      <c r="G7474" s="190"/>
      <c r="H7474" s="219"/>
      <c r="I7474" s="169">
        <v>112576</v>
      </c>
      <c r="J7474" s="304" t="str">
        <f>CONCATENATE([2]Cover!$D$6,"fdd/view?i=",I7474)</f>
        <v>https://www.dgiwg.org/FAD/fdd/view?i=112576</v>
      </c>
      <c r="K7474" s="304" t="s">
        <v>41523</v>
      </c>
      <c r="L7474" s="188">
        <v>2</v>
      </c>
      <c r="M7474" s="179" t="s">
        <v>151</v>
      </c>
    </row>
    <row r="7475" spans="1:13" ht="25.5">
      <c r="A7475" s="313" t="str">
        <f t="shared" si="116"/>
        <v>WatercourseMorphologyCode_reach</v>
      </c>
      <c r="B7475" s="331"/>
      <c r="C7475" s="335"/>
      <c r="D7475" s="181" t="s">
        <v>33432</v>
      </c>
      <c r="E7475" s="192" t="s">
        <v>33433</v>
      </c>
      <c r="F7475" s="193" t="s">
        <v>33434</v>
      </c>
      <c r="G7475" s="194"/>
      <c r="H7475" s="220"/>
      <c r="I7475" s="169">
        <v>112584</v>
      </c>
      <c r="J7475" s="304" t="str">
        <f>CONCATENATE([2]Cover!$D$6,"fdd/view?i=",I7475)</f>
        <v>https://www.dgiwg.org/FAD/fdd/view?i=112584</v>
      </c>
      <c r="K7475" s="304" t="s">
        <v>41524</v>
      </c>
      <c r="L7475" s="181">
        <v>6</v>
      </c>
      <c r="M7475" s="179" t="s">
        <v>151</v>
      </c>
    </row>
    <row r="7476" spans="1:13" ht="25.5">
      <c r="A7476" s="313" t="str">
        <f t="shared" si="116"/>
        <v>WatercourseSinkTypeCode_disappearing</v>
      </c>
      <c r="B7476" s="332" t="str">
        <f>HYPERLINK("[#]Datatypes!A1576:L1576","WatercourseSinkTypeCode")</f>
        <v>WatercourseSinkTypeCode</v>
      </c>
      <c r="C7476" s="333" t="s">
        <v>13216</v>
      </c>
      <c r="D7476" s="202" t="s">
        <v>33435</v>
      </c>
      <c r="E7476" s="203" t="s">
        <v>33436</v>
      </c>
      <c r="F7476" s="204" t="s">
        <v>33437</v>
      </c>
      <c r="G7476" s="205"/>
      <c r="H7476" s="218"/>
      <c r="I7476" s="169">
        <v>109693</v>
      </c>
      <c r="J7476" s="304" t="str">
        <f>CONCATENATE([2]Cover!$D$6,"fdd/view?i=",I7476)</f>
        <v>https://www.dgiwg.org/FAD/fdd/view?i=109693</v>
      </c>
      <c r="K7476" s="304" t="s">
        <v>41525</v>
      </c>
      <c r="L7476" s="202">
        <v>2</v>
      </c>
      <c r="M7476" s="179" t="s">
        <v>151</v>
      </c>
    </row>
    <row r="7477" spans="1:13" ht="25.5">
      <c r="A7477" s="313" t="str">
        <f t="shared" si="116"/>
        <v>WatercourseSinkTypeCode_dissipating</v>
      </c>
      <c r="B7477" s="330"/>
      <c r="C7477" s="334"/>
      <c r="D7477" s="188" t="s">
        <v>33438</v>
      </c>
      <c r="E7477" s="189" t="s">
        <v>33439</v>
      </c>
      <c r="F7477" s="162" t="s">
        <v>33440</v>
      </c>
      <c r="G7477" s="190"/>
      <c r="H7477" s="219"/>
      <c r="I7477" s="169">
        <v>109692</v>
      </c>
      <c r="J7477" s="304" t="str">
        <f>CONCATENATE([2]Cover!$D$6,"fdd/view?i=",I7477)</f>
        <v>https://www.dgiwg.org/FAD/fdd/view?i=109692</v>
      </c>
      <c r="K7477" s="304" t="s">
        <v>41526</v>
      </c>
      <c r="L7477" s="188">
        <v>1</v>
      </c>
      <c r="M7477" s="179" t="s">
        <v>151</v>
      </c>
    </row>
    <row r="7478" spans="1:13">
      <c r="A7478" s="313" t="str">
        <f t="shared" si="116"/>
        <v>WatercourseSinkTypeCode_hole</v>
      </c>
      <c r="B7478" s="330"/>
      <c r="C7478" s="334"/>
      <c r="D7478" s="188" t="s">
        <v>33202</v>
      </c>
      <c r="E7478" s="189" t="s">
        <v>33203</v>
      </c>
      <c r="F7478" s="162" t="s">
        <v>33441</v>
      </c>
      <c r="G7478" s="190"/>
      <c r="H7478" s="219"/>
      <c r="I7478" s="169">
        <v>109695</v>
      </c>
      <c r="J7478" s="304" t="str">
        <f>CONCATENATE([2]Cover!$D$6,"fdd/view?i=",I7478)</f>
        <v>https://www.dgiwg.org/FAD/fdd/view?i=109695</v>
      </c>
      <c r="K7478" s="304" t="s">
        <v>41527</v>
      </c>
      <c r="L7478" s="188">
        <v>4</v>
      </c>
      <c r="M7478" s="179" t="s">
        <v>151</v>
      </c>
    </row>
    <row r="7479" spans="1:13" ht="25.5">
      <c r="A7479" s="313" t="str">
        <f t="shared" si="116"/>
        <v>WatercourseSinkTypeCode_sinkhole</v>
      </c>
      <c r="B7479" s="331"/>
      <c r="C7479" s="335"/>
      <c r="D7479" s="181" t="s">
        <v>24658</v>
      </c>
      <c r="E7479" s="192" t="s">
        <v>24659</v>
      </c>
      <c r="F7479" s="193" t="s">
        <v>33442</v>
      </c>
      <c r="G7479" s="194"/>
      <c r="H7479" s="220"/>
      <c r="I7479" s="169">
        <v>109694</v>
      </c>
      <c r="J7479" s="304" t="str">
        <f>CONCATENATE([2]Cover!$D$6,"fdd/view?i=",I7479)</f>
        <v>https://www.dgiwg.org/FAD/fdd/view?i=109694</v>
      </c>
      <c r="K7479" s="304" t="s">
        <v>41528</v>
      </c>
      <c r="L7479" s="181">
        <v>3</v>
      </c>
      <c r="M7479" s="179" t="s">
        <v>151</v>
      </c>
    </row>
    <row r="7480" spans="1:13" ht="63.75">
      <c r="A7480" s="313" t="str">
        <f t="shared" si="116"/>
        <v>WayPointClassCode_named</v>
      </c>
      <c r="B7480" s="332" t="str">
        <f>HYPERLINK("[#]Datatypes!A1578:L1578","WayPointClassCode")</f>
        <v>WayPointClassCode</v>
      </c>
      <c r="C7480" s="333" t="s">
        <v>13218</v>
      </c>
      <c r="D7480" s="202" t="s">
        <v>33443</v>
      </c>
      <c r="E7480" s="203" t="s">
        <v>33444</v>
      </c>
      <c r="F7480" s="204" t="s">
        <v>33445</v>
      </c>
      <c r="G7480" s="204" t="s">
        <v>33446</v>
      </c>
      <c r="H7480" s="218"/>
      <c r="I7480" s="169">
        <v>119689</v>
      </c>
      <c r="J7480" s="304" t="str">
        <f>CONCATENATE([2]Cover!$D$6,"fdd/view?i=",I7480)</f>
        <v>https://www.dgiwg.org/FAD/fdd/view?i=119689</v>
      </c>
      <c r="K7480" s="304" t="s">
        <v>41529</v>
      </c>
      <c r="L7480" s="202">
        <v>2</v>
      </c>
      <c r="M7480" s="179" t="s">
        <v>151</v>
      </c>
    </row>
    <row r="7481" spans="1:13" ht="63.75">
      <c r="A7481" s="313" t="str">
        <f t="shared" si="116"/>
        <v>WayPointClassCode_unnamed</v>
      </c>
      <c r="B7481" s="331"/>
      <c r="C7481" s="335"/>
      <c r="D7481" s="181" t="s">
        <v>33447</v>
      </c>
      <c r="E7481" s="192" t="s">
        <v>33448</v>
      </c>
      <c r="F7481" s="193" t="s">
        <v>33449</v>
      </c>
      <c r="G7481" s="193" t="s">
        <v>33450</v>
      </c>
      <c r="H7481" s="220"/>
      <c r="I7481" s="169">
        <v>119688</v>
      </c>
      <c r="J7481" s="304" t="str">
        <f>CONCATENATE([2]Cover!$D$6,"fdd/view?i=",I7481)</f>
        <v>https://www.dgiwg.org/FAD/fdd/view?i=119688</v>
      </c>
      <c r="K7481" s="304" t="s">
        <v>41530</v>
      </c>
      <c r="L7481" s="181">
        <v>1</v>
      </c>
      <c r="M7481" s="179" t="s">
        <v>151</v>
      </c>
    </row>
    <row r="7482" spans="1:13" ht="25.5">
      <c r="A7482" s="313" t="str">
        <f t="shared" si="116"/>
        <v>WayPointTypeCode_flyBy</v>
      </c>
      <c r="B7482" s="332" t="str">
        <f>HYPERLINK("[#]Datatypes!A1580:L1580","WayPointTypeCode")</f>
        <v>WayPointTypeCode</v>
      </c>
      <c r="C7482" s="333" t="s">
        <v>13220</v>
      </c>
      <c r="D7482" s="202" t="s">
        <v>33451</v>
      </c>
      <c r="E7482" s="203" t="s">
        <v>33452</v>
      </c>
      <c r="F7482" s="204" t="s">
        <v>33453</v>
      </c>
      <c r="G7482" s="205"/>
      <c r="H7482" s="218"/>
      <c r="I7482" s="169">
        <v>115412</v>
      </c>
      <c r="J7482" s="304" t="str">
        <f>CONCATENATE([2]Cover!$D$6,"fdd/view?i=",I7482)</f>
        <v>https://www.dgiwg.org/FAD/fdd/view?i=115412</v>
      </c>
      <c r="K7482" s="304" t="s">
        <v>41531</v>
      </c>
      <c r="L7482" s="202">
        <v>1</v>
      </c>
      <c r="M7482" s="179" t="s">
        <v>151</v>
      </c>
    </row>
    <row r="7483" spans="1:13" ht="25.5">
      <c r="A7483" s="313" t="str">
        <f t="shared" si="116"/>
        <v>WayPointTypeCode_flyover</v>
      </c>
      <c r="B7483" s="331"/>
      <c r="C7483" s="335"/>
      <c r="D7483" s="181" t="s">
        <v>33454</v>
      </c>
      <c r="E7483" s="192" t="s">
        <v>33455</v>
      </c>
      <c r="F7483" s="193" t="s">
        <v>33456</v>
      </c>
      <c r="G7483" s="194"/>
      <c r="H7483" s="220"/>
      <c r="I7483" s="169">
        <v>115413</v>
      </c>
      <c r="J7483" s="304" t="str">
        <f>CONCATENATE([2]Cover!$D$6,"fdd/view?i=",I7483)</f>
        <v>https://www.dgiwg.org/FAD/fdd/view?i=115413</v>
      </c>
      <c r="K7483" s="304" t="s">
        <v>41532</v>
      </c>
      <c r="L7483" s="181">
        <v>2</v>
      </c>
      <c r="M7483" s="179" t="s">
        <v>151</v>
      </c>
    </row>
    <row r="7484" spans="1:13" ht="25.5">
      <c r="A7484" s="313" t="str">
        <f t="shared" si="116"/>
        <v>WayPointUsageCode_areaNavigation</v>
      </c>
      <c r="B7484" s="332" t="str">
        <f>HYPERLINK("[#]Datatypes!A1582:L1582","WayPointUsageCode")</f>
        <v>WayPointUsageCode</v>
      </c>
      <c r="C7484" s="333" t="s">
        <v>13222</v>
      </c>
      <c r="D7484" s="202" t="s">
        <v>16574</v>
      </c>
      <c r="E7484" s="203" t="s">
        <v>33457</v>
      </c>
      <c r="F7484" s="204" t="s">
        <v>33458</v>
      </c>
      <c r="G7484" s="205"/>
      <c r="H7484" s="218"/>
      <c r="I7484" s="169">
        <v>119691</v>
      </c>
      <c r="J7484" s="304" t="str">
        <f>CONCATENATE([2]Cover!$D$6,"fdd/view?i=",I7484)</f>
        <v>https://www.dgiwg.org/FAD/fdd/view?i=119691</v>
      </c>
      <c r="K7484" s="304" t="s">
        <v>41533</v>
      </c>
      <c r="L7484" s="202">
        <v>2</v>
      </c>
      <c r="M7484" s="179" t="s">
        <v>151</v>
      </c>
    </row>
    <row r="7485" spans="1:13" ht="63.75">
      <c r="A7485" s="313" t="str">
        <f t="shared" si="116"/>
        <v>WayPointUsageCode_navigationReferenceSystem</v>
      </c>
      <c r="B7485" s="330"/>
      <c r="C7485" s="334"/>
      <c r="D7485" s="188" t="s">
        <v>33459</v>
      </c>
      <c r="E7485" s="189" t="s">
        <v>33460</v>
      </c>
      <c r="F7485" s="162" t="s">
        <v>33461</v>
      </c>
      <c r="G7485" s="162" t="s">
        <v>33462</v>
      </c>
      <c r="H7485" s="219"/>
      <c r="I7485" s="169">
        <v>119692</v>
      </c>
      <c r="J7485" s="304" t="str">
        <f>CONCATENATE([2]Cover!$D$6,"fdd/view?i=",I7485)</f>
        <v>https://www.dgiwg.org/FAD/fdd/view?i=119692</v>
      </c>
      <c r="K7485" s="304" t="s">
        <v>41534</v>
      </c>
      <c r="L7485" s="188">
        <v>3</v>
      </c>
      <c r="M7485" s="179" t="s">
        <v>151</v>
      </c>
    </row>
    <row r="7486" spans="1:13" ht="25.5">
      <c r="A7486" s="313" t="str">
        <f t="shared" si="116"/>
        <v>WayPointUsageCode_offRoute</v>
      </c>
      <c r="B7486" s="330"/>
      <c r="C7486" s="334"/>
      <c r="D7486" s="188" t="s">
        <v>33463</v>
      </c>
      <c r="E7486" s="189" t="s">
        <v>33464</v>
      </c>
      <c r="F7486" s="162" t="s">
        <v>33465</v>
      </c>
      <c r="G7486" s="162" t="s">
        <v>33466</v>
      </c>
      <c r="H7486" s="219"/>
      <c r="I7486" s="169">
        <v>119690</v>
      </c>
      <c r="J7486" s="304" t="str">
        <f>CONCATENATE([2]Cover!$D$6,"fdd/view?i=",I7486)</f>
        <v>https://www.dgiwg.org/FAD/fdd/view?i=119690</v>
      </c>
      <c r="K7486" s="304" t="s">
        <v>41535</v>
      </c>
      <c r="L7486" s="188">
        <v>1</v>
      </c>
      <c r="M7486" s="179" t="s">
        <v>151</v>
      </c>
    </row>
    <row r="7487" spans="1:13" ht="38.25">
      <c r="A7487" s="313" t="str">
        <f t="shared" si="116"/>
        <v>WayPointUsageCode_specialUsageAirspace</v>
      </c>
      <c r="B7487" s="331"/>
      <c r="C7487" s="335"/>
      <c r="D7487" s="181" t="s">
        <v>33467</v>
      </c>
      <c r="E7487" s="192" t="s">
        <v>33468</v>
      </c>
      <c r="F7487" s="193" t="s">
        <v>33469</v>
      </c>
      <c r="G7487" s="194"/>
      <c r="H7487" s="220"/>
      <c r="I7487" s="169">
        <v>119693</v>
      </c>
      <c r="J7487" s="304" t="str">
        <f>CONCATENATE([2]Cover!$D$6,"fdd/view?i=",I7487)</f>
        <v>https://www.dgiwg.org/FAD/fdd/view?i=119693</v>
      </c>
      <c r="K7487" s="304" t="s">
        <v>41536</v>
      </c>
      <c r="L7487" s="181">
        <v>4</v>
      </c>
      <c r="M7487" s="179" t="s">
        <v>151</v>
      </c>
    </row>
    <row r="7488" spans="1:13" ht="38.25">
      <c r="A7488" s="313" t="str">
        <f t="shared" si="116"/>
        <v>WeaponsRangeTypeCode_demolitionArea</v>
      </c>
      <c r="B7488" s="332" t="str">
        <f>HYPERLINK("[#]Datatypes!A1584:L1584","WeaponsRangeTypeCode")</f>
        <v>WeaponsRangeTypeCode</v>
      </c>
      <c r="C7488" s="333" t="s">
        <v>13224</v>
      </c>
      <c r="D7488" s="202" t="s">
        <v>33470</v>
      </c>
      <c r="E7488" s="203" t="s">
        <v>33471</v>
      </c>
      <c r="F7488" s="204" t="s">
        <v>33472</v>
      </c>
      <c r="G7488" s="205"/>
      <c r="H7488" s="218"/>
      <c r="I7488" s="169">
        <v>103723</v>
      </c>
      <c r="J7488" s="304" t="str">
        <f>CONCATENATE([2]Cover!$D$6,"fdd/view?i=",I7488)</f>
        <v>https://www.dgiwg.org/FAD/fdd/view?i=103723</v>
      </c>
      <c r="K7488" s="304" t="s">
        <v>41537</v>
      </c>
      <c r="L7488" s="202">
        <v>5</v>
      </c>
      <c r="M7488" s="179" t="s">
        <v>151</v>
      </c>
    </row>
    <row r="7489" spans="1:13" ht="25.5">
      <c r="A7489" s="313" t="str">
        <f t="shared" si="116"/>
        <v>WeaponsRangeTypeCode_fieldArtillery</v>
      </c>
      <c r="B7489" s="330"/>
      <c r="C7489" s="334"/>
      <c r="D7489" s="188" t="s">
        <v>33473</v>
      </c>
      <c r="E7489" s="189" t="s">
        <v>33474</v>
      </c>
      <c r="F7489" s="162" t="s">
        <v>33475</v>
      </c>
      <c r="G7489" s="190"/>
      <c r="H7489" s="219"/>
      <c r="I7489" s="169">
        <v>103721</v>
      </c>
      <c r="J7489" s="304" t="str">
        <f>CONCATENATE([2]Cover!$D$6,"fdd/view?i=",I7489)</f>
        <v>https://www.dgiwg.org/FAD/fdd/view?i=103721</v>
      </c>
      <c r="K7489" s="304" t="s">
        <v>41538</v>
      </c>
      <c r="L7489" s="188">
        <v>3</v>
      </c>
      <c r="M7489" s="179" t="s">
        <v>151</v>
      </c>
    </row>
    <row r="7490" spans="1:13" ht="51">
      <c r="A7490" s="313" t="str">
        <f t="shared" si="116"/>
        <v>WeaponsRangeTypeCode_grenade</v>
      </c>
      <c r="B7490" s="330"/>
      <c r="C7490" s="334"/>
      <c r="D7490" s="188" t="s">
        <v>28215</v>
      </c>
      <c r="E7490" s="189" t="s">
        <v>28216</v>
      </c>
      <c r="F7490" s="162" t="s">
        <v>33476</v>
      </c>
      <c r="G7490" s="162" t="s">
        <v>33477</v>
      </c>
      <c r="H7490" s="219"/>
      <c r="I7490" s="169">
        <v>103722</v>
      </c>
      <c r="J7490" s="304" t="str">
        <f>CONCATENATE([2]Cover!$D$6,"fdd/view?i=",I7490)</f>
        <v>https://www.dgiwg.org/FAD/fdd/view?i=103722</v>
      </c>
      <c r="K7490" s="304" t="s">
        <v>41539</v>
      </c>
      <c r="L7490" s="188">
        <v>4</v>
      </c>
      <c r="M7490" s="179" t="s">
        <v>151</v>
      </c>
    </row>
    <row r="7491" spans="1:13" ht="25.5">
      <c r="A7491" s="313" t="str">
        <f t="shared" ref="A7491:A7554" si="117">HYPERLINK(J7491,K7491)</f>
        <v>WeaponsRangeTypeCode_impactArea</v>
      </c>
      <c r="B7491" s="330"/>
      <c r="C7491" s="334"/>
      <c r="D7491" s="188" t="s">
        <v>33478</v>
      </c>
      <c r="E7491" s="189" t="s">
        <v>33479</v>
      </c>
      <c r="F7491" s="162" t="s">
        <v>27338</v>
      </c>
      <c r="G7491" s="190"/>
      <c r="H7491" s="219"/>
      <c r="I7491" s="169">
        <v>103724</v>
      </c>
      <c r="J7491" s="304" t="str">
        <f>CONCATENATE([2]Cover!$D$6,"fdd/view?i=",I7491)</f>
        <v>https://www.dgiwg.org/FAD/fdd/view?i=103724</v>
      </c>
      <c r="K7491" s="304" t="s">
        <v>41540</v>
      </c>
      <c r="L7491" s="188">
        <v>6</v>
      </c>
      <c r="M7491" s="179" t="s">
        <v>151</v>
      </c>
    </row>
    <row r="7492" spans="1:13" ht="25.5">
      <c r="A7492" s="313" t="str">
        <f t="shared" si="117"/>
        <v>WeaponsRangeTypeCode_smallArms</v>
      </c>
      <c r="B7492" s="330"/>
      <c r="C7492" s="334"/>
      <c r="D7492" s="188" t="s">
        <v>33480</v>
      </c>
      <c r="E7492" s="189" t="s">
        <v>33481</v>
      </c>
      <c r="F7492" s="162" t="s">
        <v>33482</v>
      </c>
      <c r="G7492" s="190"/>
      <c r="H7492" s="219"/>
      <c r="I7492" s="169">
        <v>103719</v>
      </c>
      <c r="J7492" s="304" t="str">
        <f>CONCATENATE([2]Cover!$D$6,"fdd/view?i=",I7492)</f>
        <v>https://www.dgiwg.org/FAD/fdd/view?i=103719</v>
      </c>
      <c r="K7492" s="304" t="s">
        <v>41541</v>
      </c>
      <c r="L7492" s="188">
        <v>1</v>
      </c>
      <c r="M7492" s="179" t="s">
        <v>151</v>
      </c>
    </row>
    <row r="7493" spans="1:13" ht="63.75">
      <c r="A7493" s="313" t="str">
        <f t="shared" si="117"/>
        <v>WeaponsRangeTypeCode_tank</v>
      </c>
      <c r="B7493" s="331"/>
      <c r="C7493" s="335"/>
      <c r="D7493" s="181" t="s">
        <v>33483</v>
      </c>
      <c r="E7493" s="192" t="s">
        <v>33484</v>
      </c>
      <c r="F7493" s="193" t="s">
        <v>33485</v>
      </c>
      <c r="G7493" s="193" t="s">
        <v>33486</v>
      </c>
      <c r="H7493" s="220"/>
      <c r="I7493" s="169">
        <v>103720</v>
      </c>
      <c r="J7493" s="304" t="str">
        <f>CONCATENATE([2]Cover!$D$6,"fdd/view?i=",I7493)</f>
        <v>https://www.dgiwg.org/FAD/fdd/view?i=103720</v>
      </c>
      <c r="K7493" s="304" t="s">
        <v>41542</v>
      </c>
      <c r="L7493" s="181">
        <v>2</v>
      </c>
      <c r="M7493" s="179" t="s">
        <v>151</v>
      </c>
    </row>
    <row r="7494" spans="1:13" ht="63.75">
      <c r="A7494" s="313" t="str">
        <f t="shared" si="117"/>
        <v>WellEquipmentCode_capped</v>
      </c>
      <c r="B7494" s="332" t="str">
        <f>HYPERLINK("[#]Datatypes!A1586:L1586","WellEquipmentCode")</f>
        <v>WellEquipmentCode</v>
      </c>
      <c r="C7494" s="333" t="s">
        <v>13226</v>
      </c>
      <c r="D7494" s="202" t="s">
        <v>33487</v>
      </c>
      <c r="E7494" s="203" t="s">
        <v>33488</v>
      </c>
      <c r="F7494" s="204" t="s">
        <v>33489</v>
      </c>
      <c r="G7494" s="204" t="s">
        <v>33490</v>
      </c>
      <c r="H7494" s="218"/>
      <c r="I7494" s="169">
        <v>112572</v>
      </c>
      <c r="J7494" s="304" t="str">
        <f>CONCATENATE([2]Cover!$D$6,"fdd/view?i=",I7494)</f>
        <v>https://www.dgiwg.org/FAD/fdd/view?i=112572</v>
      </c>
      <c r="K7494" s="304" t="s">
        <v>41543</v>
      </c>
      <c r="L7494" s="202">
        <v>10</v>
      </c>
      <c r="M7494" s="179" t="s">
        <v>151</v>
      </c>
    </row>
    <row r="7495" spans="1:13" ht="140.25">
      <c r="A7495" s="313" t="str">
        <f t="shared" si="117"/>
        <v>WellEquipmentCode_christmasTree</v>
      </c>
      <c r="B7495" s="330"/>
      <c r="C7495" s="334"/>
      <c r="D7495" s="188" t="s">
        <v>33491</v>
      </c>
      <c r="E7495" s="189" t="s">
        <v>33492</v>
      </c>
      <c r="F7495" s="162" t="s">
        <v>33493</v>
      </c>
      <c r="G7495" s="162" t="s">
        <v>33494</v>
      </c>
      <c r="H7495" s="219"/>
      <c r="I7495" s="169">
        <v>112556</v>
      </c>
      <c r="J7495" s="304" t="str">
        <f>CONCATENATE([2]Cover!$D$6,"fdd/view?i=",I7495)</f>
        <v>https://www.dgiwg.org/FAD/fdd/view?i=112556</v>
      </c>
      <c r="K7495" s="304" t="s">
        <v>41544</v>
      </c>
      <c r="L7495" s="188">
        <v>2</v>
      </c>
      <c r="M7495" s="179" t="s">
        <v>151</v>
      </c>
    </row>
    <row r="7496" spans="1:13" ht="114.75">
      <c r="A7496" s="313" t="str">
        <f t="shared" si="117"/>
        <v>WellEquipmentCode_manifold</v>
      </c>
      <c r="B7496" s="330"/>
      <c r="C7496" s="334"/>
      <c r="D7496" s="188" t="s">
        <v>33495</v>
      </c>
      <c r="E7496" s="189" t="s">
        <v>33496</v>
      </c>
      <c r="F7496" s="162" t="s">
        <v>33497</v>
      </c>
      <c r="G7496" s="162" t="s">
        <v>33498</v>
      </c>
      <c r="H7496" s="219"/>
      <c r="I7496" s="169">
        <v>112558</v>
      </c>
      <c r="J7496" s="304" t="str">
        <f>CONCATENATE([2]Cover!$D$6,"fdd/view?i=",I7496)</f>
        <v>https://www.dgiwg.org/FAD/fdd/view?i=112558</v>
      </c>
      <c r="K7496" s="304" t="s">
        <v>41545</v>
      </c>
      <c r="L7496" s="188">
        <v>3</v>
      </c>
      <c r="M7496" s="179" t="s">
        <v>151</v>
      </c>
    </row>
    <row r="7497" spans="1:13" ht="76.5">
      <c r="A7497" s="313" t="str">
        <f t="shared" si="117"/>
        <v>WellEquipmentCode_protectiveStructure</v>
      </c>
      <c r="B7497" s="330"/>
      <c r="C7497" s="334"/>
      <c r="D7497" s="188" t="s">
        <v>33499</v>
      </c>
      <c r="E7497" s="189" t="s">
        <v>33500</v>
      </c>
      <c r="F7497" s="162" t="s">
        <v>33501</v>
      </c>
      <c r="G7497" s="162" t="s">
        <v>33502</v>
      </c>
      <c r="H7497" s="219"/>
      <c r="I7497" s="169">
        <v>112560</v>
      </c>
      <c r="J7497" s="304" t="str">
        <f>CONCATENATE([2]Cover!$D$6,"fdd/view?i=",I7497)</f>
        <v>https://www.dgiwg.org/FAD/fdd/view?i=112560</v>
      </c>
      <c r="K7497" s="304" t="s">
        <v>41546</v>
      </c>
      <c r="L7497" s="188">
        <v>4</v>
      </c>
      <c r="M7497" s="179" t="s">
        <v>151</v>
      </c>
    </row>
    <row r="7498" spans="1:13" ht="102">
      <c r="A7498" s="313" t="str">
        <f t="shared" si="117"/>
        <v>WellEquipmentCode_pump</v>
      </c>
      <c r="B7498" s="330"/>
      <c r="C7498" s="334"/>
      <c r="D7498" s="188" t="s">
        <v>33503</v>
      </c>
      <c r="E7498" s="189" t="s">
        <v>33504</v>
      </c>
      <c r="F7498" s="162" t="s">
        <v>33505</v>
      </c>
      <c r="G7498" s="162" t="s">
        <v>33506</v>
      </c>
      <c r="H7498" s="219"/>
      <c r="I7498" s="169">
        <v>112562</v>
      </c>
      <c r="J7498" s="304" t="str">
        <f>CONCATENATE([2]Cover!$D$6,"fdd/view?i=",I7498)</f>
        <v>https://www.dgiwg.org/FAD/fdd/view?i=112562</v>
      </c>
      <c r="K7498" s="304" t="s">
        <v>41547</v>
      </c>
      <c r="L7498" s="188">
        <v>5</v>
      </c>
      <c r="M7498" s="179" t="s">
        <v>151</v>
      </c>
    </row>
    <row r="7499" spans="1:13" ht="76.5">
      <c r="A7499" s="313" t="str">
        <f t="shared" si="117"/>
        <v>WellEquipmentCode_rodPump</v>
      </c>
      <c r="B7499" s="330"/>
      <c r="C7499" s="334"/>
      <c r="D7499" s="188" t="s">
        <v>33507</v>
      </c>
      <c r="E7499" s="189" t="s">
        <v>33508</v>
      </c>
      <c r="F7499" s="162" t="s">
        <v>33509</v>
      </c>
      <c r="G7499" s="162" t="s">
        <v>33510</v>
      </c>
      <c r="H7499" s="219"/>
      <c r="I7499" s="169">
        <v>112564</v>
      </c>
      <c r="J7499" s="304" t="str">
        <f>CONCATENATE([2]Cover!$D$6,"fdd/view?i=",I7499)</f>
        <v>https://www.dgiwg.org/FAD/fdd/view?i=112564</v>
      </c>
      <c r="K7499" s="304" t="s">
        <v>41548</v>
      </c>
      <c r="L7499" s="188">
        <v>6</v>
      </c>
      <c r="M7499" s="179" t="s">
        <v>151</v>
      </c>
    </row>
    <row r="7500" spans="1:13" ht="89.25">
      <c r="A7500" s="313" t="str">
        <f t="shared" si="117"/>
        <v>WellEquipmentCode_separator</v>
      </c>
      <c r="B7500" s="330"/>
      <c r="C7500" s="334"/>
      <c r="D7500" s="188" t="s">
        <v>33511</v>
      </c>
      <c r="E7500" s="189" t="s">
        <v>33512</v>
      </c>
      <c r="F7500" s="162" t="s">
        <v>33513</v>
      </c>
      <c r="G7500" s="162" t="s">
        <v>33514</v>
      </c>
      <c r="H7500" s="219"/>
      <c r="I7500" s="169">
        <v>112566</v>
      </c>
      <c r="J7500" s="304" t="str">
        <f>CONCATENATE([2]Cover!$D$6,"fdd/view?i=",I7500)</f>
        <v>https://www.dgiwg.org/FAD/fdd/view?i=112566</v>
      </c>
      <c r="K7500" s="304" t="s">
        <v>41549</v>
      </c>
      <c r="L7500" s="188">
        <v>7</v>
      </c>
      <c r="M7500" s="179" t="s">
        <v>151</v>
      </c>
    </row>
    <row r="7501" spans="1:13" ht="25.5">
      <c r="A7501" s="313" t="str">
        <f t="shared" si="117"/>
        <v>WellEquipmentCode_stockTank</v>
      </c>
      <c r="B7501" s="330"/>
      <c r="C7501" s="334"/>
      <c r="D7501" s="188" t="s">
        <v>33515</v>
      </c>
      <c r="E7501" s="189" t="s">
        <v>33516</v>
      </c>
      <c r="F7501" s="162" t="s">
        <v>33517</v>
      </c>
      <c r="G7501" s="190"/>
      <c r="H7501" s="219"/>
      <c r="I7501" s="169">
        <v>112568</v>
      </c>
      <c r="J7501" s="304" t="str">
        <f>CONCATENATE([2]Cover!$D$6,"fdd/view?i=",I7501)</f>
        <v>https://www.dgiwg.org/FAD/fdd/view?i=112568</v>
      </c>
      <c r="K7501" s="304" t="s">
        <v>41550</v>
      </c>
      <c r="L7501" s="188">
        <v>8</v>
      </c>
      <c r="M7501" s="179" t="s">
        <v>151</v>
      </c>
    </row>
    <row r="7502" spans="1:13" ht="38.25">
      <c r="A7502" s="313" t="str">
        <f t="shared" si="117"/>
        <v>WellEquipmentCode_treater</v>
      </c>
      <c r="B7502" s="330"/>
      <c r="C7502" s="334"/>
      <c r="D7502" s="188" t="s">
        <v>33518</v>
      </c>
      <c r="E7502" s="189" t="s">
        <v>33519</v>
      </c>
      <c r="F7502" s="162" t="s">
        <v>33520</v>
      </c>
      <c r="G7502" s="162" t="s">
        <v>33521</v>
      </c>
      <c r="H7502" s="219"/>
      <c r="I7502" s="169">
        <v>112570</v>
      </c>
      <c r="J7502" s="304" t="str">
        <f>CONCATENATE([2]Cover!$D$6,"fdd/view?i=",I7502)</f>
        <v>https://www.dgiwg.org/FAD/fdd/view?i=112570</v>
      </c>
      <c r="K7502" s="304" t="s">
        <v>41551</v>
      </c>
      <c r="L7502" s="188">
        <v>9</v>
      </c>
      <c r="M7502" s="179" t="s">
        <v>151</v>
      </c>
    </row>
    <row r="7503" spans="1:13" ht="38.25">
      <c r="A7503" s="313" t="str">
        <f t="shared" si="117"/>
        <v>WellEquipmentCode_wellhead</v>
      </c>
      <c r="B7503" s="331"/>
      <c r="C7503" s="335"/>
      <c r="D7503" s="181" t="s">
        <v>18786</v>
      </c>
      <c r="E7503" s="192" t="s">
        <v>18787</v>
      </c>
      <c r="F7503" s="193" t="s">
        <v>33522</v>
      </c>
      <c r="G7503" s="193" t="s">
        <v>33523</v>
      </c>
      <c r="H7503" s="220"/>
      <c r="I7503" s="169">
        <v>112554</v>
      </c>
      <c r="J7503" s="304" t="str">
        <f>CONCATENATE([2]Cover!$D$6,"fdd/view?i=",I7503)</f>
        <v>https://www.dgiwg.org/FAD/fdd/view?i=112554</v>
      </c>
      <c r="K7503" s="304" t="s">
        <v>41552</v>
      </c>
      <c r="L7503" s="181">
        <v>1</v>
      </c>
      <c r="M7503" s="179" t="s">
        <v>151</v>
      </c>
    </row>
    <row r="7504" spans="1:13" ht="25.5">
      <c r="A7504" s="313" t="str">
        <f t="shared" si="117"/>
        <v>WellTypeCode_artesian</v>
      </c>
      <c r="B7504" s="332" t="str">
        <f>HYPERLINK("[#]Datatypes!A1588:L1588","WellTypeCode")</f>
        <v>WellTypeCode</v>
      </c>
      <c r="C7504" s="333" t="s">
        <v>13228</v>
      </c>
      <c r="D7504" s="202" t="s">
        <v>33524</v>
      </c>
      <c r="E7504" s="203" t="s">
        <v>33525</v>
      </c>
      <c r="F7504" s="204" t="s">
        <v>33526</v>
      </c>
      <c r="G7504" s="205"/>
      <c r="H7504" s="218"/>
      <c r="I7504" s="169">
        <v>109434</v>
      </c>
      <c r="J7504" s="304" t="str">
        <f>CONCATENATE([2]Cover!$D$6,"fdd/view?i=",I7504)</f>
        <v>https://www.dgiwg.org/FAD/fdd/view?i=109434</v>
      </c>
      <c r="K7504" s="304" t="s">
        <v>41553</v>
      </c>
      <c r="L7504" s="202">
        <v>3</v>
      </c>
      <c r="M7504" s="179" t="s">
        <v>151</v>
      </c>
    </row>
    <row r="7505" spans="1:13" ht="38.25">
      <c r="A7505" s="313" t="str">
        <f t="shared" si="117"/>
        <v>WellTypeCode_drilled</v>
      </c>
      <c r="B7505" s="330"/>
      <c r="C7505" s="334"/>
      <c r="D7505" s="188" t="s">
        <v>33527</v>
      </c>
      <c r="E7505" s="189" t="s">
        <v>33528</v>
      </c>
      <c r="F7505" s="162" t="s">
        <v>33529</v>
      </c>
      <c r="G7505" s="162" t="s">
        <v>33530</v>
      </c>
      <c r="H7505" s="219"/>
      <c r="I7505" s="169">
        <v>109438</v>
      </c>
      <c r="J7505" s="304" t="str">
        <f>CONCATENATE([2]Cover!$D$6,"fdd/view?i=",I7505)</f>
        <v>https://www.dgiwg.org/FAD/fdd/view?i=109438</v>
      </c>
      <c r="K7505" s="304" t="s">
        <v>41554</v>
      </c>
      <c r="L7505" s="188">
        <v>7</v>
      </c>
      <c r="M7505" s="179" t="s">
        <v>151</v>
      </c>
    </row>
    <row r="7506" spans="1:13" ht="25.5">
      <c r="A7506" s="313" t="str">
        <f t="shared" si="117"/>
        <v>WellTypeCode_dug</v>
      </c>
      <c r="B7506" s="330"/>
      <c r="C7506" s="334"/>
      <c r="D7506" s="188" t="s">
        <v>33531</v>
      </c>
      <c r="E7506" s="189" t="s">
        <v>33532</v>
      </c>
      <c r="F7506" s="162" t="s">
        <v>33533</v>
      </c>
      <c r="G7506" s="162" t="s">
        <v>33534</v>
      </c>
      <c r="H7506" s="219"/>
      <c r="I7506" s="169">
        <v>109437</v>
      </c>
      <c r="J7506" s="304" t="str">
        <f>CONCATENATE([2]Cover!$D$6,"fdd/view?i=",I7506)</f>
        <v>https://www.dgiwg.org/FAD/fdd/view?i=109437</v>
      </c>
      <c r="K7506" s="304" t="s">
        <v>41555</v>
      </c>
      <c r="L7506" s="188">
        <v>6</v>
      </c>
      <c r="M7506" s="179" t="s">
        <v>151</v>
      </c>
    </row>
    <row r="7507" spans="1:13">
      <c r="A7507" s="313" t="str">
        <f t="shared" si="117"/>
        <v>WellTypeCode_dugOrDrilled</v>
      </c>
      <c r="B7507" s="330"/>
      <c r="C7507" s="334"/>
      <c r="D7507" s="188" t="s">
        <v>33535</v>
      </c>
      <c r="E7507" s="189" t="s">
        <v>33536</v>
      </c>
      <c r="F7507" s="162" t="s">
        <v>33537</v>
      </c>
      <c r="G7507" s="190"/>
      <c r="H7507" s="219"/>
      <c r="I7507" s="169">
        <v>109436</v>
      </c>
      <c r="J7507" s="304" t="str">
        <f>CONCATENATE([2]Cover!$D$6,"fdd/view?i=",I7507)</f>
        <v>https://www.dgiwg.org/FAD/fdd/view?i=109436</v>
      </c>
      <c r="K7507" s="304" t="s">
        <v>41556</v>
      </c>
      <c r="L7507" s="188">
        <v>5</v>
      </c>
      <c r="M7507" s="179" t="s">
        <v>151</v>
      </c>
    </row>
    <row r="7508" spans="1:13" ht="38.25">
      <c r="A7508" s="313" t="str">
        <f t="shared" si="117"/>
        <v>WellTypeCode_walledIn</v>
      </c>
      <c r="B7508" s="331"/>
      <c r="C7508" s="335"/>
      <c r="D7508" s="181" t="s">
        <v>33538</v>
      </c>
      <c r="E7508" s="192" t="s">
        <v>33539</v>
      </c>
      <c r="F7508" s="193" t="s">
        <v>33540</v>
      </c>
      <c r="G7508" s="193" t="s">
        <v>33541</v>
      </c>
      <c r="H7508" s="220"/>
      <c r="I7508" s="169">
        <v>109433</v>
      </c>
      <c r="J7508" s="304" t="str">
        <f>CONCATENATE([2]Cover!$D$6,"fdd/view?i=",I7508)</f>
        <v>https://www.dgiwg.org/FAD/fdd/view?i=109433</v>
      </c>
      <c r="K7508" s="304" t="s">
        <v>41557</v>
      </c>
      <c r="L7508" s="181">
        <v>2</v>
      </c>
      <c r="M7508" s="179" t="s">
        <v>151</v>
      </c>
    </row>
    <row r="7509" spans="1:13" ht="76.5">
      <c r="A7509" s="313" t="str">
        <f t="shared" si="117"/>
        <v>WellUseTypeCode_nonWaterWell</v>
      </c>
      <c r="B7509" s="332" t="str">
        <f>HYPERLINK("[#]Datatypes!A1590:L1590","WellUseTypeCode")</f>
        <v>WellUseTypeCode</v>
      </c>
      <c r="C7509" s="333" t="s">
        <v>13230</v>
      </c>
      <c r="D7509" s="202" t="s">
        <v>33542</v>
      </c>
      <c r="E7509" s="203" t="s">
        <v>3300</v>
      </c>
      <c r="F7509" s="204" t="s">
        <v>3301</v>
      </c>
      <c r="G7509" s="204" t="s">
        <v>3302</v>
      </c>
      <c r="H7509" s="218"/>
      <c r="I7509" s="169">
        <v>206044</v>
      </c>
      <c r="J7509" s="304" t="str">
        <f>CONCATENATE([2]Cover!$D$6,"fdd/view?i=",I7509)</f>
        <v>https://www.dgiwg.org/FAD/fdd/view?i=206044</v>
      </c>
      <c r="K7509" s="304" t="s">
        <v>41558</v>
      </c>
      <c r="L7509" s="202">
        <v>1</v>
      </c>
      <c r="M7509" s="179" t="s">
        <v>1295</v>
      </c>
    </row>
    <row r="7510" spans="1:13" ht="76.5">
      <c r="A7510" s="313" t="str">
        <f t="shared" si="117"/>
        <v>WellUseTypeCode_waterWell</v>
      </c>
      <c r="B7510" s="331"/>
      <c r="C7510" s="335"/>
      <c r="D7510" s="181" t="s">
        <v>33543</v>
      </c>
      <c r="E7510" s="192" t="s">
        <v>4549</v>
      </c>
      <c r="F7510" s="193" t="s">
        <v>4550</v>
      </c>
      <c r="G7510" s="193" t="s">
        <v>4551</v>
      </c>
      <c r="H7510" s="220"/>
      <c r="I7510" s="169">
        <v>206045</v>
      </c>
      <c r="J7510" s="304" t="str">
        <f>CONCATENATE([2]Cover!$D$6,"fdd/view?i=",I7510)</f>
        <v>https://www.dgiwg.org/FAD/fdd/view?i=206045</v>
      </c>
      <c r="K7510" s="304" t="s">
        <v>41559</v>
      </c>
      <c r="L7510" s="181">
        <v>2</v>
      </c>
      <c r="M7510" s="179" t="s">
        <v>1295</v>
      </c>
    </row>
    <row r="7511" spans="1:13" ht="63.75">
      <c r="A7511" s="313" t="str">
        <f t="shared" si="117"/>
        <v>WellboreInjectionMaterialCode_air</v>
      </c>
      <c r="B7511" s="332" t="str">
        <f>HYPERLINK("[#]Datatypes!A1592:L1592","WellboreInjectionMaterialCode")</f>
        <v>WellboreInjectionMaterialCode</v>
      </c>
      <c r="C7511" s="333" t="s">
        <v>13232</v>
      </c>
      <c r="D7511" s="202" t="s">
        <v>33544</v>
      </c>
      <c r="E7511" s="203" t="s">
        <v>33545</v>
      </c>
      <c r="F7511" s="204" t="s">
        <v>33546</v>
      </c>
      <c r="G7511" s="204" t="s">
        <v>33547</v>
      </c>
      <c r="H7511" s="218"/>
      <c r="I7511" s="169">
        <v>119285</v>
      </c>
      <c r="J7511" s="304" t="str">
        <f>CONCATENATE([2]Cover!$D$6,"fdd/view?i=",I7511)</f>
        <v>https://www.dgiwg.org/FAD/fdd/view?i=119285</v>
      </c>
      <c r="K7511" s="304" t="s">
        <v>41560</v>
      </c>
      <c r="L7511" s="202">
        <v>1</v>
      </c>
      <c r="M7511" s="179" t="s">
        <v>151</v>
      </c>
    </row>
    <row r="7512" spans="1:13" ht="102">
      <c r="A7512" s="313" t="str">
        <f t="shared" si="117"/>
        <v>WellboreInjectionMaterialCode_carbonDioxide</v>
      </c>
      <c r="B7512" s="330"/>
      <c r="C7512" s="334"/>
      <c r="D7512" s="188" t="s">
        <v>22542</v>
      </c>
      <c r="E7512" s="189" t="s">
        <v>22543</v>
      </c>
      <c r="F7512" s="162" t="s">
        <v>33548</v>
      </c>
      <c r="G7512" s="162" t="s">
        <v>33549</v>
      </c>
      <c r="H7512" s="219"/>
      <c r="I7512" s="169">
        <v>119286</v>
      </c>
      <c r="J7512" s="304" t="str">
        <f>CONCATENATE([2]Cover!$D$6,"fdd/view?i=",I7512)</f>
        <v>https://www.dgiwg.org/FAD/fdd/view?i=119286</v>
      </c>
      <c r="K7512" s="304" t="s">
        <v>41561</v>
      </c>
      <c r="L7512" s="188">
        <v>2</v>
      </c>
      <c r="M7512" s="179" t="s">
        <v>151</v>
      </c>
    </row>
    <row r="7513" spans="1:13" ht="51">
      <c r="A7513" s="313" t="str">
        <f t="shared" si="117"/>
        <v>WellboreInjectionMaterialCode_chemicals</v>
      </c>
      <c r="B7513" s="330"/>
      <c r="C7513" s="334"/>
      <c r="D7513" s="188" t="s">
        <v>33550</v>
      </c>
      <c r="E7513" s="189" t="s">
        <v>33551</v>
      </c>
      <c r="F7513" s="162" t="s">
        <v>33552</v>
      </c>
      <c r="G7513" s="162" t="s">
        <v>33553</v>
      </c>
      <c r="H7513" s="219"/>
      <c r="I7513" s="169">
        <v>119287</v>
      </c>
      <c r="J7513" s="304" t="str">
        <f>CONCATENATE([2]Cover!$D$6,"fdd/view?i=",I7513)</f>
        <v>https://www.dgiwg.org/FAD/fdd/view?i=119287</v>
      </c>
      <c r="K7513" s="304" t="s">
        <v>41562</v>
      </c>
      <c r="L7513" s="188">
        <v>3</v>
      </c>
      <c r="M7513" s="179" t="s">
        <v>151</v>
      </c>
    </row>
    <row r="7514" spans="1:13" ht="89.25">
      <c r="A7514" s="313" t="str">
        <f t="shared" si="117"/>
        <v>WellboreInjectionMaterialCode_coalSlurry</v>
      </c>
      <c r="B7514" s="330"/>
      <c r="C7514" s="334"/>
      <c r="D7514" s="188" t="s">
        <v>33554</v>
      </c>
      <c r="E7514" s="189" t="s">
        <v>33555</v>
      </c>
      <c r="F7514" s="162" t="s">
        <v>33556</v>
      </c>
      <c r="G7514" s="162" t="s">
        <v>33557</v>
      </c>
      <c r="H7514" s="219"/>
      <c r="I7514" s="169">
        <v>119288</v>
      </c>
      <c r="J7514" s="304" t="str">
        <f>CONCATENATE([2]Cover!$D$6,"fdd/view?i=",I7514)</f>
        <v>https://www.dgiwg.org/FAD/fdd/view?i=119288</v>
      </c>
      <c r="K7514" s="304" t="s">
        <v>41563</v>
      </c>
      <c r="L7514" s="188">
        <v>4</v>
      </c>
      <c r="M7514" s="179" t="s">
        <v>151</v>
      </c>
    </row>
    <row r="7515" spans="1:13" ht="38.25">
      <c r="A7515" s="313" t="str">
        <f t="shared" si="117"/>
        <v>WellboreInjectionMaterialCode_detergent</v>
      </c>
      <c r="B7515" s="330"/>
      <c r="C7515" s="334"/>
      <c r="D7515" s="188" t="s">
        <v>33558</v>
      </c>
      <c r="E7515" s="189" t="s">
        <v>33559</v>
      </c>
      <c r="F7515" s="162" t="s">
        <v>33560</v>
      </c>
      <c r="G7515" s="190"/>
      <c r="H7515" s="219"/>
      <c r="I7515" s="169">
        <v>119289</v>
      </c>
      <c r="J7515" s="304" t="str">
        <f>CONCATENATE([2]Cover!$D$6,"fdd/view?i=",I7515)</f>
        <v>https://www.dgiwg.org/FAD/fdd/view?i=119289</v>
      </c>
      <c r="K7515" s="304" t="s">
        <v>41564</v>
      </c>
      <c r="L7515" s="188">
        <v>5</v>
      </c>
      <c r="M7515" s="179" t="s">
        <v>151</v>
      </c>
    </row>
    <row r="7516" spans="1:13" ht="89.25">
      <c r="A7516" s="313" t="str">
        <f t="shared" si="117"/>
        <v>WellboreInjectionMaterialCode_fireFlooding</v>
      </c>
      <c r="B7516" s="330"/>
      <c r="C7516" s="334"/>
      <c r="D7516" s="188" t="s">
        <v>33561</v>
      </c>
      <c r="E7516" s="189" t="s">
        <v>33562</v>
      </c>
      <c r="F7516" s="162" t="s">
        <v>33563</v>
      </c>
      <c r="G7516" s="162" t="s">
        <v>33564</v>
      </c>
      <c r="H7516" s="219"/>
      <c r="I7516" s="169">
        <v>119290</v>
      </c>
      <c r="J7516" s="304" t="str">
        <f>CONCATENATE([2]Cover!$D$6,"fdd/view?i=",I7516)</f>
        <v>https://www.dgiwg.org/FAD/fdd/view?i=119290</v>
      </c>
      <c r="K7516" s="304" t="s">
        <v>41565</v>
      </c>
      <c r="L7516" s="188">
        <v>6</v>
      </c>
      <c r="M7516" s="179" t="s">
        <v>151</v>
      </c>
    </row>
    <row r="7517" spans="1:13" ht="76.5">
      <c r="A7517" s="313" t="str">
        <f t="shared" si="117"/>
        <v>WellboreInjectionMaterialCode_liquefiedPetroleumGas</v>
      </c>
      <c r="B7517" s="330"/>
      <c r="C7517" s="334"/>
      <c r="D7517" s="188" t="s">
        <v>17368</v>
      </c>
      <c r="E7517" s="189" t="s">
        <v>17369</v>
      </c>
      <c r="F7517" s="162" t="s">
        <v>33565</v>
      </c>
      <c r="G7517" s="162" t="s">
        <v>33566</v>
      </c>
      <c r="H7517" s="219"/>
      <c r="I7517" s="169">
        <v>119291</v>
      </c>
      <c r="J7517" s="304" t="str">
        <f>CONCATENATE([2]Cover!$D$6,"fdd/view?i=",I7517)</f>
        <v>https://www.dgiwg.org/FAD/fdd/view?i=119291</v>
      </c>
      <c r="K7517" s="304" t="s">
        <v>41566</v>
      </c>
      <c r="L7517" s="188">
        <v>7</v>
      </c>
      <c r="M7517" s="179" t="s">
        <v>151</v>
      </c>
    </row>
    <row r="7518" spans="1:13" ht="51">
      <c r="A7518" s="313" t="str">
        <f t="shared" si="117"/>
        <v>WellboreInjectionMaterialCode_liquids</v>
      </c>
      <c r="B7518" s="330"/>
      <c r="C7518" s="334"/>
      <c r="D7518" s="188" t="s">
        <v>33567</v>
      </c>
      <c r="E7518" s="189" t="s">
        <v>33568</v>
      </c>
      <c r="F7518" s="162" t="s">
        <v>33569</v>
      </c>
      <c r="G7518" s="190"/>
      <c r="H7518" s="219"/>
      <c r="I7518" s="169">
        <v>119292</v>
      </c>
      <c r="J7518" s="304" t="str">
        <f>CONCATENATE([2]Cover!$D$6,"fdd/view?i=",I7518)</f>
        <v>https://www.dgiwg.org/FAD/fdd/view?i=119292</v>
      </c>
      <c r="K7518" s="304" t="s">
        <v>41567</v>
      </c>
      <c r="L7518" s="188">
        <v>8</v>
      </c>
      <c r="M7518" s="179" t="s">
        <v>151</v>
      </c>
    </row>
    <row r="7519" spans="1:13" ht="51">
      <c r="A7519" s="313" t="str">
        <f t="shared" si="117"/>
        <v>WellboreInjectionMaterialCode_naturalGas</v>
      </c>
      <c r="B7519" s="330"/>
      <c r="C7519" s="334"/>
      <c r="D7519" s="188" t="s">
        <v>33570</v>
      </c>
      <c r="E7519" s="189" t="s">
        <v>33571</v>
      </c>
      <c r="F7519" s="162" t="s">
        <v>33572</v>
      </c>
      <c r="G7519" s="162" t="s">
        <v>33573</v>
      </c>
      <c r="H7519" s="219"/>
      <c r="I7519" s="169">
        <v>119293</v>
      </c>
      <c r="J7519" s="304" t="str">
        <f>CONCATENATE([2]Cover!$D$6,"fdd/view?i=",I7519)</f>
        <v>https://www.dgiwg.org/FAD/fdd/view?i=119293</v>
      </c>
      <c r="K7519" s="304" t="s">
        <v>41568</v>
      </c>
      <c r="L7519" s="188">
        <v>9</v>
      </c>
      <c r="M7519" s="179" t="s">
        <v>151</v>
      </c>
    </row>
    <row r="7520" spans="1:13" ht="89.25">
      <c r="A7520" s="313" t="str">
        <f t="shared" si="117"/>
        <v>WellboreInjectionMaterialCode_petroleum</v>
      </c>
      <c r="B7520" s="330"/>
      <c r="C7520" s="334"/>
      <c r="D7520" s="188" t="s">
        <v>28752</v>
      </c>
      <c r="E7520" s="189" t="s">
        <v>28753</v>
      </c>
      <c r="F7520" s="162" t="s">
        <v>33574</v>
      </c>
      <c r="G7520" s="162" t="s">
        <v>33575</v>
      </c>
      <c r="H7520" s="219"/>
      <c r="I7520" s="169">
        <v>119294</v>
      </c>
      <c r="J7520" s="304" t="str">
        <f>CONCATENATE([2]Cover!$D$6,"fdd/view?i=",I7520)</f>
        <v>https://www.dgiwg.org/FAD/fdd/view?i=119294</v>
      </c>
      <c r="K7520" s="304" t="s">
        <v>41569</v>
      </c>
      <c r="L7520" s="188">
        <v>10</v>
      </c>
      <c r="M7520" s="179" t="s">
        <v>151</v>
      </c>
    </row>
    <row r="7521" spans="1:13" ht="25.5">
      <c r="A7521" s="313" t="str">
        <f t="shared" si="117"/>
        <v>WellboreInjectionMaterialCode_squeezeLiquids</v>
      </c>
      <c r="B7521" s="330"/>
      <c r="C7521" s="334"/>
      <c r="D7521" s="188" t="s">
        <v>33576</v>
      </c>
      <c r="E7521" s="189" t="s">
        <v>33577</v>
      </c>
      <c r="F7521" s="162" t="s">
        <v>33578</v>
      </c>
      <c r="G7521" s="190"/>
      <c r="H7521" s="219"/>
      <c r="I7521" s="169">
        <v>119295</v>
      </c>
      <c r="J7521" s="304" t="str">
        <f>CONCATENATE([2]Cover!$D$6,"fdd/view?i=",I7521)</f>
        <v>https://www.dgiwg.org/FAD/fdd/view?i=119295</v>
      </c>
      <c r="K7521" s="304" t="s">
        <v>41570</v>
      </c>
      <c r="L7521" s="188">
        <v>11</v>
      </c>
      <c r="M7521" s="179" t="s">
        <v>151</v>
      </c>
    </row>
    <row r="7522" spans="1:13" ht="51">
      <c r="A7522" s="313" t="str">
        <f t="shared" si="117"/>
        <v>WellboreInjectionMaterialCode_steam</v>
      </c>
      <c r="B7522" s="330"/>
      <c r="C7522" s="334"/>
      <c r="D7522" s="188" t="s">
        <v>33579</v>
      </c>
      <c r="E7522" s="189" t="s">
        <v>33580</v>
      </c>
      <c r="F7522" s="162" t="s">
        <v>33581</v>
      </c>
      <c r="G7522" s="162" t="s">
        <v>33582</v>
      </c>
      <c r="H7522" s="219"/>
      <c r="I7522" s="169">
        <v>119296</v>
      </c>
      <c r="J7522" s="304" t="str">
        <f>CONCATENATE([2]Cover!$D$6,"fdd/view?i=",I7522)</f>
        <v>https://www.dgiwg.org/FAD/fdd/view?i=119296</v>
      </c>
      <c r="K7522" s="304" t="s">
        <v>41571</v>
      </c>
      <c r="L7522" s="188">
        <v>12</v>
      </c>
      <c r="M7522" s="179" t="s">
        <v>151</v>
      </c>
    </row>
    <row r="7523" spans="1:13" ht="25.5">
      <c r="A7523" s="313" t="str">
        <f t="shared" si="117"/>
        <v>WellboreInjectionMaterialCode_thermalFluids</v>
      </c>
      <c r="B7523" s="330"/>
      <c r="C7523" s="334"/>
      <c r="D7523" s="188" t="s">
        <v>33583</v>
      </c>
      <c r="E7523" s="189" t="s">
        <v>33584</v>
      </c>
      <c r="F7523" s="162" t="s">
        <v>33585</v>
      </c>
      <c r="G7523" s="162" t="s">
        <v>33586</v>
      </c>
      <c r="H7523" s="219"/>
      <c r="I7523" s="169">
        <v>119297</v>
      </c>
      <c r="J7523" s="304" t="str">
        <f>CONCATENATE([2]Cover!$D$6,"fdd/view?i=",I7523)</f>
        <v>https://www.dgiwg.org/FAD/fdd/view?i=119297</v>
      </c>
      <c r="K7523" s="304" t="s">
        <v>41572</v>
      </c>
      <c r="L7523" s="188">
        <v>13</v>
      </c>
      <c r="M7523" s="179" t="s">
        <v>151</v>
      </c>
    </row>
    <row r="7524" spans="1:13" ht="89.25">
      <c r="A7524" s="313" t="str">
        <f t="shared" si="117"/>
        <v>WellboreInjectionMaterialCode_water</v>
      </c>
      <c r="B7524" s="331"/>
      <c r="C7524" s="335"/>
      <c r="D7524" s="181" t="s">
        <v>15146</v>
      </c>
      <c r="E7524" s="192" t="s">
        <v>15147</v>
      </c>
      <c r="F7524" s="193" t="s">
        <v>33587</v>
      </c>
      <c r="G7524" s="193" t="s">
        <v>33588</v>
      </c>
      <c r="H7524" s="220"/>
      <c r="I7524" s="169">
        <v>119298</v>
      </c>
      <c r="J7524" s="304" t="str">
        <f>CONCATENATE([2]Cover!$D$6,"fdd/view?i=",I7524)</f>
        <v>https://www.dgiwg.org/FAD/fdd/view?i=119298</v>
      </c>
      <c r="K7524" s="304" t="s">
        <v>41573</v>
      </c>
      <c r="L7524" s="181">
        <v>14</v>
      </c>
      <c r="M7524" s="179" t="s">
        <v>151</v>
      </c>
    </row>
    <row r="7525" spans="1:13" ht="63.75">
      <c r="A7525" s="313" t="str">
        <f t="shared" si="117"/>
        <v>WellboreStatusCode_abandoned</v>
      </c>
      <c r="B7525" s="332" t="str">
        <f>HYPERLINK("[#]Datatypes!A1594:L1594","WellboreStatusCode")</f>
        <v>WellboreStatusCode</v>
      </c>
      <c r="C7525" s="333" t="s">
        <v>13234</v>
      </c>
      <c r="D7525" s="202" t="s">
        <v>33393</v>
      </c>
      <c r="E7525" s="203" t="s">
        <v>33394</v>
      </c>
      <c r="F7525" s="204" t="s">
        <v>33589</v>
      </c>
      <c r="G7525" s="205"/>
      <c r="H7525" s="218"/>
      <c r="I7525" s="169">
        <v>119299</v>
      </c>
      <c r="J7525" s="304" t="str">
        <f>CONCATENATE([2]Cover!$D$6,"fdd/view?i=",I7525)</f>
        <v>https://www.dgiwg.org/FAD/fdd/view?i=119299</v>
      </c>
      <c r="K7525" s="304" t="s">
        <v>41574</v>
      </c>
      <c r="L7525" s="202">
        <v>1</v>
      </c>
      <c r="M7525" s="179" t="s">
        <v>151</v>
      </c>
    </row>
    <row r="7526" spans="1:13" ht="38.25">
      <c r="A7526" s="313" t="str">
        <f t="shared" si="117"/>
        <v>WellboreStatusCode_active</v>
      </c>
      <c r="B7526" s="330"/>
      <c r="C7526" s="334"/>
      <c r="D7526" s="188" t="s">
        <v>32887</v>
      </c>
      <c r="E7526" s="189" t="s">
        <v>32888</v>
      </c>
      <c r="F7526" s="162" t="s">
        <v>33590</v>
      </c>
      <c r="G7526" s="190"/>
      <c r="H7526" s="221" t="s">
        <v>33591</v>
      </c>
      <c r="I7526" s="169">
        <v>119300</v>
      </c>
      <c r="J7526" s="304" t="str">
        <f>CONCATENATE([2]Cover!$D$6,"fdd/view?i=",I7526)</f>
        <v>https://www.dgiwg.org/FAD/fdd/view?i=119300</v>
      </c>
      <c r="K7526" s="304" t="s">
        <v>41575</v>
      </c>
      <c r="L7526" s="188">
        <v>2</v>
      </c>
      <c r="M7526" s="179" t="s">
        <v>151</v>
      </c>
    </row>
    <row r="7527" spans="1:13" ht="25.5">
      <c r="A7527" s="313" t="str">
        <f t="shared" si="117"/>
        <v>WellboreStatusCode_buried</v>
      </c>
      <c r="B7527" s="330"/>
      <c r="C7527" s="334"/>
      <c r="D7527" s="188" t="s">
        <v>33592</v>
      </c>
      <c r="E7527" s="189" t="s">
        <v>33593</v>
      </c>
      <c r="F7527" s="162" t="s">
        <v>33594</v>
      </c>
      <c r="G7527" s="190"/>
      <c r="H7527" s="219"/>
      <c r="I7527" s="169">
        <v>119301</v>
      </c>
      <c r="J7527" s="304" t="str">
        <f>CONCATENATE([2]Cover!$D$6,"fdd/view?i=",I7527)</f>
        <v>https://www.dgiwg.org/FAD/fdd/view?i=119301</v>
      </c>
      <c r="K7527" s="304" t="s">
        <v>41576</v>
      </c>
      <c r="L7527" s="188">
        <v>3</v>
      </c>
      <c r="M7527" s="179" t="s">
        <v>151</v>
      </c>
    </row>
    <row r="7528" spans="1:13">
      <c r="A7528" s="313" t="str">
        <f t="shared" si="117"/>
        <v>WellboreStatusCode_drilling</v>
      </c>
      <c r="B7528" s="330"/>
      <c r="C7528" s="334"/>
      <c r="D7528" s="188" t="s">
        <v>21449</v>
      </c>
      <c r="E7528" s="189" t="s">
        <v>21450</v>
      </c>
      <c r="F7528" s="162" t="s">
        <v>33595</v>
      </c>
      <c r="G7528" s="190"/>
      <c r="H7528" s="219"/>
      <c r="I7528" s="169">
        <v>119302</v>
      </c>
      <c r="J7528" s="304" t="str">
        <f>CONCATENATE([2]Cover!$D$6,"fdd/view?i=",I7528)</f>
        <v>https://www.dgiwg.org/FAD/fdd/view?i=119302</v>
      </c>
      <c r="K7528" s="304" t="s">
        <v>41577</v>
      </c>
      <c r="L7528" s="188">
        <v>4</v>
      </c>
      <c r="M7528" s="179" t="s">
        <v>151</v>
      </c>
    </row>
    <row r="7529" spans="1:13" ht="140.25">
      <c r="A7529" s="313" t="str">
        <f t="shared" si="117"/>
        <v>WellboreStatusCode_dry</v>
      </c>
      <c r="B7529" s="330"/>
      <c r="C7529" s="334"/>
      <c r="D7529" s="188" t="s">
        <v>23622</v>
      </c>
      <c r="E7529" s="189" t="s">
        <v>23623</v>
      </c>
      <c r="F7529" s="162" t="s">
        <v>33596</v>
      </c>
      <c r="G7529" s="162" t="s">
        <v>33597</v>
      </c>
      <c r="H7529" s="219"/>
      <c r="I7529" s="169">
        <v>119303</v>
      </c>
      <c r="J7529" s="304" t="str">
        <f>CONCATENATE([2]Cover!$D$6,"fdd/view?i=",I7529)</f>
        <v>https://www.dgiwg.org/FAD/fdd/view?i=119303</v>
      </c>
      <c r="K7529" s="304" t="s">
        <v>41578</v>
      </c>
      <c r="L7529" s="188">
        <v>5</v>
      </c>
      <c r="M7529" s="179" t="s">
        <v>151</v>
      </c>
    </row>
    <row r="7530" spans="1:13" ht="25.5">
      <c r="A7530" s="313" t="str">
        <f t="shared" si="117"/>
        <v>WellboreStatusCode_expired</v>
      </c>
      <c r="B7530" s="330"/>
      <c r="C7530" s="334"/>
      <c r="D7530" s="188" t="s">
        <v>19767</v>
      </c>
      <c r="E7530" s="189" t="s">
        <v>19768</v>
      </c>
      <c r="F7530" s="162" t="s">
        <v>33598</v>
      </c>
      <c r="G7530" s="190"/>
      <c r="H7530" s="219"/>
      <c r="I7530" s="169">
        <v>119304</v>
      </c>
      <c r="J7530" s="304" t="str">
        <f>CONCATENATE([2]Cover!$D$6,"fdd/view?i=",I7530)</f>
        <v>https://www.dgiwg.org/FAD/fdd/view?i=119304</v>
      </c>
      <c r="K7530" s="304" t="s">
        <v>41579</v>
      </c>
      <c r="L7530" s="188">
        <v>6</v>
      </c>
      <c r="M7530" s="179" t="s">
        <v>151</v>
      </c>
    </row>
    <row r="7531" spans="1:13">
      <c r="A7531" s="313" t="str">
        <f t="shared" si="117"/>
        <v>WellboreStatusCode_planned</v>
      </c>
      <c r="B7531" s="330"/>
      <c r="C7531" s="334"/>
      <c r="D7531" s="188" t="s">
        <v>21082</v>
      </c>
      <c r="E7531" s="189" t="s">
        <v>21083</v>
      </c>
      <c r="F7531" s="162" t="s">
        <v>33599</v>
      </c>
      <c r="G7531" s="190"/>
      <c r="H7531" s="219"/>
      <c r="I7531" s="169">
        <v>119305</v>
      </c>
      <c r="J7531" s="304" t="str">
        <f>CONCATENATE([2]Cover!$D$6,"fdd/view?i=",I7531)</f>
        <v>https://www.dgiwg.org/FAD/fdd/view?i=119305</v>
      </c>
      <c r="K7531" s="304" t="s">
        <v>41580</v>
      </c>
      <c r="L7531" s="188">
        <v>7</v>
      </c>
      <c r="M7531" s="179" t="s">
        <v>151</v>
      </c>
    </row>
    <row r="7532" spans="1:13" ht="102">
      <c r="A7532" s="313" t="str">
        <f t="shared" si="117"/>
        <v>WellboreStatusCode_plugged</v>
      </c>
      <c r="B7532" s="330"/>
      <c r="C7532" s="334"/>
      <c r="D7532" s="188" t="s">
        <v>33600</v>
      </c>
      <c r="E7532" s="189" t="s">
        <v>33601</v>
      </c>
      <c r="F7532" s="162" t="s">
        <v>33602</v>
      </c>
      <c r="G7532" s="162" t="s">
        <v>33603</v>
      </c>
      <c r="H7532" s="219"/>
      <c r="I7532" s="169">
        <v>119306</v>
      </c>
      <c r="J7532" s="304" t="str">
        <f>CONCATENATE([2]Cover!$D$6,"fdd/view?i=",I7532)</f>
        <v>https://www.dgiwg.org/FAD/fdd/view?i=119306</v>
      </c>
      <c r="K7532" s="304" t="s">
        <v>41581</v>
      </c>
      <c r="L7532" s="188">
        <v>8</v>
      </c>
      <c r="M7532" s="179" t="s">
        <v>151</v>
      </c>
    </row>
    <row r="7533" spans="1:13" ht="76.5">
      <c r="A7533" s="313" t="str">
        <f t="shared" si="117"/>
        <v>WellboreStatusCode_pluggedBack</v>
      </c>
      <c r="B7533" s="330"/>
      <c r="C7533" s="334"/>
      <c r="D7533" s="188" t="s">
        <v>33604</v>
      </c>
      <c r="E7533" s="189" t="s">
        <v>33605</v>
      </c>
      <c r="F7533" s="162" t="s">
        <v>33606</v>
      </c>
      <c r="G7533" s="190"/>
      <c r="H7533" s="219"/>
      <c r="I7533" s="169">
        <v>119307</v>
      </c>
      <c r="J7533" s="304" t="str">
        <f>CONCATENATE([2]Cover!$D$6,"fdd/view?i=",I7533)</f>
        <v>https://www.dgiwg.org/FAD/fdd/view?i=119307</v>
      </c>
      <c r="K7533" s="304" t="s">
        <v>41582</v>
      </c>
      <c r="L7533" s="188">
        <v>9</v>
      </c>
      <c r="M7533" s="179" t="s">
        <v>151</v>
      </c>
    </row>
    <row r="7534" spans="1:13" ht="38.25">
      <c r="A7534" s="313" t="str">
        <f t="shared" si="117"/>
        <v>WellboreStatusCode_shutIn</v>
      </c>
      <c r="B7534" s="330"/>
      <c r="C7534" s="334"/>
      <c r="D7534" s="188" t="s">
        <v>33607</v>
      </c>
      <c r="E7534" s="189" t="s">
        <v>33608</v>
      </c>
      <c r="F7534" s="162" t="s">
        <v>33609</v>
      </c>
      <c r="G7534" s="190"/>
      <c r="H7534" s="219"/>
      <c r="I7534" s="169">
        <v>119308</v>
      </c>
      <c r="J7534" s="304" t="str">
        <f>CONCATENATE([2]Cover!$D$6,"fdd/view?i=",I7534)</f>
        <v>https://www.dgiwg.org/FAD/fdd/view?i=119308</v>
      </c>
      <c r="K7534" s="304" t="s">
        <v>41583</v>
      </c>
      <c r="L7534" s="188">
        <v>10</v>
      </c>
      <c r="M7534" s="179" t="s">
        <v>151</v>
      </c>
    </row>
    <row r="7535" spans="1:13">
      <c r="A7535" s="313" t="str">
        <f t="shared" si="117"/>
        <v>WellboreStatusCode_suspended</v>
      </c>
      <c r="B7535" s="330"/>
      <c r="C7535" s="334"/>
      <c r="D7535" s="188" t="s">
        <v>10492</v>
      </c>
      <c r="E7535" s="189" t="s">
        <v>10493</v>
      </c>
      <c r="F7535" s="162" t="s">
        <v>33610</v>
      </c>
      <c r="G7535" s="190"/>
      <c r="H7535" s="219"/>
      <c r="I7535" s="169">
        <v>119309</v>
      </c>
      <c r="J7535" s="304" t="str">
        <f>CONCATENATE([2]Cover!$D$6,"fdd/view?i=",I7535)</f>
        <v>https://www.dgiwg.org/FAD/fdd/view?i=119309</v>
      </c>
      <c r="K7535" s="304" t="s">
        <v>41584</v>
      </c>
      <c r="L7535" s="188">
        <v>11</v>
      </c>
      <c r="M7535" s="179" t="s">
        <v>151</v>
      </c>
    </row>
    <row r="7536" spans="1:13" ht="51">
      <c r="A7536" s="313" t="str">
        <f t="shared" si="117"/>
        <v>WellboreStatusCode_temporarilyAbandoned</v>
      </c>
      <c r="B7536" s="330"/>
      <c r="C7536" s="334"/>
      <c r="D7536" s="188" t="s">
        <v>33611</v>
      </c>
      <c r="E7536" s="189" t="s">
        <v>33612</v>
      </c>
      <c r="F7536" s="162" t="s">
        <v>33613</v>
      </c>
      <c r="G7536" s="190"/>
      <c r="H7536" s="219"/>
      <c r="I7536" s="169">
        <v>119310</v>
      </c>
      <c r="J7536" s="304" t="str">
        <f>CONCATENATE([2]Cover!$D$6,"fdd/view?i=",I7536)</f>
        <v>https://www.dgiwg.org/FAD/fdd/view?i=119310</v>
      </c>
      <c r="K7536" s="304" t="s">
        <v>41585</v>
      </c>
      <c r="L7536" s="188">
        <v>12</v>
      </c>
      <c r="M7536" s="179" t="s">
        <v>151</v>
      </c>
    </row>
    <row r="7537" spans="1:13" ht="25.5">
      <c r="A7537" s="313" t="str">
        <f t="shared" si="117"/>
        <v>WellboreStatusCode_test</v>
      </c>
      <c r="B7537" s="330"/>
      <c r="C7537" s="334"/>
      <c r="D7537" s="188" t="s">
        <v>24755</v>
      </c>
      <c r="E7537" s="189" t="s">
        <v>24756</v>
      </c>
      <c r="F7537" s="162" t="s">
        <v>33614</v>
      </c>
      <c r="G7537" s="190"/>
      <c r="H7537" s="219"/>
      <c r="I7537" s="169">
        <v>119311</v>
      </c>
      <c r="J7537" s="304" t="str">
        <f>CONCATENATE([2]Cover!$D$6,"fdd/view?i=",I7537)</f>
        <v>https://www.dgiwg.org/FAD/fdd/view?i=119311</v>
      </c>
      <c r="K7537" s="304" t="s">
        <v>41586</v>
      </c>
      <c r="L7537" s="188">
        <v>13</v>
      </c>
      <c r="M7537" s="179" t="s">
        <v>151</v>
      </c>
    </row>
    <row r="7538" spans="1:13" ht="25.5">
      <c r="A7538" s="313" t="str">
        <f t="shared" si="117"/>
        <v>WellboreStatusCode_waitingOnCompletion</v>
      </c>
      <c r="B7538" s="331"/>
      <c r="C7538" s="335"/>
      <c r="D7538" s="181" t="s">
        <v>33615</v>
      </c>
      <c r="E7538" s="192" t="s">
        <v>33616</v>
      </c>
      <c r="F7538" s="193" t="s">
        <v>33617</v>
      </c>
      <c r="G7538" s="194"/>
      <c r="H7538" s="220"/>
      <c r="I7538" s="169">
        <v>119312</v>
      </c>
      <c r="J7538" s="304" t="str">
        <f>CONCATENATE([2]Cover!$D$6,"fdd/view?i=",I7538)</f>
        <v>https://www.dgiwg.org/FAD/fdd/view?i=119312</v>
      </c>
      <c r="K7538" s="304" t="s">
        <v>41587</v>
      </c>
      <c r="L7538" s="181">
        <v>14</v>
      </c>
      <c r="M7538" s="179" t="s">
        <v>151</v>
      </c>
    </row>
    <row r="7539" spans="1:13" ht="25.5">
      <c r="A7539" s="313" t="str">
        <f t="shared" si="117"/>
        <v>WetlandTypeCode_bog</v>
      </c>
      <c r="B7539" s="332" t="str">
        <f>HYPERLINK("[#]Datatypes!A1596:L1596","WetlandTypeCode")</f>
        <v>WetlandTypeCode</v>
      </c>
      <c r="C7539" s="333" t="s">
        <v>13236</v>
      </c>
      <c r="D7539" s="202" t="s">
        <v>17765</v>
      </c>
      <c r="E7539" s="203" t="s">
        <v>1687</v>
      </c>
      <c r="F7539" s="204" t="s">
        <v>1688</v>
      </c>
      <c r="G7539" s="204" t="s">
        <v>17766</v>
      </c>
      <c r="H7539" s="218"/>
      <c r="I7539" s="169">
        <v>118507</v>
      </c>
      <c r="J7539" s="304" t="str">
        <f>CONCATENATE([2]Cover!$D$6,"fdd/view?i=",I7539)</f>
        <v>https://www.dgiwg.org/FAD/fdd/view?i=118507</v>
      </c>
      <c r="K7539" s="304" t="s">
        <v>41588</v>
      </c>
      <c r="L7539" s="202">
        <v>13</v>
      </c>
      <c r="M7539" s="179" t="s">
        <v>151</v>
      </c>
    </row>
    <row r="7540" spans="1:13" ht="38.25">
      <c r="A7540" s="313" t="str">
        <f t="shared" si="117"/>
        <v>WetlandTypeCode_marsh</v>
      </c>
      <c r="B7540" s="330"/>
      <c r="C7540" s="334"/>
      <c r="D7540" s="188" t="s">
        <v>28948</v>
      </c>
      <c r="E7540" s="189" t="s">
        <v>3146</v>
      </c>
      <c r="F7540" s="162" t="s">
        <v>3147</v>
      </c>
      <c r="G7540" s="162" t="s">
        <v>33618</v>
      </c>
      <c r="H7540" s="219"/>
      <c r="I7540" s="169">
        <v>114124</v>
      </c>
      <c r="J7540" s="304" t="str">
        <f>CONCATENATE([2]Cover!$D$6,"fdd/view?i=",I7540)</f>
        <v>https://www.dgiwg.org/FAD/fdd/view?i=114124</v>
      </c>
      <c r="K7540" s="304" t="s">
        <v>41589</v>
      </c>
      <c r="L7540" s="188">
        <v>1</v>
      </c>
      <c r="M7540" s="179" t="s">
        <v>151</v>
      </c>
    </row>
    <row r="7541" spans="1:13" ht="102">
      <c r="A7541" s="313" t="str">
        <f t="shared" si="117"/>
        <v>WetlandTypeCode_swamp</v>
      </c>
      <c r="B7541" s="331"/>
      <c r="C7541" s="335"/>
      <c r="D7541" s="181" t="s">
        <v>17783</v>
      </c>
      <c r="E7541" s="192" t="s">
        <v>4165</v>
      </c>
      <c r="F7541" s="193" t="s">
        <v>4166</v>
      </c>
      <c r="G7541" s="193" t="s">
        <v>33619</v>
      </c>
      <c r="H7541" s="220"/>
      <c r="I7541" s="169">
        <v>114128</v>
      </c>
      <c r="J7541" s="304" t="str">
        <f>CONCATENATE([2]Cover!$D$6,"fdd/view?i=",I7541)</f>
        <v>https://www.dgiwg.org/FAD/fdd/view?i=114128</v>
      </c>
      <c r="K7541" s="304" t="s">
        <v>41590</v>
      </c>
      <c r="L7541" s="181">
        <v>5</v>
      </c>
      <c r="M7541" s="179" t="s">
        <v>151</v>
      </c>
    </row>
    <row r="7542" spans="1:13" ht="25.5">
      <c r="A7542" s="313" t="str">
        <f t="shared" si="117"/>
        <v>WindDirectIndicatorTypeCode_tetrahedron</v>
      </c>
      <c r="B7542" s="332" t="str">
        <f>HYPERLINK("[#]Datatypes!A1598:L1598","WindDirectIndicatorTypeCode")</f>
        <v>WindDirectIndicatorTypeCode</v>
      </c>
      <c r="C7542" s="333" t="s">
        <v>13238</v>
      </c>
      <c r="D7542" s="202" t="s">
        <v>33620</v>
      </c>
      <c r="E7542" s="203" t="s">
        <v>33621</v>
      </c>
      <c r="F7542" s="204" t="s">
        <v>33622</v>
      </c>
      <c r="G7542" s="205"/>
      <c r="H7542" s="218"/>
      <c r="I7542" s="169">
        <v>115487</v>
      </c>
      <c r="J7542" s="304" t="str">
        <f>CONCATENATE([2]Cover!$D$6,"fdd/view?i=",I7542)</f>
        <v>https://www.dgiwg.org/FAD/fdd/view?i=115487</v>
      </c>
      <c r="K7542" s="304" t="s">
        <v>41591</v>
      </c>
      <c r="L7542" s="202">
        <v>2</v>
      </c>
      <c r="M7542" s="179" t="s">
        <v>151</v>
      </c>
    </row>
    <row r="7543" spans="1:13" ht="25.5">
      <c r="A7543" s="313" t="str">
        <f t="shared" si="117"/>
        <v>WindDirectIndicatorTypeCode_windsock</v>
      </c>
      <c r="B7543" s="330"/>
      <c r="C7543" s="334"/>
      <c r="D7543" s="188" t="s">
        <v>33626</v>
      </c>
      <c r="E7543" s="189" t="s">
        <v>33627</v>
      </c>
      <c r="F7543" s="162" t="s">
        <v>33628</v>
      </c>
      <c r="G7543" s="190"/>
      <c r="H7543" s="219"/>
      <c r="I7543" s="169">
        <v>115486</v>
      </c>
      <c r="J7543" s="304" t="str">
        <f>CONCATENATE([2]Cover!$D$6,"fdd/view?i=",I7543)</f>
        <v>https://www.dgiwg.org/FAD/fdd/view?i=115486</v>
      </c>
      <c r="K7543" s="304" t="s">
        <v>41592</v>
      </c>
      <c r="L7543" s="188">
        <v>1</v>
      </c>
      <c r="M7543" s="179" t="s">
        <v>151</v>
      </c>
    </row>
    <row r="7544" spans="1:13" ht="38.25">
      <c r="A7544" s="313" t="str">
        <f t="shared" si="117"/>
        <v>WindDirectIndicatorTypeCode_windTee</v>
      </c>
      <c r="B7544" s="331"/>
      <c r="C7544" s="335"/>
      <c r="D7544" s="181" t="s">
        <v>33623</v>
      </c>
      <c r="E7544" s="192" t="s">
        <v>33624</v>
      </c>
      <c r="F7544" s="193" t="s">
        <v>33625</v>
      </c>
      <c r="G7544" s="194"/>
      <c r="H7544" s="220"/>
      <c r="I7544" s="169">
        <v>115488</v>
      </c>
      <c r="J7544" s="304" t="str">
        <f>CONCATENATE([2]Cover!$D$6,"fdd/view?i=",I7544)</f>
        <v>https://www.dgiwg.org/FAD/fdd/view?i=115488</v>
      </c>
      <c r="K7544" s="304" t="s">
        <v>41593</v>
      </c>
      <c r="L7544" s="181">
        <v>3</v>
      </c>
      <c r="M7544" s="179" t="s">
        <v>151</v>
      </c>
    </row>
    <row r="7545" spans="1:13" ht="38.25">
      <c r="A7545" s="313" t="str">
        <f t="shared" si="117"/>
        <v>WirelessTelecomTypeCode_cellularPhone</v>
      </c>
      <c r="B7545" s="332" t="str">
        <f>HYPERLINK("[#]Datatypes!A1600:L1600","WirelessTelecomTypeCode")</f>
        <v>WirelessTelecomTypeCode</v>
      </c>
      <c r="C7545" s="333" t="s">
        <v>13240</v>
      </c>
      <c r="D7545" s="202" t="s">
        <v>33629</v>
      </c>
      <c r="E7545" s="203" t="s">
        <v>33630</v>
      </c>
      <c r="F7545" s="204" t="s">
        <v>33631</v>
      </c>
      <c r="G7545" s="205"/>
      <c r="H7545" s="218"/>
      <c r="I7545" s="169">
        <v>114388</v>
      </c>
      <c r="J7545" s="304" t="str">
        <f>CONCATENATE([2]Cover!$D$6,"fdd/view?i=",I7545)</f>
        <v>https://www.dgiwg.org/FAD/fdd/view?i=114388</v>
      </c>
      <c r="K7545" s="304" t="s">
        <v>41594</v>
      </c>
      <c r="L7545" s="202">
        <v>1</v>
      </c>
      <c r="M7545" s="179" t="s">
        <v>151</v>
      </c>
    </row>
    <row r="7546" spans="1:13" ht="51">
      <c r="A7546" s="313" t="str">
        <f t="shared" si="117"/>
        <v>WirelessTelecomTypeCode_microwaveRadioRelay</v>
      </c>
      <c r="B7546" s="330"/>
      <c r="C7546" s="334"/>
      <c r="D7546" s="188" t="s">
        <v>33632</v>
      </c>
      <c r="E7546" s="189" t="s">
        <v>33633</v>
      </c>
      <c r="F7546" s="162" t="s">
        <v>33634</v>
      </c>
      <c r="G7546" s="162" t="s">
        <v>33635</v>
      </c>
      <c r="H7546" s="219"/>
      <c r="I7546" s="169">
        <v>114389</v>
      </c>
      <c r="J7546" s="304" t="str">
        <f>CONCATENATE([2]Cover!$D$6,"fdd/view?i=",I7546)</f>
        <v>https://www.dgiwg.org/FAD/fdd/view?i=114389</v>
      </c>
      <c r="K7546" s="304" t="s">
        <v>41595</v>
      </c>
      <c r="L7546" s="188">
        <v>2</v>
      </c>
      <c r="M7546" s="179" t="s">
        <v>151</v>
      </c>
    </row>
    <row r="7547" spans="1:13" ht="51">
      <c r="A7547" s="313" t="str">
        <f t="shared" si="117"/>
        <v>WirelessTelecomTypeCode_mobilePhone</v>
      </c>
      <c r="B7547" s="330"/>
      <c r="C7547" s="334"/>
      <c r="D7547" s="188" t="s">
        <v>33636</v>
      </c>
      <c r="E7547" s="189" t="s">
        <v>33637</v>
      </c>
      <c r="F7547" s="162" t="s">
        <v>33638</v>
      </c>
      <c r="G7547" s="162" t="s">
        <v>33639</v>
      </c>
      <c r="H7547" s="219"/>
      <c r="I7547" s="169">
        <v>114401</v>
      </c>
      <c r="J7547" s="304" t="str">
        <f>CONCATENATE([2]Cover!$D$6,"fdd/view?i=",I7547)</f>
        <v>https://www.dgiwg.org/FAD/fdd/view?i=114401</v>
      </c>
      <c r="K7547" s="304" t="s">
        <v>41596</v>
      </c>
      <c r="L7547" s="188">
        <v>3</v>
      </c>
      <c r="M7547" s="179" t="s">
        <v>151</v>
      </c>
    </row>
    <row r="7548" spans="1:13" ht="51">
      <c r="A7548" s="313" t="str">
        <f t="shared" si="117"/>
        <v>WirelessTelecomTypeCode_radioBroadcast</v>
      </c>
      <c r="B7548" s="330"/>
      <c r="C7548" s="334"/>
      <c r="D7548" s="188" t="s">
        <v>33640</v>
      </c>
      <c r="E7548" s="189" t="s">
        <v>33641</v>
      </c>
      <c r="F7548" s="162" t="s">
        <v>33642</v>
      </c>
      <c r="G7548" s="162" t="s">
        <v>33643</v>
      </c>
      <c r="H7548" s="219"/>
      <c r="I7548" s="169">
        <v>114402</v>
      </c>
      <c r="J7548" s="304" t="str">
        <f>CONCATENATE([2]Cover!$D$6,"fdd/view?i=",I7548)</f>
        <v>https://www.dgiwg.org/FAD/fdd/view?i=114402</v>
      </c>
      <c r="K7548" s="304" t="s">
        <v>41597</v>
      </c>
      <c r="L7548" s="188">
        <v>4</v>
      </c>
      <c r="M7548" s="179" t="s">
        <v>151</v>
      </c>
    </row>
    <row r="7549" spans="1:13" ht="25.5">
      <c r="A7549" s="313" t="str">
        <f t="shared" si="117"/>
        <v>WirelessTelecomTypeCode_radioTelegraph</v>
      </c>
      <c r="B7549" s="330"/>
      <c r="C7549" s="334"/>
      <c r="D7549" s="188" t="s">
        <v>33648</v>
      </c>
      <c r="E7549" s="189" t="s">
        <v>33649</v>
      </c>
      <c r="F7549" s="162" t="s">
        <v>33650</v>
      </c>
      <c r="G7549" s="162" t="s">
        <v>33651</v>
      </c>
      <c r="H7549" s="219"/>
      <c r="I7549" s="169">
        <v>114404</v>
      </c>
      <c r="J7549" s="304" t="str">
        <f>CONCATENATE([2]Cover!$D$6,"fdd/view?i=",I7549)</f>
        <v>https://www.dgiwg.org/FAD/fdd/view?i=114404</v>
      </c>
      <c r="K7549" s="304" t="s">
        <v>41598</v>
      </c>
      <c r="L7549" s="188">
        <v>6</v>
      </c>
      <c r="M7549" s="179" t="s">
        <v>151</v>
      </c>
    </row>
    <row r="7550" spans="1:13" ht="153">
      <c r="A7550" s="313" t="str">
        <f t="shared" si="117"/>
        <v>WirelessTelecomTypeCode_radioTelephone</v>
      </c>
      <c r="B7550" s="330"/>
      <c r="C7550" s="334"/>
      <c r="D7550" s="188" t="s">
        <v>33644</v>
      </c>
      <c r="E7550" s="189" t="s">
        <v>33645</v>
      </c>
      <c r="F7550" s="162" t="s">
        <v>33646</v>
      </c>
      <c r="G7550" s="162" t="s">
        <v>33647</v>
      </c>
      <c r="H7550" s="219"/>
      <c r="I7550" s="169">
        <v>114403</v>
      </c>
      <c r="J7550" s="304" t="str">
        <f>CONCATENATE([2]Cover!$D$6,"fdd/view?i=",I7550)</f>
        <v>https://www.dgiwg.org/FAD/fdd/view?i=114403</v>
      </c>
      <c r="K7550" s="304" t="s">
        <v>41599</v>
      </c>
      <c r="L7550" s="188">
        <v>5</v>
      </c>
      <c r="M7550" s="179" t="s">
        <v>151</v>
      </c>
    </row>
    <row r="7551" spans="1:13" ht="25.5">
      <c r="A7551" s="313" t="str">
        <f t="shared" si="117"/>
        <v>WirelessTelecomTypeCode_television</v>
      </c>
      <c r="B7551" s="331"/>
      <c r="C7551" s="335"/>
      <c r="D7551" s="181" t="s">
        <v>33652</v>
      </c>
      <c r="E7551" s="192" t="s">
        <v>33653</v>
      </c>
      <c r="F7551" s="193" t="s">
        <v>33654</v>
      </c>
      <c r="G7551" s="194"/>
      <c r="H7551" s="220"/>
      <c r="I7551" s="169">
        <v>114405</v>
      </c>
      <c r="J7551" s="304" t="str">
        <f>CONCATENATE([2]Cover!$D$6,"fdd/view?i=",I7551)</f>
        <v>https://www.dgiwg.org/FAD/fdd/view?i=114405</v>
      </c>
      <c r="K7551" s="304" t="s">
        <v>41600</v>
      </c>
      <c r="L7551" s="181">
        <v>7</v>
      </c>
      <c r="M7551" s="179" t="s">
        <v>151</v>
      </c>
    </row>
    <row r="7552" spans="1:13" ht="25.5">
      <c r="A7552" s="313" t="str">
        <f t="shared" si="117"/>
        <v>WreckHulkExposureCode_funnelShowing</v>
      </c>
      <c r="B7552" s="332" t="str">
        <f>HYPERLINK("[#]Datatypes!A1604:L1604","WreckHulkExposureCode")</f>
        <v>WreckHulkExposureCode</v>
      </c>
      <c r="C7552" s="333" t="s">
        <v>13245</v>
      </c>
      <c r="D7552" s="202" t="s">
        <v>33655</v>
      </c>
      <c r="E7552" s="203" t="s">
        <v>33656</v>
      </c>
      <c r="F7552" s="204" t="s">
        <v>33657</v>
      </c>
      <c r="G7552" s="205"/>
      <c r="H7552" s="218"/>
      <c r="I7552" s="169">
        <v>109577</v>
      </c>
      <c r="J7552" s="304" t="str">
        <f>CONCATENATE([2]Cover!$D$6,"fdd/view?i=",I7552)</f>
        <v>https://www.dgiwg.org/FAD/fdd/view?i=109577</v>
      </c>
      <c r="K7552" s="304" t="s">
        <v>41601</v>
      </c>
      <c r="L7552" s="202">
        <v>3</v>
      </c>
      <c r="M7552" s="179" t="s">
        <v>151</v>
      </c>
    </row>
    <row r="7553" spans="1:13" ht="25.5">
      <c r="A7553" s="313" t="str">
        <f t="shared" si="117"/>
        <v>WreckHulkExposureCode_hullShowing</v>
      </c>
      <c r="B7553" s="330"/>
      <c r="C7553" s="334"/>
      <c r="D7553" s="188" t="s">
        <v>33658</v>
      </c>
      <c r="E7553" s="189" t="s">
        <v>33659</v>
      </c>
      <c r="F7553" s="162" t="s">
        <v>33660</v>
      </c>
      <c r="G7553" s="190"/>
      <c r="H7553" s="219"/>
      <c r="I7553" s="169">
        <v>109575</v>
      </c>
      <c r="J7553" s="304" t="str">
        <f>CONCATENATE([2]Cover!$D$6,"fdd/view?i=",I7553)</f>
        <v>https://www.dgiwg.org/FAD/fdd/view?i=109575</v>
      </c>
      <c r="K7553" s="304" t="s">
        <v>41602</v>
      </c>
      <c r="L7553" s="188">
        <v>1</v>
      </c>
      <c r="M7553" s="179" t="s">
        <v>151</v>
      </c>
    </row>
    <row r="7554" spans="1:13" ht="25.5">
      <c r="A7554" s="313" t="str">
        <f t="shared" si="117"/>
        <v>WreckHulkExposureCode_mastsFunnelShowing</v>
      </c>
      <c r="B7554" s="330"/>
      <c r="C7554" s="334"/>
      <c r="D7554" s="188" t="s">
        <v>33661</v>
      </c>
      <c r="E7554" s="189" t="s">
        <v>33662</v>
      </c>
      <c r="F7554" s="162" t="s">
        <v>33663</v>
      </c>
      <c r="G7554" s="190"/>
      <c r="H7554" s="219"/>
      <c r="I7554" s="169">
        <v>109579</v>
      </c>
      <c r="J7554" s="304" t="str">
        <f>CONCATENATE([2]Cover!$D$6,"fdd/view?i=",I7554)</f>
        <v>https://www.dgiwg.org/FAD/fdd/view?i=109579</v>
      </c>
      <c r="K7554" s="304" t="s">
        <v>41603</v>
      </c>
      <c r="L7554" s="188">
        <v>5</v>
      </c>
      <c r="M7554" s="179" t="s">
        <v>151</v>
      </c>
    </row>
    <row r="7555" spans="1:13" ht="25.5">
      <c r="A7555" s="313" t="str">
        <f t="shared" ref="A7555:A7557" si="118">HYPERLINK(J7555,K7555)</f>
        <v>WreckHulkExposureCode_mastsShowing</v>
      </c>
      <c r="B7555" s="330"/>
      <c r="C7555" s="334"/>
      <c r="D7555" s="188" t="s">
        <v>33664</v>
      </c>
      <c r="E7555" s="189" t="s">
        <v>33665</v>
      </c>
      <c r="F7555" s="162" t="s">
        <v>33666</v>
      </c>
      <c r="G7555" s="190"/>
      <c r="H7555" s="219"/>
      <c r="I7555" s="169">
        <v>109576</v>
      </c>
      <c r="J7555" s="304" t="str">
        <f>CONCATENATE([2]Cover!$D$6,"fdd/view?i=",I7555)</f>
        <v>https://www.dgiwg.org/FAD/fdd/view?i=109576</v>
      </c>
      <c r="K7555" s="304" t="s">
        <v>41604</v>
      </c>
      <c r="L7555" s="188">
        <v>2</v>
      </c>
      <c r="M7555" s="179" t="s">
        <v>151</v>
      </c>
    </row>
    <row r="7556" spans="1:13" ht="25.5">
      <c r="A7556" s="313" t="str">
        <f t="shared" si="118"/>
        <v>WreckHulkExposureCode_notExposed</v>
      </c>
      <c r="B7556" s="330"/>
      <c r="C7556" s="334"/>
      <c r="D7556" s="188" t="s">
        <v>33667</v>
      </c>
      <c r="E7556" s="189" t="s">
        <v>33668</v>
      </c>
      <c r="F7556" s="162" t="s">
        <v>33669</v>
      </c>
      <c r="G7556" s="190"/>
      <c r="H7556" s="219"/>
      <c r="I7556" s="169">
        <v>206545</v>
      </c>
      <c r="J7556" s="304" t="str">
        <f>CONCATENATE([2]Cover!$D$6,"fdd/view?i=",I7556)</f>
        <v>https://www.dgiwg.org/FAD/fdd/view?i=206545</v>
      </c>
      <c r="K7556" s="304" t="s">
        <v>41605</v>
      </c>
      <c r="L7556" s="188">
        <v>6</v>
      </c>
      <c r="M7556" s="179" t="s">
        <v>1295</v>
      </c>
    </row>
    <row r="7557" spans="1:13" ht="25.5">
      <c r="A7557" s="313" t="str">
        <f t="shared" si="118"/>
        <v>WreckHulkExposureCode_superstructureShowing</v>
      </c>
      <c r="B7557" s="331"/>
      <c r="C7557" s="335"/>
      <c r="D7557" s="181" t="s">
        <v>33670</v>
      </c>
      <c r="E7557" s="192" t="s">
        <v>33671</v>
      </c>
      <c r="F7557" s="193" t="s">
        <v>33672</v>
      </c>
      <c r="G7557" s="194"/>
      <c r="H7557" s="220"/>
      <c r="I7557" s="169">
        <v>109578</v>
      </c>
      <c r="J7557" s="304" t="str">
        <f>CONCATENATE([2]Cover!$D$6,"fdd/view?i=",I7557)</f>
        <v>https://www.dgiwg.org/FAD/fdd/view?i=109578</v>
      </c>
      <c r="K7557" s="304" t="s">
        <v>41606</v>
      </c>
      <c r="L7557" s="181">
        <v>4</v>
      </c>
      <c r="M7557" s="179" t="s">
        <v>151</v>
      </c>
    </row>
  </sheetData>
  <mergeCells count="992">
    <mergeCell ref="B2:B24"/>
    <mergeCell ref="C2:C24"/>
    <mergeCell ref="B25:B47"/>
    <mergeCell ref="C25:C47"/>
    <mergeCell ref="B48:B54"/>
    <mergeCell ref="C48:C54"/>
    <mergeCell ref="B76:B427"/>
    <mergeCell ref="C76:C427"/>
    <mergeCell ref="B428:B779"/>
    <mergeCell ref="C428:C779"/>
    <mergeCell ref="B780:B802"/>
    <mergeCell ref="C780:C802"/>
    <mergeCell ref="B55:B67"/>
    <mergeCell ref="C55:C67"/>
    <mergeCell ref="B68:B69"/>
    <mergeCell ref="C68:C69"/>
    <mergeCell ref="B70:B75"/>
    <mergeCell ref="C70:C75"/>
    <mergeCell ref="B841:B847"/>
    <mergeCell ref="C841:C847"/>
    <mergeCell ref="B848:B852"/>
    <mergeCell ref="C848:C852"/>
    <mergeCell ref="B853:B873"/>
    <mergeCell ref="C853:C873"/>
    <mergeCell ref="B803:B804"/>
    <mergeCell ref="C803:C804"/>
    <mergeCell ref="B805:B817"/>
    <mergeCell ref="C805:C817"/>
    <mergeCell ref="B818:B840"/>
    <mergeCell ref="C818:C840"/>
    <mergeCell ref="B901:B904"/>
    <mergeCell ref="C901:C904"/>
    <mergeCell ref="B905:B907"/>
    <mergeCell ref="C905:C907"/>
    <mergeCell ref="B908:B928"/>
    <mergeCell ref="C908:C928"/>
    <mergeCell ref="B874:B881"/>
    <mergeCell ref="C874:C881"/>
    <mergeCell ref="B882:B891"/>
    <mergeCell ref="C882:C891"/>
    <mergeCell ref="B892:B900"/>
    <mergeCell ref="C892:C900"/>
    <mergeCell ref="B954:B956"/>
    <mergeCell ref="C954:C956"/>
    <mergeCell ref="B957:B971"/>
    <mergeCell ref="C957:C971"/>
    <mergeCell ref="B972:B976"/>
    <mergeCell ref="C972:C976"/>
    <mergeCell ref="B929:B938"/>
    <mergeCell ref="C929:C938"/>
    <mergeCell ref="B939:B949"/>
    <mergeCell ref="C939:C949"/>
    <mergeCell ref="B950:B953"/>
    <mergeCell ref="C950:C953"/>
    <mergeCell ref="B1027:B1034"/>
    <mergeCell ref="C1027:C1034"/>
    <mergeCell ref="B1035:B1037"/>
    <mergeCell ref="C1035:C1037"/>
    <mergeCell ref="B1038:B1040"/>
    <mergeCell ref="C1038:C1040"/>
    <mergeCell ref="B977:B1013"/>
    <mergeCell ref="C977:C1013"/>
    <mergeCell ref="B1014:B1016"/>
    <mergeCell ref="C1014:C1016"/>
    <mergeCell ref="B1017:B1026"/>
    <mergeCell ref="C1017:C1026"/>
    <mergeCell ref="B1070:B1073"/>
    <mergeCell ref="C1070:C1073"/>
    <mergeCell ref="B1074:B1082"/>
    <mergeCell ref="C1074:C1082"/>
    <mergeCell ref="B1083:B1089"/>
    <mergeCell ref="C1083:C1089"/>
    <mergeCell ref="B1041:B1055"/>
    <mergeCell ref="C1041:C1055"/>
    <mergeCell ref="B1056:B1060"/>
    <mergeCell ref="C1056:C1060"/>
    <mergeCell ref="B1061:B1069"/>
    <mergeCell ref="C1061:C1069"/>
    <mergeCell ref="B1107:B1113"/>
    <mergeCell ref="C1107:C1113"/>
    <mergeCell ref="B1114:B1116"/>
    <mergeCell ref="C1114:C1116"/>
    <mergeCell ref="B1117:B1119"/>
    <mergeCell ref="C1117:C1119"/>
    <mergeCell ref="B1090:B1092"/>
    <mergeCell ref="C1090:C1092"/>
    <mergeCell ref="B1093:B1100"/>
    <mergeCell ref="C1093:C1100"/>
    <mergeCell ref="B1101:B1106"/>
    <mergeCell ref="C1101:C1106"/>
    <mergeCell ref="B1139:B1151"/>
    <mergeCell ref="C1139:C1151"/>
    <mergeCell ref="B1152:B1155"/>
    <mergeCell ref="C1152:C1155"/>
    <mergeCell ref="B1156:B1165"/>
    <mergeCell ref="C1156:C1165"/>
    <mergeCell ref="B1120:B1127"/>
    <mergeCell ref="C1120:C1127"/>
    <mergeCell ref="B1128:B1132"/>
    <mergeCell ref="C1128:C1132"/>
    <mergeCell ref="B1133:B1138"/>
    <mergeCell ref="C1133:C1138"/>
    <mergeCell ref="B1234:B1236"/>
    <mergeCell ref="C1234:C1236"/>
    <mergeCell ref="B1237:B1273"/>
    <mergeCell ref="C1237:C1273"/>
    <mergeCell ref="B1274:B1279"/>
    <mergeCell ref="C1274:C1279"/>
    <mergeCell ref="B1166:B1168"/>
    <mergeCell ref="C1166:C1168"/>
    <mergeCell ref="B1169:B1226"/>
    <mergeCell ref="C1169:C1226"/>
    <mergeCell ref="B1227:B1233"/>
    <mergeCell ref="C1227:C1233"/>
    <mergeCell ref="B1306:B1308"/>
    <mergeCell ref="C1306:C1308"/>
    <mergeCell ref="B1309:B1311"/>
    <mergeCell ref="C1309:C1311"/>
    <mergeCell ref="B1312:B1345"/>
    <mergeCell ref="C1312:C1345"/>
    <mergeCell ref="B1280:B1286"/>
    <mergeCell ref="C1280:C1286"/>
    <mergeCell ref="B1287:B1292"/>
    <mergeCell ref="C1287:C1292"/>
    <mergeCell ref="B1293:B1305"/>
    <mergeCell ref="C1293:C1305"/>
    <mergeCell ref="B1375:B1378"/>
    <mergeCell ref="C1375:C1378"/>
    <mergeCell ref="B1379:B1382"/>
    <mergeCell ref="C1379:C1382"/>
    <mergeCell ref="B1383:B1400"/>
    <mergeCell ref="C1383:C1400"/>
    <mergeCell ref="B1346:B1353"/>
    <mergeCell ref="C1346:C1353"/>
    <mergeCell ref="B1354:B1367"/>
    <mergeCell ref="C1354:C1367"/>
    <mergeCell ref="B1368:B1374"/>
    <mergeCell ref="C1368:C1374"/>
    <mergeCell ref="B1562:B1579"/>
    <mergeCell ref="C1562:C1579"/>
    <mergeCell ref="B1580:B1582"/>
    <mergeCell ref="C1580:C1582"/>
    <mergeCell ref="B1584:B1586"/>
    <mergeCell ref="C1584:C1586"/>
    <mergeCell ref="B1401:B1418"/>
    <mergeCell ref="C1401:C1418"/>
    <mergeCell ref="B1419:B1487"/>
    <mergeCell ref="C1419:C1487"/>
    <mergeCell ref="B1488:B1561"/>
    <mergeCell ref="C1488:C1561"/>
    <mergeCell ref="B1675:B1681"/>
    <mergeCell ref="C1675:C1681"/>
    <mergeCell ref="B1682:B1689"/>
    <mergeCell ref="C1682:C1689"/>
    <mergeCell ref="B1690:B1707"/>
    <mergeCell ref="C1690:C1707"/>
    <mergeCell ref="B1587:B1608"/>
    <mergeCell ref="C1587:C1608"/>
    <mergeCell ref="B1609:B1642"/>
    <mergeCell ref="C1609:C1642"/>
    <mergeCell ref="B1643:B1674"/>
    <mergeCell ref="C1643:C1674"/>
    <mergeCell ref="B1726:B1729"/>
    <mergeCell ref="C1726:C1729"/>
    <mergeCell ref="B1730:B1742"/>
    <mergeCell ref="C1730:C1742"/>
    <mergeCell ref="B1743:B1747"/>
    <mergeCell ref="C1743:C1747"/>
    <mergeCell ref="B1708:B1715"/>
    <mergeCell ref="C1708:C1715"/>
    <mergeCell ref="B1716:B1722"/>
    <mergeCell ref="C1716:C1722"/>
    <mergeCell ref="B1723:B1725"/>
    <mergeCell ref="C1723:C1725"/>
    <mergeCell ref="B1778:B1781"/>
    <mergeCell ref="C1778:C1781"/>
    <mergeCell ref="B1783:B1787"/>
    <mergeCell ref="C1783:C1787"/>
    <mergeCell ref="B1788:B1806"/>
    <mergeCell ref="C1788:C1806"/>
    <mergeCell ref="B1748:B1750"/>
    <mergeCell ref="C1748:C1750"/>
    <mergeCell ref="B1751:B1761"/>
    <mergeCell ref="C1751:C1761"/>
    <mergeCell ref="B1762:B1777"/>
    <mergeCell ref="C1762:C1777"/>
    <mergeCell ref="B1824:B1826"/>
    <mergeCell ref="C1824:C1826"/>
    <mergeCell ref="B1827:B1841"/>
    <mergeCell ref="C1827:C1841"/>
    <mergeCell ref="B1842:B1848"/>
    <mergeCell ref="C1842:C1848"/>
    <mergeCell ref="B1807:B1808"/>
    <mergeCell ref="C1807:C1808"/>
    <mergeCell ref="B1809:B1813"/>
    <mergeCell ref="C1809:C1813"/>
    <mergeCell ref="B1814:B1823"/>
    <mergeCell ref="C1814:C1823"/>
    <mergeCell ref="B1889:B1892"/>
    <mergeCell ref="C1889:C1892"/>
    <mergeCell ref="B1893:B1895"/>
    <mergeCell ref="C1893:C1895"/>
    <mergeCell ref="B1896:B1897"/>
    <mergeCell ref="C1896:C1897"/>
    <mergeCell ref="B1849:B1879"/>
    <mergeCell ref="C1849:C1879"/>
    <mergeCell ref="B1880:B1883"/>
    <mergeCell ref="C1880:C1883"/>
    <mergeCell ref="B1884:B1888"/>
    <mergeCell ref="C1884:C1888"/>
    <mergeCell ref="B1941:B1962"/>
    <mergeCell ref="C1941:C1962"/>
    <mergeCell ref="B1963:B1965"/>
    <mergeCell ref="C1963:C1965"/>
    <mergeCell ref="B1966:B1974"/>
    <mergeCell ref="C1966:C1974"/>
    <mergeCell ref="B1898:B1905"/>
    <mergeCell ref="C1898:C1905"/>
    <mergeCell ref="B1906:B1923"/>
    <mergeCell ref="C1906:C1923"/>
    <mergeCell ref="B1924:B1940"/>
    <mergeCell ref="C1924:C1940"/>
    <mergeCell ref="B2073:B2082"/>
    <mergeCell ref="C2073:C2082"/>
    <mergeCell ref="B2083:B2085"/>
    <mergeCell ref="C2083:C2085"/>
    <mergeCell ref="B2086:B2099"/>
    <mergeCell ref="C2086:C2099"/>
    <mergeCell ref="B1975:B2063"/>
    <mergeCell ref="C1975:C2063"/>
    <mergeCell ref="B2064:B2069"/>
    <mergeCell ref="C2064:C2069"/>
    <mergeCell ref="B2070:B2072"/>
    <mergeCell ref="C2070:C2072"/>
    <mergeCell ref="B2123:B2129"/>
    <mergeCell ref="C2123:C2129"/>
    <mergeCell ref="B2130:B2133"/>
    <mergeCell ref="C2130:C2133"/>
    <mergeCell ref="B2134:B2138"/>
    <mergeCell ref="C2134:C2138"/>
    <mergeCell ref="B2100:B2106"/>
    <mergeCell ref="C2100:C2106"/>
    <mergeCell ref="B2107:B2120"/>
    <mergeCell ref="C2107:C2120"/>
    <mergeCell ref="B2121:B2122"/>
    <mergeCell ref="C2121:C2122"/>
    <mergeCell ref="B2153:B2158"/>
    <mergeCell ref="C2153:C2158"/>
    <mergeCell ref="B2159:B2207"/>
    <mergeCell ref="C2159:C2207"/>
    <mergeCell ref="B2208:B2218"/>
    <mergeCell ref="C2208:C2218"/>
    <mergeCell ref="B2139:B2140"/>
    <mergeCell ref="C2139:C2140"/>
    <mergeCell ref="B2141:B2147"/>
    <mergeCell ref="C2141:C2147"/>
    <mergeCell ref="B2148:B2152"/>
    <mergeCell ref="C2148:C2152"/>
    <mergeCell ref="B2235:B2237"/>
    <mergeCell ref="C2235:C2237"/>
    <mergeCell ref="B2238:B2243"/>
    <mergeCell ref="C2238:C2243"/>
    <mergeCell ref="B2244:B2247"/>
    <mergeCell ref="C2244:C2247"/>
    <mergeCell ref="B2219:B2222"/>
    <mergeCell ref="C2219:C2222"/>
    <mergeCell ref="B2223:B2226"/>
    <mergeCell ref="C2223:C2226"/>
    <mergeCell ref="B2227:B2234"/>
    <mergeCell ref="C2227:C2234"/>
    <mergeCell ref="B2274:B2277"/>
    <mergeCell ref="C2274:C2277"/>
    <mergeCell ref="B2278:B2281"/>
    <mergeCell ref="C2278:C2281"/>
    <mergeCell ref="B2282:B2285"/>
    <mergeCell ref="C2282:C2285"/>
    <mergeCell ref="B2248:B2255"/>
    <mergeCell ref="C2248:C2255"/>
    <mergeCell ref="B2256:B2267"/>
    <mergeCell ref="C2256:C2267"/>
    <mergeCell ref="B2268:B2273"/>
    <mergeCell ref="C2268:C2273"/>
    <mergeCell ref="B2343:B2352"/>
    <mergeCell ref="C2343:C2352"/>
    <mergeCell ref="B2353:B2354"/>
    <mergeCell ref="C2353:C2354"/>
    <mergeCell ref="B2355:B2360"/>
    <mergeCell ref="C2355:C2360"/>
    <mergeCell ref="B2286:B2289"/>
    <mergeCell ref="C2286:C2289"/>
    <mergeCell ref="B2290:B2339"/>
    <mergeCell ref="C2290:C2339"/>
    <mergeCell ref="B2340:B2342"/>
    <mergeCell ref="C2340:C2342"/>
    <mergeCell ref="B2377:B2378"/>
    <mergeCell ref="C2377:C2378"/>
    <mergeCell ref="B2379:B2382"/>
    <mergeCell ref="C2379:C2382"/>
    <mergeCell ref="B2383:B2389"/>
    <mergeCell ref="C2383:C2389"/>
    <mergeCell ref="B2361:B2365"/>
    <mergeCell ref="C2361:C2365"/>
    <mergeCell ref="B2366:B2368"/>
    <mergeCell ref="C2366:C2368"/>
    <mergeCell ref="B2369:B2376"/>
    <mergeCell ref="C2369:C2376"/>
    <mergeCell ref="B2403:B2408"/>
    <mergeCell ref="C2403:C2408"/>
    <mergeCell ref="B2409:B2413"/>
    <mergeCell ref="C2409:C2413"/>
    <mergeCell ref="B2414:B2415"/>
    <mergeCell ref="C2414:C2415"/>
    <mergeCell ref="B2390:B2396"/>
    <mergeCell ref="C2390:C2396"/>
    <mergeCell ref="B2397:B2399"/>
    <mergeCell ref="C2397:C2399"/>
    <mergeCell ref="B2400:B2402"/>
    <mergeCell ref="C2400:C2402"/>
    <mergeCell ref="B2774:B2775"/>
    <mergeCell ref="C2774:C2775"/>
    <mergeCell ref="B2776:B2779"/>
    <mergeCell ref="C2776:C2779"/>
    <mergeCell ref="B2780:B2785"/>
    <mergeCell ref="C2780:C2785"/>
    <mergeCell ref="B2416:B2767"/>
    <mergeCell ref="C2416:C2767"/>
    <mergeCell ref="B2768:B2770"/>
    <mergeCell ref="C2768:C2770"/>
    <mergeCell ref="B2771:B2773"/>
    <mergeCell ref="C2771:C2773"/>
    <mergeCell ref="B2929:B2933"/>
    <mergeCell ref="C2929:C2933"/>
    <mergeCell ref="B2934:B2935"/>
    <mergeCell ref="C2934:C2935"/>
    <mergeCell ref="B2936:B2940"/>
    <mergeCell ref="C2936:C2940"/>
    <mergeCell ref="B2786:B2917"/>
    <mergeCell ref="C2786:C2917"/>
    <mergeCell ref="B2918:B2925"/>
    <mergeCell ref="C2918:C2925"/>
    <mergeCell ref="B2926:B2928"/>
    <mergeCell ref="C2926:C2928"/>
    <mergeCell ref="B2957:B2960"/>
    <mergeCell ref="C2957:C2960"/>
    <mergeCell ref="B2961:B2965"/>
    <mergeCell ref="C2961:C2965"/>
    <mergeCell ref="B2966:B2971"/>
    <mergeCell ref="C2966:C2971"/>
    <mergeCell ref="B2941:B2945"/>
    <mergeCell ref="C2941:C2945"/>
    <mergeCell ref="B2946:B2947"/>
    <mergeCell ref="C2946:C2947"/>
    <mergeCell ref="B2948:B2956"/>
    <mergeCell ref="C2948:C2956"/>
    <mergeCell ref="B2982:B2986"/>
    <mergeCell ref="C2982:C2986"/>
    <mergeCell ref="B2987:B2989"/>
    <mergeCell ref="C2987:C2989"/>
    <mergeCell ref="B2990:B3000"/>
    <mergeCell ref="C2990:C3000"/>
    <mergeCell ref="B2972:B2975"/>
    <mergeCell ref="C2972:C2975"/>
    <mergeCell ref="B2976:B2979"/>
    <mergeCell ref="C2976:C2979"/>
    <mergeCell ref="B2980:B2981"/>
    <mergeCell ref="C2980:C2981"/>
    <mergeCell ref="B3054:B3058"/>
    <mergeCell ref="C3054:C3058"/>
    <mergeCell ref="B3059:B3066"/>
    <mergeCell ref="C3059:C3066"/>
    <mergeCell ref="B3067:B3069"/>
    <mergeCell ref="C3067:C3069"/>
    <mergeCell ref="B3001:B3002"/>
    <mergeCell ref="C3001:C3002"/>
    <mergeCell ref="B3003:B3011"/>
    <mergeCell ref="C3003:C3011"/>
    <mergeCell ref="B3012:B3053"/>
    <mergeCell ref="C3012:C3053"/>
    <mergeCell ref="B3412:B3418"/>
    <mergeCell ref="C3412:C3418"/>
    <mergeCell ref="B3419:B3421"/>
    <mergeCell ref="C3419:C3421"/>
    <mergeCell ref="B3422:B3424"/>
    <mergeCell ref="C3422:C3424"/>
    <mergeCell ref="B3070:B3074"/>
    <mergeCell ref="C3070:C3074"/>
    <mergeCell ref="B3075:B3406"/>
    <mergeCell ref="C3075:C3406"/>
    <mergeCell ref="B3407:B3411"/>
    <mergeCell ref="C3407:C3411"/>
    <mergeCell ref="B3489:B3525"/>
    <mergeCell ref="C3489:C3525"/>
    <mergeCell ref="B3526:B3528"/>
    <mergeCell ref="C3526:C3528"/>
    <mergeCell ref="B3529:B3532"/>
    <mergeCell ref="C3529:C3532"/>
    <mergeCell ref="B3425:B3463"/>
    <mergeCell ref="C3425:C3463"/>
    <mergeCell ref="B3464:B3485"/>
    <mergeCell ref="C3464:C3485"/>
    <mergeCell ref="B3486:B3488"/>
    <mergeCell ref="C3486:C3488"/>
    <mergeCell ref="B3554:B3559"/>
    <mergeCell ref="C3554:C3559"/>
    <mergeCell ref="B3560:B3569"/>
    <mergeCell ref="C3560:C3569"/>
    <mergeCell ref="B3570:B3571"/>
    <mergeCell ref="C3570:C3571"/>
    <mergeCell ref="B3533:B3537"/>
    <mergeCell ref="C3533:C3537"/>
    <mergeCell ref="B3538:B3550"/>
    <mergeCell ref="C3538:C3550"/>
    <mergeCell ref="B3551:B3553"/>
    <mergeCell ref="C3551:C3553"/>
    <mergeCell ref="B3592:B3601"/>
    <mergeCell ref="C3592:C3601"/>
    <mergeCell ref="B3602:B3611"/>
    <mergeCell ref="C3602:C3611"/>
    <mergeCell ref="B3612:B3617"/>
    <mergeCell ref="C3612:C3617"/>
    <mergeCell ref="B3572:B3581"/>
    <mergeCell ref="C3572:C3581"/>
    <mergeCell ref="B3582:B3587"/>
    <mergeCell ref="C3582:C3587"/>
    <mergeCell ref="B3588:B3591"/>
    <mergeCell ref="C3588:C3591"/>
    <mergeCell ref="B3652:B3653"/>
    <mergeCell ref="C3652:C3653"/>
    <mergeCell ref="B3654:B3657"/>
    <mergeCell ref="C3654:C3657"/>
    <mergeCell ref="B3658:B3664"/>
    <mergeCell ref="C3658:C3664"/>
    <mergeCell ref="B3618:B3629"/>
    <mergeCell ref="C3618:C3629"/>
    <mergeCell ref="B3630:B3646"/>
    <mergeCell ref="C3630:C3646"/>
    <mergeCell ref="B3647:B3651"/>
    <mergeCell ref="C3647:C3651"/>
    <mergeCell ref="B3775:B3777"/>
    <mergeCell ref="C3775:C3777"/>
    <mergeCell ref="B3778:B3785"/>
    <mergeCell ref="C3778:C3785"/>
    <mergeCell ref="B3786:B3793"/>
    <mergeCell ref="C3786:C3793"/>
    <mergeCell ref="B3665:B3675"/>
    <mergeCell ref="C3665:C3675"/>
    <mergeCell ref="B3676:B3678"/>
    <mergeCell ref="C3676:C3678"/>
    <mergeCell ref="B3679:B3774"/>
    <mergeCell ref="C3679:C3774"/>
    <mergeCell ref="B3805:B3815"/>
    <mergeCell ref="C3805:C3815"/>
    <mergeCell ref="B3816:B3821"/>
    <mergeCell ref="C3816:C3821"/>
    <mergeCell ref="B3823:B3829"/>
    <mergeCell ref="C3823:C3829"/>
    <mergeCell ref="B3794:B3798"/>
    <mergeCell ref="C3794:C3798"/>
    <mergeCell ref="B3799:B3800"/>
    <mergeCell ref="C3799:C3800"/>
    <mergeCell ref="B3801:B3804"/>
    <mergeCell ref="C3801:C3804"/>
    <mergeCell ref="B3862:B3886"/>
    <mergeCell ref="C3862:C3886"/>
    <mergeCell ref="B3887:B3890"/>
    <mergeCell ref="C3887:C3890"/>
    <mergeCell ref="B3891:B3894"/>
    <mergeCell ref="C3891:C3894"/>
    <mergeCell ref="B3830:B3836"/>
    <mergeCell ref="C3830:C3836"/>
    <mergeCell ref="B3837:B3839"/>
    <mergeCell ref="C3837:C3839"/>
    <mergeCell ref="B3840:B3861"/>
    <mergeCell ref="C3840:C3861"/>
    <mergeCell ref="B3914:B3927"/>
    <mergeCell ref="C3914:C3927"/>
    <mergeCell ref="B3928:B3933"/>
    <mergeCell ref="C3928:C3933"/>
    <mergeCell ref="B3934:B3942"/>
    <mergeCell ref="C3934:C3942"/>
    <mergeCell ref="B3895:B3901"/>
    <mergeCell ref="C3895:C3901"/>
    <mergeCell ref="B3903:B3906"/>
    <mergeCell ref="C3903:C3906"/>
    <mergeCell ref="B3907:B3913"/>
    <mergeCell ref="C3907:C3913"/>
    <mergeCell ref="B4125:B4187"/>
    <mergeCell ref="C4125:C4187"/>
    <mergeCell ref="B4188:B4193"/>
    <mergeCell ref="C4188:C4193"/>
    <mergeCell ref="B4194:B4196"/>
    <mergeCell ref="C4194:C4196"/>
    <mergeCell ref="B3943:B3944"/>
    <mergeCell ref="C3943:C3944"/>
    <mergeCell ref="B3945:B3952"/>
    <mergeCell ref="C3945:C3952"/>
    <mergeCell ref="B3953:B4124"/>
    <mergeCell ref="C3953:C4124"/>
    <mergeCell ref="B4211:B4215"/>
    <mergeCell ref="C4211:C4215"/>
    <mergeCell ref="B4216:B4218"/>
    <mergeCell ref="C4216:C4218"/>
    <mergeCell ref="B4219:B4221"/>
    <mergeCell ref="C4219:C4221"/>
    <mergeCell ref="B4197:B4198"/>
    <mergeCell ref="C4197:C4198"/>
    <mergeCell ref="B4199:B4206"/>
    <mergeCell ref="C4199:C4206"/>
    <mergeCell ref="B4207:B4210"/>
    <mergeCell ref="C4207:C4210"/>
    <mergeCell ref="B4372:B4373"/>
    <mergeCell ref="C4372:C4373"/>
    <mergeCell ref="B4374:B4376"/>
    <mergeCell ref="C4374:C4376"/>
    <mergeCell ref="B4377:B4384"/>
    <mergeCell ref="C4377:C4384"/>
    <mergeCell ref="B4222:B4225"/>
    <mergeCell ref="C4222:C4225"/>
    <mergeCell ref="B4226:B4228"/>
    <mergeCell ref="C4226:C4228"/>
    <mergeCell ref="B4229:B4371"/>
    <mergeCell ref="C4229:C4371"/>
    <mergeCell ref="B4451:B4469"/>
    <mergeCell ref="C4451:C4469"/>
    <mergeCell ref="B4470:B4475"/>
    <mergeCell ref="C4470:C4475"/>
    <mergeCell ref="B4476:B4554"/>
    <mergeCell ref="C4476:C4554"/>
    <mergeCell ref="B4385:B4426"/>
    <mergeCell ref="C4385:C4426"/>
    <mergeCell ref="B4427:B4441"/>
    <mergeCell ref="C4427:C4441"/>
    <mergeCell ref="B4442:B4450"/>
    <mergeCell ref="C4442:C4450"/>
    <mergeCell ref="B4603:B4640"/>
    <mergeCell ref="C4603:C4640"/>
    <mergeCell ref="B4641:B4651"/>
    <mergeCell ref="C4641:C4651"/>
    <mergeCell ref="B4652:B4655"/>
    <mergeCell ref="C4652:C4655"/>
    <mergeCell ref="B4555:B4563"/>
    <mergeCell ref="C4555:C4563"/>
    <mergeCell ref="B4564:B4593"/>
    <mergeCell ref="C4564:C4593"/>
    <mergeCell ref="B4594:B4602"/>
    <mergeCell ref="C4594:C4602"/>
    <mergeCell ref="B4688:B4887"/>
    <mergeCell ref="C4688:C4887"/>
    <mergeCell ref="B4888:B4889"/>
    <mergeCell ref="C4888:C4889"/>
    <mergeCell ref="B4890:B4892"/>
    <mergeCell ref="C4890:C4892"/>
    <mergeCell ref="B4656:B4659"/>
    <mergeCell ref="C4656:C4659"/>
    <mergeCell ref="B4660:B4682"/>
    <mergeCell ref="C4660:C4682"/>
    <mergeCell ref="B4683:B4687"/>
    <mergeCell ref="C4683:C4687"/>
    <mergeCell ref="B4908:B4914"/>
    <mergeCell ref="C4908:C4914"/>
    <mergeCell ref="B4915:B4920"/>
    <mergeCell ref="C4915:C4920"/>
    <mergeCell ref="B4921:B4925"/>
    <mergeCell ref="C4921:C4925"/>
    <mergeCell ref="B4893:B4900"/>
    <mergeCell ref="C4893:C4900"/>
    <mergeCell ref="B4901:B4904"/>
    <mergeCell ref="C4901:C4904"/>
    <mergeCell ref="B4905:B4907"/>
    <mergeCell ref="C4905:C4907"/>
    <mergeCell ref="B4933:B4939"/>
    <mergeCell ref="C4933:C4939"/>
    <mergeCell ref="B4940:B4942"/>
    <mergeCell ref="C4940:C4942"/>
    <mergeCell ref="B4943:B4956"/>
    <mergeCell ref="C4943:C4956"/>
    <mergeCell ref="B4926:B4927"/>
    <mergeCell ref="C4926:C4927"/>
    <mergeCell ref="B4928:B4930"/>
    <mergeCell ref="C4928:C4930"/>
    <mergeCell ref="B4931:B4932"/>
    <mergeCell ref="C4931:C4932"/>
    <mergeCell ref="B4997:B4998"/>
    <mergeCell ref="C4997:C4998"/>
    <mergeCell ref="B4999:B5002"/>
    <mergeCell ref="C4999:C5002"/>
    <mergeCell ref="B5003:B5007"/>
    <mergeCell ref="C5003:C5007"/>
    <mergeCell ref="B4957:B4959"/>
    <mergeCell ref="C4957:C4959"/>
    <mergeCell ref="B4960:B4984"/>
    <mergeCell ref="C4960:C4984"/>
    <mergeCell ref="B4985:B4996"/>
    <mergeCell ref="C4985:C4996"/>
    <mergeCell ref="B5020:B5026"/>
    <mergeCell ref="C5020:C5026"/>
    <mergeCell ref="B5027:B5036"/>
    <mergeCell ref="C5027:C5036"/>
    <mergeCell ref="B5037:B5046"/>
    <mergeCell ref="C5037:C5046"/>
    <mergeCell ref="B5008:B5012"/>
    <mergeCell ref="C5008:C5012"/>
    <mergeCell ref="B5013:B5016"/>
    <mergeCell ref="C5013:C5016"/>
    <mergeCell ref="B5017:B5019"/>
    <mergeCell ref="C5017:C5019"/>
    <mergeCell ref="B5095:B5120"/>
    <mergeCell ref="C5095:C5120"/>
    <mergeCell ref="B5121:B5133"/>
    <mergeCell ref="C5121:C5133"/>
    <mergeCell ref="B5134:B5139"/>
    <mergeCell ref="C5134:C5139"/>
    <mergeCell ref="B5047:B5062"/>
    <mergeCell ref="C5047:C5062"/>
    <mergeCell ref="B5063:B5089"/>
    <mergeCell ref="C5063:C5089"/>
    <mergeCell ref="B5090:B5094"/>
    <mergeCell ref="C5090:C5094"/>
    <mergeCell ref="B5218:B5237"/>
    <mergeCell ref="C5218:C5237"/>
    <mergeCell ref="B5238:B5240"/>
    <mergeCell ref="C5238:C5240"/>
    <mergeCell ref="B5241:B5243"/>
    <mergeCell ref="C5241:C5243"/>
    <mergeCell ref="B5140:B5171"/>
    <mergeCell ref="C5140:C5171"/>
    <mergeCell ref="B5172:B5175"/>
    <mergeCell ref="C5172:C5175"/>
    <mergeCell ref="B5176:B5217"/>
    <mergeCell ref="C5176:C5217"/>
    <mergeCell ref="B5259:B5262"/>
    <mergeCell ref="C5259:C5262"/>
    <mergeCell ref="B5263:B5266"/>
    <mergeCell ref="C5263:C5266"/>
    <mergeCell ref="B5267:B5271"/>
    <mergeCell ref="C5267:C5271"/>
    <mergeCell ref="B5244:B5248"/>
    <mergeCell ref="C5244:C5248"/>
    <mergeCell ref="B5249:B5251"/>
    <mergeCell ref="C5249:C5251"/>
    <mergeCell ref="B5252:B5258"/>
    <mergeCell ref="C5252:C5258"/>
    <mergeCell ref="B5310:B5335"/>
    <mergeCell ref="C5310:C5335"/>
    <mergeCell ref="B5336:B5348"/>
    <mergeCell ref="C5336:C5348"/>
    <mergeCell ref="B5349:B5350"/>
    <mergeCell ref="C5349:C5350"/>
    <mergeCell ref="B5272:B5278"/>
    <mergeCell ref="C5272:C5278"/>
    <mergeCell ref="B5279:B5289"/>
    <mergeCell ref="C5279:C5289"/>
    <mergeCell ref="B5290:B5309"/>
    <mergeCell ref="C5290:C5309"/>
    <mergeCell ref="B5361:B5366"/>
    <mergeCell ref="C5361:C5366"/>
    <mergeCell ref="B5367:B5369"/>
    <mergeCell ref="C5367:C5369"/>
    <mergeCell ref="B5370:B5375"/>
    <mergeCell ref="C5370:C5375"/>
    <mergeCell ref="B5351:B5352"/>
    <mergeCell ref="C5351:C5352"/>
    <mergeCell ref="B5353:B5356"/>
    <mergeCell ref="C5353:C5356"/>
    <mergeCell ref="B5357:B5360"/>
    <mergeCell ref="C5357:C5360"/>
    <mergeCell ref="B5416:B5496"/>
    <mergeCell ref="C5416:C5496"/>
    <mergeCell ref="B5497:B5500"/>
    <mergeCell ref="C5497:C5500"/>
    <mergeCell ref="B5501:B5502"/>
    <mergeCell ref="C5501:C5502"/>
    <mergeCell ref="B5376:B5384"/>
    <mergeCell ref="C5376:C5384"/>
    <mergeCell ref="B5385:B5389"/>
    <mergeCell ref="C5385:C5389"/>
    <mergeCell ref="B5390:B5415"/>
    <mergeCell ref="C5390:C5415"/>
    <mergeCell ref="B5634:B5642"/>
    <mergeCell ref="C5634:C5642"/>
    <mergeCell ref="B5643:B5647"/>
    <mergeCell ref="C5643:C5647"/>
    <mergeCell ref="B5648:B5653"/>
    <mergeCell ref="C5648:C5653"/>
    <mergeCell ref="B5503:B5620"/>
    <mergeCell ref="C5503:C5620"/>
    <mergeCell ref="B5621:B5625"/>
    <mergeCell ref="C5621:C5625"/>
    <mergeCell ref="B5626:B5633"/>
    <mergeCell ref="C5626:C5633"/>
    <mergeCell ref="B5683:B5698"/>
    <mergeCell ref="C5683:C5698"/>
    <mergeCell ref="B5699:B5701"/>
    <mergeCell ref="C5699:C5701"/>
    <mergeCell ref="B5702:B5706"/>
    <mergeCell ref="C5702:C5706"/>
    <mergeCell ref="B5654:B5667"/>
    <mergeCell ref="C5654:C5667"/>
    <mergeCell ref="B5668:B5677"/>
    <mergeCell ref="C5668:C5677"/>
    <mergeCell ref="B5678:B5682"/>
    <mergeCell ref="C5678:C5682"/>
    <mergeCell ref="B5716:B5725"/>
    <mergeCell ref="C5716:C5725"/>
    <mergeCell ref="B5726:B5731"/>
    <mergeCell ref="C5726:C5731"/>
    <mergeCell ref="B5732:B5781"/>
    <mergeCell ref="C5732:C5781"/>
    <mergeCell ref="B5707:B5709"/>
    <mergeCell ref="C5707:C5709"/>
    <mergeCell ref="B5710:B5712"/>
    <mergeCell ref="C5710:C5712"/>
    <mergeCell ref="B5713:B5715"/>
    <mergeCell ref="C5713:C5715"/>
    <mergeCell ref="B5800:B5801"/>
    <mergeCell ref="C5800:C5801"/>
    <mergeCell ref="B5802:B5803"/>
    <mergeCell ref="C5802:C5803"/>
    <mergeCell ref="B5804:B5806"/>
    <mergeCell ref="C5804:C5806"/>
    <mergeCell ref="B5782:B5787"/>
    <mergeCell ref="C5782:C5787"/>
    <mergeCell ref="B5788:B5790"/>
    <mergeCell ref="C5788:C5790"/>
    <mergeCell ref="B5791:B5799"/>
    <mergeCell ref="C5791:C5799"/>
    <mergeCell ref="B5846:B5848"/>
    <mergeCell ref="C5846:C5848"/>
    <mergeCell ref="B5849:B5862"/>
    <mergeCell ref="C5849:C5862"/>
    <mergeCell ref="B5863:B5867"/>
    <mergeCell ref="C5863:C5867"/>
    <mergeCell ref="B5807:B5819"/>
    <mergeCell ref="C5807:C5819"/>
    <mergeCell ref="B5820:B5840"/>
    <mergeCell ref="C5820:C5840"/>
    <mergeCell ref="B5841:B5845"/>
    <mergeCell ref="C5841:C5845"/>
    <mergeCell ref="B5894:B5897"/>
    <mergeCell ref="C5894:C5897"/>
    <mergeCell ref="B5898:B5901"/>
    <mergeCell ref="C5898:C5901"/>
    <mergeCell ref="B5902:B5918"/>
    <mergeCell ref="C5902:C5918"/>
    <mergeCell ref="B5868:B5878"/>
    <mergeCell ref="C5868:C5878"/>
    <mergeCell ref="B5879:B5888"/>
    <mergeCell ref="C5879:C5888"/>
    <mergeCell ref="B5889:B5893"/>
    <mergeCell ref="C5889:C5893"/>
    <mergeCell ref="B5972:B5979"/>
    <mergeCell ref="C5972:C5979"/>
    <mergeCell ref="B5980:B5997"/>
    <mergeCell ref="C5980:C5997"/>
    <mergeCell ref="B5998:B6006"/>
    <mergeCell ref="C5998:C6006"/>
    <mergeCell ref="B5919:B5961"/>
    <mergeCell ref="C5919:C5961"/>
    <mergeCell ref="B5962:B5966"/>
    <mergeCell ref="C5962:C5966"/>
    <mergeCell ref="B5967:B5971"/>
    <mergeCell ref="C5967:C5971"/>
    <mergeCell ref="B6022:B6029"/>
    <mergeCell ref="C6022:C6029"/>
    <mergeCell ref="B6030:B6034"/>
    <mergeCell ref="C6030:C6034"/>
    <mergeCell ref="B6035:B6083"/>
    <mergeCell ref="C6035:C6083"/>
    <mergeCell ref="B6007:B6009"/>
    <mergeCell ref="C6007:C6009"/>
    <mergeCell ref="B6010:B6017"/>
    <mergeCell ref="C6010:C6017"/>
    <mergeCell ref="B6018:B6021"/>
    <mergeCell ref="C6018:C6021"/>
    <mergeCell ref="B6109:B6120"/>
    <mergeCell ref="C6109:C6120"/>
    <mergeCell ref="B6121:B6123"/>
    <mergeCell ref="C6121:C6123"/>
    <mergeCell ref="B6124:B6133"/>
    <mergeCell ref="C6124:C6133"/>
    <mergeCell ref="B6084:B6088"/>
    <mergeCell ref="C6084:C6088"/>
    <mergeCell ref="B6089:B6103"/>
    <mergeCell ref="C6089:C6103"/>
    <mergeCell ref="B6104:B6108"/>
    <mergeCell ref="C6104:C6108"/>
    <mergeCell ref="B6142:B6150"/>
    <mergeCell ref="C6142:C6150"/>
    <mergeCell ref="B6151:B6168"/>
    <mergeCell ref="C6151:C6168"/>
    <mergeCell ref="B6169:B6174"/>
    <mergeCell ref="C6169:C6174"/>
    <mergeCell ref="B6134:B6135"/>
    <mergeCell ref="C6134:C6135"/>
    <mergeCell ref="B6136:B6138"/>
    <mergeCell ref="C6136:C6138"/>
    <mergeCell ref="B6139:B6141"/>
    <mergeCell ref="C6139:C6141"/>
    <mergeCell ref="B6223:B6227"/>
    <mergeCell ref="C6223:C6227"/>
    <mergeCell ref="B6228:B6237"/>
    <mergeCell ref="C6228:C6237"/>
    <mergeCell ref="B6238:B6257"/>
    <mergeCell ref="C6238:C6257"/>
    <mergeCell ref="B6175:B6178"/>
    <mergeCell ref="C6175:C6178"/>
    <mergeCell ref="B6179:B6219"/>
    <mergeCell ref="C6179:C6219"/>
    <mergeCell ref="B6220:B6222"/>
    <mergeCell ref="C6220:C6222"/>
    <mergeCell ref="B6272:B6281"/>
    <mergeCell ref="C6272:C6281"/>
    <mergeCell ref="B6282:B6292"/>
    <mergeCell ref="C6282:C6292"/>
    <mergeCell ref="B6293:B6301"/>
    <mergeCell ref="C6293:C6301"/>
    <mergeCell ref="B6258:B6262"/>
    <mergeCell ref="C6258:C6262"/>
    <mergeCell ref="B6263:B6266"/>
    <mergeCell ref="C6263:C6266"/>
    <mergeCell ref="B6267:B6271"/>
    <mergeCell ref="C6267:C6271"/>
    <mergeCell ref="B6341:B6343"/>
    <mergeCell ref="C6341:C6343"/>
    <mergeCell ref="B6344:B6345"/>
    <mergeCell ref="C6344:C6345"/>
    <mergeCell ref="B6346:B6348"/>
    <mergeCell ref="C6346:C6348"/>
    <mergeCell ref="B6302:B6311"/>
    <mergeCell ref="C6302:C6311"/>
    <mergeCell ref="B6312:B6337"/>
    <mergeCell ref="C6312:C6337"/>
    <mergeCell ref="B6338:B6340"/>
    <mergeCell ref="C6338:C6340"/>
    <mergeCell ref="B6384:B6394"/>
    <mergeCell ref="C6384:C6394"/>
    <mergeCell ref="B6395:B6746"/>
    <mergeCell ref="C6395:C6746"/>
    <mergeCell ref="B6747:B6759"/>
    <mergeCell ref="C6747:C6759"/>
    <mergeCell ref="B6349:B6351"/>
    <mergeCell ref="C6349:C6351"/>
    <mergeCell ref="B6352:B6361"/>
    <mergeCell ref="C6352:C6361"/>
    <mergeCell ref="B6362:B6383"/>
    <mergeCell ref="C6362:C6383"/>
    <mergeCell ref="B6772:B6773"/>
    <mergeCell ref="C6772:C6773"/>
    <mergeCell ref="B6774:B6825"/>
    <mergeCell ref="C6774:C6825"/>
    <mergeCell ref="B6826:B6839"/>
    <mergeCell ref="C6826:C6839"/>
    <mergeCell ref="B6760:B6765"/>
    <mergeCell ref="C6760:C6765"/>
    <mergeCell ref="B6766:B6768"/>
    <mergeCell ref="C6766:C6768"/>
    <mergeCell ref="B6769:B6771"/>
    <mergeCell ref="C6769:C6771"/>
    <mergeCell ref="B6872:B6907"/>
    <mergeCell ref="C6872:C6907"/>
    <mergeCell ref="B6908:B6921"/>
    <mergeCell ref="C6908:C6921"/>
    <mergeCell ref="B6922:B6929"/>
    <mergeCell ref="C6922:C6929"/>
    <mergeCell ref="B6840:B6845"/>
    <mergeCell ref="C6840:C6845"/>
    <mergeCell ref="B6846:B6852"/>
    <mergeCell ref="C6846:C6852"/>
    <mergeCell ref="B6853:B6871"/>
    <mergeCell ref="C6853:C6871"/>
    <mergeCell ref="B6948:B6952"/>
    <mergeCell ref="C6948:C6952"/>
    <mergeCell ref="B6953:B6954"/>
    <mergeCell ref="C6953:C6954"/>
    <mergeCell ref="B6955:B6958"/>
    <mergeCell ref="C6955:C6958"/>
    <mergeCell ref="B6930:B6940"/>
    <mergeCell ref="C6930:C6940"/>
    <mergeCell ref="B6941:B6944"/>
    <mergeCell ref="C6941:C6944"/>
    <mergeCell ref="B6945:B6947"/>
    <mergeCell ref="C6945:C6947"/>
    <mergeCell ref="B6991:B6995"/>
    <mergeCell ref="C6991:C6995"/>
    <mergeCell ref="B6996:B6998"/>
    <mergeCell ref="C6996:C6998"/>
    <mergeCell ref="B6999:B7005"/>
    <mergeCell ref="C6999:C7005"/>
    <mergeCell ref="B6959:B6982"/>
    <mergeCell ref="C6959:C6982"/>
    <mergeCell ref="B6983:B6987"/>
    <mergeCell ref="C6983:C6987"/>
    <mergeCell ref="B6988:B6990"/>
    <mergeCell ref="C6988:C6990"/>
    <mergeCell ref="B7033:B7042"/>
    <mergeCell ref="C7033:C7042"/>
    <mergeCell ref="B7043:B7049"/>
    <mergeCell ref="C7043:C7049"/>
    <mergeCell ref="B7050:B7067"/>
    <mergeCell ref="C7050:C7067"/>
    <mergeCell ref="B7006:B7010"/>
    <mergeCell ref="C7006:C7010"/>
    <mergeCell ref="B7011:B7019"/>
    <mergeCell ref="C7011:C7019"/>
    <mergeCell ref="B7020:B7032"/>
    <mergeCell ref="C7020:C7032"/>
    <mergeCell ref="B7086:B7089"/>
    <mergeCell ref="C7086:C7089"/>
    <mergeCell ref="B7090:B7094"/>
    <mergeCell ref="C7090:C7094"/>
    <mergeCell ref="B7095:B7217"/>
    <mergeCell ref="C7095:C7217"/>
    <mergeCell ref="B7068:B7074"/>
    <mergeCell ref="C7068:C7074"/>
    <mergeCell ref="B7075:B7078"/>
    <mergeCell ref="C7075:C7078"/>
    <mergeCell ref="B7079:B7085"/>
    <mergeCell ref="C7079:C7085"/>
    <mergeCell ref="B7231:B7241"/>
    <mergeCell ref="C7231:C7241"/>
    <mergeCell ref="B7242:B7256"/>
    <mergeCell ref="C7242:C7256"/>
    <mergeCell ref="B7257:B7268"/>
    <mergeCell ref="C7257:C7268"/>
    <mergeCell ref="B7218:B7220"/>
    <mergeCell ref="C7218:C7220"/>
    <mergeCell ref="B7221:B7227"/>
    <mergeCell ref="C7221:C7227"/>
    <mergeCell ref="B7228:B7230"/>
    <mergeCell ref="C7228:C7230"/>
    <mergeCell ref="B7283:B7285"/>
    <mergeCell ref="C7283:C7285"/>
    <mergeCell ref="B7286:B7294"/>
    <mergeCell ref="C7286:C7294"/>
    <mergeCell ref="B7295:B7299"/>
    <mergeCell ref="C7295:C7299"/>
    <mergeCell ref="B7269:B7271"/>
    <mergeCell ref="C7269:C7271"/>
    <mergeCell ref="B7272:B7276"/>
    <mergeCell ref="C7272:C7276"/>
    <mergeCell ref="B7277:B7282"/>
    <mergeCell ref="C7277:C7282"/>
    <mergeCell ref="B7312:B7315"/>
    <mergeCell ref="C7312:C7315"/>
    <mergeCell ref="B7316:B7324"/>
    <mergeCell ref="C7316:C7324"/>
    <mergeCell ref="B7325:B7331"/>
    <mergeCell ref="C7325:C7331"/>
    <mergeCell ref="B7300:B7301"/>
    <mergeCell ref="C7300:C7301"/>
    <mergeCell ref="B7302:B7307"/>
    <mergeCell ref="C7302:C7307"/>
    <mergeCell ref="B7308:B7311"/>
    <mergeCell ref="C7308:C7311"/>
    <mergeCell ref="B7457:B7461"/>
    <mergeCell ref="C7457:C7461"/>
    <mergeCell ref="B7462:B7475"/>
    <mergeCell ref="C7462:C7475"/>
    <mergeCell ref="B7476:B7479"/>
    <mergeCell ref="C7476:C7479"/>
    <mergeCell ref="B7332:B7341"/>
    <mergeCell ref="C7332:C7341"/>
    <mergeCell ref="B7342:B7352"/>
    <mergeCell ref="C7342:C7352"/>
    <mergeCell ref="B7353:B7456"/>
    <mergeCell ref="C7353:C7456"/>
    <mergeCell ref="B7488:B7493"/>
    <mergeCell ref="C7488:C7493"/>
    <mergeCell ref="B7494:B7503"/>
    <mergeCell ref="C7494:C7503"/>
    <mergeCell ref="B7504:B7508"/>
    <mergeCell ref="C7504:C7508"/>
    <mergeCell ref="B7480:B7481"/>
    <mergeCell ref="C7480:C7481"/>
    <mergeCell ref="B7482:B7483"/>
    <mergeCell ref="C7482:C7483"/>
    <mergeCell ref="B7484:B7487"/>
    <mergeCell ref="C7484:C7487"/>
    <mergeCell ref="B7552:B7557"/>
    <mergeCell ref="C7552:C7557"/>
    <mergeCell ref="B7539:B7541"/>
    <mergeCell ref="C7539:C7541"/>
    <mergeCell ref="B7542:B7544"/>
    <mergeCell ref="C7542:C7544"/>
    <mergeCell ref="B7545:B7551"/>
    <mergeCell ref="C7545:C7551"/>
    <mergeCell ref="B7509:B7510"/>
    <mergeCell ref="C7509:C7510"/>
    <mergeCell ref="B7511:B7524"/>
    <mergeCell ref="C7511:C7524"/>
    <mergeCell ref="B7525:B7538"/>
    <mergeCell ref="C7525:C7538"/>
  </mergeCells>
  <pageMargins left="0.75" right="0.75" top="1" bottom="1" header="0.5" footer="0.5"/>
  <pageSetup orientation="portrait" verticalDpi="1200" r:id="rId1"/>
  <headerFooter alignWithMargins="0"/>
</worksheet>
</file>

<file path=xl/worksheets/sheet6.xml><?xml version="1.0" encoding="utf-8"?>
<worksheet xmlns="http://schemas.openxmlformats.org/spreadsheetml/2006/main" xmlns:r="http://schemas.openxmlformats.org/officeDocument/2006/relationships">
  <sheetPr>
    <tabColor indexed="31"/>
  </sheetPr>
  <dimension ref="A1:X55"/>
  <sheetViews>
    <sheetView zoomScale="80" zoomScaleNormal="80" workbookViewId="0">
      <pane xSplit="3" ySplit="1" topLeftCell="D2" activePane="bottomRight" state="frozen"/>
      <selection pane="topRight" activeCell="E1" sqref="E1"/>
      <selection pane="bottomLeft" activeCell="A2" sqref="A2"/>
      <selection pane="bottomRight" activeCell="C1" sqref="C1"/>
    </sheetView>
  </sheetViews>
  <sheetFormatPr baseColWidth="10" defaultColWidth="11.42578125" defaultRowHeight="12.75"/>
  <cols>
    <col min="1" max="1" width="30.7109375" style="20" customWidth="1"/>
    <col min="2" max="2" width="22.7109375" style="6" customWidth="1"/>
    <col min="3" max="3" width="30.7109375" style="17" customWidth="1"/>
    <col min="4" max="4" width="60.7109375" style="10" customWidth="1"/>
    <col min="5" max="5" width="15.7109375" style="10" customWidth="1"/>
    <col min="6" max="6" width="13.7109375" style="10" customWidth="1"/>
    <col min="7" max="7" width="12" style="19" customWidth="1"/>
    <col min="8" max="8" width="9.85546875" style="25" customWidth="1"/>
    <col min="9" max="9" width="42.7109375" style="300" hidden="1" customWidth="1"/>
    <col min="10" max="10" width="6.85546875" style="165" customWidth="1"/>
    <col min="11" max="11" width="8" style="38" customWidth="1"/>
    <col min="12" max="23" width="2.85546875" style="8" customWidth="1"/>
    <col min="24" max="16384" width="11.42578125" style="8"/>
  </cols>
  <sheetData>
    <row r="1" spans="1:24" s="7" customFormat="1" ht="30" customHeight="1">
      <c r="A1" s="32" t="s">
        <v>83</v>
      </c>
      <c r="B1" s="35" t="s">
        <v>41</v>
      </c>
      <c r="C1" s="27" t="s">
        <v>38</v>
      </c>
      <c r="D1" s="27" t="s">
        <v>39</v>
      </c>
      <c r="E1" s="27" t="s">
        <v>37</v>
      </c>
      <c r="F1" s="28" t="s">
        <v>35</v>
      </c>
      <c r="G1" s="274" t="s">
        <v>120</v>
      </c>
      <c r="H1" s="273" t="s">
        <v>33749</v>
      </c>
      <c r="I1" s="299"/>
      <c r="J1" s="36" t="s">
        <v>1241</v>
      </c>
      <c r="K1" s="37" t="s">
        <v>112</v>
      </c>
      <c r="L1" s="45"/>
      <c r="M1" s="45"/>
      <c r="N1" s="45"/>
      <c r="O1" s="45"/>
      <c r="P1" s="45"/>
      <c r="Q1" s="45"/>
      <c r="R1" s="45"/>
      <c r="S1" s="45"/>
      <c r="T1" s="45"/>
      <c r="U1" s="45"/>
      <c r="V1" s="45"/>
      <c r="W1" s="46"/>
      <c r="X1" s="24"/>
    </row>
    <row r="2" spans="1:24" ht="25.5">
      <c r="A2" s="302" t="str">
        <f>HYPERLINK(I2,B2)</f>
        <v>acceleration</v>
      </c>
      <c r="B2" s="6" t="s">
        <v>148</v>
      </c>
      <c r="C2" s="17" t="s">
        <v>149</v>
      </c>
      <c r="D2" s="10" t="s">
        <v>150</v>
      </c>
      <c r="E2" s="55"/>
      <c r="F2" s="55"/>
      <c r="G2" s="71" t="str">
        <f>HYPERLINK("[#]UnitsOfMeasure!A2:G2","&lt;values&gt;")</f>
        <v>&lt;values&gt;</v>
      </c>
      <c r="H2" s="25">
        <v>70001</v>
      </c>
      <c r="I2" s="300" t="str">
        <f>CONCATENATE([1]Cover!$D$6,"fdd/view?i=",H2)</f>
        <v>https://www.dgiwg.org/FAD/fdd/view?i=70001</v>
      </c>
      <c r="J2" s="202"/>
      <c r="K2" s="56" t="s">
        <v>151</v>
      </c>
      <c r="X2" s="23"/>
    </row>
    <row r="3" spans="1:24">
      <c r="A3" s="302" t="str">
        <f t="shared" ref="A3:A54" si="0">HYPERLINK(I3,B3)</f>
        <v>amountOfSubstance</v>
      </c>
      <c r="B3" s="6" t="s">
        <v>152</v>
      </c>
      <c r="C3" s="17" t="s">
        <v>153</v>
      </c>
      <c r="D3" s="10" t="s">
        <v>154</v>
      </c>
      <c r="E3" s="55"/>
      <c r="F3" s="55"/>
      <c r="G3" s="71" t="str">
        <f>HYPERLINK("[#]UnitsOfMeasure!A6:G6","&lt;values&gt;")</f>
        <v>&lt;values&gt;</v>
      </c>
      <c r="H3" s="25">
        <v>70002</v>
      </c>
      <c r="I3" s="300" t="str">
        <f>CONCATENATE([1]Cover!$D$6,"fdd/view?i=",H3)</f>
        <v>https://www.dgiwg.org/FAD/fdd/view?i=70002</v>
      </c>
      <c r="J3" s="188"/>
      <c r="K3" s="56" t="s">
        <v>151</v>
      </c>
      <c r="X3" s="23"/>
    </row>
    <row r="4" spans="1:24" ht="25.5">
      <c r="A4" s="302" t="str">
        <f t="shared" si="0"/>
        <v>area</v>
      </c>
      <c r="B4" s="6" t="s">
        <v>155</v>
      </c>
      <c r="C4" s="17" t="s">
        <v>156</v>
      </c>
      <c r="D4" s="10" t="s">
        <v>157</v>
      </c>
      <c r="E4" s="55"/>
      <c r="F4" s="55"/>
      <c r="G4" s="71" t="str">
        <f>HYPERLINK("[#]UnitsOfMeasure!A7:G7","&lt;values&gt;")</f>
        <v>&lt;values&gt;</v>
      </c>
      <c r="H4" s="25">
        <v>70003</v>
      </c>
      <c r="I4" s="300" t="str">
        <f>CONCATENATE([1]Cover!$D$6,"fdd/view?i=",H4)</f>
        <v>https://www.dgiwg.org/FAD/fdd/view?i=70003</v>
      </c>
      <c r="J4" s="188"/>
      <c r="K4" s="56" t="s">
        <v>151</v>
      </c>
      <c r="X4" s="23"/>
    </row>
    <row r="5" spans="1:24" ht="25.5">
      <c r="A5" s="302" t="str">
        <f t="shared" si="0"/>
        <v>capacitance</v>
      </c>
      <c r="B5" s="6" t="s">
        <v>158</v>
      </c>
      <c r="C5" s="17" t="s">
        <v>159</v>
      </c>
      <c r="D5" s="10" t="s">
        <v>160</v>
      </c>
      <c r="E5" s="55"/>
      <c r="F5" s="55"/>
      <c r="G5" s="71" t="str">
        <f>HYPERLINK("[#]UnitsOfMeasure!A19:G19","&lt;values&gt;")</f>
        <v>&lt;values&gt;</v>
      </c>
      <c r="H5" s="25">
        <v>70004</v>
      </c>
      <c r="I5" s="300" t="str">
        <f>CONCATENATE([1]Cover!$D$6,"fdd/view?i=",H5)</f>
        <v>https://www.dgiwg.org/FAD/fdd/view?i=70004</v>
      </c>
      <c r="J5" s="188"/>
      <c r="K5" s="56" t="s">
        <v>151</v>
      </c>
      <c r="X5" s="23"/>
    </row>
    <row r="6" spans="1:24" ht="25.5">
      <c r="A6" s="302" t="str">
        <f t="shared" si="0"/>
        <v>electricCharge</v>
      </c>
      <c r="B6" s="6" t="s">
        <v>161</v>
      </c>
      <c r="C6" s="17" t="s">
        <v>162</v>
      </c>
      <c r="D6" s="10" t="s">
        <v>163</v>
      </c>
      <c r="E6" s="55"/>
      <c r="F6" s="55"/>
      <c r="G6" s="71" t="str">
        <f>HYPERLINK("[#]UnitsOfMeasure!A23:G23","&lt;values&gt;")</f>
        <v>&lt;values&gt;</v>
      </c>
      <c r="H6" s="25">
        <v>70005</v>
      </c>
      <c r="I6" s="300" t="str">
        <f>CONCATENATE([1]Cover!$D$6,"fdd/view?i=",H6)</f>
        <v>https://www.dgiwg.org/FAD/fdd/view?i=70005</v>
      </c>
      <c r="J6" s="188"/>
      <c r="K6" s="56" t="s">
        <v>151</v>
      </c>
      <c r="X6" s="23"/>
    </row>
    <row r="7" spans="1:24" ht="25.5">
      <c r="A7" s="302" t="str">
        <f t="shared" si="0"/>
        <v>electricConductance</v>
      </c>
      <c r="B7" s="6" t="s">
        <v>164</v>
      </c>
      <c r="C7" s="17" t="s">
        <v>165</v>
      </c>
      <c r="D7" s="10" t="s">
        <v>166</v>
      </c>
      <c r="E7" s="55"/>
      <c r="F7" s="55"/>
      <c r="G7" s="71" t="str">
        <f>HYPERLINK("[#]UnitsOfMeasure!A27:G27","&lt;values&gt;")</f>
        <v>&lt;values&gt;</v>
      </c>
      <c r="H7" s="25">
        <v>70006</v>
      </c>
      <c r="I7" s="300" t="str">
        <f>CONCATENATE([1]Cover!$D$6,"fdd/view?i=",H7)</f>
        <v>https://www.dgiwg.org/FAD/fdd/view?i=70006</v>
      </c>
      <c r="J7" s="188"/>
      <c r="K7" s="56" t="s">
        <v>151</v>
      </c>
      <c r="X7" s="23"/>
    </row>
    <row r="8" spans="1:24" ht="25.5">
      <c r="A8" s="302" t="str">
        <f t="shared" si="0"/>
        <v>electricConductivity</v>
      </c>
      <c r="B8" s="6" t="s">
        <v>167</v>
      </c>
      <c r="C8" s="17" t="s">
        <v>168</v>
      </c>
      <c r="D8" s="10" t="s">
        <v>169</v>
      </c>
      <c r="E8" s="55"/>
      <c r="F8" s="55"/>
      <c r="G8" s="71" t="str">
        <f>HYPERLINK("[#]UnitsOfMeasure!A30:G30","&lt;values&gt;")</f>
        <v>&lt;values&gt;</v>
      </c>
      <c r="H8" s="25">
        <v>70378</v>
      </c>
      <c r="I8" s="300" t="str">
        <f>CONCATENATE([1]Cover!$D$6,"fdd/view?i=",H8)</f>
        <v>https://www.dgiwg.org/FAD/fdd/view?i=70378</v>
      </c>
      <c r="J8" s="188"/>
      <c r="K8" s="56" t="s">
        <v>151</v>
      </c>
      <c r="X8" s="23"/>
    </row>
    <row r="9" spans="1:24">
      <c r="A9" s="302" t="str">
        <f t="shared" si="0"/>
        <v>electricCurrent</v>
      </c>
      <c r="B9" s="6" t="s">
        <v>170</v>
      </c>
      <c r="C9" s="17" t="s">
        <v>171</v>
      </c>
      <c r="D9" s="10" t="s">
        <v>172</v>
      </c>
      <c r="E9" s="55"/>
      <c r="F9" s="55"/>
      <c r="G9" s="71" t="str">
        <f>HYPERLINK("[#]UnitsOfMeasure!A38:G38","&lt;values&gt;")</f>
        <v>&lt;values&gt;</v>
      </c>
      <c r="H9" s="25">
        <v>70007</v>
      </c>
      <c r="I9" s="300" t="str">
        <f>CONCATENATE([1]Cover!$D$6,"fdd/view?i=",H9)</f>
        <v>https://www.dgiwg.org/FAD/fdd/view?i=70007</v>
      </c>
      <c r="J9" s="188"/>
      <c r="K9" s="56" t="s">
        <v>151</v>
      </c>
      <c r="X9" s="23"/>
    </row>
    <row r="10" spans="1:24">
      <c r="A10" s="302" t="str">
        <f t="shared" si="0"/>
        <v>electricResistance</v>
      </c>
      <c r="B10" s="6" t="s">
        <v>173</v>
      </c>
      <c r="C10" s="17" t="s">
        <v>174</v>
      </c>
      <c r="D10" s="10" t="s">
        <v>175</v>
      </c>
      <c r="E10" s="55"/>
      <c r="F10" s="55"/>
      <c r="G10" s="71" t="str">
        <f>HYPERLINK("[#]UnitsOfMeasure!A42:G42","&lt;values&gt;")</f>
        <v>&lt;values&gt;</v>
      </c>
      <c r="H10" s="25">
        <v>70008</v>
      </c>
      <c r="I10" s="300" t="str">
        <f>CONCATENATE([1]Cover!$D$6,"fdd/view?i=",H10)</f>
        <v>https://www.dgiwg.org/FAD/fdd/view?i=70008</v>
      </c>
      <c r="J10" s="188"/>
      <c r="K10" s="56" t="s">
        <v>151</v>
      </c>
      <c r="X10" s="23"/>
    </row>
    <row r="11" spans="1:24" ht="25.5">
      <c r="A11" s="302" t="str">
        <f t="shared" si="0"/>
        <v>electricResistivity</v>
      </c>
      <c r="B11" s="6" t="s">
        <v>176</v>
      </c>
      <c r="C11" s="17" t="s">
        <v>177</v>
      </c>
      <c r="D11" s="10" t="s">
        <v>178</v>
      </c>
      <c r="E11" s="55"/>
      <c r="F11" s="55"/>
      <c r="G11" s="71" t="str">
        <f>HYPERLINK("[#]UnitsOfMeasure!A45:G45","&lt;values&gt;")</f>
        <v>&lt;values&gt;</v>
      </c>
      <c r="H11" s="25">
        <v>70379</v>
      </c>
      <c r="I11" s="300" t="str">
        <f>CONCATENATE([1]Cover!$D$6,"fdd/view?i=",H11)</f>
        <v>https://www.dgiwg.org/FAD/fdd/view?i=70379</v>
      </c>
      <c r="J11" s="188"/>
      <c r="K11" s="56" t="s">
        <v>151</v>
      </c>
      <c r="X11" s="23"/>
    </row>
    <row r="12" spans="1:24">
      <c r="A12" s="302" t="str">
        <f t="shared" si="0"/>
        <v>electromotiveForce</v>
      </c>
      <c r="B12" s="6" t="s">
        <v>179</v>
      </c>
      <c r="C12" s="17" t="s">
        <v>180</v>
      </c>
      <c r="D12" s="10" t="s">
        <v>181</v>
      </c>
      <c r="E12" s="55"/>
      <c r="F12" s="55"/>
      <c r="G12" s="71" t="str">
        <f>HYPERLINK("[#]UnitsOfMeasure!A49:G49","&lt;values&gt;")</f>
        <v>&lt;values&gt;</v>
      </c>
      <c r="H12" s="25">
        <v>70009</v>
      </c>
      <c r="I12" s="300" t="str">
        <f>CONCATENATE([1]Cover!$D$6,"fdd/view?i=",H12)</f>
        <v>https://www.dgiwg.org/FAD/fdd/view?i=70009</v>
      </c>
      <c r="J12" s="188"/>
      <c r="K12" s="56" t="s">
        <v>151</v>
      </c>
      <c r="X12" s="23"/>
    </row>
    <row r="13" spans="1:24" ht="25.5">
      <c r="A13" s="302" t="str">
        <f t="shared" si="0"/>
        <v>energy</v>
      </c>
      <c r="B13" s="6" t="s">
        <v>182</v>
      </c>
      <c r="C13" s="17" t="s">
        <v>183</v>
      </c>
      <c r="D13" s="10" t="s">
        <v>184</v>
      </c>
      <c r="E13" s="55"/>
      <c r="F13" s="10" t="s">
        <v>185</v>
      </c>
      <c r="G13" s="71" t="str">
        <f>HYPERLINK("[#]UnitsOfMeasure!A53:G53","&lt;values&gt;")</f>
        <v>&lt;values&gt;</v>
      </c>
      <c r="H13" s="25">
        <v>70010</v>
      </c>
      <c r="I13" s="300" t="str">
        <f>CONCATENATE([1]Cover!$D$6,"fdd/view?i=",H13)</f>
        <v>https://www.dgiwg.org/FAD/fdd/view?i=70010</v>
      </c>
      <c r="J13" s="188"/>
      <c r="K13" s="56" t="s">
        <v>151</v>
      </c>
      <c r="X13" s="23"/>
    </row>
    <row r="14" spans="1:24" ht="25.5">
      <c r="A14" s="302" t="str">
        <f t="shared" si="0"/>
        <v>force</v>
      </c>
      <c r="B14" s="6" t="s">
        <v>186</v>
      </c>
      <c r="C14" s="17" t="s">
        <v>187</v>
      </c>
      <c r="D14" s="10" t="s">
        <v>188</v>
      </c>
      <c r="E14" s="55"/>
      <c r="F14" s="55"/>
      <c r="G14" s="71" t="str">
        <f>HYPERLINK("[#]UnitsOfMeasure!A63:G63","&lt;values&gt;")</f>
        <v>&lt;values&gt;</v>
      </c>
      <c r="H14" s="25">
        <v>70011</v>
      </c>
      <c r="I14" s="300" t="str">
        <f>CONCATENATE([1]Cover!$D$6,"fdd/view?i=",H14)</f>
        <v>https://www.dgiwg.org/FAD/fdd/view?i=70011</v>
      </c>
      <c r="J14" s="188"/>
      <c r="K14" s="56" t="s">
        <v>151</v>
      </c>
      <c r="X14" s="23"/>
    </row>
    <row r="15" spans="1:24">
      <c r="A15" s="302" t="str">
        <f t="shared" si="0"/>
        <v>frequency</v>
      </c>
      <c r="B15" s="6" t="s">
        <v>189</v>
      </c>
      <c r="C15" s="17" t="s">
        <v>190</v>
      </c>
      <c r="D15" s="10" t="s">
        <v>191</v>
      </c>
      <c r="E15" s="55"/>
      <c r="F15" s="55"/>
      <c r="G15" s="71" t="str">
        <f>HYPERLINK("[#]UnitsOfMeasure!A68:G68","&lt;values&gt;")</f>
        <v>&lt;values&gt;</v>
      </c>
      <c r="H15" s="25">
        <v>70012</v>
      </c>
      <c r="I15" s="300" t="str">
        <f>CONCATENATE([1]Cover!$D$6,"fdd/view?i=",H15)</f>
        <v>https://www.dgiwg.org/FAD/fdd/view?i=70012</v>
      </c>
      <c r="J15" s="188"/>
      <c r="K15" s="56" t="s">
        <v>151</v>
      </c>
      <c r="X15" s="23"/>
    </row>
    <row r="16" spans="1:24" ht="25.5">
      <c r="A16" s="302" t="str">
        <f t="shared" si="0"/>
        <v>geopotentialEnergyLength</v>
      </c>
      <c r="B16" s="6" t="s">
        <v>192</v>
      </c>
      <c r="C16" s="17" t="s">
        <v>193</v>
      </c>
      <c r="D16" s="10" t="s">
        <v>194</v>
      </c>
      <c r="E16" s="55"/>
      <c r="F16" s="55"/>
      <c r="G16" s="71" t="str">
        <f>HYPERLINK("[#]UnitsOfMeasure!A72:G72","&lt;values&gt;")</f>
        <v>&lt;values&gt;</v>
      </c>
      <c r="H16" s="25">
        <v>70013</v>
      </c>
      <c r="I16" s="300" t="str">
        <f>CONCATENATE([1]Cover!$D$6,"fdd/view?i=",H16)</f>
        <v>https://www.dgiwg.org/FAD/fdd/view?i=70013</v>
      </c>
      <c r="J16" s="188"/>
      <c r="K16" s="56" t="s">
        <v>151</v>
      </c>
      <c r="X16" s="23"/>
    </row>
    <row r="17" spans="1:24" ht="25.5">
      <c r="A17" s="302" t="str">
        <f t="shared" si="0"/>
        <v>illuminance</v>
      </c>
      <c r="B17" s="6" t="s">
        <v>195</v>
      </c>
      <c r="C17" s="17" t="s">
        <v>196</v>
      </c>
      <c r="D17" s="10" t="s">
        <v>197</v>
      </c>
      <c r="E17" s="55"/>
      <c r="F17" s="10" t="s">
        <v>198</v>
      </c>
      <c r="G17" s="71" t="str">
        <f>HYPERLINK("[#]UnitsOfMeasure!A73:G73","&lt;values&gt;")</f>
        <v>&lt;values&gt;</v>
      </c>
      <c r="H17" s="25">
        <v>70014</v>
      </c>
      <c r="I17" s="300" t="str">
        <f>CONCATENATE([1]Cover!$D$6,"fdd/view?i=",H17)</f>
        <v>https://www.dgiwg.org/FAD/fdd/view?i=70014</v>
      </c>
      <c r="J17" s="188"/>
      <c r="K17" s="56" t="s">
        <v>151</v>
      </c>
      <c r="X17" s="23"/>
    </row>
    <row r="18" spans="1:24" ht="25.5">
      <c r="A18" s="302" t="str">
        <f t="shared" si="0"/>
        <v>inductance</v>
      </c>
      <c r="B18" s="6" t="s">
        <v>199</v>
      </c>
      <c r="C18" s="17" t="s">
        <v>200</v>
      </c>
      <c r="D18" s="10" t="s">
        <v>201</v>
      </c>
      <c r="E18" s="55"/>
      <c r="F18" s="55"/>
      <c r="G18" s="71" t="str">
        <f>HYPERLINK("[#]UnitsOfMeasure!A76:G76","&lt;values&gt;")</f>
        <v>&lt;values&gt;</v>
      </c>
      <c r="H18" s="25">
        <v>70015</v>
      </c>
      <c r="I18" s="300" t="str">
        <f>CONCATENATE([1]Cover!$D$6,"fdd/view?i=",H18)</f>
        <v>https://www.dgiwg.org/FAD/fdd/view?i=70015</v>
      </c>
      <c r="J18" s="188"/>
      <c r="K18" s="56" t="s">
        <v>151</v>
      </c>
      <c r="X18" s="23"/>
    </row>
    <row r="19" spans="1:24" ht="51">
      <c r="A19" s="302" t="str">
        <f t="shared" si="0"/>
        <v>irradiance</v>
      </c>
      <c r="B19" s="6" t="s">
        <v>202</v>
      </c>
      <c r="C19" s="17" t="s">
        <v>203</v>
      </c>
      <c r="D19" s="10" t="s">
        <v>204</v>
      </c>
      <c r="E19" s="55"/>
      <c r="F19" s="10" t="s">
        <v>205</v>
      </c>
      <c r="G19" s="71" t="str">
        <f>HYPERLINK("[#]UnitsOfMeasure!A78:G78","&lt;values&gt;")</f>
        <v>&lt;values&gt;</v>
      </c>
      <c r="H19" s="25">
        <v>70016</v>
      </c>
      <c r="I19" s="300" t="str">
        <f>CONCATENATE([1]Cover!$D$6,"fdd/view?i=",H19)</f>
        <v>https://www.dgiwg.org/FAD/fdd/view?i=70016</v>
      </c>
      <c r="J19" s="188"/>
      <c r="K19" s="56" t="s">
        <v>151</v>
      </c>
      <c r="X19" s="23"/>
    </row>
    <row r="20" spans="1:24">
      <c r="A20" s="302" t="str">
        <f t="shared" si="0"/>
        <v>length</v>
      </c>
      <c r="B20" s="6" t="s">
        <v>206</v>
      </c>
      <c r="C20" s="17" t="s">
        <v>40</v>
      </c>
      <c r="D20" s="10" t="s">
        <v>207</v>
      </c>
      <c r="E20" s="55"/>
      <c r="F20" s="55"/>
      <c r="G20" s="71" t="str">
        <f>HYPERLINK("[#]UnitsOfMeasure!A80:G80","&lt;values&gt;")</f>
        <v>&lt;values&gt;</v>
      </c>
      <c r="H20" s="25">
        <v>70017</v>
      </c>
      <c r="I20" s="300" t="str">
        <f>CONCATENATE([1]Cover!$D$6,"fdd/view?i=",H20)</f>
        <v>https://www.dgiwg.org/FAD/fdd/view?i=70017</v>
      </c>
      <c r="J20" s="188"/>
      <c r="K20" s="56" t="s">
        <v>151</v>
      </c>
      <c r="X20" s="23"/>
    </row>
    <row r="21" spans="1:24">
      <c r="A21" s="302" t="str">
        <f t="shared" si="0"/>
        <v>linearDensity</v>
      </c>
      <c r="B21" s="6" t="s">
        <v>208</v>
      </c>
      <c r="C21" s="17" t="s">
        <v>209</v>
      </c>
      <c r="D21" s="10" t="s">
        <v>210</v>
      </c>
      <c r="E21" s="55"/>
      <c r="F21" s="55"/>
      <c r="G21" s="71" t="str">
        <f>HYPERLINK("[#]UnitsOfMeasure!A111:G111","&lt;values&gt;")</f>
        <v>&lt;values&gt;</v>
      </c>
      <c r="H21" s="25">
        <v>70049</v>
      </c>
      <c r="I21" s="300" t="str">
        <f>CONCATENATE([1]Cover!$D$6,"fdd/view?i=",H21)</f>
        <v>https://www.dgiwg.org/FAD/fdd/view?i=70049</v>
      </c>
      <c r="J21" s="188"/>
      <c r="K21" s="56" t="s">
        <v>151</v>
      </c>
      <c r="X21" s="23"/>
    </row>
    <row r="22" spans="1:24">
      <c r="A22" s="302" t="str">
        <f t="shared" si="0"/>
        <v>linearEnergyTransfer</v>
      </c>
      <c r="B22" s="6" t="s">
        <v>211</v>
      </c>
      <c r="C22" s="17" t="s">
        <v>212</v>
      </c>
      <c r="D22" s="10" t="s">
        <v>213</v>
      </c>
      <c r="E22" s="55"/>
      <c r="F22" s="55"/>
      <c r="G22" s="71" t="str">
        <f>HYPERLINK("[#]UnitsOfMeasure!A113:G113","&lt;values&gt;")</f>
        <v>&lt;values&gt;</v>
      </c>
      <c r="H22" s="25">
        <v>70018</v>
      </c>
      <c r="I22" s="300" t="str">
        <f>CONCATENATE([1]Cover!$D$6,"fdd/view?i=",H22)</f>
        <v>https://www.dgiwg.org/FAD/fdd/view?i=70018</v>
      </c>
      <c r="J22" s="188"/>
      <c r="K22" s="56" t="s">
        <v>151</v>
      </c>
      <c r="X22" s="23"/>
    </row>
    <row r="23" spans="1:24" ht="25.5">
      <c r="A23" s="302" t="str">
        <f t="shared" si="0"/>
        <v>luminousFlux</v>
      </c>
      <c r="B23" s="6" t="s">
        <v>214</v>
      </c>
      <c r="C23" s="17" t="s">
        <v>215</v>
      </c>
      <c r="D23" s="10" t="s">
        <v>216</v>
      </c>
      <c r="E23" s="55"/>
      <c r="F23" s="55"/>
      <c r="G23" s="71" t="str">
        <f>HYPERLINK("[#]UnitsOfMeasure!A115:G115","&lt;values&gt;")</f>
        <v>&lt;values&gt;</v>
      </c>
      <c r="H23" s="25">
        <v>70019</v>
      </c>
      <c r="I23" s="300" t="str">
        <f>CONCATENATE([1]Cover!$D$6,"fdd/view?i=",H23)</f>
        <v>https://www.dgiwg.org/FAD/fdd/view?i=70019</v>
      </c>
      <c r="J23" s="188"/>
      <c r="K23" s="56" t="s">
        <v>151</v>
      </c>
      <c r="X23" s="23"/>
    </row>
    <row r="24" spans="1:24" ht="38.25">
      <c r="A24" s="302" t="str">
        <f t="shared" si="0"/>
        <v>luminousIntensity</v>
      </c>
      <c r="B24" s="6" t="s">
        <v>217</v>
      </c>
      <c r="C24" s="17" t="s">
        <v>218</v>
      </c>
      <c r="D24" s="10" t="s">
        <v>219</v>
      </c>
      <c r="E24" s="55"/>
      <c r="F24" s="55"/>
      <c r="G24" s="71" t="str">
        <f>HYPERLINK("[#]UnitsOfMeasure!A116:G116","&lt;values&gt;")</f>
        <v>&lt;values&gt;</v>
      </c>
      <c r="H24" s="25">
        <v>70020</v>
      </c>
      <c r="I24" s="300" t="str">
        <f>CONCATENATE([1]Cover!$D$6,"fdd/view?i=",H24)</f>
        <v>https://www.dgiwg.org/FAD/fdd/view?i=70020</v>
      </c>
      <c r="J24" s="188"/>
      <c r="K24" s="56" t="s">
        <v>151</v>
      </c>
      <c r="X24" s="23"/>
    </row>
    <row r="25" spans="1:24">
      <c r="A25" s="302" t="str">
        <f t="shared" si="0"/>
        <v>magneticFlux</v>
      </c>
      <c r="B25" s="6" t="s">
        <v>220</v>
      </c>
      <c r="C25" s="17" t="s">
        <v>221</v>
      </c>
      <c r="D25" s="10" t="s">
        <v>222</v>
      </c>
      <c r="E25" s="55"/>
      <c r="F25" s="55"/>
      <c r="G25" s="71" t="str">
        <f>HYPERLINK("[#]UnitsOfMeasure!A117:G117","&lt;values&gt;")</f>
        <v>&lt;values&gt;</v>
      </c>
      <c r="H25" s="25">
        <v>70021</v>
      </c>
      <c r="I25" s="300" t="str">
        <f>CONCATENATE([1]Cover!$D$6,"fdd/view?i=",H25)</f>
        <v>https://www.dgiwg.org/FAD/fdd/view?i=70021</v>
      </c>
      <c r="J25" s="188"/>
      <c r="K25" s="56" t="s">
        <v>151</v>
      </c>
      <c r="X25" s="23"/>
    </row>
    <row r="26" spans="1:24" ht="25.5">
      <c r="A26" s="302" t="str">
        <f t="shared" si="0"/>
        <v>magneticFluxDensity</v>
      </c>
      <c r="B26" s="6" t="s">
        <v>223</v>
      </c>
      <c r="C26" s="17" t="s">
        <v>224</v>
      </c>
      <c r="D26" s="10" t="s">
        <v>225</v>
      </c>
      <c r="E26" s="55"/>
      <c r="F26" s="55"/>
      <c r="G26" s="71" t="str">
        <f>HYPERLINK("[#]UnitsOfMeasure!A121:G121","&lt;values&gt;")</f>
        <v>&lt;values&gt;</v>
      </c>
      <c r="H26" s="25">
        <v>70022</v>
      </c>
      <c r="I26" s="300" t="str">
        <f>CONCATENATE([1]Cover!$D$6,"fdd/view?i=",H26)</f>
        <v>https://www.dgiwg.org/FAD/fdd/view?i=70022</v>
      </c>
      <c r="J26" s="188"/>
      <c r="K26" s="56" t="s">
        <v>151</v>
      </c>
      <c r="X26" s="23"/>
    </row>
    <row r="27" spans="1:24" ht="25.5">
      <c r="A27" s="302" t="str">
        <f t="shared" si="0"/>
        <v>magneticFluxDensityGradient</v>
      </c>
      <c r="B27" s="6" t="s">
        <v>226</v>
      </c>
      <c r="C27" s="17" t="s">
        <v>227</v>
      </c>
      <c r="D27" s="10" t="s">
        <v>228</v>
      </c>
      <c r="E27" s="55"/>
      <c r="F27" s="55"/>
      <c r="G27" s="71" t="str">
        <f>HYPERLINK("[#]UnitsOfMeasure!A124:G124","&lt;values&gt;")</f>
        <v>&lt;values&gt;</v>
      </c>
      <c r="H27" s="25">
        <v>70023</v>
      </c>
      <c r="I27" s="300" t="str">
        <f>CONCATENATE([1]Cover!$D$6,"fdd/view?i=",H27)</f>
        <v>https://www.dgiwg.org/FAD/fdd/view?i=70023</v>
      </c>
      <c r="J27" s="188"/>
      <c r="K27" s="56" t="s">
        <v>151</v>
      </c>
      <c r="X27" s="23"/>
    </row>
    <row r="28" spans="1:24" ht="25.5">
      <c r="A28" s="302" t="str">
        <f t="shared" si="0"/>
        <v>mass</v>
      </c>
      <c r="B28" s="6" t="s">
        <v>229</v>
      </c>
      <c r="C28" s="17" t="s">
        <v>230</v>
      </c>
      <c r="D28" s="10" t="s">
        <v>231</v>
      </c>
      <c r="E28" s="55"/>
      <c r="F28" s="55"/>
      <c r="G28" s="71" t="str">
        <f>HYPERLINK("[#]UnitsOfMeasure!A126:G126","&lt;values&gt;")</f>
        <v>&lt;values&gt;</v>
      </c>
      <c r="H28" s="25">
        <v>70024</v>
      </c>
      <c r="I28" s="300" t="str">
        <f>CONCATENATE([1]Cover!$D$6,"fdd/view?i=",H28)</f>
        <v>https://www.dgiwg.org/FAD/fdd/view?i=70024</v>
      </c>
      <c r="J28" s="188"/>
      <c r="K28" s="56" t="s">
        <v>151</v>
      </c>
      <c r="X28" s="23"/>
    </row>
    <row r="29" spans="1:24" ht="25.5">
      <c r="A29" s="302" t="str">
        <f t="shared" si="0"/>
        <v>massDensity</v>
      </c>
      <c r="B29" s="6" t="s">
        <v>232</v>
      </c>
      <c r="C29" s="17" t="s">
        <v>233</v>
      </c>
      <c r="D29" s="10" t="s">
        <v>234</v>
      </c>
      <c r="E29" s="55"/>
      <c r="F29" s="10" t="s">
        <v>235</v>
      </c>
      <c r="G29" s="71" t="str">
        <f>HYPERLINK("[#]UnitsOfMeasure!A137:G137","&lt;values&gt;")</f>
        <v>&lt;values&gt;</v>
      </c>
      <c r="H29" s="25">
        <v>70025</v>
      </c>
      <c r="I29" s="300" t="str">
        <f>CONCATENATE([1]Cover!$D$6,"fdd/view?i=",H29)</f>
        <v>https://www.dgiwg.org/FAD/fdd/view?i=70025</v>
      </c>
      <c r="J29" s="188"/>
      <c r="K29" s="56" t="s">
        <v>151</v>
      </c>
      <c r="X29" s="23"/>
    </row>
    <row r="30" spans="1:24">
      <c r="A30" s="302" t="str">
        <f t="shared" si="0"/>
        <v>massFraction</v>
      </c>
      <c r="B30" s="6" t="s">
        <v>236</v>
      </c>
      <c r="C30" s="17" t="s">
        <v>237</v>
      </c>
      <c r="D30" s="10" t="s">
        <v>238</v>
      </c>
      <c r="E30" s="55"/>
      <c r="F30" s="55"/>
      <c r="G30" s="71" t="str">
        <f>HYPERLINK("[#]UnitsOfMeasure!A144:G144","&lt;values&gt;")</f>
        <v>&lt;values&gt;</v>
      </c>
      <c r="H30" s="25">
        <v>70026</v>
      </c>
      <c r="I30" s="300" t="str">
        <f>CONCATENATE([1]Cover!$D$6,"fdd/view?i=",H30)</f>
        <v>https://www.dgiwg.org/FAD/fdd/view?i=70026</v>
      </c>
      <c r="J30" s="188"/>
      <c r="K30" s="56" t="s">
        <v>151</v>
      </c>
      <c r="X30" s="23"/>
    </row>
    <row r="31" spans="1:24" ht="25.5">
      <c r="A31" s="302" t="str">
        <f t="shared" si="0"/>
        <v>massRate</v>
      </c>
      <c r="B31" s="6" t="s">
        <v>239</v>
      </c>
      <c r="C31" s="17" t="s">
        <v>240</v>
      </c>
      <c r="D31" s="10" t="s">
        <v>241</v>
      </c>
      <c r="E31" s="55"/>
      <c r="F31" s="55"/>
      <c r="G31" s="71" t="str">
        <f>HYPERLINK("[#]UnitsOfMeasure!A147:G147","&lt;values&gt;")</f>
        <v>&lt;values&gt;</v>
      </c>
      <c r="H31" s="25">
        <v>70047</v>
      </c>
      <c r="I31" s="300" t="str">
        <f>CONCATENATE([1]Cover!$D$6,"fdd/view?i=",H31)</f>
        <v>https://www.dgiwg.org/FAD/fdd/view?i=70047</v>
      </c>
      <c r="J31" s="188"/>
      <c r="K31" s="56" t="s">
        <v>151</v>
      </c>
      <c r="X31" s="23"/>
    </row>
    <row r="32" spans="1:24">
      <c r="A32" s="302" t="str">
        <f t="shared" si="0"/>
        <v>monetaryUnit</v>
      </c>
      <c r="B32" s="6" t="s">
        <v>242</v>
      </c>
      <c r="C32" s="17" t="s">
        <v>243</v>
      </c>
      <c r="D32" s="10" t="s">
        <v>244</v>
      </c>
      <c r="E32" s="55"/>
      <c r="F32" s="55"/>
      <c r="G32" s="71" t="str">
        <f>HYPERLINK("[#]UnitsOfMeasure!A151:G151","&lt;values&gt;")</f>
        <v>&lt;values&gt;</v>
      </c>
      <c r="H32" s="25">
        <v>70050</v>
      </c>
      <c r="I32" s="300" t="str">
        <f>CONCATENATE([1]Cover!$D$6,"fdd/view?i=",H32)</f>
        <v>https://www.dgiwg.org/FAD/fdd/view?i=70050</v>
      </c>
      <c r="J32" s="188"/>
      <c r="K32" s="56" t="s">
        <v>151</v>
      </c>
      <c r="X32" s="23"/>
    </row>
    <row r="33" spans="1:24" ht="25.5">
      <c r="A33" s="302" t="str">
        <f t="shared" si="0"/>
        <v>noncomparable</v>
      </c>
      <c r="B33" s="6" t="s">
        <v>245</v>
      </c>
      <c r="C33" s="17" t="s">
        <v>246</v>
      </c>
      <c r="D33" s="10" t="s">
        <v>247</v>
      </c>
      <c r="E33" s="55"/>
      <c r="F33" s="55"/>
      <c r="G33" s="71" t="str">
        <f>HYPERLINK("[#]UnitsOfMeasure!A154:G154","&lt;values&gt;")</f>
        <v>&lt;values&gt;</v>
      </c>
      <c r="H33" s="25">
        <v>70027</v>
      </c>
      <c r="I33" s="300" t="str">
        <f>CONCATENATE([1]Cover!$D$6,"fdd/view?i=",H33)</f>
        <v>https://www.dgiwg.org/FAD/fdd/view?i=70027</v>
      </c>
      <c r="J33" s="188"/>
      <c r="K33" s="56" t="s">
        <v>151</v>
      </c>
      <c r="X33" s="23"/>
    </row>
    <row r="34" spans="1:24" ht="25.5">
      <c r="A34" s="302" t="str">
        <f t="shared" si="0"/>
        <v>planeAngle</v>
      </c>
      <c r="B34" s="6" t="s">
        <v>248</v>
      </c>
      <c r="C34" s="17" t="s">
        <v>249</v>
      </c>
      <c r="D34" s="10" t="s">
        <v>250</v>
      </c>
      <c r="E34" s="55"/>
      <c r="F34" s="55"/>
      <c r="G34" s="71" t="str">
        <f>HYPERLINK("[#]UnitsOfMeasure!A156:G156","&lt;values&gt;")</f>
        <v>&lt;values&gt;</v>
      </c>
      <c r="H34" s="25">
        <v>70028</v>
      </c>
      <c r="I34" s="300" t="str">
        <f>CONCATENATE([1]Cover!$D$6,"fdd/view?i=",H34)</f>
        <v>https://www.dgiwg.org/FAD/fdd/view?i=70028</v>
      </c>
      <c r="J34" s="188"/>
      <c r="K34" s="56" t="s">
        <v>151</v>
      </c>
      <c r="X34" s="23"/>
    </row>
    <row r="35" spans="1:24">
      <c r="A35" s="302" t="str">
        <f t="shared" si="0"/>
        <v>power</v>
      </c>
      <c r="B35" s="6" t="s">
        <v>251</v>
      </c>
      <c r="C35" s="17" t="s">
        <v>252</v>
      </c>
      <c r="D35" s="10" t="s">
        <v>253</v>
      </c>
      <c r="E35" s="55"/>
      <c r="F35" s="55"/>
      <c r="G35" s="71" t="str">
        <f>HYPERLINK("[#]UnitsOfMeasure!A180:G180","&lt;values&gt;")</f>
        <v>&lt;values&gt;</v>
      </c>
      <c r="H35" s="25">
        <v>70029</v>
      </c>
      <c r="I35" s="300" t="str">
        <f>CONCATENATE([1]Cover!$D$6,"fdd/view?i=",H35)</f>
        <v>https://www.dgiwg.org/FAD/fdd/view?i=70029</v>
      </c>
      <c r="J35" s="188"/>
      <c r="K35" s="56" t="s">
        <v>151</v>
      </c>
      <c r="X35" s="23"/>
    </row>
    <row r="36" spans="1:24" ht="25.5">
      <c r="A36" s="302" t="str">
        <f t="shared" si="0"/>
        <v>powerLevelDifference</v>
      </c>
      <c r="B36" s="6" t="s">
        <v>254</v>
      </c>
      <c r="C36" s="17" t="s">
        <v>255</v>
      </c>
      <c r="D36" s="10" t="s">
        <v>256</v>
      </c>
      <c r="E36" s="55"/>
      <c r="F36" s="55"/>
      <c r="G36" s="71" t="str">
        <f>HYPERLINK("[#]UnitsOfMeasure!A194:G194","&lt;values&gt;")</f>
        <v>&lt;values&gt;</v>
      </c>
      <c r="H36" s="25">
        <v>70030</v>
      </c>
      <c r="I36" s="300" t="str">
        <f>CONCATENATE([1]Cover!$D$6,"fdd/view?i=",H36)</f>
        <v>https://www.dgiwg.org/FAD/fdd/view?i=70030</v>
      </c>
      <c r="J36" s="188"/>
      <c r="K36" s="56" t="s">
        <v>151</v>
      </c>
      <c r="X36" s="23"/>
    </row>
    <row r="37" spans="1:24" ht="25.5">
      <c r="A37" s="302" t="str">
        <f t="shared" si="0"/>
        <v>powerLevelDiffLenGradient</v>
      </c>
      <c r="B37" s="6" t="s">
        <v>257</v>
      </c>
      <c r="C37" s="17" t="s">
        <v>258</v>
      </c>
      <c r="D37" s="10" t="s">
        <v>259</v>
      </c>
      <c r="E37" s="55"/>
      <c r="F37" s="55"/>
      <c r="G37" s="71" t="str">
        <f>HYPERLINK("[#]UnitsOfMeasure!A197:G197","&lt;values&gt;")</f>
        <v>&lt;values&gt;</v>
      </c>
      <c r="H37" s="25">
        <v>70031</v>
      </c>
      <c r="I37" s="300" t="str">
        <f>CONCATENATE([1]Cover!$D$6,"fdd/view?i=",H37)</f>
        <v>https://www.dgiwg.org/FAD/fdd/view?i=70031</v>
      </c>
      <c r="J37" s="188"/>
      <c r="K37" s="56" t="s">
        <v>151</v>
      </c>
      <c r="X37" s="23"/>
    </row>
    <row r="38" spans="1:24">
      <c r="A38" s="302" t="str">
        <f t="shared" si="0"/>
        <v>pressure</v>
      </c>
      <c r="B38" s="6" t="s">
        <v>260</v>
      </c>
      <c r="C38" s="17" t="s">
        <v>261</v>
      </c>
      <c r="D38" s="10" t="s">
        <v>262</v>
      </c>
      <c r="E38" s="55"/>
      <c r="F38" s="55"/>
      <c r="G38" s="71" t="str">
        <f>HYPERLINK("[#]UnitsOfMeasure!A200:G200","&lt;values&gt;")</f>
        <v>&lt;values&gt;</v>
      </c>
      <c r="H38" s="25">
        <v>70032</v>
      </c>
      <c r="I38" s="300" t="str">
        <f>CONCATENATE([1]Cover!$D$6,"fdd/view?i=",H38)</f>
        <v>https://www.dgiwg.org/FAD/fdd/view?i=70032</v>
      </c>
      <c r="J38" s="188"/>
      <c r="K38" s="56" t="s">
        <v>151</v>
      </c>
      <c r="X38" s="23"/>
    </row>
    <row r="39" spans="1:24">
      <c r="A39" s="302" t="str">
        <f t="shared" si="0"/>
        <v>pureNumber</v>
      </c>
      <c r="B39" s="6" t="s">
        <v>263</v>
      </c>
      <c r="C39" s="17" t="s">
        <v>264</v>
      </c>
      <c r="D39" s="10" t="s">
        <v>265</v>
      </c>
      <c r="E39" s="55"/>
      <c r="F39" s="55"/>
      <c r="G39" s="71" t="str">
        <f>HYPERLINK("[#]UnitsOfMeasure!A213:G213","&lt;values&gt;")</f>
        <v>&lt;values&gt;</v>
      </c>
      <c r="H39" s="25">
        <v>70033</v>
      </c>
      <c r="I39" s="300" t="str">
        <f>CONCATENATE([1]Cover!$D$6,"fdd/view?i=",H39)</f>
        <v>https://www.dgiwg.org/FAD/fdd/view?i=70033</v>
      </c>
      <c r="J39" s="188"/>
      <c r="K39" s="56" t="s">
        <v>151</v>
      </c>
      <c r="X39" s="23"/>
    </row>
    <row r="40" spans="1:24">
      <c r="A40" s="302" t="str">
        <f t="shared" si="0"/>
        <v>radiationAbsorbedDose</v>
      </c>
      <c r="B40" s="6" t="s">
        <v>266</v>
      </c>
      <c r="C40" s="17" t="s">
        <v>267</v>
      </c>
      <c r="D40" s="10" t="s">
        <v>268</v>
      </c>
      <c r="E40" s="55"/>
      <c r="F40" s="55"/>
      <c r="G40" s="71" t="str">
        <f>HYPERLINK("[#]UnitsOfMeasure!A220:G220","&lt;values&gt;")</f>
        <v>&lt;values&gt;</v>
      </c>
      <c r="H40" s="25">
        <v>70034</v>
      </c>
      <c r="I40" s="300" t="str">
        <f>CONCATENATE([1]Cover!$D$6,"fdd/view?i=",H40)</f>
        <v>https://www.dgiwg.org/FAD/fdd/view?i=70034</v>
      </c>
      <c r="J40" s="188"/>
      <c r="K40" s="56" t="s">
        <v>151</v>
      </c>
      <c r="X40" s="23"/>
    </row>
    <row r="41" spans="1:24" ht="25.5">
      <c r="A41" s="302" t="str">
        <f t="shared" si="0"/>
        <v>radiationDoseEquivalent</v>
      </c>
      <c r="B41" s="6" t="s">
        <v>269</v>
      </c>
      <c r="C41" s="17" t="s">
        <v>270</v>
      </c>
      <c r="D41" s="10" t="s">
        <v>271</v>
      </c>
      <c r="E41" s="55"/>
      <c r="F41" s="55"/>
      <c r="G41" s="71" t="str">
        <f>HYPERLINK("[#]UnitsOfMeasure!A222:G222","&lt;values&gt;")</f>
        <v>&lt;values&gt;</v>
      </c>
      <c r="H41" s="25">
        <v>70035</v>
      </c>
      <c r="I41" s="300" t="str">
        <f>CONCATENATE([1]Cover!$D$6,"fdd/view?i=",H41)</f>
        <v>https://www.dgiwg.org/FAD/fdd/view?i=70035</v>
      </c>
      <c r="J41" s="188"/>
      <c r="K41" s="56" t="s">
        <v>151</v>
      </c>
      <c r="X41" s="23"/>
    </row>
    <row r="42" spans="1:24" ht="25.5">
      <c r="A42" s="302" t="str">
        <f t="shared" si="0"/>
        <v>radionuclideActivity</v>
      </c>
      <c r="B42" s="6" t="s">
        <v>272</v>
      </c>
      <c r="C42" s="17" t="s">
        <v>273</v>
      </c>
      <c r="D42" s="10" t="s">
        <v>274</v>
      </c>
      <c r="E42" s="55"/>
      <c r="F42" s="55"/>
      <c r="G42" s="71" t="str">
        <f>HYPERLINK("[#]UnitsOfMeasure!A224:G224","&lt;values&gt;")</f>
        <v>&lt;values&gt;</v>
      </c>
      <c r="H42" s="25">
        <v>70036</v>
      </c>
      <c r="I42" s="300" t="str">
        <f>CONCATENATE([1]Cover!$D$6,"fdd/view?i=",H42)</f>
        <v>https://www.dgiwg.org/FAD/fdd/view?i=70036</v>
      </c>
      <c r="J42" s="188"/>
      <c r="K42" s="56" t="s">
        <v>151</v>
      </c>
      <c r="X42" s="23"/>
    </row>
    <row r="43" spans="1:24">
      <c r="A43" s="302" t="str">
        <f t="shared" si="0"/>
        <v>rate</v>
      </c>
      <c r="B43" s="6" t="s">
        <v>275</v>
      </c>
      <c r="C43" s="17" t="s">
        <v>276</v>
      </c>
      <c r="D43" s="10" t="s">
        <v>277</v>
      </c>
      <c r="E43" s="55"/>
      <c r="F43" s="55"/>
      <c r="G43" s="71" t="str">
        <f>HYPERLINK("[#]UnitsOfMeasure!A228:G228","&lt;values&gt;")</f>
        <v>&lt;values&gt;</v>
      </c>
      <c r="H43" s="25">
        <v>70048</v>
      </c>
      <c r="I43" s="300" t="str">
        <f>CONCATENATE([1]Cover!$D$6,"fdd/view?i=",H43)</f>
        <v>https://www.dgiwg.org/FAD/fdd/view?i=70048</v>
      </c>
      <c r="J43" s="188"/>
      <c r="K43" s="56" t="s">
        <v>151</v>
      </c>
      <c r="X43" s="23"/>
    </row>
    <row r="44" spans="1:24" ht="25.5">
      <c r="A44" s="302" t="str">
        <f t="shared" si="0"/>
        <v>reciprocalArea</v>
      </c>
      <c r="B44" s="6" t="s">
        <v>278</v>
      </c>
      <c r="C44" s="17" t="s">
        <v>279</v>
      </c>
      <c r="D44" s="10" t="s">
        <v>280</v>
      </c>
      <c r="E44" s="55"/>
      <c r="F44" s="10" t="s">
        <v>281</v>
      </c>
      <c r="G44" s="71" t="str">
        <f>HYPERLINK("[#]UnitsOfMeasure!A235:G235","&lt;values&gt;")</f>
        <v>&lt;values&gt;</v>
      </c>
      <c r="H44" s="25">
        <v>70037</v>
      </c>
      <c r="I44" s="300" t="str">
        <f>CONCATENATE([1]Cover!$D$6,"fdd/view?i=",H44)</f>
        <v>https://www.dgiwg.org/FAD/fdd/view?i=70037</v>
      </c>
      <c r="J44" s="188"/>
      <c r="K44" s="56" t="s">
        <v>151</v>
      </c>
      <c r="X44" s="23"/>
    </row>
    <row r="45" spans="1:24">
      <c r="A45" s="302" t="str">
        <f t="shared" si="0"/>
        <v>reciprocalTime</v>
      </c>
      <c r="B45" s="6" t="s">
        <v>282</v>
      </c>
      <c r="C45" s="17" t="s">
        <v>283</v>
      </c>
      <c r="D45" s="10" t="s">
        <v>284</v>
      </c>
      <c r="E45" s="55"/>
      <c r="F45" s="55"/>
      <c r="G45" s="71" t="str">
        <f>HYPERLINK("[#]UnitsOfMeasure!A238:G238","&lt;values&gt;")</f>
        <v>&lt;values&gt;</v>
      </c>
      <c r="H45" s="25">
        <v>70046</v>
      </c>
      <c r="I45" s="300" t="str">
        <f>CONCATENATE([1]Cover!$D$6,"fdd/view?i=",H45)</f>
        <v>https://www.dgiwg.org/FAD/fdd/view?i=70046</v>
      </c>
      <c r="J45" s="188"/>
      <c r="K45" s="56" t="s">
        <v>151</v>
      </c>
      <c r="X45" s="23"/>
    </row>
    <row r="46" spans="1:24" ht="25.5">
      <c r="A46" s="302" t="str">
        <f t="shared" si="0"/>
        <v>solidAngle</v>
      </c>
      <c r="B46" s="6" t="s">
        <v>285</v>
      </c>
      <c r="C46" s="17" t="s">
        <v>286</v>
      </c>
      <c r="D46" s="10" t="s">
        <v>287</v>
      </c>
      <c r="E46" s="55"/>
      <c r="F46" s="55"/>
      <c r="G46" s="71" t="str">
        <f>HYPERLINK("[#]UnitsOfMeasure!A243:G243","&lt;values&gt;")</f>
        <v>&lt;values&gt;</v>
      </c>
      <c r="H46" s="25">
        <v>70038</v>
      </c>
      <c r="I46" s="300" t="str">
        <f>CONCATENATE([1]Cover!$D$6,"fdd/view?i=",H46)</f>
        <v>https://www.dgiwg.org/FAD/fdd/view?i=70038</v>
      </c>
      <c r="J46" s="188"/>
      <c r="K46" s="56" t="s">
        <v>151</v>
      </c>
      <c r="X46" s="23"/>
    </row>
    <row r="47" spans="1:24" ht="25.5">
      <c r="A47" s="302" t="str">
        <f t="shared" si="0"/>
        <v>soundSpeedRatio</v>
      </c>
      <c r="B47" s="6" t="s">
        <v>288</v>
      </c>
      <c r="C47" s="17" t="s">
        <v>289</v>
      </c>
      <c r="D47" s="10" t="s">
        <v>290</v>
      </c>
      <c r="E47" s="55"/>
      <c r="F47" s="55"/>
      <c r="G47" s="71" t="str">
        <f>HYPERLINK("[#]UnitsOfMeasure!A244:G244","&lt;values&gt;")</f>
        <v>&lt;values&gt;</v>
      </c>
      <c r="H47" s="25">
        <v>70377</v>
      </c>
      <c r="I47" s="300" t="str">
        <f>CONCATENATE([1]Cover!$D$6,"fdd/view?i=",H47)</f>
        <v>https://www.dgiwg.org/FAD/fdd/view?i=70377</v>
      </c>
      <c r="J47" s="188"/>
      <c r="K47" s="56" t="s">
        <v>151</v>
      </c>
      <c r="X47" s="23"/>
    </row>
    <row r="48" spans="1:24" ht="25.5">
      <c r="A48" s="302" t="str">
        <f t="shared" si="0"/>
        <v>speed</v>
      </c>
      <c r="B48" s="6" t="s">
        <v>291</v>
      </c>
      <c r="C48" s="17" t="s">
        <v>292</v>
      </c>
      <c r="D48" s="10" t="s">
        <v>293</v>
      </c>
      <c r="E48" s="55"/>
      <c r="F48" s="55"/>
      <c r="G48" s="71" t="str">
        <f>HYPERLINK("[#]UnitsOfMeasure!A246:G246","&lt;values&gt;")</f>
        <v>&lt;values&gt;</v>
      </c>
      <c r="H48" s="25">
        <v>70039</v>
      </c>
      <c r="I48" s="300" t="str">
        <f>CONCATENATE([1]Cover!$D$6,"fdd/view?i=",H48)</f>
        <v>https://www.dgiwg.org/FAD/fdd/view?i=70039</v>
      </c>
      <c r="J48" s="188"/>
      <c r="K48" s="56" t="s">
        <v>151</v>
      </c>
      <c r="X48" s="23"/>
    </row>
    <row r="49" spans="1:24">
      <c r="A49" s="302" t="str">
        <f t="shared" si="0"/>
        <v>surfaceMassDensityRate</v>
      </c>
      <c r="B49" s="6" t="s">
        <v>294</v>
      </c>
      <c r="C49" s="17" t="s">
        <v>295</v>
      </c>
      <c r="D49" s="10" t="s">
        <v>296</v>
      </c>
      <c r="E49" s="55"/>
      <c r="F49" s="55"/>
      <c r="G49" s="71" t="str">
        <f>HYPERLINK("[#]UnitsOfMeasure!A259:G259","&lt;values&gt;")</f>
        <v>&lt;values&gt;</v>
      </c>
      <c r="H49" s="25">
        <v>70040</v>
      </c>
      <c r="I49" s="300" t="str">
        <f>CONCATENATE([1]Cover!$D$6,"fdd/view?i=",H49)</f>
        <v>https://www.dgiwg.org/FAD/fdd/view?i=70040</v>
      </c>
      <c r="J49" s="188"/>
      <c r="K49" s="56" t="s">
        <v>151</v>
      </c>
      <c r="X49" s="23"/>
    </row>
    <row r="50" spans="1:24" ht="25.5">
      <c r="A50" s="302" t="str">
        <f t="shared" si="0"/>
        <v>thermodynamicTemperature</v>
      </c>
      <c r="B50" s="6" t="s">
        <v>297</v>
      </c>
      <c r="C50" s="17" t="s">
        <v>298</v>
      </c>
      <c r="D50" s="10" t="s">
        <v>299</v>
      </c>
      <c r="E50" s="55"/>
      <c r="F50" s="55"/>
      <c r="G50" s="71" t="str">
        <f>HYPERLINK("[#]UnitsOfMeasure!A261:G261","&lt;values&gt;")</f>
        <v>&lt;values&gt;</v>
      </c>
      <c r="H50" s="25">
        <v>70041</v>
      </c>
      <c r="I50" s="300" t="str">
        <f>CONCATENATE([1]Cover!$D$6,"fdd/view?i=",H50)</f>
        <v>https://www.dgiwg.org/FAD/fdd/view?i=70041</v>
      </c>
      <c r="J50" s="188"/>
      <c r="K50" s="56" t="s">
        <v>151</v>
      </c>
      <c r="X50" s="23"/>
    </row>
    <row r="51" spans="1:24">
      <c r="A51" s="302" t="str">
        <f t="shared" si="0"/>
        <v>time</v>
      </c>
      <c r="B51" s="6" t="s">
        <v>300</v>
      </c>
      <c r="C51" s="17" t="s">
        <v>301</v>
      </c>
      <c r="D51" s="10" t="s">
        <v>302</v>
      </c>
      <c r="E51" s="55"/>
      <c r="F51" s="55"/>
      <c r="G51" s="71" t="str">
        <f>HYPERLINK("[#]UnitsOfMeasure!A264:G264","&lt;values&gt;")</f>
        <v>&lt;values&gt;</v>
      </c>
      <c r="H51" s="25">
        <v>70042</v>
      </c>
      <c r="I51" s="300" t="str">
        <f>CONCATENATE([1]Cover!$D$6,"fdd/view?i=",H51)</f>
        <v>https://www.dgiwg.org/FAD/fdd/view?i=70042</v>
      </c>
      <c r="J51" s="188"/>
      <c r="K51" s="56" t="s">
        <v>151</v>
      </c>
      <c r="X51" s="23"/>
    </row>
    <row r="52" spans="1:24" ht="25.5">
      <c r="A52" s="302" t="str">
        <f t="shared" si="0"/>
        <v>volume</v>
      </c>
      <c r="B52" s="6" t="s">
        <v>303</v>
      </c>
      <c r="C52" s="17" t="s">
        <v>304</v>
      </c>
      <c r="D52" s="10" t="s">
        <v>305</v>
      </c>
      <c r="E52" s="55"/>
      <c r="F52" s="55"/>
      <c r="G52" s="71" t="str">
        <f>HYPERLINK("[#]UnitsOfMeasure!A272:G272","&lt;values&gt;")</f>
        <v>&lt;values&gt;</v>
      </c>
      <c r="H52" s="25">
        <v>70043</v>
      </c>
      <c r="I52" s="300" t="str">
        <f>CONCATENATE([1]Cover!$D$6,"fdd/view?i=",H52)</f>
        <v>https://www.dgiwg.org/FAD/fdd/view?i=70043</v>
      </c>
      <c r="J52" s="188"/>
      <c r="K52" s="56" t="s">
        <v>151</v>
      </c>
      <c r="X52" s="23"/>
    </row>
    <row r="53" spans="1:24" ht="25.5">
      <c r="A53" s="302" t="str">
        <f t="shared" si="0"/>
        <v>volumeFlowRate</v>
      </c>
      <c r="B53" s="6" t="s">
        <v>306</v>
      </c>
      <c r="C53" s="17" t="s">
        <v>307</v>
      </c>
      <c r="D53" s="10" t="s">
        <v>308</v>
      </c>
      <c r="E53" s="55"/>
      <c r="F53" s="55"/>
      <c r="G53" s="71" t="str">
        <f>HYPERLINK("[#]UnitsOfMeasure!A288:G288","&lt;values&gt;")</f>
        <v>&lt;values&gt;</v>
      </c>
      <c r="H53" s="25">
        <v>70044</v>
      </c>
      <c r="I53" s="300" t="str">
        <f>CONCATENATE([1]Cover!$D$6,"fdd/view?i=",H53)</f>
        <v>https://www.dgiwg.org/FAD/fdd/view?i=70044</v>
      </c>
      <c r="J53" s="188"/>
      <c r="K53" s="56" t="s">
        <v>151</v>
      </c>
      <c r="X53" s="23"/>
    </row>
    <row r="54" spans="1:24">
      <c r="A54" s="302" t="str">
        <f t="shared" si="0"/>
        <v>volumeFraction</v>
      </c>
      <c r="B54" s="57" t="s">
        <v>309</v>
      </c>
      <c r="C54" s="58" t="s">
        <v>310</v>
      </c>
      <c r="D54" s="59" t="s">
        <v>311</v>
      </c>
      <c r="E54" s="60"/>
      <c r="F54" s="60"/>
      <c r="G54" s="72" t="str">
        <f>HYPERLINK("[#]UnitsOfMeasure!A295:G295","&lt;values&gt;")</f>
        <v>&lt;values&gt;</v>
      </c>
      <c r="H54" s="61">
        <v>70045</v>
      </c>
      <c r="I54" s="301" t="str">
        <f>CONCATENATE([1]Cover!$D$6,"fdd/view?i=",H54)</f>
        <v>https://www.dgiwg.org/FAD/fdd/view?i=70045</v>
      </c>
      <c r="J54" s="181"/>
      <c r="K54" s="62" t="s">
        <v>151</v>
      </c>
      <c r="X54" s="23"/>
    </row>
    <row r="55" spans="1:24">
      <c r="A55" s="31"/>
      <c r="J55" s="202"/>
    </row>
  </sheetData>
  <pageMargins left="0.53" right="0.39" top="0.56000000000000005" bottom="0.56000000000000005" header="0.43" footer="0.4"/>
  <pageSetup scale="65" orientation="landscape" r:id="rId1"/>
  <headerFooter alignWithMargins="0">
    <oddHeader>&amp;A</oddHeader>
    <oddFooter>Page &amp;P of &amp;N</oddFooter>
  </headerFooter>
</worksheet>
</file>

<file path=xl/worksheets/sheet7.xml><?xml version="1.0" encoding="utf-8"?>
<worksheet xmlns="http://schemas.openxmlformats.org/spreadsheetml/2006/main" xmlns:r="http://schemas.openxmlformats.org/officeDocument/2006/relationships">
  <sheetPr>
    <tabColor indexed="31"/>
  </sheetPr>
  <dimension ref="A1:N295"/>
  <sheetViews>
    <sheetView zoomScale="80" workbookViewId="0">
      <pane xSplit="5" ySplit="1" topLeftCell="F2" activePane="bottomRight" state="frozen"/>
      <selection pane="topRight" activeCell="F1" sqref="F1"/>
      <selection pane="bottomLeft" activeCell="A2" sqref="A2"/>
      <selection pane="bottomRight" activeCell="E1" sqref="E1"/>
    </sheetView>
  </sheetViews>
  <sheetFormatPr baseColWidth="10" defaultColWidth="11.42578125" defaultRowHeight="12.75"/>
  <cols>
    <col min="1" max="1" width="30.7109375" style="168" customWidth="1"/>
    <col min="2" max="2" width="22.7109375" style="167" customWidth="1"/>
    <col min="3" max="3" width="30.7109375" style="166" customWidth="1"/>
    <col min="4" max="4" width="25.7109375" style="165" customWidth="1"/>
    <col min="5" max="5" width="22.7109375" style="164" customWidth="1"/>
    <col min="6" max="6" width="60.7109375" style="163" customWidth="1"/>
    <col min="7" max="7" width="40.7109375" style="163" customWidth="1"/>
    <col min="8" max="8" width="15.7109375" style="163" customWidth="1"/>
    <col min="9" max="9" width="9.85546875" style="169" customWidth="1"/>
    <col min="10" max="10" width="44.85546875" style="304" hidden="1" customWidth="1"/>
    <col min="11" max="11" width="27.28515625" style="304" hidden="1" customWidth="1"/>
    <col min="12" max="12" width="6.85546875" style="165" customWidth="1"/>
    <col min="13" max="13" width="7.85546875" style="179" customWidth="1"/>
    <col min="14" max="16384" width="11.42578125" style="163"/>
  </cols>
  <sheetData>
    <row r="1" spans="1:14" s="172" customFormat="1" ht="30" customHeight="1">
      <c r="A1" s="174" t="s">
        <v>84</v>
      </c>
      <c r="B1" s="170" t="s">
        <v>139</v>
      </c>
      <c r="C1" s="171" t="s">
        <v>140</v>
      </c>
      <c r="D1" s="175" t="s">
        <v>41</v>
      </c>
      <c r="E1" s="173" t="s">
        <v>38</v>
      </c>
      <c r="F1" s="173" t="s">
        <v>39</v>
      </c>
      <c r="G1" s="173" t="s">
        <v>37</v>
      </c>
      <c r="H1" s="176" t="s">
        <v>35</v>
      </c>
      <c r="I1" s="177" t="s">
        <v>33748</v>
      </c>
      <c r="J1" s="306"/>
      <c r="K1" s="306"/>
      <c r="L1" s="36" t="s">
        <v>1241</v>
      </c>
      <c r="M1" s="178" t="s">
        <v>112</v>
      </c>
    </row>
    <row r="2" spans="1:14" ht="25.5">
      <c r="A2" s="313" t="str">
        <f>HYPERLINK(J2,K2)</f>
        <v>acceleration_metrePerSecondSquare</v>
      </c>
      <c r="B2" s="332" t="str">
        <f>HYPERLINK("[#]PhysicalQuantities!A2:N2","acceleration")</f>
        <v>acceleration</v>
      </c>
      <c r="C2" s="333" t="s">
        <v>149</v>
      </c>
      <c r="D2" s="184" t="s">
        <v>312</v>
      </c>
      <c r="E2" s="185" t="s">
        <v>313</v>
      </c>
      <c r="F2" s="184" t="s">
        <v>314</v>
      </c>
      <c r="G2" s="186"/>
      <c r="H2" s="186"/>
      <c r="I2" s="184">
        <v>70100</v>
      </c>
      <c r="J2" s="307" t="str">
        <f>CONCATENATE([2]Cover!$D$6,"fdd/view?i=",I2)</f>
        <v>https://www.dgiwg.org/FAD/fdd/view?i=70100</v>
      </c>
      <c r="K2" s="307" t="s">
        <v>33756</v>
      </c>
      <c r="L2" s="184">
        <v>1</v>
      </c>
      <c r="M2" s="187" t="s">
        <v>151</v>
      </c>
      <c r="N2" s="183"/>
    </row>
    <row r="3" spans="1:14" ht="25.5">
      <c r="A3" s="313" t="str">
        <f t="shared" ref="A3:A66" si="0">HYPERLINK(J3,K3)</f>
        <v>acceleration_gal</v>
      </c>
      <c r="B3" s="330"/>
      <c r="C3" s="334"/>
      <c r="D3" s="188" t="s">
        <v>315</v>
      </c>
      <c r="E3" s="189" t="s">
        <v>316</v>
      </c>
      <c r="F3" s="162" t="s">
        <v>317</v>
      </c>
      <c r="G3" s="190"/>
      <c r="H3" s="190"/>
      <c r="I3" s="191">
        <v>70101</v>
      </c>
      <c r="J3" s="300" t="str">
        <f>CONCATENATE([2]Cover!$D$6,"fdd/view?i=",I3)</f>
        <v>https://www.dgiwg.org/FAD/fdd/view?i=70101</v>
      </c>
      <c r="K3" s="300" t="s">
        <v>33757</v>
      </c>
      <c r="L3" s="188">
        <v>2</v>
      </c>
      <c r="M3" s="180" t="s">
        <v>151</v>
      </c>
      <c r="N3" s="183"/>
    </row>
    <row r="4" spans="1:14" ht="25.5">
      <c r="A4" s="313" t="str">
        <f t="shared" si="0"/>
        <v>acceleration_milligal</v>
      </c>
      <c r="B4" s="330"/>
      <c r="C4" s="334"/>
      <c r="D4" s="188" t="s">
        <v>318</v>
      </c>
      <c r="E4" s="189" t="s">
        <v>319</v>
      </c>
      <c r="F4" s="162" t="s">
        <v>320</v>
      </c>
      <c r="G4" s="190"/>
      <c r="H4" s="190"/>
      <c r="I4" s="191">
        <v>70102</v>
      </c>
      <c r="J4" s="300" t="str">
        <f>CONCATENATE([2]Cover!$D$6,"fdd/view?i=",I4)</f>
        <v>https://www.dgiwg.org/FAD/fdd/view?i=70102</v>
      </c>
      <c r="K4" s="300" t="s">
        <v>33758</v>
      </c>
      <c r="L4" s="188">
        <v>3</v>
      </c>
      <c r="M4" s="180" t="s">
        <v>151</v>
      </c>
      <c r="N4" s="183"/>
    </row>
    <row r="5" spans="1:14" ht="25.5">
      <c r="A5" s="313" t="str">
        <f t="shared" si="0"/>
        <v>acceleration_footPerSecondSquare</v>
      </c>
      <c r="B5" s="331"/>
      <c r="C5" s="335"/>
      <c r="D5" s="181" t="s">
        <v>321</v>
      </c>
      <c r="E5" s="192" t="s">
        <v>322</v>
      </c>
      <c r="F5" s="193" t="s">
        <v>323</v>
      </c>
      <c r="G5" s="194"/>
      <c r="H5" s="194"/>
      <c r="I5" s="195">
        <v>70103</v>
      </c>
      <c r="J5" s="301" t="str">
        <f>CONCATENATE([2]Cover!$D$6,"fdd/view?i=",I5)</f>
        <v>https://www.dgiwg.org/FAD/fdd/view?i=70103</v>
      </c>
      <c r="K5" s="301" t="s">
        <v>33759</v>
      </c>
      <c r="L5" s="181">
        <v>4</v>
      </c>
      <c r="M5" s="182" t="s">
        <v>151</v>
      </c>
      <c r="N5" s="183"/>
    </row>
    <row r="6" spans="1:14" ht="51">
      <c r="A6" s="313" t="str">
        <f t="shared" si="0"/>
        <v>amountOfSubstance_mole</v>
      </c>
      <c r="B6" s="196" t="str">
        <f>HYPERLINK("[#]PhysicalQuantities!A3:N3","amountOfSubstance")</f>
        <v>amountOfSubstance</v>
      </c>
      <c r="C6" s="197" t="s">
        <v>153</v>
      </c>
      <c r="D6" s="198" t="s">
        <v>324</v>
      </c>
      <c r="E6" s="199" t="s">
        <v>325</v>
      </c>
      <c r="F6" s="198" t="s">
        <v>326</v>
      </c>
      <c r="G6" s="198" t="s">
        <v>327</v>
      </c>
      <c r="H6" s="200"/>
      <c r="I6" s="198">
        <v>70104</v>
      </c>
      <c r="J6" s="308" t="str">
        <f>CONCATENATE([2]Cover!$D$6,"fdd/view?i=",I6)</f>
        <v>https://www.dgiwg.org/FAD/fdd/view?i=70104</v>
      </c>
      <c r="K6" s="308" t="s">
        <v>33760</v>
      </c>
      <c r="L6" s="198">
        <v>1</v>
      </c>
      <c r="M6" s="201" t="s">
        <v>151</v>
      </c>
      <c r="N6" s="183"/>
    </row>
    <row r="7" spans="1:14">
      <c r="A7" s="313" t="str">
        <f t="shared" si="0"/>
        <v>area_squareMetre</v>
      </c>
      <c r="B7" s="332" t="str">
        <f>HYPERLINK("[#]PhysicalQuantities!A4:N4","area")</f>
        <v>area</v>
      </c>
      <c r="C7" s="333" t="s">
        <v>156</v>
      </c>
      <c r="D7" s="184" t="s">
        <v>328</v>
      </c>
      <c r="E7" s="185" t="s">
        <v>329</v>
      </c>
      <c r="F7" s="184" t="s">
        <v>330</v>
      </c>
      <c r="G7" s="186"/>
      <c r="H7" s="186"/>
      <c r="I7" s="184">
        <v>70105</v>
      </c>
      <c r="J7" s="307" t="str">
        <f>CONCATENATE([2]Cover!$D$6,"fdd/view?i=",I7)</f>
        <v>https://www.dgiwg.org/FAD/fdd/view?i=70105</v>
      </c>
      <c r="K7" s="307" t="s">
        <v>33761</v>
      </c>
      <c r="L7" s="184">
        <v>1</v>
      </c>
      <c r="M7" s="187" t="s">
        <v>151</v>
      </c>
      <c r="N7" s="183"/>
    </row>
    <row r="8" spans="1:14" ht="25.5">
      <c r="A8" s="313" t="str">
        <f t="shared" si="0"/>
        <v>area_squareKilometre</v>
      </c>
      <c r="B8" s="330"/>
      <c r="C8" s="334"/>
      <c r="D8" s="188" t="s">
        <v>331</v>
      </c>
      <c r="E8" s="189" t="s">
        <v>332</v>
      </c>
      <c r="F8" s="162" t="s">
        <v>333</v>
      </c>
      <c r="G8" s="190"/>
      <c r="H8" s="190"/>
      <c r="I8" s="191">
        <v>70106</v>
      </c>
      <c r="J8" s="300" t="str">
        <f>CONCATENATE([2]Cover!$D$6,"fdd/view?i=",I8)</f>
        <v>https://www.dgiwg.org/FAD/fdd/view?i=70106</v>
      </c>
      <c r="K8" s="300" t="s">
        <v>33762</v>
      </c>
      <c r="L8" s="188">
        <v>2</v>
      </c>
      <c r="M8" s="180" t="s">
        <v>151</v>
      </c>
      <c r="N8" s="183"/>
    </row>
    <row r="9" spans="1:14" ht="25.5">
      <c r="A9" s="313" t="str">
        <f t="shared" si="0"/>
        <v>area_hectare</v>
      </c>
      <c r="B9" s="330"/>
      <c r="C9" s="334"/>
      <c r="D9" s="188" t="s">
        <v>334</v>
      </c>
      <c r="E9" s="189" t="s">
        <v>335</v>
      </c>
      <c r="F9" s="162" t="s">
        <v>336</v>
      </c>
      <c r="G9" s="190"/>
      <c r="H9" s="190"/>
      <c r="I9" s="191">
        <v>70107</v>
      </c>
      <c r="J9" s="300" t="str">
        <f>CONCATENATE([2]Cover!$D$6,"fdd/view?i=",I9)</f>
        <v>https://www.dgiwg.org/FAD/fdd/view?i=70107</v>
      </c>
      <c r="K9" s="300" t="s">
        <v>33763</v>
      </c>
      <c r="L9" s="188">
        <v>3</v>
      </c>
      <c r="M9" s="180" t="s">
        <v>151</v>
      </c>
      <c r="N9" s="183"/>
    </row>
    <row r="10" spans="1:14" ht="25.5">
      <c r="A10" s="313" t="str">
        <f t="shared" si="0"/>
        <v>area_squareDecametre</v>
      </c>
      <c r="B10" s="330"/>
      <c r="C10" s="334"/>
      <c r="D10" s="188" t="s">
        <v>337</v>
      </c>
      <c r="E10" s="189" t="s">
        <v>338</v>
      </c>
      <c r="F10" s="162" t="s">
        <v>339</v>
      </c>
      <c r="G10" s="190"/>
      <c r="H10" s="190"/>
      <c r="I10" s="191">
        <v>70108</v>
      </c>
      <c r="J10" s="300" t="str">
        <f>CONCATENATE([2]Cover!$D$6,"fdd/view?i=",I10)</f>
        <v>https://www.dgiwg.org/FAD/fdd/view?i=70108</v>
      </c>
      <c r="K10" s="300" t="s">
        <v>33764</v>
      </c>
      <c r="L10" s="188">
        <v>4</v>
      </c>
      <c r="M10" s="180" t="s">
        <v>151</v>
      </c>
      <c r="N10" s="183"/>
    </row>
    <row r="11" spans="1:14" ht="25.5">
      <c r="A11" s="313" t="str">
        <f t="shared" si="0"/>
        <v>area_squareDecimetre</v>
      </c>
      <c r="B11" s="330"/>
      <c r="C11" s="334"/>
      <c r="D11" s="188" t="s">
        <v>340</v>
      </c>
      <c r="E11" s="189" t="s">
        <v>341</v>
      </c>
      <c r="F11" s="162" t="s">
        <v>342</v>
      </c>
      <c r="G11" s="190"/>
      <c r="H11" s="190"/>
      <c r="I11" s="191">
        <v>70109</v>
      </c>
      <c r="J11" s="300" t="str">
        <f>CONCATENATE([2]Cover!$D$6,"fdd/view?i=",I11)</f>
        <v>https://www.dgiwg.org/FAD/fdd/view?i=70109</v>
      </c>
      <c r="K11" s="300" t="s">
        <v>33765</v>
      </c>
      <c r="L11" s="188">
        <v>5</v>
      </c>
      <c r="M11" s="180" t="s">
        <v>151</v>
      </c>
      <c r="N11" s="183"/>
    </row>
    <row r="12" spans="1:14" ht="38.25">
      <c r="A12" s="313" t="str">
        <f t="shared" si="0"/>
        <v>area_squareCentimetre</v>
      </c>
      <c r="B12" s="330"/>
      <c r="C12" s="334"/>
      <c r="D12" s="188" t="s">
        <v>343</v>
      </c>
      <c r="E12" s="189" t="s">
        <v>344</v>
      </c>
      <c r="F12" s="162" t="s">
        <v>345</v>
      </c>
      <c r="G12" s="190"/>
      <c r="H12" s="190"/>
      <c r="I12" s="191">
        <v>70110</v>
      </c>
      <c r="J12" s="300" t="str">
        <f>CONCATENATE([2]Cover!$D$6,"fdd/view?i=",I12)</f>
        <v>https://www.dgiwg.org/FAD/fdd/view?i=70110</v>
      </c>
      <c r="K12" s="300" t="s">
        <v>33766</v>
      </c>
      <c r="L12" s="188">
        <v>6</v>
      </c>
      <c r="M12" s="180" t="s">
        <v>151</v>
      </c>
      <c r="N12" s="183"/>
    </row>
    <row r="13" spans="1:14" ht="25.5">
      <c r="A13" s="313" t="str">
        <f t="shared" si="0"/>
        <v>area_squareMillimetre</v>
      </c>
      <c r="B13" s="330"/>
      <c r="C13" s="334"/>
      <c r="D13" s="188" t="s">
        <v>346</v>
      </c>
      <c r="E13" s="189" t="s">
        <v>347</v>
      </c>
      <c r="F13" s="162" t="s">
        <v>348</v>
      </c>
      <c r="G13" s="190"/>
      <c r="H13" s="190"/>
      <c r="I13" s="191">
        <v>70111</v>
      </c>
      <c r="J13" s="300" t="str">
        <f>CONCATENATE([2]Cover!$D$6,"fdd/view?i=",I13)</f>
        <v>https://www.dgiwg.org/FAD/fdd/view?i=70111</v>
      </c>
      <c r="K13" s="300" t="s">
        <v>33767</v>
      </c>
      <c r="L13" s="188">
        <v>7</v>
      </c>
      <c r="M13" s="180" t="s">
        <v>151</v>
      </c>
      <c r="N13" s="183"/>
    </row>
    <row r="14" spans="1:14" ht="25.5">
      <c r="A14" s="313" t="str">
        <f t="shared" si="0"/>
        <v>area_squareStatuteMile</v>
      </c>
      <c r="B14" s="330"/>
      <c r="C14" s="334"/>
      <c r="D14" s="188" t="s">
        <v>349</v>
      </c>
      <c r="E14" s="189" t="s">
        <v>350</v>
      </c>
      <c r="F14" s="162" t="s">
        <v>351</v>
      </c>
      <c r="G14" s="190"/>
      <c r="H14" s="190"/>
      <c r="I14" s="191">
        <v>70112</v>
      </c>
      <c r="J14" s="300" t="str">
        <f>CONCATENATE([2]Cover!$D$6,"fdd/view?i=",I14)</f>
        <v>https://www.dgiwg.org/FAD/fdd/view?i=70112</v>
      </c>
      <c r="K14" s="300" t="s">
        <v>33768</v>
      </c>
      <c r="L14" s="188">
        <v>8</v>
      </c>
      <c r="M14" s="180" t="s">
        <v>151</v>
      </c>
      <c r="N14" s="183"/>
    </row>
    <row r="15" spans="1:14" ht="25.5">
      <c r="A15" s="313" t="str">
        <f t="shared" si="0"/>
        <v>area_acre</v>
      </c>
      <c r="B15" s="330"/>
      <c r="C15" s="334"/>
      <c r="D15" s="188" t="s">
        <v>352</v>
      </c>
      <c r="E15" s="189" t="s">
        <v>353</v>
      </c>
      <c r="F15" s="162" t="s">
        <v>354</v>
      </c>
      <c r="G15" s="190"/>
      <c r="H15" s="190"/>
      <c r="I15" s="191">
        <v>70113</v>
      </c>
      <c r="J15" s="300" t="str">
        <f>CONCATENATE([2]Cover!$D$6,"fdd/view?i=",I15)</f>
        <v>https://www.dgiwg.org/FAD/fdd/view?i=70113</v>
      </c>
      <c r="K15" s="300" t="s">
        <v>33769</v>
      </c>
      <c r="L15" s="188">
        <v>9</v>
      </c>
      <c r="M15" s="180" t="s">
        <v>151</v>
      </c>
      <c r="N15" s="183"/>
    </row>
    <row r="16" spans="1:14" ht="25.5">
      <c r="A16" s="313" t="str">
        <f t="shared" si="0"/>
        <v>area_squareYard</v>
      </c>
      <c r="B16" s="330"/>
      <c r="C16" s="334"/>
      <c r="D16" s="188" t="s">
        <v>355</v>
      </c>
      <c r="E16" s="189" t="s">
        <v>356</v>
      </c>
      <c r="F16" s="162" t="s">
        <v>357</v>
      </c>
      <c r="G16" s="190"/>
      <c r="H16" s="190"/>
      <c r="I16" s="191">
        <v>70114</v>
      </c>
      <c r="J16" s="300" t="str">
        <f>CONCATENATE([2]Cover!$D$6,"fdd/view?i=",I16)</f>
        <v>https://www.dgiwg.org/FAD/fdd/view?i=70114</v>
      </c>
      <c r="K16" s="300" t="s">
        <v>33770</v>
      </c>
      <c r="L16" s="188">
        <v>10</v>
      </c>
      <c r="M16" s="180" t="s">
        <v>151</v>
      </c>
      <c r="N16" s="183"/>
    </row>
    <row r="17" spans="1:14" ht="25.5">
      <c r="A17" s="313" t="str">
        <f t="shared" si="0"/>
        <v>area_squareFoot</v>
      </c>
      <c r="B17" s="330"/>
      <c r="C17" s="334"/>
      <c r="D17" s="188" t="s">
        <v>358</v>
      </c>
      <c r="E17" s="189" t="s">
        <v>359</v>
      </c>
      <c r="F17" s="162" t="s">
        <v>360</v>
      </c>
      <c r="G17" s="190"/>
      <c r="H17" s="190"/>
      <c r="I17" s="191">
        <v>70115</v>
      </c>
      <c r="J17" s="300" t="str">
        <f>CONCATENATE([2]Cover!$D$6,"fdd/view?i=",I17)</f>
        <v>https://www.dgiwg.org/FAD/fdd/view?i=70115</v>
      </c>
      <c r="K17" s="300" t="s">
        <v>33771</v>
      </c>
      <c r="L17" s="188">
        <v>11</v>
      </c>
      <c r="M17" s="180" t="s">
        <v>151</v>
      </c>
      <c r="N17" s="183"/>
    </row>
    <row r="18" spans="1:14" ht="25.5">
      <c r="A18" s="313" t="str">
        <f t="shared" si="0"/>
        <v>area_squareInch</v>
      </c>
      <c r="B18" s="331"/>
      <c r="C18" s="335"/>
      <c r="D18" s="181" t="s">
        <v>361</v>
      </c>
      <c r="E18" s="192" t="s">
        <v>362</v>
      </c>
      <c r="F18" s="193" t="s">
        <v>363</v>
      </c>
      <c r="G18" s="194"/>
      <c r="H18" s="194"/>
      <c r="I18" s="195">
        <v>70116</v>
      </c>
      <c r="J18" s="301" t="str">
        <f>CONCATENATE([2]Cover!$D$6,"fdd/view?i=",I18)</f>
        <v>https://www.dgiwg.org/FAD/fdd/view?i=70116</v>
      </c>
      <c r="K18" s="301" t="s">
        <v>33772</v>
      </c>
      <c r="L18" s="181">
        <v>12</v>
      </c>
      <c r="M18" s="182" t="s">
        <v>151</v>
      </c>
      <c r="N18" s="183"/>
    </row>
    <row r="19" spans="1:14" ht="38.25">
      <c r="A19" s="313" t="str">
        <f t="shared" si="0"/>
        <v>capacitance_farad</v>
      </c>
      <c r="B19" s="332" t="str">
        <f>HYPERLINK("[#]PhysicalQuantities!A5:N5","capacitance")</f>
        <v>capacitance</v>
      </c>
      <c r="C19" s="333" t="s">
        <v>159</v>
      </c>
      <c r="D19" s="184" t="s">
        <v>364</v>
      </c>
      <c r="E19" s="185" t="s">
        <v>365</v>
      </c>
      <c r="F19" s="184" t="s">
        <v>366</v>
      </c>
      <c r="G19" s="186"/>
      <c r="H19" s="186"/>
      <c r="I19" s="184">
        <v>70117</v>
      </c>
      <c r="J19" s="307" t="str">
        <f>CONCATENATE([2]Cover!$D$6,"fdd/view?i=",I19)</f>
        <v>https://www.dgiwg.org/FAD/fdd/view?i=70117</v>
      </c>
      <c r="K19" s="307" t="s">
        <v>33773</v>
      </c>
      <c r="L19" s="184">
        <v>1</v>
      </c>
      <c r="M19" s="187" t="s">
        <v>151</v>
      </c>
      <c r="N19" s="183"/>
    </row>
    <row r="20" spans="1:14" ht="25.5">
      <c r="A20" s="313" t="str">
        <f t="shared" si="0"/>
        <v>capacitance_microfarad</v>
      </c>
      <c r="B20" s="330"/>
      <c r="C20" s="334"/>
      <c r="D20" s="188" t="s">
        <v>367</v>
      </c>
      <c r="E20" s="189" t="s">
        <v>368</v>
      </c>
      <c r="F20" s="162" t="s">
        <v>369</v>
      </c>
      <c r="G20" s="190"/>
      <c r="H20" s="190"/>
      <c r="I20" s="191">
        <v>70118</v>
      </c>
      <c r="J20" s="300" t="str">
        <f>CONCATENATE([2]Cover!$D$6,"fdd/view?i=",I20)</f>
        <v>https://www.dgiwg.org/FAD/fdd/view?i=70118</v>
      </c>
      <c r="K20" s="300" t="s">
        <v>33774</v>
      </c>
      <c r="L20" s="188">
        <v>2</v>
      </c>
      <c r="M20" s="180" t="s">
        <v>151</v>
      </c>
      <c r="N20" s="183"/>
    </row>
    <row r="21" spans="1:14" ht="25.5">
      <c r="A21" s="313" t="str">
        <f t="shared" si="0"/>
        <v>capacitance_nanofarad</v>
      </c>
      <c r="B21" s="330"/>
      <c r="C21" s="334"/>
      <c r="D21" s="188" t="s">
        <v>370</v>
      </c>
      <c r="E21" s="189" t="s">
        <v>371</v>
      </c>
      <c r="F21" s="162" t="s">
        <v>372</v>
      </c>
      <c r="G21" s="190"/>
      <c r="H21" s="190"/>
      <c r="I21" s="191">
        <v>70119</v>
      </c>
      <c r="J21" s="300" t="str">
        <f>CONCATENATE([2]Cover!$D$6,"fdd/view?i=",I21)</f>
        <v>https://www.dgiwg.org/FAD/fdd/view?i=70119</v>
      </c>
      <c r="K21" s="300" t="s">
        <v>33775</v>
      </c>
      <c r="L21" s="188">
        <v>3</v>
      </c>
      <c r="M21" s="180" t="s">
        <v>151</v>
      </c>
      <c r="N21" s="183"/>
    </row>
    <row r="22" spans="1:14" ht="25.5">
      <c r="A22" s="313" t="str">
        <f t="shared" si="0"/>
        <v>capacitance_picofarad</v>
      </c>
      <c r="B22" s="331"/>
      <c r="C22" s="335"/>
      <c r="D22" s="181" t="s">
        <v>373</v>
      </c>
      <c r="E22" s="192" t="s">
        <v>374</v>
      </c>
      <c r="F22" s="193" t="s">
        <v>375</v>
      </c>
      <c r="G22" s="194"/>
      <c r="H22" s="194"/>
      <c r="I22" s="195">
        <v>70120</v>
      </c>
      <c r="J22" s="301" t="str">
        <f>CONCATENATE([2]Cover!$D$6,"fdd/view?i=",I22)</f>
        <v>https://www.dgiwg.org/FAD/fdd/view?i=70120</v>
      </c>
      <c r="K22" s="301" t="s">
        <v>33776</v>
      </c>
      <c r="L22" s="181">
        <v>4</v>
      </c>
      <c r="M22" s="182" t="s">
        <v>151</v>
      </c>
      <c r="N22" s="183"/>
    </row>
    <row r="23" spans="1:14" ht="38.25">
      <c r="A23" s="313" t="str">
        <f t="shared" si="0"/>
        <v>electricCharge_coulomb</v>
      </c>
      <c r="B23" s="332" t="str">
        <f>HYPERLINK("[#]PhysicalQuantities!A6:N6","electricCharge")</f>
        <v>electricCharge</v>
      </c>
      <c r="C23" s="333" t="s">
        <v>162</v>
      </c>
      <c r="D23" s="184" t="s">
        <v>376</v>
      </c>
      <c r="E23" s="185" t="s">
        <v>377</v>
      </c>
      <c r="F23" s="184" t="s">
        <v>378</v>
      </c>
      <c r="G23" s="186"/>
      <c r="H23" s="186"/>
      <c r="I23" s="184">
        <v>70121</v>
      </c>
      <c r="J23" s="307" t="str">
        <f>CONCATENATE([2]Cover!$D$6,"fdd/view?i=",I23)</f>
        <v>https://www.dgiwg.org/FAD/fdd/view?i=70121</v>
      </c>
      <c r="K23" s="307" t="s">
        <v>33777</v>
      </c>
      <c r="L23" s="184">
        <v>1</v>
      </c>
      <c r="M23" s="187" t="s">
        <v>151</v>
      </c>
      <c r="N23" s="183"/>
    </row>
    <row r="24" spans="1:14" ht="25.5">
      <c r="A24" s="313" t="str">
        <f t="shared" si="0"/>
        <v>electricCharge_millicoulomb</v>
      </c>
      <c r="B24" s="330"/>
      <c r="C24" s="334"/>
      <c r="D24" s="188" t="s">
        <v>379</v>
      </c>
      <c r="E24" s="189" t="s">
        <v>380</v>
      </c>
      <c r="F24" s="162" t="s">
        <v>381</v>
      </c>
      <c r="G24" s="190"/>
      <c r="H24" s="190"/>
      <c r="I24" s="191">
        <v>70122</v>
      </c>
      <c r="J24" s="300" t="str">
        <f>CONCATENATE([2]Cover!$D$6,"fdd/view?i=",I24)</f>
        <v>https://www.dgiwg.org/FAD/fdd/view?i=70122</v>
      </c>
      <c r="K24" s="300" t="s">
        <v>33778</v>
      </c>
      <c r="L24" s="188">
        <v>2</v>
      </c>
      <c r="M24" s="180" t="s">
        <v>151</v>
      </c>
      <c r="N24" s="183"/>
    </row>
    <row r="25" spans="1:14" ht="25.5">
      <c r="A25" s="313" t="str">
        <f t="shared" si="0"/>
        <v>electricCharge_microcoulomb</v>
      </c>
      <c r="B25" s="330"/>
      <c r="C25" s="334"/>
      <c r="D25" s="188" t="s">
        <v>382</v>
      </c>
      <c r="E25" s="189" t="s">
        <v>383</v>
      </c>
      <c r="F25" s="162" t="s">
        <v>384</v>
      </c>
      <c r="G25" s="190"/>
      <c r="H25" s="190"/>
      <c r="I25" s="191">
        <v>70123</v>
      </c>
      <c r="J25" s="300" t="str">
        <f>CONCATENATE([2]Cover!$D$6,"fdd/view?i=",I25)</f>
        <v>https://www.dgiwg.org/FAD/fdd/view?i=70123</v>
      </c>
      <c r="K25" s="300" t="s">
        <v>33779</v>
      </c>
      <c r="L25" s="188">
        <v>3</v>
      </c>
      <c r="M25" s="180" t="s">
        <v>151</v>
      </c>
      <c r="N25" s="183"/>
    </row>
    <row r="26" spans="1:14" ht="25.5">
      <c r="A26" s="313" t="str">
        <f t="shared" si="0"/>
        <v>electricCharge_nanocoulomb</v>
      </c>
      <c r="B26" s="331"/>
      <c r="C26" s="335"/>
      <c r="D26" s="181" t="s">
        <v>385</v>
      </c>
      <c r="E26" s="192" t="s">
        <v>386</v>
      </c>
      <c r="F26" s="193" t="s">
        <v>387</v>
      </c>
      <c r="G26" s="194"/>
      <c r="H26" s="194"/>
      <c r="I26" s="195">
        <v>70124</v>
      </c>
      <c r="J26" s="301" t="str">
        <f>CONCATENATE([2]Cover!$D$6,"fdd/view?i=",I26)</f>
        <v>https://www.dgiwg.org/FAD/fdd/view?i=70124</v>
      </c>
      <c r="K26" s="301" t="s">
        <v>33780</v>
      </c>
      <c r="L26" s="181">
        <v>4</v>
      </c>
      <c r="M26" s="182" t="s">
        <v>151</v>
      </c>
      <c r="N26" s="183"/>
    </row>
    <row r="27" spans="1:14" ht="25.5">
      <c r="A27" s="313" t="str">
        <f t="shared" si="0"/>
        <v>electricConductance_siemens</v>
      </c>
      <c r="B27" s="332" t="str">
        <f>HYPERLINK("[#]PhysicalQuantities!A7:N7","electricConductance")</f>
        <v>electricConductance</v>
      </c>
      <c r="C27" s="333" t="s">
        <v>165</v>
      </c>
      <c r="D27" s="184" t="s">
        <v>388</v>
      </c>
      <c r="E27" s="185" t="s">
        <v>389</v>
      </c>
      <c r="F27" s="184" t="s">
        <v>390</v>
      </c>
      <c r="G27" s="186"/>
      <c r="H27" s="184" t="s">
        <v>391</v>
      </c>
      <c r="I27" s="184">
        <v>70125</v>
      </c>
      <c r="J27" s="307" t="str">
        <f>CONCATENATE([2]Cover!$D$6,"fdd/view?i=",I27)</f>
        <v>https://www.dgiwg.org/FAD/fdd/view?i=70125</v>
      </c>
      <c r="K27" s="307" t="s">
        <v>33781</v>
      </c>
      <c r="L27" s="184">
        <v>1</v>
      </c>
      <c r="M27" s="187" t="s">
        <v>151</v>
      </c>
      <c r="N27" s="183"/>
    </row>
    <row r="28" spans="1:14" ht="25.5">
      <c r="A28" s="313" t="str">
        <f t="shared" si="0"/>
        <v>electricConductance_millisiemens</v>
      </c>
      <c r="B28" s="330"/>
      <c r="C28" s="334"/>
      <c r="D28" s="188" t="s">
        <v>392</v>
      </c>
      <c r="E28" s="189" t="s">
        <v>393</v>
      </c>
      <c r="F28" s="162" t="s">
        <v>394</v>
      </c>
      <c r="G28" s="190"/>
      <c r="H28" s="190"/>
      <c r="I28" s="191">
        <v>70126</v>
      </c>
      <c r="J28" s="300" t="str">
        <f>CONCATENATE([2]Cover!$D$6,"fdd/view?i=",I28)</f>
        <v>https://www.dgiwg.org/FAD/fdd/view?i=70126</v>
      </c>
      <c r="K28" s="300" t="s">
        <v>33782</v>
      </c>
      <c r="L28" s="188">
        <v>2</v>
      </c>
      <c r="M28" s="180" t="s">
        <v>151</v>
      </c>
      <c r="N28" s="183"/>
    </row>
    <row r="29" spans="1:14" ht="25.5">
      <c r="A29" s="313" t="str">
        <f t="shared" si="0"/>
        <v>electricConductance_microsiemens</v>
      </c>
      <c r="B29" s="331"/>
      <c r="C29" s="335"/>
      <c r="D29" s="181" t="s">
        <v>395</v>
      </c>
      <c r="E29" s="192" t="s">
        <v>396</v>
      </c>
      <c r="F29" s="193" t="s">
        <v>397</v>
      </c>
      <c r="G29" s="194"/>
      <c r="H29" s="194"/>
      <c r="I29" s="195">
        <v>70127</v>
      </c>
      <c r="J29" s="301" t="str">
        <f>CONCATENATE([2]Cover!$D$6,"fdd/view?i=",I29)</f>
        <v>https://www.dgiwg.org/FAD/fdd/view?i=70127</v>
      </c>
      <c r="K29" s="301" t="s">
        <v>33783</v>
      </c>
      <c r="L29" s="181">
        <v>3</v>
      </c>
      <c r="M29" s="182" t="s">
        <v>151</v>
      </c>
      <c r="N29" s="183"/>
    </row>
    <row r="30" spans="1:14" ht="25.5">
      <c r="A30" s="313" t="str">
        <f t="shared" si="0"/>
        <v>electricConductivity_siemensPerCentimetre</v>
      </c>
      <c r="B30" s="332" t="str">
        <f>HYPERLINK("[#]PhysicalQuantities!A8:N8","electricConductivity")</f>
        <v>electricConductivity</v>
      </c>
      <c r="C30" s="333" t="s">
        <v>168</v>
      </c>
      <c r="D30" s="202" t="s">
        <v>398</v>
      </c>
      <c r="E30" s="203" t="s">
        <v>399</v>
      </c>
      <c r="F30" s="204" t="s">
        <v>400</v>
      </c>
      <c r="G30" s="205"/>
      <c r="H30" s="204" t="s">
        <v>401</v>
      </c>
      <c r="I30" s="206">
        <v>70380</v>
      </c>
      <c r="J30" s="309" t="str">
        <f>CONCATENATE([2]Cover!$D$6,"fdd/view?i=",I30)</f>
        <v>https://www.dgiwg.org/FAD/fdd/view?i=70380</v>
      </c>
      <c r="K30" s="309" t="s">
        <v>33784</v>
      </c>
      <c r="L30" s="202">
        <v>1</v>
      </c>
      <c r="M30" s="187" t="s">
        <v>151</v>
      </c>
      <c r="N30" s="183"/>
    </row>
    <row r="31" spans="1:14" ht="38.25">
      <c r="A31" s="313" t="str">
        <f t="shared" si="0"/>
        <v>electricConductivity_siemensPerMetre</v>
      </c>
      <c r="B31" s="330"/>
      <c r="C31" s="334"/>
      <c r="D31" s="207" t="s">
        <v>402</v>
      </c>
      <c r="E31" s="208" t="s">
        <v>403</v>
      </c>
      <c r="F31" s="207" t="s">
        <v>404</v>
      </c>
      <c r="G31" s="209"/>
      <c r="H31" s="207" t="s">
        <v>405</v>
      </c>
      <c r="I31" s="207">
        <v>70381</v>
      </c>
      <c r="J31" s="310" t="str">
        <f>CONCATENATE([2]Cover!$D$6,"fdd/view?i=",I31)</f>
        <v>https://www.dgiwg.org/FAD/fdd/view?i=70381</v>
      </c>
      <c r="K31" s="310" t="s">
        <v>33785</v>
      </c>
      <c r="L31" s="207">
        <v>2</v>
      </c>
      <c r="M31" s="180" t="s">
        <v>151</v>
      </c>
      <c r="N31" s="183"/>
    </row>
    <row r="32" spans="1:14" ht="25.5">
      <c r="A32" s="313" t="str">
        <f t="shared" si="0"/>
        <v>electricConductivity_microsiemensPerCentimetre</v>
      </c>
      <c r="B32" s="330"/>
      <c r="C32" s="334"/>
      <c r="D32" s="188" t="s">
        <v>406</v>
      </c>
      <c r="E32" s="189" t="s">
        <v>407</v>
      </c>
      <c r="F32" s="162" t="s">
        <v>408</v>
      </c>
      <c r="G32" s="190"/>
      <c r="H32" s="190"/>
      <c r="I32" s="191">
        <v>70382</v>
      </c>
      <c r="J32" s="300" t="str">
        <f>CONCATENATE([2]Cover!$D$6,"fdd/view?i=",I32)</f>
        <v>https://www.dgiwg.org/FAD/fdd/view?i=70382</v>
      </c>
      <c r="K32" s="300" t="s">
        <v>33786</v>
      </c>
      <c r="L32" s="188">
        <v>3</v>
      </c>
      <c r="M32" s="180" t="s">
        <v>151</v>
      </c>
      <c r="N32" s="183"/>
    </row>
    <row r="33" spans="1:14" ht="25.5">
      <c r="A33" s="313" t="str">
        <f t="shared" si="0"/>
        <v>electricConductivity_microsiemensPerMetre</v>
      </c>
      <c r="B33" s="330"/>
      <c r="C33" s="334"/>
      <c r="D33" s="188" t="s">
        <v>409</v>
      </c>
      <c r="E33" s="189" t="s">
        <v>410</v>
      </c>
      <c r="F33" s="162" t="s">
        <v>411</v>
      </c>
      <c r="G33" s="190"/>
      <c r="H33" s="190"/>
      <c r="I33" s="191">
        <v>70383</v>
      </c>
      <c r="J33" s="300" t="str">
        <f>CONCATENATE([2]Cover!$D$6,"fdd/view?i=",I33)</f>
        <v>https://www.dgiwg.org/FAD/fdd/view?i=70383</v>
      </c>
      <c r="K33" s="300" t="s">
        <v>33787</v>
      </c>
      <c r="L33" s="188">
        <v>4</v>
      </c>
      <c r="M33" s="180" t="s">
        <v>151</v>
      </c>
      <c r="N33" s="183"/>
    </row>
    <row r="34" spans="1:14" ht="25.5">
      <c r="A34" s="313" t="str">
        <f t="shared" si="0"/>
        <v>electricConductivity_siemensPerInch</v>
      </c>
      <c r="B34" s="330"/>
      <c r="C34" s="334"/>
      <c r="D34" s="188" t="s">
        <v>412</v>
      </c>
      <c r="E34" s="189" t="s">
        <v>413</v>
      </c>
      <c r="F34" s="162" t="s">
        <v>414</v>
      </c>
      <c r="G34" s="190"/>
      <c r="H34" s="190"/>
      <c r="I34" s="191">
        <v>70384</v>
      </c>
      <c r="J34" s="300" t="str">
        <f>CONCATENATE([2]Cover!$D$6,"fdd/view?i=",I34)</f>
        <v>https://www.dgiwg.org/FAD/fdd/view?i=70384</v>
      </c>
      <c r="K34" s="300" t="s">
        <v>33788</v>
      </c>
      <c r="L34" s="188">
        <v>5</v>
      </c>
      <c r="M34" s="180" t="s">
        <v>151</v>
      </c>
      <c r="N34" s="183"/>
    </row>
    <row r="35" spans="1:14" ht="25.5">
      <c r="A35" s="313" t="str">
        <f t="shared" si="0"/>
        <v>electricConductivity_siemensPerFoot</v>
      </c>
      <c r="B35" s="330"/>
      <c r="C35" s="334"/>
      <c r="D35" s="188" t="s">
        <v>415</v>
      </c>
      <c r="E35" s="189" t="s">
        <v>416</v>
      </c>
      <c r="F35" s="162" t="s">
        <v>417</v>
      </c>
      <c r="G35" s="190"/>
      <c r="H35" s="190"/>
      <c r="I35" s="191">
        <v>70385</v>
      </c>
      <c r="J35" s="300" t="str">
        <f>CONCATENATE([2]Cover!$D$6,"fdd/view?i=",I35)</f>
        <v>https://www.dgiwg.org/FAD/fdd/view?i=70385</v>
      </c>
      <c r="K35" s="300" t="s">
        <v>33789</v>
      </c>
      <c r="L35" s="188">
        <v>6</v>
      </c>
      <c r="M35" s="180" t="s">
        <v>151</v>
      </c>
      <c r="N35" s="183"/>
    </row>
    <row r="36" spans="1:14" ht="25.5">
      <c r="A36" s="313" t="str">
        <f t="shared" si="0"/>
        <v>electricConductivity_microsiemensPerInch</v>
      </c>
      <c r="B36" s="330"/>
      <c r="C36" s="334"/>
      <c r="D36" s="188" t="s">
        <v>418</v>
      </c>
      <c r="E36" s="189" t="s">
        <v>419</v>
      </c>
      <c r="F36" s="162" t="s">
        <v>420</v>
      </c>
      <c r="G36" s="190"/>
      <c r="H36" s="190"/>
      <c r="I36" s="191">
        <v>70386</v>
      </c>
      <c r="J36" s="300" t="str">
        <f>CONCATENATE([2]Cover!$D$6,"fdd/view?i=",I36)</f>
        <v>https://www.dgiwg.org/FAD/fdd/view?i=70386</v>
      </c>
      <c r="K36" s="300" t="s">
        <v>33790</v>
      </c>
      <c r="L36" s="188">
        <v>7</v>
      </c>
      <c r="M36" s="180" t="s">
        <v>151</v>
      </c>
      <c r="N36" s="183"/>
    </row>
    <row r="37" spans="1:14" ht="25.5">
      <c r="A37" s="313" t="str">
        <f t="shared" si="0"/>
        <v>electricConductivity_microsiemensPerFoot</v>
      </c>
      <c r="B37" s="331"/>
      <c r="C37" s="335"/>
      <c r="D37" s="181" t="s">
        <v>421</v>
      </c>
      <c r="E37" s="192" t="s">
        <v>422</v>
      </c>
      <c r="F37" s="193" t="s">
        <v>423</v>
      </c>
      <c r="G37" s="194"/>
      <c r="H37" s="194"/>
      <c r="I37" s="195">
        <v>70387</v>
      </c>
      <c r="J37" s="301" t="str">
        <f>CONCATENATE([2]Cover!$D$6,"fdd/view?i=",I37)</f>
        <v>https://www.dgiwg.org/FAD/fdd/view?i=70387</v>
      </c>
      <c r="K37" s="301" t="s">
        <v>33791</v>
      </c>
      <c r="L37" s="181">
        <v>8</v>
      </c>
      <c r="M37" s="182" t="s">
        <v>151</v>
      </c>
      <c r="N37" s="183"/>
    </row>
    <row r="38" spans="1:14" ht="25.5">
      <c r="A38" s="313" t="str">
        <f t="shared" si="0"/>
        <v>electricCurrent_kiloampere</v>
      </c>
      <c r="B38" s="332" t="str">
        <f>HYPERLINK("[#]PhysicalQuantities!A9:N9","electricCurrent")</f>
        <v>electricCurrent</v>
      </c>
      <c r="C38" s="333" t="s">
        <v>171</v>
      </c>
      <c r="D38" s="202" t="s">
        <v>424</v>
      </c>
      <c r="E38" s="203" t="s">
        <v>425</v>
      </c>
      <c r="F38" s="204" t="s">
        <v>426</v>
      </c>
      <c r="G38" s="205"/>
      <c r="H38" s="205"/>
      <c r="I38" s="206">
        <v>70128</v>
      </c>
      <c r="J38" s="309" t="str">
        <f>CONCATENATE([2]Cover!$D$6,"fdd/view?i=",I38)</f>
        <v>https://www.dgiwg.org/FAD/fdd/view?i=70128</v>
      </c>
      <c r="K38" s="309" t="s">
        <v>33792</v>
      </c>
      <c r="L38" s="202">
        <v>1</v>
      </c>
      <c r="M38" s="187" t="s">
        <v>151</v>
      </c>
      <c r="N38" s="183"/>
    </row>
    <row r="39" spans="1:14" ht="63.75">
      <c r="A39" s="313" t="str">
        <f t="shared" si="0"/>
        <v>electricCurrent_ampere</v>
      </c>
      <c r="B39" s="330"/>
      <c r="C39" s="334"/>
      <c r="D39" s="207" t="s">
        <v>427</v>
      </c>
      <c r="E39" s="208" t="s">
        <v>428</v>
      </c>
      <c r="F39" s="207" t="s">
        <v>429</v>
      </c>
      <c r="G39" s="209"/>
      <c r="H39" s="209"/>
      <c r="I39" s="207">
        <v>70129</v>
      </c>
      <c r="J39" s="310" t="str">
        <f>CONCATENATE([2]Cover!$D$6,"fdd/view?i=",I39)</f>
        <v>https://www.dgiwg.org/FAD/fdd/view?i=70129</v>
      </c>
      <c r="K39" s="310" t="s">
        <v>33793</v>
      </c>
      <c r="L39" s="207">
        <v>2</v>
      </c>
      <c r="M39" s="180" t="s">
        <v>151</v>
      </c>
      <c r="N39" s="183"/>
    </row>
    <row r="40" spans="1:14" ht="25.5">
      <c r="A40" s="313" t="str">
        <f t="shared" si="0"/>
        <v>electricCurrent_milliampere</v>
      </c>
      <c r="B40" s="330"/>
      <c r="C40" s="334"/>
      <c r="D40" s="188" t="s">
        <v>430</v>
      </c>
      <c r="E40" s="189" t="s">
        <v>431</v>
      </c>
      <c r="F40" s="162" t="s">
        <v>432</v>
      </c>
      <c r="G40" s="190"/>
      <c r="H40" s="190"/>
      <c r="I40" s="191">
        <v>70130</v>
      </c>
      <c r="J40" s="300" t="str">
        <f>CONCATENATE([2]Cover!$D$6,"fdd/view?i=",I40)</f>
        <v>https://www.dgiwg.org/FAD/fdd/view?i=70130</v>
      </c>
      <c r="K40" s="300" t="s">
        <v>33794</v>
      </c>
      <c r="L40" s="188">
        <v>3</v>
      </c>
      <c r="M40" s="180" t="s">
        <v>151</v>
      </c>
      <c r="N40" s="183"/>
    </row>
    <row r="41" spans="1:14" ht="25.5">
      <c r="A41" s="313" t="str">
        <f t="shared" si="0"/>
        <v>electricCurrent_microampere</v>
      </c>
      <c r="B41" s="331"/>
      <c r="C41" s="335"/>
      <c r="D41" s="181" t="s">
        <v>433</v>
      </c>
      <c r="E41" s="192" t="s">
        <v>434</v>
      </c>
      <c r="F41" s="193" t="s">
        <v>435</v>
      </c>
      <c r="G41" s="194"/>
      <c r="H41" s="194"/>
      <c r="I41" s="195">
        <v>70131</v>
      </c>
      <c r="J41" s="301" t="str">
        <f>CONCATENATE([2]Cover!$D$6,"fdd/view?i=",I41)</f>
        <v>https://www.dgiwg.org/FAD/fdd/view?i=70131</v>
      </c>
      <c r="K41" s="301" t="s">
        <v>33795</v>
      </c>
      <c r="L41" s="181">
        <v>4</v>
      </c>
      <c r="M41" s="182" t="s">
        <v>151</v>
      </c>
      <c r="N41" s="183"/>
    </row>
    <row r="42" spans="1:14" ht="25.5">
      <c r="A42" s="313" t="str">
        <f t="shared" si="0"/>
        <v>electricResistance_megaohm</v>
      </c>
      <c r="B42" s="332" t="str">
        <f>HYPERLINK("[#]PhysicalQuantities!A10:N10","electricResistance")</f>
        <v>electricResistance</v>
      </c>
      <c r="C42" s="333" t="s">
        <v>174</v>
      </c>
      <c r="D42" s="202" t="s">
        <v>436</v>
      </c>
      <c r="E42" s="203" t="s">
        <v>437</v>
      </c>
      <c r="F42" s="204" t="s">
        <v>438</v>
      </c>
      <c r="G42" s="205"/>
      <c r="H42" s="205"/>
      <c r="I42" s="206">
        <v>70132</v>
      </c>
      <c r="J42" s="309" t="str">
        <f>CONCATENATE([2]Cover!$D$6,"fdd/view?i=",I42)</f>
        <v>https://www.dgiwg.org/FAD/fdd/view?i=70132</v>
      </c>
      <c r="K42" s="309" t="s">
        <v>33796</v>
      </c>
      <c r="L42" s="202">
        <v>1</v>
      </c>
      <c r="M42" s="187" t="s">
        <v>151</v>
      </c>
      <c r="N42" s="183"/>
    </row>
    <row r="43" spans="1:14" ht="25.5">
      <c r="A43" s="313" t="str">
        <f t="shared" si="0"/>
        <v>electricResistance_kilohm</v>
      </c>
      <c r="B43" s="330"/>
      <c r="C43" s="334"/>
      <c r="D43" s="188" t="s">
        <v>439</v>
      </c>
      <c r="E43" s="189" t="s">
        <v>440</v>
      </c>
      <c r="F43" s="162" t="s">
        <v>441</v>
      </c>
      <c r="G43" s="190"/>
      <c r="H43" s="190"/>
      <c r="I43" s="191">
        <v>70133</v>
      </c>
      <c r="J43" s="300" t="str">
        <f>CONCATENATE([2]Cover!$D$6,"fdd/view?i=",I43)</f>
        <v>https://www.dgiwg.org/FAD/fdd/view?i=70133</v>
      </c>
      <c r="K43" s="300" t="s">
        <v>33797</v>
      </c>
      <c r="L43" s="188">
        <v>2</v>
      </c>
      <c r="M43" s="180" t="s">
        <v>151</v>
      </c>
      <c r="N43" s="183"/>
    </row>
    <row r="44" spans="1:14" ht="51">
      <c r="A44" s="313" t="str">
        <f t="shared" si="0"/>
        <v>electricResistance_ohm</v>
      </c>
      <c r="B44" s="331"/>
      <c r="C44" s="335"/>
      <c r="D44" s="210" t="s">
        <v>442</v>
      </c>
      <c r="E44" s="211" t="s">
        <v>443</v>
      </c>
      <c r="F44" s="210" t="s">
        <v>444</v>
      </c>
      <c r="G44" s="212"/>
      <c r="H44" s="212"/>
      <c r="I44" s="210">
        <v>70134</v>
      </c>
      <c r="J44" s="311" t="str">
        <f>CONCATENATE([2]Cover!$D$6,"fdd/view?i=",I44)</f>
        <v>https://www.dgiwg.org/FAD/fdd/view?i=70134</v>
      </c>
      <c r="K44" s="311" t="s">
        <v>33798</v>
      </c>
      <c r="L44" s="210">
        <v>3</v>
      </c>
      <c r="M44" s="182" t="s">
        <v>151</v>
      </c>
      <c r="N44" s="183"/>
    </row>
    <row r="45" spans="1:14" ht="38.25">
      <c r="A45" s="313" t="str">
        <f t="shared" si="0"/>
        <v>electricResistivity_ohmMetre</v>
      </c>
      <c r="B45" s="332" t="str">
        <f>HYPERLINK("[#]PhysicalQuantities!A11:N11","electricResistivity")</f>
        <v>electricResistivity</v>
      </c>
      <c r="C45" s="333" t="s">
        <v>177</v>
      </c>
      <c r="D45" s="184" t="s">
        <v>445</v>
      </c>
      <c r="E45" s="185" t="s">
        <v>446</v>
      </c>
      <c r="F45" s="184" t="s">
        <v>447</v>
      </c>
      <c r="G45" s="186"/>
      <c r="H45" s="186"/>
      <c r="I45" s="184">
        <v>70388</v>
      </c>
      <c r="J45" s="307" t="str">
        <f>CONCATENATE([2]Cover!$D$6,"fdd/view?i=",I45)</f>
        <v>https://www.dgiwg.org/FAD/fdd/view?i=70388</v>
      </c>
      <c r="K45" s="307" t="s">
        <v>33799</v>
      </c>
      <c r="L45" s="184">
        <v>1</v>
      </c>
      <c r="M45" s="187" t="s">
        <v>151</v>
      </c>
      <c r="N45" s="183"/>
    </row>
    <row r="46" spans="1:14" ht="25.5">
      <c r="A46" s="313" t="str">
        <f t="shared" si="0"/>
        <v>electricResistivity_ohmCentimetre</v>
      </c>
      <c r="B46" s="330"/>
      <c r="C46" s="334"/>
      <c r="D46" s="188" t="s">
        <v>448</v>
      </c>
      <c r="E46" s="189" t="s">
        <v>449</v>
      </c>
      <c r="F46" s="162" t="s">
        <v>450</v>
      </c>
      <c r="G46" s="190"/>
      <c r="H46" s="190"/>
      <c r="I46" s="191">
        <v>70389</v>
      </c>
      <c r="J46" s="300" t="str">
        <f>CONCATENATE([2]Cover!$D$6,"fdd/view?i=",I46)</f>
        <v>https://www.dgiwg.org/FAD/fdd/view?i=70389</v>
      </c>
      <c r="K46" s="300" t="s">
        <v>33800</v>
      </c>
      <c r="L46" s="188">
        <v>2</v>
      </c>
      <c r="M46" s="180" t="s">
        <v>151</v>
      </c>
      <c r="N46" s="183"/>
    </row>
    <row r="47" spans="1:14" ht="25.5">
      <c r="A47" s="313" t="str">
        <f t="shared" si="0"/>
        <v xml:space="preserve">electricResistivity_ohmFoot </v>
      </c>
      <c r="B47" s="330"/>
      <c r="C47" s="334"/>
      <c r="D47" s="188" t="s">
        <v>451</v>
      </c>
      <c r="E47" s="189" t="s">
        <v>452</v>
      </c>
      <c r="F47" s="162" t="s">
        <v>453</v>
      </c>
      <c r="G47" s="190"/>
      <c r="H47" s="190"/>
      <c r="I47" s="191">
        <v>70390</v>
      </c>
      <c r="J47" s="300" t="str">
        <f>CONCATENATE([2]Cover!$D$6,"fdd/view?i=",I47)</f>
        <v>https://www.dgiwg.org/FAD/fdd/view?i=70390</v>
      </c>
      <c r="K47" s="300" t="s">
        <v>33801</v>
      </c>
      <c r="L47" s="188">
        <v>3</v>
      </c>
      <c r="M47" s="180" t="s">
        <v>151</v>
      </c>
      <c r="N47" s="183"/>
    </row>
    <row r="48" spans="1:14" ht="25.5">
      <c r="A48" s="313" t="str">
        <f t="shared" si="0"/>
        <v xml:space="preserve">electricResistivity_ohmInch </v>
      </c>
      <c r="B48" s="331"/>
      <c r="C48" s="335"/>
      <c r="D48" s="181" t="s">
        <v>454</v>
      </c>
      <c r="E48" s="192" t="s">
        <v>455</v>
      </c>
      <c r="F48" s="193" t="s">
        <v>456</v>
      </c>
      <c r="G48" s="194"/>
      <c r="H48" s="194"/>
      <c r="I48" s="195">
        <v>70391</v>
      </c>
      <c r="J48" s="301" t="str">
        <f>CONCATENATE([2]Cover!$D$6,"fdd/view?i=",I48)</f>
        <v>https://www.dgiwg.org/FAD/fdd/view?i=70391</v>
      </c>
      <c r="K48" s="301" t="s">
        <v>33802</v>
      </c>
      <c r="L48" s="181">
        <v>4</v>
      </c>
      <c r="M48" s="182" t="s">
        <v>151</v>
      </c>
      <c r="N48" s="183"/>
    </row>
    <row r="49" spans="1:14" ht="25.5">
      <c r="A49" s="313" t="str">
        <f t="shared" si="0"/>
        <v>electromotiveForce_kilovolt</v>
      </c>
      <c r="B49" s="332" t="str">
        <f>HYPERLINK("[#]PhysicalQuantities!A12:N12","electromotiveForce")</f>
        <v>electromotiveForce</v>
      </c>
      <c r="C49" s="333" t="s">
        <v>180</v>
      </c>
      <c r="D49" s="202" t="s">
        <v>457</v>
      </c>
      <c r="E49" s="203" t="s">
        <v>458</v>
      </c>
      <c r="F49" s="204" t="s">
        <v>459</v>
      </c>
      <c r="G49" s="205"/>
      <c r="H49" s="205"/>
      <c r="I49" s="206">
        <v>70135</v>
      </c>
      <c r="J49" s="309" t="str">
        <f>CONCATENATE([2]Cover!$D$6,"fdd/view?i=",I49)</f>
        <v>https://www.dgiwg.org/FAD/fdd/view?i=70135</v>
      </c>
      <c r="K49" s="309" t="s">
        <v>33803</v>
      </c>
      <c r="L49" s="202">
        <v>1</v>
      </c>
      <c r="M49" s="187" t="s">
        <v>151</v>
      </c>
      <c r="N49" s="183"/>
    </row>
    <row r="50" spans="1:14" ht="25.5">
      <c r="A50" s="313" t="str">
        <f t="shared" si="0"/>
        <v>electromotiveForce_volt</v>
      </c>
      <c r="B50" s="330"/>
      <c r="C50" s="334"/>
      <c r="D50" s="207" t="s">
        <v>460</v>
      </c>
      <c r="E50" s="208" t="s">
        <v>461</v>
      </c>
      <c r="F50" s="207" t="s">
        <v>462</v>
      </c>
      <c r="G50" s="209"/>
      <c r="H50" s="209"/>
      <c r="I50" s="207">
        <v>70136</v>
      </c>
      <c r="J50" s="310" t="str">
        <f>CONCATENATE([2]Cover!$D$6,"fdd/view?i=",I50)</f>
        <v>https://www.dgiwg.org/FAD/fdd/view?i=70136</v>
      </c>
      <c r="K50" s="310" t="s">
        <v>33804</v>
      </c>
      <c r="L50" s="207">
        <v>2</v>
      </c>
      <c r="M50" s="180" t="s">
        <v>151</v>
      </c>
      <c r="N50" s="183"/>
    </row>
    <row r="51" spans="1:14" ht="25.5">
      <c r="A51" s="313" t="str">
        <f t="shared" si="0"/>
        <v>electromotiveForce_millivolt</v>
      </c>
      <c r="B51" s="330"/>
      <c r="C51" s="334"/>
      <c r="D51" s="188" t="s">
        <v>463</v>
      </c>
      <c r="E51" s="189" t="s">
        <v>464</v>
      </c>
      <c r="F51" s="162" t="s">
        <v>465</v>
      </c>
      <c r="G51" s="190"/>
      <c r="H51" s="190"/>
      <c r="I51" s="191">
        <v>70137</v>
      </c>
      <c r="J51" s="300" t="str">
        <f>CONCATENATE([2]Cover!$D$6,"fdd/view?i=",I51)</f>
        <v>https://www.dgiwg.org/FAD/fdd/view?i=70137</v>
      </c>
      <c r="K51" s="300" t="s">
        <v>33805</v>
      </c>
      <c r="L51" s="188">
        <v>3</v>
      </c>
      <c r="M51" s="180" t="s">
        <v>151</v>
      </c>
      <c r="N51" s="183"/>
    </row>
    <row r="52" spans="1:14" ht="25.5">
      <c r="A52" s="313" t="str">
        <f t="shared" si="0"/>
        <v>electromotiveForce_microvolt</v>
      </c>
      <c r="B52" s="331"/>
      <c r="C52" s="335"/>
      <c r="D52" s="181" t="s">
        <v>466</v>
      </c>
      <c r="E52" s="192" t="s">
        <v>467</v>
      </c>
      <c r="F52" s="193" t="s">
        <v>468</v>
      </c>
      <c r="G52" s="194"/>
      <c r="H52" s="194"/>
      <c r="I52" s="195">
        <v>70138</v>
      </c>
      <c r="J52" s="301" t="str">
        <f>CONCATENATE([2]Cover!$D$6,"fdd/view?i=",I52)</f>
        <v>https://www.dgiwg.org/FAD/fdd/view?i=70138</v>
      </c>
      <c r="K52" s="301" t="s">
        <v>33806</v>
      </c>
      <c r="L52" s="181">
        <v>4</v>
      </c>
      <c r="M52" s="182" t="s">
        <v>151</v>
      </c>
      <c r="N52" s="183"/>
    </row>
    <row r="53" spans="1:14" ht="25.5">
      <c r="A53" s="313" t="str">
        <f t="shared" si="0"/>
        <v>energy_kilojoule</v>
      </c>
      <c r="B53" s="332" t="str">
        <f>HYPERLINK("[#]PhysicalQuantities!A13:N13","energy")</f>
        <v>energy</v>
      </c>
      <c r="C53" s="333" t="s">
        <v>183</v>
      </c>
      <c r="D53" s="202" t="s">
        <v>469</v>
      </c>
      <c r="E53" s="203" t="s">
        <v>470</v>
      </c>
      <c r="F53" s="204" t="s">
        <v>471</v>
      </c>
      <c r="G53" s="205"/>
      <c r="H53" s="205"/>
      <c r="I53" s="206">
        <v>70139</v>
      </c>
      <c r="J53" s="309" t="str">
        <f>CONCATENATE([2]Cover!$D$6,"fdd/view?i=",I53)</f>
        <v>https://www.dgiwg.org/FAD/fdd/view?i=70139</v>
      </c>
      <c r="K53" s="309" t="s">
        <v>33807</v>
      </c>
      <c r="L53" s="202">
        <v>1</v>
      </c>
      <c r="M53" s="187" t="s">
        <v>151</v>
      </c>
      <c r="N53" s="183"/>
    </row>
    <row r="54" spans="1:14" ht="25.5">
      <c r="A54" s="313" t="str">
        <f t="shared" si="0"/>
        <v>energy_joule</v>
      </c>
      <c r="B54" s="330"/>
      <c r="C54" s="334"/>
      <c r="D54" s="207" t="s">
        <v>472</v>
      </c>
      <c r="E54" s="208" t="s">
        <v>473</v>
      </c>
      <c r="F54" s="207" t="s">
        <v>474</v>
      </c>
      <c r="G54" s="209"/>
      <c r="H54" s="209"/>
      <c r="I54" s="207">
        <v>70140</v>
      </c>
      <c r="J54" s="310" t="str">
        <f>CONCATENATE([2]Cover!$D$6,"fdd/view?i=",I54)</f>
        <v>https://www.dgiwg.org/FAD/fdd/view?i=70140</v>
      </c>
      <c r="K54" s="310" t="s">
        <v>33808</v>
      </c>
      <c r="L54" s="207">
        <v>2</v>
      </c>
      <c r="M54" s="180" t="s">
        <v>151</v>
      </c>
      <c r="N54" s="183"/>
    </row>
    <row r="55" spans="1:14" ht="25.5">
      <c r="A55" s="313" t="str">
        <f t="shared" si="0"/>
        <v>energy_erg</v>
      </c>
      <c r="B55" s="330"/>
      <c r="C55" s="334"/>
      <c r="D55" s="188" t="s">
        <v>475</v>
      </c>
      <c r="E55" s="189" t="s">
        <v>476</v>
      </c>
      <c r="F55" s="162" t="s">
        <v>477</v>
      </c>
      <c r="G55" s="190"/>
      <c r="H55" s="190"/>
      <c r="I55" s="191">
        <v>70141</v>
      </c>
      <c r="J55" s="300" t="str">
        <f>CONCATENATE([2]Cover!$D$6,"fdd/view?i=",I55)</f>
        <v>https://www.dgiwg.org/FAD/fdd/view?i=70141</v>
      </c>
      <c r="K55" s="300" t="s">
        <v>33809</v>
      </c>
      <c r="L55" s="188">
        <v>3</v>
      </c>
      <c r="M55" s="180" t="s">
        <v>151</v>
      </c>
      <c r="N55" s="183"/>
    </row>
    <row r="56" spans="1:14" ht="25.5">
      <c r="A56" s="313" t="str">
        <f t="shared" si="0"/>
        <v>energy_thermochemicalCalorie</v>
      </c>
      <c r="B56" s="330"/>
      <c r="C56" s="334"/>
      <c r="D56" s="188" t="s">
        <v>478</v>
      </c>
      <c r="E56" s="189" t="s">
        <v>479</v>
      </c>
      <c r="F56" s="162" t="s">
        <v>480</v>
      </c>
      <c r="G56" s="190"/>
      <c r="H56" s="190"/>
      <c r="I56" s="191">
        <v>70142</v>
      </c>
      <c r="J56" s="300" t="str">
        <f>CONCATENATE([2]Cover!$D$6,"fdd/view?i=",I56)</f>
        <v>https://www.dgiwg.org/FAD/fdd/view?i=70142</v>
      </c>
      <c r="K56" s="300" t="s">
        <v>33810</v>
      </c>
      <c r="L56" s="188">
        <v>4</v>
      </c>
      <c r="M56" s="180" t="s">
        <v>151</v>
      </c>
      <c r="N56" s="183"/>
    </row>
    <row r="57" spans="1:14" ht="51">
      <c r="A57" s="313" t="str">
        <f t="shared" si="0"/>
        <v>energy_electronVolt</v>
      </c>
      <c r="B57" s="330"/>
      <c r="C57" s="334"/>
      <c r="D57" s="188" t="s">
        <v>481</v>
      </c>
      <c r="E57" s="189" t="s">
        <v>482</v>
      </c>
      <c r="F57" s="162" t="s">
        <v>483</v>
      </c>
      <c r="G57" s="190"/>
      <c r="H57" s="190"/>
      <c r="I57" s="191">
        <v>70143</v>
      </c>
      <c r="J57" s="300" t="str">
        <f>CONCATENATE([2]Cover!$D$6,"fdd/view?i=",I57)</f>
        <v>https://www.dgiwg.org/FAD/fdd/view?i=70143</v>
      </c>
      <c r="K57" s="300" t="s">
        <v>33811</v>
      </c>
      <c r="L57" s="188">
        <v>5</v>
      </c>
      <c r="M57" s="180" t="s">
        <v>151</v>
      </c>
      <c r="N57" s="183"/>
    </row>
    <row r="58" spans="1:14" ht="25.5">
      <c r="A58" s="313" t="str">
        <f t="shared" si="0"/>
        <v>energy_kilogramForceMetre</v>
      </c>
      <c r="B58" s="330"/>
      <c r="C58" s="334"/>
      <c r="D58" s="188" t="s">
        <v>484</v>
      </c>
      <c r="E58" s="189" t="s">
        <v>485</v>
      </c>
      <c r="F58" s="162" t="s">
        <v>486</v>
      </c>
      <c r="G58" s="190"/>
      <c r="H58" s="190"/>
      <c r="I58" s="191">
        <v>70144</v>
      </c>
      <c r="J58" s="300" t="str">
        <f>CONCATENATE([2]Cover!$D$6,"fdd/view?i=",I58)</f>
        <v>https://www.dgiwg.org/FAD/fdd/view?i=70144</v>
      </c>
      <c r="K58" s="300" t="s">
        <v>33812</v>
      </c>
      <c r="L58" s="188">
        <v>6</v>
      </c>
      <c r="M58" s="180" t="s">
        <v>151</v>
      </c>
      <c r="N58" s="183"/>
    </row>
    <row r="59" spans="1:14" ht="25.5">
      <c r="A59" s="313" t="str">
        <f t="shared" si="0"/>
        <v>energy_footPoundForce</v>
      </c>
      <c r="B59" s="330"/>
      <c r="C59" s="334"/>
      <c r="D59" s="188" t="s">
        <v>487</v>
      </c>
      <c r="E59" s="189" t="s">
        <v>488</v>
      </c>
      <c r="F59" s="162" t="s">
        <v>489</v>
      </c>
      <c r="G59" s="190"/>
      <c r="H59" s="190"/>
      <c r="I59" s="191">
        <v>70145</v>
      </c>
      <c r="J59" s="300" t="str">
        <f>CONCATENATE([2]Cover!$D$6,"fdd/view?i=",I59)</f>
        <v>https://www.dgiwg.org/FAD/fdd/view?i=70145</v>
      </c>
      <c r="K59" s="300" t="s">
        <v>33813</v>
      </c>
      <c r="L59" s="188">
        <v>7</v>
      </c>
      <c r="M59" s="180" t="s">
        <v>151</v>
      </c>
      <c r="N59" s="183"/>
    </row>
    <row r="60" spans="1:14" ht="25.5">
      <c r="A60" s="313" t="str">
        <f t="shared" si="0"/>
        <v>energy_megawattHour</v>
      </c>
      <c r="B60" s="330"/>
      <c r="C60" s="334"/>
      <c r="D60" s="188" t="s">
        <v>490</v>
      </c>
      <c r="E60" s="189" t="s">
        <v>491</v>
      </c>
      <c r="F60" s="162" t="s">
        <v>492</v>
      </c>
      <c r="G60" s="190"/>
      <c r="H60" s="190"/>
      <c r="I60" s="191">
        <v>70350</v>
      </c>
      <c r="J60" s="300" t="str">
        <f>CONCATENATE([2]Cover!$D$6,"fdd/view?i=",I60)</f>
        <v>https://www.dgiwg.org/FAD/fdd/view?i=70350</v>
      </c>
      <c r="K60" s="300" t="s">
        <v>33814</v>
      </c>
      <c r="L60" s="188">
        <v>8</v>
      </c>
      <c r="M60" s="180" t="s">
        <v>151</v>
      </c>
      <c r="N60" s="183"/>
    </row>
    <row r="61" spans="1:14" ht="25.5">
      <c r="A61" s="313" t="str">
        <f t="shared" si="0"/>
        <v>energy_kilowattHour</v>
      </c>
      <c r="B61" s="330"/>
      <c r="C61" s="334"/>
      <c r="D61" s="188" t="s">
        <v>493</v>
      </c>
      <c r="E61" s="189" t="s">
        <v>494</v>
      </c>
      <c r="F61" s="162" t="s">
        <v>495</v>
      </c>
      <c r="G61" s="190"/>
      <c r="H61" s="190"/>
      <c r="I61" s="191">
        <v>70351</v>
      </c>
      <c r="J61" s="300" t="str">
        <f>CONCATENATE([2]Cover!$D$6,"fdd/view?i=",I61)</f>
        <v>https://www.dgiwg.org/FAD/fdd/view?i=70351</v>
      </c>
      <c r="K61" s="300" t="s">
        <v>33815</v>
      </c>
      <c r="L61" s="188">
        <v>9</v>
      </c>
      <c r="M61" s="180" t="s">
        <v>151</v>
      </c>
      <c r="N61" s="183"/>
    </row>
    <row r="62" spans="1:14" ht="25.5">
      <c r="A62" s="313" t="str">
        <f t="shared" si="0"/>
        <v>energy_wattHour</v>
      </c>
      <c r="B62" s="331"/>
      <c r="C62" s="335"/>
      <c r="D62" s="181" t="s">
        <v>496</v>
      </c>
      <c r="E62" s="192" t="s">
        <v>497</v>
      </c>
      <c r="F62" s="193" t="s">
        <v>498</v>
      </c>
      <c r="G62" s="194"/>
      <c r="H62" s="194"/>
      <c r="I62" s="195">
        <v>70352</v>
      </c>
      <c r="J62" s="301" t="str">
        <f>CONCATENATE([2]Cover!$D$6,"fdd/view?i=",I62)</f>
        <v>https://www.dgiwg.org/FAD/fdd/view?i=70352</v>
      </c>
      <c r="K62" s="301" t="s">
        <v>33816</v>
      </c>
      <c r="L62" s="181">
        <v>10</v>
      </c>
      <c r="M62" s="182" t="s">
        <v>151</v>
      </c>
      <c r="N62" s="183"/>
    </row>
    <row r="63" spans="1:14" ht="25.5">
      <c r="A63" s="313" t="str">
        <f t="shared" si="0"/>
        <v>force_kilopoundForce</v>
      </c>
      <c r="B63" s="332" t="str">
        <f>HYPERLINK("[#]PhysicalQuantities!A14:N14","force")</f>
        <v>force</v>
      </c>
      <c r="C63" s="333" t="s">
        <v>187</v>
      </c>
      <c r="D63" s="202" t="s">
        <v>499</v>
      </c>
      <c r="E63" s="203" t="s">
        <v>500</v>
      </c>
      <c r="F63" s="204" t="s">
        <v>501</v>
      </c>
      <c r="G63" s="205"/>
      <c r="H63" s="204" t="s">
        <v>502</v>
      </c>
      <c r="I63" s="206">
        <v>70146</v>
      </c>
      <c r="J63" s="309" t="str">
        <f>CONCATENATE([2]Cover!$D$6,"fdd/view?i=",I63)</f>
        <v>https://www.dgiwg.org/FAD/fdd/view?i=70146</v>
      </c>
      <c r="K63" s="309" t="s">
        <v>33817</v>
      </c>
      <c r="L63" s="202">
        <v>1</v>
      </c>
      <c r="M63" s="187" t="s">
        <v>151</v>
      </c>
      <c r="N63" s="183"/>
    </row>
    <row r="64" spans="1:14" ht="25.5">
      <c r="A64" s="313" t="str">
        <f t="shared" si="0"/>
        <v>force_kilogramForce</v>
      </c>
      <c r="B64" s="330"/>
      <c r="C64" s="334"/>
      <c r="D64" s="188" t="s">
        <v>503</v>
      </c>
      <c r="E64" s="189" t="s">
        <v>504</v>
      </c>
      <c r="F64" s="162" t="s">
        <v>505</v>
      </c>
      <c r="G64" s="190"/>
      <c r="H64" s="162" t="s">
        <v>506</v>
      </c>
      <c r="I64" s="191">
        <v>70147</v>
      </c>
      <c r="J64" s="300" t="str">
        <f>CONCATENATE([2]Cover!$D$6,"fdd/view?i=",I64)</f>
        <v>https://www.dgiwg.org/FAD/fdd/view?i=70147</v>
      </c>
      <c r="K64" s="300" t="s">
        <v>33818</v>
      </c>
      <c r="L64" s="188">
        <v>2</v>
      </c>
      <c r="M64" s="180" t="s">
        <v>151</v>
      </c>
      <c r="N64" s="183"/>
    </row>
    <row r="65" spans="1:14" ht="25.5">
      <c r="A65" s="313" t="str">
        <f t="shared" si="0"/>
        <v>force_poundForce</v>
      </c>
      <c r="B65" s="330"/>
      <c r="C65" s="334"/>
      <c r="D65" s="188" t="s">
        <v>507</v>
      </c>
      <c r="E65" s="189" t="s">
        <v>508</v>
      </c>
      <c r="F65" s="162" t="s">
        <v>509</v>
      </c>
      <c r="G65" s="190"/>
      <c r="H65" s="162" t="s">
        <v>510</v>
      </c>
      <c r="I65" s="191">
        <v>70148</v>
      </c>
      <c r="J65" s="300" t="str">
        <f>CONCATENATE([2]Cover!$D$6,"fdd/view?i=",I65)</f>
        <v>https://www.dgiwg.org/FAD/fdd/view?i=70148</v>
      </c>
      <c r="K65" s="300" t="s">
        <v>33819</v>
      </c>
      <c r="L65" s="188">
        <v>3</v>
      </c>
      <c r="M65" s="180" t="s">
        <v>151</v>
      </c>
      <c r="N65" s="183"/>
    </row>
    <row r="66" spans="1:14" ht="38.25">
      <c r="A66" s="313" t="str">
        <f t="shared" si="0"/>
        <v>force_newton</v>
      </c>
      <c r="B66" s="330"/>
      <c r="C66" s="334"/>
      <c r="D66" s="207" t="s">
        <v>511</v>
      </c>
      <c r="E66" s="208" t="s">
        <v>512</v>
      </c>
      <c r="F66" s="207" t="s">
        <v>513</v>
      </c>
      <c r="G66" s="209"/>
      <c r="H66" s="209"/>
      <c r="I66" s="207">
        <v>70149</v>
      </c>
      <c r="J66" s="310" t="str">
        <f>CONCATENATE([2]Cover!$D$6,"fdd/view?i=",I66)</f>
        <v>https://www.dgiwg.org/FAD/fdd/view?i=70149</v>
      </c>
      <c r="K66" s="310" t="s">
        <v>33820</v>
      </c>
      <c r="L66" s="207">
        <v>4</v>
      </c>
      <c r="M66" s="180" t="s">
        <v>151</v>
      </c>
      <c r="N66" s="183"/>
    </row>
    <row r="67" spans="1:14" ht="25.5">
      <c r="A67" s="313" t="str">
        <f t="shared" ref="A67:A130" si="1">HYPERLINK(J67,K67)</f>
        <v>force_dyne</v>
      </c>
      <c r="B67" s="331"/>
      <c r="C67" s="335"/>
      <c r="D67" s="181" t="s">
        <v>514</v>
      </c>
      <c r="E67" s="192" t="s">
        <v>515</v>
      </c>
      <c r="F67" s="193" t="s">
        <v>516</v>
      </c>
      <c r="G67" s="194"/>
      <c r="H67" s="194"/>
      <c r="I67" s="195">
        <v>70150</v>
      </c>
      <c r="J67" s="301" t="str">
        <f>CONCATENATE([2]Cover!$D$6,"fdd/view?i=",I67)</f>
        <v>https://www.dgiwg.org/FAD/fdd/view?i=70150</v>
      </c>
      <c r="K67" s="301" t="s">
        <v>33821</v>
      </c>
      <c r="L67" s="181">
        <v>5</v>
      </c>
      <c r="M67" s="182" t="s">
        <v>151</v>
      </c>
      <c r="N67" s="183"/>
    </row>
    <row r="68" spans="1:14" ht="25.5">
      <c r="A68" s="313" t="str">
        <f t="shared" si="1"/>
        <v>frequency_gigahertz</v>
      </c>
      <c r="B68" s="332" t="str">
        <f>HYPERLINK("[#]PhysicalQuantities!A15:N15","frequency")</f>
        <v>frequency</v>
      </c>
      <c r="C68" s="333" t="s">
        <v>190</v>
      </c>
      <c r="D68" s="202" t="s">
        <v>517</v>
      </c>
      <c r="E68" s="203" t="s">
        <v>518</v>
      </c>
      <c r="F68" s="204" t="s">
        <v>519</v>
      </c>
      <c r="G68" s="205"/>
      <c r="H68" s="205"/>
      <c r="I68" s="206">
        <v>70151</v>
      </c>
      <c r="J68" s="309" t="str">
        <f>CONCATENATE([2]Cover!$D$6,"fdd/view?i=",I68)</f>
        <v>https://www.dgiwg.org/FAD/fdd/view?i=70151</v>
      </c>
      <c r="K68" s="309" t="s">
        <v>33822</v>
      </c>
      <c r="L68" s="202">
        <v>1</v>
      </c>
      <c r="M68" s="187" t="s">
        <v>151</v>
      </c>
      <c r="N68" s="183"/>
    </row>
    <row r="69" spans="1:14" ht="25.5">
      <c r="A69" s="313" t="str">
        <f t="shared" si="1"/>
        <v>frequency_megahertz</v>
      </c>
      <c r="B69" s="330"/>
      <c r="C69" s="334"/>
      <c r="D69" s="188" t="s">
        <v>520</v>
      </c>
      <c r="E69" s="189" t="s">
        <v>521</v>
      </c>
      <c r="F69" s="162" t="s">
        <v>522</v>
      </c>
      <c r="G69" s="190"/>
      <c r="H69" s="190"/>
      <c r="I69" s="191">
        <v>70152</v>
      </c>
      <c r="J69" s="300" t="str">
        <f>CONCATENATE([2]Cover!$D$6,"fdd/view?i=",I69)</f>
        <v>https://www.dgiwg.org/FAD/fdd/view?i=70152</v>
      </c>
      <c r="K69" s="300" t="s">
        <v>33823</v>
      </c>
      <c r="L69" s="188">
        <v>2</v>
      </c>
      <c r="M69" s="180" t="s">
        <v>151</v>
      </c>
      <c r="N69" s="183"/>
    </row>
    <row r="70" spans="1:14" ht="25.5">
      <c r="A70" s="313" t="str">
        <f t="shared" si="1"/>
        <v>frequency_kilohertz</v>
      </c>
      <c r="B70" s="330"/>
      <c r="C70" s="334"/>
      <c r="D70" s="188" t="s">
        <v>523</v>
      </c>
      <c r="E70" s="189" t="s">
        <v>524</v>
      </c>
      <c r="F70" s="162" t="s">
        <v>525</v>
      </c>
      <c r="G70" s="190"/>
      <c r="H70" s="190"/>
      <c r="I70" s="191">
        <v>70153</v>
      </c>
      <c r="J70" s="300" t="str">
        <f>CONCATENATE([2]Cover!$D$6,"fdd/view?i=",I70)</f>
        <v>https://www.dgiwg.org/FAD/fdd/view?i=70153</v>
      </c>
      <c r="K70" s="300" t="s">
        <v>33824</v>
      </c>
      <c r="L70" s="188">
        <v>3</v>
      </c>
      <c r="M70" s="180" t="s">
        <v>151</v>
      </c>
      <c r="N70" s="183"/>
    </row>
    <row r="71" spans="1:14">
      <c r="A71" s="313" t="str">
        <f t="shared" si="1"/>
        <v>frequency_hertz</v>
      </c>
      <c r="B71" s="331"/>
      <c r="C71" s="335"/>
      <c r="D71" s="210" t="s">
        <v>526</v>
      </c>
      <c r="E71" s="211" t="s">
        <v>527</v>
      </c>
      <c r="F71" s="210" t="s">
        <v>528</v>
      </c>
      <c r="G71" s="212"/>
      <c r="H71" s="212"/>
      <c r="I71" s="210">
        <v>70154</v>
      </c>
      <c r="J71" s="311" t="str">
        <f>CONCATENATE([2]Cover!$D$6,"fdd/view?i=",I71)</f>
        <v>https://www.dgiwg.org/FAD/fdd/view?i=70154</v>
      </c>
      <c r="K71" s="311" t="s">
        <v>33825</v>
      </c>
      <c r="L71" s="210">
        <v>4</v>
      </c>
      <c r="M71" s="182" t="s">
        <v>151</v>
      </c>
      <c r="N71" s="183"/>
    </row>
    <row r="72" spans="1:14" ht="38.25">
      <c r="A72" s="313" t="str">
        <f t="shared" si="1"/>
        <v>geopotentialEnergyLength_geopotentialMetre</v>
      </c>
      <c r="B72" s="196" t="str">
        <f>HYPERLINK("[#]PhysicalQuantities!A16:N16","geopotentialEnergyLength")</f>
        <v>geopotentialEnergyLength</v>
      </c>
      <c r="C72" s="197" t="s">
        <v>193</v>
      </c>
      <c r="D72" s="213" t="s">
        <v>529</v>
      </c>
      <c r="E72" s="214" t="s">
        <v>530</v>
      </c>
      <c r="F72" s="215" t="s">
        <v>531</v>
      </c>
      <c r="G72" s="215" t="s">
        <v>532</v>
      </c>
      <c r="H72" s="216"/>
      <c r="I72" s="217">
        <v>70155</v>
      </c>
      <c r="J72" s="312" t="str">
        <f>CONCATENATE([2]Cover!$D$6,"fdd/view?i=",I72)</f>
        <v>https://www.dgiwg.org/FAD/fdd/view?i=70155</v>
      </c>
      <c r="K72" s="312" t="s">
        <v>33826</v>
      </c>
      <c r="L72" s="213">
        <v>1</v>
      </c>
      <c r="M72" s="201" t="s">
        <v>151</v>
      </c>
      <c r="N72" s="183"/>
    </row>
    <row r="73" spans="1:14" ht="25.5">
      <c r="A73" s="313" t="str">
        <f t="shared" si="1"/>
        <v>illuminance_lux</v>
      </c>
      <c r="B73" s="332" t="str">
        <f>HYPERLINK("[#]PhysicalQuantities!A17:N17","illuminance")</f>
        <v>illuminance</v>
      </c>
      <c r="C73" s="333" t="s">
        <v>196</v>
      </c>
      <c r="D73" s="184" t="s">
        <v>533</v>
      </c>
      <c r="E73" s="185" t="s">
        <v>534</v>
      </c>
      <c r="F73" s="184" t="s">
        <v>535</v>
      </c>
      <c r="G73" s="186"/>
      <c r="H73" s="186"/>
      <c r="I73" s="184">
        <v>70157</v>
      </c>
      <c r="J73" s="307" t="str">
        <f>CONCATENATE([2]Cover!$D$6,"fdd/view?i=",I73)</f>
        <v>https://www.dgiwg.org/FAD/fdd/view?i=70157</v>
      </c>
      <c r="K73" s="307" t="s">
        <v>33827</v>
      </c>
      <c r="L73" s="184">
        <v>1</v>
      </c>
      <c r="M73" s="187" t="s">
        <v>151</v>
      </c>
      <c r="N73" s="183"/>
    </row>
    <row r="74" spans="1:14" ht="25.5">
      <c r="A74" s="313" t="str">
        <f t="shared" si="1"/>
        <v>illuminance_kilolux</v>
      </c>
      <c r="B74" s="330"/>
      <c r="C74" s="334"/>
      <c r="D74" s="188" t="s">
        <v>536</v>
      </c>
      <c r="E74" s="189" t="s">
        <v>537</v>
      </c>
      <c r="F74" s="162" t="s">
        <v>538</v>
      </c>
      <c r="G74" s="190"/>
      <c r="H74" s="190"/>
      <c r="I74" s="191">
        <v>70156</v>
      </c>
      <c r="J74" s="300" t="str">
        <f>CONCATENATE([2]Cover!$D$6,"fdd/view?i=",I74)</f>
        <v>https://www.dgiwg.org/FAD/fdd/view?i=70156</v>
      </c>
      <c r="K74" s="300" t="s">
        <v>33828</v>
      </c>
      <c r="L74" s="188">
        <v>2</v>
      </c>
      <c r="M74" s="180" t="s">
        <v>151</v>
      </c>
      <c r="N74" s="183"/>
    </row>
    <row r="75" spans="1:14">
      <c r="A75" s="313" t="str">
        <f t="shared" si="1"/>
        <v>illuminance_millilux</v>
      </c>
      <c r="B75" s="331"/>
      <c r="C75" s="335"/>
      <c r="D75" s="181" t="s">
        <v>539</v>
      </c>
      <c r="E75" s="192" t="s">
        <v>540</v>
      </c>
      <c r="F75" s="193" t="s">
        <v>541</v>
      </c>
      <c r="G75" s="194"/>
      <c r="H75" s="194"/>
      <c r="I75" s="195">
        <v>70158</v>
      </c>
      <c r="J75" s="301" t="str">
        <f>CONCATENATE([2]Cover!$D$6,"fdd/view?i=",I75)</f>
        <v>https://www.dgiwg.org/FAD/fdd/view?i=70158</v>
      </c>
      <c r="K75" s="301" t="s">
        <v>33829</v>
      </c>
      <c r="L75" s="181">
        <v>3</v>
      </c>
      <c r="M75" s="182" t="s">
        <v>151</v>
      </c>
      <c r="N75" s="183"/>
    </row>
    <row r="76" spans="1:14">
      <c r="A76" s="313" t="str">
        <f t="shared" si="1"/>
        <v>inductance_henry</v>
      </c>
      <c r="B76" s="332" t="str">
        <f>HYPERLINK("[#]PhysicalQuantities!A18:N18","inductance")</f>
        <v>inductance</v>
      </c>
      <c r="C76" s="333" t="s">
        <v>200</v>
      </c>
      <c r="D76" s="184" t="s">
        <v>542</v>
      </c>
      <c r="E76" s="185" t="s">
        <v>543</v>
      </c>
      <c r="F76" s="184" t="s">
        <v>544</v>
      </c>
      <c r="G76" s="186"/>
      <c r="H76" s="186"/>
      <c r="I76" s="184">
        <v>70159</v>
      </c>
      <c r="J76" s="307" t="str">
        <f>CONCATENATE([2]Cover!$D$6,"fdd/view?i=",I76)</f>
        <v>https://www.dgiwg.org/FAD/fdd/view?i=70159</v>
      </c>
      <c r="K76" s="307" t="s">
        <v>33830</v>
      </c>
      <c r="L76" s="184">
        <v>1</v>
      </c>
      <c r="M76" s="187" t="s">
        <v>151</v>
      </c>
      <c r="N76" s="183"/>
    </row>
    <row r="77" spans="1:14" ht="25.5">
      <c r="A77" s="313" t="str">
        <f t="shared" si="1"/>
        <v>inductance_microhenry</v>
      </c>
      <c r="B77" s="331"/>
      <c r="C77" s="335"/>
      <c r="D77" s="181" t="s">
        <v>545</v>
      </c>
      <c r="E77" s="192" t="s">
        <v>546</v>
      </c>
      <c r="F77" s="193" t="s">
        <v>547</v>
      </c>
      <c r="G77" s="194"/>
      <c r="H77" s="194"/>
      <c r="I77" s="195">
        <v>70160</v>
      </c>
      <c r="J77" s="301" t="str">
        <f>CONCATENATE([2]Cover!$D$6,"fdd/view?i=",I77)</f>
        <v>https://www.dgiwg.org/FAD/fdd/view?i=70160</v>
      </c>
      <c r="K77" s="301" t="s">
        <v>33831</v>
      </c>
      <c r="L77" s="181">
        <v>2</v>
      </c>
      <c r="M77" s="182" t="s">
        <v>151</v>
      </c>
      <c r="N77" s="183"/>
    </row>
    <row r="78" spans="1:14" ht="25.5">
      <c r="A78" s="313" t="str">
        <f t="shared" si="1"/>
        <v>irradiance_wattPerSquareMetre</v>
      </c>
      <c r="B78" s="332" t="str">
        <f>HYPERLINK("[#]PhysicalQuantities!A19:N19","irradiance")</f>
        <v>irradiance</v>
      </c>
      <c r="C78" s="333" t="s">
        <v>203</v>
      </c>
      <c r="D78" s="184" t="s">
        <v>548</v>
      </c>
      <c r="E78" s="185" t="s">
        <v>549</v>
      </c>
      <c r="F78" s="184" t="s">
        <v>550</v>
      </c>
      <c r="G78" s="186"/>
      <c r="H78" s="186"/>
      <c r="I78" s="184">
        <v>70161</v>
      </c>
      <c r="J78" s="307" t="str">
        <f>CONCATENATE([2]Cover!$D$6,"fdd/view?i=",I78)</f>
        <v>https://www.dgiwg.org/FAD/fdd/view?i=70161</v>
      </c>
      <c r="K78" s="307" t="s">
        <v>33832</v>
      </c>
      <c r="L78" s="184">
        <v>1</v>
      </c>
      <c r="M78" s="187" t="s">
        <v>151</v>
      </c>
      <c r="N78" s="183"/>
    </row>
    <row r="79" spans="1:14" ht="25.5">
      <c r="A79" s="313" t="str">
        <f t="shared" si="1"/>
        <v>irradiance_ergsPerSqCmPerSecond</v>
      </c>
      <c r="B79" s="331"/>
      <c r="C79" s="335"/>
      <c r="D79" s="181" t="s">
        <v>551</v>
      </c>
      <c r="E79" s="192" t="s">
        <v>552</v>
      </c>
      <c r="F79" s="193" t="s">
        <v>553</v>
      </c>
      <c r="G79" s="194"/>
      <c r="H79" s="194"/>
      <c r="I79" s="195">
        <v>70162</v>
      </c>
      <c r="J79" s="301" t="str">
        <f>CONCATENATE([2]Cover!$D$6,"fdd/view?i=",I79)</f>
        <v>https://www.dgiwg.org/FAD/fdd/view?i=70162</v>
      </c>
      <c r="K79" s="301" t="s">
        <v>33833</v>
      </c>
      <c r="L79" s="181">
        <v>2</v>
      </c>
      <c r="M79" s="182" t="s">
        <v>151</v>
      </c>
      <c r="N79" s="183"/>
    </row>
    <row r="80" spans="1:14" ht="38.25">
      <c r="A80" s="313" t="str">
        <f t="shared" si="1"/>
        <v>length_metre</v>
      </c>
      <c r="B80" s="332" t="str">
        <f>HYPERLINK("[#]PhysicalQuantities!A20:N20","length")</f>
        <v>length</v>
      </c>
      <c r="C80" s="333" t="s">
        <v>40</v>
      </c>
      <c r="D80" s="184" t="s">
        <v>554</v>
      </c>
      <c r="E80" s="185" t="s">
        <v>555</v>
      </c>
      <c r="F80" s="184" t="s">
        <v>556</v>
      </c>
      <c r="G80" s="186"/>
      <c r="H80" s="186"/>
      <c r="I80" s="184">
        <v>70163</v>
      </c>
      <c r="J80" s="307" t="str">
        <f>CONCATENATE([2]Cover!$D$6,"fdd/view?i=",I80)</f>
        <v>https://www.dgiwg.org/FAD/fdd/view?i=70163</v>
      </c>
      <c r="K80" s="307" t="s">
        <v>33834</v>
      </c>
      <c r="L80" s="184">
        <v>1</v>
      </c>
      <c r="M80" s="187" t="s">
        <v>151</v>
      </c>
      <c r="N80" s="183"/>
    </row>
    <row r="81" spans="1:14" ht="25.5">
      <c r="A81" s="313" t="str">
        <f t="shared" si="1"/>
        <v>length_hectokilometre</v>
      </c>
      <c r="B81" s="330"/>
      <c r="C81" s="334"/>
      <c r="D81" s="188" t="s">
        <v>557</v>
      </c>
      <c r="E81" s="189" t="s">
        <v>558</v>
      </c>
      <c r="F81" s="162" t="s">
        <v>559</v>
      </c>
      <c r="G81" s="190"/>
      <c r="H81" s="190"/>
      <c r="I81" s="191">
        <v>70164</v>
      </c>
      <c r="J81" s="300" t="str">
        <f>CONCATENATE([2]Cover!$D$6,"fdd/view?i=",I81)</f>
        <v>https://www.dgiwg.org/FAD/fdd/view?i=70164</v>
      </c>
      <c r="K81" s="300" t="s">
        <v>33835</v>
      </c>
      <c r="L81" s="188">
        <v>2</v>
      </c>
      <c r="M81" s="180" t="s">
        <v>151</v>
      </c>
      <c r="N81" s="183"/>
    </row>
    <row r="82" spans="1:14" ht="25.5">
      <c r="A82" s="313" t="str">
        <f t="shared" si="1"/>
        <v>length_decakilometre</v>
      </c>
      <c r="B82" s="330"/>
      <c r="C82" s="334"/>
      <c r="D82" s="188" t="s">
        <v>560</v>
      </c>
      <c r="E82" s="189" t="s">
        <v>561</v>
      </c>
      <c r="F82" s="162" t="s">
        <v>562</v>
      </c>
      <c r="G82" s="190"/>
      <c r="H82" s="190"/>
      <c r="I82" s="191">
        <v>70165</v>
      </c>
      <c r="J82" s="300" t="str">
        <f>CONCATENATE([2]Cover!$D$6,"fdd/view?i=",I82)</f>
        <v>https://www.dgiwg.org/FAD/fdd/view?i=70165</v>
      </c>
      <c r="K82" s="300" t="s">
        <v>33836</v>
      </c>
      <c r="L82" s="188">
        <v>3</v>
      </c>
      <c r="M82" s="180" t="s">
        <v>151</v>
      </c>
      <c r="N82" s="183"/>
    </row>
    <row r="83" spans="1:14">
      <c r="A83" s="313" t="str">
        <f t="shared" si="1"/>
        <v>length_kilometre</v>
      </c>
      <c r="B83" s="330"/>
      <c r="C83" s="334"/>
      <c r="D83" s="188" t="s">
        <v>563</v>
      </c>
      <c r="E83" s="189" t="s">
        <v>564</v>
      </c>
      <c r="F83" s="162" t="s">
        <v>565</v>
      </c>
      <c r="G83" s="190"/>
      <c r="H83" s="190"/>
      <c r="I83" s="191">
        <v>70166</v>
      </c>
      <c r="J83" s="300" t="str">
        <f>CONCATENATE([2]Cover!$D$6,"fdd/view?i=",I83)</f>
        <v>https://www.dgiwg.org/FAD/fdd/view?i=70166</v>
      </c>
      <c r="K83" s="300" t="s">
        <v>33837</v>
      </c>
      <c r="L83" s="188">
        <v>4</v>
      </c>
      <c r="M83" s="180" t="s">
        <v>151</v>
      </c>
      <c r="N83" s="183"/>
    </row>
    <row r="84" spans="1:14">
      <c r="A84" s="313" t="str">
        <f t="shared" si="1"/>
        <v>length_hectometre</v>
      </c>
      <c r="B84" s="330"/>
      <c r="C84" s="334"/>
      <c r="D84" s="188" t="s">
        <v>566</v>
      </c>
      <c r="E84" s="189" t="s">
        <v>567</v>
      </c>
      <c r="F84" s="162" t="s">
        <v>568</v>
      </c>
      <c r="G84" s="190"/>
      <c r="H84" s="190"/>
      <c r="I84" s="191">
        <v>70167</v>
      </c>
      <c r="J84" s="300" t="str">
        <f>CONCATENATE([2]Cover!$D$6,"fdd/view?i=",I84)</f>
        <v>https://www.dgiwg.org/FAD/fdd/view?i=70167</v>
      </c>
      <c r="K84" s="300" t="s">
        <v>33838</v>
      </c>
      <c r="L84" s="188">
        <v>5</v>
      </c>
      <c r="M84" s="180" t="s">
        <v>151</v>
      </c>
      <c r="N84" s="183"/>
    </row>
    <row r="85" spans="1:14">
      <c r="A85" s="313" t="str">
        <f t="shared" si="1"/>
        <v>length_halfHectometre</v>
      </c>
      <c r="B85" s="330"/>
      <c r="C85" s="334"/>
      <c r="D85" s="188" t="s">
        <v>569</v>
      </c>
      <c r="E85" s="189" t="s">
        <v>570</v>
      </c>
      <c r="F85" s="162" t="s">
        <v>571</v>
      </c>
      <c r="G85" s="190"/>
      <c r="H85" s="190"/>
      <c r="I85" s="191">
        <v>70168</v>
      </c>
      <c r="J85" s="300" t="str">
        <f>CONCATENATE([2]Cover!$D$6,"fdd/view?i=",I85)</f>
        <v>https://www.dgiwg.org/FAD/fdd/view?i=70168</v>
      </c>
      <c r="K85" s="300" t="s">
        <v>33839</v>
      </c>
      <c r="L85" s="188">
        <v>6</v>
      </c>
      <c r="M85" s="180" t="s">
        <v>151</v>
      </c>
      <c r="N85" s="183"/>
    </row>
    <row r="86" spans="1:14">
      <c r="A86" s="313" t="str">
        <f t="shared" si="1"/>
        <v>length_decametre</v>
      </c>
      <c r="B86" s="330"/>
      <c r="C86" s="334"/>
      <c r="D86" s="188" t="s">
        <v>572</v>
      </c>
      <c r="E86" s="189" t="s">
        <v>573</v>
      </c>
      <c r="F86" s="162" t="s">
        <v>574</v>
      </c>
      <c r="G86" s="190"/>
      <c r="H86" s="190"/>
      <c r="I86" s="191">
        <v>70169</v>
      </c>
      <c r="J86" s="300" t="str">
        <f>CONCATENATE([2]Cover!$D$6,"fdd/view?i=",I86)</f>
        <v>https://www.dgiwg.org/FAD/fdd/view?i=70169</v>
      </c>
      <c r="K86" s="300" t="s">
        <v>33840</v>
      </c>
      <c r="L86" s="188">
        <v>7</v>
      </c>
      <c r="M86" s="180" t="s">
        <v>151</v>
      </c>
      <c r="N86" s="183"/>
    </row>
    <row r="87" spans="1:14">
      <c r="A87" s="313" t="str">
        <f t="shared" si="1"/>
        <v>length_halfMetre</v>
      </c>
      <c r="B87" s="330"/>
      <c r="C87" s="334"/>
      <c r="D87" s="188" t="s">
        <v>575</v>
      </c>
      <c r="E87" s="189" t="s">
        <v>576</v>
      </c>
      <c r="F87" s="162" t="s">
        <v>577</v>
      </c>
      <c r="G87" s="190"/>
      <c r="H87" s="190"/>
      <c r="I87" s="191">
        <v>70170</v>
      </c>
      <c r="J87" s="300" t="str">
        <f>CONCATENATE([2]Cover!$D$6,"fdd/view?i=",I87)</f>
        <v>https://www.dgiwg.org/FAD/fdd/view?i=70170</v>
      </c>
      <c r="K87" s="300" t="s">
        <v>33841</v>
      </c>
      <c r="L87" s="188">
        <v>8</v>
      </c>
      <c r="M87" s="180" t="s">
        <v>151</v>
      </c>
      <c r="N87" s="183"/>
    </row>
    <row r="88" spans="1:14">
      <c r="A88" s="313" t="str">
        <f t="shared" si="1"/>
        <v>length_decimetre</v>
      </c>
      <c r="B88" s="330"/>
      <c r="C88" s="334"/>
      <c r="D88" s="188" t="s">
        <v>578</v>
      </c>
      <c r="E88" s="189" t="s">
        <v>579</v>
      </c>
      <c r="F88" s="162" t="s">
        <v>580</v>
      </c>
      <c r="G88" s="190"/>
      <c r="H88" s="190"/>
      <c r="I88" s="191">
        <v>70171</v>
      </c>
      <c r="J88" s="300" t="str">
        <f>CONCATENATE([2]Cover!$D$6,"fdd/view?i=",I88)</f>
        <v>https://www.dgiwg.org/FAD/fdd/view?i=70171</v>
      </c>
      <c r="K88" s="300" t="s">
        <v>33842</v>
      </c>
      <c r="L88" s="188">
        <v>9</v>
      </c>
      <c r="M88" s="180" t="s">
        <v>151</v>
      </c>
      <c r="N88" s="183"/>
    </row>
    <row r="89" spans="1:14">
      <c r="A89" s="313" t="str">
        <f t="shared" si="1"/>
        <v>length_centimetre</v>
      </c>
      <c r="B89" s="330"/>
      <c r="C89" s="334"/>
      <c r="D89" s="188" t="s">
        <v>581</v>
      </c>
      <c r="E89" s="189" t="s">
        <v>582</v>
      </c>
      <c r="F89" s="162" t="s">
        <v>583</v>
      </c>
      <c r="G89" s="190"/>
      <c r="H89" s="190"/>
      <c r="I89" s="191">
        <v>70172</v>
      </c>
      <c r="J89" s="300" t="str">
        <f>CONCATENATE([2]Cover!$D$6,"fdd/view?i=",I89)</f>
        <v>https://www.dgiwg.org/FAD/fdd/view?i=70172</v>
      </c>
      <c r="K89" s="300" t="s">
        <v>33843</v>
      </c>
      <c r="L89" s="188">
        <v>10</v>
      </c>
      <c r="M89" s="180" t="s">
        <v>151</v>
      </c>
      <c r="N89" s="183"/>
    </row>
    <row r="90" spans="1:14">
      <c r="A90" s="313" t="str">
        <f t="shared" si="1"/>
        <v>length_millimetre</v>
      </c>
      <c r="B90" s="330"/>
      <c r="C90" s="334"/>
      <c r="D90" s="188" t="s">
        <v>584</v>
      </c>
      <c r="E90" s="189" t="s">
        <v>585</v>
      </c>
      <c r="F90" s="162" t="s">
        <v>586</v>
      </c>
      <c r="G90" s="190"/>
      <c r="H90" s="190"/>
      <c r="I90" s="191">
        <v>70173</v>
      </c>
      <c r="J90" s="300" t="str">
        <f>CONCATENATE([2]Cover!$D$6,"fdd/view?i=",I90)</f>
        <v>https://www.dgiwg.org/FAD/fdd/view?i=70173</v>
      </c>
      <c r="K90" s="300" t="s">
        <v>33844</v>
      </c>
      <c r="L90" s="188">
        <v>11</v>
      </c>
      <c r="M90" s="180" t="s">
        <v>151</v>
      </c>
      <c r="N90" s="183"/>
    </row>
    <row r="91" spans="1:14" ht="25.5">
      <c r="A91" s="313" t="str">
        <f t="shared" si="1"/>
        <v>length_micrometre</v>
      </c>
      <c r="B91" s="330"/>
      <c r="C91" s="334"/>
      <c r="D91" s="188" t="s">
        <v>587</v>
      </c>
      <c r="E91" s="189" t="s">
        <v>588</v>
      </c>
      <c r="F91" s="162" t="s">
        <v>589</v>
      </c>
      <c r="G91" s="190"/>
      <c r="H91" s="190"/>
      <c r="I91" s="191">
        <v>70174</v>
      </c>
      <c r="J91" s="300" t="str">
        <f>CONCATENATE([2]Cover!$D$6,"fdd/view?i=",I91)</f>
        <v>https://www.dgiwg.org/FAD/fdd/view?i=70174</v>
      </c>
      <c r="K91" s="300" t="s">
        <v>33845</v>
      </c>
      <c r="L91" s="188">
        <v>12</v>
      </c>
      <c r="M91" s="180" t="s">
        <v>151</v>
      </c>
      <c r="N91" s="183"/>
    </row>
    <row r="92" spans="1:14" ht="25.5">
      <c r="A92" s="313" t="str">
        <f t="shared" si="1"/>
        <v>length_nanometre</v>
      </c>
      <c r="B92" s="330"/>
      <c r="C92" s="334"/>
      <c r="D92" s="188" t="s">
        <v>590</v>
      </c>
      <c r="E92" s="189" t="s">
        <v>591</v>
      </c>
      <c r="F92" s="162" t="s">
        <v>592</v>
      </c>
      <c r="G92" s="190"/>
      <c r="H92" s="190"/>
      <c r="I92" s="191">
        <v>70175</v>
      </c>
      <c r="J92" s="300" t="str">
        <f>CONCATENATE([2]Cover!$D$6,"fdd/view?i=",I92)</f>
        <v>https://www.dgiwg.org/FAD/fdd/view?i=70175</v>
      </c>
      <c r="K92" s="300" t="s">
        <v>33846</v>
      </c>
      <c r="L92" s="188">
        <v>13</v>
      </c>
      <c r="M92" s="180" t="s">
        <v>151</v>
      </c>
      <c r="N92" s="183"/>
    </row>
    <row r="93" spans="1:14" ht="25.5">
      <c r="A93" s="313" t="str">
        <f t="shared" si="1"/>
        <v>length_picometre</v>
      </c>
      <c r="B93" s="330"/>
      <c r="C93" s="334"/>
      <c r="D93" s="188" t="s">
        <v>593</v>
      </c>
      <c r="E93" s="189" t="s">
        <v>594</v>
      </c>
      <c r="F93" s="162" t="s">
        <v>595</v>
      </c>
      <c r="G93" s="190"/>
      <c r="H93" s="190"/>
      <c r="I93" s="191">
        <v>70176</v>
      </c>
      <c r="J93" s="300" t="str">
        <f>CONCATENATE([2]Cover!$D$6,"fdd/view?i=",I93)</f>
        <v>https://www.dgiwg.org/FAD/fdd/view?i=70176</v>
      </c>
      <c r="K93" s="300" t="s">
        <v>33847</v>
      </c>
      <c r="L93" s="188">
        <v>14</v>
      </c>
      <c r="M93" s="180" t="s">
        <v>151</v>
      </c>
      <c r="N93" s="183"/>
    </row>
    <row r="94" spans="1:14">
      <c r="A94" s="313" t="str">
        <f t="shared" si="1"/>
        <v>length_nauticalMile</v>
      </c>
      <c r="B94" s="330"/>
      <c r="C94" s="334"/>
      <c r="D94" s="188" t="s">
        <v>596</v>
      </c>
      <c r="E94" s="189" t="s">
        <v>597</v>
      </c>
      <c r="F94" s="162" t="s">
        <v>598</v>
      </c>
      <c r="G94" s="190"/>
      <c r="H94" s="190"/>
      <c r="I94" s="191">
        <v>70177</v>
      </c>
      <c r="J94" s="300" t="str">
        <f>CONCATENATE([2]Cover!$D$6,"fdd/view?i=",I94)</f>
        <v>https://www.dgiwg.org/FAD/fdd/view?i=70177</v>
      </c>
      <c r="K94" s="300" t="s">
        <v>33848</v>
      </c>
      <c r="L94" s="188">
        <v>15</v>
      </c>
      <c r="M94" s="180" t="s">
        <v>151</v>
      </c>
      <c r="N94" s="183"/>
    </row>
    <row r="95" spans="1:14" ht="25.5">
      <c r="A95" s="313" t="str">
        <f t="shared" si="1"/>
        <v>length_deciNauticalMile</v>
      </c>
      <c r="B95" s="330"/>
      <c r="C95" s="334"/>
      <c r="D95" s="188" t="s">
        <v>599</v>
      </c>
      <c r="E95" s="189" t="s">
        <v>600</v>
      </c>
      <c r="F95" s="162" t="s">
        <v>601</v>
      </c>
      <c r="G95" s="190"/>
      <c r="H95" s="190"/>
      <c r="I95" s="191">
        <v>70178</v>
      </c>
      <c r="J95" s="300" t="str">
        <f>CONCATENATE([2]Cover!$D$6,"fdd/view?i=",I95)</f>
        <v>https://www.dgiwg.org/FAD/fdd/view?i=70178</v>
      </c>
      <c r="K95" s="300" t="s">
        <v>33849</v>
      </c>
      <c r="L95" s="188">
        <v>16</v>
      </c>
      <c r="M95" s="180" t="s">
        <v>151</v>
      </c>
      <c r="N95" s="183"/>
    </row>
    <row r="96" spans="1:14" ht="25.5">
      <c r="A96" s="313" t="str">
        <f t="shared" si="1"/>
        <v>length_statuteMile</v>
      </c>
      <c r="B96" s="330"/>
      <c r="C96" s="334"/>
      <c r="D96" s="188" t="s">
        <v>602</v>
      </c>
      <c r="E96" s="189" t="s">
        <v>603</v>
      </c>
      <c r="F96" s="162" t="s">
        <v>604</v>
      </c>
      <c r="G96" s="190"/>
      <c r="H96" s="190"/>
      <c r="I96" s="191">
        <v>70179</v>
      </c>
      <c r="J96" s="300" t="str">
        <f>CONCATENATE([2]Cover!$D$6,"fdd/view?i=",I96)</f>
        <v>https://www.dgiwg.org/FAD/fdd/view?i=70179</v>
      </c>
      <c r="K96" s="300" t="s">
        <v>33850</v>
      </c>
      <c r="L96" s="188">
        <v>17</v>
      </c>
      <c r="M96" s="180" t="s">
        <v>151</v>
      </c>
      <c r="N96" s="183"/>
    </row>
    <row r="97" spans="1:14" ht="38.25">
      <c r="A97" s="313" t="str">
        <f t="shared" si="1"/>
        <v>length_dataMile</v>
      </c>
      <c r="B97" s="330"/>
      <c r="C97" s="334"/>
      <c r="D97" s="188" t="s">
        <v>605</v>
      </c>
      <c r="E97" s="189" t="s">
        <v>606</v>
      </c>
      <c r="F97" s="162" t="s">
        <v>607</v>
      </c>
      <c r="G97" s="162" t="s">
        <v>608</v>
      </c>
      <c r="H97" s="190"/>
      <c r="I97" s="191">
        <v>70180</v>
      </c>
      <c r="J97" s="300" t="str">
        <f>CONCATENATE([2]Cover!$D$6,"fdd/view?i=",I97)</f>
        <v>https://www.dgiwg.org/FAD/fdd/view?i=70180</v>
      </c>
      <c r="K97" s="300" t="s">
        <v>33851</v>
      </c>
      <c r="L97" s="188">
        <v>18</v>
      </c>
      <c r="M97" s="180" t="s">
        <v>151</v>
      </c>
      <c r="N97" s="183"/>
    </row>
    <row r="98" spans="1:14" ht="25.5">
      <c r="A98" s="313" t="str">
        <f t="shared" si="1"/>
        <v>length_kiloyard</v>
      </c>
      <c r="B98" s="330"/>
      <c r="C98" s="334"/>
      <c r="D98" s="188" t="s">
        <v>609</v>
      </c>
      <c r="E98" s="189" t="s">
        <v>610</v>
      </c>
      <c r="F98" s="162" t="s">
        <v>611</v>
      </c>
      <c r="G98" s="190"/>
      <c r="H98" s="190"/>
      <c r="I98" s="191">
        <v>70181</v>
      </c>
      <c r="J98" s="300" t="str">
        <f>CONCATENATE([2]Cover!$D$6,"fdd/view?i=",I98)</f>
        <v>https://www.dgiwg.org/FAD/fdd/view?i=70181</v>
      </c>
      <c r="K98" s="300" t="s">
        <v>33852</v>
      </c>
      <c r="L98" s="188">
        <v>19</v>
      </c>
      <c r="M98" s="180" t="s">
        <v>151</v>
      </c>
      <c r="N98" s="183"/>
    </row>
    <row r="99" spans="1:14" ht="25.5">
      <c r="A99" s="313" t="str">
        <f t="shared" si="1"/>
        <v>length_kilofoot</v>
      </c>
      <c r="B99" s="330"/>
      <c r="C99" s="334"/>
      <c r="D99" s="188" t="s">
        <v>612</v>
      </c>
      <c r="E99" s="189" t="s">
        <v>613</v>
      </c>
      <c r="F99" s="162" t="s">
        <v>614</v>
      </c>
      <c r="G99" s="190"/>
      <c r="H99" s="190"/>
      <c r="I99" s="191">
        <v>70182</v>
      </c>
      <c r="J99" s="300" t="str">
        <f>CONCATENATE([2]Cover!$D$6,"fdd/view?i=",I99)</f>
        <v>https://www.dgiwg.org/FAD/fdd/view?i=70182</v>
      </c>
      <c r="K99" s="300" t="s">
        <v>33853</v>
      </c>
      <c r="L99" s="188">
        <v>20</v>
      </c>
      <c r="M99" s="180" t="s">
        <v>151</v>
      </c>
      <c r="N99" s="183"/>
    </row>
    <row r="100" spans="1:14" ht="25.5">
      <c r="A100" s="313" t="str">
        <f t="shared" si="1"/>
        <v>length_hectofoot</v>
      </c>
      <c r="B100" s="330"/>
      <c r="C100" s="334"/>
      <c r="D100" s="188" t="s">
        <v>615</v>
      </c>
      <c r="E100" s="189" t="s">
        <v>616</v>
      </c>
      <c r="F100" s="162" t="s">
        <v>617</v>
      </c>
      <c r="G100" s="190"/>
      <c r="H100" s="190"/>
      <c r="I100" s="191">
        <v>70183</v>
      </c>
      <c r="J100" s="300" t="str">
        <f>CONCATENATE([2]Cover!$D$6,"fdd/view?i=",I100)</f>
        <v>https://www.dgiwg.org/FAD/fdd/view?i=70183</v>
      </c>
      <c r="K100" s="300" t="s">
        <v>33854</v>
      </c>
      <c r="L100" s="188">
        <v>21</v>
      </c>
      <c r="M100" s="180" t="s">
        <v>151</v>
      </c>
      <c r="N100" s="183"/>
    </row>
    <row r="101" spans="1:14" ht="25.5">
      <c r="A101" s="313" t="str">
        <f t="shared" si="1"/>
        <v>length_decafoot</v>
      </c>
      <c r="B101" s="330"/>
      <c r="C101" s="334"/>
      <c r="D101" s="188" t="s">
        <v>618</v>
      </c>
      <c r="E101" s="189" t="s">
        <v>619</v>
      </c>
      <c r="F101" s="162" t="s">
        <v>620</v>
      </c>
      <c r="G101" s="190"/>
      <c r="H101" s="190"/>
      <c r="I101" s="191">
        <v>70184</v>
      </c>
      <c r="J101" s="300" t="str">
        <f>CONCATENATE([2]Cover!$D$6,"fdd/view?i=",I101)</f>
        <v>https://www.dgiwg.org/FAD/fdd/view?i=70184</v>
      </c>
      <c r="K101" s="300" t="s">
        <v>33855</v>
      </c>
      <c r="L101" s="188">
        <v>22</v>
      </c>
      <c r="M101" s="180" t="s">
        <v>151</v>
      </c>
      <c r="N101" s="183"/>
    </row>
    <row r="102" spans="1:14">
      <c r="A102" s="313" t="str">
        <f t="shared" si="1"/>
        <v>length_yard</v>
      </c>
      <c r="B102" s="330"/>
      <c r="C102" s="334"/>
      <c r="D102" s="188" t="s">
        <v>621</v>
      </c>
      <c r="E102" s="189" t="s">
        <v>622</v>
      </c>
      <c r="F102" s="162" t="s">
        <v>623</v>
      </c>
      <c r="G102" s="190"/>
      <c r="H102" s="190"/>
      <c r="I102" s="191">
        <v>70185</v>
      </c>
      <c r="J102" s="300" t="str">
        <f>CONCATENATE([2]Cover!$D$6,"fdd/view?i=",I102)</f>
        <v>https://www.dgiwg.org/FAD/fdd/view?i=70185</v>
      </c>
      <c r="K102" s="300" t="s">
        <v>33856</v>
      </c>
      <c r="L102" s="188">
        <v>23</v>
      </c>
      <c r="M102" s="180" t="s">
        <v>151</v>
      </c>
      <c r="N102" s="183"/>
    </row>
    <row r="103" spans="1:14">
      <c r="A103" s="313" t="str">
        <f t="shared" si="1"/>
        <v>length_foot</v>
      </c>
      <c r="B103" s="330"/>
      <c r="C103" s="334"/>
      <c r="D103" s="188" t="s">
        <v>624</v>
      </c>
      <c r="E103" s="189" t="s">
        <v>625</v>
      </c>
      <c r="F103" s="162" t="s">
        <v>626</v>
      </c>
      <c r="G103" s="190"/>
      <c r="H103" s="190"/>
      <c r="I103" s="191">
        <v>70186</v>
      </c>
      <c r="J103" s="300" t="str">
        <f>CONCATENATE([2]Cover!$D$6,"fdd/view?i=",I103)</f>
        <v>https://www.dgiwg.org/FAD/fdd/view?i=70186</v>
      </c>
      <c r="K103" s="300" t="s">
        <v>33857</v>
      </c>
      <c r="L103" s="188">
        <v>24</v>
      </c>
      <c r="M103" s="180" t="s">
        <v>151</v>
      </c>
      <c r="N103" s="183"/>
    </row>
    <row r="104" spans="1:14" ht="25.5">
      <c r="A104" s="313" t="str">
        <f t="shared" si="1"/>
        <v>length_halfFoot</v>
      </c>
      <c r="B104" s="330"/>
      <c r="C104" s="334"/>
      <c r="D104" s="188" t="s">
        <v>627</v>
      </c>
      <c r="E104" s="189" t="s">
        <v>628</v>
      </c>
      <c r="F104" s="162" t="s">
        <v>629</v>
      </c>
      <c r="G104" s="190"/>
      <c r="H104" s="190"/>
      <c r="I104" s="191">
        <v>70187</v>
      </c>
      <c r="J104" s="300" t="str">
        <f>CONCATENATE([2]Cover!$D$6,"fdd/view?i=",I104)</f>
        <v>https://www.dgiwg.org/FAD/fdd/view?i=70187</v>
      </c>
      <c r="K104" s="300" t="s">
        <v>33858</v>
      </c>
      <c r="L104" s="188">
        <v>25</v>
      </c>
      <c r="M104" s="180" t="s">
        <v>151</v>
      </c>
      <c r="N104" s="183"/>
    </row>
    <row r="105" spans="1:14" ht="25.5">
      <c r="A105" s="313" t="str">
        <f t="shared" si="1"/>
        <v>length_decifoot</v>
      </c>
      <c r="B105" s="330"/>
      <c r="C105" s="334"/>
      <c r="D105" s="188" t="s">
        <v>630</v>
      </c>
      <c r="E105" s="189" t="s">
        <v>631</v>
      </c>
      <c r="F105" s="162" t="s">
        <v>632</v>
      </c>
      <c r="G105" s="190"/>
      <c r="H105" s="190"/>
      <c r="I105" s="191">
        <v>70188</v>
      </c>
      <c r="J105" s="300" t="str">
        <f>CONCATENATE([2]Cover!$D$6,"fdd/view?i=",I105)</f>
        <v>https://www.dgiwg.org/FAD/fdd/view?i=70188</v>
      </c>
      <c r="K105" s="300" t="s">
        <v>33859</v>
      </c>
      <c r="L105" s="188">
        <v>26</v>
      </c>
      <c r="M105" s="180" t="s">
        <v>151</v>
      </c>
      <c r="N105" s="183"/>
    </row>
    <row r="106" spans="1:14">
      <c r="A106" s="313" t="str">
        <f t="shared" si="1"/>
        <v>length_inch</v>
      </c>
      <c r="B106" s="330"/>
      <c r="C106" s="334"/>
      <c r="D106" s="188" t="s">
        <v>633</v>
      </c>
      <c r="E106" s="189" t="s">
        <v>634</v>
      </c>
      <c r="F106" s="162" t="s">
        <v>635</v>
      </c>
      <c r="G106" s="190"/>
      <c r="H106" s="190"/>
      <c r="I106" s="191">
        <v>70189</v>
      </c>
      <c r="J106" s="300" t="str">
        <f>CONCATENATE([2]Cover!$D$6,"fdd/view?i=",I106)</f>
        <v>https://www.dgiwg.org/FAD/fdd/view?i=70189</v>
      </c>
      <c r="K106" s="300" t="s">
        <v>33860</v>
      </c>
      <c r="L106" s="188">
        <v>27</v>
      </c>
      <c r="M106" s="180" t="s">
        <v>151</v>
      </c>
      <c r="N106" s="183"/>
    </row>
    <row r="107" spans="1:14" ht="25.5">
      <c r="A107" s="313" t="str">
        <f t="shared" si="1"/>
        <v>length_fathom</v>
      </c>
      <c r="B107" s="330"/>
      <c r="C107" s="334"/>
      <c r="D107" s="188" t="s">
        <v>636</v>
      </c>
      <c r="E107" s="189" t="s">
        <v>637</v>
      </c>
      <c r="F107" s="162" t="s">
        <v>638</v>
      </c>
      <c r="G107" s="190"/>
      <c r="H107" s="190"/>
      <c r="I107" s="191">
        <v>70190</v>
      </c>
      <c r="J107" s="300" t="str">
        <f>CONCATENATE([2]Cover!$D$6,"fdd/view?i=",I107)</f>
        <v>https://www.dgiwg.org/FAD/fdd/view?i=70190</v>
      </c>
      <c r="K107" s="300" t="s">
        <v>33861</v>
      </c>
      <c r="L107" s="188">
        <v>28</v>
      </c>
      <c r="M107" s="180" t="s">
        <v>151</v>
      </c>
      <c r="N107" s="183"/>
    </row>
    <row r="108" spans="1:14" ht="25.5">
      <c r="A108" s="313" t="str">
        <f t="shared" si="1"/>
        <v>length_usSurveyMile</v>
      </c>
      <c r="B108" s="330"/>
      <c r="C108" s="334"/>
      <c r="D108" s="188" t="s">
        <v>639</v>
      </c>
      <c r="E108" s="189" t="s">
        <v>640</v>
      </c>
      <c r="F108" s="162" t="s">
        <v>641</v>
      </c>
      <c r="G108" s="190"/>
      <c r="H108" s="190"/>
      <c r="I108" s="191">
        <v>70191</v>
      </c>
      <c r="J108" s="300" t="str">
        <f>CONCATENATE([2]Cover!$D$6,"fdd/view?i=",I108)</f>
        <v>https://www.dgiwg.org/FAD/fdd/view?i=70191</v>
      </c>
      <c r="K108" s="300" t="s">
        <v>33862</v>
      </c>
      <c r="L108" s="188">
        <v>29</v>
      </c>
      <c r="M108" s="180" t="s">
        <v>151</v>
      </c>
      <c r="N108" s="183"/>
    </row>
    <row r="109" spans="1:14" ht="25.5">
      <c r="A109" s="313" t="str">
        <f t="shared" si="1"/>
        <v>length_usSurveyFoot</v>
      </c>
      <c r="B109" s="330"/>
      <c r="C109" s="334"/>
      <c r="D109" s="188" t="s">
        <v>642</v>
      </c>
      <c r="E109" s="189" t="s">
        <v>643</v>
      </c>
      <c r="F109" s="162" t="s">
        <v>644</v>
      </c>
      <c r="G109" s="162" t="s">
        <v>645</v>
      </c>
      <c r="H109" s="190"/>
      <c r="I109" s="191">
        <v>70192</v>
      </c>
      <c r="J109" s="300" t="str">
        <f>CONCATENATE([2]Cover!$D$6,"fdd/view?i=",I109)</f>
        <v>https://www.dgiwg.org/FAD/fdd/view?i=70192</v>
      </c>
      <c r="K109" s="300" t="s">
        <v>33863</v>
      </c>
      <c r="L109" s="188">
        <v>30</v>
      </c>
      <c r="M109" s="180" t="s">
        <v>151</v>
      </c>
      <c r="N109" s="183"/>
    </row>
    <row r="110" spans="1:14" ht="25.5">
      <c r="A110" s="313" t="str">
        <f t="shared" si="1"/>
        <v>length_astronomicUnit</v>
      </c>
      <c r="B110" s="331"/>
      <c r="C110" s="335"/>
      <c r="D110" s="181" t="s">
        <v>646</v>
      </c>
      <c r="E110" s="192" t="s">
        <v>647</v>
      </c>
      <c r="F110" s="193" t="s">
        <v>648</v>
      </c>
      <c r="G110" s="194"/>
      <c r="H110" s="194"/>
      <c r="I110" s="195">
        <v>70193</v>
      </c>
      <c r="J110" s="301" t="str">
        <f>CONCATENATE([2]Cover!$D$6,"fdd/view?i=",I110)</f>
        <v>https://www.dgiwg.org/FAD/fdd/view?i=70193</v>
      </c>
      <c r="K110" s="301" t="s">
        <v>33864</v>
      </c>
      <c r="L110" s="181">
        <v>31</v>
      </c>
      <c r="M110" s="182" t="s">
        <v>151</v>
      </c>
      <c r="N110" s="183"/>
    </row>
    <row r="111" spans="1:14" ht="25.5">
      <c r="A111" s="313" t="str">
        <f t="shared" si="1"/>
        <v>linearDensity_metrePerSquareMetre</v>
      </c>
      <c r="B111" s="332" t="str">
        <f>HYPERLINK("[#]PhysicalQuantities!A21:N21","linearDensity")</f>
        <v>linearDensity</v>
      </c>
      <c r="C111" s="333" t="s">
        <v>209</v>
      </c>
      <c r="D111" s="184" t="s">
        <v>649</v>
      </c>
      <c r="E111" s="185" t="s">
        <v>650</v>
      </c>
      <c r="F111" s="184" t="s">
        <v>651</v>
      </c>
      <c r="G111" s="186"/>
      <c r="H111" s="186"/>
      <c r="I111" s="184">
        <v>70367</v>
      </c>
      <c r="J111" s="307" t="str">
        <f>CONCATENATE([2]Cover!$D$6,"fdd/view?i=",I111)</f>
        <v>https://www.dgiwg.org/FAD/fdd/view?i=70367</v>
      </c>
      <c r="K111" s="307" t="s">
        <v>33865</v>
      </c>
      <c r="L111" s="184">
        <v>1</v>
      </c>
      <c r="M111" s="187" t="s">
        <v>151</v>
      </c>
      <c r="N111" s="183"/>
    </row>
    <row r="112" spans="1:14" ht="25.5">
      <c r="A112" s="313" t="str">
        <f t="shared" si="1"/>
        <v>linearDensity_kilometrePerSquareKilometre</v>
      </c>
      <c r="B112" s="331"/>
      <c r="C112" s="335"/>
      <c r="D112" s="181" t="s">
        <v>652</v>
      </c>
      <c r="E112" s="192" t="s">
        <v>653</v>
      </c>
      <c r="F112" s="193" t="s">
        <v>654</v>
      </c>
      <c r="G112" s="194"/>
      <c r="H112" s="194"/>
      <c r="I112" s="195">
        <v>70368</v>
      </c>
      <c r="J112" s="301" t="str">
        <f>CONCATENATE([2]Cover!$D$6,"fdd/view?i=",I112)</f>
        <v>https://www.dgiwg.org/FAD/fdd/view?i=70368</v>
      </c>
      <c r="K112" s="301" t="s">
        <v>33866</v>
      </c>
      <c r="L112" s="181">
        <v>2</v>
      </c>
      <c r="M112" s="182" t="s">
        <v>151</v>
      </c>
      <c r="N112" s="183"/>
    </row>
    <row r="113" spans="1:14" ht="25.5">
      <c r="A113" s="313" t="str">
        <f t="shared" si="1"/>
        <v>linearEnergyTransfer_joulePerMetre</v>
      </c>
      <c r="B113" s="332" t="str">
        <f>HYPERLINK("[#]PhysicalQuantities!A22:N22","linearEnergyTransfer")</f>
        <v>linearEnergyTransfer</v>
      </c>
      <c r="C113" s="333" t="s">
        <v>212</v>
      </c>
      <c r="D113" s="184" t="s">
        <v>655</v>
      </c>
      <c r="E113" s="185" t="s">
        <v>656</v>
      </c>
      <c r="F113" s="184" t="s">
        <v>657</v>
      </c>
      <c r="G113" s="186"/>
      <c r="H113" s="186"/>
      <c r="I113" s="184">
        <v>70194</v>
      </c>
      <c r="J113" s="307" t="str">
        <f>CONCATENATE([2]Cover!$D$6,"fdd/view?i=",I113)</f>
        <v>https://www.dgiwg.org/FAD/fdd/view?i=70194</v>
      </c>
      <c r="K113" s="307" t="s">
        <v>33867</v>
      </c>
      <c r="L113" s="184">
        <v>1</v>
      </c>
      <c r="M113" s="187" t="s">
        <v>151</v>
      </c>
      <c r="N113" s="183"/>
    </row>
    <row r="114" spans="1:14" ht="25.5">
      <c r="A114" s="313" t="str">
        <f t="shared" si="1"/>
        <v>linearEnergyTransfer_joulePerKilometre</v>
      </c>
      <c r="B114" s="331"/>
      <c r="C114" s="335"/>
      <c r="D114" s="181" t="s">
        <v>658</v>
      </c>
      <c r="E114" s="192" t="s">
        <v>659</v>
      </c>
      <c r="F114" s="193" t="s">
        <v>660</v>
      </c>
      <c r="G114" s="194"/>
      <c r="H114" s="194"/>
      <c r="I114" s="195">
        <v>70195</v>
      </c>
      <c r="J114" s="301" t="str">
        <f>CONCATENATE([2]Cover!$D$6,"fdd/view?i=",I114)</f>
        <v>https://www.dgiwg.org/FAD/fdd/view?i=70195</v>
      </c>
      <c r="K114" s="301" t="s">
        <v>33868</v>
      </c>
      <c r="L114" s="181">
        <v>2</v>
      </c>
      <c r="M114" s="182" t="s">
        <v>151</v>
      </c>
      <c r="N114" s="183"/>
    </row>
    <row r="115" spans="1:14" ht="38.25">
      <c r="A115" s="313" t="str">
        <f t="shared" si="1"/>
        <v>luminousFlux_lumen</v>
      </c>
      <c r="B115" s="196" t="str">
        <f>HYPERLINK("[#]PhysicalQuantities!A23:N23","luminousFlux")</f>
        <v>luminousFlux</v>
      </c>
      <c r="C115" s="197" t="s">
        <v>215</v>
      </c>
      <c r="D115" s="198" t="s">
        <v>661</v>
      </c>
      <c r="E115" s="199" t="s">
        <v>662</v>
      </c>
      <c r="F115" s="198" t="s">
        <v>663</v>
      </c>
      <c r="G115" s="200"/>
      <c r="H115" s="200"/>
      <c r="I115" s="198">
        <v>70196</v>
      </c>
      <c r="J115" s="308" t="str">
        <f>CONCATENATE([2]Cover!$D$6,"fdd/view?i=",I115)</f>
        <v>https://www.dgiwg.org/FAD/fdd/view?i=70196</v>
      </c>
      <c r="K115" s="308" t="s">
        <v>33869</v>
      </c>
      <c r="L115" s="198">
        <v>1</v>
      </c>
      <c r="M115" s="201" t="s">
        <v>151</v>
      </c>
      <c r="N115" s="183"/>
    </row>
    <row r="116" spans="1:14" ht="51">
      <c r="A116" s="313" t="str">
        <f t="shared" si="1"/>
        <v>luminousIntensity_candela</v>
      </c>
      <c r="B116" s="196" t="str">
        <f>HYPERLINK("[#]PhysicalQuantities!A24:N24","luminousIntensity")</f>
        <v>luminousIntensity</v>
      </c>
      <c r="C116" s="197" t="s">
        <v>218</v>
      </c>
      <c r="D116" s="198" t="s">
        <v>664</v>
      </c>
      <c r="E116" s="199" t="s">
        <v>665</v>
      </c>
      <c r="F116" s="198" t="s">
        <v>666</v>
      </c>
      <c r="G116" s="200"/>
      <c r="H116" s="200"/>
      <c r="I116" s="198">
        <v>70197</v>
      </c>
      <c r="J116" s="308" t="str">
        <f>CONCATENATE([2]Cover!$D$6,"fdd/view?i=",I116)</f>
        <v>https://www.dgiwg.org/FAD/fdd/view?i=70197</v>
      </c>
      <c r="K116" s="308" t="s">
        <v>33870</v>
      </c>
      <c r="L116" s="198">
        <v>1</v>
      </c>
      <c r="M116" s="201" t="s">
        <v>151</v>
      </c>
      <c r="N116" s="183"/>
    </row>
    <row r="117" spans="1:14" ht="51">
      <c r="A117" s="313" t="str">
        <f t="shared" si="1"/>
        <v>magneticFlux_weber</v>
      </c>
      <c r="B117" s="332" t="str">
        <f>HYPERLINK("[#]PhysicalQuantities!A25:N25","magneticFlux")</f>
        <v>magneticFlux</v>
      </c>
      <c r="C117" s="333" t="s">
        <v>221</v>
      </c>
      <c r="D117" s="184" t="s">
        <v>667</v>
      </c>
      <c r="E117" s="185" t="s">
        <v>668</v>
      </c>
      <c r="F117" s="184" t="s">
        <v>669</v>
      </c>
      <c r="G117" s="186"/>
      <c r="H117" s="186"/>
      <c r="I117" s="184">
        <v>70198</v>
      </c>
      <c r="J117" s="307" t="str">
        <f>CONCATENATE([2]Cover!$D$6,"fdd/view?i=",I117)</f>
        <v>https://www.dgiwg.org/FAD/fdd/view?i=70198</v>
      </c>
      <c r="K117" s="307" t="s">
        <v>33871</v>
      </c>
      <c r="L117" s="184">
        <v>1</v>
      </c>
      <c r="M117" s="187" t="s">
        <v>151</v>
      </c>
      <c r="N117" s="183"/>
    </row>
    <row r="118" spans="1:14" ht="25.5">
      <c r="A118" s="313" t="str">
        <f t="shared" si="1"/>
        <v>magneticFlux_milliweber</v>
      </c>
      <c r="B118" s="330"/>
      <c r="C118" s="334"/>
      <c r="D118" s="188" t="s">
        <v>670</v>
      </c>
      <c r="E118" s="189" t="s">
        <v>671</v>
      </c>
      <c r="F118" s="162" t="s">
        <v>672</v>
      </c>
      <c r="G118" s="190"/>
      <c r="H118" s="190"/>
      <c r="I118" s="191">
        <v>70199</v>
      </c>
      <c r="J118" s="300" t="str">
        <f>CONCATENATE([2]Cover!$D$6,"fdd/view?i=",I118)</f>
        <v>https://www.dgiwg.org/FAD/fdd/view?i=70199</v>
      </c>
      <c r="K118" s="300" t="s">
        <v>33872</v>
      </c>
      <c r="L118" s="188">
        <v>2</v>
      </c>
      <c r="M118" s="180" t="s">
        <v>151</v>
      </c>
      <c r="N118" s="183"/>
    </row>
    <row r="119" spans="1:14" ht="25.5">
      <c r="A119" s="313" t="str">
        <f t="shared" si="1"/>
        <v>magneticFlux_microweber</v>
      </c>
      <c r="B119" s="330"/>
      <c r="C119" s="334"/>
      <c r="D119" s="188" t="s">
        <v>673</v>
      </c>
      <c r="E119" s="189" t="s">
        <v>674</v>
      </c>
      <c r="F119" s="162" t="s">
        <v>675</v>
      </c>
      <c r="G119" s="190"/>
      <c r="H119" s="190"/>
      <c r="I119" s="191">
        <v>70200</v>
      </c>
      <c r="J119" s="300" t="str">
        <f>CONCATENATE([2]Cover!$D$6,"fdd/view?i=",I119)</f>
        <v>https://www.dgiwg.org/FAD/fdd/view?i=70200</v>
      </c>
      <c r="K119" s="300" t="s">
        <v>33873</v>
      </c>
      <c r="L119" s="188">
        <v>3</v>
      </c>
      <c r="M119" s="180" t="s">
        <v>151</v>
      </c>
      <c r="N119" s="183"/>
    </row>
    <row r="120" spans="1:14" ht="25.5">
      <c r="A120" s="313" t="str">
        <f t="shared" si="1"/>
        <v>magneticFlux_nanoweber</v>
      </c>
      <c r="B120" s="331"/>
      <c r="C120" s="335"/>
      <c r="D120" s="181" t="s">
        <v>676</v>
      </c>
      <c r="E120" s="192" t="s">
        <v>677</v>
      </c>
      <c r="F120" s="193" t="s">
        <v>678</v>
      </c>
      <c r="G120" s="194"/>
      <c r="H120" s="194"/>
      <c r="I120" s="195">
        <v>70201</v>
      </c>
      <c r="J120" s="301" t="str">
        <f>CONCATENATE([2]Cover!$D$6,"fdd/view?i=",I120)</f>
        <v>https://www.dgiwg.org/FAD/fdd/view?i=70201</v>
      </c>
      <c r="K120" s="301" t="s">
        <v>33874</v>
      </c>
      <c r="L120" s="181">
        <v>4</v>
      </c>
      <c r="M120" s="182" t="s">
        <v>151</v>
      </c>
      <c r="N120" s="183"/>
    </row>
    <row r="121" spans="1:14" ht="25.5">
      <c r="A121" s="313" t="str">
        <f t="shared" si="1"/>
        <v>magneticFluxDensity_tesla</v>
      </c>
      <c r="B121" s="332" t="str">
        <f>HYPERLINK("[#]PhysicalQuantities!A26:N26","magneticFluxDensity")</f>
        <v>magneticFluxDensity</v>
      </c>
      <c r="C121" s="333" t="s">
        <v>224</v>
      </c>
      <c r="D121" s="184" t="s">
        <v>679</v>
      </c>
      <c r="E121" s="185" t="s">
        <v>680</v>
      </c>
      <c r="F121" s="184" t="s">
        <v>681</v>
      </c>
      <c r="G121" s="186"/>
      <c r="H121" s="186"/>
      <c r="I121" s="184">
        <v>70202</v>
      </c>
      <c r="J121" s="307" t="str">
        <f>CONCATENATE([2]Cover!$D$6,"fdd/view?i=",I121)</f>
        <v>https://www.dgiwg.org/FAD/fdd/view?i=70202</v>
      </c>
      <c r="K121" s="307" t="s">
        <v>33875</v>
      </c>
      <c r="L121" s="184">
        <v>1</v>
      </c>
      <c r="M121" s="187" t="s">
        <v>151</v>
      </c>
      <c r="N121" s="183"/>
    </row>
    <row r="122" spans="1:14" ht="25.5">
      <c r="A122" s="313" t="str">
        <f t="shared" si="1"/>
        <v>magneticFluxDensity_nanotesla</v>
      </c>
      <c r="B122" s="330"/>
      <c r="C122" s="334"/>
      <c r="D122" s="188" t="s">
        <v>682</v>
      </c>
      <c r="E122" s="189" t="s">
        <v>683</v>
      </c>
      <c r="F122" s="162" t="s">
        <v>684</v>
      </c>
      <c r="G122" s="190"/>
      <c r="H122" s="190"/>
      <c r="I122" s="191">
        <v>70203</v>
      </c>
      <c r="J122" s="300" t="str">
        <f>CONCATENATE([2]Cover!$D$6,"fdd/view?i=",I122)</f>
        <v>https://www.dgiwg.org/FAD/fdd/view?i=70203</v>
      </c>
      <c r="K122" s="300" t="s">
        <v>33876</v>
      </c>
      <c r="L122" s="188">
        <v>2</v>
      </c>
      <c r="M122" s="180" t="s">
        <v>151</v>
      </c>
      <c r="N122" s="183"/>
    </row>
    <row r="123" spans="1:14" ht="38.25">
      <c r="A123" s="313" t="str">
        <f t="shared" si="1"/>
        <v>magneticFluxDensity_gauss</v>
      </c>
      <c r="B123" s="331"/>
      <c r="C123" s="335"/>
      <c r="D123" s="181" t="s">
        <v>685</v>
      </c>
      <c r="E123" s="192" t="s">
        <v>686</v>
      </c>
      <c r="F123" s="193" t="s">
        <v>687</v>
      </c>
      <c r="G123" s="194"/>
      <c r="H123" s="194"/>
      <c r="I123" s="195">
        <v>70204</v>
      </c>
      <c r="J123" s="301" t="str">
        <f>CONCATENATE([2]Cover!$D$6,"fdd/view?i=",I123)</f>
        <v>https://www.dgiwg.org/FAD/fdd/view?i=70204</v>
      </c>
      <c r="K123" s="301" t="s">
        <v>33877</v>
      </c>
      <c r="L123" s="181">
        <v>3</v>
      </c>
      <c r="M123" s="182" t="s">
        <v>151</v>
      </c>
      <c r="N123" s="183"/>
    </row>
    <row r="124" spans="1:14" ht="25.5">
      <c r="A124" s="313" t="str">
        <f t="shared" si="1"/>
        <v>magneticFluxDensityGradient_teslaPerMetre</v>
      </c>
      <c r="B124" s="332" t="str">
        <f>HYPERLINK("[#]PhysicalQuantities!A27:N27","magneticFluxDensityGradient")</f>
        <v>magneticFluxDensityGradient</v>
      </c>
      <c r="C124" s="333" t="s">
        <v>227</v>
      </c>
      <c r="D124" s="184" t="s">
        <v>688</v>
      </c>
      <c r="E124" s="185" t="s">
        <v>689</v>
      </c>
      <c r="F124" s="184" t="s">
        <v>690</v>
      </c>
      <c r="G124" s="186"/>
      <c r="H124" s="186"/>
      <c r="I124" s="184">
        <v>70205</v>
      </c>
      <c r="J124" s="307" t="str">
        <f>CONCATENATE([2]Cover!$D$6,"fdd/view?i=",I124)</f>
        <v>https://www.dgiwg.org/FAD/fdd/view?i=70205</v>
      </c>
      <c r="K124" s="307" t="s">
        <v>33878</v>
      </c>
      <c r="L124" s="184">
        <v>1</v>
      </c>
      <c r="M124" s="187" t="s">
        <v>151</v>
      </c>
      <c r="N124" s="183"/>
    </row>
    <row r="125" spans="1:14" ht="25.5">
      <c r="A125" s="313" t="str">
        <f t="shared" si="1"/>
        <v>magneticFluxDensityGradient_nanoteslaPerMetre</v>
      </c>
      <c r="B125" s="331"/>
      <c r="C125" s="335"/>
      <c r="D125" s="181" t="s">
        <v>691</v>
      </c>
      <c r="E125" s="192" t="s">
        <v>692</v>
      </c>
      <c r="F125" s="193" t="s">
        <v>693</v>
      </c>
      <c r="G125" s="194"/>
      <c r="H125" s="194"/>
      <c r="I125" s="195">
        <v>70206</v>
      </c>
      <c r="J125" s="301" t="str">
        <f>CONCATENATE([2]Cover!$D$6,"fdd/view?i=",I125)</f>
        <v>https://www.dgiwg.org/FAD/fdd/view?i=70206</v>
      </c>
      <c r="K125" s="301" t="s">
        <v>33879</v>
      </c>
      <c r="L125" s="181">
        <v>2</v>
      </c>
      <c r="M125" s="182" t="s">
        <v>151</v>
      </c>
      <c r="N125" s="183"/>
    </row>
    <row r="126" spans="1:14" ht="25.5">
      <c r="A126" s="313" t="str">
        <f t="shared" si="1"/>
        <v>mass_tonne</v>
      </c>
      <c r="B126" s="332" t="str">
        <f>HYPERLINK("[#]PhysicalQuantities!A28:N28","mass")</f>
        <v>mass</v>
      </c>
      <c r="C126" s="333" t="s">
        <v>230</v>
      </c>
      <c r="D126" s="202" t="s">
        <v>694</v>
      </c>
      <c r="E126" s="203" t="s">
        <v>695</v>
      </c>
      <c r="F126" s="204" t="s">
        <v>696</v>
      </c>
      <c r="G126" s="205"/>
      <c r="H126" s="205"/>
      <c r="I126" s="206">
        <v>70207</v>
      </c>
      <c r="J126" s="309" t="str">
        <f>CONCATENATE([2]Cover!$D$6,"fdd/view?i=",I126)</f>
        <v>https://www.dgiwg.org/FAD/fdd/view?i=70207</v>
      </c>
      <c r="K126" s="309" t="s">
        <v>33880</v>
      </c>
      <c r="L126" s="202">
        <v>1</v>
      </c>
      <c r="M126" s="187" t="s">
        <v>151</v>
      </c>
      <c r="N126" s="183"/>
    </row>
    <row r="127" spans="1:14" ht="25.5">
      <c r="A127" s="313" t="str">
        <f t="shared" si="1"/>
        <v>mass_kilogram</v>
      </c>
      <c r="B127" s="330"/>
      <c r="C127" s="334"/>
      <c r="D127" s="207" t="s">
        <v>697</v>
      </c>
      <c r="E127" s="208" t="s">
        <v>698</v>
      </c>
      <c r="F127" s="207" t="s">
        <v>699</v>
      </c>
      <c r="G127" s="209"/>
      <c r="H127" s="209"/>
      <c r="I127" s="207">
        <v>70208</v>
      </c>
      <c r="J127" s="310" t="str">
        <f>CONCATENATE([2]Cover!$D$6,"fdd/view?i=",I127)</f>
        <v>https://www.dgiwg.org/FAD/fdd/view?i=70208</v>
      </c>
      <c r="K127" s="310" t="s">
        <v>33881</v>
      </c>
      <c r="L127" s="207">
        <v>2</v>
      </c>
      <c r="M127" s="180" t="s">
        <v>151</v>
      </c>
      <c r="N127" s="183"/>
    </row>
    <row r="128" spans="1:14">
      <c r="A128" s="313" t="str">
        <f t="shared" si="1"/>
        <v>mass_gram</v>
      </c>
      <c r="B128" s="330"/>
      <c r="C128" s="334"/>
      <c r="D128" s="188" t="s">
        <v>700</v>
      </c>
      <c r="E128" s="189" t="s">
        <v>701</v>
      </c>
      <c r="F128" s="162" t="s">
        <v>702</v>
      </c>
      <c r="G128" s="190"/>
      <c r="H128" s="190"/>
      <c r="I128" s="191">
        <v>70209</v>
      </c>
      <c r="J128" s="300" t="str">
        <f>CONCATENATE([2]Cover!$D$6,"fdd/view?i=",I128)</f>
        <v>https://www.dgiwg.org/FAD/fdd/view?i=70209</v>
      </c>
      <c r="K128" s="300" t="s">
        <v>33882</v>
      </c>
      <c r="L128" s="188">
        <v>3</v>
      </c>
      <c r="M128" s="180" t="s">
        <v>151</v>
      </c>
      <c r="N128" s="183"/>
    </row>
    <row r="129" spans="1:14" ht="25.5">
      <c r="A129" s="313" t="str">
        <f t="shared" si="1"/>
        <v>mass_milligram</v>
      </c>
      <c r="B129" s="330"/>
      <c r="C129" s="334"/>
      <c r="D129" s="188" t="s">
        <v>703</v>
      </c>
      <c r="E129" s="189" t="s">
        <v>704</v>
      </c>
      <c r="F129" s="162" t="s">
        <v>705</v>
      </c>
      <c r="G129" s="190"/>
      <c r="H129" s="190"/>
      <c r="I129" s="191">
        <v>70210</v>
      </c>
      <c r="J129" s="300" t="str">
        <f>CONCATENATE([2]Cover!$D$6,"fdd/view?i=",I129)</f>
        <v>https://www.dgiwg.org/FAD/fdd/view?i=70210</v>
      </c>
      <c r="K129" s="300" t="s">
        <v>33883</v>
      </c>
      <c r="L129" s="188">
        <v>4</v>
      </c>
      <c r="M129" s="180" t="s">
        <v>151</v>
      </c>
      <c r="N129" s="183"/>
    </row>
    <row r="130" spans="1:14" ht="25.5">
      <c r="A130" s="313" t="str">
        <f t="shared" si="1"/>
        <v>mass_microgram</v>
      </c>
      <c r="B130" s="330"/>
      <c r="C130" s="334"/>
      <c r="D130" s="188" t="s">
        <v>706</v>
      </c>
      <c r="E130" s="189" t="s">
        <v>707</v>
      </c>
      <c r="F130" s="162" t="s">
        <v>708</v>
      </c>
      <c r="G130" s="190"/>
      <c r="H130" s="190"/>
      <c r="I130" s="191">
        <v>70211</v>
      </c>
      <c r="J130" s="300" t="str">
        <f>CONCATENATE([2]Cover!$D$6,"fdd/view?i=",I130)</f>
        <v>https://www.dgiwg.org/FAD/fdd/view?i=70211</v>
      </c>
      <c r="K130" s="300" t="s">
        <v>33884</v>
      </c>
      <c r="L130" s="188">
        <v>5</v>
      </c>
      <c r="M130" s="180" t="s">
        <v>151</v>
      </c>
      <c r="N130" s="183"/>
    </row>
    <row r="131" spans="1:14" ht="25.5">
      <c r="A131" s="313" t="str">
        <f t="shared" ref="A131:A194" si="2">HYPERLINK(J131,K131)</f>
        <v>mass_longTon</v>
      </c>
      <c r="B131" s="330"/>
      <c r="C131" s="334"/>
      <c r="D131" s="188" t="s">
        <v>709</v>
      </c>
      <c r="E131" s="189" t="s">
        <v>710</v>
      </c>
      <c r="F131" s="162" t="s">
        <v>711</v>
      </c>
      <c r="G131" s="190"/>
      <c r="H131" s="162" t="s">
        <v>712</v>
      </c>
      <c r="I131" s="191">
        <v>70212</v>
      </c>
      <c r="J131" s="300" t="str">
        <f>CONCATENATE([2]Cover!$D$6,"fdd/view?i=",I131)</f>
        <v>https://www.dgiwg.org/FAD/fdd/view?i=70212</v>
      </c>
      <c r="K131" s="300" t="s">
        <v>33885</v>
      </c>
      <c r="L131" s="188">
        <v>6</v>
      </c>
      <c r="M131" s="180" t="s">
        <v>151</v>
      </c>
      <c r="N131" s="183"/>
    </row>
    <row r="132" spans="1:14" ht="25.5">
      <c r="A132" s="313" t="str">
        <f t="shared" si="2"/>
        <v>mass_shortTon</v>
      </c>
      <c r="B132" s="330"/>
      <c r="C132" s="334"/>
      <c r="D132" s="188" t="s">
        <v>713</v>
      </c>
      <c r="E132" s="189" t="s">
        <v>714</v>
      </c>
      <c r="F132" s="162" t="s">
        <v>715</v>
      </c>
      <c r="G132" s="190"/>
      <c r="H132" s="162" t="s">
        <v>716</v>
      </c>
      <c r="I132" s="191">
        <v>70213</v>
      </c>
      <c r="J132" s="300" t="str">
        <f>CONCATENATE([2]Cover!$D$6,"fdd/view?i=",I132)</f>
        <v>https://www.dgiwg.org/FAD/fdd/view?i=70213</v>
      </c>
      <c r="K132" s="300" t="s">
        <v>33886</v>
      </c>
      <c r="L132" s="188">
        <v>7</v>
      </c>
      <c r="M132" s="180" t="s">
        <v>151</v>
      </c>
      <c r="N132" s="183"/>
    </row>
    <row r="133" spans="1:14" ht="25.5">
      <c r="A133" s="313" t="str">
        <f t="shared" si="2"/>
        <v>mass_pound</v>
      </c>
      <c r="B133" s="330"/>
      <c r="C133" s="334"/>
      <c r="D133" s="188" t="s">
        <v>717</v>
      </c>
      <c r="E133" s="189" t="s">
        <v>718</v>
      </c>
      <c r="F133" s="162" t="s">
        <v>719</v>
      </c>
      <c r="G133" s="190"/>
      <c r="H133" s="190"/>
      <c r="I133" s="191">
        <v>70214</v>
      </c>
      <c r="J133" s="300" t="str">
        <f>CONCATENATE([2]Cover!$D$6,"fdd/view?i=",I133)</f>
        <v>https://www.dgiwg.org/FAD/fdd/view?i=70214</v>
      </c>
      <c r="K133" s="300" t="s">
        <v>33887</v>
      </c>
      <c r="L133" s="188">
        <v>8</v>
      </c>
      <c r="M133" s="180" t="s">
        <v>151</v>
      </c>
      <c r="N133" s="183"/>
    </row>
    <row r="134" spans="1:14" ht="25.5">
      <c r="A134" s="313" t="str">
        <f t="shared" si="2"/>
        <v>mass_ounce</v>
      </c>
      <c r="B134" s="330"/>
      <c r="C134" s="334"/>
      <c r="D134" s="188" t="s">
        <v>720</v>
      </c>
      <c r="E134" s="189" t="s">
        <v>721</v>
      </c>
      <c r="F134" s="162" t="s">
        <v>722</v>
      </c>
      <c r="G134" s="190"/>
      <c r="H134" s="190"/>
      <c r="I134" s="191">
        <v>70215</v>
      </c>
      <c r="J134" s="300" t="str">
        <f>CONCATENATE([2]Cover!$D$6,"fdd/view?i=",I134)</f>
        <v>https://www.dgiwg.org/FAD/fdd/view?i=70215</v>
      </c>
      <c r="K134" s="300" t="s">
        <v>33888</v>
      </c>
      <c r="L134" s="188">
        <v>9</v>
      </c>
      <c r="M134" s="180" t="s">
        <v>151</v>
      </c>
      <c r="N134" s="183"/>
    </row>
    <row r="135" spans="1:14" ht="38.25">
      <c r="A135" s="313" t="str">
        <f t="shared" si="2"/>
        <v>mass_unifiedAtomicMassUnit</v>
      </c>
      <c r="B135" s="330"/>
      <c r="C135" s="334"/>
      <c r="D135" s="188" t="s">
        <v>723</v>
      </c>
      <c r="E135" s="189" t="s">
        <v>724</v>
      </c>
      <c r="F135" s="162" t="s">
        <v>725</v>
      </c>
      <c r="G135" s="190"/>
      <c r="H135" s="190"/>
      <c r="I135" s="191">
        <v>70216</v>
      </c>
      <c r="J135" s="300" t="str">
        <f>CONCATENATE([2]Cover!$D$6,"fdd/view?i=",I135)</f>
        <v>https://www.dgiwg.org/FAD/fdd/view?i=70216</v>
      </c>
      <c r="K135" s="300" t="s">
        <v>33889</v>
      </c>
      <c r="L135" s="188">
        <v>10</v>
      </c>
      <c r="M135" s="180" t="s">
        <v>151</v>
      </c>
      <c r="N135" s="183"/>
    </row>
    <row r="136" spans="1:14" ht="25.5">
      <c r="A136" s="313" t="str">
        <f t="shared" si="2"/>
        <v>mass_kilopound</v>
      </c>
      <c r="B136" s="331"/>
      <c r="C136" s="335"/>
      <c r="D136" s="181" t="s">
        <v>726</v>
      </c>
      <c r="E136" s="192" t="s">
        <v>727</v>
      </c>
      <c r="F136" s="193" t="s">
        <v>728</v>
      </c>
      <c r="G136" s="194"/>
      <c r="H136" s="194"/>
      <c r="I136" s="195">
        <v>70217</v>
      </c>
      <c r="J136" s="301" t="str">
        <f>CONCATENATE([2]Cover!$D$6,"fdd/view?i=",I136)</f>
        <v>https://www.dgiwg.org/FAD/fdd/view?i=70217</v>
      </c>
      <c r="K136" s="301" t="s">
        <v>33890</v>
      </c>
      <c r="L136" s="181">
        <v>11</v>
      </c>
      <c r="M136" s="182" t="s">
        <v>151</v>
      </c>
      <c r="N136" s="183"/>
    </row>
    <row r="137" spans="1:14" ht="25.5">
      <c r="A137" s="313" t="str">
        <f t="shared" si="2"/>
        <v>massDensity_tonnePerCubicMetre</v>
      </c>
      <c r="B137" s="332" t="str">
        <f>HYPERLINK("[#]PhysicalQuantities!A29:N29","massDensity")</f>
        <v>massDensity</v>
      </c>
      <c r="C137" s="333" t="s">
        <v>233</v>
      </c>
      <c r="D137" s="202" t="s">
        <v>729</v>
      </c>
      <c r="E137" s="203" t="s">
        <v>730</v>
      </c>
      <c r="F137" s="204" t="s">
        <v>731</v>
      </c>
      <c r="G137" s="205"/>
      <c r="H137" s="205"/>
      <c r="I137" s="206">
        <v>70218</v>
      </c>
      <c r="J137" s="309" t="str">
        <f>CONCATENATE([2]Cover!$D$6,"fdd/view?i=",I137)</f>
        <v>https://www.dgiwg.org/FAD/fdd/view?i=70218</v>
      </c>
      <c r="K137" s="309" t="s">
        <v>33891</v>
      </c>
      <c r="L137" s="202">
        <v>1</v>
      </c>
      <c r="M137" s="187" t="s">
        <v>151</v>
      </c>
      <c r="N137" s="183"/>
    </row>
    <row r="138" spans="1:14" ht="25.5">
      <c r="A138" s="313" t="str">
        <f t="shared" si="2"/>
        <v>massDensity_kilogramPerCubicMetre</v>
      </c>
      <c r="B138" s="330"/>
      <c r="C138" s="334"/>
      <c r="D138" s="207" t="s">
        <v>732</v>
      </c>
      <c r="E138" s="208" t="s">
        <v>733</v>
      </c>
      <c r="F138" s="207" t="s">
        <v>734</v>
      </c>
      <c r="G138" s="209"/>
      <c r="H138" s="209"/>
      <c r="I138" s="207">
        <v>70219</v>
      </c>
      <c r="J138" s="310" t="str">
        <f>CONCATENATE([2]Cover!$D$6,"fdd/view?i=",I138)</f>
        <v>https://www.dgiwg.org/FAD/fdd/view?i=70219</v>
      </c>
      <c r="K138" s="310" t="s">
        <v>33892</v>
      </c>
      <c r="L138" s="207">
        <v>2</v>
      </c>
      <c r="M138" s="180" t="s">
        <v>151</v>
      </c>
      <c r="N138" s="183"/>
    </row>
    <row r="139" spans="1:14" ht="25.5">
      <c r="A139" s="313" t="str">
        <f t="shared" si="2"/>
        <v>massDensity_gramPerLitre</v>
      </c>
      <c r="B139" s="330"/>
      <c r="C139" s="334"/>
      <c r="D139" s="188" t="s">
        <v>735</v>
      </c>
      <c r="E139" s="189" t="s">
        <v>736</v>
      </c>
      <c r="F139" s="162" t="s">
        <v>737</v>
      </c>
      <c r="G139" s="190"/>
      <c r="H139" s="190"/>
      <c r="I139" s="191">
        <v>70220</v>
      </c>
      <c r="J139" s="300" t="str">
        <f>CONCATENATE([2]Cover!$D$6,"fdd/view?i=",I139)</f>
        <v>https://www.dgiwg.org/FAD/fdd/view?i=70220</v>
      </c>
      <c r="K139" s="300" t="s">
        <v>33893</v>
      </c>
      <c r="L139" s="188">
        <v>3</v>
      </c>
      <c r="M139" s="180" t="s">
        <v>151</v>
      </c>
      <c r="N139" s="183"/>
    </row>
    <row r="140" spans="1:14" ht="25.5">
      <c r="A140" s="313" t="str">
        <f t="shared" si="2"/>
        <v>massDensity_gramPerCubicMetre</v>
      </c>
      <c r="B140" s="330"/>
      <c r="C140" s="334"/>
      <c r="D140" s="188" t="s">
        <v>738</v>
      </c>
      <c r="E140" s="189" t="s">
        <v>739</v>
      </c>
      <c r="F140" s="162" t="s">
        <v>740</v>
      </c>
      <c r="G140" s="190"/>
      <c r="H140" s="162" t="s">
        <v>741</v>
      </c>
      <c r="I140" s="191">
        <v>70221</v>
      </c>
      <c r="J140" s="300" t="str">
        <f>CONCATENATE([2]Cover!$D$6,"fdd/view?i=",I140)</f>
        <v>https://www.dgiwg.org/FAD/fdd/view?i=70221</v>
      </c>
      <c r="K140" s="300" t="s">
        <v>33894</v>
      </c>
      <c r="L140" s="188">
        <v>4</v>
      </c>
      <c r="M140" s="180" t="s">
        <v>151</v>
      </c>
      <c r="N140" s="183"/>
    </row>
    <row r="141" spans="1:14" ht="25.5">
      <c r="A141" s="313" t="str">
        <f t="shared" si="2"/>
        <v>massDensity_kilogramPerLitre</v>
      </c>
      <c r="B141" s="330"/>
      <c r="C141" s="334"/>
      <c r="D141" s="188" t="s">
        <v>742</v>
      </c>
      <c r="E141" s="189" t="s">
        <v>743</v>
      </c>
      <c r="F141" s="162" t="s">
        <v>740</v>
      </c>
      <c r="G141" s="190"/>
      <c r="H141" s="190"/>
      <c r="I141" s="191">
        <v>70222</v>
      </c>
      <c r="J141" s="300" t="str">
        <f>CONCATENATE([2]Cover!$D$6,"fdd/view?i=",I141)</f>
        <v>https://www.dgiwg.org/FAD/fdd/view?i=70222</v>
      </c>
      <c r="K141" s="300" t="s">
        <v>33895</v>
      </c>
      <c r="L141" s="188">
        <v>5</v>
      </c>
      <c r="M141" s="180" t="s">
        <v>151</v>
      </c>
      <c r="N141" s="183"/>
    </row>
    <row r="142" spans="1:14" ht="25.5">
      <c r="A142" s="313" t="str">
        <f t="shared" si="2"/>
        <v>massDensity_gramPerCubicCentimetre</v>
      </c>
      <c r="B142" s="330"/>
      <c r="C142" s="334"/>
      <c r="D142" s="188" t="s">
        <v>744</v>
      </c>
      <c r="E142" s="189" t="s">
        <v>745</v>
      </c>
      <c r="F142" s="162" t="s">
        <v>746</v>
      </c>
      <c r="G142" s="190"/>
      <c r="H142" s="190"/>
      <c r="I142" s="191">
        <v>70223</v>
      </c>
      <c r="J142" s="300" t="str">
        <f>CONCATENATE([2]Cover!$D$6,"fdd/view?i=",I142)</f>
        <v>https://www.dgiwg.org/FAD/fdd/view?i=70223</v>
      </c>
      <c r="K142" s="300" t="s">
        <v>33896</v>
      </c>
      <c r="L142" s="188">
        <v>6</v>
      </c>
      <c r="M142" s="180" t="s">
        <v>151</v>
      </c>
      <c r="N142" s="183"/>
    </row>
    <row r="143" spans="1:14" ht="25.5">
      <c r="A143" s="313" t="str">
        <f t="shared" si="2"/>
        <v>massDensity_microgramPerCubicMetre</v>
      </c>
      <c r="B143" s="331"/>
      <c r="C143" s="335"/>
      <c r="D143" s="181" t="s">
        <v>747</v>
      </c>
      <c r="E143" s="192" t="s">
        <v>748</v>
      </c>
      <c r="F143" s="193" t="s">
        <v>746</v>
      </c>
      <c r="G143" s="194"/>
      <c r="H143" s="194"/>
      <c r="I143" s="195">
        <v>70224</v>
      </c>
      <c r="J143" s="301" t="str">
        <f>CONCATENATE([2]Cover!$D$6,"fdd/view?i=",I143)</f>
        <v>https://www.dgiwg.org/FAD/fdd/view?i=70224</v>
      </c>
      <c r="K143" s="301" t="s">
        <v>33897</v>
      </c>
      <c r="L143" s="181">
        <v>7</v>
      </c>
      <c r="M143" s="182" t="s">
        <v>151</v>
      </c>
      <c r="N143" s="183"/>
    </row>
    <row r="144" spans="1:14" ht="25.5">
      <c r="A144" s="313" t="str">
        <f t="shared" si="2"/>
        <v>massFraction_kilogramPerKilogram</v>
      </c>
      <c r="B144" s="332" t="str">
        <f>HYPERLINK("[#]PhysicalQuantities!A30:N30","massFraction")</f>
        <v>massFraction</v>
      </c>
      <c r="C144" s="333" t="s">
        <v>237</v>
      </c>
      <c r="D144" s="184" t="s">
        <v>749</v>
      </c>
      <c r="E144" s="185" t="s">
        <v>750</v>
      </c>
      <c r="F144" s="184" t="s">
        <v>751</v>
      </c>
      <c r="G144" s="186"/>
      <c r="H144" s="186"/>
      <c r="I144" s="184">
        <v>70225</v>
      </c>
      <c r="J144" s="307" t="str">
        <f>CONCATENATE([2]Cover!$D$6,"fdd/view?i=",I144)</f>
        <v>https://www.dgiwg.org/FAD/fdd/view?i=70225</v>
      </c>
      <c r="K144" s="307" t="s">
        <v>33898</v>
      </c>
      <c r="L144" s="184">
        <v>1</v>
      </c>
      <c r="M144" s="187" t="s">
        <v>151</v>
      </c>
      <c r="N144" s="183"/>
    </row>
    <row r="145" spans="1:14" ht="25.5">
      <c r="A145" s="313" t="str">
        <f t="shared" si="2"/>
        <v>massFraction_gramPerKilogram</v>
      </c>
      <c r="B145" s="330"/>
      <c r="C145" s="334"/>
      <c r="D145" s="188" t="s">
        <v>752</v>
      </c>
      <c r="E145" s="189" t="s">
        <v>753</v>
      </c>
      <c r="F145" s="162" t="s">
        <v>754</v>
      </c>
      <c r="G145" s="190"/>
      <c r="H145" s="190"/>
      <c r="I145" s="191">
        <v>70226</v>
      </c>
      <c r="J145" s="300" t="str">
        <f>CONCATENATE([2]Cover!$D$6,"fdd/view?i=",I145)</f>
        <v>https://www.dgiwg.org/FAD/fdd/view?i=70226</v>
      </c>
      <c r="K145" s="300" t="s">
        <v>33899</v>
      </c>
      <c r="L145" s="188">
        <v>2</v>
      </c>
      <c r="M145" s="180" t="s">
        <v>151</v>
      </c>
      <c r="N145" s="183"/>
    </row>
    <row r="146" spans="1:14" ht="25.5">
      <c r="A146" s="313" t="str">
        <f t="shared" si="2"/>
        <v>massFraction_gramPerGram</v>
      </c>
      <c r="B146" s="331"/>
      <c r="C146" s="335"/>
      <c r="D146" s="181" t="s">
        <v>755</v>
      </c>
      <c r="E146" s="192" t="s">
        <v>756</v>
      </c>
      <c r="F146" s="193" t="s">
        <v>757</v>
      </c>
      <c r="G146" s="194"/>
      <c r="H146" s="194"/>
      <c r="I146" s="195">
        <v>70227</v>
      </c>
      <c r="J146" s="301" t="str">
        <f>CONCATENATE([2]Cover!$D$6,"fdd/view?i=",I146)</f>
        <v>https://www.dgiwg.org/FAD/fdd/view?i=70227</v>
      </c>
      <c r="K146" s="301" t="s">
        <v>33900</v>
      </c>
      <c r="L146" s="181">
        <v>3</v>
      </c>
      <c r="M146" s="182" t="s">
        <v>151</v>
      </c>
      <c r="N146" s="183"/>
    </row>
    <row r="147" spans="1:14">
      <c r="A147" s="313" t="str">
        <f t="shared" si="2"/>
        <v>massRate_kilogramPerSecond</v>
      </c>
      <c r="B147" s="332" t="str">
        <f>HYPERLINK("[#]PhysicalQuantities!A31:N31","massRate")</f>
        <v>massRate</v>
      </c>
      <c r="C147" s="333" t="s">
        <v>240</v>
      </c>
      <c r="D147" s="184" t="s">
        <v>758</v>
      </c>
      <c r="E147" s="185" t="s">
        <v>759</v>
      </c>
      <c r="F147" s="184" t="s">
        <v>760</v>
      </c>
      <c r="G147" s="186"/>
      <c r="H147" s="186"/>
      <c r="I147" s="184">
        <v>70358</v>
      </c>
      <c r="J147" s="307" t="str">
        <f>CONCATENATE([2]Cover!$D$6,"fdd/view?i=",I147)</f>
        <v>https://www.dgiwg.org/FAD/fdd/view?i=70358</v>
      </c>
      <c r="K147" s="307" t="s">
        <v>33901</v>
      </c>
      <c r="L147" s="184">
        <v>1</v>
      </c>
      <c r="M147" s="187" t="s">
        <v>151</v>
      </c>
      <c r="N147" s="183"/>
    </row>
    <row r="148" spans="1:14" ht="25.5">
      <c r="A148" s="313" t="str">
        <f t="shared" si="2"/>
        <v>massRate_tonnePerHour</v>
      </c>
      <c r="B148" s="330"/>
      <c r="C148" s="334"/>
      <c r="D148" s="188" t="s">
        <v>761</v>
      </c>
      <c r="E148" s="189" t="s">
        <v>762</v>
      </c>
      <c r="F148" s="162" t="s">
        <v>763</v>
      </c>
      <c r="G148" s="190"/>
      <c r="H148" s="190"/>
      <c r="I148" s="191">
        <v>70372</v>
      </c>
      <c r="J148" s="300" t="str">
        <f>CONCATENATE([2]Cover!$D$6,"fdd/view?i=",I148)</f>
        <v>https://www.dgiwg.org/FAD/fdd/view?i=70372</v>
      </c>
      <c r="K148" s="300" t="s">
        <v>33902</v>
      </c>
      <c r="L148" s="188">
        <v>2</v>
      </c>
      <c r="M148" s="180" t="s">
        <v>151</v>
      </c>
      <c r="N148" s="183"/>
    </row>
    <row r="149" spans="1:14" ht="25.5">
      <c r="A149" s="313" t="str">
        <f t="shared" si="2"/>
        <v>massRate_tonnePerAnnum</v>
      </c>
      <c r="B149" s="330"/>
      <c r="C149" s="334"/>
      <c r="D149" s="188" t="s">
        <v>764</v>
      </c>
      <c r="E149" s="189" t="s">
        <v>765</v>
      </c>
      <c r="F149" s="162" t="s">
        <v>766</v>
      </c>
      <c r="G149" s="190"/>
      <c r="H149" s="190"/>
      <c r="I149" s="191">
        <v>70359</v>
      </c>
      <c r="J149" s="300" t="str">
        <f>CONCATENATE([2]Cover!$D$6,"fdd/view?i=",I149)</f>
        <v>https://www.dgiwg.org/FAD/fdd/view?i=70359</v>
      </c>
      <c r="K149" s="300" t="s">
        <v>33903</v>
      </c>
      <c r="L149" s="188">
        <v>3</v>
      </c>
      <c r="M149" s="180" t="s">
        <v>151</v>
      </c>
      <c r="N149" s="183"/>
    </row>
    <row r="150" spans="1:14" ht="25.5">
      <c r="A150" s="313" t="str">
        <f t="shared" si="2"/>
        <v>massRate_tonnePerDay</v>
      </c>
      <c r="B150" s="331"/>
      <c r="C150" s="335"/>
      <c r="D150" s="181" t="s">
        <v>767</v>
      </c>
      <c r="E150" s="192" t="s">
        <v>768</v>
      </c>
      <c r="F150" s="193" t="s">
        <v>769</v>
      </c>
      <c r="G150" s="194"/>
      <c r="H150" s="194"/>
      <c r="I150" s="195">
        <v>119510</v>
      </c>
      <c r="J150" s="301" t="str">
        <f>CONCATENATE([2]Cover!$D$6,"fdd/view?i=",I150)</f>
        <v>https://www.dgiwg.org/FAD/fdd/view?i=119510</v>
      </c>
      <c r="K150" s="301" t="s">
        <v>33904</v>
      </c>
      <c r="L150" s="181">
        <v>4</v>
      </c>
      <c r="M150" s="182" t="s">
        <v>151</v>
      </c>
      <c r="N150" s="183"/>
    </row>
    <row r="151" spans="1:14" ht="25.5">
      <c r="A151" s="313" t="str">
        <f t="shared" si="2"/>
        <v>monetaryUnit_usDollar</v>
      </c>
      <c r="B151" s="332" t="str">
        <f>HYPERLINK("[#]PhysicalQuantities!A32:N32","monetaryUnit")</f>
        <v>monetaryUnit</v>
      </c>
      <c r="C151" s="333" t="s">
        <v>243</v>
      </c>
      <c r="D151" s="202" t="s">
        <v>770</v>
      </c>
      <c r="E151" s="203" t="s">
        <v>771</v>
      </c>
      <c r="F151" s="204" t="s">
        <v>772</v>
      </c>
      <c r="G151" s="205"/>
      <c r="H151" s="205"/>
      <c r="I151" s="206">
        <v>70369</v>
      </c>
      <c r="J151" s="309" t="str">
        <f>CONCATENATE([2]Cover!$D$6,"fdd/view?i=",I151)</f>
        <v>https://www.dgiwg.org/FAD/fdd/view?i=70369</v>
      </c>
      <c r="K151" s="309" t="s">
        <v>33905</v>
      </c>
      <c r="L151" s="202">
        <v>1</v>
      </c>
      <c r="M151" s="187" t="s">
        <v>151</v>
      </c>
      <c r="N151" s="183"/>
    </row>
    <row r="152" spans="1:14" ht="25.5">
      <c r="A152" s="313" t="str">
        <f t="shared" si="2"/>
        <v>monetaryUnit_euro</v>
      </c>
      <c r="B152" s="330"/>
      <c r="C152" s="334"/>
      <c r="D152" s="188" t="s">
        <v>773</v>
      </c>
      <c r="E152" s="189" t="s">
        <v>774</v>
      </c>
      <c r="F152" s="162" t="s">
        <v>775</v>
      </c>
      <c r="G152" s="190"/>
      <c r="H152" s="190"/>
      <c r="I152" s="191">
        <v>70370</v>
      </c>
      <c r="J152" s="300" t="str">
        <f>CONCATENATE([2]Cover!$D$6,"fdd/view?i=",I152)</f>
        <v>https://www.dgiwg.org/FAD/fdd/view?i=70370</v>
      </c>
      <c r="K152" s="300" t="s">
        <v>33906</v>
      </c>
      <c r="L152" s="188">
        <v>2</v>
      </c>
      <c r="M152" s="180" t="s">
        <v>151</v>
      </c>
      <c r="N152" s="183"/>
    </row>
    <row r="153" spans="1:14" ht="89.25">
      <c r="A153" s="313" t="str">
        <f t="shared" si="2"/>
        <v>monetaryUnit_poundSterling</v>
      </c>
      <c r="B153" s="331"/>
      <c r="C153" s="335"/>
      <c r="D153" s="181" t="s">
        <v>776</v>
      </c>
      <c r="E153" s="192" t="s">
        <v>777</v>
      </c>
      <c r="F153" s="193" t="s">
        <v>778</v>
      </c>
      <c r="G153" s="193" t="s">
        <v>779</v>
      </c>
      <c r="H153" s="194"/>
      <c r="I153" s="195">
        <v>70371</v>
      </c>
      <c r="J153" s="301" t="str">
        <f>CONCATENATE([2]Cover!$D$6,"fdd/view?i=",I153)</f>
        <v>https://www.dgiwg.org/FAD/fdd/view?i=70371</v>
      </c>
      <c r="K153" s="301" t="s">
        <v>33907</v>
      </c>
      <c r="L153" s="181">
        <v>3</v>
      </c>
      <c r="M153" s="182" t="s">
        <v>151</v>
      </c>
      <c r="N153" s="183"/>
    </row>
    <row r="154" spans="1:14" ht="102">
      <c r="A154" s="313" t="str">
        <f t="shared" si="2"/>
        <v>noncomparable_flightLevel</v>
      </c>
      <c r="B154" s="332" t="str">
        <f>HYPERLINK("[#]PhysicalQuantities!A33:N33","noncomparable")</f>
        <v>noncomparable</v>
      </c>
      <c r="C154" s="333" t="s">
        <v>246</v>
      </c>
      <c r="D154" s="202" t="s">
        <v>780</v>
      </c>
      <c r="E154" s="203" t="s">
        <v>781</v>
      </c>
      <c r="F154" s="204" t="s">
        <v>782</v>
      </c>
      <c r="G154" s="204" t="s">
        <v>783</v>
      </c>
      <c r="H154" s="205"/>
      <c r="I154" s="206">
        <v>70228</v>
      </c>
      <c r="J154" s="309" t="str">
        <f>CONCATENATE([2]Cover!$D$6,"fdd/view?i=",I154)</f>
        <v>https://www.dgiwg.org/FAD/fdd/view?i=70228</v>
      </c>
      <c r="K154" s="309" t="s">
        <v>33908</v>
      </c>
      <c r="L154" s="202">
        <v>1</v>
      </c>
      <c r="M154" s="187" t="s">
        <v>151</v>
      </c>
      <c r="N154" s="183"/>
    </row>
    <row r="155" spans="1:14" ht="63.75">
      <c r="A155" s="313" t="str">
        <f t="shared" si="2"/>
        <v>noncomparable_militaryLoadClass</v>
      </c>
      <c r="B155" s="331"/>
      <c r="C155" s="335"/>
      <c r="D155" s="181" t="s">
        <v>784</v>
      </c>
      <c r="E155" s="192" t="s">
        <v>785</v>
      </c>
      <c r="F155" s="193" t="s">
        <v>786</v>
      </c>
      <c r="G155" s="193" t="s">
        <v>787</v>
      </c>
      <c r="H155" s="194"/>
      <c r="I155" s="195">
        <v>70229</v>
      </c>
      <c r="J155" s="301" t="str">
        <f>CONCATENATE([2]Cover!$D$6,"fdd/view?i=",I155)</f>
        <v>https://www.dgiwg.org/FAD/fdd/view?i=70229</v>
      </c>
      <c r="K155" s="301" t="s">
        <v>33909</v>
      </c>
      <c r="L155" s="181">
        <v>2</v>
      </c>
      <c r="M155" s="182" t="s">
        <v>151</v>
      </c>
      <c r="N155" s="183"/>
    </row>
    <row r="156" spans="1:14" ht="25.5">
      <c r="A156" s="313" t="str">
        <f t="shared" si="2"/>
        <v>planeAngle_radian</v>
      </c>
      <c r="B156" s="332" t="str">
        <f>HYPERLINK("[#]PhysicalQuantities!A34:N34","planeAngle")</f>
        <v>planeAngle</v>
      </c>
      <c r="C156" s="333" t="s">
        <v>249</v>
      </c>
      <c r="D156" s="184" t="s">
        <v>788</v>
      </c>
      <c r="E156" s="185" t="s">
        <v>789</v>
      </c>
      <c r="F156" s="184" t="s">
        <v>790</v>
      </c>
      <c r="G156" s="184" t="s">
        <v>791</v>
      </c>
      <c r="H156" s="186"/>
      <c r="I156" s="184">
        <v>70230</v>
      </c>
      <c r="J156" s="307" t="str">
        <f>CONCATENATE([2]Cover!$D$6,"fdd/view?i=",I156)</f>
        <v>https://www.dgiwg.org/FAD/fdd/view?i=70230</v>
      </c>
      <c r="K156" s="307" t="s">
        <v>33910</v>
      </c>
      <c r="L156" s="184">
        <v>1</v>
      </c>
      <c r="M156" s="187" t="s">
        <v>151</v>
      </c>
      <c r="N156" s="183"/>
    </row>
    <row r="157" spans="1:14" ht="25.5">
      <c r="A157" s="313" t="str">
        <f t="shared" si="2"/>
        <v>planeAngle_arcDecadegree</v>
      </c>
      <c r="B157" s="330"/>
      <c r="C157" s="334"/>
      <c r="D157" s="188" t="s">
        <v>792</v>
      </c>
      <c r="E157" s="189" t="s">
        <v>793</v>
      </c>
      <c r="F157" s="162" t="s">
        <v>794</v>
      </c>
      <c r="G157" s="190"/>
      <c r="H157" s="162" t="s">
        <v>795</v>
      </c>
      <c r="I157" s="191">
        <v>70231</v>
      </c>
      <c r="J157" s="300" t="str">
        <f>CONCATENATE([2]Cover!$D$6,"fdd/view?i=",I157)</f>
        <v>https://www.dgiwg.org/FAD/fdd/view?i=70231</v>
      </c>
      <c r="K157" s="300" t="s">
        <v>33911</v>
      </c>
      <c r="L157" s="188">
        <v>2</v>
      </c>
      <c r="M157" s="180" t="s">
        <v>151</v>
      </c>
      <c r="N157" s="183"/>
    </row>
    <row r="158" spans="1:14" ht="25.5">
      <c r="A158" s="313" t="str">
        <f t="shared" si="2"/>
        <v>planeAngle_arcQuintdegree</v>
      </c>
      <c r="B158" s="330"/>
      <c r="C158" s="334"/>
      <c r="D158" s="188" t="s">
        <v>796</v>
      </c>
      <c r="E158" s="189" t="s">
        <v>797</v>
      </c>
      <c r="F158" s="162" t="s">
        <v>798</v>
      </c>
      <c r="G158" s="190"/>
      <c r="H158" s="162" t="s">
        <v>799</v>
      </c>
      <c r="I158" s="191">
        <v>70232</v>
      </c>
      <c r="J158" s="300" t="str">
        <f>CONCATENATE([2]Cover!$D$6,"fdd/view?i=",I158)</f>
        <v>https://www.dgiwg.org/FAD/fdd/view?i=70232</v>
      </c>
      <c r="K158" s="300" t="s">
        <v>33912</v>
      </c>
      <c r="L158" s="188">
        <v>3</v>
      </c>
      <c r="M158" s="180" t="s">
        <v>151</v>
      </c>
      <c r="N158" s="183"/>
    </row>
    <row r="159" spans="1:14" ht="25.5">
      <c r="A159" s="313" t="str">
        <f t="shared" si="2"/>
        <v>planeAngle_arcDegree</v>
      </c>
      <c r="B159" s="330"/>
      <c r="C159" s="334"/>
      <c r="D159" s="188" t="s">
        <v>800</v>
      </c>
      <c r="E159" s="189" t="s">
        <v>801</v>
      </c>
      <c r="F159" s="162" t="s">
        <v>802</v>
      </c>
      <c r="G159" s="190"/>
      <c r="H159" s="162" t="s">
        <v>803</v>
      </c>
      <c r="I159" s="191">
        <v>70233</v>
      </c>
      <c r="J159" s="300" t="str">
        <f>CONCATENATE([2]Cover!$D$6,"fdd/view?i=",I159)</f>
        <v>https://www.dgiwg.org/FAD/fdd/view?i=70233</v>
      </c>
      <c r="K159" s="300" t="s">
        <v>33913</v>
      </c>
      <c r="L159" s="188">
        <v>4</v>
      </c>
      <c r="M159" s="180" t="s">
        <v>151</v>
      </c>
      <c r="N159" s="183"/>
    </row>
    <row r="160" spans="1:14" ht="25.5">
      <c r="A160" s="313" t="str">
        <f t="shared" si="2"/>
        <v>planeAngle_arcDecidegree</v>
      </c>
      <c r="B160" s="330"/>
      <c r="C160" s="334"/>
      <c r="D160" s="188" t="s">
        <v>804</v>
      </c>
      <c r="E160" s="189" t="s">
        <v>805</v>
      </c>
      <c r="F160" s="162" t="s">
        <v>806</v>
      </c>
      <c r="G160" s="190"/>
      <c r="H160" s="162" t="s">
        <v>807</v>
      </c>
      <c r="I160" s="191">
        <v>70234</v>
      </c>
      <c r="J160" s="300" t="str">
        <f>CONCATENATE([2]Cover!$D$6,"fdd/view?i=",I160)</f>
        <v>https://www.dgiwg.org/FAD/fdd/view?i=70234</v>
      </c>
      <c r="K160" s="300" t="s">
        <v>33914</v>
      </c>
      <c r="L160" s="188">
        <v>5</v>
      </c>
      <c r="M160" s="180" t="s">
        <v>151</v>
      </c>
      <c r="N160" s="183"/>
    </row>
    <row r="161" spans="1:14" ht="38.25">
      <c r="A161" s="313" t="str">
        <f t="shared" si="2"/>
        <v>planeAngle_arcCentidegree</v>
      </c>
      <c r="B161" s="330"/>
      <c r="C161" s="334"/>
      <c r="D161" s="188" t="s">
        <v>808</v>
      </c>
      <c r="E161" s="189" t="s">
        <v>809</v>
      </c>
      <c r="F161" s="162" t="s">
        <v>810</v>
      </c>
      <c r="G161" s="190"/>
      <c r="H161" s="162" t="s">
        <v>811</v>
      </c>
      <c r="I161" s="191">
        <v>70235</v>
      </c>
      <c r="J161" s="300" t="str">
        <f>CONCATENATE([2]Cover!$D$6,"fdd/view?i=",I161)</f>
        <v>https://www.dgiwg.org/FAD/fdd/view?i=70235</v>
      </c>
      <c r="K161" s="300" t="s">
        <v>33915</v>
      </c>
      <c r="L161" s="188">
        <v>6</v>
      </c>
      <c r="M161" s="180" t="s">
        <v>151</v>
      </c>
      <c r="N161" s="183"/>
    </row>
    <row r="162" spans="1:14" ht="38.25">
      <c r="A162" s="313" t="str">
        <f t="shared" si="2"/>
        <v>planeAngle_arcMillidegree</v>
      </c>
      <c r="B162" s="330"/>
      <c r="C162" s="334"/>
      <c r="D162" s="188" t="s">
        <v>812</v>
      </c>
      <c r="E162" s="189" t="s">
        <v>813</v>
      </c>
      <c r="F162" s="162" t="s">
        <v>814</v>
      </c>
      <c r="G162" s="190"/>
      <c r="H162" s="162" t="s">
        <v>815</v>
      </c>
      <c r="I162" s="191">
        <v>70236</v>
      </c>
      <c r="J162" s="300" t="str">
        <f>CONCATENATE([2]Cover!$D$6,"fdd/view?i=",I162)</f>
        <v>https://www.dgiwg.org/FAD/fdd/view?i=70236</v>
      </c>
      <c r="K162" s="300" t="s">
        <v>33916</v>
      </c>
      <c r="L162" s="188">
        <v>7</v>
      </c>
      <c r="M162" s="180" t="s">
        <v>151</v>
      </c>
      <c r="N162" s="183"/>
    </row>
    <row r="163" spans="1:14" ht="38.25">
      <c r="A163" s="313" t="str">
        <f t="shared" si="2"/>
        <v>planeAngle_arcDecimillidegree</v>
      </c>
      <c r="B163" s="330"/>
      <c r="C163" s="334"/>
      <c r="D163" s="188" t="s">
        <v>816</v>
      </c>
      <c r="E163" s="189" t="s">
        <v>817</v>
      </c>
      <c r="F163" s="162" t="s">
        <v>818</v>
      </c>
      <c r="G163" s="190"/>
      <c r="H163" s="162" t="s">
        <v>819</v>
      </c>
      <c r="I163" s="191">
        <v>70237</v>
      </c>
      <c r="J163" s="300" t="str">
        <f>CONCATENATE([2]Cover!$D$6,"fdd/view?i=",I163)</f>
        <v>https://www.dgiwg.org/FAD/fdd/view?i=70237</v>
      </c>
      <c r="K163" s="300" t="s">
        <v>33917</v>
      </c>
      <c r="L163" s="188">
        <v>8</v>
      </c>
      <c r="M163" s="180" t="s">
        <v>151</v>
      </c>
      <c r="N163" s="183"/>
    </row>
    <row r="164" spans="1:14" ht="38.25">
      <c r="A164" s="313" t="str">
        <f t="shared" si="2"/>
        <v>planeAngle_arcCentimilllidegree</v>
      </c>
      <c r="B164" s="330"/>
      <c r="C164" s="334"/>
      <c r="D164" s="188" t="s">
        <v>820</v>
      </c>
      <c r="E164" s="189" t="s">
        <v>821</v>
      </c>
      <c r="F164" s="162" t="s">
        <v>822</v>
      </c>
      <c r="G164" s="190"/>
      <c r="H164" s="162" t="s">
        <v>823</v>
      </c>
      <c r="I164" s="191">
        <v>70238</v>
      </c>
      <c r="J164" s="300" t="str">
        <f>CONCATENATE([2]Cover!$D$6,"fdd/view?i=",I164)</f>
        <v>https://www.dgiwg.org/FAD/fdd/view?i=70238</v>
      </c>
      <c r="K164" s="300" t="s">
        <v>33918</v>
      </c>
      <c r="L164" s="188">
        <v>9</v>
      </c>
      <c r="M164" s="180" t="s">
        <v>151</v>
      </c>
      <c r="N164" s="183"/>
    </row>
    <row r="165" spans="1:14" ht="38.25">
      <c r="A165" s="313" t="str">
        <f t="shared" si="2"/>
        <v>planeAngle_arcMicrodegree</v>
      </c>
      <c r="B165" s="330"/>
      <c r="C165" s="334"/>
      <c r="D165" s="188" t="s">
        <v>824</v>
      </c>
      <c r="E165" s="189" t="s">
        <v>825</v>
      </c>
      <c r="F165" s="162" t="s">
        <v>826</v>
      </c>
      <c r="G165" s="190"/>
      <c r="H165" s="162" t="s">
        <v>827</v>
      </c>
      <c r="I165" s="191">
        <v>70239</v>
      </c>
      <c r="J165" s="300" t="str">
        <f>CONCATENATE([2]Cover!$D$6,"fdd/view?i=",I165)</f>
        <v>https://www.dgiwg.org/FAD/fdd/view?i=70239</v>
      </c>
      <c r="K165" s="300" t="s">
        <v>33919</v>
      </c>
      <c r="L165" s="188">
        <v>10</v>
      </c>
      <c r="M165" s="180" t="s">
        <v>151</v>
      </c>
      <c r="N165" s="183"/>
    </row>
    <row r="166" spans="1:14" ht="25.5">
      <c r="A166" s="313" t="str">
        <f t="shared" si="2"/>
        <v>planeAngle_arcMinute</v>
      </c>
      <c r="B166" s="330"/>
      <c r="C166" s="334"/>
      <c r="D166" s="188" t="s">
        <v>828</v>
      </c>
      <c r="E166" s="189" t="s">
        <v>829</v>
      </c>
      <c r="F166" s="162" t="s">
        <v>830</v>
      </c>
      <c r="G166" s="190"/>
      <c r="H166" s="162" t="s">
        <v>831</v>
      </c>
      <c r="I166" s="191">
        <v>70240</v>
      </c>
      <c r="J166" s="300" t="str">
        <f>CONCATENATE([2]Cover!$D$6,"fdd/view?i=",I166)</f>
        <v>https://www.dgiwg.org/FAD/fdd/view?i=70240</v>
      </c>
      <c r="K166" s="300" t="s">
        <v>33920</v>
      </c>
      <c r="L166" s="188">
        <v>11</v>
      </c>
      <c r="M166" s="180" t="s">
        <v>151</v>
      </c>
      <c r="N166" s="183"/>
    </row>
    <row r="167" spans="1:14" ht="25.5">
      <c r="A167" s="313" t="str">
        <f t="shared" si="2"/>
        <v>planeAngle_arcDeciminute</v>
      </c>
      <c r="B167" s="330"/>
      <c r="C167" s="334"/>
      <c r="D167" s="188" t="s">
        <v>832</v>
      </c>
      <c r="E167" s="189" t="s">
        <v>833</v>
      </c>
      <c r="F167" s="162" t="s">
        <v>834</v>
      </c>
      <c r="G167" s="190"/>
      <c r="H167" s="162" t="s">
        <v>835</v>
      </c>
      <c r="I167" s="191">
        <v>70241</v>
      </c>
      <c r="J167" s="300" t="str">
        <f>CONCATENATE([2]Cover!$D$6,"fdd/view?i=",I167)</f>
        <v>https://www.dgiwg.org/FAD/fdd/view?i=70241</v>
      </c>
      <c r="K167" s="300" t="s">
        <v>33921</v>
      </c>
      <c r="L167" s="188">
        <v>12</v>
      </c>
      <c r="M167" s="180" t="s">
        <v>151</v>
      </c>
      <c r="N167" s="183"/>
    </row>
    <row r="168" spans="1:14" ht="38.25">
      <c r="A168" s="313" t="str">
        <f t="shared" si="2"/>
        <v>planeAngle_arcCentiminute</v>
      </c>
      <c r="B168" s="330"/>
      <c r="C168" s="334"/>
      <c r="D168" s="188" t="s">
        <v>836</v>
      </c>
      <c r="E168" s="189" t="s">
        <v>837</v>
      </c>
      <c r="F168" s="162" t="s">
        <v>838</v>
      </c>
      <c r="G168" s="190"/>
      <c r="H168" s="162" t="s">
        <v>839</v>
      </c>
      <c r="I168" s="191">
        <v>70242</v>
      </c>
      <c r="J168" s="300" t="str">
        <f>CONCATENATE([2]Cover!$D$6,"fdd/view?i=",I168)</f>
        <v>https://www.dgiwg.org/FAD/fdd/view?i=70242</v>
      </c>
      <c r="K168" s="300" t="s">
        <v>33922</v>
      </c>
      <c r="L168" s="188">
        <v>13</v>
      </c>
      <c r="M168" s="180" t="s">
        <v>151</v>
      </c>
      <c r="N168" s="183"/>
    </row>
    <row r="169" spans="1:14" ht="38.25">
      <c r="A169" s="313" t="str">
        <f t="shared" si="2"/>
        <v>planeAngle_arcMilliminute</v>
      </c>
      <c r="B169" s="330"/>
      <c r="C169" s="334"/>
      <c r="D169" s="188" t="s">
        <v>840</v>
      </c>
      <c r="E169" s="189" t="s">
        <v>841</v>
      </c>
      <c r="F169" s="162" t="s">
        <v>842</v>
      </c>
      <c r="G169" s="190"/>
      <c r="H169" s="162" t="s">
        <v>843</v>
      </c>
      <c r="I169" s="191">
        <v>70243</v>
      </c>
      <c r="J169" s="300" t="str">
        <f>CONCATENATE([2]Cover!$D$6,"fdd/view?i=",I169)</f>
        <v>https://www.dgiwg.org/FAD/fdd/view?i=70243</v>
      </c>
      <c r="K169" s="300" t="s">
        <v>33923</v>
      </c>
      <c r="L169" s="188">
        <v>14</v>
      </c>
      <c r="M169" s="180" t="s">
        <v>151</v>
      </c>
      <c r="N169" s="183"/>
    </row>
    <row r="170" spans="1:14" ht="38.25">
      <c r="A170" s="313" t="str">
        <f t="shared" si="2"/>
        <v>planeAngle_arcDecimilliminute</v>
      </c>
      <c r="B170" s="330"/>
      <c r="C170" s="334"/>
      <c r="D170" s="188" t="s">
        <v>844</v>
      </c>
      <c r="E170" s="189" t="s">
        <v>845</v>
      </c>
      <c r="F170" s="162" t="s">
        <v>846</v>
      </c>
      <c r="G170" s="190"/>
      <c r="H170" s="162" t="s">
        <v>847</v>
      </c>
      <c r="I170" s="191">
        <v>70244</v>
      </c>
      <c r="J170" s="300" t="str">
        <f>CONCATENATE([2]Cover!$D$6,"fdd/view?i=",I170)</f>
        <v>https://www.dgiwg.org/FAD/fdd/view?i=70244</v>
      </c>
      <c r="K170" s="300" t="s">
        <v>33924</v>
      </c>
      <c r="L170" s="188">
        <v>15</v>
      </c>
      <c r="M170" s="180" t="s">
        <v>151</v>
      </c>
      <c r="N170" s="183"/>
    </row>
    <row r="171" spans="1:14" ht="25.5">
      <c r="A171" s="313" t="str">
        <f t="shared" si="2"/>
        <v>planeAngle_arcSecond</v>
      </c>
      <c r="B171" s="330"/>
      <c r="C171" s="334"/>
      <c r="D171" s="188" t="s">
        <v>848</v>
      </c>
      <c r="E171" s="189" t="s">
        <v>849</v>
      </c>
      <c r="F171" s="162" t="s">
        <v>850</v>
      </c>
      <c r="G171" s="190"/>
      <c r="H171" s="162" t="s">
        <v>851</v>
      </c>
      <c r="I171" s="191">
        <v>70245</v>
      </c>
      <c r="J171" s="300" t="str">
        <f>CONCATENATE([2]Cover!$D$6,"fdd/view?i=",I171)</f>
        <v>https://www.dgiwg.org/FAD/fdd/view?i=70245</v>
      </c>
      <c r="K171" s="300" t="s">
        <v>33925</v>
      </c>
      <c r="L171" s="188">
        <v>16</v>
      </c>
      <c r="M171" s="180" t="s">
        <v>151</v>
      </c>
      <c r="N171" s="183"/>
    </row>
    <row r="172" spans="1:14" ht="25.5">
      <c r="A172" s="313" t="str">
        <f t="shared" si="2"/>
        <v>planeAngle_arcDecisecond</v>
      </c>
      <c r="B172" s="330"/>
      <c r="C172" s="334"/>
      <c r="D172" s="188" t="s">
        <v>852</v>
      </c>
      <c r="E172" s="189" t="s">
        <v>853</v>
      </c>
      <c r="F172" s="162" t="s">
        <v>854</v>
      </c>
      <c r="G172" s="190"/>
      <c r="H172" s="162" t="s">
        <v>855</v>
      </c>
      <c r="I172" s="191">
        <v>70246</v>
      </c>
      <c r="J172" s="300" t="str">
        <f>CONCATENATE([2]Cover!$D$6,"fdd/view?i=",I172)</f>
        <v>https://www.dgiwg.org/FAD/fdd/view?i=70246</v>
      </c>
      <c r="K172" s="300" t="s">
        <v>33926</v>
      </c>
      <c r="L172" s="188">
        <v>17</v>
      </c>
      <c r="M172" s="180" t="s">
        <v>151</v>
      </c>
      <c r="N172" s="183"/>
    </row>
    <row r="173" spans="1:14" ht="38.25">
      <c r="A173" s="313" t="str">
        <f t="shared" si="2"/>
        <v>planeAngle_arcCentisecond</v>
      </c>
      <c r="B173" s="330"/>
      <c r="C173" s="334"/>
      <c r="D173" s="188" t="s">
        <v>856</v>
      </c>
      <c r="E173" s="189" t="s">
        <v>857</v>
      </c>
      <c r="F173" s="162" t="s">
        <v>858</v>
      </c>
      <c r="G173" s="190"/>
      <c r="H173" s="162" t="s">
        <v>859</v>
      </c>
      <c r="I173" s="191">
        <v>70247</v>
      </c>
      <c r="J173" s="300" t="str">
        <f>CONCATENATE([2]Cover!$D$6,"fdd/view?i=",I173)</f>
        <v>https://www.dgiwg.org/FAD/fdd/view?i=70247</v>
      </c>
      <c r="K173" s="300" t="s">
        <v>33927</v>
      </c>
      <c r="L173" s="188">
        <v>18</v>
      </c>
      <c r="M173" s="180" t="s">
        <v>151</v>
      </c>
      <c r="N173" s="183"/>
    </row>
    <row r="174" spans="1:14" ht="38.25">
      <c r="A174" s="313" t="str">
        <f t="shared" si="2"/>
        <v>planeAngle_arcMillisecond</v>
      </c>
      <c r="B174" s="330"/>
      <c r="C174" s="334"/>
      <c r="D174" s="188" t="s">
        <v>860</v>
      </c>
      <c r="E174" s="189" t="s">
        <v>861</v>
      </c>
      <c r="F174" s="162" t="s">
        <v>862</v>
      </c>
      <c r="G174" s="190"/>
      <c r="H174" s="162" t="s">
        <v>863</v>
      </c>
      <c r="I174" s="191">
        <v>70248</v>
      </c>
      <c r="J174" s="300" t="str">
        <f>CONCATENATE([2]Cover!$D$6,"fdd/view?i=",I174)</f>
        <v>https://www.dgiwg.org/FAD/fdd/view?i=70248</v>
      </c>
      <c r="K174" s="300" t="s">
        <v>33928</v>
      </c>
      <c r="L174" s="188">
        <v>19</v>
      </c>
      <c r="M174" s="180" t="s">
        <v>151</v>
      </c>
      <c r="N174" s="183"/>
    </row>
    <row r="175" spans="1:14" ht="25.5">
      <c r="A175" s="313" t="str">
        <f t="shared" si="2"/>
        <v>planeAngle_grad</v>
      </c>
      <c r="B175" s="330"/>
      <c r="C175" s="334"/>
      <c r="D175" s="188" t="s">
        <v>864</v>
      </c>
      <c r="E175" s="189" t="s">
        <v>865</v>
      </c>
      <c r="F175" s="162" t="s">
        <v>866</v>
      </c>
      <c r="G175" s="162" t="s">
        <v>867</v>
      </c>
      <c r="H175" s="190"/>
      <c r="I175" s="191">
        <v>70249</v>
      </c>
      <c r="J175" s="300" t="str">
        <f>CONCATENATE([2]Cover!$D$6,"fdd/view?i=",I175)</f>
        <v>https://www.dgiwg.org/FAD/fdd/view?i=70249</v>
      </c>
      <c r="K175" s="300" t="s">
        <v>33929</v>
      </c>
      <c r="L175" s="188">
        <v>20</v>
      </c>
      <c r="M175" s="180" t="s">
        <v>151</v>
      </c>
      <c r="N175" s="183"/>
    </row>
    <row r="176" spans="1:14" ht="38.25">
      <c r="A176" s="313" t="str">
        <f t="shared" si="2"/>
        <v>planeAngle_hectomil</v>
      </c>
      <c r="B176" s="330"/>
      <c r="C176" s="334"/>
      <c r="D176" s="188" t="s">
        <v>868</v>
      </c>
      <c r="E176" s="189" t="s">
        <v>869</v>
      </c>
      <c r="F176" s="162" t="s">
        <v>870</v>
      </c>
      <c r="G176" s="162" t="s">
        <v>871</v>
      </c>
      <c r="H176" s="190"/>
      <c r="I176" s="191">
        <v>70250</v>
      </c>
      <c r="J176" s="300" t="str">
        <f>CONCATENATE([2]Cover!$D$6,"fdd/view?i=",I176)</f>
        <v>https://www.dgiwg.org/FAD/fdd/view?i=70250</v>
      </c>
      <c r="K176" s="300" t="s">
        <v>33930</v>
      </c>
      <c r="L176" s="188">
        <v>21</v>
      </c>
      <c r="M176" s="180" t="s">
        <v>151</v>
      </c>
      <c r="N176" s="183"/>
    </row>
    <row r="177" spans="1:14" ht="38.25">
      <c r="A177" s="313" t="str">
        <f t="shared" si="2"/>
        <v>planeAngle_decamil</v>
      </c>
      <c r="B177" s="330"/>
      <c r="C177" s="334"/>
      <c r="D177" s="188" t="s">
        <v>872</v>
      </c>
      <c r="E177" s="189" t="s">
        <v>873</v>
      </c>
      <c r="F177" s="162" t="s">
        <v>874</v>
      </c>
      <c r="G177" s="162" t="s">
        <v>875</v>
      </c>
      <c r="H177" s="190"/>
      <c r="I177" s="191">
        <v>70251</v>
      </c>
      <c r="J177" s="300" t="str">
        <f>CONCATENATE([2]Cover!$D$6,"fdd/view?i=",I177)</f>
        <v>https://www.dgiwg.org/FAD/fdd/view?i=70251</v>
      </c>
      <c r="K177" s="300" t="s">
        <v>33931</v>
      </c>
      <c r="L177" s="188">
        <v>22</v>
      </c>
      <c r="M177" s="180" t="s">
        <v>151</v>
      </c>
      <c r="N177" s="183"/>
    </row>
    <row r="178" spans="1:14" ht="38.25">
      <c r="A178" s="313" t="str">
        <f t="shared" si="2"/>
        <v>planeAngle_mil</v>
      </c>
      <c r="B178" s="330"/>
      <c r="C178" s="334"/>
      <c r="D178" s="188" t="s">
        <v>876</v>
      </c>
      <c r="E178" s="189" t="s">
        <v>877</v>
      </c>
      <c r="F178" s="162" t="s">
        <v>878</v>
      </c>
      <c r="G178" s="162" t="s">
        <v>879</v>
      </c>
      <c r="H178" s="190"/>
      <c r="I178" s="191">
        <v>70252</v>
      </c>
      <c r="J178" s="300" t="str">
        <f>CONCATENATE([2]Cover!$D$6,"fdd/view?i=",I178)</f>
        <v>https://www.dgiwg.org/FAD/fdd/view?i=70252</v>
      </c>
      <c r="K178" s="300" t="s">
        <v>33932</v>
      </c>
      <c r="L178" s="188">
        <v>23</v>
      </c>
      <c r="M178" s="180" t="s">
        <v>151</v>
      </c>
      <c r="N178" s="183"/>
    </row>
    <row r="179" spans="1:14" ht="51">
      <c r="A179" s="313" t="str">
        <f t="shared" si="2"/>
        <v>planeAngle_millimil</v>
      </c>
      <c r="B179" s="331"/>
      <c r="C179" s="335"/>
      <c r="D179" s="181" t="s">
        <v>880</v>
      </c>
      <c r="E179" s="192" t="s">
        <v>881</v>
      </c>
      <c r="F179" s="193" t="s">
        <v>882</v>
      </c>
      <c r="G179" s="193" t="s">
        <v>883</v>
      </c>
      <c r="H179" s="194"/>
      <c r="I179" s="195">
        <v>70253</v>
      </c>
      <c r="J179" s="301" t="str">
        <f>CONCATENATE([2]Cover!$D$6,"fdd/view?i=",I179)</f>
        <v>https://www.dgiwg.org/FAD/fdd/view?i=70253</v>
      </c>
      <c r="K179" s="301" t="s">
        <v>33933</v>
      </c>
      <c r="L179" s="181">
        <v>24</v>
      </c>
      <c r="M179" s="182" t="s">
        <v>151</v>
      </c>
      <c r="N179" s="183"/>
    </row>
    <row r="180" spans="1:14" ht="25.5">
      <c r="A180" s="313" t="str">
        <f t="shared" si="2"/>
        <v>power_megawatt</v>
      </c>
      <c r="B180" s="332" t="str">
        <f>HYPERLINK("[#]PhysicalQuantities!A35:N35","power")</f>
        <v>power</v>
      </c>
      <c r="C180" s="333" t="s">
        <v>252</v>
      </c>
      <c r="D180" s="202" t="s">
        <v>884</v>
      </c>
      <c r="E180" s="203" t="s">
        <v>885</v>
      </c>
      <c r="F180" s="204" t="s">
        <v>886</v>
      </c>
      <c r="G180" s="205"/>
      <c r="H180" s="205"/>
      <c r="I180" s="206">
        <v>70254</v>
      </c>
      <c r="J180" s="309" t="str">
        <f>CONCATENATE([2]Cover!$D$6,"fdd/view?i=",I180)</f>
        <v>https://www.dgiwg.org/FAD/fdd/view?i=70254</v>
      </c>
      <c r="K180" s="309" t="s">
        <v>33934</v>
      </c>
      <c r="L180" s="202">
        <v>1</v>
      </c>
      <c r="M180" s="187" t="s">
        <v>151</v>
      </c>
      <c r="N180" s="183"/>
    </row>
    <row r="181" spans="1:14" ht="25.5">
      <c r="A181" s="313" t="str">
        <f t="shared" si="2"/>
        <v>power_kilowatt</v>
      </c>
      <c r="B181" s="330"/>
      <c r="C181" s="334"/>
      <c r="D181" s="188" t="s">
        <v>887</v>
      </c>
      <c r="E181" s="189" t="s">
        <v>888</v>
      </c>
      <c r="F181" s="162" t="s">
        <v>889</v>
      </c>
      <c r="G181" s="190"/>
      <c r="H181" s="190"/>
      <c r="I181" s="191">
        <v>70255</v>
      </c>
      <c r="J181" s="300" t="str">
        <f>CONCATENATE([2]Cover!$D$6,"fdd/view?i=",I181)</f>
        <v>https://www.dgiwg.org/FAD/fdd/view?i=70255</v>
      </c>
      <c r="K181" s="300" t="s">
        <v>33935</v>
      </c>
      <c r="L181" s="188">
        <v>2</v>
      </c>
      <c r="M181" s="180" t="s">
        <v>151</v>
      </c>
      <c r="N181" s="183"/>
    </row>
    <row r="182" spans="1:14">
      <c r="A182" s="313" t="str">
        <f t="shared" si="2"/>
        <v>power_watt</v>
      </c>
      <c r="B182" s="330"/>
      <c r="C182" s="334"/>
      <c r="D182" s="207" t="s">
        <v>890</v>
      </c>
      <c r="E182" s="208" t="s">
        <v>891</v>
      </c>
      <c r="F182" s="207" t="s">
        <v>892</v>
      </c>
      <c r="G182" s="209"/>
      <c r="H182" s="209"/>
      <c r="I182" s="207">
        <v>70256</v>
      </c>
      <c r="J182" s="310" t="str">
        <f>CONCATENATE([2]Cover!$D$6,"fdd/view?i=",I182)</f>
        <v>https://www.dgiwg.org/FAD/fdd/view?i=70256</v>
      </c>
      <c r="K182" s="310" t="s">
        <v>33936</v>
      </c>
      <c r="L182" s="207">
        <v>3</v>
      </c>
      <c r="M182" s="180" t="s">
        <v>151</v>
      </c>
      <c r="N182" s="183"/>
    </row>
    <row r="183" spans="1:14" ht="25.5">
      <c r="A183" s="313" t="str">
        <f t="shared" si="2"/>
        <v>power_milliwatt</v>
      </c>
      <c r="B183" s="330"/>
      <c r="C183" s="334"/>
      <c r="D183" s="188" t="s">
        <v>893</v>
      </c>
      <c r="E183" s="189" t="s">
        <v>894</v>
      </c>
      <c r="F183" s="162" t="s">
        <v>895</v>
      </c>
      <c r="G183" s="190"/>
      <c r="H183" s="190"/>
      <c r="I183" s="191">
        <v>70257</v>
      </c>
      <c r="J183" s="300" t="str">
        <f>CONCATENATE([2]Cover!$D$6,"fdd/view?i=",I183)</f>
        <v>https://www.dgiwg.org/FAD/fdd/view?i=70257</v>
      </c>
      <c r="K183" s="300" t="s">
        <v>33937</v>
      </c>
      <c r="L183" s="188">
        <v>4</v>
      </c>
      <c r="M183" s="180" t="s">
        <v>151</v>
      </c>
      <c r="N183" s="183"/>
    </row>
    <row r="184" spans="1:14" ht="25.5">
      <c r="A184" s="313" t="str">
        <f t="shared" si="2"/>
        <v>power_microwatt</v>
      </c>
      <c r="B184" s="330"/>
      <c r="C184" s="334"/>
      <c r="D184" s="188" t="s">
        <v>896</v>
      </c>
      <c r="E184" s="189" t="s">
        <v>897</v>
      </c>
      <c r="F184" s="162" t="s">
        <v>898</v>
      </c>
      <c r="G184" s="190"/>
      <c r="H184" s="190"/>
      <c r="I184" s="191">
        <v>70258</v>
      </c>
      <c r="J184" s="300" t="str">
        <f>CONCATENATE([2]Cover!$D$6,"fdd/view?i=",I184)</f>
        <v>https://www.dgiwg.org/FAD/fdd/view?i=70258</v>
      </c>
      <c r="K184" s="300" t="s">
        <v>33938</v>
      </c>
      <c r="L184" s="188">
        <v>5</v>
      </c>
      <c r="M184" s="180" t="s">
        <v>151</v>
      </c>
      <c r="N184" s="183"/>
    </row>
    <row r="185" spans="1:14" ht="25.5">
      <c r="A185" s="313" t="str">
        <f t="shared" si="2"/>
        <v>power_horsepowerElectric</v>
      </c>
      <c r="B185" s="330"/>
      <c r="C185" s="334"/>
      <c r="D185" s="188" t="s">
        <v>899</v>
      </c>
      <c r="E185" s="189" t="s">
        <v>900</v>
      </c>
      <c r="F185" s="162" t="s">
        <v>901</v>
      </c>
      <c r="G185" s="190"/>
      <c r="H185" s="190"/>
      <c r="I185" s="191">
        <v>70259</v>
      </c>
      <c r="J185" s="300" t="str">
        <f>CONCATENATE([2]Cover!$D$6,"fdd/view?i=",I185)</f>
        <v>https://www.dgiwg.org/FAD/fdd/view?i=70259</v>
      </c>
      <c r="K185" s="300" t="s">
        <v>33939</v>
      </c>
      <c r="L185" s="188">
        <v>6</v>
      </c>
      <c r="M185" s="180" t="s">
        <v>151</v>
      </c>
      <c r="N185" s="183"/>
    </row>
    <row r="186" spans="1:14" ht="25.5">
      <c r="A186" s="313" t="str">
        <f t="shared" si="2"/>
        <v>power_horsepowerMechanic</v>
      </c>
      <c r="B186" s="330"/>
      <c r="C186" s="334"/>
      <c r="D186" s="188" t="s">
        <v>902</v>
      </c>
      <c r="E186" s="189" t="s">
        <v>903</v>
      </c>
      <c r="F186" s="162" t="s">
        <v>904</v>
      </c>
      <c r="G186" s="190"/>
      <c r="H186" s="190"/>
      <c r="I186" s="191">
        <v>70260</v>
      </c>
      <c r="J186" s="300" t="str">
        <f>CONCATENATE([2]Cover!$D$6,"fdd/view?i=",I186)</f>
        <v>https://www.dgiwg.org/FAD/fdd/view?i=70260</v>
      </c>
      <c r="K186" s="300" t="s">
        <v>33940</v>
      </c>
      <c r="L186" s="188">
        <v>7</v>
      </c>
      <c r="M186" s="180" t="s">
        <v>151</v>
      </c>
      <c r="N186" s="183"/>
    </row>
    <row r="187" spans="1:14" ht="25.5">
      <c r="A187" s="313" t="str">
        <f t="shared" si="2"/>
        <v>power_horsepowerMetric</v>
      </c>
      <c r="B187" s="330"/>
      <c r="C187" s="334"/>
      <c r="D187" s="188" t="s">
        <v>905</v>
      </c>
      <c r="E187" s="189" t="s">
        <v>906</v>
      </c>
      <c r="F187" s="162" t="s">
        <v>907</v>
      </c>
      <c r="G187" s="190"/>
      <c r="H187" s="190"/>
      <c r="I187" s="191">
        <v>70261</v>
      </c>
      <c r="J187" s="300" t="str">
        <f>CONCATENATE([2]Cover!$D$6,"fdd/view?i=",I187)</f>
        <v>https://www.dgiwg.org/FAD/fdd/view?i=70261</v>
      </c>
      <c r="K187" s="300" t="s">
        <v>33941</v>
      </c>
      <c r="L187" s="188">
        <v>8</v>
      </c>
      <c r="M187" s="180" t="s">
        <v>151</v>
      </c>
      <c r="N187" s="183"/>
    </row>
    <row r="188" spans="1:14" ht="25.5">
      <c r="A188" s="313" t="str">
        <f t="shared" si="2"/>
        <v>power_kgForceMetrePerSecond</v>
      </c>
      <c r="B188" s="330"/>
      <c r="C188" s="334"/>
      <c r="D188" s="188" t="s">
        <v>908</v>
      </c>
      <c r="E188" s="189" t="s">
        <v>909</v>
      </c>
      <c r="F188" s="162" t="s">
        <v>910</v>
      </c>
      <c r="G188" s="190"/>
      <c r="H188" s="190"/>
      <c r="I188" s="191">
        <v>70262</v>
      </c>
      <c r="J188" s="300" t="str">
        <f>CONCATENATE([2]Cover!$D$6,"fdd/view?i=",I188)</f>
        <v>https://www.dgiwg.org/FAD/fdd/view?i=70262</v>
      </c>
      <c r="K188" s="300" t="s">
        <v>33942</v>
      </c>
      <c r="L188" s="188">
        <v>9</v>
      </c>
      <c r="M188" s="180" t="s">
        <v>151</v>
      </c>
      <c r="N188" s="183"/>
    </row>
    <row r="189" spans="1:14" ht="25.5">
      <c r="A189" s="313" t="str">
        <f t="shared" si="2"/>
        <v>power_footPoundForcePerSecond</v>
      </c>
      <c r="B189" s="330"/>
      <c r="C189" s="334"/>
      <c r="D189" s="188" t="s">
        <v>911</v>
      </c>
      <c r="E189" s="189" t="s">
        <v>912</v>
      </c>
      <c r="F189" s="162" t="s">
        <v>913</v>
      </c>
      <c r="G189" s="190"/>
      <c r="H189" s="190"/>
      <c r="I189" s="191">
        <v>70263</v>
      </c>
      <c r="J189" s="300" t="str">
        <f>CONCATENATE([2]Cover!$D$6,"fdd/view?i=",I189)</f>
        <v>https://www.dgiwg.org/FAD/fdd/view?i=70263</v>
      </c>
      <c r="K189" s="300" t="s">
        <v>33943</v>
      </c>
      <c r="L189" s="188">
        <v>10</v>
      </c>
      <c r="M189" s="180" t="s">
        <v>151</v>
      </c>
      <c r="N189" s="183"/>
    </row>
    <row r="190" spans="1:14" ht="25.5">
      <c r="A190" s="313" t="str">
        <f t="shared" si="2"/>
        <v>power_gigajoulePerAnnum</v>
      </c>
      <c r="B190" s="330"/>
      <c r="C190" s="334"/>
      <c r="D190" s="188" t="s">
        <v>914</v>
      </c>
      <c r="E190" s="189" t="s">
        <v>915</v>
      </c>
      <c r="F190" s="162" t="s">
        <v>916</v>
      </c>
      <c r="G190" s="190"/>
      <c r="H190" s="190"/>
      <c r="I190" s="191">
        <v>70279</v>
      </c>
      <c r="J190" s="300" t="str">
        <f>CONCATENATE([2]Cover!$D$6,"fdd/view?i=",I190)</f>
        <v>https://www.dgiwg.org/FAD/fdd/view?i=70279</v>
      </c>
      <c r="K190" s="300" t="s">
        <v>33944</v>
      </c>
      <c r="L190" s="188">
        <v>11</v>
      </c>
      <c r="M190" s="180" t="s">
        <v>151</v>
      </c>
      <c r="N190" s="183"/>
    </row>
    <row r="191" spans="1:14" ht="25.5">
      <c r="A191" s="313" t="str">
        <f t="shared" si="2"/>
        <v>power_kilowattHourPerAnnum</v>
      </c>
      <c r="B191" s="330"/>
      <c r="C191" s="334"/>
      <c r="D191" s="188" t="s">
        <v>917</v>
      </c>
      <c r="E191" s="189" t="s">
        <v>918</v>
      </c>
      <c r="F191" s="162" t="s">
        <v>919</v>
      </c>
      <c r="G191" s="190"/>
      <c r="H191" s="190"/>
      <c r="I191" s="191">
        <v>70349</v>
      </c>
      <c r="J191" s="300" t="str">
        <f>CONCATENATE([2]Cover!$D$6,"fdd/view?i=",I191)</f>
        <v>https://www.dgiwg.org/FAD/fdd/view?i=70349</v>
      </c>
      <c r="K191" s="300" t="s">
        <v>33945</v>
      </c>
      <c r="L191" s="188">
        <v>12</v>
      </c>
      <c r="M191" s="180" t="s">
        <v>151</v>
      </c>
      <c r="N191" s="183"/>
    </row>
    <row r="192" spans="1:14" ht="102">
      <c r="A192" s="313" t="str">
        <f t="shared" si="2"/>
        <v>power_voltAmpere</v>
      </c>
      <c r="B192" s="330"/>
      <c r="C192" s="334"/>
      <c r="D192" s="188" t="s">
        <v>920</v>
      </c>
      <c r="E192" s="189" t="s">
        <v>921</v>
      </c>
      <c r="F192" s="162" t="s">
        <v>922</v>
      </c>
      <c r="G192" s="162" t="s">
        <v>923</v>
      </c>
      <c r="H192" s="190"/>
      <c r="I192" s="191">
        <v>119513</v>
      </c>
      <c r="J192" s="300" t="str">
        <f>CONCATENATE([2]Cover!$D$6,"fdd/view?i=",I192)</f>
        <v>https://www.dgiwg.org/FAD/fdd/view?i=119513</v>
      </c>
      <c r="K192" s="300" t="s">
        <v>33946</v>
      </c>
      <c r="L192" s="188">
        <v>13</v>
      </c>
      <c r="M192" s="180" t="s">
        <v>151</v>
      </c>
      <c r="N192" s="183"/>
    </row>
    <row r="193" spans="1:14" ht="25.5">
      <c r="A193" s="313" t="str">
        <f t="shared" si="2"/>
        <v>power_kilovoltAmpere</v>
      </c>
      <c r="B193" s="331"/>
      <c r="C193" s="335"/>
      <c r="D193" s="181" t="s">
        <v>924</v>
      </c>
      <c r="E193" s="192" t="s">
        <v>925</v>
      </c>
      <c r="F193" s="193" t="s">
        <v>926</v>
      </c>
      <c r="G193" s="194"/>
      <c r="H193" s="194"/>
      <c r="I193" s="195">
        <v>119514</v>
      </c>
      <c r="J193" s="301" t="str">
        <f>CONCATENATE([2]Cover!$D$6,"fdd/view?i=",I193)</f>
        <v>https://www.dgiwg.org/FAD/fdd/view?i=119514</v>
      </c>
      <c r="K193" s="301" t="s">
        <v>33947</v>
      </c>
      <c r="L193" s="181">
        <v>14</v>
      </c>
      <c r="M193" s="182" t="s">
        <v>151</v>
      </c>
      <c r="N193" s="183"/>
    </row>
    <row r="194" spans="1:14" ht="63.75">
      <c r="A194" s="313" t="str">
        <f t="shared" si="2"/>
        <v>powerLevelDifference_neper</v>
      </c>
      <c r="B194" s="332" t="str">
        <f>HYPERLINK("[#]PhysicalQuantities!A36:N36","powerLevelDifference")</f>
        <v>powerLevelDifference</v>
      </c>
      <c r="C194" s="333" t="s">
        <v>255</v>
      </c>
      <c r="D194" s="184" t="s">
        <v>927</v>
      </c>
      <c r="E194" s="185" t="s">
        <v>928</v>
      </c>
      <c r="F194" s="184" t="s">
        <v>929</v>
      </c>
      <c r="G194" s="186"/>
      <c r="H194" s="186"/>
      <c r="I194" s="184">
        <v>70375</v>
      </c>
      <c r="J194" s="307" t="str">
        <f>CONCATENATE([2]Cover!$D$6,"fdd/view?i=",I194)</f>
        <v>https://www.dgiwg.org/FAD/fdd/view?i=70375</v>
      </c>
      <c r="K194" s="307" t="s">
        <v>33948</v>
      </c>
      <c r="L194" s="184">
        <v>1</v>
      </c>
      <c r="M194" s="187" t="s">
        <v>151</v>
      </c>
      <c r="N194" s="183"/>
    </row>
    <row r="195" spans="1:14" ht="63.75">
      <c r="A195" s="313" t="str">
        <f t="shared" ref="A195:A258" si="3">HYPERLINK(J195,K195)</f>
        <v>powerLevelDifference_bel</v>
      </c>
      <c r="B195" s="330"/>
      <c r="C195" s="334"/>
      <c r="D195" s="188" t="s">
        <v>930</v>
      </c>
      <c r="E195" s="189" t="s">
        <v>931</v>
      </c>
      <c r="F195" s="162" t="s">
        <v>932</v>
      </c>
      <c r="G195" s="190"/>
      <c r="H195" s="190"/>
      <c r="I195" s="191">
        <v>70373</v>
      </c>
      <c r="J195" s="300" t="str">
        <f>CONCATENATE([2]Cover!$D$6,"fdd/view?i=",I195)</f>
        <v>https://www.dgiwg.org/FAD/fdd/view?i=70373</v>
      </c>
      <c r="K195" s="300" t="s">
        <v>33949</v>
      </c>
      <c r="L195" s="188">
        <v>2</v>
      </c>
      <c r="M195" s="180" t="s">
        <v>151</v>
      </c>
      <c r="N195" s="183"/>
    </row>
    <row r="196" spans="1:14" ht="25.5">
      <c r="A196" s="313" t="str">
        <f t="shared" si="3"/>
        <v>powerLevelDifference_decibel</v>
      </c>
      <c r="B196" s="331"/>
      <c r="C196" s="335"/>
      <c r="D196" s="181" t="s">
        <v>933</v>
      </c>
      <c r="E196" s="192" t="s">
        <v>934</v>
      </c>
      <c r="F196" s="193" t="s">
        <v>935</v>
      </c>
      <c r="G196" s="194"/>
      <c r="H196" s="194"/>
      <c r="I196" s="195">
        <v>70264</v>
      </c>
      <c r="J196" s="301" t="str">
        <f>CONCATENATE([2]Cover!$D$6,"fdd/view?i=",I196)</f>
        <v>https://www.dgiwg.org/FAD/fdd/view?i=70264</v>
      </c>
      <c r="K196" s="301" t="s">
        <v>33950</v>
      </c>
      <c r="L196" s="181">
        <v>3</v>
      </c>
      <c r="M196" s="182" t="s">
        <v>151</v>
      </c>
      <c r="N196" s="183"/>
    </row>
    <row r="197" spans="1:14" ht="76.5">
      <c r="A197" s="313" t="str">
        <f t="shared" si="3"/>
        <v>powerLevelDiffLenGradient_neperPerMetre</v>
      </c>
      <c r="B197" s="332" t="str">
        <f>HYPERLINK("[#]PhysicalQuantities!A37:N37","powerLevelDiffLenGradient")</f>
        <v>powerLevelDiffLenGradient</v>
      </c>
      <c r="C197" s="333" t="s">
        <v>258</v>
      </c>
      <c r="D197" s="184" t="s">
        <v>936</v>
      </c>
      <c r="E197" s="185" t="s">
        <v>937</v>
      </c>
      <c r="F197" s="184" t="s">
        <v>938</v>
      </c>
      <c r="G197" s="184" t="s">
        <v>939</v>
      </c>
      <c r="H197" s="186"/>
      <c r="I197" s="184">
        <v>70376</v>
      </c>
      <c r="J197" s="307" t="str">
        <f>CONCATENATE([2]Cover!$D$6,"fdd/view?i=",I197)</f>
        <v>https://www.dgiwg.org/FAD/fdd/view?i=70376</v>
      </c>
      <c r="K197" s="307" t="s">
        <v>33951</v>
      </c>
      <c r="L197" s="184">
        <v>1</v>
      </c>
      <c r="M197" s="187" t="s">
        <v>151</v>
      </c>
      <c r="N197" s="183"/>
    </row>
    <row r="198" spans="1:14" ht="76.5">
      <c r="A198" s="313" t="str">
        <f t="shared" si="3"/>
        <v>powerLevelDiffLenGradient_belPerMetre</v>
      </c>
      <c r="B198" s="330"/>
      <c r="C198" s="334"/>
      <c r="D198" s="188" t="s">
        <v>940</v>
      </c>
      <c r="E198" s="189" t="s">
        <v>941</v>
      </c>
      <c r="F198" s="162" t="s">
        <v>942</v>
      </c>
      <c r="G198" s="162" t="s">
        <v>943</v>
      </c>
      <c r="H198" s="190"/>
      <c r="I198" s="191">
        <v>70374</v>
      </c>
      <c r="J198" s="300" t="str">
        <f>CONCATENATE([2]Cover!$D$6,"fdd/view?i=",I198)</f>
        <v>https://www.dgiwg.org/FAD/fdd/view?i=70374</v>
      </c>
      <c r="K198" s="300" t="s">
        <v>33952</v>
      </c>
      <c r="L198" s="188">
        <v>2</v>
      </c>
      <c r="M198" s="180" t="s">
        <v>151</v>
      </c>
      <c r="N198" s="183"/>
    </row>
    <row r="199" spans="1:14" ht="38.25">
      <c r="A199" s="313" t="str">
        <f t="shared" si="3"/>
        <v>powerLevelDiffLenGradient_decibelPerMetre</v>
      </c>
      <c r="B199" s="331"/>
      <c r="C199" s="335"/>
      <c r="D199" s="181" t="s">
        <v>944</v>
      </c>
      <c r="E199" s="192" t="s">
        <v>945</v>
      </c>
      <c r="F199" s="193" t="s">
        <v>946</v>
      </c>
      <c r="G199" s="194"/>
      <c r="H199" s="194"/>
      <c r="I199" s="195">
        <v>70265</v>
      </c>
      <c r="J199" s="301" t="str">
        <f>CONCATENATE([2]Cover!$D$6,"fdd/view?i=",I199)</f>
        <v>https://www.dgiwg.org/FAD/fdd/view?i=70265</v>
      </c>
      <c r="K199" s="301" t="s">
        <v>33953</v>
      </c>
      <c r="L199" s="181">
        <v>3</v>
      </c>
      <c r="M199" s="182" t="s">
        <v>151</v>
      </c>
      <c r="N199" s="183"/>
    </row>
    <row r="200" spans="1:14" ht="25.5">
      <c r="A200" s="313" t="str">
        <f t="shared" si="3"/>
        <v>pressure_megaPascal</v>
      </c>
      <c r="B200" s="332" t="str">
        <f>HYPERLINK("[#]PhysicalQuantities!A38:N38","pressure")</f>
        <v>pressure</v>
      </c>
      <c r="C200" s="333" t="s">
        <v>261</v>
      </c>
      <c r="D200" s="202" t="s">
        <v>947</v>
      </c>
      <c r="E200" s="203" t="s">
        <v>948</v>
      </c>
      <c r="F200" s="204" t="s">
        <v>949</v>
      </c>
      <c r="G200" s="205"/>
      <c r="H200" s="205"/>
      <c r="I200" s="206">
        <v>70266</v>
      </c>
      <c r="J200" s="309" t="str">
        <f>CONCATENATE([2]Cover!$D$6,"fdd/view?i=",I200)</f>
        <v>https://www.dgiwg.org/FAD/fdd/view?i=70266</v>
      </c>
      <c r="K200" s="309" t="s">
        <v>33954</v>
      </c>
      <c r="L200" s="202">
        <v>1</v>
      </c>
      <c r="M200" s="187" t="s">
        <v>151</v>
      </c>
      <c r="N200" s="183"/>
    </row>
    <row r="201" spans="1:14" ht="25.5">
      <c r="A201" s="313" t="str">
        <f t="shared" si="3"/>
        <v>pressure_kiloPascal</v>
      </c>
      <c r="B201" s="330"/>
      <c r="C201" s="334"/>
      <c r="D201" s="188" t="s">
        <v>950</v>
      </c>
      <c r="E201" s="189" t="s">
        <v>951</v>
      </c>
      <c r="F201" s="162" t="s">
        <v>952</v>
      </c>
      <c r="G201" s="190"/>
      <c r="H201" s="190"/>
      <c r="I201" s="191">
        <v>70267</v>
      </c>
      <c r="J201" s="300" t="str">
        <f>CONCATENATE([2]Cover!$D$6,"fdd/view?i=",I201)</f>
        <v>https://www.dgiwg.org/FAD/fdd/view?i=70267</v>
      </c>
      <c r="K201" s="300" t="s">
        <v>33955</v>
      </c>
      <c r="L201" s="188">
        <v>2</v>
      </c>
      <c r="M201" s="180" t="s">
        <v>151</v>
      </c>
      <c r="N201" s="183"/>
    </row>
    <row r="202" spans="1:14" ht="25.5">
      <c r="A202" s="313" t="str">
        <f t="shared" si="3"/>
        <v>pressure_hectoPascal</v>
      </c>
      <c r="B202" s="330"/>
      <c r="C202" s="334"/>
      <c r="D202" s="188" t="s">
        <v>953</v>
      </c>
      <c r="E202" s="189" t="s">
        <v>954</v>
      </c>
      <c r="F202" s="162" t="s">
        <v>955</v>
      </c>
      <c r="G202" s="190"/>
      <c r="H202" s="190"/>
      <c r="I202" s="191">
        <v>70268</v>
      </c>
      <c r="J202" s="300" t="str">
        <f>CONCATENATE([2]Cover!$D$6,"fdd/view?i=",I202)</f>
        <v>https://www.dgiwg.org/FAD/fdd/view?i=70268</v>
      </c>
      <c r="K202" s="300" t="s">
        <v>33956</v>
      </c>
      <c r="L202" s="188">
        <v>3</v>
      </c>
      <c r="M202" s="180" t="s">
        <v>151</v>
      </c>
      <c r="N202" s="183"/>
    </row>
    <row r="203" spans="1:14" ht="38.25">
      <c r="A203" s="313" t="str">
        <f t="shared" si="3"/>
        <v>pressure_pascal</v>
      </c>
      <c r="B203" s="330"/>
      <c r="C203" s="334"/>
      <c r="D203" s="207" t="s">
        <v>956</v>
      </c>
      <c r="E203" s="208" t="s">
        <v>957</v>
      </c>
      <c r="F203" s="207" t="s">
        <v>958</v>
      </c>
      <c r="G203" s="209"/>
      <c r="H203" s="207" t="s">
        <v>959</v>
      </c>
      <c r="I203" s="207">
        <v>70269</v>
      </c>
      <c r="J203" s="310" t="str">
        <f>CONCATENATE([2]Cover!$D$6,"fdd/view?i=",I203)</f>
        <v>https://www.dgiwg.org/FAD/fdd/view?i=70269</v>
      </c>
      <c r="K203" s="310" t="s">
        <v>33957</v>
      </c>
      <c r="L203" s="207">
        <v>4</v>
      </c>
      <c r="M203" s="180" t="s">
        <v>151</v>
      </c>
      <c r="N203" s="183"/>
    </row>
    <row r="204" spans="1:14" ht="25.5">
      <c r="A204" s="313" t="str">
        <f t="shared" si="3"/>
        <v>pressure_kilobar</v>
      </c>
      <c r="B204" s="330"/>
      <c r="C204" s="334"/>
      <c r="D204" s="188" t="s">
        <v>960</v>
      </c>
      <c r="E204" s="189" t="s">
        <v>961</v>
      </c>
      <c r="F204" s="162" t="s">
        <v>962</v>
      </c>
      <c r="G204" s="190"/>
      <c r="H204" s="190"/>
      <c r="I204" s="191">
        <v>70270</v>
      </c>
      <c r="J204" s="300" t="str">
        <f>CONCATENATE([2]Cover!$D$6,"fdd/view?i=",I204)</f>
        <v>https://www.dgiwg.org/FAD/fdd/view?i=70270</v>
      </c>
      <c r="K204" s="300" t="s">
        <v>33958</v>
      </c>
      <c r="L204" s="188">
        <v>5</v>
      </c>
      <c r="M204" s="180" t="s">
        <v>151</v>
      </c>
      <c r="N204" s="183"/>
    </row>
    <row r="205" spans="1:14" ht="25.5">
      <c r="A205" s="313" t="str">
        <f t="shared" si="3"/>
        <v>pressure_bar</v>
      </c>
      <c r="B205" s="330"/>
      <c r="C205" s="334"/>
      <c r="D205" s="188" t="s">
        <v>963</v>
      </c>
      <c r="E205" s="189" t="s">
        <v>964</v>
      </c>
      <c r="F205" s="162" t="s">
        <v>965</v>
      </c>
      <c r="G205" s="190"/>
      <c r="H205" s="190"/>
      <c r="I205" s="191">
        <v>70271</v>
      </c>
      <c r="J205" s="300" t="str">
        <f>CONCATENATE([2]Cover!$D$6,"fdd/view?i=",I205)</f>
        <v>https://www.dgiwg.org/FAD/fdd/view?i=70271</v>
      </c>
      <c r="K205" s="300" t="s">
        <v>33959</v>
      </c>
      <c r="L205" s="188">
        <v>6</v>
      </c>
      <c r="M205" s="180" t="s">
        <v>151</v>
      </c>
      <c r="N205" s="183"/>
    </row>
    <row r="206" spans="1:14" ht="25.5">
      <c r="A206" s="313" t="str">
        <f t="shared" si="3"/>
        <v>pressure_centibar</v>
      </c>
      <c r="B206" s="330"/>
      <c r="C206" s="334"/>
      <c r="D206" s="188" t="s">
        <v>966</v>
      </c>
      <c r="E206" s="189" t="s">
        <v>967</v>
      </c>
      <c r="F206" s="162" t="s">
        <v>968</v>
      </c>
      <c r="G206" s="190"/>
      <c r="H206" s="190"/>
      <c r="I206" s="191">
        <v>70272</v>
      </c>
      <c r="J206" s="300" t="str">
        <f>CONCATENATE([2]Cover!$D$6,"fdd/view?i=",I206)</f>
        <v>https://www.dgiwg.org/FAD/fdd/view?i=70272</v>
      </c>
      <c r="K206" s="300" t="s">
        <v>33960</v>
      </c>
      <c r="L206" s="188">
        <v>7</v>
      </c>
      <c r="M206" s="180" t="s">
        <v>151</v>
      </c>
      <c r="N206" s="183"/>
    </row>
    <row r="207" spans="1:14" ht="25.5">
      <c r="A207" s="313" t="str">
        <f t="shared" si="3"/>
        <v>pressure_millibar</v>
      </c>
      <c r="B207" s="330"/>
      <c r="C207" s="334"/>
      <c r="D207" s="188" t="s">
        <v>969</v>
      </c>
      <c r="E207" s="189" t="s">
        <v>970</v>
      </c>
      <c r="F207" s="162" t="s">
        <v>971</v>
      </c>
      <c r="G207" s="190"/>
      <c r="H207" s="190"/>
      <c r="I207" s="191">
        <v>70273</v>
      </c>
      <c r="J207" s="300" t="str">
        <f>CONCATENATE([2]Cover!$D$6,"fdd/view?i=",I207)</f>
        <v>https://www.dgiwg.org/FAD/fdd/view?i=70273</v>
      </c>
      <c r="K207" s="300" t="s">
        <v>33961</v>
      </c>
      <c r="L207" s="188">
        <v>8</v>
      </c>
      <c r="M207" s="180" t="s">
        <v>151</v>
      </c>
      <c r="N207" s="183"/>
    </row>
    <row r="208" spans="1:14" ht="25.5">
      <c r="A208" s="313" t="str">
        <f t="shared" si="3"/>
        <v>pressure_standardAtmosphere</v>
      </c>
      <c r="B208" s="330"/>
      <c r="C208" s="334"/>
      <c r="D208" s="188" t="s">
        <v>972</v>
      </c>
      <c r="E208" s="189" t="s">
        <v>973</v>
      </c>
      <c r="F208" s="162" t="s">
        <v>974</v>
      </c>
      <c r="G208" s="190"/>
      <c r="H208" s="190"/>
      <c r="I208" s="191">
        <v>70274</v>
      </c>
      <c r="J208" s="300" t="str">
        <f>CONCATENATE([2]Cover!$D$6,"fdd/view?i=",I208)</f>
        <v>https://www.dgiwg.org/FAD/fdd/view?i=70274</v>
      </c>
      <c r="K208" s="300" t="s">
        <v>33962</v>
      </c>
      <c r="L208" s="188">
        <v>9</v>
      </c>
      <c r="M208" s="180" t="s">
        <v>151</v>
      </c>
      <c r="N208" s="183"/>
    </row>
    <row r="209" spans="1:14" ht="25.5">
      <c r="A209" s="313" t="str">
        <f t="shared" si="3"/>
        <v>pressure_kilogramForcePerSquareMetre</v>
      </c>
      <c r="B209" s="330"/>
      <c r="C209" s="334"/>
      <c r="D209" s="188" t="s">
        <v>975</v>
      </c>
      <c r="E209" s="189" t="s">
        <v>976</v>
      </c>
      <c r="F209" s="162" t="s">
        <v>977</v>
      </c>
      <c r="G209" s="190"/>
      <c r="H209" s="190"/>
      <c r="I209" s="191">
        <v>70275</v>
      </c>
      <c r="J209" s="300" t="str">
        <f>CONCATENATE([2]Cover!$D$6,"fdd/view?i=",I209)</f>
        <v>https://www.dgiwg.org/FAD/fdd/view?i=70275</v>
      </c>
      <c r="K209" s="300" t="s">
        <v>33963</v>
      </c>
      <c r="L209" s="188">
        <v>10</v>
      </c>
      <c r="M209" s="180" t="s">
        <v>151</v>
      </c>
      <c r="N209" s="183"/>
    </row>
    <row r="210" spans="1:14" ht="25.5">
      <c r="A210" s="313" t="str">
        <f t="shared" si="3"/>
        <v>pressure_poundForcePerSquareInch</v>
      </c>
      <c r="B210" s="330"/>
      <c r="C210" s="334"/>
      <c r="D210" s="188" t="s">
        <v>978</v>
      </c>
      <c r="E210" s="189" t="s">
        <v>979</v>
      </c>
      <c r="F210" s="162" t="s">
        <v>980</v>
      </c>
      <c r="G210" s="190"/>
      <c r="H210" s="190"/>
      <c r="I210" s="191">
        <v>70276</v>
      </c>
      <c r="J210" s="300" t="str">
        <f>CONCATENATE([2]Cover!$D$6,"fdd/view?i=",I210)</f>
        <v>https://www.dgiwg.org/FAD/fdd/view?i=70276</v>
      </c>
      <c r="K210" s="300" t="s">
        <v>33964</v>
      </c>
      <c r="L210" s="188">
        <v>11</v>
      </c>
      <c r="M210" s="180" t="s">
        <v>151</v>
      </c>
      <c r="N210" s="183"/>
    </row>
    <row r="211" spans="1:14" ht="25.5">
      <c r="A211" s="313" t="str">
        <f t="shared" si="3"/>
        <v>pressure_torr</v>
      </c>
      <c r="B211" s="330"/>
      <c r="C211" s="334"/>
      <c r="D211" s="188" t="s">
        <v>981</v>
      </c>
      <c r="E211" s="189" t="s">
        <v>982</v>
      </c>
      <c r="F211" s="162" t="s">
        <v>983</v>
      </c>
      <c r="G211" s="190"/>
      <c r="H211" s="190"/>
      <c r="I211" s="191">
        <v>70277</v>
      </c>
      <c r="J211" s="300" t="str">
        <f>CONCATENATE([2]Cover!$D$6,"fdd/view?i=",I211)</f>
        <v>https://www.dgiwg.org/FAD/fdd/view?i=70277</v>
      </c>
      <c r="K211" s="300" t="s">
        <v>33965</v>
      </c>
      <c r="L211" s="188">
        <v>12</v>
      </c>
      <c r="M211" s="180" t="s">
        <v>151</v>
      </c>
      <c r="N211" s="183"/>
    </row>
    <row r="212" spans="1:14" ht="25.5">
      <c r="A212" s="313" t="str">
        <f t="shared" si="3"/>
        <v>pressure_millimetresOfMercury</v>
      </c>
      <c r="B212" s="331"/>
      <c r="C212" s="335"/>
      <c r="D212" s="181" t="s">
        <v>984</v>
      </c>
      <c r="E212" s="192" t="s">
        <v>985</v>
      </c>
      <c r="F212" s="193" t="s">
        <v>986</v>
      </c>
      <c r="G212" s="194"/>
      <c r="H212" s="194"/>
      <c r="I212" s="195">
        <v>70278</v>
      </c>
      <c r="J212" s="301" t="str">
        <f>CONCATENATE([2]Cover!$D$6,"fdd/view?i=",I212)</f>
        <v>https://www.dgiwg.org/FAD/fdd/view?i=70278</v>
      </c>
      <c r="K212" s="301" t="s">
        <v>33966</v>
      </c>
      <c r="L212" s="181">
        <v>13</v>
      </c>
      <c r="M212" s="182" t="s">
        <v>151</v>
      </c>
      <c r="N212" s="183"/>
    </row>
    <row r="213" spans="1:14">
      <c r="A213" s="313" t="str">
        <f t="shared" si="3"/>
        <v>pureNumber_unitless</v>
      </c>
      <c r="B213" s="332" t="str">
        <f>HYPERLINK("[#]PhysicalQuantities!A39:N39","pureNumber")</f>
        <v>pureNumber</v>
      </c>
      <c r="C213" s="333" t="s">
        <v>264</v>
      </c>
      <c r="D213" s="184" t="s">
        <v>987</v>
      </c>
      <c r="E213" s="185" t="s">
        <v>988</v>
      </c>
      <c r="F213" s="184" t="s">
        <v>989</v>
      </c>
      <c r="G213" s="186"/>
      <c r="H213" s="186"/>
      <c r="I213" s="184">
        <v>70280</v>
      </c>
      <c r="J213" s="307" t="str">
        <f>CONCATENATE([2]Cover!$D$6,"fdd/view?i=",I213)</f>
        <v>https://www.dgiwg.org/FAD/fdd/view?i=70280</v>
      </c>
      <c r="K213" s="307" t="s">
        <v>33967</v>
      </c>
      <c r="L213" s="184">
        <v>1</v>
      </c>
      <c r="M213" s="187" t="s">
        <v>151</v>
      </c>
      <c r="N213" s="183"/>
    </row>
    <row r="214" spans="1:14">
      <c r="A214" s="313" t="str">
        <f t="shared" si="3"/>
        <v>pureNumber_ratio</v>
      </c>
      <c r="B214" s="330"/>
      <c r="C214" s="334"/>
      <c r="D214" s="188" t="s">
        <v>990</v>
      </c>
      <c r="E214" s="189" t="s">
        <v>991</v>
      </c>
      <c r="F214" s="162" t="s">
        <v>992</v>
      </c>
      <c r="G214" s="190"/>
      <c r="H214" s="190"/>
      <c r="I214" s="191">
        <v>70281</v>
      </c>
      <c r="J214" s="300" t="str">
        <f>CONCATENATE([2]Cover!$D$6,"fdd/view?i=",I214)</f>
        <v>https://www.dgiwg.org/FAD/fdd/view?i=70281</v>
      </c>
      <c r="K214" s="300" t="s">
        <v>33968</v>
      </c>
      <c r="L214" s="188">
        <v>2</v>
      </c>
      <c r="M214" s="180" t="s">
        <v>151</v>
      </c>
      <c r="N214" s="183"/>
    </row>
    <row r="215" spans="1:14">
      <c r="A215" s="313" t="str">
        <f t="shared" si="3"/>
        <v>pureNumber_percent</v>
      </c>
      <c r="B215" s="330"/>
      <c r="C215" s="334"/>
      <c r="D215" s="188" t="s">
        <v>993</v>
      </c>
      <c r="E215" s="189" t="s">
        <v>994</v>
      </c>
      <c r="F215" s="162" t="s">
        <v>995</v>
      </c>
      <c r="G215" s="190"/>
      <c r="H215" s="190"/>
      <c r="I215" s="191">
        <v>70282</v>
      </c>
      <c r="J215" s="300" t="str">
        <f>CONCATENATE([2]Cover!$D$6,"fdd/view?i=",I215)</f>
        <v>https://www.dgiwg.org/FAD/fdd/view?i=70282</v>
      </c>
      <c r="K215" s="300" t="s">
        <v>33969</v>
      </c>
      <c r="L215" s="188">
        <v>3</v>
      </c>
      <c r="M215" s="180" t="s">
        <v>151</v>
      </c>
      <c r="N215" s="183"/>
    </row>
    <row r="216" spans="1:14">
      <c r="A216" s="313" t="str">
        <f t="shared" si="3"/>
        <v>pureNumber_partsPerMillion</v>
      </c>
      <c r="B216" s="330"/>
      <c r="C216" s="334"/>
      <c r="D216" s="188" t="s">
        <v>996</v>
      </c>
      <c r="E216" s="189" t="s">
        <v>997</v>
      </c>
      <c r="F216" s="162" t="s">
        <v>998</v>
      </c>
      <c r="G216" s="190"/>
      <c r="H216" s="190"/>
      <c r="I216" s="191">
        <v>70283</v>
      </c>
      <c r="J216" s="300" t="str">
        <f>CONCATENATE([2]Cover!$D$6,"fdd/view?i=",I216)</f>
        <v>https://www.dgiwg.org/FAD/fdd/view?i=70283</v>
      </c>
      <c r="K216" s="300" t="s">
        <v>33970</v>
      </c>
      <c r="L216" s="188">
        <v>4</v>
      </c>
      <c r="M216" s="180" t="s">
        <v>151</v>
      </c>
      <c r="N216" s="183"/>
    </row>
    <row r="217" spans="1:14">
      <c r="A217" s="313" t="str">
        <f t="shared" si="3"/>
        <v>pureNumber_partsPerBillion</v>
      </c>
      <c r="B217" s="330"/>
      <c r="C217" s="334"/>
      <c r="D217" s="188" t="s">
        <v>999</v>
      </c>
      <c r="E217" s="189" t="s">
        <v>1000</v>
      </c>
      <c r="F217" s="162" t="s">
        <v>1001</v>
      </c>
      <c r="G217" s="190"/>
      <c r="H217" s="190"/>
      <c r="I217" s="191">
        <v>70284</v>
      </c>
      <c r="J217" s="300" t="str">
        <f>CONCATENATE([2]Cover!$D$6,"fdd/view?i=",I217)</f>
        <v>https://www.dgiwg.org/FAD/fdd/view?i=70284</v>
      </c>
      <c r="K217" s="300" t="s">
        <v>33971</v>
      </c>
      <c r="L217" s="188">
        <v>5</v>
      </c>
      <c r="M217" s="180" t="s">
        <v>151</v>
      </c>
      <c r="N217" s="183"/>
    </row>
    <row r="218" spans="1:14">
      <c r="A218" s="313" t="str">
        <f t="shared" si="3"/>
        <v>pureNumber_partsPerThousand</v>
      </c>
      <c r="B218" s="330"/>
      <c r="C218" s="334"/>
      <c r="D218" s="188" t="s">
        <v>1002</v>
      </c>
      <c r="E218" s="189" t="s">
        <v>1003</v>
      </c>
      <c r="F218" s="162" t="s">
        <v>1004</v>
      </c>
      <c r="G218" s="190"/>
      <c r="H218" s="190"/>
      <c r="I218" s="191">
        <v>70287</v>
      </c>
      <c r="J218" s="300" t="str">
        <f>CONCATENATE([2]Cover!$D$6,"fdd/view?i=",I218)</f>
        <v>https://www.dgiwg.org/FAD/fdd/view?i=70287</v>
      </c>
      <c r="K218" s="300" t="s">
        <v>33972</v>
      </c>
      <c r="L218" s="188">
        <v>6</v>
      </c>
      <c r="M218" s="180" t="s">
        <v>151</v>
      </c>
      <c r="N218" s="183"/>
    </row>
    <row r="219" spans="1:14">
      <c r="A219" s="313" t="str">
        <f t="shared" si="3"/>
        <v>pureNumber_partsPerTrillion</v>
      </c>
      <c r="B219" s="331"/>
      <c r="C219" s="335"/>
      <c r="D219" s="181" t="s">
        <v>1005</v>
      </c>
      <c r="E219" s="192" t="s">
        <v>1006</v>
      </c>
      <c r="F219" s="193" t="s">
        <v>1007</v>
      </c>
      <c r="G219" s="194"/>
      <c r="H219" s="194"/>
      <c r="I219" s="195">
        <v>70288</v>
      </c>
      <c r="J219" s="301" t="str">
        <f>CONCATENATE([2]Cover!$D$6,"fdd/view?i=",I219)</f>
        <v>https://www.dgiwg.org/FAD/fdd/view?i=70288</v>
      </c>
      <c r="K219" s="301" t="s">
        <v>33973</v>
      </c>
      <c r="L219" s="181">
        <v>7</v>
      </c>
      <c r="M219" s="182" t="s">
        <v>151</v>
      </c>
      <c r="N219" s="183"/>
    </row>
    <row r="220" spans="1:14" ht="38.25">
      <c r="A220" s="313" t="str">
        <f t="shared" si="3"/>
        <v>radiationAbsorbedDose_gray</v>
      </c>
      <c r="B220" s="332" t="str">
        <f>HYPERLINK("[#]PhysicalQuantities!A40:N40","radiationAbsorbedDose")</f>
        <v>radiationAbsorbedDose</v>
      </c>
      <c r="C220" s="333" t="s">
        <v>267</v>
      </c>
      <c r="D220" s="184" t="s">
        <v>1008</v>
      </c>
      <c r="E220" s="185" t="s">
        <v>1009</v>
      </c>
      <c r="F220" s="184" t="s">
        <v>1010</v>
      </c>
      <c r="G220" s="186"/>
      <c r="H220" s="186"/>
      <c r="I220" s="184">
        <v>70289</v>
      </c>
      <c r="J220" s="307" t="str">
        <f>CONCATENATE([2]Cover!$D$6,"fdd/view?i=",I220)</f>
        <v>https://www.dgiwg.org/FAD/fdd/view?i=70289</v>
      </c>
      <c r="K220" s="307" t="s">
        <v>33974</v>
      </c>
      <c r="L220" s="184">
        <v>1</v>
      </c>
      <c r="M220" s="187" t="s">
        <v>151</v>
      </c>
      <c r="N220" s="183"/>
    </row>
    <row r="221" spans="1:14" ht="25.5">
      <c r="A221" s="313" t="str">
        <f t="shared" si="3"/>
        <v>radiationAbsorbedDose_radiationAbsorbedDose</v>
      </c>
      <c r="B221" s="331"/>
      <c r="C221" s="335"/>
      <c r="D221" s="181" t="s">
        <v>266</v>
      </c>
      <c r="E221" s="192" t="s">
        <v>267</v>
      </c>
      <c r="F221" s="193" t="s">
        <v>1011</v>
      </c>
      <c r="G221" s="194"/>
      <c r="H221" s="193" t="s">
        <v>1012</v>
      </c>
      <c r="I221" s="195">
        <v>70290</v>
      </c>
      <c r="J221" s="301" t="str">
        <f>CONCATENATE([2]Cover!$D$6,"fdd/view?i=",I221)</f>
        <v>https://www.dgiwg.org/FAD/fdd/view?i=70290</v>
      </c>
      <c r="K221" s="301" t="s">
        <v>33975</v>
      </c>
      <c r="L221" s="181">
        <v>2</v>
      </c>
      <c r="M221" s="182" t="s">
        <v>151</v>
      </c>
      <c r="N221" s="183"/>
    </row>
    <row r="222" spans="1:14" ht="51">
      <c r="A222" s="313" t="str">
        <f t="shared" si="3"/>
        <v>radiationDoseEquivalent_sievert</v>
      </c>
      <c r="B222" s="332" t="str">
        <f>HYPERLINK("[#]PhysicalQuantities!A41:N41","radiationDoseEquivalent")</f>
        <v>radiationDoseEquivalent</v>
      </c>
      <c r="C222" s="333" t="s">
        <v>270</v>
      </c>
      <c r="D222" s="184" t="s">
        <v>1013</v>
      </c>
      <c r="E222" s="185" t="s">
        <v>1014</v>
      </c>
      <c r="F222" s="184" t="s">
        <v>1015</v>
      </c>
      <c r="G222" s="186"/>
      <c r="H222" s="186"/>
      <c r="I222" s="184">
        <v>70291</v>
      </c>
      <c r="J222" s="307" t="str">
        <f>CONCATENATE([2]Cover!$D$6,"fdd/view?i=",I222)</f>
        <v>https://www.dgiwg.org/FAD/fdd/view?i=70291</v>
      </c>
      <c r="K222" s="307" t="s">
        <v>33976</v>
      </c>
      <c r="L222" s="184">
        <v>1</v>
      </c>
      <c r="M222" s="187" t="s">
        <v>151</v>
      </c>
      <c r="N222" s="183"/>
    </row>
    <row r="223" spans="1:14" ht="25.5">
      <c r="A223" s="313" t="str">
        <f t="shared" si="3"/>
        <v>radiationDoseEquivalent_rontgenEquivalentMan</v>
      </c>
      <c r="B223" s="331"/>
      <c r="C223" s="335"/>
      <c r="D223" s="181" t="s">
        <v>1016</v>
      </c>
      <c r="E223" s="192" t="s">
        <v>1017</v>
      </c>
      <c r="F223" s="193" t="s">
        <v>1018</v>
      </c>
      <c r="G223" s="194"/>
      <c r="H223" s="193" t="s">
        <v>1019</v>
      </c>
      <c r="I223" s="195">
        <v>70292</v>
      </c>
      <c r="J223" s="301" t="str">
        <f>CONCATENATE([2]Cover!$D$6,"fdd/view?i=",I223)</f>
        <v>https://www.dgiwg.org/FAD/fdd/view?i=70292</v>
      </c>
      <c r="K223" s="301" t="s">
        <v>33977</v>
      </c>
      <c r="L223" s="181">
        <v>2</v>
      </c>
      <c r="M223" s="182" t="s">
        <v>151</v>
      </c>
      <c r="N223" s="183"/>
    </row>
    <row r="224" spans="1:14" ht="25.5">
      <c r="A224" s="313" t="str">
        <f t="shared" si="3"/>
        <v>radionuclideActivity_gigabecquerel</v>
      </c>
      <c r="B224" s="332" t="str">
        <f>HYPERLINK("[#]PhysicalQuantities!A42:N42","radionuclideActivity")</f>
        <v>radionuclideActivity</v>
      </c>
      <c r="C224" s="333" t="s">
        <v>273</v>
      </c>
      <c r="D224" s="202" t="s">
        <v>1020</v>
      </c>
      <c r="E224" s="203" t="s">
        <v>1021</v>
      </c>
      <c r="F224" s="204" t="s">
        <v>1022</v>
      </c>
      <c r="G224" s="205"/>
      <c r="H224" s="205"/>
      <c r="I224" s="206">
        <v>70293</v>
      </c>
      <c r="J224" s="309" t="str">
        <f>CONCATENATE([2]Cover!$D$6,"fdd/view?i=",I224)</f>
        <v>https://www.dgiwg.org/FAD/fdd/view?i=70293</v>
      </c>
      <c r="K224" s="309" t="s">
        <v>33978</v>
      </c>
      <c r="L224" s="202">
        <v>1</v>
      </c>
      <c r="M224" s="187" t="s">
        <v>151</v>
      </c>
      <c r="N224" s="183"/>
    </row>
    <row r="225" spans="1:14" ht="25.5">
      <c r="A225" s="313" t="str">
        <f t="shared" si="3"/>
        <v>radionuclideActivity_megabecquerel</v>
      </c>
      <c r="B225" s="330"/>
      <c r="C225" s="334"/>
      <c r="D225" s="188" t="s">
        <v>1023</v>
      </c>
      <c r="E225" s="189" t="s">
        <v>1024</v>
      </c>
      <c r="F225" s="162" t="s">
        <v>1025</v>
      </c>
      <c r="G225" s="190"/>
      <c r="H225" s="190"/>
      <c r="I225" s="191">
        <v>70294</v>
      </c>
      <c r="J225" s="300" t="str">
        <f>CONCATENATE([2]Cover!$D$6,"fdd/view?i=",I225)</f>
        <v>https://www.dgiwg.org/FAD/fdd/view?i=70294</v>
      </c>
      <c r="K225" s="300" t="s">
        <v>33979</v>
      </c>
      <c r="L225" s="188">
        <v>2</v>
      </c>
      <c r="M225" s="180" t="s">
        <v>151</v>
      </c>
      <c r="N225" s="183"/>
    </row>
    <row r="226" spans="1:14" ht="25.5">
      <c r="A226" s="313" t="str">
        <f t="shared" si="3"/>
        <v>radionuclideActivity_kilobecquerel</v>
      </c>
      <c r="B226" s="330"/>
      <c r="C226" s="334"/>
      <c r="D226" s="188" t="s">
        <v>1026</v>
      </c>
      <c r="E226" s="189" t="s">
        <v>1027</v>
      </c>
      <c r="F226" s="162" t="s">
        <v>1028</v>
      </c>
      <c r="G226" s="190"/>
      <c r="H226" s="190"/>
      <c r="I226" s="191">
        <v>70295</v>
      </c>
      <c r="J226" s="300" t="str">
        <f>CONCATENATE([2]Cover!$D$6,"fdd/view?i=",I226)</f>
        <v>https://www.dgiwg.org/FAD/fdd/view?i=70295</v>
      </c>
      <c r="K226" s="300" t="s">
        <v>33980</v>
      </c>
      <c r="L226" s="188">
        <v>3</v>
      </c>
      <c r="M226" s="180" t="s">
        <v>151</v>
      </c>
      <c r="N226" s="183"/>
    </row>
    <row r="227" spans="1:14" ht="38.25">
      <c r="A227" s="313" t="str">
        <f t="shared" si="3"/>
        <v>radionuclideActivity_becquerel</v>
      </c>
      <c r="B227" s="331"/>
      <c r="C227" s="335"/>
      <c r="D227" s="210" t="s">
        <v>1029</v>
      </c>
      <c r="E227" s="211" t="s">
        <v>1030</v>
      </c>
      <c r="F227" s="210" t="s">
        <v>1031</v>
      </c>
      <c r="G227" s="212"/>
      <c r="H227" s="212"/>
      <c r="I227" s="210">
        <v>70296</v>
      </c>
      <c r="J227" s="311" t="str">
        <f>CONCATENATE([2]Cover!$D$6,"fdd/view?i=",I227)</f>
        <v>https://www.dgiwg.org/FAD/fdd/view?i=70296</v>
      </c>
      <c r="K227" s="311" t="s">
        <v>33981</v>
      </c>
      <c r="L227" s="210">
        <v>4</v>
      </c>
      <c r="M227" s="182" t="s">
        <v>151</v>
      </c>
      <c r="N227" s="183"/>
    </row>
    <row r="228" spans="1:14">
      <c r="A228" s="313" t="str">
        <f t="shared" si="3"/>
        <v>rate_perSecond</v>
      </c>
      <c r="B228" s="332" t="str">
        <f>HYPERLINK("[#]PhysicalQuantities!A43:N43","rate")</f>
        <v>rate</v>
      </c>
      <c r="C228" s="333" t="s">
        <v>276</v>
      </c>
      <c r="D228" s="184" t="s">
        <v>1032</v>
      </c>
      <c r="E228" s="185" t="s">
        <v>1033</v>
      </c>
      <c r="F228" s="184" t="s">
        <v>1034</v>
      </c>
      <c r="G228" s="186"/>
      <c r="H228" s="186"/>
      <c r="I228" s="184">
        <v>70360</v>
      </c>
      <c r="J228" s="307" t="str">
        <f>CONCATENATE([2]Cover!$D$6,"fdd/view?i=",I228)</f>
        <v>https://www.dgiwg.org/FAD/fdd/view?i=70360</v>
      </c>
      <c r="K228" s="307" t="s">
        <v>33982</v>
      </c>
      <c r="L228" s="184">
        <v>1</v>
      </c>
      <c r="M228" s="187" t="s">
        <v>151</v>
      </c>
      <c r="N228" s="183"/>
    </row>
    <row r="229" spans="1:14" ht="25.5">
      <c r="A229" s="313" t="str">
        <f t="shared" si="3"/>
        <v>rate_perMinute</v>
      </c>
      <c r="B229" s="330"/>
      <c r="C229" s="334"/>
      <c r="D229" s="188" t="s">
        <v>1035</v>
      </c>
      <c r="E229" s="189" t="s">
        <v>1036</v>
      </c>
      <c r="F229" s="162" t="s">
        <v>1037</v>
      </c>
      <c r="G229" s="190"/>
      <c r="H229" s="190"/>
      <c r="I229" s="191">
        <v>70361</v>
      </c>
      <c r="J229" s="300" t="str">
        <f>CONCATENATE([2]Cover!$D$6,"fdd/view?i=",I229)</f>
        <v>https://www.dgiwg.org/FAD/fdd/view?i=70361</v>
      </c>
      <c r="K229" s="300" t="s">
        <v>33983</v>
      </c>
      <c r="L229" s="188">
        <v>2</v>
      </c>
      <c r="M229" s="180" t="s">
        <v>151</v>
      </c>
      <c r="N229" s="183"/>
    </row>
    <row r="230" spans="1:14" ht="25.5">
      <c r="A230" s="313" t="str">
        <f t="shared" si="3"/>
        <v>rate_perHour</v>
      </c>
      <c r="B230" s="330"/>
      <c r="C230" s="334"/>
      <c r="D230" s="188" t="s">
        <v>1038</v>
      </c>
      <c r="E230" s="189" t="s">
        <v>1039</v>
      </c>
      <c r="F230" s="162" t="s">
        <v>1040</v>
      </c>
      <c r="G230" s="190"/>
      <c r="H230" s="190"/>
      <c r="I230" s="191">
        <v>70362</v>
      </c>
      <c r="J230" s="300" t="str">
        <f>CONCATENATE([2]Cover!$D$6,"fdd/view?i=",I230)</f>
        <v>https://www.dgiwg.org/FAD/fdd/view?i=70362</v>
      </c>
      <c r="K230" s="300" t="s">
        <v>33984</v>
      </c>
      <c r="L230" s="188">
        <v>3</v>
      </c>
      <c r="M230" s="180" t="s">
        <v>151</v>
      </c>
      <c r="N230" s="183"/>
    </row>
    <row r="231" spans="1:14" ht="25.5">
      <c r="A231" s="313" t="str">
        <f t="shared" si="3"/>
        <v>rate_perDay</v>
      </c>
      <c r="B231" s="330"/>
      <c r="C231" s="334"/>
      <c r="D231" s="188" t="s">
        <v>1041</v>
      </c>
      <c r="E231" s="189" t="s">
        <v>1042</v>
      </c>
      <c r="F231" s="162" t="s">
        <v>1043</v>
      </c>
      <c r="G231" s="190"/>
      <c r="H231" s="190"/>
      <c r="I231" s="191">
        <v>70363</v>
      </c>
      <c r="J231" s="300" t="str">
        <f>CONCATENATE([2]Cover!$D$6,"fdd/view?i=",I231)</f>
        <v>https://www.dgiwg.org/FAD/fdd/view?i=70363</v>
      </c>
      <c r="K231" s="300" t="s">
        <v>33985</v>
      </c>
      <c r="L231" s="188">
        <v>4</v>
      </c>
      <c r="M231" s="180" t="s">
        <v>151</v>
      </c>
      <c r="N231" s="183"/>
    </row>
    <row r="232" spans="1:14" ht="63.75">
      <c r="A232" s="313" t="str">
        <f t="shared" si="3"/>
        <v>rate_perAnnum</v>
      </c>
      <c r="B232" s="330"/>
      <c r="C232" s="334"/>
      <c r="D232" s="188" t="s">
        <v>1044</v>
      </c>
      <c r="E232" s="189" t="s">
        <v>1045</v>
      </c>
      <c r="F232" s="162" t="s">
        <v>1046</v>
      </c>
      <c r="G232" s="190"/>
      <c r="H232" s="190"/>
      <c r="I232" s="191">
        <v>70364</v>
      </c>
      <c r="J232" s="300" t="str">
        <f>CONCATENATE([2]Cover!$D$6,"fdd/view?i=",I232)</f>
        <v>https://www.dgiwg.org/FAD/fdd/view?i=70364</v>
      </c>
      <c r="K232" s="300" t="s">
        <v>33986</v>
      </c>
      <c r="L232" s="188">
        <v>5</v>
      </c>
      <c r="M232" s="180" t="s">
        <v>151</v>
      </c>
      <c r="N232" s="183"/>
    </row>
    <row r="233" spans="1:14" ht="63.75">
      <c r="A233" s="313" t="str">
        <f t="shared" si="3"/>
        <v>rate_percentPerAnnum</v>
      </c>
      <c r="B233" s="330"/>
      <c r="C233" s="334"/>
      <c r="D233" s="188" t="s">
        <v>1047</v>
      </c>
      <c r="E233" s="189" t="s">
        <v>1048</v>
      </c>
      <c r="F233" s="162" t="s">
        <v>1049</v>
      </c>
      <c r="G233" s="190"/>
      <c r="H233" s="190"/>
      <c r="I233" s="191">
        <v>70365</v>
      </c>
      <c r="J233" s="300" t="str">
        <f>CONCATENATE([2]Cover!$D$6,"fdd/view?i=",I233)</f>
        <v>https://www.dgiwg.org/FAD/fdd/view?i=70365</v>
      </c>
      <c r="K233" s="300" t="s">
        <v>33987</v>
      </c>
      <c r="L233" s="188">
        <v>6</v>
      </c>
      <c r="M233" s="180" t="s">
        <v>151</v>
      </c>
      <c r="N233" s="183"/>
    </row>
    <row r="234" spans="1:14" ht="63.75">
      <c r="A234" s="313" t="str">
        <f t="shared" si="3"/>
        <v>rate_partsPerThousandPerAnnum</v>
      </c>
      <c r="B234" s="331"/>
      <c r="C234" s="335"/>
      <c r="D234" s="181" t="s">
        <v>1050</v>
      </c>
      <c r="E234" s="192" t="s">
        <v>1051</v>
      </c>
      <c r="F234" s="193" t="s">
        <v>1052</v>
      </c>
      <c r="G234" s="194"/>
      <c r="H234" s="194"/>
      <c r="I234" s="195">
        <v>70366</v>
      </c>
      <c r="J234" s="301" t="str">
        <f>CONCATENATE([2]Cover!$D$6,"fdd/view?i=",I234)</f>
        <v>https://www.dgiwg.org/FAD/fdd/view?i=70366</v>
      </c>
      <c r="K234" s="301" t="s">
        <v>33988</v>
      </c>
      <c r="L234" s="181">
        <v>7</v>
      </c>
      <c r="M234" s="182" t="s">
        <v>151</v>
      </c>
      <c r="N234" s="183"/>
    </row>
    <row r="235" spans="1:14" ht="25.5">
      <c r="A235" s="313" t="str">
        <f t="shared" si="3"/>
        <v>reciprocalArea_perSquareMetre</v>
      </c>
      <c r="B235" s="332" t="str">
        <f>HYPERLINK("[#]PhysicalQuantities!A44:N44","reciprocalArea")</f>
        <v>reciprocalArea</v>
      </c>
      <c r="C235" s="333" t="s">
        <v>279</v>
      </c>
      <c r="D235" s="184" t="s">
        <v>1053</v>
      </c>
      <c r="E235" s="185" t="s">
        <v>1054</v>
      </c>
      <c r="F235" s="184" t="s">
        <v>1055</v>
      </c>
      <c r="G235" s="186"/>
      <c r="H235" s="186"/>
      <c r="I235" s="184">
        <v>70297</v>
      </c>
      <c r="J235" s="307" t="str">
        <f>CONCATENATE([2]Cover!$D$6,"fdd/view?i=",I235)</f>
        <v>https://www.dgiwg.org/FAD/fdd/view?i=70297</v>
      </c>
      <c r="K235" s="307" t="s">
        <v>33989</v>
      </c>
      <c r="L235" s="184">
        <v>1</v>
      </c>
      <c r="M235" s="187" t="s">
        <v>151</v>
      </c>
      <c r="N235" s="183"/>
    </row>
    <row r="236" spans="1:14" ht="25.5">
      <c r="A236" s="313" t="str">
        <f t="shared" si="3"/>
        <v>reciprocalArea_perSquareKilometre</v>
      </c>
      <c r="B236" s="330"/>
      <c r="C236" s="334"/>
      <c r="D236" s="188" t="s">
        <v>1056</v>
      </c>
      <c r="E236" s="189" t="s">
        <v>1057</v>
      </c>
      <c r="F236" s="162" t="s">
        <v>1058</v>
      </c>
      <c r="G236" s="190"/>
      <c r="H236" s="190"/>
      <c r="I236" s="191">
        <v>70298</v>
      </c>
      <c r="J236" s="300" t="str">
        <f>CONCATENATE([2]Cover!$D$6,"fdd/view?i=",I236)</f>
        <v>https://www.dgiwg.org/FAD/fdd/view?i=70298</v>
      </c>
      <c r="K236" s="300" t="s">
        <v>33990</v>
      </c>
      <c r="L236" s="188">
        <v>2</v>
      </c>
      <c r="M236" s="180" t="s">
        <v>151</v>
      </c>
      <c r="N236" s="183"/>
    </row>
    <row r="237" spans="1:14" ht="38.25">
      <c r="A237" s="313" t="str">
        <f t="shared" si="3"/>
        <v>reciprocalArea_perSquareStatuteMile</v>
      </c>
      <c r="B237" s="331"/>
      <c r="C237" s="335"/>
      <c r="D237" s="181" t="s">
        <v>1059</v>
      </c>
      <c r="E237" s="192" t="s">
        <v>1060</v>
      </c>
      <c r="F237" s="193" t="s">
        <v>1061</v>
      </c>
      <c r="G237" s="194"/>
      <c r="H237" s="194"/>
      <c r="I237" s="195">
        <v>70299</v>
      </c>
      <c r="J237" s="301" t="str">
        <f>CONCATENATE([2]Cover!$D$6,"fdd/view?i=",I237)</f>
        <v>https://www.dgiwg.org/FAD/fdd/view?i=70299</v>
      </c>
      <c r="K237" s="301" t="s">
        <v>33991</v>
      </c>
      <c r="L237" s="181">
        <v>3</v>
      </c>
      <c r="M237" s="182" t="s">
        <v>151</v>
      </c>
      <c r="N237" s="183"/>
    </row>
    <row r="238" spans="1:14" ht="25.5">
      <c r="A238" s="313" t="str">
        <f t="shared" si="3"/>
        <v>reciprocalTime_reciprocalSecond</v>
      </c>
      <c r="B238" s="332" t="str">
        <f>HYPERLINK("[#]PhysicalQuantities!A45:N45","reciprocalTime")</f>
        <v>reciprocalTime</v>
      </c>
      <c r="C238" s="333" t="s">
        <v>283</v>
      </c>
      <c r="D238" s="184" t="s">
        <v>1062</v>
      </c>
      <c r="E238" s="185" t="s">
        <v>1063</v>
      </c>
      <c r="F238" s="184" t="s">
        <v>1064</v>
      </c>
      <c r="G238" s="186"/>
      <c r="H238" s="186"/>
      <c r="I238" s="184">
        <v>70353</v>
      </c>
      <c r="J238" s="307" t="str">
        <f>CONCATENATE([2]Cover!$D$6,"fdd/view?i=",I238)</f>
        <v>https://www.dgiwg.org/FAD/fdd/view?i=70353</v>
      </c>
      <c r="K238" s="307" t="s">
        <v>33992</v>
      </c>
      <c r="L238" s="184">
        <v>1</v>
      </c>
      <c r="M238" s="187" t="s">
        <v>151</v>
      </c>
      <c r="N238" s="183"/>
    </row>
    <row r="239" spans="1:14" ht="25.5">
      <c r="A239" s="313" t="str">
        <f t="shared" si="3"/>
        <v>reciprocalTime_reciprocalMinute</v>
      </c>
      <c r="B239" s="330"/>
      <c r="C239" s="334"/>
      <c r="D239" s="188" t="s">
        <v>1065</v>
      </c>
      <c r="E239" s="189" t="s">
        <v>1066</v>
      </c>
      <c r="F239" s="162" t="s">
        <v>1067</v>
      </c>
      <c r="G239" s="190"/>
      <c r="H239" s="190"/>
      <c r="I239" s="191">
        <v>70354</v>
      </c>
      <c r="J239" s="300" t="str">
        <f>CONCATENATE([2]Cover!$D$6,"fdd/view?i=",I239)</f>
        <v>https://www.dgiwg.org/FAD/fdd/view?i=70354</v>
      </c>
      <c r="K239" s="300" t="s">
        <v>33993</v>
      </c>
      <c r="L239" s="188">
        <v>2</v>
      </c>
      <c r="M239" s="180" t="s">
        <v>151</v>
      </c>
      <c r="N239" s="183"/>
    </row>
    <row r="240" spans="1:14" ht="38.25">
      <c r="A240" s="313" t="str">
        <f t="shared" si="3"/>
        <v>reciprocalTime_reciprocalHour</v>
      </c>
      <c r="B240" s="330"/>
      <c r="C240" s="334"/>
      <c r="D240" s="188" t="s">
        <v>1068</v>
      </c>
      <c r="E240" s="189" t="s">
        <v>1069</v>
      </c>
      <c r="F240" s="162" t="s">
        <v>1070</v>
      </c>
      <c r="G240" s="190"/>
      <c r="H240" s="190"/>
      <c r="I240" s="191">
        <v>70355</v>
      </c>
      <c r="J240" s="300" t="str">
        <f>CONCATENATE([2]Cover!$D$6,"fdd/view?i=",I240)</f>
        <v>https://www.dgiwg.org/FAD/fdd/view?i=70355</v>
      </c>
      <c r="K240" s="300" t="s">
        <v>33994</v>
      </c>
      <c r="L240" s="188">
        <v>3</v>
      </c>
      <c r="M240" s="180" t="s">
        <v>151</v>
      </c>
      <c r="N240" s="183"/>
    </row>
    <row r="241" spans="1:14" ht="38.25">
      <c r="A241" s="313" t="str">
        <f t="shared" si="3"/>
        <v>reciprocalTime_reciprocalDay</v>
      </c>
      <c r="B241" s="330"/>
      <c r="C241" s="334"/>
      <c r="D241" s="188" t="s">
        <v>1071</v>
      </c>
      <c r="E241" s="189" t="s">
        <v>1072</v>
      </c>
      <c r="F241" s="162" t="s">
        <v>1073</v>
      </c>
      <c r="G241" s="190"/>
      <c r="H241" s="190"/>
      <c r="I241" s="191">
        <v>70356</v>
      </c>
      <c r="J241" s="300" t="str">
        <f>CONCATENATE([2]Cover!$D$6,"fdd/view?i=",I241)</f>
        <v>https://www.dgiwg.org/FAD/fdd/view?i=70356</v>
      </c>
      <c r="K241" s="300" t="s">
        <v>33995</v>
      </c>
      <c r="L241" s="188">
        <v>4</v>
      </c>
      <c r="M241" s="180" t="s">
        <v>151</v>
      </c>
      <c r="N241" s="183"/>
    </row>
    <row r="242" spans="1:14" ht="63.75">
      <c r="A242" s="313" t="str">
        <f t="shared" si="3"/>
        <v>reciprocalTime_reciprocalYear</v>
      </c>
      <c r="B242" s="331"/>
      <c r="C242" s="335"/>
      <c r="D242" s="181" t="s">
        <v>1074</v>
      </c>
      <c r="E242" s="192" t="s">
        <v>1075</v>
      </c>
      <c r="F242" s="193" t="s">
        <v>1076</v>
      </c>
      <c r="G242" s="194"/>
      <c r="H242" s="194"/>
      <c r="I242" s="195">
        <v>70357</v>
      </c>
      <c r="J242" s="301" t="str">
        <f>CONCATENATE([2]Cover!$D$6,"fdd/view?i=",I242)</f>
        <v>https://www.dgiwg.org/FAD/fdd/view?i=70357</v>
      </c>
      <c r="K242" s="301" t="s">
        <v>33996</v>
      </c>
      <c r="L242" s="181">
        <v>5</v>
      </c>
      <c r="M242" s="182" t="s">
        <v>151</v>
      </c>
      <c r="N242" s="183"/>
    </row>
    <row r="243" spans="1:14" ht="51">
      <c r="A243" s="313" t="str">
        <f t="shared" si="3"/>
        <v>solidAngle_steradian</v>
      </c>
      <c r="B243" s="196" t="str">
        <f>HYPERLINK("[#]PhysicalQuantities!A46:N46","solidAngle")</f>
        <v>solidAngle</v>
      </c>
      <c r="C243" s="197" t="s">
        <v>286</v>
      </c>
      <c r="D243" s="198" t="s">
        <v>1077</v>
      </c>
      <c r="E243" s="199" t="s">
        <v>1078</v>
      </c>
      <c r="F243" s="198" t="s">
        <v>1079</v>
      </c>
      <c r="G243" s="200"/>
      <c r="H243" s="200"/>
      <c r="I243" s="198">
        <v>70300</v>
      </c>
      <c r="J243" s="308" t="str">
        <f>CONCATENATE([2]Cover!$D$6,"fdd/view?i=",I243)</f>
        <v>https://www.dgiwg.org/FAD/fdd/view?i=70300</v>
      </c>
      <c r="K243" s="308" t="s">
        <v>33997</v>
      </c>
      <c r="L243" s="198">
        <v>1</v>
      </c>
      <c r="M243" s="201" t="s">
        <v>151</v>
      </c>
      <c r="N243" s="183"/>
    </row>
    <row r="244" spans="1:14" ht="38.25">
      <c r="A244" s="313" t="str">
        <f t="shared" si="3"/>
        <v>soundSpeedRatio_machNumber</v>
      </c>
      <c r="B244" s="332" t="str">
        <f>HYPERLINK("[#]PhysicalQuantities!A47:N47","soundSpeedRatio")</f>
        <v>soundSpeedRatio</v>
      </c>
      <c r="C244" s="333" t="s">
        <v>289</v>
      </c>
      <c r="D244" s="184" t="s">
        <v>1080</v>
      </c>
      <c r="E244" s="185" t="s">
        <v>1081</v>
      </c>
      <c r="F244" s="184" t="s">
        <v>1082</v>
      </c>
      <c r="G244" s="186"/>
      <c r="H244" s="186"/>
      <c r="I244" s="184">
        <v>70285</v>
      </c>
      <c r="J244" s="307" t="str">
        <f>CONCATENATE([2]Cover!$D$6,"fdd/view?i=",I244)</f>
        <v>https://www.dgiwg.org/FAD/fdd/view?i=70285</v>
      </c>
      <c r="K244" s="307" t="s">
        <v>33998</v>
      </c>
      <c r="L244" s="184">
        <v>1</v>
      </c>
      <c r="M244" s="187" t="s">
        <v>151</v>
      </c>
      <c r="N244" s="183"/>
    </row>
    <row r="245" spans="1:14" ht="38.25">
      <c r="A245" s="313" t="str">
        <f t="shared" si="3"/>
        <v>soundSpeedRatio_deciMachNumber</v>
      </c>
      <c r="B245" s="331"/>
      <c r="C245" s="335"/>
      <c r="D245" s="181" t="s">
        <v>1083</v>
      </c>
      <c r="E245" s="192" t="s">
        <v>1084</v>
      </c>
      <c r="F245" s="193" t="s">
        <v>1085</v>
      </c>
      <c r="G245" s="194"/>
      <c r="H245" s="194"/>
      <c r="I245" s="195">
        <v>70286</v>
      </c>
      <c r="J245" s="301" t="str">
        <f>CONCATENATE([2]Cover!$D$6,"fdd/view?i=",I245)</f>
        <v>https://www.dgiwg.org/FAD/fdd/view?i=70286</v>
      </c>
      <c r="K245" s="301" t="s">
        <v>33999</v>
      </c>
      <c r="L245" s="181">
        <v>2</v>
      </c>
      <c r="M245" s="182" t="s">
        <v>151</v>
      </c>
      <c r="N245" s="183"/>
    </row>
    <row r="246" spans="1:14">
      <c r="A246" s="313" t="str">
        <f t="shared" si="3"/>
        <v>speed_metrePerSecond</v>
      </c>
      <c r="B246" s="332" t="str">
        <f>HYPERLINK("[#]PhysicalQuantities!A48:N48","speed")</f>
        <v>speed</v>
      </c>
      <c r="C246" s="333" t="s">
        <v>292</v>
      </c>
      <c r="D246" s="184" t="s">
        <v>1086</v>
      </c>
      <c r="E246" s="185" t="s">
        <v>1087</v>
      </c>
      <c r="F246" s="184" t="s">
        <v>1088</v>
      </c>
      <c r="G246" s="186"/>
      <c r="H246" s="186"/>
      <c r="I246" s="184">
        <v>70301</v>
      </c>
      <c r="J246" s="307" t="str">
        <f>CONCATENATE([2]Cover!$D$6,"fdd/view?i=",I246)</f>
        <v>https://www.dgiwg.org/FAD/fdd/view?i=70301</v>
      </c>
      <c r="K246" s="307" t="s">
        <v>34000</v>
      </c>
      <c r="L246" s="184">
        <v>1</v>
      </c>
      <c r="M246" s="187" t="s">
        <v>151</v>
      </c>
      <c r="N246" s="183"/>
    </row>
    <row r="247" spans="1:14" ht="25.5">
      <c r="A247" s="313" t="str">
        <f t="shared" si="3"/>
        <v>speed_decimetrePerSecond</v>
      </c>
      <c r="B247" s="330"/>
      <c r="C247" s="334"/>
      <c r="D247" s="188" t="s">
        <v>1089</v>
      </c>
      <c r="E247" s="189" t="s">
        <v>1090</v>
      </c>
      <c r="F247" s="162" t="s">
        <v>1091</v>
      </c>
      <c r="G247" s="190"/>
      <c r="H247" s="190"/>
      <c r="I247" s="191">
        <v>70302</v>
      </c>
      <c r="J247" s="300" t="str">
        <f>CONCATENATE([2]Cover!$D$6,"fdd/view?i=",I247)</f>
        <v>https://www.dgiwg.org/FAD/fdd/view?i=70302</v>
      </c>
      <c r="K247" s="300" t="s">
        <v>34001</v>
      </c>
      <c r="L247" s="188">
        <v>2</v>
      </c>
      <c r="M247" s="180" t="s">
        <v>151</v>
      </c>
      <c r="N247" s="183"/>
    </row>
    <row r="248" spans="1:14" ht="25.5">
      <c r="A248" s="313" t="str">
        <f t="shared" si="3"/>
        <v>speed_kilometrePerHour</v>
      </c>
      <c r="B248" s="330"/>
      <c r="C248" s="334"/>
      <c r="D248" s="188" t="s">
        <v>1092</v>
      </c>
      <c r="E248" s="189" t="s">
        <v>1093</v>
      </c>
      <c r="F248" s="162" t="s">
        <v>1094</v>
      </c>
      <c r="G248" s="190"/>
      <c r="H248" s="190"/>
      <c r="I248" s="191">
        <v>70303</v>
      </c>
      <c r="J248" s="300" t="str">
        <f>CONCATENATE([2]Cover!$D$6,"fdd/view?i=",I248)</f>
        <v>https://www.dgiwg.org/FAD/fdd/view?i=70303</v>
      </c>
      <c r="K248" s="300" t="s">
        <v>34002</v>
      </c>
      <c r="L248" s="188">
        <v>3</v>
      </c>
      <c r="M248" s="180" t="s">
        <v>151</v>
      </c>
      <c r="N248" s="183"/>
    </row>
    <row r="249" spans="1:14" ht="25.5">
      <c r="A249" s="313" t="str">
        <f t="shared" si="3"/>
        <v>speed_hectometrePerHour</v>
      </c>
      <c r="B249" s="330"/>
      <c r="C249" s="334"/>
      <c r="D249" s="188" t="s">
        <v>1095</v>
      </c>
      <c r="E249" s="189" t="s">
        <v>1096</v>
      </c>
      <c r="F249" s="162" t="s">
        <v>1097</v>
      </c>
      <c r="G249" s="190"/>
      <c r="H249" s="190"/>
      <c r="I249" s="191">
        <v>70304</v>
      </c>
      <c r="J249" s="300" t="str">
        <f>CONCATENATE([2]Cover!$D$6,"fdd/view?i=",I249)</f>
        <v>https://www.dgiwg.org/FAD/fdd/view?i=70304</v>
      </c>
      <c r="K249" s="300" t="s">
        <v>34003</v>
      </c>
      <c r="L249" s="188">
        <v>4</v>
      </c>
      <c r="M249" s="180" t="s">
        <v>151</v>
      </c>
      <c r="N249" s="183"/>
    </row>
    <row r="250" spans="1:14" ht="25.5">
      <c r="A250" s="313" t="str">
        <f t="shared" si="3"/>
        <v>speed_decaknot</v>
      </c>
      <c r="B250" s="330"/>
      <c r="C250" s="334"/>
      <c r="D250" s="188" t="s">
        <v>1098</v>
      </c>
      <c r="E250" s="189" t="s">
        <v>1099</v>
      </c>
      <c r="F250" s="162" t="s">
        <v>1100</v>
      </c>
      <c r="G250" s="162" t="s">
        <v>1101</v>
      </c>
      <c r="H250" s="190"/>
      <c r="I250" s="191">
        <v>70305</v>
      </c>
      <c r="J250" s="300" t="str">
        <f>CONCATENATE([2]Cover!$D$6,"fdd/view?i=",I250)</f>
        <v>https://www.dgiwg.org/FAD/fdd/view?i=70305</v>
      </c>
      <c r="K250" s="300" t="s">
        <v>34004</v>
      </c>
      <c r="L250" s="188">
        <v>5</v>
      </c>
      <c r="M250" s="180" t="s">
        <v>151</v>
      </c>
      <c r="N250" s="183"/>
    </row>
    <row r="251" spans="1:14" ht="25.5">
      <c r="A251" s="313" t="str">
        <f t="shared" si="3"/>
        <v>speed_knot</v>
      </c>
      <c r="B251" s="330"/>
      <c r="C251" s="334"/>
      <c r="D251" s="188" t="s">
        <v>1102</v>
      </c>
      <c r="E251" s="189" t="s">
        <v>1103</v>
      </c>
      <c r="F251" s="162" t="s">
        <v>1104</v>
      </c>
      <c r="G251" s="162" t="s">
        <v>1105</v>
      </c>
      <c r="H251" s="190"/>
      <c r="I251" s="191">
        <v>70306</v>
      </c>
      <c r="J251" s="300" t="str">
        <f>CONCATENATE([2]Cover!$D$6,"fdd/view?i=",I251)</f>
        <v>https://www.dgiwg.org/FAD/fdd/view?i=70306</v>
      </c>
      <c r="K251" s="300" t="s">
        <v>34005</v>
      </c>
      <c r="L251" s="188">
        <v>6</v>
      </c>
      <c r="M251" s="180" t="s">
        <v>151</v>
      </c>
      <c r="N251" s="183"/>
    </row>
    <row r="252" spans="1:14" ht="25.5">
      <c r="A252" s="313" t="str">
        <f t="shared" si="3"/>
        <v>speed_statuteMilePerHour</v>
      </c>
      <c r="B252" s="330"/>
      <c r="C252" s="334"/>
      <c r="D252" s="188" t="s">
        <v>1106</v>
      </c>
      <c r="E252" s="189" t="s">
        <v>1107</v>
      </c>
      <c r="F252" s="162" t="s">
        <v>1108</v>
      </c>
      <c r="G252" s="190"/>
      <c r="H252" s="190"/>
      <c r="I252" s="191">
        <v>70307</v>
      </c>
      <c r="J252" s="300" t="str">
        <f>CONCATENATE([2]Cover!$D$6,"fdd/view?i=",I252)</f>
        <v>https://www.dgiwg.org/FAD/fdd/view?i=70307</v>
      </c>
      <c r="K252" s="300" t="s">
        <v>34006</v>
      </c>
      <c r="L252" s="188">
        <v>7</v>
      </c>
      <c r="M252" s="180" t="s">
        <v>151</v>
      </c>
      <c r="N252" s="183"/>
    </row>
    <row r="253" spans="1:14" ht="25.5">
      <c r="A253" s="313" t="str">
        <f t="shared" si="3"/>
        <v>speed_footPerSecond</v>
      </c>
      <c r="B253" s="330"/>
      <c r="C253" s="334"/>
      <c r="D253" s="188" t="s">
        <v>1109</v>
      </c>
      <c r="E253" s="189" t="s">
        <v>1110</v>
      </c>
      <c r="F253" s="162" t="s">
        <v>1111</v>
      </c>
      <c r="G253" s="190"/>
      <c r="H253" s="190"/>
      <c r="I253" s="191">
        <v>70308</v>
      </c>
      <c r="J253" s="300" t="str">
        <f>CONCATENATE([2]Cover!$D$6,"fdd/view?i=",I253)</f>
        <v>https://www.dgiwg.org/FAD/fdd/view?i=70308</v>
      </c>
      <c r="K253" s="300" t="s">
        <v>34007</v>
      </c>
      <c r="L253" s="188">
        <v>8</v>
      </c>
      <c r="M253" s="180" t="s">
        <v>151</v>
      </c>
      <c r="N253" s="183"/>
    </row>
    <row r="254" spans="1:14" ht="38.25">
      <c r="A254" s="313" t="str">
        <f t="shared" si="3"/>
        <v>speed_dataMilePerHour</v>
      </c>
      <c r="B254" s="330"/>
      <c r="C254" s="334"/>
      <c r="D254" s="188" t="s">
        <v>1112</v>
      </c>
      <c r="E254" s="189" t="s">
        <v>1113</v>
      </c>
      <c r="F254" s="162" t="s">
        <v>1114</v>
      </c>
      <c r="G254" s="190"/>
      <c r="H254" s="190"/>
      <c r="I254" s="191">
        <v>70309</v>
      </c>
      <c r="J254" s="300" t="str">
        <f>CONCATENATE([2]Cover!$D$6,"fdd/view?i=",I254)</f>
        <v>https://www.dgiwg.org/FAD/fdd/view?i=70309</v>
      </c>
      <c r="K254" s="300" t="s">
        <v>34008</v>
      </c>
      <c r="L254" s="188">
        <v>9</v>
      </c>
      <c r="M254" s="180" t="s">
        <v>151</v>
      </c>
      <c r="N254" s="183"/>
    </row>
    <row r="255" spans="1:14" ht="25.5">
      <c r="A255" s="313" t="str">
        <f t="shared" si="3"/>
        <v>speed_kilometrePerDay</v>
      </c>
      <c r="B255" s="330"/>
      <c r="C255" s="334"/>
      <c r="D255" s="188" t="s">
        <v>1115</v>
      </c>
      <c r="E255" s="189" t="s">
        <v>1116</v>
      </c>
      <c r="F255" s="162" t="s">
        <v>1117</v>
      </c>
      <c r="G255" s="190"/>
      <c r="H255" s="190"/>
      <c r="I255" s="191">
        <v>70310</v>
      </c>
      <c r="J255" s="300" t="str">
        <f>CONCATENATE([2]Cover!$D$6,"fdd/view?i=",I255)</f>
        <v>https://www.dgiwg.org/FAD/fdd/view?i=70310</v>
      </c>
      <c r="K255" s="300" t="s">
        <v>34009</v>
      </c>
      <c r="L255" s="188">
        <v>10</v>
      </c>
      <c r="M255" s="180" t="s">
        <v>151</v>
      </c>
      <c r="N255" s="183"/>
    </row>
    <row r="256" spans="1:14" ht="25.5">
      <c r="A256" s="313" t="str">
        <f t="shared" si="3"/>
        <v>speed_metrePerDay</v>
      </c>
      <c r="B256" s="330"/>
      <c r="C256" s="334"/>
      <c r="D256" s="188" t="s">
        <v>1118</v>
      </c>
      <c r="E256" s="189" t="s">
        <v>1119</v>
      </c>
      <c r="F256" s="162" t="s">
        <v>1120</v>
      </c>
      <c r="G256" s="190"/>
      <c r="H256" s="190"/>
      <c r="I256" s="191">
        <v>70311</v>
      </c>
      <c r="J256" s="300" t="str">
        <f>CONCATENATE([2]Cover!$D$6,"fdd/view?i=",I256)</f>
        <v>https://www.dgiwg.org/FAD/fdd/view?i=70311</v>
      </c>
      <c r="K256" s="300" t="s">
        <v>34010</v>
      </c>
      <c r="L256" s="188">
        <v>11</v>
      </c>
      <c r="M256" s="180" t="s">
        <v>151</v>
      </c>
      <c r="N256" s="183"/>
    </row>
    <row r="257" spans="1:14" ht="25.5">
      <c r="A257" s="313" t="str">
        <f t="shared" si="3"/>
        <v>speed_millimetrePerDay</v>
      </c>
      <c r="B257" s="330"/>
      <c r="C257" s="334"/>
      <c r="D257" s="188" t="s">
        <v>1121</v>
      </c>
      <c r="E257" s="189" t="s">
        <v>1122</v>
      </c>
      <c r="F257" s="162" t="s">
        <v>1123</v>
      </c>
      <c r="G257" s="190"/>
      <c r="H257" s="190"/>
      <c r="I257" s="191">
        <v>70312</v>
      </c>
      <c r="J257" s="300" t="str">
        <f>CONCATENATE([2]Cover!$D$6,"fdd/view?i=",I257)</f>
        <v>https://www.dgiwg.org/FAD/fdd/view?i=70312</v>
      </c>
      <c r="K257" s="300" t="s">
        <v>34011</v>
      </c>
      <c r="L257" s="188">
        <v>12</v>
      </c>
      <c r="M257" s="180" t="s">
        <v>151</v>
      </c>
      <c r="N257" s="183"/>
    </row>
    <row r="258" spans="1:14" ht="25.5">
      <c r="A258" s="313" t="str">
        <f t="shared" si="3"/>
        <v>speed_millimetrePerHour</v>
      </c>
      <c r="B258" s="331"/>
      <c r="C258" s="335"/>
      <c r="D258" s="181" t="s">
        <v>1124</v>
      </c>
      <c r="E258" s="192" t="s">
        <v>1125</v>
      </c>
      <c r="F258" s="193" t="s">
        <v>1126</v>
      </c>
      <c r="G258" s="194"/>
      <c r="H258" s="194"/>
      <c r="I258" s="195">
        <v>70313</v>
      </c>
      <c r="J258" s="301" t="str">
        <f>CONCATENATE([2]Cover!$D$6,"fdd/view?i=",I258)</f>
        <v>https://www.dgiwg.org/FAD/fdd/view?i=70313</v>
      </c>
      <c r="K258" s="301" t="s">
        <v>34012</v>
      </c>
      <c r="L258" s="181">
        <v>13</v>
      </c>
      <c r="M258" s="182" t="s">
        <v>151</v>
      </c>
      <c r="N258" s="183"/>
    </row>
    <row r="259" spans="1:14" ht="25.5">
      <c r="A259" s="313" t="str">
        <f t="shared" ref="A259:A295" si="4">HYPERLINK(J259,K259)</f>
        <v>surfaceMassDensityRate_kilogramPerSqMetreSecond</v>
      </c>
      <c r="B259" s="332" t="str">
        <f>HYPERLINK("[#]PhysicalQuantities!A49:N49","surfaceMassDensityRate")</f>
        <v>surfaceMassDensityRate</v>
      </c>
      <c r="C259" s="333" t="s">
        <v>295</v>
      </c>
      <c r="D259" s="184" t="s">
        <v>1127</v>
      </c>
      <c r="E259" s="185" t="s">
        <v>1128</v>
      </c>
      <c r="F259" s="184" t="s">
        <v>1129</v>
      </c>
      <c r="G259" s="186"/>
      <c r="H259" s="186"/>
      <c r="I259" s="184">
        <v>70314</v>
      </c>
      <c r="J259" s="307" t="str">
        <f>CONCATENATE([2]Cover!$D$6,"fdd/view?i=",I259)</f>
        <v>https://www.dgiwg.org/FAD/fdd/view?i=70314</v>
      </c>
      <c r="K259" s="307" t="s">
        <v>34013</v>
      </c>
      <c r="L259" s="184">
        <v>1</v>
      </c>
      <c r="M259" s="187" t="s">
        <v>151</v>
      </c>
      <c r="N259" s="183"/>
    </row>
    <row r="260" spans="1:14" ht="25.5">
      <c r="A260" s="313" t="str">
        <f t="shared" si="4"/>
        <v>surfaceMassDensityRate_microgramPerSqMetreSecond</v>
      </c>
      <c r="B260" s="331"/>
      <c r="C260" s="335"/>
      <c r="D260" s="181" t="s">
        <v>1130</v>
      </c>
      <c r="E260" s="192" t="s">
        <v>1131</v>
      </c>
      <c r="F260" s="193" t="s">
        <v>1132</v>
      </c>
      <c r="G260" s="194"/>
      <c r="H260" s="194"/>
      <c r="I260" s="195">
        <v>70315</v>
      </c>
      <c r="J260" s="301" t="str">
        <f>CONCATENATE([2]Cover!$D$6,"fdd/view?i=",I260)</f>
        <v>https://www.dgiwg.org/FAD/fdd/view?i=70315</v>
      </c>
      <c r="K260" s="301" t="s">
        <v>34014</v>
      </c>
      <c r="L260" s="181">
        <v>2</v>
      </c>
      <c r="M260" s="182" t="s">
        <v>151</v>
      </c>
      <c r="N260" s="183"/>
    </row>
    <row r="261" spans="1:14" ht="38.25">
      <c r="A261" s="313" t="str">
        <f t="shared" si="4"/>
        <v>thermodynamicTemperature_kelvin</v>
      </c>
      <c r="B261" s="332" t="str">
        <f>HYPERLINK("[#]PhysicalQuantities!A50:N50","thermodynamicTemperature")</f>
        <v>thermodynamicTemperature</v>
      </c>
      <c r="C261" s="333" t="s">
        <v>298</v>
      </c>
      <c r="D261" s="184" t="s">
        <v>1133</v>
      </c>
      <c r="E261" s="185" t="s">
        <v>1134</v>
      </c>
      <c r="F261" s="184" t="s">
        <v>1135</v>
      </c>
      <c r="G261" s="186"/>
      <c r="H261" s="186"/>
      <c r="I261" s="184">
        <v>70316</v>
      </c>
      <c r="J261" s="307" t="str">
        <f>CONCATENATE([2]Cover!$D$6,"fdd/view?i=",I261)</f>
        <v>https://www.dgiwg.org/FAD/fdd/view?i=70316</v>
      </c>
      <c r="K261" s="307" t="s">
        <v>34015</v>
      </c>
      <c r="L261" s="184">
        <v>1</v>
      </c>
      <c r="M261" s="187" t="s">
        <v>151</v>
      </c>
      <c r="N261" s="183"/>
    </row>
    <row r="262" spans="1:14" ht="76.5">
      <c r="A262" s="313" t="str">
        <f t="shared" si="4"/>
        <v>thermodynamicTemperature_degreeCelsius</v>
      </c>
      <c r="B262" s="330"/>
      <c r="C262" s="334"/>
      <c r="D262" s="188" t="s">
        <v>1136</v>
      </c>
      <c r="E262" s="189" t="s">
        <v>1137</v>
      </c>
      <c r="F262" s="162" t="s">
        <v>1138</v>
      </c>
      <c r="G262" s="190"/>
      <c r="H262" s="162" t="s">
        <v>1139</v>
      </c>
      <c r="I262" s="191">
        <v>70317</v>
      </c>
      <c r="J262" s="300" t="str">
        <f>CONCATENATE([2]Cover!$D$6,"fdd/view?i=",I262)</f>
        <v>https://www.dgiwg.org/FAD/fdd/view?i=70317</v>
      </c>
      <c r="K262" s="300" t="s">
        <v>34016</v>
      </c>
      <c r="L262" s="188">
        <v>2</v>
      </c>
      <c r="M262" s="180" t="s">
        <v>151</v>
      </c>
      <c r="N262" s="183"/>
    </row>
    <row r="263" spans="1:14" ht="76.5">
      <c r="A263" s="313" t="str">
        <f t="shared" si="4"/>
        <v>thermodynamicTemperature_degreeFahrenheit</v>
      </c>
      <c r="B263" s="331"/>
      <c r="C263" s="335"/>
      <c r="D263" s="181" t="s">
        <v>1140</v>
      </c>
      <c r="E263" s="192" t="s">
        <v>1141</v>
      </c>
      <c r="F263" s="193" t="s">
        <v>1142</v>
      </c>
      <c r="G263" s="194"/>
      <c r="H263" s="194"/>
      <c r="I263" s="195">
        <v>70318</v>
      </c>
      <c r="J263" s="301" t="str">
        <f>CONCATENATE([2]Cover!$D$6,"fdd/view?i=",I263)</f>
        <v>https://www.dgiwg.org/FAD/fdd/view?i=70318</v>
      </c>
      <c r="K263" s="301" t="s">
        <v>34017</v>
      </c>
      <c r="L263" s="181">
        <v>3</v>
      </c>
      <c r="M263" s="182" t="s">
        <v>151</v>
      </c>
      <c r="N263" s="183"/>
    </row>
    <row r="264" spans="1:14" ht="51">
      <c r="A264" s="313" t="str">
        <f t="shared" si="4"/>
        <v>time_tropicalYear</v>
      </c>
      <c r="B264" s="332" t="str">
        <f>HYPERLINK("[#]PhysicalQuantities!A51:N51","time")</f>
        <v>time</v>
      </c>
      <c r="C264" s="333" t="s">
        <v>301</v>
      </c>
      <c r="D264" s="202" t="s">
        <v>1143</v>
      </c>
      <c r="E264" s="203" t="s">
        <v>1144</v>
      </c>
      <c r="F264" s="204" t="s">
        <v>1145</v>
      </c>
      <c r="G264" s="205"/>
      <c r="H264" s="204" t="s">
        <v>1146</v>
      </c>
      <c r="I264" s="206">
        <v>70319</v>
      </c>
      <c r="J264" s="309" t="str">
        <f>CONCATENATE([2]Cover!$D$6,"fdd/view?i=",I264)</f>
        <v>https://www.dgiwg.org/FAD/fdd/view?i=70319</v>
      </c>
      <c r="K264" s="309" t="s">
        <v>34018</v>
      </c>
      <c r="L264" s="202">
        <v>1</v>
      </c>
      <c r="M264" s="187" t="s">
        <v>151</v>
      </c>
      <c r="N264" s="183"/>
    </row>
    <row r="265" spans="1:14" ht="51">
      <c r="A265" s="313" t="str">
        <f t="shared" si="4"/>
        <v>time_siderealYear</v>
      </c>
      <c r="B265" s="330"/>
      <c r="C265" s="334"/>
      <c r="D265" s="188" t="s">
        <v>1147</v>
      </c>
      <c r="E265" s="189" t="s">
        <v>1148</v>
      </c>
      <c r="F265" s="162" t="s">
        <v>1149</v>
      </c>
      <c r="G265" s="190"/>
      <c r="H265" s="190"/>
      <c r="I265" s="191">
        <v>70320</v>
      </c>
      <c r="J265" s="300" t="str">
        <f>CONCATENATE([2]Cover!$D$6,"fdd/view?i=",I265)</f>
        <v>https://www.dgiwg.org/FAD/fdd/view?i=70320</v>
      </c>
      <c r="K265" s="300" t="s">
        <v>34019</v>
      </c>
      <c r="L265" s="188">
        <v>2</v>
      </c>
      <c r="M265" s="180" t="s">
        <v>151</v>
      </c>
      <c r="N265" s="183"/>
    </row>
    <row r="266" spans="1:14" ht="25.5">
      <c r="A266" s="313" t="str">
        <f t="shared" si="4"/>
        <v>time_week</v>
      </c>
      <c r="B266" s="330"/>
      <c r="C266" s="334"/>
      <c r="D266" s="188" t="s">
        <v>1150</v>
      </c>
      <c r="E266" s="189" t="s">
        <v>1151</v>
      </c>
      <c r="F266" s="162" t="s">
        <v>1152</v>
      </c>
      <c r="G266" s="190"/>
      <c r="H266" s="190"/>
      <c r="I266" s="191">
        <v>70321</v>
      </c>
      <c r="J266" s="300" t="str">
        <f>CONCATENATE([2]Cover!$D$6,"fdd/view?i=",I266)</f>
        <v>https://www.dgiwg.org/FAD/fdd/view?i=70321</v>
      </c>
      <c r="K266" s="300" t="s">
        <v>34020</v>
      </c>
      <c r="L266" s="188">
        <v>3</v>
      </c>
      <c r="M266" s="180" t="s">
        <v>151</v>
      </c>
      <c r="N266" s="183"/>
    </row>
    <row r="267" spans="1:14" ht="25.5">
      <c r="A267" s="313" t="str">
        <f t="shared" si="4"/>
        <v>time_day</v>
      </c>
      <c r="B267" s="330"/>
      <c r="C267" s="334"/>
      <c r="D267" s="188" t="s">
        <v>1153</v>
      </c>
      <c r="E267" s="189" t="s">
        <v>1154</v>
      </c>
      <c r="F267" s="162" t="s">
        <v>1155</v>
      </c>
      <c r="G267" s="190"/>
      <c r="H267" s="190"/>
      <c r="I267" s="191">
        <v>70322</v>
      </c>
      <c r="J267" s="300" t="str">
        <f>CONCATENATE([2]Cover!$D$6,"fdd/view?i=",I267)</f>
        <v>https://www.dgiwg.org/FAD/fdd/view?i=70322</v>
      </c>
      <c r="K267" s="300" t="s">
        <v>34021</v>
      </c>
      <c r="L267" s="188">
        <v>4</v>
      </c>
      <c r="M267" s="180" t="s">
        <v>151</v>
      </c>
      <c r="N267" s="183"/>
    </row>
    <row r="268" spans="1:14" ht="25.5">
      <c r="A268" s="313" t="str">
        <f t="shared" si="4"/>
        <v>time_hour</v>
      </c>
      <c r="B268" s="330"/>
      <c r="C268" s="334"/>
      <c r="D268" s="188" t="s">
        <v>1156</v>
      </c>
      <c r="E268" s="189" t="s">
        <v>1157</v>
      </c>
      <c r="F268" s="162" t="s">
        <v>1158</v>
      </c>
      <c r="G268" s="190"/>
      <c r="H268" s="190"/>
      <c r="I268" s="191">
        <v>70323</v>
      </c>
      <c r="J268" s="300" t="str">
        <f>CONCATENATE([2]Cover!$D$6,"fdd/view?i=",I268)</f>
        <v>https://www.dgiwg.org/FAD/fdd/view?i=70323</v>
      </c>
      <c r="K268" s="300" t="s">
        <v>34022</v>
      </c>
      <c r="L268" s="188">
        <v>5</v>
      </c>
      <c r="M268" s="180" t="s">
        <v>151</v>
      </c>
      <c r="N268" s="183"/>
    </row>
    <row r="269" spans="1:14" ht="25.5">
      <c r="A269" s="313" t="str">
        <f t="shared" si="4"/>
        <v>time_minute</v>
      </c>
      <c r="B269" s="330"/>
      <c r="C269" s="334"/>
      <c r="D269" s="188" t="s">
        <v>1159</v>
      </c>
      <c r="E269" s="189" t="s">
        <v>1160</v>
      </c>
      <c r="F269" s="162" t="s">
        <v>1161</v>
      </c>
      <c r="G269" s="190"/>
      <c r="H269" s="190"/>
      <c r="I269" s="191">
        <v>70324</v>
      </c>
      <c r="J269" s="300" t="str">
        <f>CONCATENATE([2]Cover!$D$6,"fdd/view?i=",I269)</f>
        <v>https://www.dgiwg.org/FAD/fdd/view?i=70324</v>
      </c>
      <c r="K269" s="300" t="s">
        <v>34023</v>
      </c>
      <c r="L269" s="188">
        <v>6</v>
      </c>
      <c r="M269" s="180" t="s">
        <v>151</v>
      </c>
      <c r="N269" s="183"/>
    </row>
    <row r="270" spans="1:14" ht="51">
      <c r="A270" s="313" t="str">
        <f t="shared" si="4"/>
        <v>time_second</v>
      </c>
      <c r="B270" s="330"/>
      <c r="C270" s="334"/>
      <c r="D270" s="207" t="s">
        <v>1162</v>
      </c>
      <c r="E270" s="208" t="s">
        <v>1163</v>
      </c>
      <c r="F270" s="207" t="s">
        <v>1164</v>
      </c>
      <c r="G270" s="209"/>
      <c r="H270" s="209"/>
      <c r="I270" s="207">
        <v>70325</v>
      </c>
      <c r="J270" s="310" t="str">
        <f>CONCATENATE([2]Cover!$D$6,"fdd/view?i=",I270)</f>
        <v>https://www.dgiwg.org/FAD/fdd/view?i=70325</v>
      </c>
      <c r="K270" s="310" t="s">
        <v>34024</v>
      </c>
      <c r="L270" s="207">
        <v>7</v>
      </c>
      <c r="M270" s="180" t="s">
        <v>151</v>
      </c>
      <c r="N270" s="183"/>
    </row>
    <row r="271" spans="1:14" ht="25.5">
      <c r="A271" s="313" t="str">
        <f t="shared" si="4"/>
        <v>time_millisecond</v>
      </c>
      <c r="B271" s="331"/>
      <c r="C271" s="335"/>
      <c r="D271" s="181" t="s">
        <v>1165</v>
      </c>
      <c r="E271" s="192" t="s">
        <v>1166</v>
      </c>
      <c r="F271" s="193" t="s">
        <v>1167</v>
      </c>
      <c r="G271" s="194"/>
      <c r="H271" s="194"/>
      <c r="I271" s="195">
        <v>70326</v>
      </c>
      <c r="J271" s="301" t="str">
        <f>CONCATENATE([2]Cover!$D$6,"fdd/view?i=",I271)</f>
        <v>https://www.dgiwg.org/FAD/fdd/view?i=70326</v>
      </c>
      <c r="K271" s="301" t="s">
        <v>34025</v>
      </c>
      <c r="L271" s="181">
        <v>8</v>
      </c>
      <c r="M271" s="182" t="s">
        <v>151</v>
      </c>
      <c r="N271" s="183"/>
    </row>
    <row r="272" spans="1:14">
      <c r="A272" s="313" t="str">
        <f t="shared" si="4"/>
        <v>volume_cubicMetre</v>
      </c>
      <c r="B272" s="332" t="str">
        <f>HYPERLINK("[#]PhysicalQuantities!A52:N52","volume")</f>
        <v>volume</v>
      </c>
      <c r="C272" s="333" t="s">
        <v>304</v>
      </c>
      <c r="D272" s="184" t="s">
        <v>1168</v>
      </c>
      <c r="E272" s="185" t="s">
        <v>1169</v>
      </c>
      <c r="F272" s="184" t="s">
        <v>1170</v>
      </c>
      <c r="G272" s="186"/>
      <c r="H272" s="186"/>
      <c r="I272" s="184">
        <v>70327</v>
      </c>
      <c r="J272" s="307" t="str">
        <f>CONCATENATE([2]Cover!$D$6,"fdd/view?i=",I272)</f>
        <v>https://www.dgiwg.org/FAD/fdd/view?i=70327</v>
      </c>
      <c r="K272" s="307" t="s">
        <v>34026</v>
      </c>
      <c r="L272" s="184">
        <v>1</v>
      </c>
      <c r="M272" s="187" t="s">
        <v>151</v>
      </c>
      <c r="N272" s="183"/>
    </row>
    <row r="273" spans="1:14" ht="25.5">
      <c r="A273" s="313" t="str">
        <f t="shared" si="4"/>
        <v>volume_cubicDecimetre</v>
      </c>
      <c r="B273" s="330"/>
      <c r="C273" s="334"/>
      <c r="D273" s="188" t="s">
        <v>1171</v>
      </c>
      <c r="E273" s="189" t="s">
        <v>1172</v>
      </c>
      <c r="F273" s="162" t="s">
        <v>1173</v>
      </c>
      <c r="G273" s="190"/>
      <c r="H273" s="190"/>
      <c r="I273" s="191">
        <v>70328</v>
      </c>
      <c r="J273" s="300" t="str">
        <f>CONCATENATE([2]Cover!$D$6,"fdd/view?i=",I273)</f>
        <v>https://www.dgiwg.org/FAD/fdd/view?i=70328</v>
      </c>
      <c r="K273" s="300" t="s">
        <v>34027</v>
      </c>
      <c r="L273" s="188">
        <v>2</v>
      </c>
      <c r="M273" s="180" t="s">
        <v>151</v>
      </c>
      <c r="N273" s="183"/>
    </row>
    <row r="274" spans="1:14" ht="25.5">
      <c r="A274" s="313" t="str">
        <f t="shared" si="4"/>
        <v>volume_cubicCentimetre</v>
      </c>
      <c r="B274" s="330"/>
      <c r="C274" s="334"/>
      <c r="D274" s="188" t="s">
        <v>1174</v>
      </c>
      <c r="E274" s="189" t="s">
        <v>1175</v>
      </c>
      <c r="F274" s="162" t="s">
        <v>1176</v>
      </c>
      <c r="G274" s="190"/>
      <c r="H274" s="190"/>
      <c r="I274" s="191">
        <v>70329</v>
      </c>
      <c r="J274" s="300" t="str">
        <f>CONCATENATE([2]Cover!$D$6,"fdd/view?i=",I274)</f>
        <v>https://www.dgiwg.org/FAD/fdd/view?i=70329</v>
      </c>
      <c r="K274" s="300" t="s">
        <v>34028</v>
      </c>
      <c r="L274" s="188">
        <v>3</v>
      </c>
      <c r="M274" s="180" t="s">
        <v>151</v>
      </c>
      <c r="N274" s="183"/>
    </row>
    <row r="275" spans="1:14" ht="25.5">
      <c r="A275" s="313" t="str">
        <f t="shared" si="4"/>
        <v>volume_cubicMillimetre</v>
      </c>
      <c r="B275" s="330"/>
      <c r="C275" s="334"/>
      <c r="D275" s="188" t="s">
        <v>1177</v>
      </c>
      <c r="E275" s="189" t="s">
        <v>1178</v>
      </c>
      <c r="F275" s="162" t="s">
        <v>1179</v>
      </c>
      <c r="G275" s="190"/>
      <c r="H275" s="190"/>
      <c r="I275" s="191">
        <v>70330</v>
      </c>
      <c r="J275" s="300" t="str">
        <f>CONCATENATE([2]Cover!$D$6,"fdd/view?i=",I275)</f>
        <v>https://www.dgiwg.org/FAD/fdd/view?i=70330</v>
      </c>
      <c r="K275" s="300" t="s">
        <v>34029</v>
      </c>
      <c r="L275" s="188">
        <v>4</v>
      </c>
      <c r="M275" s="180" t="s">
        <v>151</v>
      </c>
      <c r="N275" s="183"/>
    </row>
    <row r="276" spans="1:14" ht="25.5">
      <c r="A276" s="313" t="str">
        <f t="shared" si="4"/>
        <v>volume_cubicYard</v>
      </c>
      <c r="B276" s="330"/>
      <c r="C276" s="334"/>
      <c r="D276" s="188" t="s">
        <v>1180</v>
      </c>
      <c r="E276" s="189" t="s">
        <v>1181</v>
      </c>
      <c r="F276" s="162" t="s">
        <v>1182</v>
      </c>
      <c r="G276" s="190"/>
      <c r="H276" s="190"/>
      <c r="I276" s="191">
        <v>70331</v>
      </c>
      <c r="J276" s="300" t="str">
        <f>CONCATENATE([2]Cover!$D$6,"fdd/view?i=",I276)</f>
        <v>https://www.dgiwg.org/FAD/fdd/view?i=70331</v>
      </c>
      <c r="K276" s="300" t="s">
        <v>34030</v>
      </c>
      <c r="L276" s="188">
        <v>5</v>
      </c>
      <c r="M276" s="180" t="s">
        <v>151</v>
      </c>
      <c r="N276" s="183"/>
    </row>
    <row r="277" spans="1:14" ht="25.5">
      <c r="A277" s="313" t="str">
        <f t="shared" si="4"/>
        <v>volume_cubicFoot</v>
      </c>
      <c r="B277" s="330"/>
      <c r="C277" s="334"/>
      <c r="D277" s="188" t="s">
        <v>1183</v>
      </c>
      <c r="E277" s="189" t="s">
        <v>1184</v>
      </c>
      <c r="F277" s="162" t="s">
        <v>1185</v>
      </c>
      <c r="G277" s="190"/>
      <c r="H277" s="190"/>
      <c r="I277" s="191">
        <v>70332</v>
      </c>
      <c r="J277" s="300" t="str">
        <f>CONCATENATE([2]Cover!$D$6,"fdd/view?i=",I277)</f>
        <v>https://www.dgiwg.org/FAD/fdd/view?i=70332</v>
      </c>
      <c r="K277" s="300" t="s">
        <v>34031</v>
      </c>
      <c r="L277" s="188">
        <v>6</v>
      </c>
      <c r="M277" s="180" t="s">
        <v>151</v>
      </c>
      <c r="N277" s="183"/>
    </row>
    <row r="278" spans="1:14" ht="25.5">
      <c r="A278" s="313" t="str">
        <f t="shared" si="4"/>
        <v>volume_cubicInch</v>
      </c>
      <c r="B278" s="330"/>
      <c r="C278" s="334"/>
      <c r="D278" s="188" t="s">
        <v>1186</v>
      </c>
      <c r="E278" s="189" t="s">
        <v>1187</v>
      </c>
      <c r="F278" s="162" t="s">
        <v>1188</v>
      </c>
      <c r="G278" s="190"/>
      <c r="H278" s="190"/>
      <c r="I278" s="191">
        <v>70333</v>
      </c>
      <c r="J278" s="300" t="str">
        <f>CONCATENATE([2]Cover!$D$6,"fdd/view?i=",I278)</f>
        <v>https://www.dgiwg.org/FAD/fdd/view?i=70333</v>
      </c>
      <c r="K278" s="300" t="s">
        <v>34032</v>
      </c>
      <c r="L278" s="188">
        <v>7</v>
      </c>
      <c r="M278" s="180" t="s">
        <v>151</v>
      </c>
      <c r="N278" s="183"/>
    </row>
    <row r="279" spans="1:14" ht="38.25">
      <c r="A279" s="313" t="str">
        <f t="shared" si="4"/>
        <v>volume_litre</v>
      </c>
      <c r="B279" s="330"/>
      <c r="C279" s="334"/>
      <c r="D279" s="188" t="s">
        <v>1189</v>
      </c>
      <c r="E279" s="189" t="s">
        <v>1190</v>
      </c>
      <c r="F279" s="162" t="s">
        <v>1191</v>
      </c>
      <c r="G279" s="190"/>
      <c r="H279" s="190"/>
      <c r="I279" s="191">
        <v>70334</v>
      </c>
      <c r="J279" s="300" t="str">
        <f>CONCATENATE([2]Cover!$D$6,"fdd/view?i=",I279)</f>
        <v>https://www.dgiwg.org/FAD/fdd/view?i=70334</v>
      </c>
      <c r="K279" s="300" t="s">
        <v>34033</v>
      </c>
      <c r="L279" s="188">
        <v>8</v>
      </c>
      <c r="M279" s="180" t="s">
        <v>151</v>
      </c>
      <c r="N279" s="183"/>
    </row>
    <row r="280" spans="1:14" ht="25.5">
      <c r="A280" s="313" t="str">
        <f t="shared" si="4"/>
        <v>volume_decilitre</v>
      </c>
      <c r="B280" s="330"/>
      <c r="C280" s="334"/>
      <c r="D280" s="188" t="s">
        <v>1192</v>
      </c>
      <c r="E280" s="189" t="s">
        <v>1193</v>
      </c>
      <c r="F280" s="162" t="s">
        <v>1194</v>
      </c>
      <c r="G280" s="190"/>
      <c r="H280" s="190"/>
      <c r="I280" s="191">
        <v>70335</v>
      </c>
      <c r="J280" s="300" t="str">
        <f>CONCATENATE([2]Cover!$D$6,"fdd/view?i=",I280)</f>
        <v>https://www.dgiwg.org/FAD/fdd/view?i=70335</v>
      </c>
      <c r="K280" s="300" t="s">
        <v>34034</v>
      </c>
      <c r="L280" s="188">
        <v>9</v>
      </c>
      <c r="M280" s="180" t="s">
        <v>151</v>
      </c>
      <c r="N280" s="183"/>
    </row>
    <row r="281" spans="1:14" ht="38.25">
      <c r="A281" s="313" t="str">
        <f t="shared" si="4"/>
        <v>volume_millilitre</v>
      </c>
      <c r="B281" s="330"/>
      <c r="C281" s="334"/>
      <c r="D281" s="188" t="s">
        <v>1195</v>
      </c>
      <c r="E281" s="189" t="s">
        <v>1196</v>
      </c>
      <c r="F281" s="162" t="s">
        <v>1197</v>
      </c>
      <c r="G281" s="190"/>
      <c r="H281" s="190"/>
      <c r="I281" s="191">
        <v>70336</v>
      </c>
      <c r="J281" s="300" t="str">
        <f>CONCATENATE([2]Cover!$D$6,"fdd/view?i=",I281)</f>
        <v>https://www.dgiwg.org/FAD/fdd/view?i=70336</v>
      </c>
      <c r="K281" s="300" t="s">
        <v>34035</v>
      </c>
      <c r="L281" s="188">
        <v>10</v>
      </c>
      <c r="M281" s="180" t="s">
        <v>151</v>
      </c>
      <c r="N281" s="183"/>
    </row>
    <row r="282" spans="1:14" ht="25.5">
      <c r="A282" s="313" t="str">
        <f t="shared" si="4"/>
        <v>volume_usGallon</v>
      </c>
      <c r="B282" s="330"/>
      <c r="C282" s="334"/>
      <c r="D282" s="188" t="s">
        <v>1198</v>
      </c>
      <c r="E282" s="189" t="s">
        <v>1199</v>
      </c>
      <c r="F282" s="162" t="s">
        <v>1200</v>
      </c>
      <c r="G282" s="190"/>
      <c r="H282" s="190"/>
      <c r="I282" s="191">
        <v>70337</v>
      </c>
      <c r="J282" s="300" t="str">
        <f>CONCATENATE([2]Cover!$D$6,"fdd/view?i=",I282)</f>
        <v>https://www.dgiwg.org/FAD/fdd/view?i=70337</v>
      </c>
      <c r="K282" s="300" t="s">
        <v>34036</v>
      </c>
      <c r="L282" s="188">
        <v>11</v>
      </c>
      <c r="M282" s="180" t="s">
        <v>151</v>
      </c>
      <c r="N282" s="183"/>
    </row>
    <row r="283" spans="1:14" ht="25.5">
      <c r="A283" s="313" t="str">
        <f t="shared" si="4"/>
        <v>volume_usQuart</v>
      </c>
      <c r="B283" s="330"/>
      <c r="C283" s="334"/>
      <c r="D283" s="188" t="s">
        <v>1201</v>
      </c>
      <c r="E283" s="189" t="s">
        <v>1202</v>
      </c>
      <c r="F283" s="162" t="s">
        <v>1203</v>
      </c>
      <c r="G283" s="190"/>
      <c r="H283" s="190"/>
      <c r="I283" s="191">
        <v>70338</v>
      </c>
      <c r="J283" s="300" t="str">
        <f>CONCATENATE([2]Cover!$D$6,"fdd/view?i=",I283)</f>
        <v>https://www.dgiwg.org/FAD/fdd/view?i=70338</v>
      </c>
      <c r="K283" s="300" t="s">
        <v>34037</v>
      </c>
      <c r="L283" s="188">
        <v>12</v>
      </c>
      <c r="M283" s="180" t="s">
        <v>151</v>
      </c>
      <c r="N283" s="183"/>
    </row>
    <row r="284" spans="1:14" ht="25.5">
      <c r="A284" s="313" t="str">
        <f t="shared" si="4"/>
        <v>volume_usPint</v>
      </c>
      <c r="B284" s="330"/>
      <c r="C284" s="334"/>
      <c r="D284" s="188" t="s">
        <v>1204</v>
      </c>
      <c r="E284" s="189" t="s">
        <v>1205</v>
      </c>
      <c r="F284" s="162" t="s">
        <v>1206</v>
      </c>
      <c r="G284" s="190"/>
      <c r="H284" s="190"/>
      <c r="I284" s="191">
        <v>70339</v>
      </c>
      <c r="J284" s="300" t="str">
        <f>CONCATENATE([2]Cover!$D$6,"fdd/view?i=",I284)</f>
        <v>https://www.dgiwg.org/FAD/fdd/view?i=70339</v>
      </c>
      <c r="K284" s="300" t="s">
        <v>34038</v>
      </c>
      <c r="L284" s="188">
        <v>13</v>
      </c>
      <c r="M284" s="180" t="s">
        <v>151</v>
      </c>
      <c r="N284" s="183"/>
    </row>
    <row r="285" spans="1:14" ht="25.5">
      <c r="A285" s="313" t="str">
        <f t="shared" si="4"/>
        <v>volume_usCup</v>
      </c>
      <c r="B285" s="330"/>
      <c r="C285" s="334"/>
      <c r="D285" s="188" t="s">
        <v>1207</v>
      </c>
      <c r="E285" s="189" t="s">
        <v>1208</v>
      </c>
      <c r="F285" s="162" t="s">
        <v>1209</v>
      </c>
      <c r="G285" s="190"/>
      <c r="H285" s="190"/>
      <c r="I285" s="191">
        <v>70340</v>
      </c>
      <c r="J285" s="300" t="str">
        <f>CONCATENATE([2]Cover!$D$6,"fdd/view?i=",I285)</f>
        <v>https://www.dgiwg.org/FAD/fdd/view?i=70340</v>
      </c>
      <c r="K285" s="300" t="s">
        <v>34039</v>
      </c>
      <c r="L285" s="188">
        <v>14</v>
      </c>
      <c r="M285" s="180" t="s">
        <v>151</v>
      </c>
      <c r="N285" s="183"/>
    </row>
    <row r="286" spans="1:14" ht="25.5">
      <c r="A286" s="313" t="str">
        <f t="shared" si="4"/>
        <v>volume_usFluidOunce</v>
      </c>
      <c r="B286" s="330"/>
      <c r="C286" s="334"/>
      <c r="D286" s="188" t="s">
        <v>1210</v>
      </c>
      <c r="E286" s="189" t="s">
        <v>1211</v>
      </c>
      <c r="F286" s="162" t="s">
        <v>1212</v>
      </c>
      <c r="G286" s="190"/>
      <c r="H286" s="190"/>
      <c r="I286" s="191">
        <v>70341</v>
      </c>
      <c r="J286" s="300" t="str">
        <f>CONCATENATE([2]Cover!$D$6,"fdd/view?i=",I286)</f>
        <v>https://www.dgiwg.org/FAD/fdd/view?i=70341</v>
      </c>
      <c r="K286" s="300" t="s">
        <v>34040</v>
      </c>
      <c r="L286" s="188">
        <v>15</v>
      </c>
      <c r="M286" s="180" t="s">
        <v>151</v>
      </c>
      <c r="N286" s="183"/>
    </row>
    <row r="287" spans="1:14" ht="224.25" customHeight="1">
      <c r="A287" s="313" t="str">
        <f t="shared" si="4"/>
        <v>volume_usBarrelOil</v>
      </c>
      <c r="B287" s="331"/>
      <c r="C287" s="335"/>
      <c r="D287" s="181" t="s">
        <v>1213</v>
      </c>
      <c r="E287" s="192" t="s">
        <v>1214</v>
      </c>
      <c r="F287" s="193" t="s">
        <v>1215</v>
      </c>
      <c r="G287" s="193" t="s">
        <v>1216</v>
      </c>
      <c r="H287" s="194"/>
      <c r="I287" s="195">
        <v>119512</v>
      </c>
      <c r="J287" s="301" t="str">
        <f>CONCATENATE([2]Cover!$D$6,"fdd/view?i=",I287)</f>
        <v>https://www.dgiwg.org/FAD/fdd/view?i=119512</v>
      </c>
      <c r="K287" s="301" t="s">
        <v>34041</v>
      </c>
      <c r="L287" s="181">
        <v>16</v>
      </c>
      <c r="M287" s="182" t="s">
        <v>151</v>
      </c>
      <c r="N287" s="183"/>
    </row>
    <row r="288" spans="1:14" ht="25.5">
      <c r="A288" s="313" t="str">
        <f t="shared" si="4"/>
        <v>volumeFlowRate_cubicMetrePerSecond</v>
      </c>
      <c r="B288" s="332" t="str">
        <f>HYPERLINK("[#]PhysicalQuantities!A53:N53","volumeFlowRate")</f>
        <v>volumeFlowRate</v>
      </c>
      <c r="C288" s="333" t="s">
        <v>307</v>
      </c>
      <c r="D288" s="184" t="s">
        <v>1217</v>
      </c>
      <c r="E288" s="185" t="s">
        <v>1218</v>
      </c>
      <c r="F288" s="184" t="s">
        <v>1219</v>
      </c>
      <c r="G288" s="186"/>
      <c r="H288" s="186"/>
      <c r="I288" s="184">
        <v>70342</v>
      </c>
      <c r="J288" s="307" t="str">
        <f>CONCATENATE([2]Cover!$D$6,"fdd/view?i=",I288)</f>
        <v>https://www.dgiwg.org/FAD/fdd/view?i=70342</v>
      </c>
      <c r="K288" s="307" t="s">
        <v>34042</v>
      </c>
      <c r="L288" s="184">
        <v>1</v>
      </c>
      <c r="M288" s="187" t="s">
        <v>151</v>
      </c>
      <c r="N288" s="183"/>
    </row>
    <row r="289" spans="1:14" ht="25.5">
      <c r="A289" s="313" t="str">
        <f t="shared" si="4"/>
        <v>volumeFlowRate_litrePerSecond</v>
      </c>
      <c r="B289" s="330"/>
      <c r="C289" s="334"/>
      <c r="D289" s="188" t="s">
        <v>1220</v>
      </c>
      <c r="E289" s="189" t="s">
        <v>1221</v>
      </c>
      <c r="F289" s="162" t="s">
        <v>1222</v>
      </c>
      <c r="G289" s="190"/>
      <c r="H289" s="190"/>
      <c r="I289" s="191">
        <v>70343</v>
      </c>
      <c r="J289" s="300" t="str">
        <f>CONCATENATE([2]Cover!$D$6,"fdd/view?i=",I289)</f>
        <v>https://www.dgiwg.org/FAD/fdd/view?i=70343</v>
      </c>
      <c r="K289" s="300" t="s">
        <v>34043</v>
      </c>
      <c r="L289" s="188">
        <v>2</v>
      </c>
      <c r="M289" s="180" t="s">
        <v>151</v>
      </c>
      <c r="N289" s="183"/>
    </row>
    <row r="290" spans="1:14" ht="25.5">
      <c r="A290" s="313" t="str">
        <f t="shared" si="4"/>
        <v>volumeFlowRate_cubicMetrePerMinute</v>
      </c>
      <c r="B290" s="330"/>
      <c r="C290" s="334"/>
      <c r="D290" s="188" t="s">
        <v>1223</v>
      </c>
      <c r="E290" s="189" t="s">
        <v>1224</v>
      </c>
      <c r="F290" s="162" t="s">
        <v>1225</v>
      </c>
      <c r="G290" s="190"/>
      <c r="H290" s="190"/>
      <c r="I290" s="191">
        <v>70344</v>
      </c>
      <c r="J290" s="300" t="str">
        <f>CONCATENATE([2]Cover!$D$6,"fdd/view?i=",I290)</f>
        <v>https://www.dgiwg.org/FAD/fdd/view?i=70344</v>
      </c>
      <c r="K290" s="300" t="s">
        <v>34044</v>
      </c>
      <c r="L290" s="188">
        <v>3</v>
      </c>
      <c r="M290" s="180" t="s">
        <v>151</v>
      </c>
      <c r="N290" s="183"/>
    </row>
    <row r="291" spans="1:14" ht="25.5">
      <c r="A291" s="313" t="str">
        <f t="shared" si="4"/>
        <v>volumeFlowRate_litrePerMinute</v>
      </c>
      <c r="B291" s="330"/>
      <c r="C291" s="334"/>
      <c r="D291" s="188" t="s">
        <v>1226</v>
      </c>
      <c r="E291" s="189" t="s">
        <v>1227</v>
      </c>
      <c r="F291" s="162" t="s">
        <v>1228</v>
      </c>
      <c r="G291" s="190"/>
      <c r="H291" s="190"/>
      <c r="I291" s="191">
        <v>70345</v>
      </c>
      <c r="J291" s="300" t="str">
        <f>CONCATENATE([2]Cover!$D$6,"fdd/view?i=",I291)</f>
        <v>https://www.dgiwg.org/FAD/fdd/view?i=70345</v>
      </c>
      <c r="K291" s="300" t="s">
        <v>34045</v>
      </c>
      <c r="L291" s="188">
        <v>4</v>
      </c>
      <c r="M291" s="180" t="s">
        <v>151</v>
      </c>
      <c r="N291" s="183"/>
    </row>
    <row r="292" spans="1:14" ht="25.5">
      <c r="A292" s="313" t="str">
        <f t="shared" si="4"/>
        <v>volumeFlowRate_cubicMetrePerHour</v>
      </c>
      <c r="B292" s="330"/>
      <c r="C292" s="334"/>
      <c r="D292" s="188" t="s">
        <v>1229</v>
      </c>
      <c r="E292" s="189" t="s">
        <v>1230</v>
      </c>
      <c r="F292" s="162" t="s">
        <v>1231</v>
      </c>
      <c r="G292" s="190"/>
      <c r="H292" s="190"/>
      <c r="I292" s="191">
        <v>70346</v>
      </c>
      <c r="J292" s="300" t="str">
        <f>CONCATENATE([2]Cover!$D$6,"fdd/view?i=",I292)</f>
        <v>https://www.dgiwg.org/FAD/fdd/view?i=70346</v>
      </c>
      <c r="K292" s="300" t="s">
        <v>34046</v>
      </c>
      <c r="L292" s="188">
        <v>5</v>
      </c>
      <c r="M292" s="180" t="s">
        <v>151</v>
      </c>
      <c r="N292" s="183"/>
    </row>
    <row r="293" spans="1:14" ht="25.5">
      <c r="A293" s="313" t="str">
        <f t="shared" si="4"/>
        <v>volumeFlowRate_litrePerHour</v>
      </c>
      <c r="B293" s="330"/>
      <c r="C293" s="334"/>
      <c r="D293" s="188" t="s">
        <v>1232</v>
      </c>
      <c r="E293" s="189" t="s">
        <v>1233</v>
      </c>
      <c r="F293" s="162" t="s">
        <v>1234</v>
      </c>
      <c r="G293" s="190"/>
      <c r="H293" s="190"/>
      <c r="I293" s="191">
        <v>70347</v>
      </c>
      <c r="J293" s="300" t="str">
        <f>CONCATENATE([2]Cover!$D$6,"fdd/view?i=",I293)</f>
        <v>https://www.dgiwg.org/FAD/fdd/view?i=70347</v>
      </c>
      <c r="K293" s="300" t="s">
        <v>34047</v>
      </c>
      <c r="L293" s="188">
        <v>6</v>
      </c>
      <c r="M293" s="180" t="s">
        <v>151</v>
      </c>
      <c r="N293" s="183"/>
    </row>
    <row r="294" spans="1:14" ht="25.5">
      <c r="A294" s="313" t="str">
        <f t="shared" si="4"/>
        <v>volumeFlowRate_cubicMetrePerAnnum</v>
      </c>
      <c r="B294" s="331"/>
      <c r="C294" s="335"/>
      <c r="D294" s="181" t="s">
        <v>1235</v>
      </c>
      <c r="E294" s="192" t="s">
        <v>1236</v>
      </c>
      <c r="F294" s="193" t="s">
        <v>1237</v>
      </c>
      <c r="G294" s="194"/>
      <c r="H294" s="194"/>
      <c r="I294" s="195">
        <v>119511</v>
      </c>
      <c r="J294" s="301" t="str">
        <f>CONCATENATE([2]Cover!$D$6,"fdd/view?i=",I294)</f>
        <v>https://www.dgiwg.org/FAD/fdd/view?i=119511</v>
      </c>
      <c r="K294" s="301" t="s">
        <v>34048</v>
      </c>
      <c r="L294" s="181">
        <v>7</v>
      </c>
      <c r="M294" s="182" t="s">
        <v>151</v>
      </c>
      <c r="N294" s="183"/>
    </row>
    <row r="295" spans="1:14" ht="25.5">
      <c r="A295" s="313" t="str">
        <f t="shared" si="4"/>
        <v>volumeFraction_cubicMetrePerCubicMetre</v>
      </c>
      <c r="B295" s="196" t="str">
        <f>HYPERLINK("[#]PhysicalQuantities!A54:N54","volumeFraction")</f>
        <v>volumeFraction</v>
      </c>
      <c r="C295" s="197" t="s">
        <v>310</v>
      </c>
      <c r="D295" s="198" t="s">
        <v>1238</v>
      </c>
      <c r="E295" s="199" t="s">
        <v>1239</v>
      </c>
      <c r="F295" s="198" t="s">
        <v>1240</v>
      </c>
      <c r="G295" s="200"/>
      <c r="H295" s="200"/>
      <c r="I295" s="198">
        <v>70348</v>
      </c>
      <c r="J295" s="308" t="str">
        <f>CONCATENATE([2]Cover!$D$6,"fdd/view?i=",I295)</f>
        <v>https://www.dgiwg.org/FAD/fdd/view?i=70348</v>
      </c>
      <c r="K295" s="308" t="s">
        <v>34049</v>
      </c>
      <c r="L295" s="198">
        <v>1</v>
      </c>
      <c r="M295" s="201" t="s">
        <v>151</v>
      </c>
      <c r="N295" s="183"/>
    </row>
  </sheetData>
  <mergeCells count="94">
    <mergeCell ref="B2:B5"/>
    <mergeCell ref="C2:C5"/>
    <mergeCell ref="B7:B18"/>
    <mergeCell ref="C7:C18"/>
    <mergeCell ref="B19:B22"/>
    <mergeCell ref="C19:C22"/>
    <mergeCell ref="B23:B26"/>
    <mergeCell ref="C23:C26"/>
    <mergeCell ref="B27:B29"/>
    <mergeCell ref="C27:C29"/>
    <mergeCell ref="B30:B37"/>
    <mergeCell ref="C30:C37"/>
    <mergeCell ref="B38:B41"/>
    <mergeCell ref="C38:C41"/>
    <mergeCell ref="B42:B44"/>
    <mergeCell ref="C42:C44"/>
    <mergeCell ref="B45:B48"/>
    <mergeCell ref="C45:C48"/>
    <mergeCell ref="B49:B52"/>
    <mergeCell ref="C49:C52"/>
    <mergeCell ref="B53:B62"/>
    <mergeCell ref="C53:C62"/>
    <mergeCell ref="B63:B67"/>
    <mergeCell ref="C63:C67"/>
    <mergeCell ref="B68:B71"/>
    <mergeCell ref="C68:C71"/>
    <mergeCell ref="B73:B75"/>
    <mergeCell ref="C73:C75"/>
    <mergeCell ref="B76:B77"/>
    <mergeCell ref="C76:C77"/>
    <mergeCell ref="B78:B79"/>
    <mergeCell ref="C78:C79"/>
    <mergeCell ref="B80:B110"/>
    <mergeCell ref="C80:C110"/>
    <mergeCell ref="B111:B112"/>
    <mergeCell ref="C111:C112"/>
    <mergeCell ref="B113:B114"/>
    <mergeCell ref="C113:C114"/>
    <mergeCell ref="B117:B120"/>
    <mergeCell ref="C117:C120"/>
    <mergeCell ref="B121:B123"/>
    <mergeCell ref="C121:C123"/>
    <mergeCell ref="B124:B125"/>
    <mergeCell ref="C124:C125"/>
    <mergeCell ref="B126:B136"/>
    <mergeCell ref="C126:C136"/>
    <mergeCell ref="B137:B143"/>
    <mergeCell ref="C137:C143"/>
    <mergeCell ref="B144:B146"/>
    <mergeCell ref="C144:C146"/>
    <mergeCell ref="B147:B150"/>
    <mergeCell ref="C147:C150"/>
    <mergeCell ref="B151:B153"/>
    <mergeCell ref="C151:C153"/>
    <mergeCell ref="B154:B155"/>
    <mergeCell ref="C154:C155"/>
    <mergeCell ref="B156:B179"/>
    <mergeCell ref="C156:C179"/>
    <mergeCell ref="B180:B193"/>
    <mergeCell ref="C180:C193"/>
    <mergeCell ref="B194:B196"/>
    <mergeCell ref="C194:C196"/>
    <mergeCell ref="B197:B199"/>
    <mergeCell ref="C197:C199"/>
    <mergeCell ref="B200:B212"/>
    <mergeCell ref="C200:C212"/>
    <mergeCell ref="B213:B219"/>
    <mergeCell ref="C213:C219"/>
    <mergeCell ref="B220:B221"/>
    <mergeCell ref="C220:C221"/>
    <mergeCell ref="B222:B223"/>
    <mergeCell ref="C222:C223"/>
    <mergeCell ref="B224:B227"/>
    <mergeCell ref="C224:C227"/>
    <mergeCell ref="B228:B234"/>
    <mergeCell ref="C228:C234"/>
    <mergeCell ref="B235:B237"/>
    <mergeCell ref="C235:C237"/>
    <mergeCell ref="B238:B242"/>
    <mergeCell ref="C238:C242"/>
    <mergeCell ref="B244:B245"/>
    <mergeCell ref="C244:C245"/>
    <mergeCell ref="B246:B258"/>
    <mergeCell ref="C246:C258"/>
    <mergeCell ref="B272:B287"/>
    <mergeCell ref="C272:C287"/>
    <mergeCell ref="B288:B294"/>
    <mergeCell ref="C288:C294"/>
    <mergeCell ref="B259:B260"/>
    <mergeCell ref="C259:C260"/>
    <mergeCell ref="B261:B263"/>
    <mergeCell ref="C261:C263"/>
    <mergeCell ref="B264:B271"/>
    <mergeCell ref="C264:C271"/>
  </mergeCells>
  <pageMargins left="0.75" right="0.75" top="1" bottom="1" header="0.5" footer="0.5"/>
  <pageSetup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vt:i4>
      </vt:variant>
    </vt:vector>
  </HeadingPairs>
  <TitlesOfParts>
    <vt:vector size="9" baseType="lpstr">
      <vt:lpstr>Cover</vt:lpstr>
      <vt:lpstr>FeatureConcepts</vt:lpstr>
      <vt:lpstr>AttributeConcepts</vt:lpstr>
      <vt:lpstr>Datatypes</vt:lpstr>
      <vt:lpstr>DatatypeListedValues</vt:lpstr>
      <vt:lpstr>PhysicalQuantities</vt:lpstr>
      <vt:lpstr>UnitsOfMeasure</vt:lpstr>
      <vt:lpstr>FeatureConcepts!Drucktitel</vt:lpstr>
      <vt:lpstr>PhysicalQuantities!Drucktitel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Feature Data Dictionary</dc:title>
  <dc:creator>MITRE Employee</dc:creator>
  <cp:lastModifiedBy>M.Thelker</cp:lastModifiedBy>
  <cp:lastPrinted>2013-08-26T12:17:08Z</cp:lastPrinted>
  <dcterms:created xsi:type="dcterms:W3CDTF">2019-06-15T14:48:37Z</dcterms:created>
  <dcterms:modified xsi:type="dcterms:W3CDTF">2013-10-20T14:32:14Z</dcterms:modified>
</cp:coreProperties>
</file>